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2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5.xml" ContentType="application/vnd.openxmlformats-officedocument.drawing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32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1.xml" ContentType="application/vnd.openxmlformats-officedocument.drawing+xml"/>
  <Override PartName="/xl/charts/chart38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39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40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4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46.xml" ContentType="application/vnd.openxmlformats-officedocument.drawingml.chart+xml"/>
  <Override PartName="/xl/drawings/drawing33.xml" ContentType="application/vnd.openxmlformats-officedocument.drawing+xml"/>
  <Override PartName="/xl/charts/chart4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6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61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drawings/drawing75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6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81.xml" ContentType="application/vnd.openxmlformats-officedocument.drawing+xml"/>
  <Override PartName="/xl/charts/chart83.xml" ContentType="application/vnd.openxmlformats-officedocument.drawingml.chart+xml"/>
  <Override PartName="/xl/drawings/drawing82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83.xml" ContentType="application/vnd.openxmlformats-officedocument.drawing+xml"/>
  <Override PartName="/xl/charts/chart86.xml" ContentType="application/vnd.openxmlformats-officedocument.drawingml.chart+xml"/>
  <Override PartName="/xl/drawings/drawing84.xml" ContentType="application/vnd.openxmlformats-officedocument.drawing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85.xml" ContentType="application/vnd.openxmlformats-officedocument.drawing+xml"/>
  <Override PartName="/xl/charts/chart10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10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charts/chart110.xml" ContentType="application/vnd.openxmlformats-officedocument.drawingml.chart+xml"/>
  <Override PartName="/xl/drawings/drawing90.xml" ContentType="application/vnd.openxmlformats-officedocument.drawing+xml"/>
  <Override PartName="/xl/charts/chart111.xml" ContentType="application/vnd.openxmlformats-officedocument.drawingml.chart+xml"/>
  <Override PartName="/xl/drawings/drawing91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92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C:\Users\acortesr\Documents\DP-2017\ANUARIO y Anexo\"/>
    </mc:Choice>
  </mc:AlternateContent>
  <bookViews>
    <workbookView xWindow="0" yWindow="0" windowWidth="20640" windowHeight="11760" tabRatio="664" firstSheet="35" activeTab="48"/>
  </bookViews>
  <sheets>
    <sheet name="Portada" sheetId="322" r:id="rId1"/>
    <sheet name="Indice" sheetId="301" r:id="rId2"/>
    <sheet name="Aspirantes plan" sheetId="236" r:id="rId3"/>
    <sheet name="Aspirantes uni" sheetId="237" r:id="rId4"/>
    <sheet name="Asp x gen" sheetId="296" r:id="rId5"/>
    <sheet name="Admitidos plan" sheetId="238" r:id="rId6"/>
    <sheet name="Admitidos uni" sheetId="239" r:id="rId7"/>
    <sheet name="Admitidos x gen" sheetId="306" r:id="rId8"/>
    <sheet name="Admitidos SE" sheetId="303" r:id="rId9"/>
    <sheet name="Inscritos plan" sheetId="240" r:id="rId10"/>
    <sheet name="Inscritos uni" sheetId="241" r:id="rId11"/>
    <sheet name="Inscritos SE" sheetId="304" state="hidden" r:id="rId12"/>
    <sheet name="Matrícula plan" sheetId="193" r:id="rId13"/>
    <sheet name="Matricula uni" sheetId="194" r:id="rId14"/>
    <sheet name="BAJAS-DEF plan" sheetId="226" state="hidden" r:id="rId15"/>
    <sheet name="BAJAS-DEF uni" sheetId="227" r:id="rId16"/>
    <sheet name="BAJAS-REG plan" sheetId="228" state="hidden" r:id="rId17"/>
    <sheet name="BAJAS-REG uni" sheetId="229" r:id="rId18"/>
    <sheet name="ACTIVOS plan" sheetId="201" r:id="rId19"/>
    <sheet name="ACTIVOS uni" sheetId="202" r:id="rId20"/>
    <sheet name="EGRESO plan" sheetId="274" r:id="rId21"/>
    <sheet name="EGRESO uni" sheetId="98" r:id="rId22"/>
    <sheet name="egresados x gen" sheetId="297" r:id="rId23"/>
    <sheet name="EGRESO-ACUM plan" sheetId="173" r:id="rId24"/>
    <sheet name="EGR-ACUM uni" sheetId="172" r:id="rId25"/>
    <sheet name="TITULADOS plan" sheetId="275" r:id="rId26"/>
    <sheet name="TITULADOS uni" sheetId="253" r:id="rId27"/>
    <sheet name="TRIM EGRESO plan" sheetId="230" r:id="rId28"/>
    <sheet name="TRIM EGRESO uni" sheetId="231" r:id="rId29"/>
    <sheet name="TRIM PROM (1978-15)" sheetId="289" r:id="rId30"/>
    <sheet name="Eficiencia terminal" sheetId="298" r:id="rId31"/>
    <sheet name="Planes de Lic." sheetId="315" r:id="rId32"/>
    <sheet name="Planes de calidad-Resumen" sheetId="319" r:id="rId33"/>
    <sheet name="Activos Lic-Pos" sheetId="299" r:id="rId34"/>
    <sheet name="Egresados Lic-Pos" sheetId="300" r:id="rId35"/>
    <sheet name="ASPI POSG plan" sheetId="273" r:id="rId36"/>
    <sheet name="ASPI-POS uni" sheetId="263" r:id="rId37"/>
    <sheet name="INSC-POSG plan" sheetId="276" r:id="rId38"/>
    <sheet name="INSC-POSG uni" sheetId="277" r:id="rId39"/>
    <sheet name="TOTALreinscrito POS plan" sheetId="247" state="hidden" r:id="rId40"/>
    <sheet name="TOTALreinscrito POS" sheetId="248" state="hidden" r:id="rId41"/>
    <sheet name="MATRICULA-POS plan" sheetId="283" r:id="rId42"/>
    <sheet name="MATRICULA-POS uni" sheetId="284" r:id="rId43"/>
    <sheet name="BAJAS DEF-POS plan" sheetId="168" state="hidden" r:id="rId44"/>
    <sheet name="BAJAS DEF-POS uni" sheetId="26" state="hidden" r:id="rId45"/>
    <sheet name="BAJAS REG-POS plan" sheetId="169" state="hidden" r:id="rId46"/>
    <sheet name="BAJAS REG-POS uni" sheetId="27" state="hidden" r:id="rId47"/>
    <sheet name="ACTIVOS-POS plan" sheetId="267" r:id="rId48"/>
    <sheet name="ACTIVOS-POS uni" sheetId="268" r:id="rId49"/>
    <sheet name="EGRESO-POS plan" sheetId="278" r:id="rId50"/>
    <sheet name="EGRESO-POs uni" sheetId="279" r:id="rId51"/>
    <sheet name="EGRESO POS ACUM plan" sheetId="266" r:id="rId52"/>
    <sheet name="EGRESO-POS ACUM uni" sheetId="233" r:id="rId53"/>
    <sheet name="Planes de Posgrado" sheetId="317" r:id="rId54"/>
    <sheet name="planes de calidad resumen" sheetId="318" r:id="rId55"/>
    <sheet name="Becas UAM pagadas" sheetId="320" r:id="rId56"/>
    <sheet name=" 1 Manutención plan" sheetId="270" r:id="rId57"/>
    <sheet name="1 Manutención uni" sheetId="271" r:id="rId58"/>
    <sheet name="BECA SEP" sheetId="124" state="hidden" r:id="rId59"/>
    <sheet name="2 Excelencia_plan" sheetId="308" r:id="rId60"/>
    <sheet name="2 Excelencia_uni" sheetId="311" r:id="rId61"/>
    <sheet name="3 Gpos Vuln_plan" sheetId="309" r:id="rId62"/>
    <sheet name="3 Gpos Vuln_uni" sheetId="312" r:id="rId63"/>
    <sheet name="4 Serv Social plan" sheetId="339" r:id="rId64"/>
    <sheet name="4 Serv social uni" sheetId="342" r:id="rId65"/>
    <sheet name="5 Lenguas Ext plan" sheetId="323" r:id="rId66"/>
    <sheet name="5 Lenguas Ext uni" sheetId="326" r:id="rId67"/>
    <sheet name="6 Mov Inter Lic plan" sheetId="325" r:id="rId68"/>
    <sheet name="6 Mov Inter Lic uni" sheetId="329" r:id="rId69"/>
    <sheet name="7 Mov Nal Lic plan" sheetId="330" r:id="rId70"/>
    <sheet name="7 Mov Nal Lic uni" sheetId="331" r:id="rId71"/>
    <sheet name="8 Partic Lic plan" sheetId="327" r:id="rId72"/>
    <sheet name="8 Partic Lic uni" sheetId="328" r:id="rId73"/>
    <sheet name="9 Posg_plan" sheetId="314" r:id="rId74"/>
    <sheet name="9 Posg_uni" sheetId="282" r:id="rId75"/>
    <sheet name="BECAS-POS EVALUADOS " sheetId="35" state="hidden" r:id="rId76"/>
    <sheet name="BECAS - POS TESIS" sheetId="36" state="hidden" r:id="rId77"/>
    <sheet name="BECAS - POS NUEVO" sheetId="37" state="hidden" r:id="rId78"/>
    <sheet name="10 Difusión_plan" sheetId="310" r:id="rId79"/>
    <sheet name="10  Difusión_uni" sheetId="313" r:id="rId80"/>
    <sheet name="11-12 Movilidad Posgrado" sheetId="324" r:id="rId81"/>
    <sheet name="13 Estancias Posd" sheetId="341" r:id="rId82"/>
    <sheet name="14 Superacion Acad" sheetId="340" r:id="rId83"/>
    <sheet name="Definitivo x categoría" sheetId="337" r:id="rId84"/>
    <sheet name="Definitivo x género" sheetId="295" r:id="rId85"/>
    <sheet name="ACAD x EDAD" sheetId="291" r:id="rId86"/>
    <sheet name="ACAD x ANTIG" sheetId="292" r:id="rId87"/>
    <sheet name="Alumnos x PTC" sheetId="336" r:id="rId88"/>
    <sheet name="becas y estímulos" sheetId="305" r:id="rId89"/>
    <sheet name="Becas y Estimulos x U,D (2)" sheetId="302" state="hidden" r:id="rId90"/>
    <sheet name="PTC-GRADO" sheetId="346" r:id="rId91"/>
    <sheet name="PTC-GRADO (1)" sheetId="242" state="hidden" r:id="rId92"/>
    <sheet name="PTC-GRADO (2)" sheetId="281" state="hidden" r:id="rId93"/>
    <sheet name="PRODEP PERFIL" sheetId="243" r:id="rId94"/>
    <sheet name="SNI" sheetId="123" r:id="rId95"/>
    <sheet name="Cuerpos Acad" sheetId="234" r:id="rId96"/>
    <sheet name="Act de Investigacion" sheetId="46" r:id="rId97"/>
    <sheet name="TIPPA PROD TOTAL" sheetId="47" r:id="rId98"/>
    <sheet name="DEPORTES" sheetId="285" r:id="rId99"/>
    <sheet name="Resumen Deportes" sheetId="321" state="hidden" r:id="rId100"/>
    <sheet name="ADMI X EDAD" sheetId="293" r:id="rId101"/>
    <sheet name="ADMI X ANTIG" sheetId="294" r:id="rId102"/>
    <sheet name="RECURSOS EXT" sheetId="287" r:id="rId103"/>
    <sheet name="Convenios" sheetId="288" r:id="rId104"/>
    <sheet name="Patentes" sheetId="345" r:id="rId105"/>
    <sheet name="Transparencia" sheetId="344" r:id="rId106"/>
  </sheets>
  <externalReferences>
    <externalReference r:id="rId107"/>
    <externalReference r:id="rId108"/>
  </externalReferences>
  <definedNames>
    <definedName name="\m" localSheetId="89">#REF!</definedName>
    <definedName name="__123Graph_C" localSheetId="90" hidden="1">[1]PLAZASXI!#REF!</definedName>
    <definedName name="__123Graph_C" hidden="1">[1]PLAZASXI!#REF!</definedName>
    <definedName name="__123Graph_D" localSheetId="90" hidden="1">[1]PLAZASXI!#REF!</definedName>
    <definedName name="__123Graph_D" hidden="1">[1]PLAZASXI!#REF!</definedName>
    <definedName name="__123Graph_E" localSheetId="90" hidden="1">[1]PLAZASXI!#REF!</definedName>
    <definedName name="__123Graph_E" hidden="1">[1]PLAZASXI!#REF!</definedName>
    <definedName name="__123Graph_F" localSheetId="90" hidden="1">[1]PLAZASXI!#REF!</definedName>
    <definedName name="__123Graph_F" hidden="1">[1]PLAZASXI!#REF!</definedName>
    <definedName name="_Fill" localSheetId="90" hidden="1">#REF!</definedName>
    <definedName name="_Fill" hidden="1">#REF!</definedName>
    <definedName name="_xlnm._FilterDatabase" localSheetId="59" hidden="1">'2 Excelencia_plan'!#REF!</definedName>
    <definedName name="_Order1" hidden="1">0</definedName>
    <definedName name="_QRO96" localSheetId="89">'[2]32CCG94'!#REF!</definedName>
    <definedName name="_Sort" localSheetId="90" hidden="1">#REF!</definedName>
    <definedName name="_Sort" hidden="1">#REF!</definedName>
    <definedName name="A" localSheetId="89">'[2]32CCG94'!#REF!</definedName>
    <definedName name="_xlnm.Print_Area" localSheetId="78">'10 Difusión_plan'!$A$1:$L$88</definedName>
    <definedName name="_xlnm.Print_Area" localSheetId="86">'ACAD x ANTIG'!$A$1:$P$93</definedName>
    <definedName name="_xlnm.Print_Area" localSheetId="18">'ACTIVOS plan'!$A$1:$Q$106</definedName>
    <definedName name="_xlnm.Print_Area" localSheetId="47">'ACTIVOS-POS plan'!$A$1:$R$153</definedName>
    <definedName name="_xlnm.Print_Area" localSheetId="48">'ACTIVOS-POS uni'!$A$1:$Q$144</definedName>
    <definedName name="_xlnm.Print_Area" localSheetId="8">'Admitidos SE'!$A$1:$Q$136</definedName>
    <definedName name="_xlnm.Print_Area" localSheetId="7">'Admitidos x gen'!$A$1:$AD$77</definedName>
    <definedName name="_xlnm.Print_Area" localSheetId="87">'Alumnos x PTC'!$A$1:$O$208</definedName>
    <definedName name="_xlnm.Print_Area" localSheetId="4">'Asp x gen'!$A$1:$AI$67</definedName>
    <definedName name="_xlnm.Print_Area" localSheetId="3">'Aspirantes uni'!$A$1:$AR$77</definedName>
    <definedName name="_xlnm.Print_Area" localSheetId="44">'BAJAS DEF-POS uni'!$B$3:$AB$63</definedName>
    <definedName name="_xlnm.Print_Area" localSheetId="46">'BAJAS REG-POS uni'!$B$1:$AB$72</definedName>
    <definedName name="_xlnm.Print_Area" localSheetId="14">'BAJAS-DEF plan'!$A$1:$L$79</definedName>
    <definedName name="_xlnm.Print_Area" localSheetId="15">'BAJAS-DEF uni'!$A$1:$Q$78</definedName>
    <definedName name="_xlnm.Print_Area" localSheetId="16">'BAJAS-REG plan'!$A$1:$L$82</definedName>
    <definedName name="_xlnm.Print_Area" localSheetId="58">'BECA SEP'!$C$1:$X$42</definedName>
    <definedName name="_xlnm.Print_Area" localSheetId="77">'BECAS - POS NUEVO'!$B$1:$O$75</definedName>
    <definedName name="_xlnm.Print_Area" localSheetId="76">'BECAS - POS TESIS'!$B$1:$O$75</definedName>
    <definedName name="_xlnm.Print_Area" localSheetId="75">'BECAS-POS EVALUADOS '!$B$1:$M$76</definedName>
    <definedName name="_xlnm.Print_Area" localSheetId="11">'Inscritos SE'!$A$1:$AA$150</definedName>
    <definedName name="_xlnm.Print_Area" localSheetId="93">'PRODEP PERFIL'!$A$1:$Q$109</definedName>
    <definedName name="_xlnm.Print_Area" localSheetId="92">'PTC-GRADO (2)'!$A$1:$BO$86</definedName>
    <definedName name="_xlnm.Print_Area" localSheetId="99">'Resumen Deportes'!$A$1:$S$14</definedName>
    <definedName name="_xlnm.Print_Area" localSheetId="25">'TITULADOS plan'!$A$2:$Y$104</definedName>
    <definedName name="_xlnm.Print_Area" localSheetId="26">'TITULADOS uni'!$A$2:$Y$75</definedName>
    <definedName name="_xlnm.Print_Area" localSheetId="39">'TOTALreinscrito POS plan'!$A$1:$Y$93</definedName>
    <definedName name="_xlnm.Print_Area" localSheetId="28">'TRIM EGRESO uni'!$A$1:$Q$70</definedName>
    <definedName name="ASS" localSheetId="89">'[2]32CCG94'!#REF!</definedName>
    <definedName name="B" localSheetId="89">'[2]32CCG94'!#REF!</definedName>
    <definedName name="cc" localSheetId="90" hidden="1">#REF!</definedName>
    <definedName name="cc" hidden="1">#REF!</definedName>
    <definedName name="CCCCCCCCCCCCCCCCCCCC" localSheetId="89">#REF!</definedName>
    <definedName name="cd" localSheetId="89">'[2]32CCG94'!#REF!</definedName>
    <definedName name="cero" localSheetId="89">#REF!</definedName>
    <definedName name="dd" localSheetId="89">'[2]32CCG94'!#REF!</definedName>
    <definedName name="DEL" localSheetId="89">'[2]32CCG94'!#REF!</definedName>
    <definedName name="GG" localSheetId="90" hidden="1">#REF!</definedName>
    <definedName name="GG" hidden="1">#REF!</definedName>
    <definedName name="IOU" localSheetId="89">#REF!</definedName>
    <definedName name="jjj" localSheetId="89">'[2]32CCG94'!#REF!</definedName>
    <definedName name="JVS" localSheetId="90" hidden="1">#REF!</definedName>
    <definedName name="JVS" hidden="1">#REF!</definedName>
    <definedName name="Letra" localSheetId="89">#REF!</definedName>
    <definedName name="LL" localSheetId="89">'[2]32CCG94'!#REF!</definedName>
    <definedName name="LOPES" localSheetId="89">#REF!</definedName>
    <definedName name="NMI" localSheetId="89">#REF!</definedName>
    <definedName name="OOOOOOOOOOO" localSheetId="89">#REF!</definedName>
    <definedName name="PO" localSheetId="89">'[2]32CCG94'!#REF!</definedName>
    <definedName name="POR" localSheetId="89">#REF!</definedName>
    <definedName name="PPP" localSheetId="89">'[2]32CCG94'!#REF!</definedName>
    <definedName name="PPPPPP" localSheetId="89">#REF!</definedName>
    <definedName name="PPPPPPPPPPPP" localSheetId="89">'[2]32CCG94'!#REF!</definedName>
    <definedName name="PPPPPPPPPPPPPP" localSheetId="89">'[2]32CCG94'!#REF!</definedName>
    <definedName name="Print_Area_MI" localSheetId="89">#REF!</definedName>
    <definedName name="rez" localSheetId="90" hidden="1">#REF!</definedName>
    <definedName name="rez" hidden="1">#REF!</definedName>
    <definedName name="s" localSheetId="89">#REF!</definedName>
    <definedName name="sc" localSheetId="90" hidden="1">#REF!</definedName>
    <definedName name="sc" hidden="1">#REF!</definedName>
    <definedName name="sic" localSheetId="90" hidden="1">#REF!</definedName>
    <definedName name="sic" hidden="1">#REF!</definedName>
    <definedName name="_xlnm.Print_Titles" localSheetId="56">' 1 Manutención plan'!$A:$C,' 1 Manutención plan'!$1:$4</definedName>
    <definedName name="_xlnm.Print_Titles" localSheetId="57">'1 Manutención uni'!$A:$B</definedName>
    <definedName name="_xlnm.Print_Titles" localSheetId="59">'2 Excelencia_plan'!$1:$4</definedName>
    <definedName name="_xlnm.Print_Titles" localSheetId="65">'5 Lenguas Ext plan'!$1:$4</definedName>
    <definedName name="_xlnm.Print_Titles" localSheetId="67">'6 Mov Inter Lic plan'!$1:$4</definedName>
    <definedName name="_xlnm.Print_Titles" localSheetId="73">'9 Posg_plan'!$A:$C</definedName>
    <definedName name="_xlnm.Print_Titles" localSheetId="96">'Act de Investigacion'!$1:$3</definedName>
    <definedName name="_xlnm.Print_Titles" localSheetId="18">'ACTIVOS plan'!$1:$3</definedName>
    <definedName name="_xlnm.Print_Titles" localSheetId="47">'ACTIVOS-POS plan'!$1:$3</definedName>
    <definedName name="_xlnm.Print_Titles" localSheetId="48">'ACTIVOS-POS uni'!$1:$3</definedName>
    <definedName name="_xlnm.Print_Titles" localSheetId="5">'Admitidos plan'!$A:$C,'Admitidos plan'!$1:$4</definedName>
    <definedName name="_xlnm.Print_Titles" localSheetId="6">'Admitidos uni'!$A:$B</definedName>
    <definedName name="_xlnm.Print_Titles" localSheetId="7">'Admitidos x gen'!$B:$C</definedName>
    <definedName name="_xlnm.Print_Titles" localSheetId="4">'Asp x gen'!$A:$B</definedName>
    <definedName name="_xlnm.Print_Titles" localSheetId="35">'ASPI POSG plan'!$A:$D,'ASPI POSG plan'!$1:$4</definedName>
    <definedName name="_xlnm.Print_Titles" localSheetId="36">'ASPI-POS uni'!$A:$B</definedName>
    <definedName name="_xlnm.Print_Titles" localSheetId="2">'Aspirantes plan'!$A:$C,'Aspirantes plan'!$1:$5</definedName>
    <definedName name="_xlnm.Print_Titles" localSheetId="3">'Aspirantes uni'!$A:$B</definedName>
    <definedName name="_xlnm.Print_Titles" localSheetId="88">'becas y estímulos'!$A:$A</definedName>
    <definedName name="_xlnm.Print_Titles" localSheetId="95">'Cuerpos Acad'!$A:$A</definedName>
    <definedName name="_xlnm.Print_Titles" localSheetId="83">'Definitivo x categoría'!$A:$B</definedName>
    <definedName name="_xlnm.Print_Titles" localSheetId="84">'Definitivo x género'!$A:$B</definedName>
    <definedName name="_xlnm.Print_Titles" localSheetId="22">'egresados x gen'!$A:$B</definedName>
    <definedName name="_xlnm.Print_Titles" localSheetId="20">'EGRESO plan'!$A:$C,'EGRESO plan'!$1:$4</definedName>
    <definedName name="_xlnm.Print_Titles" localSheetId="51">'EGRESO POS ACUM plan'!$1:$3</definedName>
    <definedName name="_xlnm.Print_Titles" localSheetId="21">'EGRESO uni'!$A:$B</definedName>
    <definedName name="_xlnm.Print_Titles" localSheetId="23">'EGRESO-ACUM plan'!$1:$3</definedName>
    <definedName name="_xlnm.Print_Titles" localSheetId="52">'EGRESO-POS ACUM uni'!$A:$B</definedName>
    <definedName name="_xlnm.Print_Titles" localSheetId="49">'EGRESO-POS plan'!$A:$D,'EGRESO-POS plan'!$1:$4</definedName>
    <definedName name="_xlnm.Print_Titles" localSheetId="50">'EGRESO-POs uni'!$A:$B</definedName>
    <definedName name="_xlnm.Print_Titles" localSheetId="37">'INSC-POSG plan'!$A:$D,'INSC-POSG plan'!$1:$4</definedName>
    <definedName name="_xlnm.Print_Titles" localSheetId="38">'INSC-POSG uni'!$A:$B</definedName>
    <definedName name="_xlnm.Print_Titles" localSheetId="9">'Inscritos plan'!$A:$C,'Inscritos plan'!$1:$4</definedName>
    <definedName name="_xlnm.Print_Titles" localSheetId="10">'Inscritos uni'!$A:$B</definedName>
    <definedName name="_xlnm.Print_Titles" localSheetId="12">'Matrícula plan'!$A:$C,'Matrícula plan'!$1:$4</definedName>
    <definedName name="_xlnm.Print_Titles" localSheetId="13">'Matricula uni'!$A:$B</definedName>
    <definedName name="_xlnm.Print_Titles" localSheetId="41">'MATRICULA-POS plan'!$A:$D,'MATRICULA-POS plan'!$1:$4</definedName>
    <definedName name="_xlnm.Print_Titles" localSheetId="42">'MATRICULA-POS uni'!$A:$B</definedName>
    <definedName name="_xlnm.Print_Titles" localSheetId="90">'PTC-GRADO'!$A:$B</definedName>
    <definedName name="_xlnm.Print_Titles" localSheetId="91">'PTC-GRADO (1)'!$A:$B</definedName>
    <definedName name="_xlnm.Print_Titles" localSheetId="92">'PTC-GRADO (2)'!$A:$B</definedName>
    <definedName name="_xlnm.Print_Titles" localSheetId="94">SNI!$A:$A</definedName>
    <definedName name="_xlnm.Print_Titles" localSheetId="25">'TITULADOS plan'!$2:$5</definedName>
    <definedName name="_xlnm.Print_Titles" localSheetId="26">'TITULADOS uni'!$A:$B</definedName>
    <definedName name="_xlnm.Print_Titles" localSheetId="39">'TOTALreinscrito POS plan'!#REF!</definedName>
    <definedName name="_xlnm.Print_Titles" localSheetId="105">Transparencia!$A:$B</definedName>
    <definedName name="_xlnm.Print_Titles" localSheetId="27">'TRIM EGRESO plan'!$1:$3</definedName>
    <definedName name="_xlnm.Print_Titles" localSheetId="29">'TRIM PROM (1978-15)'!$A:$B</definedName>
    <definedName name="TTTT" localSheetId="89">'[2]32CCG94'!#REF!</definedName>
    <definedName name="Tulanc" localSheetId="89">#REF!</definedName>
    <definedName name="UABC95" localSheetId="89">'[2]32CCG94'!#REF!</definedName>
    <definedName name="VV" localSheetId="89">#REF!</definedName>
    <definedName name="VVVVVVVVVVVVVVVV" localSheetId="89">'[2]32CCG94'!#REF!</definedName>
    <definedName name="ytr" localSheetId="89">#REF!</definedName>
    <definedName name="yuh" localSheetId="89">'[2]32CCG94'!#REF!</definedName>
    <definedName name="ZSQWA" localSheetId="89">#REF!</definedName>
  </definedNames>
  <calcPr calcId="162913"/>
</workbook>
</file>

<file path=xl/calcChain.xml><?xml version="1.0" encoding="utf-8"?>
<calcChain xmlns="http://schemas.openxmlformats.org/spreadsheetml/2006/main">
  <c r="G30" i="319" l="1"/>
  <c r="E30" i="319"/>
  <c r="F30" i="319" s="1"/>
  <c r="H30" i="319" s="1"/>
  <c r="D30" i="319"/>
  <c r="C30" i="319"/>
  <c r="H29" i="319"/>
  <c r="G29" i="319"/>
  <c r="F29" i="319"/>
  <c r="H28" i="319"/>
  <c r="G28" i="319"/>
  <c r="F28" i="319"/>
  <c r="G27" i="319"/>
  <c r="F27" i="319"/>
  <c r="H27" i="319" s="1"/>
  <c r="F25" i="319"/>
  <c r="H25" i="319" s="1"/>
  <c r="E25" i="319"/>
  <c r="D25" i="319"/>
  <c r="G25" i="319" s="1"/>
  <c r="C25" i="319"/>
  <c r="H24" i="319"/>
  <c r="G24" i="319"/>
  <c r="F24" i="319"/>
  <c r="G23" i="319"/>
  <c r="F23" i="319"/>
  <c r="H23" i="319" s="1"/>
  <c r="G22" i="319"/>
  <c r="F22" i="319"/>
  <c r="H22" i="319" s="1"/>
  <c r="E20" i="319"/>
  <c r="G20" i="319" s="1"/>
  <c r="D20" i="319"/>
  <c r="C20" i="319"/>
  <c r="G19" i="319"/>
  <c r="F19" i="319"/>
  <c r="H19" i="319" s="1"/>
  <c r="G18" i="319"/>
  <c r="F18" i="319"/>
  <c r="H18" i="319" s="1"/>
  <c r="G17" i="319"/>
  <c r="F17" i="319"/>
  <c r="H17" i="319" s="1"/>
  <c r="E15" i="319"/>
  <c r="D15" i="319"/>
  <c r="G15" i="319" s="1"/>
  <c r="C15" i="319"/>
  <c r="G14" i="319"/>
  <c r="F14" i="319"/>
  <c r="H14" i="319" s="1"/>
  <c r="H13" i="319"/>
  <c r="G13" i="319"/>
  <c r="F13" i="319"/>
  <c r="H12" i="319"/>
  <c r="G12" i="319"/>
  <c r="F12" i="319"/>
  <c r="E10" i="319"/>
  <c r="G10" i="319" s="1"/>
  <c r="D10" i="319"/>
  <c r="D32" i="319" s="1"/>
  <c r="C10" i="319"/>
  <c r="C32" i="319" s="1"/>
  <c r="H9" i="319"/>
  <c r="G9" i="319"/>
  <c r="F9" i="319"/>
  <c r="G8" i="319"/>
  <c r="F8" i="319"/>
  <c r="H8" i="319" s="1"/>
  <c r="G7" i="319"/>
  <c r="F7" i="319"/>
  <c r="H7" i="319" s="1"/>
  <c r="F20" i="319" l="1"/>
  <c r="H20" i="319" s="1"/>
  <c r="F15" i="319"/>
  <c r="H15" i="319" s="1"/>
  <c r="F10" i="319"/>
  <c r="H10" i="319" s="1"/>
  <c r="E32" i="319"/>
  <c r="F32" i="319" s="1"/>
  <c r="H32" i="319" s="1"/>
  <c r="G16" i="310"/>
  <c r="D31" i="313"/>
  <c r="C29" i="313"/>
  <c r="C24" i="313"/>
  <c r="D23" i="313"/>
  <c r="C23" i="313"/>
  <c r="E23" i="313" s="1"/>
  <c r="D22" i="313"/>
  <c r="E22" i="313" s="1"/>
  <c r="C22" i="313"/>
  <c r="D21" i="313"/>
  <c r="D24" i="313" s="1"/>
  <c r="C21" i="313"/>
  <c r="E21" i="313" s="1"/>
  <c r="E18" i="313"/>
  <c r="D18" i="313"/>
  <c r="D28" i="313" s="1"/>
  <c r="C18" i="313"/>
  <c r="C28" i="313" s="1"/>
  <c r="E28" i="313" s="1"/>
  <c r="E17" i="313"/>
  <c r="D17" i="313"/>
  <c r="C17" i="313"/>
  <c r="D16" i="313"/>
  <c r="D19" i="313" s="1"/>
  <c r="C16" i="313"/>
  <c r="C19" i="313" s="1"/>
  <c r="C14" i="313"/>
  <c r="D13" i="313"/>
  <c r="E13" i="313" s="1"/>
  <c r="C13" i="313"/>
  <c r="C31" i="313" s="1"/>
  <c r="E31" i="313" s="1"/>
  <c r="D12" i="313"/>
  <c r="E12" i="313" s="1"/>
  <c r="C12" i="313"/>
  <c r="C30" i="313" s="1"/>
  <c r="D11" i="313"/>
  <c r="D14" i="313" s="1"/>
  <c r="C11" i="313"/>
  <c r="E11" i="313" s="1"/>
  <c r="E8" i="313"/>
  <c r="D8" i="313"/>
  <c r="D29" i="313" s="1"/>
  <c r="C8" i="313"/>
  <c r="E7" i="313"/>
  <c r="D7" i="313"/>
  <c r="D27" i="313" s="1"/>
  <c r="C7" i="313"/>
  <c r="C27" i="313" s="1"/>
  <c r="E27" i="313" s="1"/>
  <c r="D6" i="313"/>
  <c r="D26" i="313" s="1"/>
  <c r="C6" i="313"/>
  <c r="C9" i="313" s="1"/>
  <c r="G30" i="313"/>
  <c r="F24" i="313"/>
  <c r="G23" i="313"/>
  <c r="F23" i="313"/>
  <c r="H23" i="313" s="1"/>
  <c r="G22" i="313"/>
  <c r="F22" i="313"/>
  <c r="H22" i="313" s="1"/>
  <c r="G21" i="313"/>
  <c r="H21" i="313" s="1"/>
  <c r="F21" i="313"/>
  <c r="G18" i="313"/>
  <c r="G28" i="313" s="1"/>
  <c r="F18" i="313"/>
  <c r="H18" i="313" s="1"/>
  <c r="H17" i="313"/>
  <c r="G17" i="313"/>
  <c r="G19" i="313" s="1"/>
  <c r="F17" i="313"/>
  <c r="G16" i="313"/>
  <c r="F16" i="313"/>
  <c r="H16" i="313" s="1"/>
  <c r="F14" i="313"/>
  <c r="H13" i="313"/>
  <c r="G13" i="313"/>
  <c r="G31" i="313" s="1"/>
  <c r="F13" i="313"/>
  <c r="F31" i="313" s="1"/>
  <c r="G12" i="313"/>
  <c r="F12" i="313"/>
  <c r="F30" i="313" s="1"/>
  <c r="H30" i="313" s="1"/>
  <c r="G11" i="313"/>
  <c r="G14" i="313" s="1"/>
  <c r="F11" i="313"/>
  <c r="G8" i="313"/>
  <c r="G29" i="313" s="1"/>
  <c r="F8" i="313"/>
  <c r="F29" i="313" s="1"/>
  <c r="H29" i="313" s="1"/>
  <c r="H7" i="313"/>
  <c r="G7" i="313"/>
  <c r="G27" i="313" s="1"/>
  <c r="F7" i="313"/>
  <c r="F27" i="313" s="1"/>
  <c r="H27" i="313" s="1"/>
  <c r="G6" i="313"/>
  <c r="G26" i="313" s="1"/>
  <c r="G32" i="313" s="1"/>
  <c r="F6" i="313"/>
  <c r="H6" i="313" s="1"/>
  <c r="I31" i="313"/>
  <c r="K31" i="313" s="1"/>
  <c r="J24" i="313"/>
  <c r="K23" i="313"/>
  <c r="J23" i="313"/>
  <c r="I23" i="313"/>
  <c r="J22" i="313"/>
  <c r="I22" i="313"/>
  <c r="K22" i="313" s="1"/>
  <c r="K21" i="313"/>
  <c r="K24" i="313" s="1"/>
  <c r="J21" i="313"/>
  <c r="I21" i="313"/>
  <c r="I24" i="313" s="1"/>
  <c r="J18" i="313"/>
  <c r="J28" i="313" s="1"/>
  <c r="I18" i="313"/>
  <c r="I19" i="313" s="1"/>
  <c r="J17" i="313"/>
  <c r="I17" i="313"/>
  <c r="K17" i="313" s="1"/>
  <c r="J16" i="313"/>
  <c r="J19" i="313" s="1"/>
  <c r="I16" i="313"/>
  <c r="K16" i="313" s="1"/>
  <c r="J14" i="313"/>
  <c r="K13" i="313"/>
  <c r="J13" i="313"/>
  <c r="J31" i="313" s="1"/>
  <c r="I13" i="313"/>
  <c r="J12" i="313"/>
  <c r="J30" i="313" s="1"/>
  <c r="I12" i="313"/>
  <c r="K12" i="313" s="1"/>
  <c r="K11" i="313"/>
  <c r="J11" i="313"/>
  <c r="I11" i="313"/>
  <c r="I14" i="313" s="1"/>
  <c r="J8" i="313"/>
  <c r="J29" i="313" s="1"/>
  <c r="I8" i="313"/>
  <c r="I29" i="313" s="1"/>
  <c r="J7" i="313"/>
  <c r="J27" i="313" s="1"/>
  <c r="I7" i="313"/>
  <c r="I27" i="313" s="1"/>
  <c r="K27" i="313" s="1"/>
  <c r="J6" i="313"/>
  <c r="J26" i="313" s="1"/>
  <c r="I6" i="313"/>
  <c r="K6" i="313" s="1"/>
  <c r="M21" i="313"/>
  <c r="M22" i="313"/>
  <c r="M23" i="313"/>
  <c r="L23" i="313"/>
  <c r="L22" i="313"/>
  <c r="L21" i="313"/>
  <c r="M16" i="313"/>
  <c r="M17" i="313"/>
  <c r="M18" i="313"/>
  <c r="L18" i="313"/>
  <c r="L17" i="313"/>
  <c r="L16" i="313"/>
  <c r="M13" i="313"/>
  <c r="L13" i="313"/>
  <c r="M12" i="313"/>
  <c r="L12" i="313"/>
  <c r="M11" i="313"/>
  <c r="L11" i="313"/>
  <c r="M8" i="313"/>
  <c r="L8" i="313"/>
  <c r="M7" i="313"/>
  <c r="L7" i="313"/>
  <c r="G32" i="319" l="1"/>
  <c r="E29" i="313"/>
  <c r="E24" i="313"/>
  <c r="E14" i="313"/>
  <c r="D30" i="313"/>
  <c r="D32" i="313" s="1"/>
  <c r="C26" i="313"/>
  <c r="E6" i="313"/>
  <c r="E9" i="313" s="1"/>
  <c r="D9" i="313"/>
  <c r="E16" i="313"/>
  <c r="E19" i="313" s="1"/>
  <c r="H19" i="313"/>
  <c r="H24" i="313"/>
  <c r="H9" i="313"/>
  <c r="H31" i="313"/>
  <c r="F28" i="313"/>
  <c r="H28" i="313" s="1"/>
  <c r="H8" i="313"/>
  <c r="F26" i="313"/>
  <c r="H11" i="313"/>
  <c r="G24" i="313"/>
  <c r="F9" i="313"/>
  <c r="H12" i="313"/>
  <c r="F19" i="313"/>
  <c r="G9" i="313"/>
  <c r="K9" i="313"/>
  <c r="K14" i="313"/>
  <c r="J32" i="313"/>
  <c r="K29" i="313"/>
  <c r="I30" i="313"/>
  <c r="K30" i="313" s="1"/>
  <c r="K7" i="313"/>
  <c r="I28" i="313"/>
  <c r="K28" i="313" s="1"/>
  <c r="K8" i="313"/>
  <c r="K18" i="313"/>
  <c r="K19" i="313" s="1"/>
  <c r="I26" i="313"/>
  <c r="I9" i="313"/>
  <c r="J9" i="313"/>
  <c r="N87" i="310"/>
  <c r="O86" i="310"/>
  <c r="N86" i="310"/>
  <c r="L86" i="310"/>
  <c r="K86" i="310"/>
  <c r="I86" i="310"/>
  <c r="H86" i="310"/>
  <c r="H87" i="310" s="1"/>
  <c r="F86" i="310"/>
  <c r="F87" i="310" s="1"/>
  <c r="E86" i="310"/>
  <c r="P85" i="310"/>
  <c r="M85" i="310"/>
  <c r="P84" i="310"/>
  <c r="P86" i="310" s="1"/>
  <c r="M84" i="310"/>
  <c r="J84" i="310"/>
  <c r="J86" i="310" s="1"/>
  <c r="J87" i="310" s="1"/>
  <c r="G84" i="310"/>
  <c r="G86" i="310" s="1"/>
  <c r="O83" i="310"/>
  <c r="N83" i="310"/>
  <c r="L83" i="310"/>
  <c r="K83" i="310"/>
  <c r="I83" i="310"/>
  <c r="H83" i="310"/>
  <c r="F83" i="310"/>
  <c r="E83" i="310"/>
  <c r="P82" i="310"/>
  <c r="M82" i="310"/>
  <c r="J82" i="310"/>
  <c r="G82" i="310"/>
  <c r="P81" i="310"/>
  <c r="M81" i="310"/>
  <c r="J81" i="310"/>
  <c r="G81" i="310"/>
  <c r="P80" i="310"/>
  <c r="M80" i="310"/>
  <c r="P79" i="310"/>
  <c r="M79" i="310"/>
  <c r="J79" i="310"/>
  <c r="G79" i="310"/>
  <c r="P78" i="310"/>
  <c r="M78" i="310"/>
  <c r="J78" i="310"/>
  <c r="G78" i="310"/>
  <c r="P77" i="310"/>
  <c r="P76" i="310"/>
  <c r="M76" i="310"/>
  <c r="P75" i="310"/>
  <c r="M75" i="310"/>
  <c r="J75" i="310"/>
  <c r="J83" i="310" s="1"/>
  <c r="G75" i="310"/>
  <c r="O74" i="310"/>
  <c r="N74" i="310"/>
  <c r="L74" i="310"/>
  <c r="K74" i="310"/>
  <c r="I74" i="310"/>
  <c r="H74" i="310"/>
  <c r="F74" i="310"/>
  <c r="E74" i="310"/>
  <c r="P73" i="310"/>
  <c r="M73" i="310"/>
  <c r="J73" i="310"/>
  <c r="G73" i="310"/>
  <c r="P72" i="310"/>
  <c r="P71" i="310"/>
  <c r="P70" i="310"/>
  <c r="P69" i="310"/>
  <c r="M69" i="310"/>
  <c r="J69" i="310"/>
  <c r="G69" i="310"/>
  <c r="P68" i="310"/>
  <c r="M68" i="310"/>
  <c r="J68" i="310"/>
  <c r="G68" i="310"/>
  <c r="P67" i="310"/>
  <c r="M67" i="310"/>
  <c r="P66" i="310"/>
  <c r="M66" i="310"/>
  <c r="J66" i="310"/>
  <c r="G66" i="310"/>
  <c r="P65" i="310"/>
  <c r="M65" i="310"/>
  <c r="M74" i="310" s="1"/>
  <c r="J65" i="310"/>
  <c r="J74" i="310" s="1"/>
  <c r="G65" i="310"/>
  <c r="O63" i="310"/>
  <c r="O64" i="310" s="1"/>
  <c r="N63" i="310"/>
  <c r="L63" i="310"/>
  <c r="K63" i="310"/>
  <c r="K64" i="310" s="1"/>
  <c r="I63" i="310"/>
  <c r="H63" i="310"/>
  <c r="F63" i="310"/>
  <c r="F64" i="310" s="1"/>
  <c r="E63" i="310"/>
  <c r="P62" i="310"/>
  <c r="M62" i="310"/>
  <c r="J62" i="310"/>
  <c r="G62" i="310"/>
  <c r="P61" i="310"/>
  <c r="M61" i="310"/>
  <c r="J61" i="310"/>
  <c r="G61" i="310"/>
  <c r="P60" i="310"/>
  <c r="M60" i="310"/>
  <c r="J60" i="310"/>
  <c r="G60" i="310"/>
  <c r="P59" i="310"/>
  <c r="M59" i="310"/>
  <c r="J59" i="310"/>
  <c r="G59" i="310"/>
  <c r="P58" i="310"/>
  <c r="M58" i="310"/>
  <c r="J58" i="310"/>
  <c r="G58" i="310"/>
  <c r="P57" i="310"/>
  <c r="M57" i="310"/>
  <c r="J57" i="310"/>
  <c r="G57" i="310"/>
  <c r="P56" i="310"/>
  <c r="M56" i="310"/>
  <c r="M63" i="310" s="1"/>
  <c r="J56" i="310"/>
  <c r="J63" i="310" s="1"/>
  <c r="G56" i="310"/>
  <c r="G63" i="310" s="1"/>
  <c r="O55" i="310"/>
  <c r="N55" i="310"/>
  <c r="N64" i="310" s="1"/>
  <c r="L55" i="310"/>
  <c r="K55" i="310"/>
  <c r="I55" i="310"/>
  <c r="H55" i="310"/>
  <c r="F55" i="310"/>
  <c r="E55" i="310"/>
  <c r="P54" i="310"/>
  <c r="M54" i="310"/>
  <c r="P53" i="310"/>
  <c r="M53" i="310"/>
  <c r="P52" i="310"/>
  <c r="M52" i="310"/>
  <c r="J52" i="310"/>
  <c r="G52" i="310"/>
  <c r="P51" i="310"/>
  <c r="M51" i="310"/>
  <c r="J51" i="310"/>
  <c r="G51" i="310"/>
  <c r="P50" i="310"/>
  <c r="M50" i="310"/>
  <c r="J50" i="310"/>
  <c r="G50" i="310"/>
  <c r="P49" i="310"/>
  <c r="M49" i="310"/>
  <c r="J49" i="310"/>
  <c r="G49" i="310"/>
  <c r="P48" i="310"/>
  <c r="M48" i="310"/>
  <c r="J48" i="310"/>
  <c r="G48" i="310"/>
  <c r="P47" i="310"/>
  <c r="P55" i="310" s="1"/>
  <c r="M47" i="310"/>
  <c r="J47" i="310"/>
  <c r="G47" i="310"/>
  <c r="O46" i="310"/>
  <c r="N46" i="310"/>
  <c r="L46" i="310"/>
  <c r="K46" i="310"/>
  <c r="I46" i="310"/>
  <c r="H46" i="310"/>
  <c r="F46" i="310"/>
  <c r="E46" i="310"/>
  <c r="P45" i="310"/>
  <c r="M45" i="310"/>
  <c r="J45" i="310"/>
  <c r="G45" i="310"/>
  <c r="P44" i="310"/>
  <c r="M44" i="310"/>
  <c r="J44" i="310"/>
  <c r="G44" i="310"/>
  <c r="P43" i="310"/>
  <c r="M43" i="310"/>
  <c r="J43" i="310"/>
  <c r="G43" i="310"/>
  <c r="P42" i="310"/>
  <c r="M42" i="310"/>
  <c r="J42" i="310"/>
  <c r="G42" i="310"/>
  <c r="P41" i="310"/>
  <c r="M41" i="310"/>
  <c r="J41" i="310"/>
  <c r="J46" i="310" s="1"/>
  <c r="G41" i="310"/>
  <c r="P40" i="310"/>
  <c r="M40" i="310"/>
  <c r="P39" i="310"/>
  <c r="M39" i="310"/>
  <c r="J39" i="310"/>
  <c r="G39" i="310"/>
  <c r="P38" i="310"/>
  <c r="M38" i="310"/>
  <c r="J38" i="310"/>
  <c r="G38" i="310"/>
  <c r="P37" i="310"/>
  <c r="M37" i="310"/>
  <c r="J37" i="310"/>
  <c r="G37" i="310"/>
  <c r="P36" i="310"/>
  <c r="M36" i="310"/>
  <c r="M46" i="310" s="1"/>
  <c r="J36" i="310"/>
  <c r="G36" i="310"/>
  <c r="P35" i="310"/>
  <c r="O33" i="310"/>
  <c r="O34" i="310" s="1"/>
  <c r="N33" i="310"/>
  <c r="L33" i="310"/>
  <c r="K33" i="310"/>
  <c r="K34" i="310" s="1"/>
  <c r="I33" i="310"/>
  <c r="I34" i="310" s="1"/>
  <c r="H33" i="310"/>
  <c r="F33" i="310"/>
  <c r="E33" i="310"/>
  <c r="P32" i="310"/>
  <c r="M32" i="310"/>
  <c r="J32" i="310"/>
  <c r="G32" i="310"/>
  <c r="P31" i="310"/>
  <c r="P33" i="310" s="1"/>
  <c r="M31" i="310"/>
  <c r="J31" i="310"/>
  <c r="G31" i="310"/>
  <c r="O30" i="310"/>
  <c r="N30" i="310"/>
  <c r="L30" i="310"/>
  <c r="K30" i="310"/>
  <c r="I30" i="310"/>
  <c r="H30" i="310"/>
  <c r="F30" i="310"/>
  <c r="E30" i="310"/>
  <c r="E34" i="310" s="1"/>
  <c r="P29" i="310"/>
  <c r="P30" i="310" s="1"/>
  <c r="M29" i="310"/>
  <c r="M30" i="310" s="1"/>
  <c r="J29" i="310"/>
  <c r="J30" i="310" s="1"/>
  <c r="G29" i="310"/>
  <c r="G30" i="310" s="1"/>
  <c r="O28" i="310"/>
  <c r="N28" i="310"/>
  <c r="L28" i="310"/>
  <c r="K28" i="310"/>
  <c r="I28" i="310"/>
  <c r="H28" i="310"/>
  <c r="F28" i="310"/>
  <c r="E28" i="310"/>
  <c r="P27" i="310"/>
  <c r="M27" i="310"/>
  <c r="J27" i="310"/>
  <c r="G27" i="310"/>
  <c r="P26" i="310"/>
  <c r="P28" i="310" s="1"/>
  <c r="M26" i="310"/>
  <c r="M28" i="310" s="1"/>
  <c r="J26" i="310"/>
  <c r="J28" i="310" s="1"/>
  <c r="G26" i="310"/>
  <c r="G28" i="310" s="1"/>
  <c r="O24" i="310"/>
  <c r="N24" i="310"/>
  <c r="L24" i="310"/>
  <c r="L25" i="310" s="1"/>
  <c r="K24" i="310"/>
  <c r="K25" i="310" s="1"/>
  <c r="J24" i="310"/>
  <c r="I24" i="310"/>
  <c r="H24" i="310"/>
  <c r="F24" i="310"/>
  <c r="E24" i="310"/>
  <c r="P23" i="310"/>
  <c r="M23" i="310"/>
  <c r="P22" i="310"/>
  <c r="P21" i="310"/>
  <c r="P24" i="310" s="1"/>
  <c r="M21" i="310"/>
  <c r="M24" i="310" s="1"/>
  <c r="G20" i="310"/>
  <c r="G24" i="310" s="1"/>
  <c r="O19" i="310"/>
  <c r="N19" i="310"/>
  <c r="L19" i="310"/>
  <c r="K19" i="310"/>
  <c r="I19" i="310"/>
  <c r="I25" i="310" s="1"/>
  <c r="H19" i="310"/>
  <c r="F19" i="310"/>
  <c r="E19" i="310"/>
  <c r="P18" i="310"/>
  <c r="P17" i="310"/>
  <c r="M17" i="310"/>
  <c r="J17" i="310"/>
  <c r="G17" i="310"/>
  <c r="P16" i="310"/>
  <c r="M16" i="310"/>
  <c r="P15" i="310"/>
  <c r="M15" i="310"/>
  <c r="J15" i="310"/>
  <c r="G15" i="310"/>
  <c r="G19" i="310" s="1"/>
  <c r="O14" i="310"/>
  <c r="N14" i="310"/>
  <c r="L14" i="310"/>
  <c r="K14" i="310"/>
  <c r="I14" i="310"/>
  <c r="H14" i="310"/>
  <c r="F14" i="310"/>
  <c r="E14" i="310"/>
  <c r="P13" i="310"/>
  <c r="M13" i="310"/>
  <c r="J13" i="310"/>
  <c r="G13" i="310"/>
  <c r="P12" i="310"/>
  <c r="M12" i="310"/>
  <c r="J12" i="310"/>
  <c r="G12" i="310"/>
  <c r="P11" i="310"/>
  <c r="M11" i="310"/>
  <c r="P10" i="310"/>
  <c r="M10" i="310"/>
  <c r="J10" i="310"/>
  <c r="G10" i="310"/>
  <c r="P9" i="310"/>
  <c r="M9" i="310"/>
  <c r="J9" i="310"/>
  <c r="G9" i="310"/>
  <c r="P8" i="310"/>
  <c r="M8" i="310"/>
  <c r="J8" i="310"/>
  <c r="G8" i="310"/>
  <c r="G7" i="310"/>
  <c r="P6" i="310"/>
  <c r="P5" i="310"/>
  <c r="M5" i="310"/>
  <c r="M14" i="310" s="1"/>
  <c r="J5" i="310"/>
  <c r="G5" i="310"/>
  <c r="C32" i="313" l="1"/>
  <c r="E26" i="313"/>
  <c r="E32" i="313" s="1"/>
  <c r="E30" i="313"/>
  <c r="H14" i="313"/>
  <c r="F32" i="313"/>
  <c r="H26" i="313"/>
  <c r="H32" i="313" s="1"/>
  <c r="I32" i="313"/>
  <c r="K26" i="313"/>
  <c r="K32" i="313" s="1"/>
  <c r="L34" i="310"/>
  <c r="L64" i="310"/>
  <c r="P74" i="310"/>
  <c r="P87" i="310" s="1"/>
  <c r="M83" i="310"/>
  <c r="I87" i="310"/>
  <c r="J19" i="310"/>
  <c r="J25" i="310" s="1"/>
  <c r="N34" i="310"/>
  <c r="P63" i="310"/>
  <c r="P83" i="310"/>
  <c r="M86" i="310"/>
  <c r="E64" i="310"/>
  <c r="E88" i="310" s="1"/>
  <c r="P19" i="310"/>
  <c r="F25" i="310"/>
  <c r="F88" i="310" s="1"/>
  <c r="G33" i="310"/>
  <c r="G34" i="310" s="1"/>
  <c r="P46" i="310"/>
  <c r="J55" i="310"/>
  <c r="L87" i="310"/>
  <c r="M19" i="310"/>
  <c r="M25" i="310" s="1"/>
  <c r="G14" i="310"/>
  <c r="H25" i="310"/>
  <c r="H88" i="310" s="1"/>
  <c r="J33" i="310"/>
  <c r="F34" i="310"/>
  <c r="G46" i="310"/>
  <c r="M55" i="310"/>
  <c r="M64" i="310" s="1"/>
  <c r="H64" i="310"/>
  <c r="L88" i="310"/>
  <c r="E25" i="310"/>
  <c r="G55" i="310"/>
  <c r="G64" i="310" s="1"/>
  <c r="K87" i="310"/>
  <c r="K88" i="310" s="1"/>
  <c r="J14" i="310"/>
  <c r="M33" i="310"/>
  <c r="M34" i="310" s="1"/>
  <c r="H34" i="310"/>
  <c r="I64" i="310"/>
  <c r="G74" i="310"/>
  <c r="E87" i="310"/>
  <c r="O87" i="310"/>
  <c r="G83" i="310"/>
  <c r="G87" i="310" s="1"/>
  <c r="O25" i="310"/>
  <c r="P14" i="310"/>
  <c r="P25" i="310" s="1"/>
  <c r="N25" i="310"/>
  <c r="M87" i="310"/>
  <c r="I88" i="310"/>
  <c r="J34" i="310"/>
  <c r="G25" i="310"/>
  <c r="P34" i="310"/>
  <c r="J64" i="310"/>
  <c r="BJ132" i="337"/>
  <c r="BJ133" i="337"/>
  <c r="BJ131" i="337"/>
  <c r="BJ122" i="337"/>
  <c r="BJ123" i="337"/>
  <c r="BJ121" i="337"/>
  <c r="BJ112" i="337"/>
  <c r="BJ113" i="337"/>
  <c r="BJ111" i="337"/>
  <c r="L23" i="243"/>
  <c r="AS57" i="284"/>
  <c r="AT57" i="284"/>
  <c r="AT58" i="284"/>
  <c r="AT59" i="284"/>
  <c r="AS59" i="284"/>
  <c r="AS58" i="284"/>
  <c r="AT44" i="284"/>
  <c r="AT45" i="284"/>
  <c r="AT46" i="284"/>
  <c r="AS46" i="284"/>
  <c r="AS45" i="284"/>
  <c r="AS44" i="284"/>
  <c r="AT40" i="284"/>
  <c r="AT41" i="284"/>
  <c r="AT42" i="284"/>
  <c r="AS42" i="284"/>
  <c r="AS41" i="284"/>
  <c r="AS40" i="284"/>
  <c r="AT10" i="284"/>
  <c r="AT11" i="284"/>
  <c r="AT12" i="284"/>
  <c r="AS12" i="284"/>
  <c r="AS11" i="284"/>
  <c r="AS10" i="284"/>
  <c r="AS16" i="194"/>
  <c r="BI7" i="337"/>
  <c r="BI12" i="337"/>
  <c r="BI13" i="337"/>
  <c r="BI16" i="337"/>
  <c r="BI26" i="337"/>
  <c r="E85" i="346"/>
  <c r="F85" i="346"/>
  <c r="G85" i="346"/>
  <c r="H85" i="346"/>
  <c r="D85" i="346"/>
  <c r="E82" i="346"/>
  <c r="E83" i="346"/>
  <c r="F82" i="346"/>
  <c r="F83" i="346"/>
  <c r="G82" i="346"/>
  <c r="H82" i="346"/>
  <c r="G83" i="346"/>
  <c r="H83" i="346"/>
  <c r="E77" i="346"/>
  <c r="F77" i="346"/>
  <c r="G77" i="346"/>
  <c r="H77" i="346"/>
  <c r="E72" i="346"/>
  <c r="F72" i="346"/>
  <c r="G72" i="346"/>
  <c r="H72" i="346"/>
  <c r="D83" i="346"/>
  <c r="D82" i="346"/>
  <c r="D77" i="346"/>
  <c r="D72" i="346"/>
  <c r="E67" i="346"/>
  <c r="F67" i="346"/>
  <c r="G67" i="346"/>
  <c r="H67" i="346"/>
  <c r="D67" i="346"/>
  <c r="E66" i="346"/>
  <c r="F66" i="346"/>
  <c r="G66" i="346"/>
  <c r="H66" i="346"/>
  <c r="E62" i="346"/>
  <c r="F62" i="346"/>
  <c r="G62" i="346"/>
  <c r="H62" i="346"/>
  <c r="E58" i="346"/>
  <c r="F58" i="346"/>
  <c r="G58" i="346"/>
  <c r="H58" i="346"/>
  <c r="D66" i="346"/>
  <c r="D62" i="346"/>
  <c r="D58" i="346"/>
  <c r="E54" i="346"/>
  <c r="F54" i="346"/>
  <c r="G54" i="346"/>
  <c r="H54" i="346"/>
  <c r="D54" i="346"/>
  <c r="E53" i="346"/>
  <c r="F53" i="346"/>
  <c r="G53" i="346"/>
  <c r="H53" i="346"/>
  <c r="D53" i="346"/>
  <c r="E47" i="346"/>
  <c r="F47" i="346"/>
  <c r="G47" i="346"/>
  <c r="H47" i="346"/>
  <c r="D47" i="346"/>
  <c r="E42" i="346"/>
  <c r="F42" i="346"/>
  <c r="G42" i="346"/>
  <c r="H42" i="346"/>
  <c r="D42" i="346"/>
  <c r="E36" i="346"/>
  <c r="F36" i="346"/>
  <c r="G36" i="346"/>
  <c r="H36" i="346"/>
  <c r="D36" i="346"/>
  <c r="E27" i="346"/>
  <c r="F27" i="346"/>
  <c r="G27" i="346"/>
  <c r="H27" i="346"/>
  <c r="D27" i="346"/>
  <c r="E35" i="346"/>
  <c r="F35" i="346"/>
  <c r="G35" i="346"/>
  <c r="H35" i="346"/>
  <c r="D35" i="346"/>
  <c r="E31" i="346"/>
  <c r="F31" i="346"/>
  <c r="G31" i="346"/>
  <c r="H31" i="346"/>
  <c r="D31" i="346"/>
  <c r="E23" i="346"/>
  <c r="F23" i="346"/>
  <c r="G23" i="346"/>
  <c r="H23" i="346"/>
  <c r="D23" i="346"/>
  <c r="E22" i="346"/>
  <c r="F22" i="346"/>
  <c r="G22" i="346"/>
  <c r="H22" i="346"/>
  <c r="D22" i="346"/>
  <c r="E17" i="346"/>
  <c r="F17" i="346"/>
  <c r="G17" i="346"/>
  <c r="H17" i="346"/>
  <c r="D17" i="346"/>
  <c r="E11" i="346"/>
  <c r="F11" i="346"/>
  <c r="G11" i="346"/>
  <c r="H11" i="346"/>
  <c r="D11" i="346"/>
  <c r="AD7" i="344"/>
  <c r="AD8" i="344"/>
  <c r="AD12" i="344"/>
  <c r="AD13" i="344"/>
  <c r="AD15" i="344"/>
  <c r="AD16" i="344"/>
  <c r="AD17" i="344"/>
  <c r="AD20" i="344"/>
  <c r="AD21" i="344"/>
  <c r="AD23" i="344"/>
  <c r="AD24" i="344"/>
  <c r="AD25" i="344"/>
  <c r="AD28" i="344"/>
  <c r="AD6" i="344"/>
  <c r="AC29" i="344"/>
  <c r="AD10" i="344" s="1"/>
  <c r="F31" i="287"/>
  <c r="F30" i="287"/>
  <c r="F29" i="287"/>
  <c r="F28" i="287"/>
  <c r="F27" i="287"/>
  <c r="F26" i="287"/>
  <c r="E25" i="287"/>
  <c r="D25" i="287"/>
  <c r="C25" i="287"/>
  <c r="F24" i="287"/>
  <c r="F23" i="287"/>
  <c r="F22" i="287"/>
  <c r="F21" i="287"/>
  <c r="F20" i="287"/>
  <c r="E20" i="287"/>
  <c r="D20" i="287"/>
  <c r="C20" i="287"/>
  <c r="F19" i="287"/>
  <c r="F18" i="287"/>
  <c r="F17" i="287"/>
  <c r="F16" i="287"/>
  <c r="F15" i="287"/>
  <c r="F14" i="287"/>
  <c r="E14" i="287"/>
  <c r="D14" i="287"/>
  <c r="C14" i="287"/>
  <c r="F13" i="287"/>
  <c r="F12" i="287"/>
  <c r="F11" i="287"/>
  <c r="F10" i="287"/>
  <c r="E9" i="287"/>
  <c r="D9" i="287"/>
  <c r="C9" i="287"/>
  <c r="F9" i="287"/>
  <c r="F8" i="287"/>
  <c r="F7" i="287"/>
  <c r="F6" i="287"/>
  <c r="F5" i="287"/>
  <c r="E4" i="287"/>
  <c r="D4" i="287"/>
  <c r="C4" i="287"/>
  <c r="F25" i="287"/>
  <c r="E32" i="287"/>
  <c r="D32" i="287"/>
  <c r="C32" i="287"/>
  <c r="F4" i="287"/>
  <c r="F32" i="287"/>
  <c r="B28" i="285"/>
  <c r="C28" i="285"/>
  <c r="AE27" i="344"/>
  <c r="AE26" i="344"/>
  <c r="AE25" i="344"/>
  <c r="AE24" i="344"/>
  <c r="AE23" i="344"/>
  <c r="AE22" i="344"/>
  <c r="AE21" i="344"/>
  <c r="AE20" i="344"/>
  <c r="AE19" i="344"/>
  <c r="AE18" i="344"/>
  <c r="AE17" i="344"/>
  <c r="AE16" i="344"/>
  <c r="AE15" i="344"/>
  <c r="AE14" i="344"/>
  <c r="AE13" i="344"/>
  <c r="AE12" i="344"/>
  <c r="AE11" i="344"/>
  <c r="AE10" i="344"/>
  <c r="AE8" i="344"/>
  <c r="AE7" i="344"/>
  <c r="AE6" i="344"/>
  <c r="U11" i="321"/>
  <c r="T11" i="321"/>
  <c r="G32" i="285"/>
  <c r="F32" i="285"/>
  <c r="L10" i="285"/>
  <c r="K10" i="285"/>
  <c r="AK13" i="233"/>
  <c r="AK31" i="233"/>
  <c r="AJ13" i="233"/>
  <c r="AJ31" i="233"/>
  <c r="AI13" i="233"/>
  <c r="AI14" i="233"/>
  <c r="AJ12" i="233"/>
  <c r="AL12" i="233"/>
  <c r="AK11" i="233"/>
  <c r="AJ11" i="233"/>
  <c r="AK22" i="233"/>
  <c r="AJ22" i="233"/>
  <c r="AI22" i="233"/>
  <c r="AK23" i="233"/>
  <c r="AJ23" i="233"/>
  <c r="AK21" i="233"/>
  <c r="AJ21" i="233"/>
  <c r="AI21" i="233"/>
  <c r="AK18" i="233"/>
  <c r="AJ18" i="233"/>
  <c r="AI18" i="233"/>
  <c r="AI28" i="233"/>
  <c r="AK17" i="233"/>
  <c r="AJ17" i="233"/>
  <c r="AI17" i="233"/>
  <c r="AK16" i="233"/>
  <c r="AK26" i="233"/>
  <c r="AJ16" i="233"/>
  <c r="AK8" i="233"/>
  <c r="AJ8" i="233"/>
  <c r="AI8" i="233"/>
  <c r="M51" i="266"/>
  <c r="AK7" i="233"/>
  <c r="AJ7" i="233"/>
  <c r="AI7" i="233"/>
  <c r="M30" i="266"/>
  <c r="AK6" i="233"/>
  <c r="AI6" i="233"/>
  <c r="AI26" i="233"/>
  <c r="AJ6" i="233"/>
  <c r="AI29" i="233"/>
  <c r="M16" i="266"/>
  <c r="M155" i="266"/>
  <c r="M150" i="266"/>
  <c r="M148" i="266"/>
  <c r="M144" i="266"/>
  <c r="M139" i="266"/>
  <c r="M122" i="266"/>
  <c r="M103" i="266"/>
  <c r="M90" i="266"/>
  <c r="M74" i="266"/>
  <c r="CB34" i="278"/>
  <c r="BX25" i="279"/>
  <c r="BY25" i="279"/>
  <c r="BX24" i="279"/>
  <c r="BY24" i="279"/>
  <c r="BW25" i="279"/>
  <c r="CB60" i="278"/>
  <c r="BX14" i="279"/>
  <c r="BY14" i="279"/>
  <c r="BX15" i="279"/>
  <c r="BY15" i="279"/>
  <c r="BX16" i="279"/>
  <c r="BY16" i="279"/>
  <c r="BW16" i="279"/>
  <c r="BW15" i="279"/>
  <c r="BW14" i="279"/>
  <c r="BX10" i="279"/>
  <c r="BY10" i="279"/>
  <c r="BX11" i="279"/>
  <c r="BY11" i="279"/>
  <c r="BX12" i="279"/>
  <c r="BY12" i="279"/>
  <c r="BW12" i="279"/>
  <c r="BW11" i="279"/>
  <c r="BW10" i="279"/>
  <c r="BX6" i="279"/>
  <c r="BY6" i="279"/>
  <c r="BX7" i="279"/>
  <c r="BY7" i="279"/>
  <c r="BX8" i="279"/>
  <c r="BY8" i="279"/>
  <c r="BW8" i="279"/>
  <c r="BW7" i="279"/>
  <c r="BW6" i="279"/>
  <c r="BY67" i="279"/>
  <c r="BX67" i="279"/>
  <c r="BW67" i="279"/>
  <c r="BY66" i="279"/>
  <c r="BX66" i="279"/>
  <c r="BW66" i="279"/>
  <c r="BY65" i="279"/>
  <c r="BY69" i="279"/>
  <c r="BX65" i="279"/>
  <c r="BX69" i="279"/>
  <c r="BW65" i="279"/>
  <c r="BZ63" i="279"/>
  <c r="BY62" i="279"/>
  <c r="BY64" i="279"/>
  <c r="BX62" i="279"/>
  <c r="BX64" i="279"/>
  <c r="BW62" i="279"/>
  <c r="BZ61" i="279"/>
  <c r="BY59" i="279"/>
  <c r="BX59" i="279"/>
  <c r="BX71" i="279"/>
  <c r="BW59" i="279"/>
  <c r="BY58" i="279"/>
  <c r="BX58" i="279"/>
  <c r="BW58" i="279"/>
  <c r="BZ58" i="279"/>
  <c r="BZ57" i="279"/>
  <c r="BY50" i="279"/>
  <c r="BX50" i="279"/>
  <c r="BW50" i="279"/>
  <c r="BY49" i="279"/>
  <c r="BX49" i="279"/>
  <c r="BW49" i="279"/>
  <c r="BY46" i="279"/>
  <c r="BX46" i="279"/>
  <c r="BW46" i="279"/>
  <c r="BY45" i="279"/>
  <c r="BX45" i="279"/>
  <c r="BW45" i="279"/>
  <c r="BY44" i="279"/>
  <c r="BX44" i="279"/>
  <c r="BW44" i="279"/>
  <c r="BY42" i="279"/>
  <c r="BX42" i="279"/>
  <c r="BW42" i="279"/>
  <c r="BY41" i="279"/>
  <c r="BX41" i="279"/>
  <c r="BW41" i="279"/>
  <c r="BY40" i="279"/>
  <c r="BX40" i="279"/>
  <c r="BW40" i="279"/>
  <c r="BY33" i="279"/>
  <c r="BX33" i="279"/>
  <c r="BW33" i="279"/>
  <c r="BY32" i="279"/>
  <c r="BX32" i="279"/>
  <c r="BW32" i="279"/>
  <c r="BY31" i="279"/>
  <c r="BX31" i="279"/>
  <c r="BW31" i="279"/>
  <c r="BY29" i="279"/>
  <c r="BX29" i="279"/>
  <c r="BW29" i="279"/>
  <c r="BY28" i="279"/>
  <c r="BX28" i="279"/>
  <c r="BW28" i="279"/>
  <c r="BY27" i="279"/>
  <c r="BX27" i="279"/>
  <c r="BW27" i="279"/>
  <c r="BW24" i="279"/>
  <c r="CB15" i="278"/>
  <c r="CB14" i="278"/>
  <c r="BY17" i="278"/>
  <c r="CA17" i="278"/>
  <c r="BZ17" i="278"/>
  <c r="CB8" i="278"/>
  <c r="CB9" i="278"/>
  <c r="CB10" i="278"/>
  <c r="CB11" i="278"/>
  <c r="CB12" i="278"/>
  <c r="CB13" i="278"/>
  <c r="CB16" i="278"/>
  <c r="CB5" i="278"/>
  <c r="AK14" i="233"/>
  <c r="AJ30" i="233"/>
  <c r="AL30" i="233"/>
  <c r="AJ14" i="233"/>
  <c r="AL22" i="233"/>
  <c r="AK28" i="233"/>
  <c r="AJ28" i="233"/>
  <c r="AK29" i="233"/>
  <c r="AK24" i="233"/>
  <c r="AJ24" i="233"/>
  <c r="AL21" i="233"/>
  <c r="AK27" i="233"/>
  <c r="AL17" i="233"/>
  <c r="AJ19" i="233"/>
  <c r="AK19" i="233"/>
  <c r="AJ26" i="233"/>
  <c r="AL26" i="233"/>
  <c r="AL8" i="233"/>
  <c r="AJ29" i="233"/>
  <c r="AL29" i="233"/>
  <c r="AK9" i="233"/>
  <c r="AL7" i="233"/>
  <c r="AJ9" i="233"/>
  <c r="AI31" i="233"/>
  <c r="AL31" i="233"/>
  <c r="AL23" i="233"/>
  <c r="AL16" i="233"/>
  <c r="AL13" i="233"/>
  <c r="AI19" i="233"/>
  <c r="AJ27" i="233"/>
  <c r="AI9" i="233"/>
  <c r="AL18" i="233"/>
  <c r="AI24" i="233"/>
  <c r="AI27" i="233"/>
  <c r="AL11" i="233"/>
  <c r="AL6" i="233"/>
  <c r="M52" i="266"/>
  <c r="M104" i="266"/>
  <c r="M145" i="266"/>
  <c r="M156" i="266"/>
  <c r="BY71" i="279"/>
  <c r="BW52" i="279"/>
  <c r="BX51" i="279"/>
  <c r="BW47" i="279"/>
  <c r="BY17" i="279"/>
  <c r="BY52" i="279"/>
  <c r="BX17" i="279"/>
  <c r="BY60" i="279"/>
  <c r="BY70" i="279"/>
  <c r="BY19" i="279"/>
  <c r="BZ59" i="279"/>
  <c r="BZ60" i="279"/>
  <c r="BZ67" i="279"/>
  <c r="BZ32" i="279"/>
  <c r="BY35" i="279"/>
  <c r="BW34" i="279"/>
  <c r="BX36" i="279"/>
  <c r="BZ28" i="279"/>
  <c r="BY36" i="279"/>
  <c r="BW37" i="279"/>
  <c r="BW36" i="279"/>
  <c r="BW54" i="279"/>
  <c r="BY34" i="279"/>
  <c r="BX54" i="279"/>
  <c r="BZ46" i="279"/>
  <c r="BZ50" i="279"/>
  <c r="BY9" i="279"/>
  <c r="BX52" i="279"/>
  <c r="BY54" i="279"/>
  <c r="BW68" i="279"/>
  <c r="BX34" i="279"/>
  <c r="BZ45" i="279"/>
  <c r="BX37" i="279"/>
  <c r="BX13" i="279"/>
  <c r="BY37" i="279"/>
  <c r="BZ29" i="279"/>
  <c r="BX47" i="279"/>
  <c r="BW51" i="279"/>
  <c r="BW60" i="279"/>
  <c r="BW70" i="279"/>
  <c r="BX20" i="279"/>
  <c r="BX19" i="279"/>
  <c r="BW35" i="279"/>
  <c r="BY47" i="279"/>
  <c r="BX53" i="279"/>
  <c r="BX60" i="279"/>
  <c r="BX30" i="279"/>
  <c r="BZ33" i="279"/>
  <c r="BY53" i="279"/>
  <c r="BY51" i="279"/>
  <c r="BZ66" i="279"/>
  <c r="BX18" i="279"/>
  <c r="BZ24" i="279"/>
  <c r="BZ16" i="279"/>
  <c r="BY18" i="279"/>
  <c r="BY74" i="279"/>
  <c r="BW17" i="279"/>
  <c r="BZ12" i="279"/>
  <c r="BW20" i="279"/>
  <c r="BW13" i="279"/>
  <c r="BY20" i="279"/>
  <c r="BZ8" i="279"/>
  <c r="BW9" i="279"/>
  <c r="BW18" i="279"/>
  <c r="BZ14" i="279"/>
  <c r="BZ10" i="279"/>
  <c r="BW19" i="279"/>
  <c r="BX70" i="279"/>
  <c r="BX72" i="279"/>
  <c r="BX9" i="279"/>
  <c r="BY13" i="279"/>
  <c r="BZ7" i="279"/>
  <c r="BZ11" i="279"/>
  <c r="BZ15" i="279"/>
  <c r="BZ25" i="279"/>
  <c r="BZ27" i="279"/>
  <c r="BZ31" i="279"/>
  <c r="BZ40" i="279"/>
  <c r="BZ42" i="279"/>
  <c r="BZ44" i="279"/>
  <c r="BZ49" i="279"/>
  <c r="BW69" i="279"/>
  <c r="BW71" i="279"/>
  <c r="BX35" i="279"/>
  <c r="BY68" i="279"/>
  <c r="BW26" i="279"/>
  <c r="BW30" i="279"/>
  <c r="BW43" i="279"/>
  <c r="BX26" i="279"/>
  <c r="BX43" i="279"/>
  <c r="BZ62" i="279"/>
  <c r="BZ64" i="279"/>
  <c r="BW53" i="279"/>
  <c r="BY26" i="279"/>
  <c r="BY30" i="279"/>
  <c r="BY43" i="279"/>
  <c r="BZ65" i="279"/>
  <c r="BW64" i="279"/>
  <c r="BX68" i="279"/>
  <c r="Q6" i="172"/>
  <c r="Q9" i="172"/>
  <c r="Q7" i="172"/>
  <c r="Q32" i="172"/>
  <c r="Q8" i="172"/>
  <c r="Q11" i="172"/>
  <c r="Q14" i="172"/>
  <c r="Q12" i="172"/>
  <c r="Q13" i="172"/>
  <c r="Q16" i="172"/>
  <c r="Q17" i="172"/>
  <c r="Q18" i="172"/>
  <c r="Q21" i="172"/>
  <c r="Q24" i="172"/>
  <c r="Q22" i="172"/>
  <c r="Q23" i="172"/>
  <c r="Q26" i="172"/>
  <c r="Q29" i="172"/>
  <c r="Q27" i="172"/>
  <c r="Q28" i="172"/>
  <c r="Q33" i="172"/>
  <c r="Q34" i="172"/>
  <c r="Q35" i="172"/>
  <c r="Q36" i="172"/>
  <c r="Q85" i="173"/>
  <c r="Q94" i="173"/>
  <c r="Q99" i="173"/>
  <c r="Q72" i="173"/>
  <c r="Q78" i="173"/>
  <c r="Q75" i="173"/>
  <c r="Q77" i="173"/>
  <c r="Q49" i="173"/>
  <c r="Q62" i="173"/>
  <c r="Q69" i="173"/>
  <c r="Q33" i="173"/>
  <c r="Q29" i="173"/>
  <c r="Q39" i="173"/>
  <c r="Q38" i="173"/>
  <c r="Q23" i="173"/>
  <c r="Q24" i="173"/>
  <c r="Q19" i="173"/>
  <c r="Q14" i="173"/>
  <c r="AL14" i="233"/>
  <c r="AL28" i="233"/>
  <c r="AK32" i="233"/>
  <c r="AL24" i="233"/>
  <c r="AJ32" i="233"/>
  <c r="AL9" i="233"/>
  <c r="AL19" i="233"/>
  <c r="AL27" i="233"/>
  <c r="AI32" i="233"/>
  <c r="M158" i="266"/>
  <c r="BZ71" i="279"/>
  <c r="BY72" i="279"/>
  <c r="BZ52" i="279"/>
  <c r="BX55" i="279"/>
  <c r="BZ68" i="279"/>
  <c r="BZ18" i="279"/>
  <c r="BY55" i="279"/>
  <c r="BZ54" i="279"/>
  <c r="BY38" i="279"/>
  <c r="BZ34" i="279"/>
  <c r="BZ36" i="279"/>
  <c r="BX76" i="279"/>
  <c r="BZ37" i="279"/>
  <c r="BW38" i="279"/>
  <c r="BX38" i="279"/>
  <c r="BX74" i="279"/>
  <c r="BZ51" i="279"/>
  <c r="BY75" i="279"/>
  <c r="BZ53" i="279"/>
  <c r="BZ47" i="279"/>
  <c r="BY76" i="279"/>
  <c r="BZ17" i="279"/>
  <c r="BZ20" i="279"/>
  <c r="BZ9" i="279"/>
  <c r="BW21" i="279"/>
  <c r="BW74" i="279"/>
  <c r="BZ13" i="279"/>
  <c r="BX21" i="279"/>
  <c r="BZ30" i="279"/>
  <c r="BZ35" i="279"/>
  <c r="BZ26" i="279"/>
  <c r="BW72" i="279"/>
  <c r="BZ69" i="279"/>
  <c r="BY21" i="279"/>
  <c r="BZ70" i="279"/>
  <c r="BW76" i="279"/>
  <c r="BX75" i="279"/>
  <c r="BW75" i="279"/>
  <c r="BZ19" i="279"/>
  <c r="BW55" i="279"/>
  <c r="Q31" i="172"/>
  <c r="Q37" i="172"/>
  <c r="Q19" i="172"/>
  <c r="Q100" i="173"/>
  <c r="Q102" i="173"/>
  <c r="Q70" i="173"/>
  <c r="AL32" i="233"/>
  <c r="BZ55" i="279"/>
  <c r="BZ38" i="279"/>
  <c r="BY77" i="279"/>
  <c r="BZ76" i="279"/>
  <c r="BX77" i="279"/>
  <c r="BZ72" i="279"/>
  <c r="BZ74" i="279"/>
  <c r="BZ21" i="279"/>
  <c r="BZ75" i="279"/>
  <c r="BW77" i="279"/>
  <c r="BZ77" i="279"/>
  <c r="CA137" i="278"/>
  <c r="BZ137" i="278"/>
  <c r="BY137" i="278"/>
  <c r="CB136" i="278"/>
  <c r="CB135" i="278"/>
  <c r="CB134" i="278"/>
  <c r="CB133" i="278"/>
  <c r="CA132" i="278"/>
  <c r="BZ132" i="278"/>
  <c r="BY132" i="278"/>
  <c r="CB131" i="278"/>
  <c r="CB132" i="278"/>
  <c r="CA130" i="278"/>
  <c r="BZ130" i="278"/>
  <c r="BY130" i="278"/>
  <c r="CB129" i="278"/>
  <c r="CB128" i="278"/>
  <c r="CA126" i="278"/>
  <c r="BZ126" i="278"/>
  <c r="BY126" i="278"/>
  <c r="CB125" i="278"/>
  <c r="CB124" i="278"/>
  <c r="CB123" i="278"/>
  <c r="CB122" i="278"/>
  <c r="CA121" i="278"/>
  <c r="BZ121" i="278"/>
  <c r="BY121" i="278"/>
  <c r="CB120" i="278"/>
  <c r="CB119" i="278"/>
  <c r="CB118" i="278"/>
  <c r="CB117" i="278"/>
  <c r="CB116" i="278"/>
  <c r="CB115" i="278"/>
  <c r="CB114" i="278"/>
  <c r="CB113" i="278"/>
  <c r="CB112" i="278"/>
  <c r="CB111" i="278"/>
  <c r="CB110" i="278"/>
  <c r="CB109" i="278"/>
  <c r="CB108" i="278"/>
  <c r="CB107" i="278"/>
  <c r="CA106" i="278"/>
  <c r="BZ106" i="278"/>
  <c r="BY106" i="278"/>
  <c r="CB105" i="278"/>
  <c r="CB104" i="278"/>
  <c r="CB103" i="278"/>
  <c r="CB102" i="278"/>
  <c r="CB101" i="278"/>
  <c r="CB100" i="278"/>
  <c r="CB99" i="278"/>
  <c r="CB98" i="278"/>
  <c r="CB97" i="278"/>
  <c r="CB96" i="278"/>
  <c r="CB95" i="278"/>
  <c r="CB94" i="278"/>
  <c r="CB93" i="278"/>
  <c r="CB92" i="278"/>
  <c r="CB91" i="278"/>
  <c r="CB90" i="278"/>
  <c r="CA88" i="278"/>
  <c r="BZ88" i="278"/>
  <c r="BY88" i="278"/>
  <c r="CB87" i="278"/>
  <c r="CB86" i="278"/>
  <c r="CB85" i="278"/>
  <c r="CB84" i="278"/>
  <c r="CB83" i="278"/>
  <c r="CB82" i="278"/>
  <c r="CB81" i="278"/>
  <c r="CB80" i="278"/>
  <c r="CB79" i="278"/>
  <c r="CB78" i="278"/>
  <c r="CA77" i="278"/>
  <c r="BZ77" i="278"/>
  <c r="BY77" i="278"/>
  <c r="CB76" i="278"/>
  <c r="CB75" i="278"/>
  <c r="CB74" i="278"/>
  <c r="CB73" i="278"/>
  <c r="CB72" i="278"/>
  <c r="CB71" i="278"/>
  <c r="CB70" i="278"/>
  <c r="CB69" i="278"/>
  <c r="CB68" i="278"/>
  <c r="CB67" i="278"/>
  <c r="CB66" i="278"/>
  <c r="CB65" i="278"/>
  <c r="CB64" i="278"/>
  <c r="CB63" i="278"/>
  <c r="CA62" i="278"/>
  <c r="BZ62" i="278"/>
  <c r="BY62" i="278"/>
  <c r="CB61" i="278"/>
  <c r="CB59" i="278"/>
  <c r="CB58" i="278"/>
  <c r="CB57" i="278"/>
  <c r="CB56" i="278"/>
  <c r="CB55" i="278"/>
  <c r="CB54" i="278"/>
  <c r="CB53" i="278"/>
  <c r="CB52" i="278"/>
  <c r="CB51" i="278"/>
  <c r="CB50" i="278"/>
  <c r="CB49" i="278"/>
  <c r="CB48" i="278"/>
  <c r="CA46" i="278"/>
  <c r="BZ46" i="278"/>
  <c r="BY46" i="278"/>
  <c r="CB45" i="278"/>
  <c r="CB44" i="278"/>
  <c r="CB43" i="278"/>
  <c r="CB42" i="278"/>
  <c r="CB41" i="278"/>
  <c r="CB40" i="278"/>
  <c r="CB39" i="278"/>
  <c r="CB38" i="278"/>
  <c r="CB37" i="278"/>
  <c r="CB36" i="278"/>
  <c r="CB35" i="278"/>
  <c r="CB33" i="278"/>
  <c r="CB32" i="278"/>
  <c r="CA31" i="278"/>
  <c r="BZ31" i="278"/>
  <c r="BY31" i="278"/>
  <c r="BY47" i="278"/>
  <c r="CB30" i="278"/>
  <c r="CB29" i="278"/>
  <c r="CB28" i="278"/>
  <c r="CB27" i="278"/>
  <c r="CB26" i="278"/>
  <c r="CB25" i="278"/>
  <c r="CB24" i="278"/>
  <c r="CB23" i="278"/>
  <c r="CB22" i="278"/>
  <c r="CB21" i="278"/>
  <c r="CB20" i="278"/>
  <c r="CB19" i="278"/>
  <c r="CB18" i="278"/>
  <c r="CB7" i="278"/>
  <c r="CB6" i="278"/>
  <c r="CA74" i="274"/>
  <c r="BY77" i="274"/>
  <c r="BZ77" i="274"/>
  <c r="BX77" i="274"/>
  <c r="BY75" i="274"/>
  <c r="BZ75" i="274"/>
  <c r="BX75" i="274"/>
  <c r="BY72" i="274"/>
  <c r="BZ72" i="274"/>
  <c r="BX72" i="274"/>
  <c r="BY39" i="274"/>
  <c r="BZ39" i="274"/>
  <c r="BX39" i="274"/>
  <c r="BY34" i="274"/>
  <c r="BZ34" i="274"/>
  <c r="BX34" i="274"/>
  <c r="BY30" i="274"/>
  <c r="BZ30" i="274"/>
  <c r="BX30" i="274"/>
  <c r="BY99" i="274"/>
  <c r="BZ99" i="274"/>
  <c r="BX99" i="274"/>
  <c r="BY94" i="274"/>
  <c r="BZ94" i="274"/>
  <c r="BY85" i="274"/>
  <c r="BZ85" i="274"/>
  <c r="BX94" i="274"/>
  <c r="BX85" i="274"/>
  <c r="BY69" i="274"/>
  <c r="BZ69" i="274"/>
  <c r="BX69" i="274"/>
  <c r="BY62" i="274"/>
  <c r="BZ62" i="274"/>
  <c r="BX62" i="274"/>
  <c r="BY50" i="274"/>
  <c r="BZ50" i="274"/>
  <c r="BX50" i="274"/>
  <c r="BY24" i="274"/>
  <c r="BZ24" i="274"/>
  <c r="BX24" i="274"/>
  <c r="BY20" i="274"/>
  <c r="BZ20" i="274"/>
  <c r="BX20" i="274"/>
  <c r="BY15" i="274"/>
  <c r="BZ15" i="274"/>
  <c r="BX15" i="274"/>
  <c r="CB137" i="278"/>
  <c r="BZ41" i="279"/>
  <c r="BZ43" i="279"/>
  <c r="BY89" i="278"/>
  <c r="BY127" i="278"/>
  <c r="CB130" i="278"/>
  <c r="BY138" i="278"/>
  <c r="BZ138" i="278"/>
  <c r="CB17" i="278"/>
  <c r="BZ47" i="278"/>
  <c r="CA138" i="278"/>
  <c r="CB126" i="278"/>
  <c r="CB121" i="278"/>
  <c r="CB106" i="278"/>
  <c r="BZ127" i="278"/>
  <c r="CA127" i="278"/>
  <c r="BZ89" i="278"/>
  <c r="CA89" i="278"/>
  <c r="CB88" i="278"/>
  <c r="CB77" i="278"/>
  <c r="CB62" i="278"/>
  <c r="CB46" i="278"/>
  <c r="CB31" i="278"/>
  <c r="CA47" i="278"/>
  <c r="I11" i="345"/>
  <c r="CB138" i="278"/>
  <c r="BY139" i="278"/>
  <c r="CB127" i="278"/>
  <c r="BZ139" i="278"/>
  <c r="CB47" i="278"/>
  <c r="CB139" i="278"/>
  <c r="CA139" i="278"/>
  <c r="CB89" i="278"/>
  <c r="AA115" i="288"/>
  <c r="AA63" i="288"/>
  <c r="AA12" i="288"/>
  <c r="H7" i="288"/>
  <c r="I7" i="288"/>
  <c r="H8" i="288"/>
  <c r="I8" i="288"/>
  <c r="H9" i="288"/>
  <c r="I9" i="288"/>
  <c r="H10" i="288"/>
  <c r="I10" i="288"/>
  <c r="H11" i="288"/>
  <c r="I11" i="288"/>
  <c r="I6" i="288"/>
  <c r="H6" i="288"/>
  <c r="F12" i="288"/>
  <c r="E12" i="288"/>
  <c r="C12" i="288"/>
  <c r="B12" i="288"/>
  <c r="G11" i="288"/>
  <c r="D11" i="288"/>
  <c r="G10" i="288"/>
  <c r="D10" i="288"/>
  <c r="G9" i="288"/>
  <c r="D9" i="288"/>
  <c r="G8" i="288"/>
  <c r="D8" i="288"/>
  <c r="G7" i="288"/>
  <c r="D7" i="288"/>
  <c r="G6" i="288"/>
  <c r="D6" i="288"/>
  <c r="J6" i="288"/>
  <c r="J11" i="288"/>
  <c r="J7" i="288"/>
  <c r="J10" i="288"/>
  <c r="J9" i="288"/>
  <c r="I12" i="288"/>
  <c r="J8" i="288"/>
  <c r="D12" i="288"/>
  <c r="G12" i="288"/>
  <c r="H12" i="288"/>
  <c r="J12" i="288"/>
  <c r="M65" i="324"/>
  <c r="K26" i="340"/>
  <c r="J26" i="340"/>
  <c r="L25" i="340"/>
  <c r="L24" i="340"/>
  <c r="L23" i="340"/>
  <c r="K21" i="340"/>
  <c r="J21" i="340"/>
  <c r="L20" i="340"/>
  <c r="L19" i="340"/>
  <c r="L18" i="340"/>
  <c r="L21" i="340"/>
  <c r="K16" i="340"/>
  <c r="J16" i="340"/>
  <c r="L15" i="340"/>
  <c r="L14" i="340"/>
  <c r="L13" i="340"/>
  <c r="L12" i="340"/>
  <c r="L11" i="340"/>
  <c r="K9" i="340"/>
  <c r="J9" i="340"/>
  <c r="L8" i="340"/>
  <c r="L6" i="340"/>
  <c r="K22" i="341"/>
  <c r="J22" i="341"/>
  <c r="L21" i="341"/>
  <c r="L20" i="341"/>
  <c r="L19" i="341"/>
  <c r="L18" i="341"/>
  <c r="L17" i="341"/>
  <c r="L16" i="341"/>
  <c r="L15" i="341"/>
  <c r="K14" i="341"/>
  <c r="J14" i="341"/>
  <c r="L13" i="341"/>
  <c r="L12" i="341"/>
  <c r="L11" i="341"/>
  <c r="L10" i="341"/>
  <c r="L9" i="341"/>
  <c r="K8" i="341"/>
  <c r="J8" i="341"/>
  <c r="L7" i="341"/>
  <c r="K6" i="341"/>
  <c r="J6" i="341"/>
  <c r="L5" i="341"/>
  <c r="L6" i="341"/>
  <c r="L26" i="340"/>
  <c r="K28" i="340"/>
  <c r="J28" i="340"/>
  <c r="L16" i="340"/>
  <c r="L9" i="340"/>
  <c r="J24" i="341"/>
  <c r="K24" i="341"/>
  <c r="L22" i="341"/>
  <c r="L14" i="341"/>
  <c r="L8" i="341"/>
  <c r="L28" i="340"/>
  <c r="L24" i="341"/>
  <c r="O43" i="324"/>
  <c r="O47" i="324"/>
  <c r="O48" i="324"/>
  <c r="O49" i="324"/>
  <c r="O50" i="324"/>
  <c r="O40" i="324"/>
  <c r="O41" i="324"/>
  <c r="N39" i="324"/>
  <c r="M39" i="324"/>
  <c r="O34" i="324"/>
  <c r="O35" i="324"/>
  <c r="O36" i="324"/>
  <c r="O37" i="324"/>
  <c r="O38" i="324"/>
  <c r="O23" i="324"/>
  <c r="O24" i="324"/>
  <c r="O25" i="324"/>
  <c r="O26" i="324"/>
  <c r="O8" i="324"/>
  <c r="N65" i="324"/>
  <c r="O64" i="324"/>
  <c r="O65" i="324"/>
  <c r="N73" i="324"/>
  <c r="N72" i="324"/>
  <c r="M72" i="324"/>
  <c r="O72" i="324"/>
  <c r="N69" i="324"/>
  <c r="M69" i="324"/>
  <c r="N54" i="324"/>
  <c r="M54" i="324"/>
  <c r="O53" i="324"/>
  <c r="O52" i="324"/>
  <c r="O51" i="324"/>
  <c r="O46" i="324"/>
  <c r="O45" i="324"/>
  <c r="O44" i="324"/>
  <c r="O42" i="324"/>
  <c r="O33" i="324"/>
  <c r="O32" i="324"/>
  <c r="O31" i="324"/>
  <c r="O30" i="324"/>
  <c r="O29" i="324"/>
  <c r="O28" i="324"/>
  <c r="O27" i="324"/>
  <c r="N22" i="324"/>
  <c r="M22" i="324"/>
  <c r="O21" i="324"/>
  <c r="O20" i="324"/>
  <c r="O19" i="324"/>
  <c r="O18" i="324"/>
  <c r="O17" i="324"/>
  <c r="N16" i="324"/>
  <c r="M16" i="324"/>
  <c r="O15" i="324"/>
  <c r="O14" i="324"/>
  <c r="O13" i="324"/>
  <c r="O12" i="324"/>
  <c r="O11" i="324"/>
  <c r="O10" i="324"/>
  <c r="O9" i="324"/>
  <c r="O7" i="324"/>
  <c r="L6" i="323"/>
  <c r="L7" i="323"/>
  <c r="L8" i="323"/>
  <c r="L9" i="323"/>
  <c r="L10" i="323"/>
  <c r="L11" i="323"/>
  <c r="L12" i="323"/>
  <c r="L13" i="323"/>
  <c r="L14" i="323"/>
  <c r="L16" i="323"/>
  <c r="L17" i="323"/>
  <c r="L18" i="323"/>
  <c r="L19" i="323"/>
  <c r="L21" i="323"/>
  <c r="L22" i="323"/>
  <c r="L23" i="323"/>
  <c r="L26" i="323"/>
  <c r="L27" i="323"/>
  <c r="L28" i="323"/>
  <c r="L30" i="323"/>
  <c r="L31" i="323"/>
  <c r="L32" i="323"/>
  <c r="L33" i="323"/>
  <c r="L35" i="323"/>
  <c r="L36" i="323"/>
  <c r="L37" i="323"/>
  <c r="L40" i="323"/>
  <c r="L41" i="323"/>
  <c r="L42" i="323"/>
  <c r="L43" i="323"/>
  <c r="L44" i="323"/>
  <c r="L45" i="323"/>
  <c r="L46" i="323"/>
  <c r="L47" i="323"/>
  <c r="L48" i="323"/>
  <c r="L50" i="323"/>
  <c r="L51" i="323"/>
  <c r="L52" i="323"/>
  <c r="L53" i="323"/>
  <c r="L54" i="323"/>
  <c r="L55" i="323"/>
  <c r="L56" i="323"/>
  <c r="L57" i="323"/>
  <c r="L58" i="323"/>
  <c r="L59" i="323"/>
  <c r="L60" i="323"/>
  <c r="L62" i="323"/>
  <c r="L63" i="323"/>
  <c r="L64" i="323"/>
  <c r="L65" i="323"/>
  <c r="L66" i="323"/>
  <c r="L67" i="323"/>
  <c r="L70" i="323"/>
  <c r="L72" i="323"/>
  <c r="L74" i="323"/>
  <c r="L75" i="323"/>
  <c r="L78" i="323"/>
  <c r="L79" i="323"/>
  <c r="L80" i="323"/>
  <c r="L81" i="323"/>
  <c r="L82" i="323"/>
  <c r="L83" i="323"/>
  <c r="L85" i="323"/>
  <c r="L86" i="323"/>
  <c r="L87" i="323"/>
  <c r="L88" i="323"/>
  <c r="L89" i="323"/>
  <c r="L90" i="323"/>
  <c r="L91" i="323"/>
  <c r="L92" i="323"/>
  <c r="L94" i="323"/>
  <c r="L95" i="323"/>
  <c r="L96" i="323"/>
  <c r="L97" i="323"/>
  <c r="L5" i="323"/>
  <c r="O6" i="325"/>
  <c r="O7" i="325"/>
  <c r="O8" i="325"/>
  <c r="O9" i="325"/>
  <c r="O10" i="325"/>
  <c r="O11" i="325"/>
  <c r="O12" i="325"/>
  <c r="O13" i="325"/>
  <c r="O14" i="325"/>
  <c r="O16" i="325"/>
  <c r="O17" i="325"/>
  <c r="O18" i="325"/>
  <c r="O19" i="325"/>
  <c r="O21" i="325"/>
  <c r="O22" i="325"/>
  <c r="O23" i="325"/>
  <c r="O26" i="325"/>
  <c r="O27" i="325"/>
  <c r="O28" i="325"/>
  <c r="O30" i="325"/>
  <c r="O31" i="325"/>
  <c r="O32" i="325"/>
  <c r="O33" i="325"/>
  <c r="O35" i="325"/>
  <c r="O36" i="325"/>
  <c r="O37" i="325"/>
  <c r="O40" i="325"/>
  <c r="O41" i="325"/>
  <c r="O42" i="325"/>
  <c r="O43" i="325"/>
  <c r="O44" i="325"/>
  <c r="O45" i="325"/>
  <c r="O46" i="325"/>
  <c r="O47" i="325"/>
  <c r="O48" i="325"/>
  <c r="O50" i="325"/>
  <c r="O51" i="325"/>
  <c r="O52" i="325"/>
  <c r="O53" i="325"/>
  <c r="O54" i="325"/>
  <c r="O55" i="325"/>
  <c r="O56" i="325"/>
  <c r="O57" i="325"/>
  <c r="O58" i="325"/>
  <c r="O59" i="325"/>
  <c r="O60" i="325"/>
  <c r="O62" i="325"/>
  <c r="O63" i="325"/>
  <c r="O64" i="325"/>
  <c r="O65" i="325"/>
  <c r="O66" i="325"/>
  <c r="O67" i="325"/>
  <c r="O70" i="325"/>
  <c r="O72" i="325"/>
  <c r="O73" i="325"/>
  <c r="O74" i="325"/>
  <c r="O75" i="325"/>
  <c r="O78" i="325"/>
  <c r="O79" i="325"/>
  <c r="O80" i="325"/>
  <c r="O81" i="325"/>
  <c r="O82" i="325"/>
  <c r="O83" i="325"/>
  <c r="O85" i="325"/>
  <c r="O86" i="325"/>
  <c r="O87" i="325"/>
  <c r="O88" i="325"/>
  <c r="O89" i="325"/>
  <c r="O90" i="325"/>
  <c r="O91" i="325"/>
  <c r="O92" i="325"/>
  <c r="O94" i="325"/>
  <c r="O95" i="325"/>
  <c r="O96" i="325"/>
  <c r="O97" i="325"/>
  <c r="O98" i="325"/>
  <c r="O5" i="325"/>
  <c r="O6" i="330"/>
  <c r="O7" i="330"/>
  <c r="O8" i="330"/>
  <c r="O9" i="330"/>
  <c r="O10" i="330"/>
  <c r="O11" i="330"/>
  <c r="O12" i="330"/>
  <c r="O13" i="330"/>
  <c r="O14" i="330"/>
  <c r="O16" i="330"/>
  <c r="O17" i="330"/>
  <c r="O18" i="330"/>
  <c r="O19" i="330"/>
  <c r="O21" i="330"/>
  <c r="O22" i="330"/>
  <c r="O23" i="330"/>
  <c r="O26" i="330"/>
  <c r="O27" i="330"/>
  <c r="O28" i="330"/>
  <c r="O29" i="330"/>
  <c r="N12" i="331"/>
  <c r="N35" i="331"/>
  <c r="O30" i="330"/>
  <c r="O31" i="330"/>
  <c r="O32" i="330"/>
  <c r="O33" i="330"/>
  <c r="O35" i="330"/>
  <c r="O36" i="330"/>
  <c r="O37" i="330"/>
  <c r="O40" i="330"/>
  <c r="O41" i="330"/>
  <c r="O42" i="330"/>
  <c r="O43" i="330"/>
  <c r="O44" i="330"/>
  <c r="O45" i="330"/>
  <c r="O46" i="330"/>
  <c r="O47" i="330"/>
  <c r="O48" i="330"/>
  <c r="O50" i="330"/>
  <c r="O51" i="330"/>
  <c r="O52" i="330"/>
  <c r="O53" i="330"/>
  <c r="O54" i="330"/>
  <c r="O55" i="330"/>
  <c r="O56" i="330"/>
  <c r="O57" i="330"/>
  <c r="O58" i="330"/>
  <c r="O59" i="330"/>
  <c r="O60" i="330"/>
  <c r="O62" i="330"/>
  <c r="O63" i="330"/>
  <c r="O64" i="330"/>
  <c r="O65" i="330"/>
  <c r="O66" i="330"/>
  <c r="O67" i="330"/>
  <c r="O70" i="330"/>
  <c r="O72" i="330"/>
  <c r="O74" i="330"/>
  <c r="O75" i="330"/>
  <c r="O78" i="330"/>
  <c r="O79" i="330"/>
  <c r="O80" i="330"/>
  <c r="O81" i="330"/>
  <c r="O82" i="330"/>
  <c r="O83" i="330"/>
  <c r="O85" i="330"/>
  <c r="O86" i="330"/>
  <c r="O87" i="330"/>
  <c r="O88" i="330"/>
  <c r="O89" i="330"/>
  <c r="O90" i="330"/>
  <c r="O91" i="330"/>
  <c r="O92" i="330"/>
  <c r="O94" i="330"/>
  <c r="O95" i="330"/>
  <c r="O96" i="330"/>
  <c r="O97" i="330"/>
  <c r="O5" i="330"/>
  <c r="M24" i="328"/>
  <c r="L24" i="328"/>
  <c r="O6" i="327"/>
  <c r="O7" i="327"/>
  <c r="O8" i="327"/>
  <c r="O9" i="327"/>
  <c r="O10" i="327"/>
  <c r="O11" i="327"/>
  <c r="O12" i="327"/>
  <c r="O13" i="327"/>
  <c r="O15" i="327"/>
  <c r="O16" i="327"/>
  <c r="O17" i="327"/>
  <c r="O18" i="327"/>
  <c r="O20" i="327"/>
  <c r="O21" i="327"/>
  <c r="O22" i="327"/>
  <c r="O25" i="327"/>
  <c r="O26" i="327"/>
  <c r="O27" i="327"/>
  <c r="O29" i="327"/>
  <c r="O30" i="327"/>
  <c r="O31" i="327"/>
  <c r="O33" i="327"/>
  <c r="O34" i="327"/>
  <c r="O35" i="327"/>
  <c r="O36" i="327"/>
  <c r="O39" i="327"/>
  <c r="O40" i="327"/>
  <c r="O41" i="327"/>
  <c r="O43" i="327"/>
  <c r="O44" i="327"/>
  <c r="O45" i="327"/>
  <c r="O46" i="327"/>
  <c r="O47" i="327"/>
  <c r="O48" i="327"/>
  <c r="O49" i="327"/>
  <c r="O50" i="327"/>
  <c r="O51" i="327"/>
  <c r="O52" i="327"/>
  <c r="O53" i="327"/>
  <c r="O55" i="327"/>
  <c r="O56" i="327"/>
  <c r="O57" i="327"/>
  <c r="O60" i="327"/>
  <c r="O61" i="327"/>
  <c r="O62" i="327"/>
  <c r="O63" i="327"/>
  <c r="O64" i="327"/>
  <c r="O66" i="327"/>
  <c r="O67" i="327"/>
  <c r="O68" i="327"/>
  <c r="O69" i="327"/>
  <c r="O70" i="327"/>
  <c r="O71" i="327"/>
  <c r="O73" i="327"/>
  <c r="O74" i="327"/>
  <c r="O75" i="327"/>
  <c r="O5" i="327"/>
  <c r="M28" i="331"/>
  <c r="L27" i="331"/>
  <c r="M22" i="331"/>
  <c r="L22" i="331"/>
  <c r="N22" i="331"/>
  <c r="L17" i="331"/>
  <c r="L12" i="331"/>
  <c r="L35" i="331"/>
  <c r="L7" i="331"/>
  <c r="M28" i="329"/>
  <c r="L22" i="329"/>
  <c r="N24" i="328"/>
  <c r="M28" i="327"/>
  <c r="L12" i="328"/>
  <c r="L35" i="328"/>
  <c r="N28" i="327"/>
  <c r="M12" i="328"/>
  <c r="M35" i="328"/>
  <c r="M54" i="327"/>
  <c r="L17" i="328"/>
  <c r="N54" i="327"/>
  <c r="M17" i="328"/>
  <c r="N32" i="327"/>
  <c r="M13" i="328"/>
  <c r="M76" i="327"/>
  <c r="O76" i="327"/>
  <c r="N76" i="327"/>
  <c r="M28" i="328"/>
  <c r="M72" i="327"/>
  <c r="N72" i="327"/>
  <c r="M27" i="328"/>
  <c r="M65" i="327"/>
  <c r="O65" i="327"/>
  <c r="N65" i="327"/>
  <c r="M26" i="328"/>
  <c r="M58" i="327"/>
  <c r="N58" i="327"/>
  <c r="M18" i="328"/>
  <c r="M42" i="327"/>
  <c r="O42" i="327"/>
  <c r="N42" i="327"/>
  <c r="M16" i="328"/>
  <c r="M37" i="327"/>
  <c r="L11" i="328"/>
  <c r="N37" i="327"/>
  <c r="M11" i="328"/>
  <c r="M32" i="327"/>
  <c r="L13" i="328"/>
  <c r="M23" i="327"/>
  <c r="L8" i="328"/>
  <c r="N23" i="327"/>
  <c r="M8" i="328"/>
  <c r="M19" i="327"/>
  <c r="O19" i="327"/>
  <c r="N19" i="327"/>
  <c r="M7" i="328"/>
  <c r="M14" i="327"/>
  <c r="N14" i="327"/>
  <c r="M6" i="328"/>
  <c r="M68" i="330"/>
  <c r="L18" i="331"/>
  <c r="M98" i="330"/>
  <c r="L28" i="331"/>
  <c r="N98" i="330"/>
  <c r="M93" i="330"/>
  <c r="O93" i="330"/>
  <c r="N27" i="331"/>
  <c r="N93" i="330"/>
  <c r="M27" i="331"/>
  <c r="M84" i="330"/>
  <c r="L26" i="331"/>
  <c r="N84" i="330"/>
  <c r="M26" i="331"/>
  <c r="M76" i="330"/>
  <c r="L23" i="331"/>
  <c r="N76" i="330"/>
  <c r="M23" i="331"/>
  <c r="M73" i="330"/>
  <c r="O73" i="330"/>
  <c r="N73" i="330"/>
  <c r="M71" i="330"/>
  <c r="L21" i="331"/>
  <c r="N21" i="331"/>
  <c r="N71" i="330"/>
  <c r="M21" i="331"/>
  <c r="N68" i="330"/>
  <c r="M18" i="331"/>
  <c r="M61" i="330"/>
  <c r="N61" i="330"/>
  <c r="M17" i="331"/>
  <c r="M49" i="330"/>
  <c r="O49" i="330"/>
  <c r="N49" i="330"/>
  <c r="M16" i="331"/>
  <c r="M38" i="330"/>
  <c r="N38" i="330"/>
  <c r="M11" i="331"/>
  <c r="M34" i="330"/>
  <c r="L13" i="331"/>
  <c r="L36" i="331"/>
  <c r="N34" i="330"/>
  <c r="M13" i="331"/>
  <c r="M36" i="331"/>
  <c r="M29" i="330"/>
  <c r="N29" i="330"/>
  <c r="M12" i="331"/>
  <c r="M35" i="331"/>
  <c r="M24" i="330"/>
  <c r="L8" i="331"/>
  <c r="N24" i="330"/>
  <c r="M8" i="331"/>
  <c r="M20" i="330"/>
  <c r="N20" i="330"/>
  <c r="M7" i="331"/>
  <c r="M15" i="330"/>
  <c r="L6" i="331"/>
  <c r="N15" i="330"/>
  <c r="M6" i="331"/>
  <c r="M98" i="325"/>
  <c r="L28" i="329"/>
  <c r="N98" i="325"/>
  <c r="M93" i="325"/>
  <c r="O93" i="325"/>
  <c r="N93" i="325"/>
  <c r="M27" i="329"/>
  <c r="M84" i="325"/>
  <c r="L26" i="329"/>
  <c r="N84" i="325"/>
  <c r="O84" i="325"/>
  <c r="M76" i="325"/>
  <c r="O76" i="325"/>
  <c r="N76" i="325"/>
  <c r="M23" i="329"/>
  <c r="M73" i="325"/>
  <c r="N73" i="325"/>
  <c r="M22" i="329"/>
  <c r="M71" i="325"/>
  <c r="L21" i="329"/>
  <c r="N71" i="325"/>
  <c r="M21" i="329"/>
  <c r="M24" i="329"/>
  <c r="M68" i="325"/>
  <c r="N68" i="325"/>
  <c r="M18" i="329"/>
  <c r="M61" i="325"/>
  <c r="N61" i="325"/>
  <c r="M17" i="329"/>
  <c r="M49" i="325"/>
  <c r="O49" i="325"/>
  <c r="N49" i="325"/>
  <c r="M16" i="329"/>
  <c r="M38" i="325"/>
  <c r="N38" i="325"/>
  <c r="M11" i="329"/>
  <c r="M34" i="325"/>
  <c r="L13" i="329"/>
  <c r="L36" i="329"/>
  <c r="N34" i="325"/>
  <c r="M13" i="329"/>
  <c r="M36" i="329"/>
  <c r="M29" i="325"/>
  <c r="L12" i="329"/>
  <c r="L35" i="329"/>
  <c r="N29" i="325"/>
  <c r="M12" i="329"/>
  <c r="M35" i="329"/>
  <c r="M24" i="325"/>
  <c r="O24" i="325"/>
  <c r="N24" i="325"/>
  <c r="M8" i="329"/>
  <c r="M20" i="325"/>
  <c r="N20" i="325"/>
  <c r="M7" i="329"/>
  <c r="M15" i="325"/>
  <c r="N15" i="325"/>
  <c r="M6" i="329"/>
  <c r="K68" i="323"/>
  <c r="J18" i="326"/>
  <c r="J68" i="323"/>
  <c r="I18" i="326"/>
  <c r="K93" i="323"/>
  <c r="J27" i="326"/>
  <c r="J93" i="323"/>
  <c r="I27" i="326"/>
  <c r="K98" i="323"/>
  <c r="J28" i="326"/>
  <c r="J98" i="323"/>
  <c r="L98" i="323"/>
  <c r="K28" i="326"/>
  <c r="K84" i="323"/>
  <c r="J26" i="326"/>
  <c r="J84" i="323"/>
  <c r="I26" i="326"/>
  <c r="K76" i="323"/>
  <c r="J23" i="326"/>
  <c r="J76" i="323"/>
  <c r="I23" i="326"/>
  <c r="K73" i="323"/>
  <c r="J22" i="326"/>
  <c r="J73" i="323"/>
  <c r="I22" i="326"/>
  <c r="K71" i="323"/>
  <c r="J21" i="326"/>
  <c r="J71" i="323"/>
  <c r="I21" i="326"/>
  <c r="K61" i="323"/>
  <c r="J17" i="326"/>
  <c r="J61" i="323"/>
  <c r="I17" i="326"/>
  <c r="K49" i="323"/>
  <c r="J49" i="323"/>
  <c r="I16" i="326"/>
  <c r="K38" i="323"/>
  <c r="J13" i="326"/>
  <c r="J36" i="326"/>
  <c r="J38" i="323"/>
  <c r="K34" i="323"/>
  <c r="J12" i="326"/>
  <c r="J34" i="323"/>
  <c r="K29" i="323"/>
  <c r="J11" i="326"/>
  <c r="J29" i="323"/>
  <c r="I11" i="326"/>
  <c r="K24" i="323"/>
  <c r="J8" i="326"/>
  <c r="J24" i="323"/>
  <c r="I8" i="326"/>
  <c r="K20" i="323"/>
  <c r="J7" i="326"/>
  <c r="J20" i="323"/>
  <c r="K15" i="323"/>
  <c r="J6" i="326"/>
  <c r="J15" i="323"/>
  <c r="I6" i="326"/>
  <c r="M73" i="324"/>
  <c r="O58" i="327"/>
  <c r="L16" i="328"/>
  <c r="O72" i="327"/>
  <c r="L26" i="328"/>
  <c r="L28" i="328"/>
  <c r="L34" i="328"/>
  <c r="M34" i="328"/>
  <c r="M29" i="328"/>
  <c r="L27" i="328"/>
  <c r="L29" i="328"/>
  <c r="M33" i="328"/>
  <c r="L18" i="328"/>
  <c r="N18" i="328"/>
  <c r="O54" i="327"/>
  <c r="M31" i="328"/>
  <c r="O37" i="327"/>
  <c r="O23" i="327"/>
  <c r="L7" i="328"/>
  <c r="L32" i="328"/>
  <c r="M32" i="328"/>
  <c r="O32" i="327"/>
  <c r="N13" i="328"/>
  <c r="N36" i="328"/>
  <c r="O28" i="327"/>
  <c r="N12" i="328"/>
  <c r="N35" i="328"/>
  <c r="L14" i="328"/>
  <c r="M14" i="328"/>
  <c r="O14" i="327"/>
  <c r="L6" i="328"/>
  <c r="M14" i="331"/>
  <c r="O38" i="330"/>
  <c r="N11" i="331"/>
  <c r="N14" i="331"/>
  <c r="M34" i="331"/>
  <c r="N28" i="331"/>
  <c r="L33" i="331"/>
  <c r="O71" i="330"/>
  <c r="O76" i="330"/>
  <c r="O61" i="330"/>
  <c r="N17" i="331"/>
  <c r="L34" i="331"/>
  <c r="O98" i="330"/>
  <c r="L29" i="331"/>
  <c r="M29" i="331"/>
  <c r="O84" i="330"/>
  <c r="N26" i="331"/>
  <c r="N29" i="331"/>
  <c r="M24" i="331"/>
  <c r="M33" i="331"/>
  <c r="N23" i="331"/>
  <c r="N24" i="331"/>
  <c r="O68" i="330"/>
  <c r="N18" i="331"/>
  <c r="N33" i="331"/>
  <c r="M19" i="331"/>
  <c r="M32" i="331"/>
  <c r="M31" i="331"/>
  <c r="L16" i="331"/>
  <c r="L19" i="331"/>
  <c r="O34" i="330"/>
  <c r="N13" i="331"/>
  <c r="N36" i="331"/>
  <c r="O20" i="330"/>
  <c r="L11" i="331"/>
  <c r="L14" i="331"/>
  <c r="O24" i="330"/>
  <c r="N8" i="331"/>
  <c r="N34" i="331"/>
  <c r="O15" i="330"/>
  <c r="L9" i="331"/>
  <c r="N21" i="329"/>
  <c r="M34" i="329"/>
  <c r="O71" i="325"/>
  <c r="O38" i="325"/>
  <c r="N22" i="329"/>
  <c r="L23" i="329"/>
  <c r="N23" i="329"/>
  <c r="N24" i="329"/>
  <c r="L8" i="329"/>
  <c r="L34" i="329"/>
  <c r="O20" i="325"/>
  <c r="L11" i="329"/>
  <c r="L27" i="329"/>
  <c r="N27" i="329"/>
  <c r="O68" i="325"/>
  <c r="N28" i="329"/>
  <c r="O61" i="325"/>
  <c r="L7" i="329"/>
  <c r="N7" i="329"/>
  <c r="O34" i="325"/>
  <c r="N11" i="329"/>
  <c r="M26" i="329"/>
  <c r="M29" i="329"/>
  <c r="L18" i="329"/>
  <c r="N18" i="329"/>
  <c r="M19" i="329"/>
  <c r="L17" i="329"/>
  <c r="L16" i="329"/>
  <c r="N16" i="329"/>
  <c r="M31" i="329"/>
  <c r="O29" i="325"/>
  <c r="M14" i="329"/>
  <c r="O15" i="325"/>
  <c r="L6" i="329"/>
  <c r="J24" i="326"/>
  <c r="L93" i="323"/>
  <c r="K27" i="326"/>
  <c r="L20" i="323"/>
  <c r="K7" i="326"/>
  <c r="L38" i="323"/>
  <c r="K13" i="326"/>
  <c r="K36" i="326"/>
  <c r="L71" i="323"/>
  <c r="K21" i="326"/>
  <c r="I24" i="326"/>
  <c r="L73" i="323"/>
  <c r="K22" i="326"/>
  <c r="L68" i="323"/>
  <c r="K18" i="326"/>
  <c r="L76" i="323"/>
  <c r="K23" i="326"/>
  <c r="K33" i="326"/>
  <c r="L15" i="323"/>
  <c r="L34" i="323"/>
  <c r="K12" i="326"/>
  <c r="K35" i="326"/>
  <c r="I13" i="326"/>
  <c r="I36" i="326"/>
  <c r="L29" i="323"/>
  <c r="K11" i="326"/>
  <c r="J34" i="326"/>
  <c r="I28" i="326"/>
  <c r="I29" i="326"/>
  <c r="J33" i="326"/>
  <c r="J29" i="326"/>
  <c r="I33" i="326"/>
  <c r="L84" i="323"/>
  <c r="K26" i="326"/>
  <c r="K29" i="326"/>
  <c r="L61" i="323"/>
  <c r="K17" i="326"/>
  <c r="I19" i="326"/>
  <c r="L49" i="323"/>
  <c r="K16" i="326"/>
  <c r="I31" i="326"/>
  <c r="J16" i="326"/>
  <c r="J19" i="326"/>
  <c r="J35" i="326"/>
  <c r="J14" i="326"/>
  <c r="I12" i="326"/>
  <c r="I35" i="326"/>
  <c r="L24" i="323"/>
  <c r="K8" i="326"/>
  <c r="K34" i="326"/>
  <c r="I7" i="326"/>
  <c r="I32" i="326"/>
  <c r="J32" i="326"/>
  <c r="O39" i="324"/>
  <c r="O69" i="324"/>
  <c r="O73" i="324"/>
  <c r="O54" i="324"/>
  <c r="O22" i="324"/>
  <c r="N55" i="324"/>
  <c r="O16" i="324"/>
  <c r="M55" i="324"/>
  <c r="K24" i="326"/>
  <c r="M9" i="328"/>
  <c r="M19" i="328"/>
  <c r="L36" i="328"/>
  <c r="M36" i="328"/>
  <c r="N28" i="328"/>
  <c r="N6" i="331"/>
  <c r="M9" i="331"/>
  <c r="N16" i="331"/>
  <c r="N7" i="331"/>
  <c r="L24" i="331"/>
  <c r="N12" i="329"/>
  <c r="N35" i="329"/>
  <c r="L29" i="329"/>
  <c r="M9" i="329"/>
  <c r="M33" i="329"/>
  <c r="N13" i="329"/>
  <c r="N36" i="329"/>
  <c r="L14" i="329"/>
  <c r="J9" i="326"/>
  <c r="N17" i="328"/>
  <c r="N16" i="328"/>
  <c r="N26" i="328"/>
  <c r="N8" i="328"/>
  <c r="N7" i="328"/>
  <c r="M59" i="327"/>
  <c r="N11" i="328"/>
  <c r="N38" i="327"/>
  <c r="M24" i="327"/>
  <c r="N77" i="327"/>
  <c r="M77" i="327"/>
  <c r="N59" i="327"/>
  <c r="O59" i="327"/>
  <c r="M38" i="327"/>
  <c r="N24" i="327"/>
  <c r="N77" i="330"/>
  <c r="N69" i="330"/>
  <c r="M39" i="330"/>
  <c r="O39" i="330"/>
  <c r="N25" i="330"/>
  <c r="N99" i="330"/>
  <c r="M99" i="330"/>
  <c r="O99" i="330"/>
  <c r="M77" i="330"/>
  <c r="O77" i="330"/>
  <c r="M69" i="330"/>
  <c r="M25" i="330"/>
  <c r="N39" i="330"/>
  <c r="N69" i="325"/>
  <c r="N77" i="325"/>
  <c r="M77" i="325"/>
  <c r="M69" i="325"/>
  <c r="N39" i="325"/>
  <c r="N99" i="325"/>
  <c r="M99" i="325"/>
  <c r="O99" i="325"/>
  <c r="M39" i="325"/>
  <c r="O39" i="325"/>
  <c r="N25" i="325"/>
  <c r="M25" i="325"/>
  <c r="J69" i="323"/>
  <c r="K6" i="326"/>
  <c r="J77" i="323"/>
  <c r="K77" i="323"/>
  <c r="L77" i="323"/>
  <c r="J25" i="323"/>
  <c r="J39" i="323"/>
  <c r="K25" i="323"/>
  <c r="K39" i="323"/>
  <c r="K69" i="323"/>
  <c r="J99" i="323"/>
  <c r="K99" i="323"/>
  <c r="L31" i="328"/>
  <c r="N27" i="328"/>
  <c r="N29" i="328"/>
  <c r="L33" i="328"/>
  <c r="O77" i="327"/>
  <c r="L19" i="328"/>
  <c r="M37" i="328"/>
  <c r="O38" i="327"/>
  <c r="O24" i="327"/>
  <c r="L9" i="328"/>
  <c r="N6" i="328"/>
  <c r="N9" i="328"/>
  <c r="L32" i="331"/>
  <c r="L37" i="331"/>
  <c r="L31" i="331"/>
  <c r="N32" i="331"/>
  <c r="N19" i="331"/>
  <c r="O69" i="330"/>
  <c r="M37" i="331"/>
  <c r="O25" i="330"/>
  <c r="N33" i="329"/>
  <c r="M32" i="329"/>
  <c r="L33" i="329"/>
  <c r="O77" i="325"/>
  <c r="N8" i="329"/>
  <c r="N34" i="329"/>
  <c r="N26" i="329"/>
  <c r="N29" i="329"/>
  <c r="L24" i="329"/>
  <c r="M37" i="329"/>
  <c r="N17" i="329"/>
  <c r="L32" i="329"/>
  <c r="L19" i="329"/>
  <c r="L31" i="329"/>
  <c r="O69" i="325"/>
  <c r="L9" i="329"/>
  <c r="N6" i="329"/>
  <c r="N9" i="329"/>
  <c r="O25" i="325"/>
  <c r="K19" i="326"/>
  <c r="I34" i="326"/>
  <c r="K31" i="326"/>
  <c r="K32" i="326"/>
  <c r="K14" i="326"/>
  <c r="I37" i="326"/>
  <c r="L99" i="323"/>
  <c r="L69" i="323"/>
  <c r="J31" i="326"/>
  <c r="J37" i="326"/>
  <c r="L39" i="323"/>
  <c r="I14" i="326"/>
  <c r="I9" i="326"/>
  <c r="L25" i="323"/>
  <c r="O55" i="324"/>
  <c r="K9" i="326"/>
  <c r="N34" i="328"/>
  <c r="N14" i="328"/>
  <c r="N31" i="331"/>
  <c r="N37" i="331"/>
  <c r="N9" i="331"/>
  <c r="N14" i="329"/>
  <c r="N32" i="328"/>
  <c r="N19" i="328"/>
  <c r="N31" i="328"/>
  <c r="M79" i="327"/>
  <c r="N79" i="327"/>
  <c r="N100" i="330"/>
  <c r="M100" i="330"/>
  <c r="N101" i="325"/>
  <c r="M101" i="325"/>
  <c r="K101" i="323"/>
  <c r="J101" i="323"/>
  <c r="L37" i="328"/>
  <c r="N33" i="328"/>
  <c r="O79" i="327"/>
  <c r="O100" i="330"/>
  <c r="N32" i="329"/>
  <c r="L37" i="329"/>
  <c r="N19" i="329"/>
  <c r="O101" i="325"/>
  <c r="N31" i="329"/>
  <c r="N37" i="329"/>
  <c r="K37" i="326"/>
  <c r="L101" i="323"/>
  <c r="N37" i="328"/>
  <c r="O31" i="309"/>
  <c r="W52" i="47"/>
  <c r="V52" i="47"/>
  <c r="U52" i="47"/>
  <c r="T52" i="47"/>
  <c r="S52" i="47"/>
  <c r="R52" i="47"/>
  <c r="X51" i="47"/>
  <c r="X50" i="47"/>
  <c r="X49" i="47"/>
  <c r="X48" i="47"/>
  <c r="X47" i="47"/>
  <c r="N86" i="46"/>
  <c r="N70" i="46"/>
  <c r="N54" i="46"/>
  <c r="N48" i="46"/>
  <c r="N32" i="46"/>
  <c r="N19" i="46"/>
  <c r="X52" i="47"/>
  <c r="L19" i="320"/>
  <c r="M19" i="320"/>
  <c r="N19" i="320"/>
  <c r="L19" i="313"/>
  <c r="L6" i="313"/>
  <c r="M6" i="313"/>
  <c r="N11" i="313"/>
  <c r="M28" i="313"/>
  <c r="N23" i="313"/>
  <c r="M30" i="313"/>
  <c r="M14" i="313"/>
  <c r="U23" i="282"/>
  <c r="V30" i="282"/>
  <c r="V31" i="282"/>
  <c r="U30" i="282"/>
  <c r="U31" i="282"/>
  <c r="V14" i="282"/>
  <c r="U14" i="282"/>
  <c r="AG46" i="314"/>
  <c r="AD46" i="314"/>
  <c r="AC53" i="314"/>
  <c r="AE53" i="314"/>
  <c r="AF53" i="314"/>
  <c r="AB53" i="314"/>
  <c r="AG51" i="314"/>
  <c r="AG52" i="314"/>
  <c r="AG50" i="314"/>
  <c r="AG53" i="314"/>
  <c r="V21" i="282"/>
  <c r="AD51" i="314"/>
  <c r="AD52" i="314"/>
  <c r="AD50" i="314"/>
  <c r="AD53" i="314"/>
  <c r="U21" i="282"/>
  <c r="AC38" i="314"/>
  <c r="AD36" i="314"/>
  <c r="AF38" i="314"/>
  <c r="AG36" i="314"/>
  <c r="AG38" i="314"/>
  <c r="AB38" i="314"/>
  <c r="AB41" i="314"/>
  <c r="AE38" i="314"/>
  <c r="AG37" i="314"/>
  <c r="AD37" i="314"/>
  <c r="AD38" i="314"/>
  <c r="U17" i="282"/>
  <c r="AG22" i="314"/>
  <c r="AG24" i="314"/>
  <c r="V7" i="282"/>
  <c r="AD22" i="314"/>
  <c r="AG7" i="314"/>
  <c r="AD7" i="314"/>
  <c r="AC24" i="314"/>
  <c r="AE24" i="314"/>
  <c r="AF24" i="314"/>
  <c r="AG23" i="314"/>
  <c r="AB24" i="314"/>
  <c r="AD23" i="314"/>
  <c r="AD24" i="314"/>
  <c r="U7" i="282"/>
  <c r="AG6" i="314"/>
  <c r="AG8" i="314"/>
  <c r="AG9" i="314"/>
  <c r="AG10" i="314"/>
  <c r="AG11" i="314"/>
  <c r="AG13" i="314"/>
  <c r="AG14" i="314"/>
  <c r="AG16" i="314"/>
  <c r="AG19" i="314"/>
  <c r="V6" i="282"/>
  <c r="AG32" i="314"/>
  <c r="AG33" i="314"/>
  <c r="AG34" i="314"/>
  <c r="AG35" i="314"/>
  <c r="V16" i="282"/>
  <c r="AG45" i="314"/>
  <c r="AG47" i="314"/>
  <c r="AG48" i="314"/>
  <c r="V22" i="282"/>
  <c r="AG42" i="314"/>
  <c r="AG43" i="314"/>
  <c r="AF15" i="314"/>
  <c r="AF19" i="314"/>
  <c r="AF35" i="314"/>
  <c r="AF48" i="314"/>
  <c r="AF43" i="314"/>
  <c r="AE15" i="314"/>
  <c r="AE19" i="314"/>
  <c r="AE35" i="314"/>
  <c r="AE41" i="314"/>
  <c r="AE48" i="314"/>
  <c r="AE43" i="314"/>
  <c r="AD6" i="314"/>
  <c r="AD8" i="314"/>
  <c r="AD9" i="314"/>
  <c r="AD10" i="314"/>
  <c r="AD11" i="314"/>
  <c r="AD13" i="314"/>
  <c r="AD14" i="314"/>
  <c r="AD16" i="314"/>
  <c r="AD19" i="314"/>
  <c r="U6" i="282"/>
  <c r="AD32" i="314"/>
  <c r="AD33" i="314"/>
  <c r="AD34" i="314"/>
  <c r="AD35" i="314"/>
  <c r="AD45" i="314"/>
  <c r="AD47" i="314"/>
  <c r="AD48" i="314"/>
  <c r="U22" i="282"/>
  <c r="AD42" i="314"/>
  <c r="AD43" i="314"/>
  <c r="AC15" i="314"/>
  <c r="AC19" i="314"/>
  <c r="AC35" i="314"/>
  <c r="AC48" i="314"/>
  <c r="AC54" i="314"/>
  <c r="AC43" i="314"/>
  <c r="AB15" i="314"/>
  <c r="AB19" i="314"/>
  <c r="AB35" i="314"/>
  <c r="AB48" i="314"/>
  <c r="AB43" i="314"/>
  <c r="S9" i="342"/>
  <c r="R24" i="342"/>
  <c r="O23" i="342"/>
  <c r="U43" i="339"/>
  <c r="R43" i="339"/>
  <c r="U90" i="339"/>
  <c r="R90" i="339"/>
  <c r="S101" i="339"/>
  <c r="S99" i="339"/>
  <c r="R23" i="342"/>
  <c r="S96" i="339"/>
  <c r="R22" i="342"/>
  <c r="S93" i="339"/>
  <c r="R14" i="342"/>
  <c r="R37" i="342"/>
  <c r="S87" i="339"/>
  <c r="R13" i="342"/>
  <c r="R36" i="342"/>
  <c r="S83" i="339"/>
  <c r="R12" i="342"/>
  <c r="S64" i="339"/>
  <c r="S73" i="339"/>
  <c r="R28" i="342"/>
  <c r="S78" i="339"/>
  <c r="R29" i="342"/>
  <c r="S36" i="339"/>
  <c r="R17" i="342"/>
  <c r="S49" i="339"/>
  <c r="R18" i="342"/>
  <c r="S56" i="339"/>
  <c r="R19" i="342"/>
  <c r="S25" i="339"/>
  <c r="R9" i="342"/>
  <c r="S21" i="339"/>
  <c r="R8" i="342"/>
  <c r="S16" i="339"/>
  <c r="U16" i="339"/>
  <c r="T7" i="342"/>
  <c r="T101" i="339"/>
  <c r="S24" i="342"/>
  <c r="T99" i="339"/>
  <c r="S23" i="342"/>
  <c r="T96" i="339"/>
  <c r="S22" i="342"/>
  <c r="T93" i="339"/>
  <c r="S14" i="342"/>
  <c r="S37" i="342"/>
  <c r="T87" i="339"/>
  <c r="S13" i="342"/>
  <c r="S36" i="342"/>
  <c r="T83" i="339"/>
  <c r="S12" i="342"/>
  <c r="T64" i="339"/>
  <c r="S27" i="342"/>
  <c r="T73" i="339"/>
  <c r="S28" i="342"/>
  <c r="T78" i="339"/>
  <c r="S29" i="342"/>
  <c r="T36" i="339"/>
  <c r="S17" i="342"/>
  <c r="T49" i="339"/>
  <c r="T56" i="339"/>
  <c r="S19" i="342"/>
  <c r="T25" i="339"/>
  <c r="T21" i="339"/>
  <c r="S8" i="342"/>
  <c r="T16" i="339"/>
  <c r="S7" i="342"/>
  <c r="P101" i="339"/>
  <c r="O24" i="342"/>
  <c r="P99" i="339"/>
  <c r="P96" i="339"/>
  <c r="O22" i="342"/>
  <c r="P93" i="339"/>
  <c r="P94" i="339"/>
  <c r="P87" i="339"/>
  <c r="O13" i="342"/>
  <c r="P83" i="339"/>
  <c r="O12" i="342"/>
  <c r="P64" i="339"/>
  <c r="P73" i="339"/>
  <c r="P78" i="339"/>
  <c r="O29" i="342"/>
  <c r="P36" i="339"/>
  <c r="O17" i="342"/>
  <c r="P49" i="339"/>
  <c r="O18" i="342"/>
  <c r="P56" i="339"/>
  <c r="O19" i="342"/>
  <c r="P25" i="339"/>
  <c r="P21" i="339"/>
  <c r="P16" i="339"/>
  <c r="O7" i="342"/>
  <c r="Q101" i="339"/>
  <c r="P24" i="342"/>
  <c r="Q99" i="339"/>
  <c r="Q102" i="339"/>
  <c r="Q96" i="339"/>
  <c r="P22" i="342"/>
  <c r="Q93" i="339"/>
  <c r="P14" i="342"/>
  <c r="P37" i="342"/>
  <c r="Q87" i="339"/>
  <c r="P13" i="342"/>
  <c r="P36" i="342"/>
  <c r="Q83" i="339"/>
  <c r="Q64" i="339"/>
  <c r="P27" i="342"/>
  <c r="Q73" i="339"/>
  <c r="P28" i="342"/>
  <c r="Q78" i="339"/>
  <c r="P29" i="342"/>
  <c r="Q36" i="339"/>
  <c r="P17" i="342"/>
  <c r="Q49" i="339"/>
  <c r="P18" i="342"/>
  <c r="Q56" i="339"/>
  <c r="R56" i="339"/>
  <c r="Q19" i="342"/>
  <c r="Q25" i="339"/>
  <c r="P9" i="342"/>
  <c r="Q21" i="339"/>
  <c r="P8" i="342"/>
  <c r="Q16" i="339"/>
  <c r="P7" i="342"/>
  <c r="U100" i="339"/>
  <c r="U101" i="339"/>
  <c r="T24" i="342"/>
  <c r="U98" i="339"/>
  <c r="U99" i="339"/>
  <c r="U95" i="339"/>
  <c r="U96" i="339"/>
  <c r="T22" i="342"/>
  <c r="R100" i="339"/>
  <c r="R101" i="339"/>
  <c r="Q24" i="342"/>
  <c r="R98" i="339"/>
  <c r="R99" i="339"/>
  <c r="Q23" i="342"/>
  <c r="R95" i="339"/>
  <c r="R96" i="339"/>
  <c r="Q22" i="342"/>
  <c r="U89" i="339"/>
  <c r="U91" i="339"/>
  <c r="U84" i="339"/>
  <c r="U85" i="339"/>
  <c r="U87" i="339"/>
  <c r="T13" i="342"/>
  <c r="T36" i="342"/>
  <c r="U86" i="339"/>
  <c r="U80" i="339"/>
  <c r="U81" i="339"/>
  <c r="U82" i="339"/>
  <c r="R89" i="339"/>
  <c r="R93" i="339"/>
  <c r="Q14" i="342"/>
  <c r="Q37" i="342"/>
  <c r="R91" i="339"/>
  <c r="R84" i="339"/>
  <c r="R87" i="339"/>
  <c r="Q13" i="342"/>
  <c r="Q36" i="342"/>
  <c r="R85" i="339"/>
  <c r="R86" i="339"/>
  <c r="R80" i="339"/>
  <c r="R81" i="339"/>
  <c r="R82" i="339"/>
  <c r="U78" i="339"/>
  <c r="T29" i="342"/>
  <c r="U77" i="339"/>
  <c r="R77" i="339"/>
  <c r="U76" i="339"/>
  <c r="R76" i="339"/>
  <c r="U75" i="339"/>
  <c r="R75" i="339"/>
  <c r="U74" i="339"/>
  <c r="R74" i="339"/>
  <c r="U72" i="339"/>
  <c r="R72" i="339"/>
  <c r="U71" i="339"/>
  <c r="R71" i="339"/>
  <c r="U70" i="339"/>
  <c r="R70" i="339"/>
  <c r="U69" i="339"/>
  <c r="R69" i="339"/>
  <c r="U68" i="339"/>
  <c r="R68" i="339"/>
  <c r="U67" i="339"/>
  <c r="R67" i="339"/>
  <c r="U66" i="339"/>
  <c r="R66" i="339"/>
  <c r="U65" i="339"/>
  <c r="R65" i="339"/>
  <c r="R64" i="339"/>
  <c r="Q27" i="342"/>
  <c r="U63" i="339"/>
  <c r="R63" i="339"/>
  <c r="U62" i="339"/>
  <c r="R62" i="339"/>
  <c r="U61" i="339"/>
  <c r="R61" i="339"/>
  <c r="U60" i="339"/>
  <c r="R60" i="339"/>
  <c r="U59" i="339"/>
  <c r="R59" i="339"/>
  <c r="U58" i="339"/>
  <c r="R58" i="339"/>
  <c r="U55" i="339"/>
  <c r="R55" i="339"/>
  <c r="U54" i="339"/>
  <c r="R54" i="339"/>
  <c r="U53" i="339"/>
  <c r="R53" i="339"/>
  <c r="U52" i="339"/>
  <c r="R52" i="339"/>
  <c r="U51" i="339"/>
  <c r="R51" i="339"/>
  <c r="U50" i="339"/>
  <c r="R50" i="339"/>
  <c r="U48" i="339"/>
  <c r="R48" i="339"/>
  <c r="U47" i="339"/>
  <c r="R47" i="339"/>
  <c r="U46" i="339"/>
  <c r="R46" i="339"/>
  <c r="U45" i="339"/>
  <c r="R45" i="339"/>
  <c r="U44" i="339"/>
  <c r="R44" i="339"/>
  <c r="U42" i="339"/>
  <c r="R42" i="339"/>
  <c r="U41" i="339"/>
  <c r="R41" i="339"/>
  <c r="U40" i="339"/>
  <c r="R40" i="339"/>
  <c r="U39" i="339"/>
  <c r="R39" i="339"/>
  <c r="U38" i="339"/>
  <c r="R38" i="339"/>
  <c r="U37" i="339"/>
  <c r="R37" i="339"/>
  <c r="U35" i="339"/>
  <c r="R35" i="339"/>
  <c r="U34" i="339"/>
  <c r="R34" i="339"/>
  <c r="U33" i="339"/>
  <c r="R33" i="339"/>
  <c r="U32" i="339"/>
  <c r="R32" i="339"/>
  <c r="U31" i="339"/>
  <c r="R31" i="339"/>
  <c r="U30" i="339"/>
  <c r="R30" i="339"/>
  <c r="U29" i="339"/>
  <c r="R29" i="339"/>
  <c r="U28" i="339"/>
  <c r="R28" i="339"/>
  <c r="U27" i="339"/>
  <c r="R27" i="339"/>
  <c r="U25" i="339"/>
  <c r="T9" i="342"/>
  <c r="U24" i="339"/>
  <c r="R24" i="339"/>
  <c r="U23" i="339"/>
  <c r="R23" i="339"/>
  <c r="U22" i="339"/>
  <c r="R22" i="339"/>
  <c r="U21" i="339"/>
  <c r="T8" i="342"/>
  <c r="U20" i="339"/>
  <c r="R20" i="339"/>
  <c r="U19" i="339"/>
  <c r="R19" i="339"/>
  <c r="U18" i="339"/>
  <c r="R18" i="339"/>
  <c r="U17" i="339"/>
  <c r="R17" i="339"/>
  <c r="R16" i="339"/>
  <c r="Q7" i="342"/>
  <c r="U15" i="339"/>
  <c r="R15" i="339"/>
  <c r="U14" i="339"/>
  <c r="R14" i="339"/>
  <c r="U13" i="339"/>
  <c r="R13" i="339"/>
  <c r="U12" i="339"/>
  <c r="R12" i="339"/>
  <c r="U11" i="339"/>
  <c r="R11" i="339"/>
  <c r="U10" i="339"/>
  <c r="R10" i="339"/>
  <c r="U9" i="339"/>
  <c r="R9" i="339"/>
  <c r="U8" i="339"/>
  <c r="R8" i="339"/>
  <c r="U7" i="339"/>
  <c r="R7" i="339"/>
  <c r="U6" i="339"/>
  <c r="R6" i="339"/>
  <c r="N12" i="312"/>
  <c r="N26" i="312"/>
  <c r="N27" i="312"/>
  <c r="L40" i="312"/>
  <c r="M40" i="312"/>
  <c r="N40" i="312"/>
  <c r="N21" i="312"/>
  <c r="N22" i="312"/>
  <c r="N23" i="312"/>
  <c r="N24" i="312"/>
  <c r="M24" i="312"/>
  <c r="L24" i="312"/>
  <c r="O67" i="309"/>
  <c r="O68" i="309" s="1"/>
  <c r="O63" i="309"/>
  <c r="O64" i="309"/>
  <c r="O60" i="309"/>
  <c r="O61" i="309"/>
  <c r="O62" i="309" s="1"/>
  <c r="O54" i="309"/>
  <c r="O55" i="309"/>
  <c r="O56" i="309"/>
  <c r="O57" i="309"/>
  <c r="O46" i="309"/>
  <c r="O47" i="309"/>
  <c r="O48" i="309"/>
  <c r="O49" i="309"/>
  <c r="O50" i="309"/>
  <c r="O51" i="309"/>
  <c r="O52" i="309"/>
  <c r="O41" i="309"/>
  <c r="O42" i="309"/>
  <c r="O43" i="309"/>
  <c r="O44" i="309"/>
  <c r="O45" i="309" s="1"/>
  <c r="O35" i="309"/>
  <c r="O39" i="309" s="1"/>
  <c r="N18" i="312" s="1"/>
  <c r="O36" i="309"/>
  <c r="O37" i="309"/>
  <c r="O38" i="309"/>
  <c r="O27" i="309"/>
  <c r="O28" i="309"/>
  <c r="O29" i="309"/>
  <c r="O30" i="309"/>
  <c r="O32" i="309"/>
  <c r="O33" i="309"/>
  <c r="O21" i="309"/>
  <c r="O22" i="309"/>
  <c r="O23" i="309"/>
  <c r="O24" i="309"/>
  <c r="O25" i="309"/>
  <c r="O5" i="309"/>
  <c r="O12" i="309" s="1"/>
  <c r="N6" i="312" s="1"/>
  <c r="O6" i="309"/>
  <c r="O7" i="309"/>
  <c r="O8" i="309"/>
  <c r="O9" i="309"/>
  <c r="O10" i="309"/>
  <c r="O11" i="309"/>
  <c r="O13" i="309"/>
  <c r="O14" i="309"/>
  <c r="O17" i="309" s="1"/>
  <c r="N7" i="312" s="1"/>
  <c r="O15" i="309"/>
  <c r="O16" i="309"/>
  <c r="O18" i="309"/>
  <c r="O19" i="309" s="1"/>
  <c r="N68" i="309"/>
  <c r="M28" i="312" s="1"/>
  <c r="M29" i="312" s="1"/>
  <c r="N65" i="309"/>
  <c r="N66" i="309" s="1"/>
  <c r="N62" i="309"/>
  <c r="M11" i="312" s="1"/>
  <c r="N58" i="309"/>
  <c r="N53" i="309"/>
  <c r="M32" i="312"/>
  <c r="N45" i="309"/>
  <c r="M31" i="312" s="1"/>
  <c r="N39" i="309"/>
  <c r="M18" i="312" s="1"/>
  <c r="N34" i="309"/>
  <c r="M17" i="312" s="1"/>
  <c r="N26" i="309"/>
  <c r="N19" i="309"/>
  <c r="M8" i="312" s="1"/>
  <c r="N17" i="309"/>
  <c r="M7" i="312" s="1"/>
  <c r="N12" i="309"/>
  <c r="M68" i="309"/>
  <c r="M69" i="309"/>
  <c r="M65" i="309"/>
  <c r="L13" i="312" s="1"/>
  <c r="L41" i="312" s="1"/>
  <c r="M62" i="309"/>
  <c r="M58" i="309"/>
  <c r="L33" i="312" s="1"/>
  <c r="M53" i="309"/>
  <c r="L32" i="312" s="1"/>
  <c r="M45" i="309"/>
  <c r="L31" i="312" s="1"/>
  <c r="M39" i="309"/>
  <c r="L18" i="312" s="1"/>
  <c r="M34" i="309"/>
  <c r="L17" i="312" s="1"/>
  <c r="M26" i="309"/>
  <c r="L16" i="312" s="1"/>
  <c r="L36" i="312" s="1"/>
  <c r="M19" i="309"/>
  <c r="L8" i="312" s="1"/>
  <c r="M17" i="309"/>
  <c r="L7" i="312" s="1"/>
  <c r="M12" i="309"/>
  <c r="J21" i="311"/>
  <c r="J22" i="311"/>
  <c r="J23" i="311"/>
  <c r="I21" i="311"/>
  <c r="I22" i="311"/>
  <c r="I23" i="311"/>
  <c r="J24" i="311"/>
  <c r="I24" i="311"/>
  <c r="K100" i="308"/>
  <c r="K94" i="308"/>
  <c r="J94" i="308"/>
  <c r="K97" i="308"/>
  <c r="K101" i="308"/>
  <c r="K90" i="308"/>
  <c r="J13" i="311"/>
  <c r="J36" i="311"/>
  <c r="K85" i="308"/>
  <c r="J12" i="311"/>
  <c r="J35" i="311"/>
  <c r="K81" i="308"/>
  <c r="J11" i="311"/>
  <c r="K76" i="308"/>
  <c r="J28" i="311"/>
  <c r="K71" i="308"/>
  <c r="J27" i="311"/>
  <c r="K62" i="308"/>
  <c r="J26" i="311"/>
  <c r="K54" i="308"/>
  <c r="J18" i="311"/>
  <c r="K47" i="308"/>
  <c r="J17" i="311"/>
  <c r="K35" i="308"/>
  <c r="J16" i="311"/>
  <c r="J19" i="311"/>
  <c r="K24" i="308"/>
  <c r="J8" i="311"/>
  <c r="K20" i="308"/>
  <c r="J7" i="311"/>
  <c r="K15" i="308"/>
  <c r="J6" i="311"/>
  <c r="J97" i="308"/>
  <c r="J90" i="308"/>
  <c r="J85" i="308"/>
  <c r="I12" i="311"/>
  <c r="I35" i="311"/>
  <c r="J81" i="308"/>
  <c r="I11" i="311"/>
  <c r="J76" i="308"/>
  <c r="I28" i="311"/>
  <c r="J71" i="308"/>
  <c r="I27" i="311"/>
  <c r="J62" i="308"/>
  <c r="I26" i="311"/>
  <c r="J54" i="308"/>
  <c r="I18" i="311"/>
  <c r="J47" i="308"/>
  <c r="I17" i="311"/>
  <c r="J35" i="308"/>
  <c r="I16" i="311"/>
  <c r="J24" i="308"/>
  <c r="I8" i="311"/>
  <c r="J20" i="308"/>
  <c r="J15" i="308"/>
  <c r="I6" i="311"/>
  <c r="AK96" i="270"/>
  <c r="AJ21" i="271"/>
  <c r="AK99" i="270"/>
  <c r="AJ22" i="271"/>
  <c r="AK102" i="270"/>
  <c r="AJ23" i="271"/>
  <c r="AI21" i="271"/>
  <c r="AI22" i="271"/>
  <c r="AI23" i="271"/>
  <c r="AJ24" i="271"/>
  <c r="AI24" i="271"/>
  <c r="AJ96" i="270"/>
  <c r="AG21" i="271"/>
  <c r="AH21" i="271"/>
  <c r="AG23" i="271"/>
  <c r="AH23" i="271"/>
  <c r="AG22" i="271"/>
  <c r="AH22" i="271"/>
  <c r="AJ103" i="270"/>
  <c r="AK103" i="270"/>
  <c r="AJ92" i="270"/>
  <c r="AI13" i="271" s="1"/>
  <c r="AI36" i="271" s="1"/>
  <c r="AK92" i="270"/>
  <c r="AJ13" i="271" s="1"/>
  <c r="AJ36" i="271" s="1"/>
  <c r="AJ87" i="270"/>
  <c r="AJ93" i="270" s="1"/>
  <c r="AJ83" i="270"/>
  <c r="AI11" i="271" s="1"/>
  <c r="AK87" i="270"/>
  <c r="AJ12" i="271" s="1"/>
  <c r="AJ35" i="271" s="1"/>
  <c r="AK83" i="270"/>
  <c r="AJ11" i="271"/>
  <c r="AJ63" i="270"/>
  <c r="AI26" i="271" s="1"/>
  <c r="AK63" i="270"/>
  <c r="AJ26" i="271" s="1"/>
  <c r="AJ72" i="270"/>
  <c r="AJ78" i="270"/>
  <c r="AK72" i="270"/>
  <c r="AJ27" i="271" s="1"/>
  <c r="AJ77" i="270"/>
  <c r="AI28" i="271" s="1"/>
  <c r="AK77" i="270"/>
  <c r="AJ28" i="271" s="1"/>
  <c r="AJ102" i="270"/>
  <c r="AJ99" i="270"/>
  <c r="AJ55" i="270"/>
  <c r="AI18" i="271" s="1"/>
  <c r="AK55" i="270"/>
  <c r="AJ18" i="271" s="1"/>
  <c r="AJ48" i="270"/>
  <c r="AJ36" i="270"/>
  <c r="AI16" i="271" s="1"/>
  <c r="AK48" i="270"/>
  <c r="AJ17" i="271"/>
  <c r="AK36" i="270"/>
  <c r="AJ16" i="271" s="1"/>
  <c r="AJ15" i="270"/>
  <c r="AI6" i="271" s="1"/>
  <c r="AK15" i="270"/>
  <c r="AJ6" i="271" s="1"/>
  <c r="AJ20" i="270"/>
  <c r="AI7" i="271" s="1"/>
  <c r="AK20" i="270"/>
  <c r="AJ7" i="271" s="1"/>
  <c r="AJ24" i="270"/>
  <c r="AI8" i="271" s="1"/>
  <c r="AK24" i="270"/>
  <c r="AJ8" i="271" s="1"/>
  <c r="Z28" i="253"/>
  <c r="Z27" i="253"/>
  <c r="Z26" i="253"/>
  <c r="Z18" i="253"/>
  <c r="Z17" i="253"/>
  <c r="Z16" i="253"/>
  <c r="Z13" i="253"/>
  <c r="Z36" i="253"/>
  <c r="Z12" i="253"/>
  <c r="Z35" i="253"/>
  <c r="Z11" i="253"/>
  <c r="Z8" i="253"/>
  <c r="Z34" i="253"/>
  <c r="Z7" i="253"/>
  <c r="Z6" i="253"/>
  <c r="Z101" i="275"/>
  <c r="Z23" i="253"/>
  <c r="Z99" i="275"/>
  <c r="Z22" i="253"/>
  <c r="Z96" i="275"/>
  <c r="Z21" i="253"/>
  <c r="Z93" i="275"/>
  <c r="Z88" i="275"/>
  <c r="Z84" i="275"/>
  <c r="Z94" i="275"/>
  <c r="Z78" i="275"/>
  <c r="Z73" i="275"/>
  <c r="Z64" i="275"/>
  <c r="Z56" i="275"/>
  <c r="Z49" i="275"/>
  <c r="Z36" i="275"/>
  <c r="Z57" i="275"/>
  <c r="Z25" i="275"/>
  <c r="Z21" i="275"/>
  <c r="Z16" i="275"/>
  <c r="AK36" i="297"/>
  <c r="AL36" i="297"/>
  <c r="AJ36" i="297"/>
  <c r="AK35" i="297"/>
  <c r="AJ35" i="297"/>
  <c r="AK34" i="297"/>
  <c r="AJ34" i="297"/>
  <c r="AL34" i="297"/>
  <c r="AK33" i="297"/>
  <c r="AJ33" i="297"/>
  <c r="AL33" i="297"/>
  <c r="AK32" i="297"/>
  <c r="AK37" i="297"/>
  <c r="AJ32" i="297"/>
  <c r="AK31" i="297"/>
  <c r="AJ31" i="297"/>
  <c r="AK29" i="297"/>
  <c r="AJ29" i="297"/>
  <c r="AL28" i="297"/>
  <c r="AL27" i="297"/>
  <c r="AL26" i="297"/>
  <c r="AL29" i="297"/>
  <c r="AK24" i="297"/>
  <c r="AJ24" i="297"/>
  <c r="AL23" i="297"/>
  <c r="AL22" i="297"/>
  <c r="AL21" i="297"/>
  <c r="AK19" i="297"/>
  <c r="AJ19" i="297"/>
  <c r="AL18" i="297"/>
  <c r="AL17" i="297"/>
  <c r="AL16" i="297"/>
  <c r="AK14" i="297"/>
  <c r="AJ14" i="297"/>
  <c r="AL13" i="297"/>
  <c r="AL12" i="297"/>
  <c r="AL11" i="297"/>
  <c r="AL14" i="297"/>
  <c r="AK9" i="297"/>
  <c r="AJ9" i="297"/>
  <c r="AL8" i="297"/>
  <c r="AL7" i="297"/>
  <c r="AL9" i="297"/>
  <c r="AL6" i="297"/>
  <c r="BY28" i="98"/>
  <c r="BX28" i="98"/>
  <c r="BW28" i="98"/>
  <c r="BY27" i="98"/>
  <c r="BX27" i="98"/>
  <c r="BW27" i="98"/>
  <c r="BW29" i="98"/>
  <c r="BY26" i="98"/>
  <c r="BX26" i="98"/>
  <c r="BW26" i="98"/>
  <c r="BY22" i="98"/>
  <c r="BX22" i="98"/>
  <c r="BW22" i="98"/>
  <c r="BY21" i="98"/>
  <c r="BX21" i="98"/>
  <c r="BW21" i="98"/>
  <c r="BW24" i="98"/>
  <c r="BY18" i="98"/>
  <c r="BX18" i="98"/>
  <c r="BW18" i="98"/>
  <c r="BY17" i="98"/>
  <c r="BY19" i="98"/>
  <c r="BX17" i="98"/>
  <c r="BW17" i="98"/>
  <c r="BY16" i="98"/>
  <c r="BX16" i="98"/>
  <c r="BX19" i="98"/>
  <c r="BW16" i="98"/>
  <c r="BW19" i="98"/>
  <c r="BY12" i="98"/>
  <c r="BY35" i="98"/>
  <c r="BX12" i="98"/>
  <c r="BX35" i="98"/>
  <c r="BW12" i="98"/>
  <c r="BW35" i="98"/>
  <c r="BY11" i="98"/>
  <c r="BX11" i="98"/>
  <c r="BW11" i="98"/>
  <c r="BW32" i="98"/>
  <c r="BY8" i="98"/>
  <c r="BY9" i="98"/>
  <c r="BX8" i="98"/>
  <c r="BW8" i="98"/>
  <c r="BY7" i="98"/>
  <c r="BX7" i="98"/>
  <c r="BW7" i="98"/>
  <c r="BY6" i="98"/>
  <c r="BX6" i="98"/>
  <c r="BW6" i="98"/>
  <c r="Z14" i="253"/>
  <c r="Z19" i="253"/>
  <c r="Z102" i="275"/>
  <c r="Z79" i="275"/>
  <c r="AL24" i="297"/>
  <c r="AL19" i="297"/>
  <c r="AJ37" i="297"/>
  <c r="AL35" i="297"/>
  <c r="AL31" i="297"/>
  <c r="L28" i="318"/>
  <c r="K28" i="318"/>
  <c r="J28" i="318"/>
  <c r="I28" i="318"/>
  <c r="H28" i="318"/>
  <c r="E28" i="318"/>
  <c r="D28" i="318"/>
  <c r="C28" i="318"/>
  <c r="L27" i="318"/>
  <c r="M27" i="318"/>
  <c r="N27" i="318"/>
  <c r="F27" i="318"/>
  <c r="L26" i="318"/>
  <c r="M26" i="318"/>
  <c r="N26" i="318"/>
  <c r="F26" i="318"/>
  <c r="F28" i="318"/>
  <c r="L24" i="318"/>
  <c r="M24" i="318"/>
  <c r="N24" i="318"/>
  <c r="K24" i="318"/>
  <c r="J24" i="318"/>
  <c r="I24" i="318"/>
  <c r="H24" i="318"/>
  <c r="F24" i="318"/>
  <c r="E24" i="318"/>
  <c r="D24" i="318"/>
  <c r="C24" i="318"/>
  <c r="L23" i="318"/>
  <c r="M23" i="318"/>
  <c r="N23" i="318"/>
  <c r="F23" i="318"/>
  <c r="M22" i="318"/>
  <c r="N22" i="318"/>
  <c r="L22" i="318"/>
  <c r="F22" i="318"/>
  <c r="L21" i="318"/>
  <c r="M21" i="318"/>
  <c r="N21" i="318"/>
  <c r="F21" i="318"/>
  <c r="K19" i="318"/>
  <c r="J19" i="318"/>
  <c r="J30" i="318"/>
  <c r="I19" i="318"/>
  <c r="I30" i="318"/>
  <c r="H19" i="318"/>
  <c r="F19" i="318"/>
  <c r="E19" i="318"/>
  <c r="D19" i="318"/>
  <c r="C19" i="318"/>
  <c r="L18" i="318"/>
  <c r="M18" i="318"/>
  <c r="N18" i="318"/>
  <c r="F18" i="318"/>
  <c r="L17" i="318"/>
  <c r="M17" i="318"/>
  <c r="N17" i="318"/>
  <c r="F17" i="318"/>
  <c r="M16" i="318"/>
  <c r="N16" i="318"/>
  <c r="L16" i="318"/>
  <c r="F16" i="318"/>
  <c r="L14" i="318"/>
  <c r="K14" i="318"/>
  <c r="J14" i="318"/>
  <c r="I14" i="318"/>
  <c r="H14" i="318"/>
  <c r="E14" i="318"/>
  <c r="E30" i="318"/>
  <c r="D14" i="318"/>
  <c r="D30" i="318"/>
  <c r="C14" i="318"/>
  <c r="L13" i="318"/>
  <c r="M13" i="318"/>
  <c r="N13" i="318"/>
  <c r="F13" i="318"/>
  <c r="L12" i="318"/>
  <c r="M12" i="318"/>
  <c r="N12" i="318"/>
  <c r="F12" i="318"/>
  <c r="L11" i="318"/>
  <c r="M11" i="318"/>
  <c r="N11" i="318"/>
  <c r="F11" i="318"/>
  <c r="F14" i="318"/>
  <c r="L9" i="318"/>
  <c r="K9" i="318"/>
  <c r="K30" i="318"/>
  <c r="J9" i="318"/>
  <c r="I9" i="318"/>
  <c r="H9" i="318"/>
  <c r="H30" i="318"/>
  <c r="E9" i="318"/>
  <c r="D9" i="318"/>
  <c r="C9" i="318"/>
  <c r="C30" i="318"/>
  <c r="L8" i="318"/>
  <c r="M8" i="318"/>
  <c r="N8" i="318"/>
  <c r="F8" i="318"/>
  <c r="L7" i="318"/>
  <c r="M7" i="318"/>
  <c r="N7" i="318"/>
  <c r="F7" i="318"/>
  <c r="L6" i="318"/>
  <c r="M6" i="318"/>
  <c r="N6" i="318"/>
  <c r="F6" i="318"/>
  <c r="F9" i="318"/>
  <c r="F32" i="318"/>
  <c r="M28" i="318"/>
  <c r="N28" i="318"/>
  <c r="F30" i="318"/>
  <c r="M14" i="318"/>
  <c r="N14" i="318"/>
  <c r="M9" i="318"/>
  <c r="N9" i="318"/>
  <c r="N15" i="314"/>
  <c r="M15" i="314"/>
  <c r="CA98" i="274"/>
  <c r="CA97" i="274"/>
  <c r="CA96" i="274"/>
  <c r="CA99" i="274"/>
  <c r="CA95" i="274"/>
  <c r="BZ28" i="98"/>
  <c r="CA93" i="274"/>
  <c r="CA92" i="274"/>
  <c r="CA91" i="274"/>
  <c r="CA90" i="274"/>
  <c r="CA89" i="274"/>
  <c r="CA88" i="274"/>
  <c r="CA87" i="274"/>
  <c r="CA86" i="274"/>
  <c r="BX100" i="274"/>
  <c r="CA84" i="274"/>
  <c r="CA83" i="274"/>
  <c r="CA82" i="274"/>
  <c r="CA81" i="274"/>
  <c r="CA80" i="274"/>
  <c r="CA79" i="274"/>
  <c r="CA85" i="274"/>
  <c r="BY23" i="98"/>
  <c r="BZ78" i="274"/>
  <c r="BY78" i="274"/>
  <c r="BW23" i="98"/>
  <c r="CA76" i="274"/>
  <c r="CA77" i="274"/>
  <c r="CA73" i="274"/>
  <c r="CA75" i="274"/>
  <c r="BZ22" i="98"/>
  <c r="CA71" i="274"/>
  <c r="CA72" i="274"/>
  <c r="BZ21" i="98"/>
  <c r="BZ70" i="274"/>
  <c r="BY70" i="274"/>
  <c r="CA68" i="274"/>
  <c r="CA67" i="274"/>
  <c r="CA66" i="274"/>
  <c r="CA65" i="274"/>
  <c r="CA64" i="274"/>
  <c r="CA63" i="274"/>
  <c r="CA61" i="274"/>
  <c r="CA60" i="274"/>
  <c r="CA59" i="274"/>
  <c r="CA58" i="274"/>
  <c r="CA57" i="274"/>
  <c r="CA56" i="274"/>
  <c r="CA55" i="274"/>
  <c r="CA54" i="274"/>
  <c r="CA53" i="274"/>
  <c r="CA52" i="274"/>
  <c r="CA51" i="274"/>
  <c r="CA49" i="274"/>
  <c r="CA48" i="274"/>
  <c r="CA47" i="274"/>
  <c r="CA46" i="274"/>
  <c r="CA45" i="274"/>
  <c r="CA44" i="274"/>
  <c r="CA43" i="274"/>
  <c r="CA42" i="274"/>
  <c r="CA41" i="274"/>
  <c r="BZ16" i="98"/>
  <c r="BY13" i="98"/>
  <c r="BX13" i="98"/>
  <c r="BX36" i="98"/>
  <c r="BY40" i="274"/>
  <c r="BW13" i="98"/>
  <c r="BW36" i="98"/>
  <c r="CA38" i="274"/>
  <c r="CA37" i="274"/>
  <c r="CA36" i="274"/>
  <c r="CA35" i="274"/>
  <c r="CA33" i="274"/>
  <c r="CA32" i="274"/>
  <c r="CA31" i="274"/>
  <c r="CA29" i="274"/>
  <c r="CA28" i="274"/>
  <c r="CA27" i="274"/>
  <c r="CA26" i="274"/>
  <c r="CA30" i="274"/>
  <c r="BX25" i="274"/>
  <c r="CA23" i="274"/>
  <c r="CA22" i="274"/>
  <c r="CA21" i="274"/>
  <c r="CA19" i="274"/>
  <c r="CA18" i="274"/>
  <c r="CA17" i="274"/>
  <c r="CA16" i="274"/>
  <c r="CA14" i="274"/>
  <c r="CA13" i="274"/>
  <c r="CA12" i="274"/>
  <c r="CA11" i="274"/>
  <c r="CA10" i="274"/>
  <c r="CA9" i="274"/>
  <c r="CA8" i="274"/>
  <c r="BZ6" i="98"/>
  <c r="CA7" i="274"/>
  <c r="CA6" i="274"/>
  <c r="CA5" i="274"/>
  <c r="CA15" i="274"/>
  <c r="BY25" i="274"/>
  <c r="BZ25" i="274"/>
  <c r="BZ40" i="274"/>
  <c r="CA50" i="274"/>
  <c r="BX70" i="274"/>
  <c r="BX78" i="274"/>
  <c r="BY100" i="274"/>
  <c r="BZ100" i="274"/>
  <c r="CL37" i="123"/>
  <c r="CK37" i="123"/>
  <c r="CJ37" i="123"/>
  <c r="CI37" i="123"/>
  <c r="CL36" i="123"/>
  <c r="CK36" i="123"/>
  <c r="CJ36" i="123"/>
  <c r="CI36" i="123"/>
  <c r="CL35" i="123"/>
  <c r="CK35" i="123"/>
  <c r="CJ35" i="123"/>
  <c r="CI35" i="123"/>
  <c r="CL34" i="123"/>
  <c r="CK34" i="123"/>
  <c r="CJ34" i="123"/>
  <c r="CI34" i="123"/>
  <c r="CL33" i="123"/>
  <c r="CK33" i="123"/>
  <c r="CK38" i="123" s="1"/>
  <c r="CJ33" i="123"/>
  <c r="CJ38" i="123" s="1"/>
  <c r="CI33" i="123"/>
  <c r="CL32" i="123"/>
  <c r="CK32" i="123"/>
  <c r="CJ32" i="123"/>
  <c r="CI32" i="123"/>
  <c r="CI38" i="123"/>
  <c r="CL30" i="123"/>
  <c r="CK30" i="123"/>
  <c r="CJ30" i="123"/>
  <c r="CI30" i="123"/>
  <c r="CM29" i="123"/>
  <c r="CM28" i="123"/>
  <c r="CM27" i="123"/>
  <c r="CK25" i="123"/>
  <c r="CJ25" i="123"/>
  <c r="CI25" i="123"/>
  <c r="CM24" i="123"/>
  <c r="CM23" i="123"/>
  <c r="CM22" i="123"/>
  <c r="CM25" i="123" s="1"/>
  <c r="CL20" i="123"/>
  <c r="CK20" i="123"/>
  <c r="CJ20" i="123"/>
  <c r="CI20" i="123"/>
  <c r="CM19" i="123"/>
  <c r="CM34" i="123" s="1"/>
  <c r="CM18" i="123"/>
  <c r="CM17" i="123"/>
  <c r="CM20" i="123" s="1"/>
  <c r="CL15" i="123"/>
  <c r="CK15" i="123"/>
  <c r="CJ15" i="123"/>
  <c r="CI15" i="123"/>
  <c r="CM14" i="123"/>
  <c r="CM37" i="123" s="1"/>
  <c r="CM13" i="123"/>
  <c r="CM36" i="123" s="1"/>
  <c r="CM12" i="123"/>
  <c r="CL10" i="123"/>
  <c r="CK10" i="123"/>
  <c r="CJ10" i="123"/>
  <c r="CI10" i="123"/>
  <c r="CM9" i="123"/>
  <c r="CM10" i="123" s="1"/>
  <c r="CM8" i="123"/>
  <c r="CM33" i="123" s="1"/>
  <c r="CM7" i="123"/>
  <c r="Q8" i="243"/>
  <c r="Q13" i="243"/>
  <c r="Q18" i="243"/>
  <c r="Q23" i="243"/>
  <c r="Q28" i="243"/>
  <c r="Q30" i="243"/>
  <c r="Q31" i="243"/>
  <c r="Q32" i="243"/>
  <c r="Q33" i="243"/>
  <c r="Q34" i="243"/>
  <c r="Q35" i="243"/>
  <c r="BX46" i="281"/>
  <c r="BW46" i="281"/>
  <c r="BV46" i="281"/>
  <c r="BU46" i="281"/>
  <c r="BY44" i="281"/>
  <c r="BX44" i="281"/>
  <c r="BW44" i="281"/>
  <c r="BV44" i="281"/>
  <c r="BU44" i="281"/>
  <c r="BX42" i="281"/>
  <c r="BW42" i="281"/>
  <c r="BW48" i="281"/>
  <c r="BV42" i="281"/>
  <c r="BU42" i="281"/>
  <c r="BX37" i="281"/>
  <c r="BW37" i="281"/>
  <c r="BV37" i="281"/>
  <c r="BU37" i="281"/>
  <c r="BX35" i="281"/>
  <c r="BW35" i="281"/>
  <c r="BV35" i="281"/>
  <c r="BU35" i="281"/>
  <c r="BX33" i="281"/>
  <c r="BW33" i="281"/>
  <c r="BY33" i="281"/>
  <c r="BV33" i="281"/>
  <c r="BV39" i="281"/>
  <c r="BU33" i="281"/>
  <c r="BX28" i="281"/>
  <c r="BW28" i="281"/>
  <c r="BV28" i="281"/>
  <c r="BU28" i="281"/>
  <c r="BX26" i="281"/>
  <c r="BW26" i="281"/>
  <c r="BV26" i="281"/>
  <c r="BU26" i="281"/>
  <c r="BX24" i="281"/>
  <c r="BX30" i="281"/>
  <c r="BW24" i="281"/>
  <c r="BV24" i="281"/>
  <c r="BV30" i="281"/>
  <c r="BU24" i="281"/>
  <c r="BX19" i="281"/>
  <c r="BW19" i="281"/>
  <c r="BY19" i="281"/>
  <c r="BV19" i="281"/>
  <c r="BU19" i="281"/>
  <c r="BX17" i="281"/>
  <c r="BX21" i="281"/>
  <c r="BW17" i="281"/>
  <c r="BV17" i="281"/>
  <c r="BU17" i="281"/>
  <c r="BX15" i="281"/>
  <c r="BW15" i="281"/>
  <c r="BV15" i="281"/>
  <c r="BV21" i="281"/>
  <c r="BU15" i="281"/>
  <c r="BX10" i="281"/>
  <c r="BW10" i="281"/>
  <c r="BV10" i="281"/>
  <c r="BU10" i="281"/>
  <c r="BX8" i="281"/>
  <c r="BW8" i="281"/>
  <c r="BV8" i="281"/>
  <c r="BU8" i="281"/>
  <c r="BX6" i="281"/>
  <c r="BX12" i="281"/>
  <c r="BW6" i="281"/>
  <c r="BW12" i="281"/>
  <c r="BV6" i="281"/>
  <c r="BU6" i="281"/>
  <c r="BX29" i="242"/>
  <c r="BW29" i="242"/>
  <c r="BV29" i="242"/>
  <c r="BU29" i="242"/>
  <c r="BY28" i="242"/>
  <c r="BY27" i="242"/>
  <c r="BY26" i="242"/>
  <c r="BX24" i="242"/>
  <c r="BW24" i="242"/>
  <c r="BY23" i="242"/>
  <c r="BY22" i="242"/>
  <c r="BY21" i="242"/>
  <c r="BY24" i="242"/>
  <c r="BX19" i="242"/>
  <c r="BW19" i="242"/>
  <c r="BV19" i="242"/>
  <c r="BU19" i="242"/>
  <c r="BY18" i="242"/>
  <c r="BY17" i="242"/>
  <c r="BY16" i="242"/>
  <c r="BY19" i="242"/>
  <c r="BX14" i="242"/>
  <c r="BW14" i="242"/>
  <c r="BV14" i="242"/>
  <c r="BU14" i="242"/>
  <c r="BY13" i="242"/>
  <c r="BY12" i="242"/>
  <c r="BY11" i="242"/>
  <c r="BX9" i="242"/>
  <c r="BW9" i="242"/>
  <c r="BV9" i="242"/>
  <c r="BU9" i="242"/>
  <c r="BY8" i="242"/>
  <c r="BY7" i="242"/>
  <c r="BY6" i="242"/>
  <c r="BY9" i="242"/>
  <c r="BU45" i="281"/>
  <c r="BY45" i="281"/>
  <c r="BV45" i="281"/>
  <c r="BW45" i="281"/>
  <c r="BX45" i="281"/>
  <c r="BV20" i="281"/>
  <c r="BU20" i="281"/>
  <c r="BW20" i="281"/>
  <c r="BX20" i="281"/>
  <c r="BX48" i="281"/>
  <c r="BU48" i="281"/>
  <c r="BU31" i="242"/>
  <c r="BY46" i="281"/>
  <c r="BV48" i="281"/>
  <c r="BY37" i="281"/>
  <c r="BX39" i="281"/>
  <c r="BW39" i="281"/>
  <c r="BY35" i="281"/>
  <c r="BU39" i="281"/>
  <c r="BW30" i="281"/>
  <c r="BY28" i="281"/>
  <c r="BY26" i="281"/>
  <c r="BU30" i="281"/>
  <c r="BW21" i="281"/>
  <c r="BY17" i="281"/>
  <c r="BU21" i="281"/>
  <c r="BY10" i="281"/>
  <c r="BV12" i="281"/>
  <c r="BY8" i="281"/>
  <c r="BU12" i="281"/>
  <c r="CM30" i="123"/>
  <c r="CM35" i="123"/>
  <c r="CL38" i="123"/>
  <c r="CM32" i="123"/>
  <c r="Q36" i="243"/>
  <c r="BY6" i="281"/>
  <c r="BY15" i="281"/>
  <c r="BY24" i="281"/>
  <c r="BY42" i="281"/>
  <c r="BY20" i="281"/>
  <c r="BY29" i="242"/>
  <c r="BW31" i="242"/>
  <c r="BX31" i="242"/>
  <c r="BY14" i="242"/>
  <c r="BV31" i="242"/>
  <c r="O13" i="294"/>
  <c r="O28" i="294"/>
  <c r="O31" i="293"/>
  <c r="O40" i="293"/>
  <c r="O30" i="293"/>
  <c r="O39" i="293"/>
  <c r="O29" i="293"/>
  <c r="O38" i="293"/>
  <c r="O28" i="293"/>
  <c r="O37" i="293"/>
  <c r="O27" i="293"/>
  <c r="O36" i="293"/>
  <c r="O26" i="293"/>
  <c r="O35" i="293"/>
  <c r="O16" i="293"/>
  <c r="AJ174" i="336"/>
  <c r="BS31" i="336"/>
  <c r="BS29" i="336"/>
  <c r="BT28" i="336"/>
  <c r="BS28" i="336"/>
  <c r="BT27" i="336"/>
  <c r="BS27" i="336"/>
  <c r="BT26" i="336"/>
  <c r="BS26" i="336"/>
  <c r="BT24" i="336"/>
  <c r="BS24" i="336"/>
  <c r="BU24" i="336" s="1"/>
  <c r="BT23" i="336"/>
  <c r="BS23" i="336"/>
  <c r="BT22" i="336"/>
  <c r="BU22" i="336" s="1"/>
  <c r="P99" i="336" s="1"/>
  <c r="BS22" i="336"/>
  <c r="BT21" i="336"/>
  <c r="BS21" i="336"/>
  <c r="BS19" i="336"/>
  <c r="BT18" i="336"/>
  <c r="BS18" i="336"/>
  <c r="BT17" i="336"/>
  <c r="BS17" i="336"/>
  <c r="BT16" i="336"/>
  <c r="BS16" i="336"/>
  <c r="BS14" i="336"/>
  <c r="BS13" i="336"/>
  <c r="BS12" i="336"/>
  <c r="BT11" i="336"/>
  <c r="BS11" i="336"/>
  <c r="BS9" i="336"/>
  <c r="BT8" i="336"/>
  <c r="BS8" i="336"/>
  <c r="BT7" i="336"/>
  <c r="BS7" i="336"/>
  <c r="BT6" i="336"/>
  <c r="BS6" i="336"/>
  <c r="Q34" i="291"/>
  <c r="Q35" i="291"/>
  <c r="Q36" i="291"/>
  <c r="Q37" i="291"/>
  <c r="Q38" i="291"/>
  <c r="Q33" i="291"/>
  <c r="Q27" i="292"/>
  <c r="Q28" i="292"/>
  <c r="Q29" i="292"/>
  <c r="Q30" i="292"/>
  <c r="Q31" i="292"/>
  <c r="Q32" i="292"/>
  <c r="Q33" i="292"/>
  <c r="Q34" i="292"/>
  <c r="Q26" i="292"/>
  <c r="AN131" i="295"/>
  <c r="AN133" i="295"/>
  <c r="AM131" i="295"/>
  <c r="AN70" i="295"/>
  <c r="AM70" i="295"/>
  <c r="AO61" i="295"/>
  <c r="AO59" i="295"/>
  <c r="AO60" i="295"/>
  <c r="AN62" i="295"/>
  <c r="AM62" i="295"/>
  <c r="AN137" i="295"/>
  <c r="AM137" i="295"/>
  <c r="AO137" i="295"/>
  <c r="AN136" i="295"/>
  <c r="AM136" i="295"/>
  <c r="AN135" i="295"/>
  <c r="AM135" i="295"/>
  <c r="AN132" i="295"/>
  <c r="AM132" i="295"/>
  <c r="AO132" i="295"/>
  <c r="AN130" i="295"/>
  <c r="AM130" i="295"/>
  <c r="AO130" i="295"/>
  <c r="AN127" i="295"/>
  <c r="AM127" i="295"/>
  <c r="AN126" i="295"/>
  <c r="AM126" i="295"/>
  <c r="AN125" i="295"/>
  <c r="AM125" i="295"/>
  <c r="AN122" i="295"/>
  <c r="AN145" i="295"/>
  <c r="AM122" i="295"/>
  <c r="AN121" i="295"/>
  <c r="AM121" i="295"/>
  <c r="AN120" i="295"/>
  <c r="AM120" i="295"/>
  <c r="AN117" i="295"/>
  <c r="AN143" i="295"/>
  <c r="AM117" i="295"/>
  <c r="AM143" i="295"/>
  <c r="AN116" i="295"/>
  <c r="AM116" i="295"/>
  <c r="AN115" i="295"/>
  <c r="AM115" i="295"/>
  <c r="AN107" i="295"/>
  <c r="AM107" i="295"/>
  <c r="AN106" i="295"/>
  <c r="AM106" i="295"/>
  <c r="AN105" i="295"/>
  <c r="AM105" i="295"/>
  <c r="AN104" i="295"/>
  <c r="AM104" i="295"/>
  <c r="AN103" i="295"/>
  <c r="AM103" i="295"/>
  <c r="AN102" i="295"/>
  <c r="AM102" i="295"/>
  <c r="AN100" i="295"/>
  <c r="AM100" i="295"/>
  <c r="AO99" i="295"/>
  <c r="AO98" i="295"/>
  <c r="AO97" i="295"/>
  <c r="AN95" i="295"/>
  <c r="AM95" i="295"/>
  <c r="AO95" i="295"/>
  <c r="AO94" i="295"/>
  <c r="AO93" i="295"/>
  <c r="AO92" i="295"/>
  <c r="AN90" i="295"/>
  <c r="AM90" i="295"/>
  <c r="AO89" i="295"/>
  <c r="AO107" i="295"/>
  <c r="AO88" i="295"/>
  <c r="AO106" i="295"/>
  <c r="AO87" i="295"/>
  <c r="AN85" i="295"/>
  <c r="AM85" i="295"/>
  <c r="AO84" i="295"/>
  <c r="AO105" i="295"/>
  <c r="AO83" i="295"/>
  <c r="AO82" i="295"/>
  <c r="AN74" i="295"/>
  <c r="AM74" i="295"/>
  <c r="AO74" i="295"/>
  <c r="AN73" i="295"/>
  <c r="AO73" i="295"/>
  <c r="AM73" i="295"/>
  <c r="AN72" i="295"/>
  <c r="AM72" i="295"/>
  <c r="AN71" i="295"/>
  <c r="AM71" i="295"/>
  <c r="AN69" i="295"/>
  <c r="AM69" i="295"/>
  <c r="AN67" i="295"/>
  <c r="AM67" i="295"/>
  <c r="AO66" i="295"/>
  <c r="AO65" i="295"/>
  <c r="AO64" i="295"/>
  <c r="AN57" i="295"/>
  <c r="AM57" i="295"/>
  <c r="AO56" i="295"/>
  <c r="AO55" i="295"/>
  <c r="AO54" i="295"/>
  <c r="AN52" i="295"/>
  <c r="AM52" i="295"/>
  <c r="AO51" i="295"/>
  <c r="AO50" i="295"/>
  <c r="AO49" i="295"/>
  <c r="AN47" i="295"/>
  <c r="AM47" i="295"/>
  <c r="AO46" i="295"/>
  <c r="AO45" i="295"/>
  <c r="AO44" i="295"/>
  <c r="AN36" i="295"/>
  <c r="AM36" i="295"/>
  <c r="AN35" i="295"/>
  <c r="AM35" i="295"/>
  <c r="AN34" i="295"/>
  <c r="AM34" i="295"/>
  <c r="AN33" i="295"/>
  <c r="AM33" i="295"/>
  <c r="AN32" i="295"/>
  <c r="AM32" i="295"/>
  <c r="AN31" i="295"/>
  <c r="AM31" i="295"/>
  <c r="AN29" i="295"/>
  <c r="AM29" i="295"/>
  <c r="AO28" i="295"/>
  <c r="AO27" i="295"/>
  <c r="AO26" i="295"/>
  <c r="AN24" i="295"/>
  <c r="AM24" i="295"/>
  <c r="AO23" i="295"/>
  <c r="AO22" i="295"/>
  <c r="AO21" i="295"/>
  <c r="AN19" i="295"/>
  <c r="AM19" i="295"/>
  <c r="AO18" i="295"/>
  <c r="AO17" i="295"/>
  <c r="AO16" i="295"/>
  <c r="AN14" i="295"/>
  <c r="AM14" i="295"/>
  <c r="AO13" i="295"/>
  <c r="AO12" i="295"/>
  <c r="AO11" i="295"/>
  <c r="AN9" i="295"/>
  <c r="AM9" i="295"/>
  <c r="AO9" i="295"/>
  <c r="AO8" i="295"/>
  <c r="AO7" i="295"/>
  <c r="AO6" i="295"/>
  <c r="BI28" i="337"/>
  <c r="BH28" i="337"/>
  <c r="BG28" i="337"/>
  <c r="BI27" i="337"/>
  <c r="BH27" i="337"/>
  <c r="BH29" i="337"/>
  <c r="BG27" i="337"/>
  <c r="BI29" i="337"/>
  <c r="BH26" i="337"/>
  <c r="BG26" i="337"/>
  <c r="BG29" i="337"/>
  <c r="BI23" i="337"/>
  <c r="BH23" i="337"/>
  <c r="BH24" i="337"/>
  <c r="BG23" i="337"/>
  <c r="BI22" i="337"/>
  <c r="BH22" i="337"/>
  <c r="BG22" i="337"/>
  <c r="BI21" i="337"/>
  <c r="BI24" i="337"/>
  <c r="BH21" i="337"/>
  <c r="BG21" i="337"/>
  <c r="BI19" i="337"/>
  <c r="BI18" i="337"/>
  <c r="BH18" i="337"/>
  <c r="BG18" i="337"/>
  <c r="BI17" i="337"/>
  <c r="BH17" i="337"/>
  <c r="BG17" i="337"/>
  <c r="BG19" i="337"/>
  <c r="BH16" i="337"/>
  <c r="BH19" i="337"/>
  <c r="BG16" i="337"/>
  <c r="BH13" i="337"/>
  <c r="BG13" i="337"/>
  <c r="BH12" i="337"/>
  <c r="BG12" i="337"/>
  <c r="BJ12" i="337"/>
  <c r="BJ14" i="337"/>
  <c r="BI11" i="337"/>
  <c r="BI14" i="337"/>
  <c r="BH11" i="337"/>
  <c r="BH14" i="337"/>
  <c r="BG11" i="337"/>
  <c r="BI8" i="337"/>
  <c r="BH8" i="337"/>
  <c r="BJ8" i="337"/>
  <c r="BG8" i="337"/>
  <c r="BH7" i="337"/>
  <c r="BG7" i="337"/>
  <c r="BI6" i="337"/>
  <c r="BI9" i="337"/>
  <c r="BH6" i="337"/>
  <c r="BH9" i="337"/>
  <c r="BG6" i="337"/>
  <c r="BG9" i="337"/>
  <c r="BJ118" i="337"/>
  <c r="BT13" i="336"/>
  <c r="BJ94" i="337"/>
  <c r="BJ92" i="337"/>
  <c r="BI94" i="337"/>
  <c r="Q16" i="292"/>
  <c r="Q29" i="291"/>
  <c r="Q28" i="291"/>
  <c r="Q27" i="291"/>
  <c r="Q26" i="291"/>
  <c r="Q25" i="291"/>
  <c r="Q24" i="291"/>
  <c r="Q16" i="291"/>
  <c r="BV49" i="281"/>
  <c r="BV47" i="281"/>
  <c r="BW47" i="281"/>
  <c r="BX47" i="281"/>
  <c r="BU47" i="281"/>
  <c r="BY48" i="281"/>
  <c r="BW49" i="281"/>
  <c r="BW43" i="281"/>
  <c r="BX43" i="281"/>
  <c r="BU43" i="281"/>
  <c r="BV43" i="281"/>
  <c r="BU49" i="281"/>
  <c r="BX36" i="281"/>
  <c r="BU36" i="281"/>
  <c r="BV36" i="281"/>
  <c r="BW36" i="281"/>
  <c r="BV38" i="281"/>
  <c r="BW38" i="281"/>
  <c r="BX38" i="281"/>
  <c r="BU38" i="281"/>
  <c r="BU31" i="281"/>
  <c r="BX27" i="281"/>
  <c r="BV27" i="281"/>
  <c r="BU27" i="281"/>
  <c r="BW27" i="281"/>
  <c r="BY30" i="281"/>
  <c r="BW25" i="281"/>
  <c r="BX25" i="281"/>
  <c r="BU25" i="281"/>
  <c r="BV25" i="281"/>
  <c r="BV29" i="281"/>
  <c r="BW29" i="281"/>
  <c r="BX29" i="281"/>
  <c r="BU29" i="281"/>
  <c r="BY29" i="281"/>
  <c r="BU22" i="281"/>
  <c r="BY21" i="281"/>
  <c r="BX16" i="281"/>
  <c r="BV16" i="281"/>
  <c r="BU16" i="281"/>
  <c r="BW16" i="281"/>
  <c r="BX18" i="281"/>
  <c r="BV18" i="281"/>
  <c r="BU18" i="281"/>
  <c r="BW18" i="281"/>
  <c r="BU13" i="281"/>
  <c r="BX9" i="281"/>
  <c r="BU9" i="281"/>
  <c r="BV9" i="281"/>
  <c r="BW9" i="281"/>
  <c r="BY12" i="281"/>
  <c r="BV7" i="281"/>
  <c r="BW7" i="281"/>
  <c r="BX7" i="281"/>
  <c r="BU7" i="281"/>
  <c r="BY7" i="281"/>
  <c r="BV11" i="281"/>
  <c r="BW11" i="281"/>
  <c r="BX11" i="281"/>
  <c r="BU11" i="281"/>
  <c r="BV51" i="281"/>
  <c r="BX51" i="281"/>
  <c r="BU51" i="281"/>
  <c r="BY31" i="242"/>
  <c r="BW51" i="281"/>
  <c r="O27" i="294"/>
  <c r="O26" i="294"/>
  <c r="O25" i="294"/>
  <c r="O30" i="294"/>
  <c r="O31" i="294"/>
  <c r="O29" i="294"/>
  <c r="O41" i="293"/>
  <c r="O32" i="293"/>
  <c r="Q35" i="292"/>
  <c r="AO131" i="295"/>
  <c r="AO100" i="295"/>
  <c r="AO62" i="295"/>
  <c r="AO19" i="295"/>
  <c r="AO103" i="295"/>
  <c r="AO85" i="295"/>
  <c r="AO127" i="295"/>
  <c r="AO57" i="295"/>
  <c r="AO52" i="295"/>
  <c r="AO72" i="295"/>
  <c r="AO69" i="295"/>
  <c r="AO29" i="295"/>
  <c r="AM138" i="295"/>
  <c r="AO33" i="295"/>
  <c r="AO35" i="295"/>
  <c r="AO104" i="295"/>
  <c r="AO90" i="295"/>
  <c r="AO102" i="295"/>
  <c r="AN108" i="295"/>
  <c r="AM108" i="295"/>
  <c r="AO143" i="295"/>
  <c r="AO67" i="295"/>
  <c r="AO136" i="295"/>
  <c r="AM128" i="295"/>
  <c r="AN140" i="295"/>
  <c r="AO71" i="295"/>
  <c r="AO125" i="295"/>
  <c r="AO121" i="295"/>
  <c r="AN75" i="295"/>
  <c r="AM144" i="295"/>
  <c r="AM75" i="295"/>
  <c r="AO47" i="295"/>
  <c r="AN142" i="295"/>
  <c r="AN138" i="295"/>
  <c r="AM141" i="295"/>
  <c r="AO24" i="295"/>
  <c r="AM140" i="295"/>
  <c r="AN128" i="295"/>
  <c r="AO126" i="295"/>
  <c r="AO32" i="295"/>
  <c r="AM37" i="295"/>
  <c r="AN123" i="295"/>
  <c r="AO36" i="295"/>
  <c r="AN141" i="295"/>
  <c r="AO122" i="295"/>
  <c r="AO14" i="295"/>
  <c r="AN144" i="295"/>
  <c r="AN37" i="295"/>
  <c r="AO34" i="295"/>
  <c r="AO117" i="295"/>
  <c r="AM118" i="295"/>
  <c r="AO115" i="295"/>
  <c r="AN118" i="295"/>
  <c r="AO135" i="295"/>
  <c r="AM142" i="295"/>
  <c r="AO31" i="295"/>
  <c r="AO70" i="295"/>
  <c r="AM145" i="295"/>
  <c r="AO145" i="295"/>
  <c r="AO116" i="295"/>
  <c r="AM123" i="295"/>
  <c r="AM133" i="295"/>
  <c r="AO133" i="295"/>
  <c r="AO120" i="295"/>
  <c r="Q39" i="291"/>
  <c r="Q30" i="291"/>
  <c r="BI134" i="337"/>
  <c r="BH134" i="337"/>
  <c r="BI124" i="337"/>
  <c r="BH124" i="337"/>
  <c r="BG124" i="337"/>
  <c r="BI119" i="337"/>
  <c r="BH119" i="337"/>
  <c r="BJ117" i="337"/>
  <c r="BT12" i="336"/>
  <c r="BU12" i="336" s="1"/>
  <c r="P89" i="336" s="1"/>
  <c r="BI114" i="337"/>
  <c r="BH114" i="337"/>
  <c r="BH136" i="337"/>
  <c r="BG114" i="337"/>
  <c r="BG136" i="337"/>
  <c r="BI99" i="337"/>
  <c r="BH99" i="337"/>
  <c r="BJ98" i="337"/>
  <c r="BJ97" i="337"/>
  <c r="BJ96" i="337"/>
  <c r="BI89" i="337"/>
  <c r="BH89" i="337"/>
  <c r="BG89" i="337"/>
  <c r="BJ88" i="337"/>
  <c r="BJ87" i="337"/>
  <c r="BJ86" i="337"/>
  <c r="BI84" i="337"/>
  <c r="BH84" i="337"/>
  <c r="BJ83" i="337"/>
  <c r="BJ81" i="337"/>
  <c r="BI79" i="337"/>
  <c r="BH79" i="337"/>
  <c r="BG79" i="337"/>
  <c r="BJ78" i="337"/>
  <c r="BJ77" i="337"/>
  <c r="BJ76" i="337"/>
  <c r="BI64" i="337"/>
  <c r="BH64" i="337"/>
  <c r="BG64" i="337"/>
  <c r="BJ63" i="337"/>
  <c r="BJ62" i="337"/>
  <c r="BJ61" i="337"/>
  <c r="BJ64" i="337"/>
  <c r="BI59" i="337"/>
  <c r="BH59" i="337"/>
  <c r="BJ58" i="337"/>
  <c r="BJ57" i="337"/>
  <c r="BJ56" i="337"/>
  <c r="BI54" i="337"/>
  <c r="BH54" i="337"/>
  <c r="BG54" i="337"/>
  <c r="BJ53" i="337"/>
  <c r="BJ52" i="337"/>
  <c r="BJ51" i="337"/>
  <c r="BJ54" i="337"/>
  <c r="BI49" i="337"/>
  <c r="BH49" i="337"/>
  <c r="BJ48" i="337"/>
  <c r="BJ47" i="337"/>
  <c r="BJ46" i="337"/>
  <c r="BI44" i="337"/>
  <c r="BH44" i="337"/>
  <c r="BG44" i="337"/>
  <c r="BJ43" i="337"/>
  <c r="BJ42" i="337"/>
  <c r="BJ44" i="337"/>
  <c r="BJ41" i="337"/>
  <c r="BJ26" i="337"/>
  <c r="BJ22" i="337"/>
  <c r="BJ21" i="337"/>
  <c r="BJ18" i="337"/>
  <c r="BJ16" i="337"/>
  <c r="BJ13" i="337"/>
  <c r="BJ11" i="337"/>
  <c r="BJ6" i="337"/>
  <c r="BY47" i="281"/>
  <c r="BY43" i="281"/>
  <c r="BX49" i="281"/>
  <c r="BY49" i="281"/>
  <c r="BY38" i="281"/>
  <c r="BY36" i="281"/>
  <c r="BV31" i="281"/>
  <c r="BY31" i="281"/>
  <c r="BX31" i="281"/>
  <c r="BW31" i="281"/>
  <c r="BY27" i="281"/>
  <c r="BY25" i="281"/>
  <c r="BY22" i="281"/>
  <c r="BY16" i="281"/>
  <c r="BX22" i="281"/>
  <c r="BV22" i="281"/>
  <c r="BY18" i="281"/>
  <c r="BW22" i="281"/>
  <c r="BY11" i="281"/>
  <c r="BX13" i="281"/>
  <c r="BW13" i="281"/>
  <c r="BV13" i="281"/>
  <c r="BY13" i="281"/>
  <c r="BY9" i="281"/>
  <c r="O32" i="294"/>
  <c r="AO118" i="295"/>
  <c r="AO75" i="295"/>
  <c r="AO138" i="295"/>
  <c r="AO128" i="295"/>
  <c r="AO108" i="295"/>
  <c r="AO142" i="295"/>
  <c r="AO140" i="295"/>
  <c r="AO144" i="295"/>
  <c r="AO123" i="295"/>
  <c r="AO37" i="295"/>
  <c r="AN146" i="295"/>
  <c r="AO141" i="295"/>
  <c r="AM146" i="295"/>
  <c r="BJ124" i="337"/>
  <c r="BT19" i="336"/>
  <c r="BU19" i="336" s="1"/>
  <c r="P96" i="336" s="1"/>
  <c r="BJ119" i="337"/>
  <c r="BT14" i="336"/>
  <c r="BU14" i="336" s="1"/>
  <c r="P91" i="336" s="1"/>
  <c r="BJ89" i="337"/>
  <c r="BI101" i="337"/>
  <c r="BJ84" i="337"/>
  <c r="BG101" i="337"/>
  <c r="BJ79" i="337"/>
  <c r="BU7" i="336"/>
  <c r="P84" i="336" s="1"/>
  <c r="BJ59" i="337"/>
  <c r="BG66" i="337"/>
  <c r="BJ134" i="337"/>
  <c r="BT29" i="336"/>
  <c r="BJ114" i="337"/>
  <c r="BJ99" i="337"/>
  <c r="BH101" i="337"/>
  <c r="BH66" i="337"/>
  <c r="BJ28" i="337"/>
  <c r="BJ7" i="337"/>
  <c r="BH36" i="234"/>
  <c r="BG36" i="234"/>
  <c r="BF36" i="234"/>
  <c r="BH35" i="234"/>
  <c r="BG35" i="234"/>
  <c r="BF35" i="234"/>
  <c r="BI35" i="234"/>
  <c r="BH34" i="234"/>
  <c r="BG34" i="234"/>
  <c r="BF34" i="234"/>
  <c r="BH33" i="234"/>
  <c r="BG33" i="234"/>
  <c r="BF33" i="234"/>
  <c r="BH32" i="234"/>
  <c r="BG32" i="234"/>
  <c r="BF32" i="234"/>
  <c r="BH31" i="234"/>
  <c r="BG31" i="234"/>
  <c r="BF31" i="234"/>
  <c r="BH29" i="234"/>
  <c r="BG29" i="234"/>
  <c r="BF29" i="234"/>
  <c r="BI28" i="234"/>
  <c r="BI27" i="234"/>
  <c r="BI26" i="234"/>
  <c r="BH24" i="234"/>
  <c r="BG24" i="234"/>
  <c r="BF24" i="234"/>
  <c r="BI23" i="234"/>
  <c r="BI22" i="234"/>
  <c r="BI21" i="234"/>
  <c r="BI24" i="234"/>
  <c r="BH19" i="234"/>
  <c r="BG19" i="234"/>
  <c r="BF19" i="234"/>
  <c r="BI18" i="234"/>
  <c r="BI17" i="234"/>
  <c r="BI16" i="234"/>
  <c r="BH14" i="234"/>
  <c r="BG14" i="234"/>
  <c r="BF14" i="234"/>
  <c r="BI13" i="234"/>
  <c r="BI12" i="234"/>
  <c r="BI11" i="234"/>
  <c r="BH9" i="234"/>
  <c r="BG9" i="234"/>
  <c r="BF9" i="234"/>
  <c r="BI8" i="234"/>
  <c r="BI7" i="234"/>
  <c r="BI6" i="234"/>
  <c r="BI14" i="234"/>
  <c r="AO146" i="295"/>
  <c r="BJ101" i="337"/>
  <c r="BI29" i="234"/>
  <c r="BI19" i="234"/>
  <c r="BI36" i="234"/>
  <c r="BI34" i="234"/>
  <c r="BI33" i="234"/>
  <c r="BI32" i="234"/>
  <c r="BF37" i="234"/>
  <c r="BG37" i="234"/>
  <c r="BH37" i="234"/>
  <c r="BI9" i="234"/>
  <c r="BI31" i="234"/>
  <c r="BI37" i="234"/>
  <c r="BH59" i="263"/>
  <c r="BI59" i="263"/>
  <c r="BG59" i="263"/>
  <c r="BH58" i="263"/>
  <c r="BI58" i="263"/>
  <c r="BI60" i="263"/>
  <c r="BG58" i="263"/>
  <c r="BH45" i="263"/>
  <c r="BH53" i="263"/>
  <c r="BI45" i="263"/>
  <c r="BI53" i="263"/>
  <c r="BH46" i="263"/>
  <c r="BI46" i="263"/>
  <c r="BG46" i="263"/>
  <c r="BG54" i="263"/>
  <c r="BG45" i="263"/>
  <c r="BG53" i="263"/>
  <c r="BH54" i="263"/>
  <c r="BI54" i="263"/>
  <c r="BH52" i="263"/>
  <c r="BI52" i="263"/>
  <c r="BG52" i="263"/>
  <c r="BI19" i="263"/>
  <c r="BI18" i="263"/>
  <c r="CB34" i="276"/>
  <c r="BX46" i="277"/>
  <c r="BY46" i="277"/>
  <c r="BW46" i="277"/>
  <c r="BX45" i="277"/>
  <c r="BY45" i="277"/>
  <c r="BW45" i="277"/>
  <c r="BX41" i="277"/>
  <c r="BY41" i="277"/>
  <c r="BW41" i="277"/>
  <c r="BH60" i="263"/>
  <c r="BL19" i="273"/>
  <c r="BH16" i="263"/>
  <c r="BI16" i="263"/>
  <c r="BG16" i="263"/>
  <c r="BH15" i="263"/>
  <c r="BI15" i="263"/>
  <c r="BG15" i="263"/>
  <c r="BH14" i="263"/>
  <c r="BI14" i="263"/>
  <c r="BG14" i="263"/>
  <c r="BH11" i="263"/>
  <c r="BI11" i="263"/>
  <c r="BG11" i="263"/>
  <c r="BH10" i="263"/>
  <c r="BI10" i="263"/>
  <c r="BG10" i="263"/>
  <c r="BH12" i="263"/>
  <c r="BI12" i="263"/>
  <c r="BG12" i="263"/>
  <c r="BK32" i="273"/>
  <c r="BJ32" i="273"/>
  <c r="BI32" i="273"/>
  <c r="BL31" i="273"/>
  <c r="BL26" i="273"/>
  <c r="BL27" i="273"/>
  <c r="BL50" i="273"/>
  <c r="BK50" i="273"/>
  <c r="BL49" i="273"/>
  <c r="BL47" i="273"/>
  <c r="BL45" i="273"/>
  <c r="BL34" i="273"/>
  <c r="BL120" i="273"/>
  <c r="CB124" i="276"/>
  <c r="BL113" i="273"/>
  <c r="BL108" i="273"/>
  <c r="BJ115" i="273"/>
  <c r="BK115" i="273"/>
  <c r="BI115" i="273"/>
  <c r="BL109" i="273"/>
  <c r="BL110" i="273"/>
  <c r="BL111" i="273"/>
  <c r="BL112" i="273"/>
  <c r="BL114" i="273"/>
  <c r="BJ95" i="273"/>
  <c r="BK95" i="273"/>
  <c r="BI95" i="273"/>
  <c r="BZ95" i="276"/>
  <c r="CA95" i="276"/>
  <c r="BY95" i="276"/>
  <c r="CB87" i="276"/>
  <c r="CB95" i="276" s="1"/>
  <c r="CB88" i="276"/>
  <c r="CB89" i="276"/>
  <c r="CB90" i="276"/>
  <c r="CB91" i="276"/>
  <c r="CB92" i="276"/>
  <c r="CB93" i="276"/>
  <c r="CB94" i="276"/>
  <c r="BJ84" i="273"/>
  <c r="BK84" i="273"/>
  <c r="BI84" i="273"/>
  <c r="BL75" i="273"/>
  <c r="BL76" i="273"/>
  <c r="BL77" i="273"/>
  <c r="BL78" i="273"/>
  <c r="BL79" i="273"/>
  <c r="BL80" i="273"/>
  <c r="BL81" i="273"/>
  <c r="BL82" i="273"/>
  <c r="BL83" i="273"/>
  <c r="BL54" i="273"/>
  <c r="BL55" i="273"/>
  <c r="BL56" i="273"/>
  <c r="BL57" i="273"/>
  <c r="BL58" i="273"/>
  <c r="BL59" i="273"/>
  <c r="BL60" i="273"/>
  <c r="BL61" i="273"/>
  <c r="BL62" i="273"/>
  <c r="BL63" i="273"/>
  <c r="BL64" i="273"/>
  <c r="BL65" i="273"/>
  <c r="BL66" i="273"/>
  <c r="BL53" i="273"/>
  <c r="BI68" i="273"/>
  <c r="BJ68" i="273"/>
  <c r="BK68" i="273"/>
  <c r="BL67" i="273"/>
  <c r="BL68" i="273"/>
  <c r="BI67" i="263"/>
  <c r="BH67" i="263"/>
  <c r="BG67" i="263"/>
  <c r="BI66" i="263"/>
  <c r="BH66" i="263"/>
  <c r="BG66" i="263"/>
  <c r="BI63" i="263"/>
  <c r="BH63" i="263"/>
  <c r="BG63" i="263"/>
  <c r="BI62" i="263"/>
  <c r="BH62" i="263"/>
  <c r="BG62" i="263"/>
  <c r="BI61" i="263"/>
  <c r="BH61" i="263"/>
  <c r="BG61" i="263"/>
  <c r="BI57" i="263"/>
  <c r="BH57" i="263"/>
  <c r="BG57" i="263"/>
  <c r="BI50" i="263"/>
  <c r="BH50" i="263"/>
  <c r="BG50" i="263"/>
  <c r="BI49" i="263"/>
  <c r="BH49" i="263"/>
  <c r="BG49" i="263"/>
  <c r="BI48" i="263"/>
  <c r="BH48" i="263"/>
  <c r="BG48" i="263"/>
  <c r="BI44" i="263"/>
  <c r="BH44" i="263"/>
  <c r="BG44" i="263"/>
  <c r="BI42" i="263"/>
  <c r="BH42" i="263"/>
  <c r="BG42" i="263"/>
  <c r="BI41" i="263"/>
  <c r="BH41" i="263"/>
  <c r="BG41" i="263"/>
  <c r="BH40" i="263"/>
  <c r="BJ40" i="263"/>
  <c r="BI33" i="263"/>
  <c r="BH33" i="263"/>
  <c r="BG33" i="263"/>
  <c r="BI32" i="263"/>
  <c r="BH32" i="263"/>
  <c r="BG32" i="263"/>
  <c r="BI31" i="263"/>
  <c r="BH31" i="263"/>
  <c r="BG31" i="263"/>
  <c r="BG35" i="263"/>
  <c r="BI28" i="263"/>
  <c r="BI30" i="263"/>
  <c r="BH28" i="263"/>
  <c r="BH30" i="263"/>
  <c r="BG28" i="263"/>
  <c r="BG30" i="263"/>
  <c r="BI25" i="263"/>
  <c r="BH25" i="263"/>
  <c r="BG25" i="263"/>
  <c r="BI24" i="263"/>
  <c r="BH24" i="263"/>
  <c r="BG24" i="263"/>
  <c r="BI8" i="263"/>
  <c r="BI20" i="263"/>
  <c r="BH8" i="263"/>
  <c r="BG8" i="263"/>
  <c r="BI7" i="263"/>
  <c r="BH7" i="263"/>
  <c r="BG7" i="263"/>
  <c r="BJ147" i="273"/>
  <c r="BK146" i="273"/>
  <c r="BJ146" i="273"/>
  <c r="BI146" i="273"/>
  <c r="BL145" i="273"/>
  <c r="BL144" i="273"/>
  <c r="BL143" i="273"/>
  <c r="BL142" i="273"/>
  <c r="BK141" i="273"/>
  <c r="BJ141" i="273"/>
  <c r="BI141" i="273"/>
  <c r="BL140" i="273"/>
  <c r="BL141" i="273"/>
  <c r="BK139" i="273"/>
  <c r="BJ139" i="273"/>
  <c r="BI139" i="273"/>
  <c r="BL138" i="273"/>
  <c r="BL137" i="273"/>
  <c r="BK135" i="273"/>
  <c r="BJ135" i="273"/>
  <c r="BI135" i="273"/>
  <c r="BL134" i="273"/>
  <c r="BL133" i="273"/>
  <c r="BL132" i="273"/>
  <c r="BL131" i="273"/>
  <c r="BK130" i="273"/>
  <c r="BJ130" i="273"/>
  <c r="BI130" i="273"/>
  <c r="BL129" i="273"/>
  <c r="BL128" i="273"/>
  <c r="BL127" i="273"/>
  <c r="BL126" i="273"/>
  <c r="BL125" i="273"/>
  <c r="BL124" i="273"/>
  <c r="BL123" i="273"/>
  <c r="BL122" i="273"/>
  <c r="BL121" i="273"/>
  <c r="BL119" i="273"/>
  <c r="BL118" i="273"/>
  <c r="BL117" i="273"/>
  <c r="BL116" i="273"/>
  <c r="BL107" i="273"/>
  <c r="BL106" i="273"/>
  <c r="BL105" i="273"/>
  <c r="BL104" i="273"/>
  <c r="BL103" i="273"/>
  <c r="BL102" i="273"/>
  <c r="BL101" i="273"/>
  <c r="BL100" i="273"/>
  <c r="BL99" i="273"/>
  <c r="BL98" i="273"/>
  <c r="BL97" i="273"/>
  <c r="BK96" i="273"/>
  <c r="BI96" i="273"/>
  <c r="BL94" i="273"/>
  <c r="BL93" i="273"/>
  <c r="BL92" i="273"/>
  <c r="BL91" i="273"/>
  <c r="BL90" i="273"/>
  <c r="BL89" i="273"/>
  <c r="BL88" i="273"/>
  <c r="BL87" i="273"/>
  <c r="BL86" i="273"/>
  <c r="BL85" i="273"/>
  <c r="BL74" i="273"/>
  <c r="BL73" i="273"/>
  <c r="BL72" i="273"/>
  <c r="BL71" i="273"/>
  <c r="BL70" i="273"/>
  <c r="BL69" i="273"/>
  <c r="BJ50" i="273"/>
  <c r="BI50" i="273"/>
  <c r="BL48" i="273"/>
  <c r="BL46" i="273"/>
  <c r="BL44" i="273"/>
  <c r="BL43" i="273"/>
  <c r="BL42" i="273"/>
  <c r="BL41" i="273"/>
  <c r="BL40" i="273"/>
  <c r="BL39" i="273"/>
  <c r="BL38" i="273"/>
  <c r="BL37" i="273"/>
  <c r="BL36" i="273"/>
  <c r="BL35" i="273"/>
  <c r="BL33" i="273"/>
  <c r="BL30" i="273"/>
  <c r="BL29" i="273"/>
  <c r="BL28" i="273"/>
  <c r="BL32" i="273"/>
  <c r="BL25" i="273"/>
  <c r="BL24" i="273"/>
  <c r="BL23" i="273"/>
  <c r="BL22" i="273"/>
  <c r="BL21" i="273"/>
  <c r="BL20" i="273"/>
  <c r="BL18" i="273"/>
  <c r="BL17" i="273"/>
  <c r="BL16" i="273"/>
  <c r="BK15" i="273"/>
  <c r="BK51" i="273"/>
  <c r="BJ15" i="273"/>
  <c r="BI15" i="273"/>
  <c r="BL14" i="273"/>
  <c r="BL13" i="273"/>
  <c r="BL12" i="273"/>
  <c r="BL11" i="273"/>
  <c r="BL10" i="273"/>
  <c r="BL9" i="273"/>
  <c r="BL8" i="273"/>
  <c r="BL7" i="273"/>
  <c r="BL6" i="273"/>
  <c r="BL5" i="273"/>
  <c r="BL115" i="273"/>
  <c r="BL95" i="273"/>
  <c r="BI69" i="263"/>
  <c r="BH20" i="263"/>
  <c r="BJ12" i="263"/>
  <c r="BH69" i="263"/>
  <c r="BL84" i="273"/>
  <c r="BG20" i="263"/>
  <c r="BJ62" i="263"/>
  <c r="BG19" i="263"/>
  <c r="BI70" i="263"/>
  <c r="BJ11" i="263"/>
  <c r="BI17" i="263"/>
  <c r="BG37" i="263"/>
  <c r="BJ16" i="263"/>
  <c r="BJ46" i="263"/>
  <c r="BG13" i="263"/>
  <c r="BI47" i="263"/>
  <c r="BI64" i="263"/>
  <c r="BH68" i="263"/>
  <c r="BH13" i="263"/>
  <c r="BJ15" i="263"/>
  <c r="BI71" i="263"/>
  <c r="BJ45" i="263"/>
  <c r="BH47" i="263"/>
  <c r="BJ49" i="263"/>
  <c r="BJ61" i="263"/>
  <c r="BH51" i="263"/>
  <c r="BJ14" i="263"/>
  <c r="BG69" i="263"/>
  <c r="BJ8" i="263"/>
  <c r="BG70" i="263"/>
  <c r="BH64" i="263"/>
  <c r="BG36" i="263"/>
  <c r="BJ33" i="263"/>
  <c r="BI51" i="263"/>
  <c r="BH70" i="263"/>
  <c r="BJ66" i="263"/>
  <c r="BH18" i="263"/>
  <c r="BJ50" i="263"/>
  <c r="BI68" i="263"/>
  <c r="BH19" i="263"/>
  <c r="BH17" i="263"/>
  <c r="BJ7" i="263"/>
  <c r="BJ10" i="263"/>
  <c r="BH34" i="263"/>
  <c r="BG51" i="263"/>
  <c r="BH71" i="263"/>
  <c r="BJ67" i="263"/>
  <c r="BG17" i="263"/>
  <c r="BI34" i="263"/>
  <c r="BJ48" i="263"/>
  <c r="BG60" i="263"/>
  <c r="BJ63" i="263"/>
  <c r="BJ41" i="263"/>
  <c r="BH37" i="263"/>
  <c r="BI37" i="263"/>
  <c r="BJ31" i="263"/>
  <c r="BG34" i="263"/>
  <c r="BL146" i="273"/>
  <c r="BH36" i="263"/>
  <c r="BJ32" i="263"/>
  <c r="BJ28" i="263"/>
  <c r="BJ30" i="263"/>
  <c r="BI36" i="263"/>
  <c r="BJ25" i="263"/>
  <c r="BL139" i="273"/>
  <c r="BJ24" i="263"/>
  <c r="BH43" i="263"/>
  <c r="BH9" i="263"/>
  <c r="BH35" i="263"/>
  <c r="BJ42" i="263"/>
  <c r="BJ44" i="263"/>
  <c r="BJ57" i="263"/>
  <c r="BJ59" i="263"/>
  <c r="BG64" i="263"/>
  <c r="BG71" i="263"/>
  <c r="BI9" i="263"/>
  <c r="BI13" i="263"/>
  <c r="BI35" i="263"/>
  <c r="BG43" i="263"/>
  <c r="BG47" i="263"/>
  <c r="BG18" i="263"/>
  <c r="BG26" i="263"/>
  <c r="BI43" i="263"/>
  <c r="BH26" i="263"/>
  <c r="BJ58" i="263"/>
  <c r="BG68" i="263"/>
  <c r="BI26" i="263"/>
  <c r="BG9" i="263"/>
  <c r="BI147" i="273"/>
  <c r="BK147" i="273"/>
  <c r="BK136" i="273"/>
  <c r="BJ136" i="273"/>
  <c r="BL135" i="273"/>
  <c r="BI136" i="273"/>
  <c r="BL130" i="273"/>
  <c r="BJ96" i="273"/>
  <c r="BI51" i="273"/>
  <c r="BJ51" i="273"/>
  <c r="BL15" i="273"/>
  <c r="R31" i="229"/>
  <c r="R37" i="229"/>
  <c r="R32" i="229"/>
  <c r="R33" i="229"/>
  <c r="R34" i="229"/>
  <c r="R35" i="229"/>
  <c r="R36" i="229"/>
  <c r="R29" i="229"/>
  <c r="R19" i="229"/>
  <c r="R14" i="229"/>
  <c r="R9" i="229"/>
  <c r="R36" i="227"/>
  <c r="R35" i="227"/>
  <c r="R34" i="227"/>
  <c r="R33" i="227"/>
  <c r="R37" i="227"/>
  <c r="R32" i="227"/>
  <c r="R31" i="227"/>
  <c r="R29" i="227"/>
  <c r="R24" i="227"/>
  <c r="R19" i="227"/>
  <c r="R14" i="227"/>
  <c r="R9" i="227"/>
  <c r="BJ60" i="263"/>
  <c r="BJ20" i="263"/>
  <c r="BL147" i="273"/>
  <c r="BJ69" i="263"/>
  <c r="BL136" i="273"/>
  <c r="BL96" i="273"/>
  <c r="BG38" i="263"/>
  <c r="BJ53" i="263"/>
  <c r="BJ52" i="263"/>
  <c r="BI55" i="263"/>
  <c r="BJ51" i="263"/>
  <c r="BJ18" i="263"/>
  <c r="BJ19" i="263"/>
  <c r="BJ70" i="263"/>
  <c r="BJ64" i="263"/>
  <c r="BJ71" i="263"/>
  <c r="BJ34" i="263"/>
  <c r="BJ17" i="263"/>
  <c r="BH21" i="263"/>
  <c r="BI21" i="263"/>
  <c r="BJ43" i="263"/>
  <c r="BI75" i="263"/>
  <c r="BH76" i="263"/>
  <c r="BI76" i="263"/>
  <c r="BH72" i="263"/>
  <c r="BJ47" i="263"/>
  <c r="BJ54" i="263"/>
  <c r="BH75" i="263"/>
  <c r="BI72" i="263"/>
  <c r="BJ9" i="263"/>
  <c r="BJ13" i="263"/>
  <c r="BJ68" i="263"/>
  <c r="BJ37" i="263"/>
  <c r="BH38" i="263"/>
  <c r="BJ26" i="263"/>
  <c r="BH55" i="263"/>
  <c r="BH74" i="263"/>
  <c r="BI149" i="273"/>
  <c r="BJ36" i="263"/>
  <c r="BI38" i="263"/>
  <c r="BK149" i="273"/>
  <c r="BG76" i="263"/>
  <c r="BG72" i="263"/>
  <c r="BJ35" i="263"/>
  <c r="BI74" i="263"/>
  <c r="BG21" i="263"/>
  <c r="BG74" i="263"/>
  <c r="BG55" i="263"/>
  <c r="BG75" i="263"/>
  <c r="BJ149" i="273"/>
  <c r="BL51" i="273"/>
  <c r="CB82" i="276"/>
  <c r="CB83" i="276"/>
  <c r="CB84" i="276"/>
  <c r="CB85" i="276"/>
  <c r="CB86" i="276"/>
  <c r="BY14" i="277"/>
  <c r="CA50" i="276"/>
  <c r="BZ50" i="276"/>
  <c r="BZ51" i="276" s="1"/>
  <c r="BY50" i="276"/>
  <c r="BJ38" i="263"/>
  <c r="BL149" i="273"/>
  <c r="BJ72" i="263"/>
  <c r="BJ55" i="263"/>
  <c r="BJ21" i="263"/>
  <c r="BI77" i="263"/>
  <c r="BJ75" i="263"/>
  <c r="BH77" i="263"/>
  <c r="BJ76" i="263"/>
  <c r="BJ74" i="263"/>
  <c r="BG77" i="263"/>
  <c r="BJ77" i="263"/>
  <c r="AU59" i="284"/>
  <c r="AU58" i="284"/>
  <c r="AU46" i="284"/>
  <c r="AU45" i="284"/>
  <c r="AU12" i="284"/>
  <c r="AU11" i="284"/>
  <c r="AW128" i="283"/>
  <c r="AW97" i="283"/>
  <c r="AW31" i="283"/>
  <c r="R200" i="268"/>
  <c r="R209" i="268"/>
  <c r="R45" i="268"/>
  <c r="R198" i="268" s="1"/>
  <c r="R44" i="268"/>
  <c r="R197" i="268" s="1"/>
  <c r="R43" i="268"/>
  <c r="R196" i="268" s="1"/>
  <c r="R41" i="268"/>
  <c r="R194" i="268" s="1"/>
  <c r="R40" i="268"/>
  <c r="R193" i="268" s="1"/>
  <c r="R39" i="268"/>
  <c r="R49" i="268"/>
  <c r="R202" i="268" s="1"/>
  <c r="R48" i="268"/>
  <c r="R201" i="268" s="1"/>
  <c r="R28" i="268"/>
  <c r="R181" i="268" s="1"/>
  <c r="R27" i="268"/>
  <c r="R180" i="268" s="1"/>
  <c r="R15" i="268"/>
  <c r="R14" i="268"/>
  <c r="R13" i="268"/>
  <c r="R11" i="268"/>
  <c r="R164" i="268" s="1"/>
  <c r="R10" i="268"/>
  <c r="R163" i="268" s="1"/>
  <c r="R7" i="268"/>
  <c r="R6" i="268"/>
  <c r="R159" i="268" s="1"/>
  <c r="S143" i="267"/>
  <c r="S151" i="267"/>
  <c r="S150" i="267"/>
  <c r="S145" i="267"/>
  <c r="S140" i="267"/>
  <c r="S139" i="267"/>
  <c r="S134" i="267"/>
  <c r="S119" i="267"/>
  <c r="S99" i="267"/>
  <c r="S98" i="267"/>
  <c r="S87" i="267"/>
  <c r="S69" i="267"/>
  <c r="S51" i="267"/>
  <c r="S33" i="267"/>
  <c r="S52" i="267"/>
  <c r="S153" i="267"/>
  <c r="S16" i="267"/>
  <c r="R5" i="268"/>
  <c r="R158" i="268" s="1"/>
  <c r="R9" i="268"/>
  <c r="R162" i="268" s="1"/>
  <c r="R22" i="268"/>
  <c r="R175" i="268" s="1"/>
  <c r="R23" i="268"/>
  <c r="R176" i="268" s="1"/>
  <c r="R24" i="268"/>
  <c r="R177" i="268" s="1"/>
  <c r="R26" i="268"/>
  <c r="R179" i="268" s="1"/>
  <c r="R30" i="268"/>
  <c r="R183" i="268" s="1"/>
  <c r="R31" i="268"/>
  <c r="R184" i="268" s="1"/>
  <c r="R32" i="268"/>
  <c r="R185" i="268" s="1"/>
  <c r="R57" i="268"/>
  <c r="R58" i="268"/>
  <c r="R211" i="268" s="1"/>
  <c r="R61" i="268"/>
  <c r="R214" i="268" s="1"/>
  <c r="R216" i="268" s="1"/>
  <c r="R64" i="268"/>
  <c r="R68" i="268" s="1"/>
  <c r="R217" i="268" s="1"/>
  <c r="R65" i="268"/>
  <c r="R66" i="268"/>
  <c r="Q24" i="202"/>
  <c r="Q23" i="202"/>
  <c r="Q22" i="202"/>
  <c r="Q7" i="202"/>
  <c r="Q8" i="202"/>
  <c r="Q9" i="202"/>
  <c r="Q35" i="202"/>
  <c r="Q10" i="202"/>
  <c r="Q12" i="202"/>
  <c r="Q13" i="202"/>
  <c r="Q14" i="202"/>
  <c r="Q15" i="202"/>
  <c r="Q17" i="202"/>
  <c r="Q18" i="202"/>
  <c r="Q19" i="202"/>
  <c r="Q20" i="202"/>
  <c r="Q27" i="202"/>
  <c r="Q28" i="202"/>
  <c r="Q29" i="202"/>
  <c r="Q30" i="202"/>
  <c r="Q36" i="202"/>
  <c r="Q37" i="202"/>
  <c r="R80" i="201"/>
  <c r="R79" i="201"/>
  <c r="R76" i="201"/>
  <c r="R73" i="201"/>
  <c r="R38" i="201"/>
  <c r="R39" i="201"/>
  <c r="R33" i="201"/>
  <c r="R29" i="201"/>
  <c r="R102" i="201"/>
  <c r="R101" i="201"/>
  <c r="R96" i="201"/>
  <c r="R87" i="201"/>
  <c r="R69" i="201"/>
  <c r="R70" i="201"/>
  <c r="R62" i="201"/>
  <c r="R50" i="201"/>
  <c r="R14" i="201"/>
  <c r="R19" i="201"/>
  <c r="R23" i="201"/>
  <c r="R8" i="268"/>
  <c r="Q34" i="202"/>
  <c r="Q33" i="202"/>
  <c r="Q25" i="202"/>
  <c r="Q32" i="202"/>
  <c r="R104" i="201"/>
  <c r="R24" i="201"/>
  <c r="AU21" i="194"/>
  <c r="AU23" i="194"/>
  <c r="AV80" i="193"/>
  <c r="Q38" i="202"/>
  <c r="AT23" i="241"/>
  <c r="AS23" i="241"/>
  <c r="AT21" i="241"/>
  <c r="AU96" i="240"/>
  <c r="AV95" i="240"/>
  <c r="AV101" i="240"/>
  <c r="AU102" i="240"/>
  <c r="R6" i="303"/>
  <c r="AV80" i="238"/>
  <c r="AV81" i="238"/>
  <c r="AV82" i="238"/>
  <c r="AV79" i="238"/>
  <c r="AT14" i="239"/>
  <c r="AU14" i="239"/>
  <c r="AS14" i="239"/>
  <c r="AU12" i="239"/>
  <c r="AU13" i="239"/>
  <c r="AU11" i="239"/>
  <c r="AT21" i="239"/>
  <c r="AT22" i="239"/>
  <c r="AT23" i="239"/>
  <c r="AS23" i="239"/>
  <c r="AS22" i="239"/>
  <c r="AS21" i="239"/>
  <c r="AU92" i="238"/>
  <c r="AU87" i="238"/>
  <c r="AU83" i="238"/>
  <c r="AU103" i="238"/>
  <c r="AV96" i="238"/>
  <c r="AV103" i="238"/>
  <c r="AT96" i="238"/>
  <c r="AT103" i="238"/>
  <c r="AU96" i="238"/>
  <c r="AV101" i="238"/>
  <c r="AV98" i="238"/>
  <c r="AV95" i="238"/>
  <c r="AU99" i="238"/>
  <c r="AT99" i="238"/>
  <c r="AU102" i="238"/>
  <c r="AT102" i="238"/>
  <c r="AT23" i="237"/>
  <c r="AS23" i="237"/>
  <c r="AU22" i="237"/>
  <c r="AT22" i="237"/>
  <c r="AS22" i="237"/>
  <c r="AU21" i="237"/>
  <c r="AT21" i="237"/>
  <c r="AS21" i="237"/>
  <c r="AV102" i="236"/>
  <c r="AV103" i="236"/>
  <c r="AV104" i="236"/>
  <c r="AV106" i="236"/>
  <c r="AT104" i="236"/>
  <c r="AU104" i="236"/>
  <c r="AV97" i="236"/>
  <c r="AT97" i="236"/>
  <c r="AU97" i="236"/>
  <c r="AU103" i="236"/>
  <c r="AT103" i="236"/>
  <c r="AU23" i="237"/>
  <c r="AV128" i="283"/>
  <c r="AU128" i="283"/>
  <c r="AV97" i="283"/>
  <c r="AU97" i="283"/>
  <c r="AV31" i="283"/>
  <c r="AU31" i="283"/>
  <c r="BW44" i="277"/>
  <c r="BY44" i="277"/>
  <c r="BX44" i="277"/>
  <c r="BX42" i="277"/>
  <c r="BX40" i="277"/>
  <c r="BX57" i="277"/>
  <c r="BY57" i="277"/>
  <c r="BX58" i="277"/>
  <c r="BY58" i="277"/>
  <c r="BX59" i="277"/>
  <c r="BY59" i="277"/>
  <c r="BW59" i="277"/>
  <c r="BW58" i="277"/>
  <c r="BX10" i="277"/>
  <c r="BY10" i="277"/>
  <c r="BX11" i="277"/>
  <c r="BY11" i="277"/>
  <c r="BX12" i="277"/>
  <c r="BY12" i="277"/>
  <c r="BW12" i="277"/>
  <c r="BW11" i="277"/>
  <c r="BW10" i="277"/>
  <c r="CB120" i="276"/>
  <c r="BZ126" i="276"/>
  <c r="CA126" i="276"/>
  <c r="BY126" i="276"/>
  <c r="CB125" i="276"/>
  <c r="CB119" i="276"/>
  <c r="BZ32" i="276"/>
  <c r="CA32" i="276"/>
  <c r="BY32" i="276"/>
  <c r="CB26" i="276"/>
  <c r="CB27" i="276"/>
  <c r="CB28" i="276"/>
  <c r="CB29" i="276"/>
  <c r="CB30" i="276"/>
  <c r="CB31" i="276"/>
  <c r="AU67" i="284"/>
  <c r="AT67" i="284"/>
  <c r="AS67" i="284"/>
  <c r="AU66" i="284"/>
  <c r="AT66" i="284"/>
  <c r="AS66" i="284"/>
  <c r="AU63" i="284"/>
  <c r="AT63" i="284"/>
  <c r="AS63" i="284"/>
  <c r="AU62" i="284"/>
  <c r="AT62" i="284"/>
  <c r="AS62" i="284"/>
  <c r="AU61" i="284"/>
  <c r="AT61" i="284"/>
  <c r="AS61" i="284"/>
  <c r="AU57" i="284"/>
  <c r="AU50" i="284"/>
  <c r="AT50" i="284"/>
  <c r="AS50" i="284"/>
  <c r="AU49" i="284"/>
  <c r="AT49" i="284"/>
  <c r="AS49" i="284"/>
  <c r="AU48" i="284"/>
  <c r="AT48" i="284"/>
  <c r="AS48" i="284"/>
  <c r="AU44" i="284"/>
  <c r="AU42" i="284"/>
  <c r="AU41" i="284"/>
  <c r="AU40" i="284"/>
  <c r="AU33" i="284"/>
  <c r="AT33" i="284"/>
  <c r="AS33" i="284"/>
  <c r="AU32" i="284"/>
  <c r="AT32" i="284"/>
  <c r="AS32" i="284"/>
  <c r="AU31" i="284"/>
  <c r="AU35" i="284"/>
  <c r="AT31" i="284"/>
  <c r="AT35" i="284"/>
  <c r="AS31" i="284"/>
  <c r="AS35" i="284"/>
  <c r="AU28" i="284"/>
  <c r="AU30" i="284"/>
  <c r="AT28" i="284"/>
  <c r="AT30" i="284"/>
  <c r="AS28" i="284"/>
  <c r="AS30" i="284"/>
  <c r="AU25" i="284"/>
  <c r="AT25" i="284"/>
  <c r="AS25" i="284"/>
  <c r="AU24" i="284"/>
  <c r="AT24" i="284"/>
  <c r="AS24" i="284"/>
  <c r="AU16" i="284"/>
  <c r="AT16" i="284"/>
  <c r="AS16" i="284"/>
  <c r="AU15" i="284"/>
  <c r="AT15" i="284"/>
  <c r="AS15" i="284"/>
  <c r="AU14" i="284"/>
  <c r="AT14" i="284"/>
  <c r="AS14" i="284"/>
  <c r="AU10" i="284"/>
  <c r="AU8" i="284"/>
  <c r="AT8" i="284"/>
  <c r="AS8" i="284"/>
  <c r="AU7" i="284"/>
  <c r="AT7" i="284"/>
  <c r="AS7" i="284"/>
  <c r="BY67" i="277"/>
  <c r="BX67" i="277"/>
  <c r="BW67" i="277"/>
  <c r="BY66" i="277"/>
  <c r="BX66" i="277"/>
  <c r="BW66" i="277"/>
  <c r="BY63" i="277"/>
  <c r="BX63" i="277"/>
  <c r="BW63" i="277"/>
  <c r="BY62" i="277"/>
  <c r="BX62" i="277"/>
  <c r="BW62" i="277"/>
  <c r="BY61" i="277"/>
  <c r="BX61" i="277"/>
  <c r="BW61" i="277"/>
  <c r="BZ58" i="277"/>
  <c r="BW57" i="277"/>
  <c r="BY50" i="277"/>
  <c r="BZ50" i="277" s="1"/>
  <c r="BX50" i="277"/>
  <c r="BW50" i="277"/>
  <c r="BY49" i="277"/>
  <c r="BX49" i="277"/>
  <c r="BW49" i="277"/>
  <c r="BY48" i="277"/>
  <c r="BX48" i="277"/>
  <c r="BW48" i="277"/>
  <c r="BW52" i="277"/>
  <c r="BY42" i="277"/>
  <c r="BW42" i="277"/>
  <c r="BY33" i="277"/>
  <c r="BX33" i="277"/>
  <c r="BW33" i="277"/>
  <c r="BY32" i="277"/>
  <c r="BX32" i="277"/>
  <c r="BW32" i="277"/>
  <c r="BY31" i="277"/>
  <c r="BY35" i="277"/>
  <c r="BX31" i="277"/>
  <c r="BW31" i="277"/>
  <c r="BY28" i="277"/>
  <c r="BY30" i="277"/>
  <c r="BX28" i="277"/>
  <c r="BX30" i="277" s="1"/>
  <c r="BW28" i="277"/>
  <c r="BY25" i="277"/>
  <c r="BX25" i="277"/>
  <c r="BW25" i="277"/>
  <c r="BY24" i="277"/>
  <c r="BX24" i="277"/>
  <c r="BW24" i="277"/>
  <c r="BZ23" i="277"/>
  <c r="BY16" i="277"/>
  <c r="BX16" i="277"/>
  <c r="BW16" i="277"/>
  <c r="BY15" i="277"/>
  <c r="BX15" i="277"/>
  <c r="BW15" i="277"/>
  <c r="BX14" i="277"/>
  <c r="BW14" i="277"/>
  <c r="BY13" i="277"/>
  <c r="BY21" i="277" s="1"/>
  <c r="BY8" i="277"/>
  <c r="BX8" i="277"/>
  <c r="BW8" i="277"/>
  <c r="BY7" i="277"/>
  <c r="BX7" i="277"/>
  <c r="BW7" i="277"/>
  <c r="BY6" i="277"/>
  <c r="BX6" i="277"/>
  <c r="BW6" i="277"/>
  <c r="CA146" i="276"/>
  <c r="BZ146" i="276"/>
  <c r="BY146" i="276"/>
  <c r="CB145" i="276"/>
  <c r="CB144" i="276"/>
  <c r="CB143" i="276"/>
  <c r="CB142" i="276"/>
  <c r="CB146" i="276" s="1"/>
  <c r="CA141" i="276"/>
  <c r="BZ141" i="276"/>
  <c r="BY141" i="276"/>
  <c r="CB140" i="276"/>
  <c r="CB139" i="276"/>
  <c r="CB138" i="276"/>
  <c r="CB137" i="276"/>
  <c r="CB136" i="276"/>
  <c r="CB135" i="276"/>
  <c r="CB134" i="276"/>
  <c r="CB133" i="276"/>
  <c r="CB132" i="276"/>
  <c r="CB131" i="276"/>
  <c r="CB130" i="276"/>
  <c r="CB129" i="276"/>
  <c r="CB128" i="276"/>
  <c r="CB141" i="276" s="1"/>
  <c r="CB127" i="276"/>
  <c r="CB123" i="276"/>
  <c r="CB122" i="276"/>
  <c r="CB121" i="276"/>
  <c r="CB118" i="276"/>
  <c r="CB117" i="276"/>
  <c r="CB116" i="276"/>
  <c r="CB115" i="276"/>
  <c r="CB126" i="276" s="1"/>
  <c r="CB114" i="276"/>
  <c r="CB113" i="276"/>
  <c r="CB112" i="276"/>
  <c r="CB111" i="276"/>
  <c r="CB110" i="276"/>
  <c r="CB109" i="276"/>
  <c r="CB108" i="276"/>
  <c r="CA106" i="276"/>
  <c r="CA107" i="276" s="1"/>
  <c r="BZ106" i="276"/>
  <c r="BY106" i="276"/>
  <c r="CB105" i="276"/>
  <c r="CB104" i="276"/>
  <c r="CB103" i="276"/>
  <c r="CB102" i="276"/>
  <c r="CB101" i="276"/>
  <c r="CB100" i="276"/>
  <c r="CB106" i="276" s="1"/>
  <c r="CB99" i="276"/>
  <c r="CB98" i="276"/>
  <c r="CB97" i="276"/>
  <c r="CB96" i="276"/>
  <c r="CB81" i="276"/>
  <c r="CB80" i="276"/>
  <c r="CA79" i="276"/>
  <c r="BZ79" i="276"/>
  <c r="BZ107" i="276" s="1"/>
  <c r="BZ149" i="276" s="1"/>
  <c r="BY79" i="276"/>
  <c r="CB78" i="276"/>
  <c r="CB77" i="276"/>
  <c r="CB76" i="276"/>
  <c r="CB75" i="276"/>
  <c r="CB74" i="276"/>
  <c r="CB73" i="276"/>
  <c r="CB72" i="276"/>
  <c r="CB71" i="276"/>
  <c r="CB70" i="276"/>
  <c r="CB69" i="276"/>
  <c r="CB68" i="276"/>
  <c r="CB67" i="276"/>
  <c r="CB66" i="276"/>
  <c r="CB65" i="276"/>
  <c r="CB64" i="276"/>
  <c r="CB79" i="276" s="1"/>
  <c r="CB63" i="276"/>
  <c r="CA61" i="276"/>
  <c r="BZ61" i="276"/>
  <c r="BZ62" i="276" s="1"/>
  <c r="BY61" i="276"/>
  <c r="BY62" i="276"/>
  <c r="CB60" i="276"/>
  <c r="CB59" i="276"/>
  <c r="CB61" i="276" s="1"/>
  <c r="CB58" i="276"/>
  <c r="CB57" i="276"/>
  <c r="CA56" i="276"/>
  <c r="CB55" i="276"/>
  <c r="CB56" i="276" s="1"/>
  <c r="CA54" i="276"/>
  <c r="CB53" i="276"/>
  <c r="CB52" i="276"/>
  <c r="CB54" i="276" s="1"/>
  <c r="CB62" i="276" s="1"/>
  <c r="CB49" i="276"/>
  <c r="CB48" i="276"/>
  <c r="CB47" i="276"/>
  <c r="CB46" i="276"/>
  <c r="CB45" i="276"/>
  <c r="CB44" i="276"/>
  <c r="CB43" i="276"/>
  <c r="CB42" i="276"/>
  <c r="CB41" i="276"/>
  <c r="CB40" i="276"/>
  <c r="CB39" i="276"/>
  <c r="CB38" i="276"/>
  <c r="CB37" i="276"/>
  <c r="CB36" i="276"/>
  <c r="CB35" i="276"/>
  <c r="CB33" i="276"/>
  <c r="CB50" i="276" s="1"/>
  <c r="CB25" i="276"/>
  <c r="CB24" i="276"/>
  <c r="CB23" i="276"/>
  <c r="CB22" i="276"/>
  <c r="CB21" i="276"/>
  <c r="CB20" i="276"/>
  <c r="CB19" i="276"/>
  <c r="CB18" i="276"/>
  <c r="CB32" i="276" s="1"/>
  <c r="CB17" i="276"/>
  <c r="CB16" i="276"/>
  <c r="CA15" i="276"/>
  <c r="BZ15" i="276"/>
  <c r="BY15" i="276"/>
  <c r="CB14" i="276"/>
  <c r="CB13" i="276"/>
  <c r="CB12" i="276"/>
  <c r="CB15" i="276" s="1"/>
  <c r="CB11" i="276"/>
  <c r="CB10" i="276"/>
  <c r="CB9" i="276"/>
  <c r="CB8" i="276"/>
  <c r="CB7" i="276"/>
  <c r="CB6" i="276"/>
  <c r="CB5" i="276"/>
  <c r="BW69" i="277"/>
  <c r="BZ147" i="276"/>
  <c r="BX19" i="277"/>
  <c r="BY71" i="277"/>
  <c r="BY54" i="277"/>
  <c r="BY20" i="277"/>
  <c r="BW18" i="277"/>
  <c r="BY18" i="277"/>
  <c r="BY53" i="277"/>
  <c r="BZ49" i="277"/>
  <c r="BX36" i="277"/>
  <c r="BY36" i="277"/>
  <c r="BZ14" i="277"/>
  <c r="BY69" i="277"/>
  <c r="BW36" i="277"/>
  <c r="BX51" i="277"/>
  <c r="CA51" i="276"/>
  <c r="AS64" i="284"/>
  <c r="AU69" i="284"/>
  <c r="AU68" i="284"/>
  <c r="AS68" i="284"/>
  <c r="AS71" i="284"/>
  <c r="AT64" i="284"/>
  <c r="AS43" i="284"/>
  <c r="AU47" i="284"/>
  <c r="AS69" i="284"/>
  <c r="AS36" i="284"/>
  <c r="AU19" i="284"/>
  <c r="AU17" i="284"/>
  <c r="AT26" i="284"/>
  <c r="AS34" i="284"/>
  <c r="AS70" i="284"/>
  <c r="AT68" i="284"/>
  <c r="AU54" i="284"/>
  <c r="AS37" i="284"/>
  <c r="AT52" i="284"/>
  <c r="AT37" i="284"/>
  <c r="AS53" i="284"/>
  <c r="AS51" i="284"/>
  <c r="AU13" i="284"/>
  <c r="AT13" i="284"/>
  <c r="AS13" i="284"/>
  <c r="AU18" i="284"/>
  <c r="AS17" i="284"/>
  <c r="AU52" i="284"/>
  <c r="AS52" i="284"/>
  <c r="AU64" i="284"/>
  <c r="AT17" i="284"/>
  <c r="AT36" i="284"/>
  <c r="AT47" i="284"/>
  <c r="AS47" i="284"/>
  <c r="AU70" i="284"/>
  <c r="AU75" i="284"/>
  <c r="AS20" i="284"/>
  <c r="AT20" i="284"/>
  <c r="AU53" i="284"/>
  <c r="AT51" i="284"/>
  <c r="AT71" i="284"/>
  <c r="AU20" i="284"/>
  <c r="AU36" i="284"/>
  <c r="AS54" i="284"/>
  <c r="AS76" i="284"/>
  <c r="AU51" i="284"/>
  <c r="AT53" i="284"/>
  <c r="AU9" i="284"/>
  <c r="AU37" i="284"/>
  <c r="AT54" i="284"/>
  <c r="AT69" i="284"/>
  <c r="AS60" i="284"/>
  <c r="AU71" i="284"/>
  <c r="AU76" i="284"/>
  <c r="AT9" i="284"/>
  <c r="AS9" i="284"/>
  <c r="BW68" i="277"/>
  <c r="BW70" i="277"/>
  <c r="BY17" i="277"/>
  <c r="BY19" i="277"/>
  <c r="BX71" i="277"/>
  <c r="BZ28" i="277"/>
  <c r="BW17" i="277"/>
  <c r="BW51" i="277"/>
  <c r="BX13" i="277"/>
  <c r="BZ32" i="277"/>
  <c r="BW54" i="277"/>
  <c r="BZ46" i="277"/>
  <c r="BW53" i="277"/>
  <c r="BW34" i="277"/>
  <c r="BZ57" i="277"/>
  <c r="BY26" i="277"/>
  <c r="BZ11" i="277"/>
  <c r="BZ62" i="277"/>
  <c r="BZ70" i="277" s="1"/>
  <c r="BX64" i="277"/>
  <c r="BX52" i="277"/>
  <c r="BX70" i="277"/>
  <c r="BX72" i="277" s="1"/>
  <c r="BZ24" i="277"/>
  <c r="BW30" i="277"/>
  <c r="BZ30" i="277" s="1"/>
  <c r="BZ41" i="277"/>
  <c r="BZ10" i="277"/>
  <c r="BW64" i="277"/>
  <c r="BZ63" i="277"/>
  <c r="BZ8" i="277"/>
  <c r="BW9" i="277"/>
  <c r="BY51" i="276"/>
  <c r="BY149" i="276" s="1"/>
  <c r="AS19" i="284"/>
  <c r="AT19" i="284"/>
  <c r="AU26" i="284"/>
  <c r="AT43" i="284"/>
  <c r="AT60" i="284"/>
  <c r="AT72" i="284"/>
  <c r="AT34" i="284"/>
  <c r="AU43" i="284"/>
  <c r="AU55" i="284"/>
  <c r="AU60" i="284"/>
  <c r="AU34" i="284"/>
  <c r="AT70" i="284"/>
  <c r="AS18" i="284"/>
  <c r="AT18" i="284"/>
  <c r="AS26" i="284"/>
  <c r="BW37" i="277"/>
  <c r="BZ44" i="277"/>
  <c r="BZ59" i="277"/>
  <c r="BZ61" i="277"/>
  <c r="BY9" i="277"/>
  <c r="BW43" i="277"/>
  <c r="BW47" i="277"/>
  <c r="BW19" i="277"/>
  <c r="BW75" i="277" s="1"/>
  <c r="BW35" i="277"/>
  <c r="BZ66" i="277"/>
  <c r="BZ7" i="277"/>
  <c r="BZ15" i="277"/>
  <c r="BX60" i="277"/>
  <c r="BX69" i="277"/>
  <c r="BY43" i="277"/>
  <c r="BY47" i="277"/>
  <c r="BY60" i="277"/>
  <c r="BW26" i="277"/>
  <c r="BY68" i="277"/>
  <c r="BY147" i="276"/>
  <c r="CA147" i="276"/>
  <c r="BY107" i="276"/>
  <c r="CA62" i="276"/>
  <c r="AT18" i="194"/>
  <c r="AT16" i="194"/>
  <c r="AT21" i="194"/>
  <c r="AU28" i="194"/>
  <c r="AT28" i="194"/>
  <c r="AS28" i="194"/>
  <c r="AU27" i="194"/>
  <c r="AT27" i="194"/>
  <c r="AS27" i="194"/>
  <c r="AU26" i="194"/>
  <c r="AT26" i="194"/>
  <c r="AS26" i="194"/>
  <c r="AS29" i="194"/>
  <c r="AT23" i="194"/>
  <c r="AS23" i="194"/>
  <c r="AU22" i="194"/>
  <c r="AT22" i="194"/>
  <c r="AS22" i="194"/>
  <c r="AS21" i="194"/>
  <c r="AU18" i="194"/>
  <c r="AS18" i="194"/>
  <c r="AU17" i="194"/>
  <c r="AT17" i="194"/>
  <c r="AS17" i="194"/>
  <c r="AU16" i="194"/>
  <c r="AS19" i="194"/>
  <c r="AU13" i="194"/>
  <c r="AU36" i="194"/>
  <c r="AT13" i="194"/>
  <c r="AT36" i="194"/>
  <c r="AS13" i="194"/>
  <c r="AS36" i="194"/>
  <c r="AU12" i="194"/>
  <c r="AU35" i="194"/>
  <c r="AT12" i="194"/>
  <c r="AT35" i="194"/>
  <c r="AS12" i="194"/>
  <c r="AS35" i="194"/>
  <c r="AU11" i="194"/>
  <c r="AT11" i="194"/>
  <c r="AS11" i="194"/>
  <c r="AS14" i="194"/>
  <c r="AU8" i="194"/>
  <c r="AT8" i="194"/>
  <c r="AT34" i="194"/>
  <c r="AS8" i="194"/>
  <c r="AS34" i="194"/>
  <c r="AU7" i="194"/>
  <c r="AT7" i="194"/>
  <c r="AT32" i="194"/>
  <c r="AS7" i="194"/>
  <c r="AS32" i="194"/>
  <c r="AU6" i="194"/>
  <c r="AT6" i="194"/>
  <c r="AT9" i="194"/>
  <c r="AS6" i="194"/>
  <c r="AS9" i="194"/>
  <c r="AU74" i="193"/>
  <c r="AV74" i="193"/>
  <c r="AT74" i="193"/>
  <c r="AT24" i="194"/>
  <c r="AS33" i="194"/>
  <c r="AT33" i="194"/>
  <c r="AT14" i="194"/>
  <c r="AS31" i="194"/>
  <c r="AS37" i="194"/>
  <c r="AU24" i="194"/>
  <c r="AT29" i="194"/>
  <c r="AU14" i="194"/>
  <c r="AU34" i="194"/>
  <c r="AU29" i="194"/>
  <c r="AU33" i="194"/>
  <c r="AU32" i="194"/>
  <c r="AU19" i="194"/>
  <c r="AU31" i="194"/>
  <c r="AS72" i="284"/>
  <c r="AU38" i="284"/>
  <c r="AU21" i="284"/>
  <c r="AS38" i="284"/>
  <c r="AT38" i="284"/>
  <c r="AU72" i="284"/>
  <c r="AT55" i="284"/>
  <c r="AT76" i="284"/>
  <c r="AT21" i="284"/>
  <c r="AS21" i="284"/>
  <c r="BZ36" i="277"/>
  <c r="BZ69" i="277"/>
  <c r="BZ19" i="277"/>
  <c r="BW38" i="277"/>
  <c r="AT75" i="284"/>
  <c r="AT19" i="194"/>
  <c r="AU9" i="194"/>
  <c r="AS24" i="194"/>
  <c r="AT31" i="194"/>
  <c r="AT37" i="194"/>
  <c r="AU37" i="194"/>
  <c r="AS21" i="241"/>
  <c r="AT28" i="241"/>
  <c r="AS28" i="241"/>
  <c r="AT27" i="241"/>
  <c r="AS27" i="241"/>
  <c r="AT26" i="241"/>
  <c r="AS26" i="241"/>
  <c r="AU26" i="241"/>
  <c r="AT22" i="241"/>
  <c r="AS22" i="241"/>
  <c r="AT18" i="241"/>
  <c r="AS18" i="241"/>
  <c r="AT17" i="241"/>
  <c r="AS17" i="241"/>
  <c r="AT16" i="241"/>
  <c r="AS16" i="241"/>
  <c r="AT13" i="241"/>
  <c r="AU13" i="241"/>
  <c r="AT12" i="241"/>
  <c r="AU12" i="241"/>
  <c r="AT11" i="241"/>
  <c r="AT8" i="241"/>
  <c r="AS8" i="241"/>
  <c r="AT7" i="241"/>
  <c r="AS7" i="241"/>
  <c r="AT6" i="241"/>
  <c r="AS6" i="241"/>
  <c r="AT99" i="240"/>
  <c r="AT96" i="240"/>
  <c r="AT77" i="240"/>
  <c r="AT72" i="240"/>
  <c r="AT63" i="240"/>
  <c r="AT48" i="240"/>
  <c r="AT36" i="240"/>
  <c r="AT20" i="240"/>
  <c r="AT15" i="240"/>
  <c r="AT102" i="240"/>
  <c r="AV100" i="240"/>
  <c r="AV102" i="240"/>
  <c r="AU99" i="240"/>
  <c r="AV98" i="240"/>
  <c r="AV97" i="240"/>
  <c r="AV94" i="240"/>
  <c r="AV96" i="240"/>
  <c r="AU92" i="240"/>
  <c r="AT92" i="240"/>
  <c r="AT93" i="240"/>
  <c r="AV91" i="240"/>
  <c r="AV90" i="240"/>
  <c r="AV89" i="240"/>
  <c r="AV88" i="240"/>
  <c r="AU87" i="240"/>
  <c r="AT87" i="240"/>
  <c r="AV86" i="240"/>
  <c r="AV85" i="240"/>
  <c r="AV84" i="240"/>
  <c r="AU83" i="240"/>
  <c r="AT83" i="240"/>
  <c r="AS11" i="241"/>
  <c r="AS14" i="241"/>
  <c r="AV82" i="240"/>
  <c r="AV81" i="240"/>
  <c r="AV80" i="240"/>
  <c r="AV79" i="240"/>
  <c r="AU77" i="240"/>
  <c r="AV76" i="240"/>
  <c r="AV75" i="240"/>
  <c r="AV74" i="240"/>
  <c r="AV73" i="240"/>
  <c r="AU72" i="240"/>
  <c r="AV71" i="240"/>
  <c r="AV70" i="240"/>
  <c r="AV69" i="240"/>
  <c r="AV68" i="240"/>
  <c r="AV67" i="240"/>
  <c r="AV66" i="240"/>
  <c r="AV65" i="240"/>
  <c r="AV64" i="240"/>
  <c r="AU63" i="240"/>
  <c r="AV62" i="240"/>
  <c r="AV61" i="240"/>
  <c r="AV60" i="240"/>
  <c r="AV59" i="240"/>
  <c r="AV58" i="240"/>
  <c r="AV57" i="240"/>
  <c r="AU55" i="240"/>
  <c r="AT55" i="240"/>
  <c r="AV54" i="240"/>
  <c r="AV53" i="240"/>
  <c r="AV52" i="240"/>
  <c r="AV51" i="240"/>
  <c r="AV50" i="240"/>
  <c r="AV49" i="240"/>
  <c r="AU48" i="240"/>
  <c r="AV47" i="240"/>
  <c r="AV46" i="240"/>
  <c r="AV45" i="240"/>
  <c r="AV44" i="240"/>
  <c r="AV43" i="240"/>
  <c r="AV42" i="240"/>
  <c r="AV41" i="240"/>
  <c r="AV40" i="240"/>
  <c r="AV39" i="240"/>
  <c r="AV38" i="240"/>
  <c r="AV37" i="240"/>
  <c r="AU36" i="240"/>
  <c r="AV35" i="240"/>
  <c r="AV34" i="240"/>
  <c r="AV33" i="240"/>
  <c r="AV32" i="240"/>
  <c r="AV31" i="240"/>
  <c r="AV30" i="240"/>
  <c r="AV29" i="240"/>
  <c r="AV28" i="240"/>
  <c r="AV27" i="240"/>
  <c r="AV26" i="240"/>
  <c r="AU24" i="240"/>
  <c r="AT24" i="240"/>
  <c r="AV23" i="240"/>
  <c r="AV22" i="240"/>
  <c r="AV21" i="240"/>
  <c r="AU20" i="240"/>
  <c r="AV19" i="240"/>
  <c r="AV18" i="240"/>
  <c r="AV17" i="240"/>
  <c r="AV16" i="240"/>
  <c r="AU15" i="240"/>
  <c r="AV14" i="240"/>
  <c r="AV13" i="240"/>
  <c r="AV12" i="240"/>
  <c r="AV11" i="240"/>
  <c r="AV10" i="240"/>
  <c r="AV9" i="240"/>
  <c r="AV8" i="240"/>
  <c r="AV7" i="240"/>
  <c r="AV6" i="240"/>
  <c r="AV5" i="240"/>
  <c r="AU23" i="241"/>
  <c r="AS34" i="241"/>
  <c r="AV103" i="240"/>
  <c r="AU28" i="241"/>
  <c r="AT33" i="241"/>
  <c r="AU78" i="240"/>
  <c r="AV99" i="240"/>
  <c r="AU22" i="241"/>
  <c r="AS24" i="241"/>
  <c r="AU17" i="241"/>
  <c r="AS33" i="241"/>
  <c r="AT24" i="241"/>
  <c r="AT32" i="241"/>
  <c r="AU27" i="241"/>
  <c r="AV92" i="240"/>
  <c r="AT14" i="241"/>
  <c r="AU14" i="241"/>
  <c r="AU93" i="240"/>
  <c r="AU11" i="241"/>
  <c r="AT34" i="241"/>
  <c r="AU34" i="241"/>
  <c r="AT29" i="241"/>
  <c r="AT19" i="241"/>
  <c r="AU16" i="241"/>
  <c r="AU8" i="241"/>
  <c r="AU25" i="240"/>
  <c r="AU7" i="241"/>
  <c r="AT9" i="241"/>
  <c r="AT31" i="241"/>
  <c r="AS31" i="241"/>
  <c r="AU18" i="241"/>
  <c r="AT35" i="241"/>
  <c r="AU35" i="241"/>
  <c r="AS32" i="241"/>
  <c r="AS19" i="241"/>
  <c r="AS29" i="241"/>
  <c r="AT36" i="241"/>
  <c r="AU36" i="241"/>
  <c r="AS9" i="241"/>
  <c r="AU21" i="241"/>
  <c r="AU6" i="241"/>
  <c r="AV20" i="240"/>
  <c r="AT25" i="240"/>
  <c r="AV24" i="240"/>
  <c r="AU56" i="240"/>
  <c r="AT56" i="240"/>
  <c r="AT78" i="240"/>
  <c r="AV77" i="240"/>
  <c r="AV83" i="240"/>
  <c r="AV87" i="240"/>
  <c r="AV36" i="240"/>
  <c r="AV55" i="240"/>
  <c r="AV63" i="240"/>
  <c r="AV72" i="240"/>
  <c r="AV15" i="240"/>
  <c r="AV48" i="240"/>
  <c r="AT103" i="240"/>
  <c r="AU103" i="240"/>
  <c r="AF37" i="306"/>
  <c r="AE37" i="306"/>
  <c r="AF36" i="306"/>
  <c r="AE36" i="306"/>
  <c r="AF35" i="306"/>
  <c r="AE35" i="306"/>
  <c r="AF34" i="306"/>
  <c r="AE34" i="306"/>
  <c r="AF33" i="306"/>
  <c r="AE33" i="306"/>
  <c r="AF32" i="306"/>
  <c r="AE32" i="306"/>
  <c r="AF30" i="306"/>
  <c r="AE30" i="306"/>
  <c r="AG29" i="306"/>
  <c r="AG28" i="306"/>
  <c r="AG27" i="306"/>
  <c r="AF25" i="306"/>
  <c r="AE25" i="306"/>
  <c r="AG24" i="306"/>
  <c r="AG23" i="306"/>
  <c r="AG22" i="306"/>
  <c r="AF20" i="306"/>
  <c r="AE20" i="306"/>
  <c r="AG19" i="306"/>
  <c r="AG18" i="306"/>
  <c r="AG17" i="306"/>
  <c r="AF15" i="306"/>
  <c r="AE15" i="306"/>
  <c r="AG14" i="306"/>
  <c r="AG37" i="306"/>
  <c r="AG13" i="306"/>
  <c r="AG36" i="306"/>
  <c r="AG12" i="306"/>
  <c r="AF10" i="306"/>
  <c r="AE10" i="306"/>
  <c r="AG9" i="306"/>
  <c r="AG35" i="306"/>
  <c r="AG8" i="306"/>
  <c r="AG7" i="306"/>
  <c r="AT28" i="239"/>
  <c r="AS28" i="239"/>
  <c r="AT27" i="239"/>
  <c r="AS27" i="239"/>
  <c r="AT26" i="239"/>
  <c r="AS26" i="239"/>
  <c r="AT18" i="239"/>
  <c r="AS18" i="239"/>
  <c r="AS33" i="239"/>
  <c r="AT17" i="239"/>
  <c r="AS17" i="239"/>
  <c r="AT16" i="239"/>
  <c r="AS16" i="239"/>
  <c r="AT13" i="239"/>
  <c r="AT36" i="239"/>
  <c r="AS13" i="239"/>
  <c r="AS36" i="239"/>
  <c r="AT12" i="239"/>
  <c r="AT35" i="239"/>
  <c r="AS12" i="239"/>
  <c r="AS35" i="239"/>
  <c r="AT11" i="239"/>
  <c r="AS11" i="239"/>
  <c r="AT8" i="239"/>
  <c r="AT34" i="239"/>
  <c r="AS8" i="239"/>
  <c r="AT7" i="239"/>
  <c r="AS7" i="239"/>
  <c r="AT6" i="239"/>
  <c r="AS6" i="239"/>
  <c r="AT72" i="238"/>
  <c r="AT63" i="238"/>
  <c r="AT48" i="238"/>
  <c r="AT20" i="238"/>
  <c r="AT15" i="238"/>
  <c r="AV100" i="238"/>
  <c r="AV102" i="238"/>
  <c r="AV97" i="238"/>
  <c r="AV99" i="238"/>
  <c r="AV94" i="238"/>
  <c r="AT92" i="238"/>
  <c r="AV91" i="238"/>
  <c r="AV90" i="238"/>
  <c r="AV89" i="238"/>
  <c r="AV88" i="238"/>
  <c r="AT87" i="238"/>
  <c r="AV86" i="238"/>
  <c r="AV85" i="238"/>
  <c r="AV84" i="238"/>
  <c r="AT83" i="238"/>
  <c r="AT93" i="238"/>
  <c r="AU77" i="238"/>
  <c r="AT77" i="238"/>
  <c r="AV76" i="238"/>
  <c r="AV75" i="238"/>
  <c r="AV74" i="238"/>
  <c r="AV73" i="238"/>
  <c r="AU72" i="238"/>
  <c r="AV71" i="238"/>
  <c r="AV70" i="238"/>
  <c r="AV69" i="238"/>
  <c r="AV68" i="238"/>
  <c r="AV67" i="238"/>
  <c r="AV66" i="238"/>
  <c r="AV65" i="238"/>
  <c r="AV64" i="238"/>
  <c r="AU63" i="238"/>
  <c r="AV62" i="238"/>
  <c r="AV61" i="238"/>
  <c r="AV60" i="238"/>
  <c r="AV59" i="238"/>
  <c r="AV58" i="238"/>
  <c r="AV57" i="238"/>
  <c r="AU55" i="238"/>
  <c r="AT55" i="238"/>
  <c r="AV54" i="238"/>
  <c r="AV53" i="238"/>
  <c r="AV52" i="238"/>
  <c r="AV51" i="238"/>
  <c r="AV50" i="238"/>
  <c r="AV49" i="238"/>
  <c r="AU48" i="238"/>
  <c r="AV47" i="238"/>
  <c r="AV46" i="238"/>
  <c r="AV45" i="238"/>
  <c r="AV44" i="238"/>
  <c r="AV43" i="238"/>
  <c r="AV42" i="238"/>
  <c r="AV41" i="238"/>
  <c r="AV40" i="238"/>
  <c r="AV39" i="238"/>
  <c r="AV38" i="238"/>
  <c r="AV37" i="238"/>
  <c r="AU36" i="238"/>
  <c r="AT36" i="238"/>
  <c r="AV35" i="238"/>
  <c r="AV34" i="238"/>
  <c r="AV33" i="238"/>
  <c r="AV32" i="238"/>
  <c r="AV31" i="238"/>
  <c r="AV30" i="238"/>
  <c r="AV29" i="238"/>
  <c r="AV28" i="238"/>
  <c r="AV27" i="238"/>
  <c r="AV26" i="238"/>
  <c r="AU24" i="238"/>
  <c r="AT24" i="238"/>
  <c r="AV23" i="238"/>
  <c r="AV22" i="238"/>
  <c r="AV21" i="238"/>
  <c r="AU20" i="238"/>
  <c r="AV19" i="238"/>
  <c r="AV18" i="238"/>
  <c r="AV17" i="238"/>
  <c r="AV16" i="238"/>
  <c r="AU15" i="238"/>
  <c r="AV14" i="238"/>
  <c r="AV13" i="238"/>
  <c r="AV12" i="238"/>
  <c r="AV11" i="238"/>
  <c r="AV10" i="238"/>
  <c r="AV9" i="238"/>
  <c r="AV8" i="238"/>
  <c r="AV7" i="238"/>
  <c r="AV6" i="238"/>
  <c r="AV5" i="238"/>
  <c r="AK36" i="296"/>
  <c r="AJ36" i="296"/>
  <c r="AL36" i="296"/>
  <c r="AK35" i="296"/>
  <c r="AJ35" i="296"/>
  <c r="AK34" i="296"/>
  <c r="AJ34" i="296"/>
  <c r="AK33" i="296"/>
  <c r="AJ33" i="296"/>
  <c r="AK32" i="296"/>
  <c r="AJ32" i="296"/>
  <c r="AK31" i="296"/>
  <c r="AJ31" i="296"/>
  <c r="AK29" i="296"/>
  <c r="AJ29" i="296"/>
  <c r="AL28" i="296"/>
  <c r="AL27" i="296"/>
  <c r="AL26" i="296"/>
  <c r="AK24" i="296"/>
  <c r="AL24" i="296"/>
  <c r="AJ24" i="296"/>
  <c r="AL23" i="296"/>
  <c r="AL22" i="296"/>
  <c r="AL21" i="296"/>
  <c r="AK19" i="296"/>
  <c r="AJ19" i="296"/>
  <c r="AL18" i="296"/>
  <c r="AL17" i="296"/>
  <c r="AL16" i="296"/>
  <c r="AK14" i="296"/>
  <c r="AJ14" i="296"/>
  <c r="AL13" i="296"/>
  <c r="AL12" i="296"/>
  <c r="AL11" i="296"/>
  <c r="AK9" i="296"/>
  <c r="AJ9" i="296"/>
  <c r="AL8" i="296"/>
  <c r="AL7" i="296"/>
  <c r="AL6" i="296"/>
  <c r="AT73" i="236"/>
  <c r="AT64" i="236"/>
  <c r="AT49" i="236"/>
  <c r="AT21" i="236"/>
  <c r="AT16" i="236"/>
  <c r="AT28" i="237"/>
  <c r="AS28" i="237"/>
  <c r="AT27" i="237"/>
  <c r="AS27" i="237"/>
  <c r="AT26" i="237"/>
  <c r="AS26" i="237"/>
  <c r="AT18" i="237"/>
  <c r="AS18" i="237"/>
  <c r="AT17" i="237"/>
  <c r="AS17" i="237"/>
  <c r="AT16" i="237"/>
  <c r="AS16" i="237"/>
  <c r="AT13" i="237"/>
  <c r="AT36" i="237"/>
  <c r="AS13" i="237"/>
  <c r="AS36" i="237"/>
  <c r="AT12" i="237"/>
  <c r="AT35" i="237"/>
  <c r="AS12" i="237"/>
  <c r="AS35" i="237"/>
  <c r="AT11" i="237"/>
  <c r="AS11" i="237"/>
  <c r="AT8" i="237"/>
  <c r="AS8" i="237"/>
  <c r="AT7" i="237"/>
  <c r="AS7" i="237"/>
  <c r="AU7" i="237"/>
  <c r="AT6" i="237"/>
  <c r="AS6" i="237"/>
  <c r="AS31" i="237"/>
  <c r="AV96" i="236"/>
  <c r="AV101" i="236"/>
  <c r="AU100" i="236"/>
  <c r="AV99" i="236"/>
  <c r="AV98" i="236"/>
  <c r="AV95" i="236"/>
  <c r="AU93" i="236"/>
  <c r="AT93" i="236"/>
  <c r="AV92" i="236"/>
  <c r="AV91" i="236"/>
  <c r="AV90" i="236"/>
  <c r="AV89" i="236"/>
  <c r="AU88" i="236"/>
  <c r="AT88" i="236"/>
  <c r="AV87" i="236"/>
  <c r="AV86" i="236"/>
  <c r="AV85" i="236"/>
  <c r="AU84" i="236"/>
  <c r="AT84" i="236"/>
  <c r="AV83" i="236"/>
  <c r="AV82" i="236"/>
  <c r="AV81" i="236"/>
  <c r="AV80" i="236"/>
  <c r="AU78" i="236"/>
  <c r="AT78" i="236"/>
  <c r="AV77" i="236"/>
  <c r="AV76" i="236"/>
  <c r="AV75" i="236"/>
  <c r="AV74" i="236"/>
  <c r="AU73" i="236"/>
  <c r="AV72" i="236"/>
  <c r="AV71" i="236"/>
  <c r="AV70" i="236"/>
  <c r="AV69" i="236"/>
  <c r="AV68" i="236"/>
  <c r="AV67" i="236"/>
  <c r="AV66" i="236"/>
  <c r="AV65" i="236"/>
  <c r="AU64" i="236"/>
  <c r="AV63" i="236"/>
  <c r="AV62" i="236"/>
  <c r="AV61" i="236"/>
  <c r="AV60" i="236"/>
  <c r="AV59" i="236"/>
  <c r="AV58" i="236"/>
  <c r="AU56" i="236"/>
  <c r="AT56" i="236"/>
  <c r="AV55" i="236"/>
  <c r="AV54" i="236"/>
  <c r="AV53" i="236"/>
  <c r="AV52" i="236"/>
  <c r="AV51" i="236"/>
  <c r="AV50" i="236"/>
  <c r="AU49" i="236"/>
  <c r="AV48" i="236"/>
  <c r="AV47" i="236"/>
  <c r="AV46" i="236"/>
  <c r="AV45" i="236"/>
  <c r="AV44" i="236"/>
  <c r="AV43" i="236"/>
  <c r="AV42" i="236"/>
  <c r="AV41" i="236"/>
  <c r="AV40" i="236"/>
  <c r="AV39" i="236"/>
  <c r="AV38" i="236"/>
  <c r="AU37" i="236"/>
  <c r="AT37" i="236"/>
  <c r="AV36" i="236"/>
  <c r="AV35" i="236"/>
  <c r="AV34" i="236"/>
  <c r="AV33" i="236"/>
  <c r="AV32" i="236"/>
  <c r="AV31" i="236"/>
  <c r="AV30" i="236"/>
  <c r="AV29" i="236"/>
  <c r="AV28" i="236"/>
  <c r="AV27" i="236"/>
  <c r="AU25" i="236"/>
  <c r="AU26" i="236"/>
  <c r="AT25" i="236"/>
  <c r="AV24" i="236"/>
  <c r="AV23" i="236"/>
  <c r="AV22" i="236"/>
  <c r="AU21" i="236"/>
  <c r="AV20" i="236"/>
  <c r="AV19" i="236"/>
  <c r="AV18" i="236"/>
  <c r="AV17" i="236"/>
  <c r="AU16" i="236"/>
  <c r="AT26" i="236"/>
  <c r="AV15" i="236"/>
  <c r="AV14" i="236"/>
  <c r="AV13" i="236"/>
  <c r="AV12" i="236"/>
  <c r="AV11" i="236"/>
  <c r="AV10" i="236"/>
  <c r="AV9" i="236"/>
  <c r="AV8" i="236"/>
  <c r="AV7" i="236"/>
  <c r="AV6" i="236"/>
  <c r="AU33" i="241"/>
  <c r="AU32" i="241"/>
  <c r="AU24" i="241"/>
  <c r="AU9" i="241"/>
  <c r="AS37" i="241"/>
  <c r="AV93" i="240"/>
  <c r="AU29" i="241"/>
  <c r="AU19" i="241"/>
  <c r="AV25" i="240"/>
  <c r="AG15" i="306"/>
  <c r="AG20" i="306"/>
  <c r="AU26" i="239"/>
  <c r="AU17" i="239"/>
  <c r="AU23" i="239"/>
  <c r="AU28" i="239"/>
  <c r="AS34" i="239"/>
  <c r="AU34" i="239"/>
  <c r="AU16" i="239"/>
  <c r="AT19" i="239"/>
  <c r="AT29" i="239"/>
  <c r="AU21" i="239"/>
  <c r="AS31" i="239"/>
  <c r="AU35" i="239"/>
  <c r="AU27" i="239"/>
  <c r="AT9" i="239"/>
  <c r="AL29" i="296"/>
  <c r="AL33" i="296"/>
  <c r="AS34" i="237"/>
  <c r="AU16" i="237"/>
  <c r="AS19" i="237"/>
  <c r="AU35" i="237"/>
  <c r="AU11" i="237"/>
  <c r="AT34" i="237"/>
  <c r="AU28" i="237"/>
  <c r="AT29" i="237"/>
  <c r="AU27" i="237"/>
  <c r="AT33" i="237"/>
  <c r="AU26" i="237"/>
  <c r="AU29" i="237"/>
  <c r="AU31" i="241"/>
  <c r="AT37" i="241"/>
  <c r="AV78" i="240"/>
  <c r="AV105" i="240"/>
  <c r="AU105" i="240"/>
  <c r="AV56" i="240"/>
  <c r="AT105" i="240"/>
  <c r="AU8" i="237"/>
  <c r="AU13" i="237"/>
  <c r="AT78" i="238"/>
  <c r="AL19" i="296"/>
  <c r="AT9" i="237"/>
  <c r="AT14" i="237"/>
  <c r="AT19" i="237"/>
  <c r="AT33" i="239"/>
  <c r="AU33" i="239"/>
  <c r="AV93" i="236"/>
  <c r="AS32" i="239"/>
  <c r="AT24" i="239"/>
  <c r="AT32" i="237"/>
  <c r="AL14" i="296"/>
  <c r="AT56" i="238"/>
  <c r="AT32" i="239"/>
  <c r="AU22" i="239"/>
  <c r="AV88" i="236"/>
  <c r="AU12" i="237"/>
  <c r="AU17" i="237"/>
  <c r="AU34" i="237"/>
  <c r="AU36" i="237"/>
  <c r="AG34" i="306"/>
  <c r="AG30" i="306"/>
  <c r="AG25" i="306"/>
  <c r="AG32" i="306"/>
  <c r="AF38" i="306"/>
  <c r="AG10" i="306"/>
  <c r="AE38" i="306"/>
  <c r="AG33" i="306"/>
  <c r="AU36" i="239"/>
  <c r="AU8" i="239"/>
  <c r="AU18" i="239"/>
  <c r="AU7" i="239"/>
  <c r="AS9" i="239"/>
  <c r="AU9" i="239"/>
  <c r="AS19" i="239"/>
  <c r="AU19" i="239"/>
  <c r="AS24" i="239"/>
  <c r="AS29" i="239"/>
  <c r="AU29" i="239"/>
  <c r="AT31" i="239"/>
  <c r="AU6" i="239"/>
  <c r="AV83" i="238"/>
  <c r="AV63" i="238"/>
  <c r="AV92" i="238"/>
  <c r="AV87" i="238"/>
  <c r="AU93" i="238"/>
  <c r="AV77" i="238"/>
  <c r="AV72" i="238"/>
  <c r="AU78" i="238"/>
  <c r="AV55" i="238"/>
  <c r="AV48" i="238"/>
  <c r="AV36" i="238"/>
  <c r="AU56" i="238"/>
  <c r="AU25" i="238"/>
  <c r="AV24" i="238"/>
  <c r="AV20" i="238"/>
  <c r="AV15" i="238"/>
  <c r="AT25" i="238"/>
  <c r="AT105" i="238"/>
  <c r="AL9" i="296"/>
  <c r="AL32" i="296"/>
  <c r="AK37" i="296"/>
  <c r="AL35" i="296"/>
  <c r="AJ37" i="296"/>
  <c r="AL34" i="296"/>
  <c r="AL31" i="296"/>
  <c r="AT24" i="237"/>
  <c r="AS33" i="237"/>
  <c r="AS24" i="237"/>
  <c r="AS29" i="237"/>
  <c r="AU18" i="237"/>
  <c r="AS14" i="237"/>
  <c r="AS32" i="237"/>
  <c r="AS9" i="237"/>
  <c r="AV25" i="236"/>
  <c r="AT31" i="237"/>
  <c r="AU6" i="237"/>
  <c r="AV100" i="236"/>
  <c r="AT94" i="236"/>
  <c r="AU94" i="236"/>
  <c r="AV84" i="236"/>
  <c r="AV78" i="236"/>
  <c r="AV73" i="236"/>
  <c r="AT79" i="236"/>
  <c r="AU79" i="236"/>
  <c r="AV64" i="236"/>
  <c r="AV56" i="236"/>
  <c r="AV49" i="236"/>
  <c r="AT57" i="236"/>
  <c r="AU57" i="236"/>
  <c r="AV37" i="236"/>
  <c r="AV21" i="236"/>
  <c r="AV16" i="236"/>
  <c r="AU37" i="241"/>
  <c r="AV93" i="238"/>
  <c r="AU24" i="239"/>
  <c r="AU32" i="239"/>
  <c r="AT37" i="239"/>
  <c r="AS37" i="237"/>
  <c r="AU24" i="237"/>
  <c r="AU19" i="237"/>
  <c r="AU14" i="237"/>
  <c r="AV94" i="236"/>
  <c r="AU9" i="237"/>
  <c r="AU32" i="237"/>
  <c r="AT37" i="237"/>
  <c r="AU33" i="237"/>
  <c r="AS37" i="239"/>
  <c r="AG38" i="306"/>
  <c r="AU31" i="239"/>
  <c r="AV78" i="238"/>
  <c r="AV56" i="238"/>
  <c r="AU105" i="238"/>
  <c r="AV25" i="238"/>
  <c r="AL37" i="296"/>
  <c r="AV26" i="236"/>
  <c r="AU31" i="237"/>
  <c r="AV79" i="236"/>
  <c r="AU106" i="236"/>
  <c r="AT106" i="236"/>
  <c r="AV57" i="236"/>
  <c r="AU37" i="239"/>
  <c r="AU37" i="237"/>
  <c r="AV105" i="238"/>
  <c r="AV102" i="193"/>
  <c r="AU102" i="193"/>
  <c r="AT102" i="193"/>
  <c r="AV97" i="193"/>
  <c r="AU97" i="193"/>
  <c r="AT97" i="193"/>
  <c r="AV88" i="193"/>
  <c r="AU88" i="193"/>
  <c r="AT88" i="193"/>
  <c r="AU80" i="193"/>
  <c r="AT80" i="193"/>
  <c r="AV77" i="193"/>
  <c r="AU77" i="193"/>
  <c r="AT77" i="193"/>
  <c r="AV70" i="193"/>
  <c r="AU70" i="193"/>
  <c r="AT70" i="193"/>
  <c r="AV63" i="193"/>
  <c r="AU63" i="193"/>
  <c r="AT63" i="193"/>
  <c r="AV51" i="193"/>
  <c r="AU51" i="193"/>
  <c r="AT51" i="193"/>
  <c r="AV39" i="193"/>
  <c r="AU39" i="193"/>
  <c r="AT39" i="193"/>
  <c r="AV34" i="193"/>
  <c r="AU34" i="193"/>
  <c r="AT34" i="193"/>
  <c r="AV30" i="193"/>
  <c r="AU30" i="193"/>
  <c r="AT30" i="193"/>
  <c r="AV24" i="193"/>
  <c r="AU24" i="193"/>
  <c r="AT24" i="193"/>
  <c r="AV20" i="193"/>
  <c r="AU20" i="193"/>
  <c r="AT20" i="193"/>
  <c r="AV15" i="193"/>
  <c r="AU15" i="193"/>
  <c r="AT15" i="193"/>
  <c r="AW148" i="283"/>
  <c r="AV148" i="283"/>
  <c r="AU148" i="283"/>
  <c r="AW143" i="283"/>
  <c r="AV143" i="283"/>
  <c r="AU143" i="283"/>
  <c r="AW108" i="283"/>
  <c r="AV108" i="283"/>
  <c r="AU108" i="283"/>
  <c r="AW79" i="283"/>
  <c r="AV79" i="283"/>
  <c r="AU79" i="283"/>
  <c r="AW61" i="283"/>
  <c r="AV61" i="283"/>
  <c r="AU61" i="283"/>
  <c r="AW56" i="283"/>
  <c r="AV56" i="283"/>
  <c r="AU56" i="283"/>
  <c r="AW54" i="283"/>
  <c r="AV54" i="283"/>
  <c r="AU54" i="283"/>
  <c r="AW50" i="283"/>
  <c r="AV50" i="283"/>
  <c r="AU50" i="283"/>
  <c r="AW14" i="283"/>
  <c r="AV14" i="283"/>
  <c r="AU14" i="283"/>
  <c r="AW51" i="283"/>
  <c r="AU109" i="283"/>
  <c r="AU62" i="283"/>
  <c r="AU81" i="193"/>
  <c r="AU40" i="193"/>
  <c r="AV149" i="283"/>
  <c r="AV103" i="193"/>
  <c r="AT103" i="193"/>
  <c r="AU103" i="193"/>
  <c r="AV81" i="193"/>
  <c r="AT81" i="193"/>
  <c r="AV71" i="193"/>
  <c r="AT71" i="193"/>
  <c r="AU71" i="193"/>
  <c r="AV40" i="193"/>
  <c r="AT40" i="193"/>
  <c r="AV25" i="193"/>
  <c r="AT25" i="193"/>
  <c r="AU25" i="193"/>
  <c r="AW149" i="283"/>
  <c r="AU149" i="283"/>
  <c r="AV109" i="283"/>
  <c r="AW109" i="283"/>
  <c r="AV62" i="283"/>
  <c r="AW62" i="283"/>
  <c r="AV51" i="283"/>
  <c r="AU51" i="283"/>
  <c r="AA7" i="344"/>
  <c r="Z29" i="344"/>
  <c r="AE29" i="344" s="1"/>
  <c r="AW151" i="283"/>
  <c r="AA19" i="344"/>
  <c r="AA26" i="344"/>
  <c r="AA10" i="344"/>
  <c r="AA16" i="344"/>
  <c r="AV105" i="193"/>
  <c r="AU105" i="193"/>
  <c r="AT105" i="193"/>
  <c r="AU151" i="283"/>
  <c r="AV151" i="283"/>
  <c r="AB27" i="344"/>
  <c r="AB26" i="344"/>
  <c r="AB25" i="344"/>
  <c r="AB24" i="344"/>
  <c r="AB23" i="344"/>
  <c r="AB22" i="344"/>
  <c r="AB21" i="344"/>
  <c r="AB20" i="344"/>
  <c r="AB19" i="344"/>
  <c r="AB18" i="344"/>
  <c r="AB17" i="344"/>
  <c r="AB16" i="344"/>
  <c r="AB15" i="344"/>
  <c r="AB14" i="344"/>
  <c r="AB13" i="344"/>
  <c r="AB12" i="344"/>
  <c r="AB11" i="344"/>
  <c r="AB10" i="344"/>
  <c r="AB8" i="344"/>
  <c r="AB7" i="344"/>
  <c r="AB6" i="344"/>
  <c r="CG37" i="123"/>
  <c r="CF37" i="123"/>
  <c r="CE37" i="123"/>
  <c r="CD37" i="123"/>
  <c r="CG36" i="123"/>
  <c r="CF36" i="123"/>
  <c r="CE36" i="123"/>
  <c r="CD36" i="123"/>
  <c r="CG35" i="123"/>
  <c r="CF35" i="123"/>
  <c r="CE35" i="123"/>
  <c r="CD35" i="123"/>
  <c r="CG34" i="123"/>
  <c r="CF34" i="123"/>
  <c r="CE34" i="123"/>
  <c r="CD34" i="123"/>
  <c r="CG33" i="123"/>
  <c r="CF33" i="123"/>
  <c r="CE33" i="123"/>
  <c r="CD33" i="123"/>
  <c r="CG32" i="123"/>
  <c r="CF32" i="123"/>
  <c r="CE32" i="123"/>
  <c r="CD32" i="123"/>
  <c r="CG30" i="123"/>
  <c r="CF30" i="123"/>
  <c r="CE30" i="123"/>
  <c r="CD30" i="123"/>
  <c r="CH29" i="123"/>
  <c r="CH28" i="123"/>
  <c r="CH27" i="123"/>
  <c r="CF25" i="123"/>
  <c r="CE25" i="123"/>
  <c r="CD25" i="123"/>
  <c r="CH24" i="123"/>
  <c r="CH23" i="123"/>
  <c r="CH25" i="123" s="1"/>
  <c r="CH22" i="123"/>
  <c r="CG20" i="123"/>
  <c r="CF20" i="123"/>
  <c r="CE20" i="123"/>
  <c r="CD20" i="123"/>
  <c r="CH19" i="123"/>
  <c r="CH18" i="123"/>
  <c r="CH17" i="123"/>
  <c r="CH20" i="123" s="1"/>
  <c r="CG15" i="123"/>
  <c r="CF15" i="123"/>
  <c r="CE15" i="123"/>
  <c r="CD15" i="123"/>
  <c r="CH14" i="123"/>
  <c r="CH37" i="123" s="1"/>
  <c r="CH13" i="123"/>
  <c r="CH36" i="123" s="1"/>
  <c r="CH12" i="123"/>
  <c r="CH33" i="123" s="1"/>
  <c r="CG10" i="123"/>
  <c r="CF10" i="123"/>
  <c r="CE10" i="123"/>
  <c r="CD10" i="123"/>
  <c r="CH9" i="123"/>
  <c r="CH8" i="123"/>
  <c r="CH7" i="123"/>
  <c r="CE38" i="123"/>
  <c r="CH30" i="123"/>
  <c r="CH35" i="123"/>
  <c r="CH34" i="123"/>
  <c r="CF38" i="123"/>
  <c r="CG38" i="123"/>
  <c r="CH10" i="123"/>
  <c r="O52" i="47"/>
  <c r="N52" i="47"/>
  <c r="M52" i="47"/>
  <c r="L52" i="47"/>
  <c r="K52" i="47"/>
  <c r="J52" i="47"/>
  <c r="P51" i="47"/>
  <c r="P50" i="47"/>
  <c r="P49" i="47"/>
  <c r="P48" i="47"/>
  <c r="P47" i="47"/>
  <c r="N69" i="46"/>
  <c r="N53" i="46"/>
  <c r="N47" i="46"/>
  <c r="N31" i="46"/>
  <c r="N18" i="46"/>
  <c r="N85" i="46"/>
  <c r="F64" i="287"/>
  <c r="F63" i="287"/>
  <c r="F62" i="287"/>
  <c r="F61" i="287"/>
  <c r="F60" i="287"/>
  <c r="F59" i="287"/>
  <c r="E58" i="287"/>
  <c r="D58" i="287"/>
  <c r="C58" i="287"/>
  <c r="F57" i="287"/>
  <c r="F56" i="287"/>
  <c r="F55" i="287"/>
  <c r="F54" i="287"/>
  <c r="E53" i="287"/>
  <c r="D53" i="287"/>
  <c r="C53" i="287"/>
  <c r="F52" i="287"/>
  <c r="F51" i="287"/>
  <c r="F50" i="287"/>
  <c r="F49" i="287"/>
  <c r="F48" i="287"/>
  <c r="E47" i="287"/>
  <c r="D47" i="287"/>
  <c r="C47" i="287"/>
  <c r="F46" i="287"/>
  <c r="F45" i="287"/>
  <c r="F44" i="287"/>
  <c r="F43" i="287"/>
  <c r="E42" i="287"/>
  <c r="D42" i="287"/>
  <c r="C42" i="287"/>
  <c r="F41" i="287"/>
  <c r="F40" i="287"/>
  <c r="F39" i="287"/>
  <c r="F38" i="287"/>
  <c r="E37" i="287"/>
  <c r="D37" i="287"/>
  <c r="C37" i="287"/>
  <c r="AG13" i="233"/>
  <c r="AF13" i="233"/>
  <c r="AE13" i="233"/>
  <c r="AH13" i="233"/>
  <c r="AF12" i="233"/>
  <c r="AG11" i="233"/>
  <c r="AF11" i="233"/>
  <c r="AG23" i="233"/>
  <c r="AF23" i="233"/>
  <c r="AG22" i="233"/>
  <c r="AF22" i="233"/>
  <c r="AE22" i="233"/>
  <c r="AE24" i="233"/>
  <c r="AG21" i="233"/>
  <c r="AF21" i="233"/>
  <c r="AH21" i="233"/>
  <c r="AE21" i="233"/>
  <c r="AG18" i="233"/>
  <c r="AF18" i="233"/>
  <c r="AE18" i="233"/>
  <c r="AG17" i="233"/>
  <c r="AF17" i="233"/>
  <c r="AE17" i="233"/>
  <c r="L90" i="266"/>
  <c r="AG16" i="233"/>
  <c r="AG19" i="233"/>
  <c r="AF16" i="233"/>
  <c r="L74" i="266"/>
  <c r="AG8" i="233"/>
  <c r="AF8" i="233"/>
  <c r="AE8" i="233"/>
  <c r="AE29" i="233"/>
  <c r="L51" i="266"/>
  <c r="AG7" i="233"/>
  <c r="AF7" i="233"/>
  <c r="AE7" i="233"/>
  <c r="AG6" i="233"/>
  <c r="AF6" i="233"/>
  <c r="AE6" i="233"/>
  <c r="AG31" i="233"/>
  <c r="AF31" i="233"/>
  <c r="L155" i="266"/>
  <c r="L150" i="266"/>
  <c r="L148" i="266"/>
  <c r="L144" i="266"/>
  <c r="L139" i="266"/>
  <c r="L122" i="266"/>
  <c r="L145" i="266"/>
  <c r="L103" i="266"/>
  <c r="L104" i="266"/>
  <c r="L30" i="266"/>
  <c r="L16" i="266"/>
  <c r="BT45" i="279"/>
  <c r="BU45" i="279"/>
  <c r="BS45" i="279"/>
  <c r="BT46" i="279"/>
  <c r="BU46" i="279"/>
  <c r="BS46" i="279"/>
  <c r="BV121" i="278"/>
  <c r="BW121" i="278"/>
  <c r="BU121" i="278"/>
  <c r="BX120" i="278"/>
  <c r="BX84" i="278"/>
  <c r="BS16" i="279"/>
  <c r="BU16" i="279"/>
  <c r="BT16" i="279"/>
  <c r="BW46" i="278"/>
  <c r="BV46" i="278"/>
  <c r="BU46" i="278"/>
  <c r="BX43" i="278"/>
  <c r="BX44" i="278"/>
  <c r="BX45" i="278"/>
  <c r="BS62" i="279"/>
  <c r="BU65" i="279"/>
  <c r="BU69" i="279"/>
  <c r="BS66" i="279"/>
  <c r="BT66" i="279"/>
  <c r="BT62" i="279"/>
  <c r="BX117" i="278"/>
  <c r="BU15" i="279"/>
  <c r="BX37" i="278"/>
  <c r="BX38" i="278"/>
  <c r="BX39" i="278"/>
  <c r="BX40" i="278"/>
  <c r="BS65" i="279"/>
  <c r="BS69" i="279"/>
  <c r="AF26" i="233"/>
  <c r="AF9" i="233"/>
  <c r="AF14" i="233"/>
  <c r="BU67" i="279"/>
  <c r="BT67" i="279"/>
  <c r="BS67" i="279"/>
  <c r="BU66" i="279"/>
  <c r="BT65" i="279"/>
  <c r="BT69" i="279"/>
  <c r="BT64" i="279"/>
  <c r="BV63" i="279"/>
  <c r="BU62" i="279"/>
  <c r="BU59" i="279"/>
  <c r="BT59" i="279"/>
  <c r="BT71" i="279"/>
  <c r="BS59" i="279"/>
  <c r="BU58" i="279"/>
  <c r="BT58" i="279"/>
  <c r="BT70" i="279"/>
  <c r="BS58" i="279"/>
  <c r="BV57" i="279"/>
  <c r="BU50" i="279"/>
  <c r="BT50" i="279"/>
  <c r="BS50" i="279"/>
  <c r="BU49" i="279"/>
  <c r="BT49" i="279"/>
  <c r="BS49" i="279"/>
  <c r="BS53" i="279"/>
  <c r="BU44" i="279"/>
  <c r="BT44" i="279"/>
  <c r="BS44" i="279"/>
  <c r="BU42" i="279"/>
  <c r="BT42" i="279"/>
  <c r="BS42" i="279"/>
  <c r="BU41" i="279"/>
  <c r="BT41" i="279"/>
  <c r="BT53" i="279"/>
  <c r="BS41" i="279"/>
  <c r="BU40" i="279"/>
  <c r="BT40" i="279"/>
  <c r="BT52" i="279"/>
  <c r="BS40" i="279"/>
  <c r="BU33" i="279"/>
  <c r="BT33" i="279"/>
  <c r="BS33" i="279"/>
  <c r="BU32" i="279"/>
  <c r="BU34" i="279"/>
  <c r="BT32" i="279"/>
  <c r="BS32" i="279"/>
  <c r="BU31" i="279"/>
  <c r="BT31" i="279"/>
  <c r="BS31" i="279"/>
  <c r="BU29" i="279"/>
  <c r="BT29" i="279"/>
  <c r="BS29" i="279"/>
  <c r="BS37" i="279"/>
  <c r="BU28" i="279"/>
  <c r="BT28" i="279"/>
  <c r="BS28" i="279"/>
  <c r="BV28" i="279"/>
  <c r="BU27" i="279"/>
  <c r="BT27" i="279"/>
  <c r="BS27" i="279"/>
  <c r="BU25" i="279"/>
  <c r="BU26" i="279"/>
  <c r="BT25" i="279"/>
  <c r="BT37" i="279"/>
  <c r="BS25" i="279"/>
  <c r="BU24" i="279"/>
  <c r="BT24" i="279"/>
  <c r="BT36" i="279"/>
  <c r="BS24" i="279"/>
  <c r="BT15" i="279"/>
  <c r="BS15" i="279"/>
  <c r="BU14" i="279"/>
  <c r="BT14" i="279"/>
  <c r="BT17" i="279"/>
  <c r="BS14" i="279"/>
  <c r="BU12" i="279"/>
  <c r="BT12" i="279"/>
  <c r="BS12" i="279"/>
  <c r="BU11" i="279"/>
  <c r="BT11" i="279"/>
  <c r="BS11" i="279"/>
  <c r="BU10" i="279"/>
  <c r="BV10" i="279"/>
  <c r="BT10" i="279"/>
  <c r="BS10" i="279"/>
  <c r="BU8" i="279"/>
  <c r="BT8" i="279"/>
  <c r="BS8" i="279"/>
  <c r="BU7" i="279"/>
  <c r="BT7" i="279"/>
  <c r="BT9" i="279"/>
  <c r="BS7" i="279"/>
  <c r="BS19" i="279"/>
  <c r="BW137" i="278"/>
  <c r="BV137" i="278"/>
  <c r="BU137" i="278"/>
  <c r="BX136" i="278"/>
  <c r="BX135" i="278"/>
  <c r="BX134" i="278"/>
  <c r="BW132" i="278"/>
  <c r="BV132" i="278"/>
  <c r="BV138" i="278"/>
  <c r="BU132" i="278"/>
  <c r="BX133" i="278"/>
  <c r="BX137" i="278"/>
  <c r="BW130" i="278"/>
  <c r="BV130" i="278"/>
  <c r="BU130" i="278"/>
  <c r="BX131" i="278"/>
  <c r="BX132" i="278"/>
  <c r="BX129" i="278"/>
  <c r="BW126" i="278"/>
  <c r="BV126" i="278"/>
  <c r="BU126" i="278"/>
  <c r="BX125" i="278"/>
  <c r="BX124" i="278"/>
  <c r="BX123" i="278"/>
  <c r="BX122" i="278"/>
  <c r="BX119" i="278"/>
  <c r="BX118" i="278"/>
  <c r="BX116" i="278"/>
  <c r="BX115" i="278"/>
  <c r="BX114" i="278"/>
  <c r="BX113" i="278"/>
  <c r="BX112" i="278"/>
  <c r="BX111" i="278"/>
  <c r="BX110" i="278"/>
  <c r="BX109" i="278"/>
  <c r="BX108" i="278"/>
  <c r="BX107" i="278"/>
  <c r="BW106" i="278"/>
  <c r="BV106" i="278"/>
  <c r="BV127" i="278"/>
  <c r="BU106" i="278"/>
  <c r="BX105" i="278"/>
  <c r="BX104" i="278"/>
  <c r="BX103" i="278"/>
  <c r="BX102" i="278"/>
  <c r="BX101" i="278"/>
  <c r="BX100" i="278"/>
  <c r="BX99" i="278"/>
  <c r="BX98" i="278"/>
  <c r="BX97" i="278"/>
  <c r="BX96" i="278"/>
  <c r="BX95" i="278"/>
  <c r="BX94" i="278"/>
  <c r="BX93" i="278"/>
  <c r="BX92" i="278"/>
  <c r="BX91" i="278"/>
  <c r="BW88" i="278"/>
  <c r="BV88" i="278"/>
  <c r="BU88" i="278"/>
  <c r="BU89" i="278"/>
  <c r="BX87" i="278"/>
  <c r="BX86" i="278"/>
  <c r="BX85" i="278"/>
  <c r="BX83" i="278"/>
  <c r="BX82" i="278"/>
  <c r="BX81" i="278"/>
  <c r="BX80" i="278"/>
  <c r="BX79" i="278"/>
  <c r="BW77" i="278"/>
  <c r="BV77" i="278"/>
  <c r="BU77" i="278"/>
  <c r="BX78" i="278"/>
  <c r="BX76" i="278"/>
  <c r="BX75" i="278"/>
  <c r="BX74" i="278"/>
  <c r="BX73" i="278"/>
  <c r="BX72" i="278"/>
  <c r="BX71" i="278"/>
  <c r="BX70" i="278"/>
  <c r="BX69" i="278"/>
  <c r="BX68" i="278"/>
  <c r="BX67" i="278"/>
  <c r="BX66" i="278"/>
  <c r="BX65" i="278"/>
  <c r="BX64" i="278"/>
  <c r="BX63" i="278"/>
  <c r="BW62" i="278"/>
  <c r="BV62" i="278"/>
  <c r="BU62" i="278"/>
  <c r="BX61" i="278"/>
  <c r="BX59" i="278"/>
  <c r="BX58" i="278"/>
  <c r="BX57" i="278"/>
  <c r="BX56" i="278"/>
  <c r="BX55" i="278"/>
  <c r="BX54" i="278"/>
  <c r="BX53" i="278"/>
  <c r="BX52" i="278"/>
  <c r="BX51" i="278"/>
  <c r="BX50" i="278"/>
  <c r="BX49" i="278"/>
  <c r="BX42" i="278"/>
  <c r="BX41" i="278"/>
  <c r="BX36" i="278"/>
  <c r="BX35" i="278"/>
  <c r="BX33" i="278"/>
  <c r="BX32" i="278"/>
  <c r="BW31" i="278"/>
  <c r="BV31" i="278"/>
  <c r="BU31" i="278"/>
  <c r="BX30" i="278"/>
  <c r="BX29" i="278"/>
  <c r="BX28" i="278"/>
  <c r="BX27" i="278"/>
  <c r="BX26" i="278"/>
  <c r="BX25" i="278"/>
  <c r="BX24" i="278"/>
  <c r="BX23" i="278"/>
  <c r="BX22" i="278"/>
  <c r="BX21" i="278"/>
  <c r="BX20" i="278"/>
  <c r="BX19" i="278"/>
  <c r="BX18" i="278"/>
  <c r="BW17" i="278"/>
  <c r="BW47" i="278"/>
  <c r="BV17" i="278"/>
  <c r="BU17" i="278"/>
  <c r="BU47" i="278"/>
  <c r="BX13" i="278"/>
  <c r="BX12" i="278"/>
  <c r="BX11" i="278"/>
  <c r="BX10" i="278"/>
  <c r="BX9" i="278"/>
  <c r="BX7" i="278"/>
  <c r="BX6" i="278"/>
  <c r="BV34" i="274"/>
  <c r="BU34" i="274"/>
  <c r="BT34" i="274"/>
  <c r="BT40" i="274"/>
  <c r="BV30" i="274"/>
  <c r="BU30" i="274"/>
  <c r="BT30" i="274"/>
  <c r="BV94" i="274"/>
  <c r="BU94" i="274"/>
  <c r="BT94" i="274"/>
  <c r="BV85" i="274"/>
  <c r="BU85" i="274"/>
  <c r="BT85" i="274"/>
  <c r="BV62" i="274"/>
  <c r="BU62" i="274"/>
  <c r="BT62" i="274"/>
  <c r="BV50" i="274"/>
  <c r="BU50" i="274"/>
  <c r="BT50" i="274"/>
  <c r="BV20" i="274"/>
  <c r="BU20" i="274"/>
  <c r="BT20" i="274"/>
  <c r="BV15" i="274"/>
  <c r="BU15" i="274"/>
  <c r="BT15" i="274"/>
  <c r="BU127" i="278"/>
  <c r="BX128" i="278"/>
  <c r="BX130" i="278"/>
  <c r="BX138" i="278"/>
  <c r="BS18" i="279"/>
  <c r="BT47" i="279"/>
  <c r="BS17" i="279"/>
  <c r="BU17" i="279"/>
  <c r="BU52" i="279"/>
  <c r="BV44" i="279"/>
  <c r="BV61" i="279"/>
  <c r="BW138" i="278"/>
  <c r="BX90" i="278"/>
  <c r="BX48" i="278"/>
  <c r="P6" i="172"/>
  <c r="P16" i="172"/>
  <c r="P7" i="172"/>
  <c r="P11" i="172"/>
  <c r="P17" i="172"/>
  <c r="P19" i="172"/>
  <c r="P26" i="172"/>
  <c r="P18" i="172"/>
  <c r="P27" i="172"/>
  <c r="P8" i="172"/>
  <c r="P28" i="172"/>
  <c r="P12" i="172"/>
  <c r="P35" i="172"/>
  <c r="P13" i="172"/>
  <c r="P14" i="173"/>
  <c r="P38" i="173"/>
  <c r="P33" i="173"/>
  <c r="P29" i="173"/>
  <c r="P94" i="173"/>
  <c r="P85" i="173"/>
  <c r="P62" i="173"/>
  <c r="P70" i="173"/>
  <c r="P49" i="173"/>
  <c r="P19" i="173"/>
  <c r="P23" i="173"/>
  <c r="P69" i="173"/>
  <c r="P77" i="173"/>
  <c r="P23" i="172"/>
  <c r="P33" i="172"/>
  <c r="P75" i="173"/>
  <c r="P72" i="173"/>
  <c r="P21" i="172"/>
  <c r="P99" i="173"/>
  <c r="AG31" i="297"/>
  <c r="AH31" i="297"/>
  <c r="AG32" i="297"/>
  <c r="AH32" i="297"/>
  <c r="AG33" i="297"/>
  <c r="AH33" i="297"/>
  <c r="AG34" i="297"/>
  <c r="AH34" i="297"/>
  <c r="AI34" i="297"/>
  <c r="AG35" i="297"/>
  <c r="AI35" i="297"/>
  <c r="AH35" i="297"/>
  <c r="AG36" i="297"/>
  <c r="AH36" i="297"/>
  <c r="AH37" i="297"/>
  <c r="AI26" i="297"/>
  <c r="AI27" i="297"/>
  <c r="AI28" i="297"/>
  <c r="AI29" i="297"/>
  <c r="AH29" i="297"/>
  <c r="AG29" i="297"/>
  <c r="AI21" i="297"/>
  <c r="AI22" i="297"/>
  <c r="AI23" i="297"/>
  <c r="AH24" i="297"/>
  <c r="AG24" i="297"/>
  <c r="AI16" i="297"/>
  <c r="AI17" i="297"/>
  <c r="AI18" i="297"/>
  <c r="AH19" i="297"/>
  <c r="AG19" i="297"/>
  <c r="AI11" i="297"/>
  <c r="AI14" i="297"/>
  <c r="AI12" i="297"/>
  <c r="AI13" i="297"/>
  <c r="AH14" i="297"/>
  <c r="AG14" i="297"/>
  <c r="AI6" i="297"/>
  <c r="AI7" i="297"/>
  <c r="AI8" i="297"/>
  <c r="AH9" i="297"/>
  <c r="AG9" i="297"/>
  <c r="BU6" i="98"/>
  <c r="BU16" i="98"/>
  <c r="BU7" i="98"/>
  <c r="BU11" i="98"/>
  <c r="BU17" i="98"/>
  <c r="BU26" i="98"/>
  <c r="BU18" i="98"/>
  <c r="BU27" i="98"/>
  <c r="BU8" i="98"/>
  <c r="BU28" i="98"/>
  <c r="BU12" i="98"/>
  <c r="BT6" i="98"/>
  <c r="BT16" i="98"/>
  <c r="BT7" i="98"/>
  <c r="BT11" i="98"/>
  <c r="BT17" i="98"/>
  <c r="BT26" i="98"/>
  <c r="BT18" i="98"/>
  <c r="BT19" i="98"/>
  <c r="BT27" i="98"/>
  <c r="BT8" i="98"/>
  <c r="BT28" i="98"/>
  <c r="BT12" i="98"/>
  <c r="BS6" i="98"/>
  <c r="BS16" i="98"/>
  <c r="BS7" i="98"/>
  <c r="BS11" i="98"/>
  <c r="BS17" i="98"/>
  <c r="BS26" i="98"/>
  <c r="BS18" i="98"/>
  <c r="BS27" i="98"/>
  <c r="BS29" i="98"/>
  <c r="BS8" i="98"/>
  <c r="BS34" i="98"/>
  <c r="BS28" i="98"/>
  <c r="BS12" i="98"/>
  <c r="BS35" i="98"/>
  <c r="BV39" i="274"/>
  <c r="BU13" i="98"/>
  <c r="BU36" i="98"/>
  <c r="BV24" i="274"/>
  <c r="BW21" i="274"/>
  <c r="BW22" i="274"/>
  <c r="BW23" i="274"/>
  <c r="BW16" i="274"/>
  <c r="BW17" i="274"/>
  <c r="BW18" i="274"/>
  <c r="BW19" i="274"/>
  <c r="BW5" i="274"/>
  <c r="BW6" i="274"/>
  <c r="BW7" i="274"/>
  <c r="BW8" i="274"/>
  <c r="BW9" i="274"/>
  <c r="BW10" i="274"/>
  <c r="BW11" i="274"/>
  <c r="BW12" i="274"/>
  <c r="BW13" i="274"/>
  <c r="BW14" i="274"/>
  <c r="BW26" i="274"/>
  <c r="BV11" i="98"/>
  <c r="BW27" i="274"/>
  <c r="BW28" i="274"/>
  <c r="BW29" i="274"/>
  <c r="BW31" i="274"/>
  <c r="BW32" i="274"/>
  <c r="BW33" i="274"/>
  <c r="BW35" i="274"/>
  <c r="BW36" i="274"/>
  <c r="BW37" i="274"/>
  <c r="BW38" i="274"/>
  <c r="BW63" i="274"/>
  <c r="BW64" i="274"/>
  <c r="BW65" i="274"/>
  <c r="BW66" i="274"/>
  <c r="BW67" i="274"/>
  <c r="BW68" i="274"/>
  <c r="BW51" i="274"/>
  <c r="BW52" i="274"/>
  <c r="BW53" i="274"/>
  <c r="BW54" i="274"/>
  <c r="BW55" i="274"/>
  <c r="BW56" i="274"/>
  <c r="BW57" i="274"/>
  <c r="BW58" i="274"/>
  <c r="BW59" i="274"/>
  <c r="BW60" i="274"/>
  <c r="BW61" i="274"/>
  <c r="BW41" i="274"/>
  <c r="BW42" i="274"/>
  <c r="BW43" i="274"/>
  <c r="BW44" i="274"/>
  <c r="BW45" i="274"/>
  <c r="BW46" i="274"/>
  <c r="BW47" i="274"/>
  <c r="BW48" i="274"/>
  <c r="BW49" i="274"/>
  <c r="BW76" i="274"/>
  <c r="BW77" i="274"/>
  <c r="BW73" i="274"/>
  <c r="BW75" i="274"/>
  <c r="BV22" i="98"/>
  <c r="BW71" i="274"/>
  <c r="BW72" i="274"/>
  <c r="BV21" i="98"/>
  <c r="BW95" i="274"/>
  <c r="BW96" i="274"/>
  <c r="BW97" i="274"/>
  <c r="BW98" i="274"/>
  <c r="BW86" i="274"/>
  <c r="BW87" i="274"/>
  <c r="BW88" i="274"/>
  <c r="BW89" i="274"/>
  <c r="BW90" i="274"/>
  <c r="BW91" i="274"/>
  <c r="BW92" i="274"/>
  <c r="BW93" i="274"/>
  <c r="BW79" i="274"/>
  <c r="BW80" i="274"/>
  <c r="BW81" i="274"/>
  <c r="BW82" i="274"/>
  <c r="BW83" i="274"/>
  <c r="BW84" i="274"/>
  <c r="BV69" i="274"/>
  <c r="BV77" i="274"/>
  <c r="BU23" i="98"/>
  <c r="BV75" i="274"/>
  <c r="BU22" i="98"/>
  <c r="BV72" i="274"/>
  <c r="BU21" i="98"/>
  <c r="BV99" i="274"/>
  <c r="BV100" i="274"/>
  <c r="BU24" i="274"/>
  <c r="BU39" i="274"/>
  <c r="BT13" i="98"/>
  <c r="BT36" i="98"/>
  <c r="BU69" i="274"/>
  <c r="BU77" i="274"/>
  <c r="BT23" i="98"/>
  <c r="BU75" i="274"/>
  <c r="BT22" i="98"/>
  <c r="BU72" i="274"/>
  <c r="BT21" i="98"/>
  <c r="BU99" i="274"/>
  <c r="BT24" i="274"/>
  <c r="BT39" i="274"/>
  <c r="BT69" i="274"/>
  <c r="BT70" i="274"/>
  <c r="BT77" i="274"/>
  <c r="BS23" i="98"/>
  <c r="BT75" i="274"/>
  <c r="BT72" i="274"/>
  <c r="BT99" i="274"/>
  <c r="Y6" i="253"/>
  <c r="Y16" i="253"/>
  <c r="Y7" i="253"/>
  <c r="Y11" i="253"/>
  <c r="Y17" i="253"/>
  <c r="Y26" i="253"/>
  <c r="Y18" i="253"/>
  <c r="Y27" i="253"/>
  <c r="Y8" i="253"/>
  <c r="Y34" i="253"/>
  <c r="Y28" i="253"/>
  <c r="Y12" i="253"/>
  <c r="Y35" i="253"/>
  <c r="Y84" i="275"/>
  <c r="Y93" i="275"/>
  <c r="Y13" i="253"/>
  <c r="Y14" i="253"/>
  <c r="Y88" i="275"/>
  <c r="Y78" i="275"/>
  <c r="Y73" i="275"/>
  <c r="Y64" i="275"/>
  <c r="Y36" i="275"/>
  <c r="Y49" i="275"/>
  <c r="Y56" i="275"/>
  <c r="Y21" i="275"/>
  <c r="Y16" i="275"/>
  <c r="Y25" i="275"/>
  <c r="Y96" i="275"/>
  <c r="Y21" i="253"/>
  <c r="Y99" i="275"/>
  <c r="Y101" i="275"/>
  <c r="Y23" i="253"/>
  <c r="S11" i="321"/>
  <c r="R11" i="321"/>
  <c r="L42" i="285"/>
  <c r="G75" i="285"/>
  <c r="F75" i="285"/>
  <c r="C59" i="285"/>
  <c r="B59" i="285"/>
  <c r="K42" i="285"/>
  <c r="L67" i="324"/>
  <c r="L69" i="324"/>
  <c r="G9" i="340"/>
  <c r="G16" i="340"/>
  <c r="G21" i="340"/>
  <c r="G26" i="340"/>
  <c r="L17" i="327"/>
  <c r="L71" i="324"/>
  <c r="L72" i="324"/>
  <c r="K72" i="324"/>
  <c r="K73" i="324"/>
  <c r="K69" i="324"/>
  <c r="J69" i="324"/>
  <c r="J72" i="324"/>
  <c r="K54" i="324"/>
  <c r="J54" i="324"/>
  <c r="L53" i="324"/>
  <c r="L44" i="324"/>
  <c r="L47" i="324"/>
  <c r="L30" i="324"/>
  <c r="L31" i="324"/>
  <c r="K39" i="324"/>
  <c r="J39" i="324"/>
  <c r="L38" i="324"/>
  <c r="J22" i="324"/>
  <c r="K22" i="324"/>
  <c r="L18" i="324"/>
  <c r="L19" i="324"/>
  <c r="L20" i="324"/>
  <c r="L21" i="324"/>
  <c r="L11" i="324"/>
  <c r="L14" i="324"/>
  <c r="L13" i="324"/>
  <c r="K16" i="324"/>
  <c r="J16" i="324"/>
  <c r="L7" i="324"/>
  <c r="L52" i="324"/>
  <c r="L51" i="324"/>
  <c r="L50" i="324"/>
  <c r="L46" i="324"/>
  <c r="L45" i="324"/>
  <c r="L42" i="324"/>
  <c r="L40" i="324"/>
  <c r="L36" i="324"/>
  <c r="L35" i="324"/>
  <c r="L34" i="324"/>
  <c r="L33" i="324"/>
  <c r="L32" i="324"/>
  <c r="L29" i="324"/>
  <c r="L28" i="324"/>
  <c r="L27" i="324"/>
  <c r="L17" i="324"/>
  <c r="L15" i="324"/>
  <c r="L12" i="324"/>
  <c r="L10" i="324"/>
  <c r="L9" i="324"/>
  <c r="K76" i="327"/>
  <c r="J28" i="328"/>
  <c r="J76" i="327"/>
  <c r="I28" i="328"/>
  <c r="K28" i="328"/>
  <c r="L60" i="327"/>
  <c r="L61" i="327"/>
  <c r="L62" i="327"/>
  <c r="L63" i="327"/>
  <c r="L64" i="327"/>
  <c r="L66" i="327"/>
  <c r="L67" i="327"/>
  <c r="L68" i="327"/>
  <c r="L69" i="327"/>
  <c r="L70" i="327"/>
  <c r="L71" i="327"/>
  <c r="L73" i="327"/>
  <c r="L74" i="327"/>
  <c r="L75" i="327"/>
  <c r="K72" i="327"/>
  <c r="J27" i="328"/>
  <c r="K65" i="327"/>
  <c r="J26" i="328"/>
  <c r="J72" i="327"/>
  <c r="I27" i="328"/>
  <c r="J65" i="327"/>
  <c r="K58" i="327"/>
  <c r="J18" i="328"/>
  <c r="L55" i="327"/>
  <c r="L57" i="327"/>
  <c r="L58" i="327"/>
  <c r="J58" i="327"/>
  <c r="I18" i="328"/>
  <c r="J42" i="327"/>
  <c r="I16" i="328"/>
  <c r="L39" i="327"/>
  <c r="L42" i="327"/>
  <c r="K16" i="328"/>
  <c r="L40" i="327"/>
  <c r="L29" i="327"/>
  <c r="K37" i="327"/>
  <c r="J11" i="328"/>
  <c r="J37" i="327"/>
  <c r="L34" i="327"/>
  <c r="L36" i="327"/>
  <c r="K28" i="327"/>
  <c r="J12" i="328"/>
  <c r="J35" i="328"/>
  <c r="L27" i="327"/>
  <c r="K14" i="327"/>
  <c r="J6" i="328"/>
  <c r="J14" i="327"/>
  <c r="I6" i="328"/>
  <c r="L11" i="327"/>
  <c r="L12" i="327"/>
  <c r="L13" i="327"/>
  <c r="L7" i="327"/>
  <c r="L5" i="327"/>
  <c r="K24" i="328"/>
  <c r="J24" i="328"/>
  <c r="I24" i="328"/>
  <c r="K54" i="327"/>
  <c r="J54" i="327"/>
  <c r="I17" i="328"/>
  <c r="L53" i="327"/>
  <c r="L52" i="327"/>
  <c r="L51" i="327"/>
  <c r="L50" i="327"/>
  <c r="L49" i="327"/>
  <c r="L48" i="327"/>
  <c r="L47" i="327"/>
  <c r="L46" i="327"/>
  <c r="L45" i="327"/>
  <c r="L44" i="327"/>
  <c r="K42" i="327"/>
  <c r="J16" i="328"/>
  <c r="L33" i="327"/>
  <c r="K32" i="327"/>
  <c r="J13" i="328"/>
  <c r="J36" i="328"/>
  <c r="J32" i="327"/>
  <c r="I13" i="328"/>
  <c r="I36" i="328"/>
  <c r="L31" i="327"/>
  <c r="L32" i="327"/>
  <c r="K13" i="328"/>
  <c r="K36" i="328"/>
  <c r="J28" i="327"/>
  <c r="I12" i="328"/>
  <c r="L25" i="327"/>
  <c r="K23" i="327"/>
  <c r="J23" i="327"/>
  <c r="I8" i="328"/>
  <c r="L22" i="327"/>
  <c r="L21" i="327"/>
  <c r="L20" i="327"/>
  <c r="K19" i="327"/>
  <c r="J7" i="328"/>
  <c r="J19" i="327"/>
  <c r="I7" i="328"/>
  <c r="L18" i="327"/>
  <c r="L16" i="327"/>
  <c r="L15" i="327"/>
  <c r="L10" i="327"/>
  <c r="L9" i="327"/>
  <c r="L8" i="327"/>
  <c r="L6" i="327"/>
  <c r="L81" i="330"/>
  <c r="L82" i="330"/>
  <c r="L83" i="330"/>
  <c r="J68" i="330"/>
  <c r="I18" i="331"/>
  <c r="L66" i="330"/>
  <c r="L67" i="330"/>
  <c r="L41" i="330"/>
  <c r="L44" i="330"/>
  <c r="L45" i="330"/>
  <c r="L46" i="330"/>
  <c r="L47" i="330"/>
  <c r="L48" i="330"/>
  <c r="K49" i="330"/>
  <c r="K98" i="330"/>
  <c r="J28" i="331"/>
  <c r="K73" i="330"/>
  <c r="J22" i="331"/>
  <c r="J71" i="330"/>
  <c r="J34" i="330"/>
  <c r="I13" i="331"/>
  <c r="I36" i="331"/>
  <c r="K29" i="330"/>
  <c r="J12" i="331"/>
  <c r="J35" i="331"/>
  <c r="J24" i="330"/>
  <c r="I8" i="331"/>
  <c r="J98" i="330"/>
  <c r="I28" i="331"/>
  <c r="L97" i="330"/>
  <c r="L96" i="330"/>
  <c r="L95" i="330"/>
  <c r="L94" i="330"/>
  <c r="K93" i="330"/>
  <c r="J27" i="331"/>
  <c r="J93" i="330"/>
  <c r="L92" i="330"/>
  <c r="L91" i="330"/>
  <c r="L90" i="330"/>
  <c r="L89" i="330"/>
  <c r="L88" i="330"/>
  <c r="L87" i="330"/>
  <c r="L86" i="330"/>
  <c r="L85" i="330"/>
  <c r="K84" i="330"/>
  <c r="J26" i="331"/>
  <c r="J84" i="330"/>
  <c r="I26" i="331"/>
  <c r="L80" i="330"/>
  <c r="L78" i="330"/>
  <c r="K76" i="330"/>
  <c r="J23" i="331"/>
  <c r="J76" i="330"/>
  <c r="I23" i="331"/>
  <c r="L75" i="330"/>
  <c r="L74" i="330"/>
  <c r="J73" i="330"/>
  <c r="I22" i="331"/>
  <c r="L72" i="330"/>
  <c r="L73" i="330"/>
  <c r="K71" i="330"/>
  <c r="J21" i="331"/>
  <c r="L70" i="330"/>
  <c r="L71" i="330"/>
  <c r="K68" i="330"/>
  <c r="J18" i="331"/>
  <c r="L65" i="330"/>
  <c r="L64" i="330"/>
  <c r="L63" i="330"/>
  <c r="K61" i="330"/>
  <c r="J17" i="331"/>
  <c r="J61" i="330"/>
  <c r="L60" i="330"/>
  <c r="L59" i="330"/>
  <c r="L58" i="330"/>
  <c r="L57" i="330"/>
  <c r="L56" i="330"/>
  <c r="L55" i="330"/>
  <c r="L54" i="330"/>
  <c r="L53" i="330"/>
  <c r="L52" i="330"/>
  <c r="J49" i="330"/>
  <c r="I16" i="331"/>
  <c r="K38" i="330"/>
  <c r="J11" i="331"/>
  <c r="J38" i="330"/>
  <c r="I11" i="331"/>
  <c r="L37" i="330"/>
  <c r="L36" i="330"/>
  <c r="L35" i="330"/>
  <c r="K34" i="330"/>
  <c r="J13" i="331"/>
  <c r="J36" i="331"/>
  <c r="L33" i="330"/>
  <c r="L32" i="330"/>
  <c r="L31" i="330"/>
  <c r="L30" i="330"/>
  <c r="J29" i="330"/>
  <c r="L28" i="330"/>
  <c r="L27" i="330"/>
  <c r="L26" i="330"/>
  <c r="K24" i="330"/>
  <c r="J8" i="331"/>
  <c r="L23" i="330"/>
  <c r="L22" i="330"/>
  <c r="K20" i="330"/>
  <c r="J7" i="331"/>
  <c r="J20" i="330"/>
  <c r="I7" i="331"/>
  <c r="L19" i="330"/>
  <c r="L18" i="330"/>
  <c r="L17" i="330"/>
  <c r="L16" i="330"/>
  <c r="K15" i="330"/>
  <c r="J6" i="331"/>
  <c r="J15" i="330"/>
  <c r="I6" i="331"/>
  <c r="L14" i="330"/>
  <c r="L13" i="330"/>
  <c r="L12" i="330"/>
  <c r="L11" i="330"/>
  <c r="L10" i="330"/>
  <c r="L9" i="330"/>
  <c r="L8" i="330"/>
  <c r="L7" i="330"/>
  <c r="L6" i="330"/>
  <c r="L5" i="330"/>
  <c r="L59" i="325"/>
  <c r="K98" i="325"/>
  <c r="K93" i="325"/>
  <c r="J27" i="329"/>
  <c r="J73" i="325"/>
  <c r="I22" i="329"/>
  <c r="K73" i="325"/>
  <c r="K71" i="325"/>
  <c r="J21" i="329"/>
  <c r="J71" i="325"/>
  <c r="I21" i="329"/>
  <c r="J68" i="325"/>
  <c r="I18" i="329"/>
  <c r="K61" i="325"/>
  <c r="J17" i="329"/>
  <c r="J61" i="325"/>
  <c r="I17" i="329"/>
  <c r="J29" i="325"/>
  <c r="I12" i="329"/>
  <c r="K38" i="325"/>
  <c r="K24" i="325"/>
  <c r="J8" i="329"/>
  <c r="K20" i="325"/>
  <c r="J20" i="325"/>
  <c r="I7" i="329"/>
  <c r="K15" i="325"/>
  <c r="J6" i="329"/>
  <c r="J15" i="325"/>
  <c r="I6" i="329"/>
  <c r="J98" i="325"/>
  <c r="I28" i="329"/>
  <c r="L97" i="325"/>
  <c r="L96" i="325"/>
  <c r="L95" i="325"/>
  <c r="L94" i="325"/>
  <c r="J93" i="325"/>
  <c r="L92" i="325"/>
  <c r="L91" i="325"/>
  <c r="L90" i="325"/>
  <c r="L89" i="325"/>
  <c r="L88" i="325"/>
  <c r="L87" i="325"/>
  <c r="L86" i="325"/>
  <c r="L85" i="325"/>
  <c r="K84" i="325"/>
  <c r="J26" i="329"/>
  <c r="J84" i="325"/>
  <c r="I26" i="329"/>
  <c r="L83" i="325"/>
  <c r="L82" i="325"/>
  <c r="L81" i="325"/>
  <c r="L80" i="325"/>
  <c r="L79" i="325"/>
  <c r="L78" i="325"/>
  <c r="K76" i="325"/>
  <c r="J23" i="329"/>
  <c r="J76" i="325"/>
  <c r="I23" i="329"/>
  <c r="L75" i="325"/>
  <c r="L74" i="325"/>
  <c r="L72" i="325"/>
  <c r="L73" i="325"/>
  <c r="L70" i="325"/>
  <c r="L71" i="325"/>
  <c r="K68" i="325"/>
  <c r="J18" i="329"/>
  <c r="L67" i="325"/>
  <c r="L66" i="325"/>
  <c r="L65" i="325"/>
  <c r="L64" i="325"/>
  <c r="L63" i="325"/>
  <c r="L62" i="325"/>
  <c r="L60" i="325"/>
  <c r="L58" i="325"/>
  <c r="L57" i="325"/>
  <c r="L56" i="325"/>
  <c r="L55" i="325"/>
  <c r="L54" i="325"/>
  <c r="L53" i="325"/>
  <c r="L52" i="325"/>
  <c r="L51" i="325"/>
  <c r="L50" i="325"/>
  <c r="K49" i="325"/>
  <c r="J16" i="329"/>
  <c r="J49" i="325"/>
  <c r="I16" i="329"/>
  <c r="L48" i="325"/>
  <c r="L47" i="325"/>
  <c r="L46" i="325"/>
  <c r="L45" i="325"/>
  <c r="L44" i="325"/>
  <c r="L43" i="325"/>
  <c r="L42" i="325"/>
  <c r="L41" i="325"/>
  <c r="L40" i="325"/>
  <c r="J38" i="325"/>
  <c r="L37" i="325"/>
  <c r="L36" i="325"/>
  <c r="L35" i="325"/>
  <c r="K34" i="325"/>
  <c r="J13" i="329"/>
  <c r="J34" i="325"/>
  <c r="I13" i="329"/>
  <c r="I36" i="329"/>
  <c r="L33" i="325"/>
  <c r="L34" i="325"/>
  <c r="L32" i="325"/>
  <c r="L31" i="325"/>
  <c r="L30" i="325"/>
  <c r="K29" i="325"/>
  <c r="J12" i="329"/>
  <c r="L28" i="325"/>
  <c r="L27" i="325"/>
  <c r="L26" i="325"/>
  <c r="J24" i="325"/>
  <c r="I8" i="329"/>
  <c r="L23" i="325"/>
  <c r="L22" i="325"/>
  <c r="L21" i="325"/>
  <c r="L19" i="325"/>
  <c r="L18" i="325"/>
  <c r="L17" i="325"/>
  <c r="L16" i="325"/>
  <c r="L15" i="325"/>
  <c r="L14" i="325"/>
  <c r="L13" i="325"/>
  <c r="L12" i="325"/>
  <c r="L11" i="325"/>
  <c r="L10" i="325"/>
  <c r="L9" i="325"/>
  <c r="L8" i="325"/>
  <c r="L7" i="325"/>
  <c r="L6" i="325"/>
  <c r="L5" i="325"/>
  <c r="H22" i="341"/>
  <c r="G22" i="341"/>
  <c r="I21" i="341"/>
  <c r="I20" i="341"/>
  <c r="I19" i="341"/>
  <c r="I18" i="341"/>
  <c r="I17" i="341"/>
  <c r="I16" i="341"/>
  <c r="I15" i="341"/>
  <c r="H14" i="341"/>
  <c r="G14" i="341"/>
  <c r="I13" i="341"/>
  <c r="I12" i="341"/>
  <c r="I11" i="341"/>
  <c r="I10" i="341"/>
  <c r="I9" i="341"/>
  <c r="H8" i="341"/>
  <c r="H24" i="341"/>
  <c r="G8" i="341"/>
  <c r="I7" i="341"/>
  <c r="I8" i="341"/>
  <c r="H6" i="341"/>
  <c r="G6" i="341"/>
  <c r="I5" i="341"/>
  <c r="I6" i="341"/>
  <c r="Z115" i="288"/>
  <c r="Z63" i="288"/>
  <c r="Z12" i="288"/>
  <c r="H19" i="288"/>
  <c r="J19" i="288"/>
  <c r="I19" i="288"/>
  <c r="H20" i="288"/>
  <c r="I20" i="288"/>
  <c r="H21" i="288"/>
  <c r="I21" i="288"/>
  <c r="H22" i="288"/>
  <c r="I22" i="288"/>
  <c r="H23" i="288"/>
  <c r="J23" i="288"/>
  <c r="I23" i="288"/>
  <c r="I18" i="288"/>
  <c r="H18" i="288"/>
  <c r="F24" i="288"/>
  <c r="E24" i="288"/>
  <c r="C24" i="288"/>
  <c r="B24" i="288"/>
  <c r="G23" i="288"/>
  <c r="D23" i="288"/>
  <c r="G22" i="288"/>
  <c r="D22" i="288"/>
  <c r="G21" i="288"/>
  <c r="D21" i="288"/>
  <c r="G20" i="288"/>
  <c r="D20" i="288"/>
  <c r="G19" i="288"/>
  <c r="G24" i="288"/>
  <c r="D19" i="288"/>
  <c r="G18" i="288"/>
  <c r="D18" i="288"/>
  <c r="Q29" i="229"/>
  <c r="Q24" i="229"/>
  <c r="Q19" i="229"/>
  <c r="Q14" i="229"/>
  <c r="Q9" i="229"/>
  <c r="Q36" i="229"/>
  <c r="Q35" i="229"/>
  <c r="Q34" i="229"/>
  <c r="Q33" i="229"/>
  <c r="Q32" i="229"/>
  <c r="Q31" i="229"/>
  <c r="Q31" i="227"/>
  <c r="Q32" i="227"/>
  <c r="Q33" i="227"/>
  <c r="Q34" i="227"/>
  <c r="Q35" i="227"/>
  <c r="Q36" i="227"/>
  <c r="Q29" i="227"/>
  <c r="Q24" i="227"/>
  <c r="Q19" i="227"/>
  <c r="Q14" i="227"/>
  <c r="Q9" i="227"/>
  <c r="I25" i="340"/>
  <c r="H26" i="340"/>
  <c r="I18" i="340"/>
  <c r="I19" i="340"/>
  <c r="I20" i="340"/>
  <c r="I21" i="340"/>
  <c r="H21" i="340"/>
  <c r="H16" i="340"/>
  <c r="I13" i="340"/>
  <c r="I16" i="340"/>
  <c r="I14" i="340"/>
  <c r="I12" i="340"/>
  <c r="I15" i="340"/>
  <c r="I24" i="340"/>
  <c r="I23" i="340"/>
  <c r="I11" i="340"/>
  <c r="H9" i="340"/>
  <c r="I9" i="340"/>
  <c r="I8" i="340"/>
  <c r="I6" i="340"/>
  <c r="AA42" i="314"/>
  <c r="AA43" i="314"/>
  <c r="T23" i="282"/>
  <c r="X42" i="314"/>
  <c r="X43" i="314"/>
  <c r="S23" i="282"/>
  <c r="AA45" i="314"/>
  <c r="AA48" i="314"/>
  <c r="AA47" i="314"/>
  <c r="X45" i="314"/>
  <c r="X47" i="314"/>
  <c r="X48" i="314"/>
  <c r="AA32" i="314"/>
  <c r="AA33" i="314"/>
  <c r="AA34" i="314"/>
  <c r="AA35" i="314"/>
  <c r="X32" i="314"/>
  <c r="X33" i="314"/>
  <c r="X34" i="314"/>
  <c r="AA6" i="314"/>
  <c r="AA8" i="314"/>
  <c r="AA9" i="314"/>
  <c r="AA10" i="314"/>
  <c r="AA11" i="314"/>
  <c r="AA13" i="314"/>
  <c r="AA14" i="314"/>
  <c r="X6" i="314"/>
  <c r="X8" i="314"/>
  <c r="X9" i="314"/>
  <c r="X10" i="314"/>
  <c r="X11" i="314"/>
  <c r="X13" i="314"/>
  <c r="X14" i="314"/>
  <c r="X16" i="314"/>
  <c r="X19" i="314"/>
  <c r="S6" i="282"/>
  <c r="AA16" i="314"/>
  <c r="AA19" i="314"/>
  <c r="T6" i="282"/>
  <c r="T31" i="282"/>
  <c r="S31" i="282"/>
  <c r="T30" i="282"/>
  <c r="S30" i="282"/>
  <c r="T27" i="282"/>
  <c r="S27" i="282"/>
  <c r="T14" i="282"/>
  <c r="S14" i="282"/>
  <c r="O7" i="314"/>
  <c r="I7" i="314"/>
  <c r="Z15" i="314"/>
  <c r="Y15" i="314"/>
  <c r="W15" i="314"/>
  <c r="V15" i="314"/>
  <c r="Z48" i="314"/>
  <c r="Y48" i="314"/>
  <c r="W48" i="314"/>
  <c r="V48" i="314"/>
  <c r="V54" i="314"/>
  <c r="Z43" i="314"/>
  <c r="Y43" i="314"/>
  <c r="W43" i="314"/>
  <c r="V43" i="314"/>
  <c r="Z35" i="314"/>
  <c r="Z41" i="314"/>
  <c r="Y35" i="314"/>
  <c r="Y41" i="314"/>
  <c r="W35" i="314"/>
  <c r="W41" i="314"/>
  <c r="V35" i="314"/>
  <c r="V41" i="314"/>
  <c r="Z19" i="314"/>
  <c r="Y19" i="314"/>
  <c r="Y25" i="314"/>
  <c r="W19" i="314"/>
  <c r="V19" i="314"/>
  <c r="V25" i="314"/>
  <c r="O42" i="339"/>
  <c r="O44" i="339"/>
  <c r="O45" i="339"/>
  <c r="O46" i="339"/>
  <c r="L42" i="339"/>
  <c r="L44" i="339"/>
  <c r="L45" i="339"/>
  <c r="L46" i="339"/>
  <c r="O98" i="339"/>
  <c r="O99" i="339"/>
  <c r="N23" i="342"/>
  <c r="L98" i="339"/>
  <c r="L99" i="339"/>
  <c r="J64" i="339"/>
  <c r="J96" i="339"/>
  <c r="I22" i="342"/>
  <c r="O91" i="339"/>
  <c r="O89" i="339"/>
  <c r="O93" i="339"/>
  <c r="N93" i="339"/>
  <c r="M14" i="342"/>
  <c r="M37" i="342"/>
  <c r="M93" i="339"/>
  <c r="L14" i="342"/>
  <c r="L37" i="342"/>
  <c r="L89" i="339"/>
  <c r="L91" i="339"/>
  <c r="K93" i="339"/>
  <c r="J14" i="342"/>
  <c r="J37" i="342"/>
  <c r="J93" i="339"/>
  <c r="I14" i="342"/>
  <c r="I37" i="342"/>
  <c r="O85" i="339"/>
  <c r="O84" i="339"/>
  <c r="O86" i="339"/>
  <c r="N87" i="339"/>
  <c r="M13" i="342"/>
  <c r="M36" i="342"/>
  <c r="M87" i="339"/>
  <c r="L13" i="342"/>
  <c r="L36" i="342"/>
  <c r="L84" i="339"/>
  <c r="L85" i="339"/>
  <c r="L87" i="339"/>
  <c r="K13" i="342"/>
  <c r="K36" i="342"/>
  <c r="L86" i="339"/>
  <c r="K87" i="339"/>
  <c r="J13" i="342"/>
  <c r="J36" i="342"/>
  <c r="J87" i="339"/>
  <c r="I13" i="342"/>
  <c r="I36" i="342"/>
  <c r="O80" i="339"/>
  <c r="O81" i="339"/>
  <c r="O82" i="339"/>
  <c r="N83" i="339"/>
  <c r="M12" i="342"/>
  <c r="M83" i="339"/>
  <c r="L12" i="342"/>
  <c r="L80" i="339"/>
  <c r="L81" i="339"/>
  <c r="L82" i="339"/>
  <c r="K83" i="339"/>
  <c r="J12" i="342"/>
  <c r="J83" i="339"/>
  <c r="I12" i="342"/>
  <c r="N25" i="339"/>
  <c r="M9" i="342"/>
  <c r="M25" i="339"/>
  <c r="L9" i="342"/>
  <c r="K25" i="339"/>
  <c r="J9" i="342"/>
  <c r="J25" i="339"/>
  <c r="I9" i="342"/>
  <c r="N21" i="339"/>
  <c r="M8" i="342"/>
  <c r="M21" i="339"/>
  <c r="L8" i="342"/>
  <c r="K21" i="339"/>
  <c r="J8" i="342"/>
  <c r="J21" i="339"/>
  <c r="N16" i="339"/>
  <c r="M7" i="342"/>
  <c r="M16" i="339"/>
  <c r="K16" i="339"/>
  <c r="J7" i="342"/>
  <c r="J16" i="339"/>
  <c r="I7" i="342"/>
  <c r="N101" i="339"/>
  <c r="M24" i="342"/>
  <c r="M101" i="339"/>
  <c r="M102" i="339"/>
  <c r="K101" i="339"/>
  <c r="J24" i="342"/>
  <c r="J101" i="339"/>
  <c r="I24" i="342"/>
  <c r="O100" i="339"/>
  <c r="O101" i="339"/>
  <c r="N24" i="342"/>
  <c r="L100" i="339"/>
  <c r="L101" i="339"/>
  <c r="K24" i="342"/>
  <c r="N99" i="339"/>
  <c r="M99" i="339"/>
  <c r="K99" i="339"/>
  <c r="J23" i="342"/>
  <c r="J99" i="339"/>
  <c r="I23" i="342"/>
  <c r="N96" i="339"/>
  <c r="M22" i="342"/>
  <c r="M96" i="339"/>
  <c r="L22" i="342"/>
  <c r="K96" i="339"/>
  <c r="J22" i="342"/>
  <c r="J25" i="342"/>
  <c r="O95" i="339"/>
  <c r="O96" i="339"/>
  <c r="N22" i="342"/>
  <c r="L95" i="339"/>
  <c r="L96" i="339"/>
  <c r="K22" i="342"/>
  <c r="N78" i="339"/>
  <c r="M29" i="342"/>
  <c r="M78" i="339"/>
  <c r="L29" i="342"/>
  <c r="K78" i="339"/>
  <c r="J78" i="339"/>
  <c r="I29" i="342"/>
  <c r="I35" i="342"/>
  <c r="O77" i="339"/>
  <c r="L77" i="339"/>
  <c r="O76" i="339"/>
  <c r="L76" i="339"/>
  <c r="O75" i="339"/>
  <c r="L75" i="339"/>
  <c r="O74" i="339"/>
  <c r="L74" i="339"/>
  <c r="N73" i="339"/>
  <c r="M28" i="342"/>
  <c r="M73" i="339"/>
  <c r="K73" i="339"/>
  <c r="J28" i="342"/>
  <c r="J30" i="342"/>
  <c r="J73" i="339"/>
  <c r="I28" i="342"/>
  <c r="O72" i="339"/>
  <c r="L72" i="339"/>
  <c r="O71" i="339"/>
  <c r="L71" i="339"/>
  <c r="O70" i="339"/>
  <c r="L70" i="339"/>
  <c r="O69" i="339"/>
  <c r="L69" i="339"/>
  <c r="O68" i="339"/>
  <c r="L68" i="339"/>
  <c r="O67" i="339"/>
  <c r="L67" i="339"/>
  <c r="O66" i="339"/>
  <c r="L66" i="339"/>
  <c r="O65" i="339"/>
  <c r="L65" i="339"/>
  <c r="N64" i="339"/>
  <c r="M64" i="339"/>
  <c r="L27" i="342"/>
  <c r="K64" i="339"/>
  <c r="O63" i="339"/>
  <c r="L63" i="339"/>
  <c r="O62" i="339"/>
  <c r="L62" i="339"/>
  <c r="O61" i="339"/>
  <c r="L61" i="339"/>
  <c r="O60" i="339"/>
  <c r="L60" i="339"/>
  <c r="O59" i="339"/>
  <c r="L59" i="339"/>
  <c r="O58" i="339"/>
  <c r="L58" i="339"/>
  <c r="N56" i="339"/>
  <c r="M19" i="342"/>
  <c r="M20" i="342"/>
  <c r="M56" i="339"/>
  <c r="L19" i="342"/>
  <c r="K56" i="339"/>
  <c r="J19" i="342"/>
  <c r="J56" i="339"/>
  <c r="L56" i="339"/>
  <c r="K19" i="342"/>
  <c r="O55" i="339"/>
  <c r="L55" i="339"/>
  <c r="O54" i="339"/>
  <c r="L54" i="339"/>
  <c r="O53" i="339"/>
  <c r="L53" i="339"/>
  <c r="O52" i="339"/>
  <c r="L52" i="339"/>
  <c r="O51" i="339"/>
  <c r="L51" i="339"/>
  <c r="O50" i="339"/>
  <c r="L50" i="339"/>
  <c r="N49" i="339"/>
  <c r="M49" i="339"/>
  <c r="K49" i="339"/>
  <c r="J18" i="342"/>
  <c r="J49" i="339"/>
  <c r="I18" i="342"/>
  <c r="O48" i="339"/>
  <c r="L48" i="339"/>
  <c r="O47" i="339"/>
  <c r="L47" i="339"/>
  <c r="O41" i="339"/>
  <c r="L41" i="339"/>
  <c r="O40" i="339"/>
  <c r="L40" i="339"/>
  <c r="O39" i="339"/>
  <c r="L39" i="339"/>
  <c r="O38" i="339"/>
  <c r="L38" i="339"/>
  <c r="O37" i="339"/>
  <c r="L37" i="339"/>
  <c r="N36" i="339"/>
  <c r="M36" i="339"/>
  <c r="K36" i="339"/>
  <c r="J17" i="342"/>
  <c r="J36" i="339"/>
  <c r="I17" i="342"/>
  <c r="O35" i="339"/>
  <c r="L35" i="339"/>
  <c r="O34" i="339"/>
  <c r="L34" i="339"/>
  <c r="O33" i="339"/>
  <c r="L33" i="339"/>
  <c r="O32" i="339"/>
  <c r="L32" i="339"/>
  <c r="O31" i="339"/>
  <c r="L31" i="339"/>
  <c r="O30" i="339"/>
  <c r="L30" i="339"/>
  <c r="O29" i="339"/>
  <c r="L29" i="339"/>
  <c r="O28" i="339"/>
  <c r="L28" i="339"/>
  <c r="O27" i="339"/>
  <c r="L27" i="339"/>
  <c r="O24" i="339"/>
  <c r="L24" i="339"/>
  <c r="O23" i="339"/>
  <c r="L23" i="339"/>
  <c r="O22" i="339"/>
  <c r="L22" i="339"/>
  <c r="O20" i="339"/>
  <c r="L20" i="339"/>
  <c r="O19" i="339"/>
  <c r="L19" i="339"/>
  <c r="O18" i="339"/>
  <c r="L18" i="339"/>
  <c r="O17" i="339"/>
  <c r="L17" i="339"/>
  <c r="O15" i="339"/>
  <c r="L15" i="339"/>
  <c r="O14" i="339"/>
  <c r="L14" i="339"/>
  <c r="O13" i="339"/>
  <c r="L13" i="339"/>
  <c r="O12" i="339"/>
  <c r="L12" i="339"/>
  <c r="O11" i="339"/>
  <c r="L11" i="339"/>
  <c r="O10" i="339"/>
  <c r="L10" i="339"/>
  <c r="O9" i="339"/>
  <c r="L9" i="339"/>
  <c r="O8" i="339"/>
  <c r="L8" i="339"/>
  <c r="O7" i="339"/>
  <c r="L7" i="339"/>
  <c r="O6" i="339"/>
  <c r="L6" i="339"/>
  <c r="K19" i="309"/>
  <c r="J8" i="312" s="1"/>
  <c r="J19" i="309"/>
  <c r="I8" i="312"/>
  <c r="L5" i="309"/>
  <c r="L6" i="309"/>
  <c r="L7" i="309"/>
  <c r="L8" i="309"/>
  <c r="L12" i="309" s="1"/>
  <c r="K6" i="312" s="1"/>
  <c r="L9" i="309"/>
  <c r="L10" i="309"/>
  <c r="L11" i="309"/>
  <c r="L13" i="309"/>
  <c r="L17" i="309" s="1"/>
  <c r="L14" i="309"/>
  <c r="L15" i="309"/>
  <c r="L16" i="309"/>
  <c r="L18" i="309"/>
  <c r="L19" i="309" s="1"/>
  <c r="K17" i="309"/>
  <c r="K20" i="309" s="1"/>
  <c r="K12" i="309"/>
  <c r="J17" i="309"/>
  <c r="I7" i="312" s="1"/>
  <c r="J12" i="309"/>
  <c r="I6" i="312" s="1"/>
  <c r="I40" i="312"/>
  <c r="J40" i="312"/>
  <c r="K40" i="312"/>
  <c r="K58" i="309"/>
  <c r="J33" i="312" s="1"/>
  <c r="J58" i="309"/>
  <c r="I33" i="312" s="1"/>
  <c r="J53" i="309"/>
  <c r="K45" i="309"/>
  <c r="J31" i="312" s="1"/>
  <c r="K68" i="309"/>
  <c r="J28" i="312" s="1"/>
  <c r="J29" i="312" s="1"/>
  <c r="J68" i="309"/>
  <c r="J69" i="309" s="1"/>
  <c r="K27" i="312"/>
  <c r="K26" i="312"/>
  <c r="J24" i="312"/>
  <c r="I24" i="312"/>
  <c r="K23" i="312"/>
  <c r="K22" i="312"/>
  <c r="K21" i="312"/>
  <c r="K39" i="309"/>
  <c r="J18" i="312" s="1"/>
  <c r="J26" i="309"/>
  <c r="I16" i="312" s="1"/>
  <c r="J65" i="309"/>
  <c r="I13" i="312" s="1"/>
  <c r="I41" i="312" s="1"/>
  <c r="K12" i="312"/>
  <c r="K62" i="309"/>
  <c r="L67" i="309"/>
  <c r="L68" i="309"/>
  <c r="L69" i="309" s="1"/>
  <c r="K69" i="309"/>
  <c r="K65" i="309"/>
  <c r="J13" i="312" s="1"/>
  <c r="L64" i="309"/>
  <c r="L63" i="309"/>
  <c r="J62" i="309"/>
  <c r="I11" i="312" s="1"/>
  <c r="L61" i="309"/>
  <c r="L60" i="309"/>
  <c r="L57" i="309"/>
  <c r="L58" i="309" s="1"/>
  <c r="L56" i="309"/>
  <c r="L55" i="309"/>
  <c r="L54" i="309"/>
  <c r="K53" i="309"/>
  <c r="L52" i="309"/>
  <c r="L51" i="309"/>
  <c r="L50" i="309"/>
  <c r="L49" i="309"/>
  <c r="L48" i="309"/>
  <c r="L47" i="309"/>
  <c r="L46" i="309"/>
  <c r="J45" i="309"/>
  <c r="I31" i="312" s="1"/>
  <c r="L44" i="309"/>
  <c r="L43" i="309"/>
  <c r="L42" i="309"/>
  <c r="L41" i="309"/>
  <c r="L45" i="309" s="1"/>
  <c r="K31" i="312" s="1"/>
  <c r="J39" i="309"/>
  <c r="I18" i="312" s="1"/>
  <c r="L38" i="309"/>
  <c r="L37" i="309"/>
  <c r="L36" i="309"/>
  <c r="L35" i="309"/>
  <c r="K34" i="309"/>
  <c r="J17" i="312" s="1"/>
  <c r="J34" i="309"/>
  <c r="I17" i="312" s="1"/>
  <c r="L33" i="309"/>
  <c r="L32" i="309"/>
  <c r="L30" i="309"/>
  <c r="L29" i="309"/>
  <c r="L28" i="309"/>
  <c r="L27" i="309"/>
  <c r="K26" i="309"/>
  <c r="J16" i="312" s="1"/>
  <c r="L25" i="309"/>
  <c r="L24" i="309"/>
  <c r="L26" i="309" s="1"/>
  <c r="K16" i="312" s="1"/>
  <c r="L23" i="309"/>
  <c r="L22" i="309"/>
  <c r="L21" i="309"/>
  <c r="O56" i="339"/>
  <c r="N19" i="342"/>
  <c r="K102" i="339"/>
  <c r="J94" i="339"/>
  <c r="K94" i="339"/>
  <c r="M94" i="339"/>
  <c r="J6" i="312"/>
  <c r="I76" i="308"/>
  <c r="H28" i="311"/>
  <c r="H34" i="311"/>
  <c r="H62" i="308"/>
  <c r="G26" i="311"/>
  <c r="H85" i="308"/>
  <c r="G12" i="311"/>
  <c r="I24" i="308"/>
  <c r="H8" i="311"/>
  <c r="I100" i="308"/>
  <c r="H23" i="311"/>
  <c r="H100" i="308"/>
  <c r="G23" i="311"/>
  <c r="I97" i="308"/>
  <c r="H22" i="311"/>
  <c r="H97" i="308"/>
  <c r="G22" i="311"/>
  <c r="I94" i="308"/>
  <c r="I101" i="308"/>
  <c r="H94" i="308"/>
  <c r="G21" i="311"/>
  <c r="I90" i="308"/>
  <c r="H13" i="311"/>
  <c r="H36" i="311"/>
  <c r="H90" i="308"/>
  <c r="G13" i="311"/>
  <c r="G36" i="311"/>
  <c r="I85" i="308"/>
  <c r="H12" i="311"/>
  <c r="H35" i="311"/>
  <c r="I81" i="308"/>
  <c r="H11" i="311"/>
  <c r="H81" i="308"/>
  <c r="G11" i="311"/>
  <c r="H76" i="308"/>
  <c r="G28" i="311"/>
  <c r="I71" i="308"/>
  <c r="H27" i="311"/>
  <c r="H71" i="308"/>
  <c r="G27" i="311"/>
  <c r="I62" i="308"/>
  <c r="H26" i="311"/>
  <c r="I54" i="308"/>
  <c r="H18" i="311"/>
  <c r="H54" i="308"/>
  <c r="H55" i="308"/>
  <c r="I47" i="308"/>
  <c r="H17" i="311"/>
  <c r="H47" i="308"/>
  <c r="G17" i="311"/>
  <c r="I35" i="308"/>
  <c r="H16" i="311"/>
  <c r="H35" i="308"/>
  <c r="G16" i="311"/>
  <c r="H24" i="308"/>
  <c r="G8" i="311"/>
  <c r="I20" i="308"/>
  <c r="H7" i="311"/>
  <c r="H9" i="311"/>
  <c r="H20" i="308"/>
  <c r="H25" i="308"/>
  <c r="I15" i="308"/>
  <c r="H6" i="311"/>
  <c r="H15" i="308"/>
  <c r="G6" i="311"/>
  <c r="AI96" i="270"/>
  <c r="AH96" i="270"/>
  <c r="AI36" i="270"/>
  <c r="AH16" i="271" s="1"/>
  <c r="AH36" i="270"/>
  <c r="AG16" i="271" s="1"/>
  <c r="AI99" i="270"/>
  <c r="AH99" i="270"/>
  <c r="AI55" i="270"/>
  <c r="AH18" i="271" s="1"/>
  <c r="AI83" i="270"/>
  <c r="AH11" i="271" s="1"/>
  <c r="AI20" i="270"/>
  <c r="AI25" i="270" s="1"/>
  <c r="AH20" i="270"/>
  <c r="AG7" i="271" s="1"/>
  <c r="AI102" i="270"/>
  <c r="AH102" i="270"/>
  <c r="AI92" i="270"/>
  <c r="AH13" i="271" s="1"/>
  <c r="AH36" i="271" s="1"/>
  <c r="AH92" i="270"/>
  <c r="AG13" i="271" s="1"/>
  <c r="AG36" i="271" s="1"/>
  <c r="AI87" i="270"/>
  <c r="AH87" i="270"/>
  <c r="AG12" i="271" s="1"/>
  <c r="AH83" i="270"/>
  <c r="AG11" i="271" s="1"/>
  <c r="AI77" i="270"/>
  <c r="AH28" i="271" s="1"/>
  <c r="AH77" i="270"/>
  <c r="AI72" i="270"/>
  <c r="AH72" i="270"/>
  <c r="AG27" i="271" s="1"/>
  <c r="AI63" i="270"/>
  <c r="AH26" i="271" s="1"/>
  <c r="AH63" i="270"/>
  <c r="AG26" i="271" s="1"/>
  <c r="AH55" i="270"/>
  <c r="AG18" i="271" s="1"/>
  <c r="AI48" i="270"/>
  <c r="AH17" i="271" s="1"/>
  <c r="AH48" i="270"/>
  <c r="AG17" i="271" s="1"/>
  <c r="AI24" i="270"/>
  <c r="AH24" i="270"/>
  <c r="AG8" i="271" s="1"/>
  <c r="AG34" i="271" s="1"/>
  <c r="AI15" i="270"/>
  <c r="AH6" i="271" s="1"/>
  <c r="AH15" i="270"/>
  <c r="AG6" i="271" s="1"/>
  <c r="K19" i="320"/>
  <c r="J19" i="320"/>
  <c r="I19" i="320"/>
  <c r="H21" i="311"/>
  <c r="H77" i="308"/>
  <c r="BS46" i="281"/>
  <c r="BP46" i="281"/>
  <c r="BQ46" i="281"/>
  <c r="BR46" i="281"/>
  <c r="BS42" i="281"/>
  <c r="BP42" i="281"/>
  <c r="BQ42" i="281"/>
  <c r="BR42" i="281"/>
  <c r="BS37" i="281"/>
  <c r="BP37" i="281"/>
  <c r="BQ37" i="281"/>
  <c r="BR37" i="281"/>
  <c r="BS33" i="281"/>
  <c r="BP33" i="281"/>
  <c r="BQ33" i="281"/>
  <c r="BR33" i="281"/>
  <c r="BS10" i="281"/>
  <c r="BP10" i="281"/>
  <c r="BQ10" i="281"/>
  <c r="BR10" i="281"/>
  <c r="BS6" i="281"/>
  <c r="BP6" i="281"/>
  <c r="BQ6" i="281"/>
  <c r="BR6" i="281"/>
  <c r="BS44" i="281"/>
  <c r="BR44" i="281"/>
  <c r="BQ44" i="281"/>
  <c r="BP44" i="281"/>
  <c r="BS35" i="281"/>
  <c r="BR35" i="281"/>
  <c r="BR39" i="281"/>
  <c r="BQ35" i="281"/>
  <c r="BP35" i="281"/>
  <c r="BS28" i="281"/>
  <c r="BR28" i="281"/>
  <c r="BQ28" i="281"/>
  <c r="BP28" i="281"/>
  <c r="BS26" i="281"/>
  <c r="BS24" i="281"/>
  <c r="BR26" i="281"/>
  <c r="BQ26" i="281"/>
  <c r="BP26" i="281"/>
  <c r="BP24" i="281"/>
  <c r="BR24" i="281"/>
  <c r="BQ24" i="281"/>
  <c r="BS19" i="281"/>
  <c r="BR19" i="281"/>
  <c r="BQ19" i="281"/>
  <c r="BP19" i="281"/>
  <c r="BS17" i="281"/>
  <c r="BS15" i="281"/>
  <c r="BR17" i="281"/>
  <c r="BQ17" i="281"/>
  <c r="BP17" i="281"/>
  <c r="BP15" i="281"/>
  <c r="BT15" i="281"/>
  <c r="BR15" i="281"/>
  <c r="BQ15" i="281"/>
  <c r="BS8" i="281"/>
  <c r="BR8" i="281"/>
  <c r="BQ8" i="281"/>
  <c r="BP8" i="281"/>
  <c r="BP12" i="281"/>
  <c r="BR12" i="281"/>
  <c r="BS29" i="242"/>
  <c r="BR29" i="242"/>
  <c r="BQ29" i="242"/>
  <c r="BP29" i="242"/>
  <c r="BT28" i="242"/>
  <c r="BT27" i="242"/>
  <c r="BT26" i="242"/>
  <c r="BS24" i="242"/>
  <c r="BR24" i="242"/>
  <c r="BT23" i="242"/>
  <c r="BT22" i="242"/>
  <c r="BT21" i="242"/>
  <c r="BT24" i="242"/>
  <c r="BS19" i="242"/>
  <c r="BR19" i="242"/>
  <c r="BQ19" i="242"/>
  <c r="BP19" i="242"/>
  <c r="BT18" i="242"/>
  <c r="BT17" i="242"/>
  <c r="BT16" i="242"/>
  <c r="BS14" i="242"/>
  <c r="BR14" i="242"/>
  <c r="BQ14" i="242"/>
  <c r="BP14" i="242"/>
  <c r="BT13" i="242"/>
  <c r="BT12" i="242"/>
  <c r="BT14" i="242"/>
  <c r="BT11" i="242"/>
  <c r="BS9" i="242"/>
  <c r="BR9" i="242"/>
  <c r="BQ9" i="242"/>
  <c r="BP9" i="242"/>
  <c r="BT8" i="242"/>
  <c r="BT7" i="242"/>
  <c r="BT6" i="242"/>
  <c r="P35" i="243"/>
  <c r="P34" i="243"/>
  <c r="P33" i="243"/>
  <c r="P32" i="243"/>
  <c r="P31" i="243"/>
  <c r="P30" i="243"/>
  <c r="P28" i="243"/>
  <c r="P23" i="243"/>
  <c r="P18" i="243"/>
  <c r="P13" i="243"/>
  <c r="P8" i="243"/>
  <c r="F64" i="318"/>
  <c r="K60" i="318"/>
  <c r="J60" i="318"/>
  <c r="I60" i="318"/>
  <c r="H60" i="318"/>
  <c r="F58" i="318"/>
  <c r="F59" i="318"/>
  <c r="E60" i="318"/>
  <c r="D60" i="318"/>
  <c r="C60" i="318"/>
  <c r="L59" i="318"/>
  <c r="L58" i="318"/>
  <c r="K56" i="318"/>
  <c r="J56" i="318"/>
  <c r="I56" i="318"/>
  <c r="H56" i="318"/>
  <c r="E56" i="318"/>
  <c r="D56" i="318"/>
  <c r="C56" i="318"/>
  <c r="L55" i="318"/>
  <c r="M55" i="318"/>
  <c r="N55" i="318"/>
  <c r="F55" i="318"/>
  <c r="F54" i="318"/>
  <c r="L54" i="318"/>
  <c r="L53" i="318"/>
  <c r="K51" i="318"/>
  <c r="J51" i="318"/>
  <c r="I51" i="318"/>
  <c r="H51" i="318"/>
  <c r="F48" i="318"/>
  <c r="F49" i="318"/>
  <c r="F50" i="318"/>
  <c r="E51" i="318"/>
  <c r="D51" i="318"/>
  <c r="C51" i="318"/>
  <c r="L50" i="318"/>
  <c r="L49" i="318"/>
  <c r="L48" i="318"/>
  <c r="M48" i="318"/>
  <c r="N48" i="318"/>
  <c r="K46" i="318"/>
  <c r="J46" i="318"/>
  <c r="I46" i="318"/>
  <c r="H46" i="318"/>
  <c r="E46" i="318"/>
  <c r="D46" i="318"/>
  <c r="C46" i="318"/>
  <c r="L45" i="318"/>
  <c r="F45" i="318"/>
  <c r="L44" i="318"/>
  <c r="F44" i="318"/>
  <c r="L43" i="318"/>
  <c r="F43" i="318"/>
  <c r="K41" i="318"/>
  <c r="J41" i="318"/>
  <c r="I41" i="318"/>
  <c r="H41" i="318"/>
  <c r="F38" i="318"/>
  <c r="F39" i="318"/>
  <c r="F40" i="318"/>
  <c r="E41" i="318"/>
  <c r="D41" i="318"/>
  <c r="C41" i="318"/>
  <c r="L40" i="318"/>
  <c r="L39" i="318"/>
  <c r="L38" i="318"/>
  <c r="F61" i="319"/>
  <c r="E61" i="319"/>
  <c r="G61" i="319"/>
  <c r="D61" i="319"/>
  <c r="C61" i="319"/>
  <c r="G60" i="319"/>
  <c r="G59" i="319"/>
  <c r="I59" i="319"/>
  <c r="G58" i="319"/>
  <c r="I58" i="319"/>
  <c r="F56" i="319"/>
  <c r="E56" i="319"/>
  <c r="D56" i="319"/>
  <c r="C56" i="319"/>
  <c r="G55" i="319"/>
  <c r="I55" i="319"/>
  <c r="G54" i="319"/>
  <c r="I54" i="319"/>
  <c r="G53" i="319"/>
  <c r="I53" i="319"/>
  <c r="F51" i="319"/>
  <c r="E51" i="319"/>
  <c r="D51" i="319"/>
  <c r="C51" i="319"/>
  <c r="G50" i="319"/>
  <c r="I50" i="319"/>
  <c r="G49" i="319"/>
  <c r="I49" i="319"/>
  <c r="G48" i="319"/>
  <c r="I48" i="319"/>
  <c r="F46" i="319"/>
  <c r="E46" i="319"/>
  <c r="D46" i="319"/>
  <c r="C46" i="319"/>
  <c r="G45" i="319"/>
  <c r="G44" i="319"/>
  <c r="I44" i="319"/>
  <c r="G43" i="319"/>
  <c r="F41" i="319"/>
  <c r="E41" i="319"/>
  <c r="D41" i="319"/>
  <c r="C41" i="319"/>
  <c r="G40" i="319"/>
  <c r="G39" i="319"/>
  <c r="I39" i="319"/>
  <c r="G38" i="319"/>
  <c r="I38" i="319"/>
  <c r="H48" i="319"/>
  <c r="J48" i="319"/>
  <c r="H58" i="319"/>
  <c r="J58" i="319"/>
  <c r="H59" i="319"/>
  <c r="J59" i="319"/>
  <c r="BE48" i="263"/>
  <c r="BH87" i="273"/>
  <c r="F41" i="324"/>
  <c r="F54" i="324"/>
  <c r="E54" i="324"/>
  <c r="D54" i="324"/>
  <c r="D55" i="324"/>
  <c r="E39" i="324"/>
  <c r="D39" i="324"/>
  <c r="F31" i="324"/>
  <c r="F23" i="324"/>
  <c r="E16" i="324"/>
  <c r="D16" i="324"/>
  <c r="F13" i="324"/>
  <c r="F16" i="324"/>
  <c r="H69" i="324"/>
  <c r="H73" i="324"/>
  <c r="G69" i="324"/>
  <c r="G73" i="324"/>
  <c r="I68" i="324"/>
  <c r="I69" i="324"/>
  <c r="I73" i="324"/>
  <c r="BD36" i="234"/>
  <c r="BC36" i="234"/>
  <c r="BB36" i="234"/>
  <c r="BD35" i="234"/>
  <c r="BC35" i="234"/>
  <c r="BB35" i="234"/>
  <c r="BD34" i="234"/>
  <c r="BC34" i="234"/>
  <c r="BB34" i="234"/>
  <c r="BD33" i="234"/>
  <c r="BC33" i="234"/>
  <c r="BB33" i="234"/>
  <c r="BD32" i="234"/>
  <c r="BC32" i="234"/>
  <c r="BC37" i="234"/>
  <c r="BB32" i="234"/>
  <c r="BD31" i="234"/>
  <c r="BC31" i="234"/>
  <c r="BB31" i="234"/>
  <c r="BD29" i="234"/>
  <c r="BC29" i="234"/>
  <c r="BB29" i="234"/>
  <c r="BE28" i="234"/>
  <c r="BE29" i="234"/>
  <c r="BE27" i="234"/>
  <c r="BE26" i="234"/>
  <c r="BD24" i="234"/>
  <c r="BC24" i="234"/>
  <c r="BB24" i="234"/>
  <c r="BE23" i="234"/>
  <c r="BE22" i="234"/>
  <c r="BE21" i="234"/>
  <c r="BE24" i="234"/>
  <c r="BD19" i="234"/>
  <c r="BC19" i="234"/>
  <c r="BB19" i="234"/>
  <c r="BE18" i="234"/>
  <c r="BE17" i="234"/>
  <c r="BE16" i="234"/>
  <c r="BD14" i="234"/>
  <c r="BC14" i="234"/>
  <c r="BB14" i="234"/>
  <c r="BE13" i="234"/>
  <c r="BE12" i="234"/>
  <c r="BE11" i="234"/>
  <c r="BE14" i="234"/>
  <c r="BD9" i="234"/>
  <c r="BC9" i="234"/>
  <c r="BB9" i="234"/>
  <c r="BE9" i="234"/>
  <c r="BE8" i="234"/>
  <c r="BE7" i="234"/>
  <c r="BE6" i="234"/>
  <c r="D6" i="292"/>
  <c r="D7" i="292"/>
  <c r="D8" i="292"/>
  <c r="D9" i="292"/>
  <c r="D10" i="292"/>
  <c r="D11" i="292"/>
  <c r="E6" i="292"/>
  <c r="E7" i="292"/>
  <c r="E8" i="292"/>
  <c r="E9" i="292"/>
  <c r="E10" i="292"/>
  <c r="E11" i="292"/>
  <c r="F6" i="292"/>
  <c r="F7" i="292"/>
  <c r="F8" i="292"/>
  <c r="F9" i="292"/>
  <c r="F10" i="292"/>
  <c r="F11" i="292"/>
  <c r="G16" i="292"/>
  <c r="G34" i="292"/>
  <c r="H16" i="292"/>
  <c r="I16" i="292"/>
  <c r="J16" i="292"/>
  <c r="J32" i="292"/>
  <c r="K16" i="292"/>
  <c r="L16" i="292"/>
  <c r="M16" i="292"/>
  <c r="M33" i="292"/>
  <c r="N16" i="292"/>
  <c r="N32" i="292"/>
  <c r="O16" i="292"/>
  <c r="P16" i="292"/>
  <c r="C16" i="292"/>
  <c r="C33" i="292"/>
  <c r="K33" i="292"/>
  <c r="C31" i="292"/>
  <c r="C34" i="292"/>
  <c r="C32" i="292"/>
  <c r="J34" i="292"/>
  <c r="I33" i="292"/>
  <c r="K34" i="292"/>
  <c r="K32" i="292"/>
  <c r="L32" i="292"/>
  <c r="O32" i="292"/>
  <c r="M34" i="292"/>
  <c r="O33" i="292"/>
  <c r="O34" i="292"/>
  <c r="N33" i="292"/>
  <c r="N13" i="294"/>
  <c r="N25" i="294"/>
  <c r="N31" i="294"/>
  <c r="N16" i="293"/>
  <c r="M27" i="293"/>
  <c r="M26" i="293"/>
  <c r="M28" i="293"/>
  <c r="M29" i="293"/>
  <c r="M30" i="293"/>
  <c r="M31" i="293"/>
  <c r="N26" i="293"/>
  <c r="N27" i="293"/>
  <c r="N28" i="293"/>
  <c r="N29" i="293"/>
  <c r="N30" i="293"/>
  <c r="N31" i="293"/>
  <c r="P7" i="202"/>
  <c r="P8" i="202"/>
  <c r="P9" i="202"/>
  <c r="P12" i="202"/>
  <c r="P13" i="202"/>
  <c r="P14" i="202"/>
  <c r="P37" i="202"/>
  <c r="P17" i="202"/>
  <c r="P18" i="202"/>
  <c r="P19" i="202"/>
  <c r="P22" i="202"/>
  <c r="P23" i="202"/>
  <c r="P24" i="202"/>
  <c r="P27" i="202"/>
  <c r="P28" i="202"/>
  <c r="P29" i="202"/>
  <c r="P32" i="202"/>
  <c r="BF76" i="337"/>
  <c r="BO6" i="336"/>
  <c r="BF77" i="337"/>
  <c r="BF78" i="337"/>
  <c r="BO8" i="336"/>
  <c r="BF81" i="337"/>
  <c r="BO11" i="336"/>
  <c r="BF83" i="337"/>
  <c r="BO13" i="336"/>
  <c r="BF84" i="337"/>
  <c r="BO14" i="336"/>
  <c r="BF86" i="337"/>
  <c r="BF87" i="337"/>
  <c r="BF88" i="337"/>
  <c r="BF96" i="337"/>
  <c r="BF97" i="337"/>
  <c r="BF98" i="337"/>
  <c r="BO28" i="336"/>
  <c r="BF99" i="337"/>
  <c r="BO29" i="336"/>
  <c r="BF111" i="337"/>
  <c r="BF112" i="337"/>
  <c r="BP7" i="336"/>
  <c r="BF113" i="337"/>
  <c r="BP8" i="336"/>
  <c r="BF117" i="337"/>
  <c r="BF118" i="337"/>
  <c r="BF121" i="337"/>
  <c r="BF122" i="337"/>
  <c r="BF123" i="337"/>
  <c r="BP18" i="336"/>
  <c r="BF131" i="337"/>
  <c r="BF132" i="337"/>
  <c r="BF133" i="337"/>
  <c r="BP28" i="336"/>
  <c r="BQ28" i="336" s="1"/>
  <c r="O105" i="336" s="1"/>
  <c r="BO27" i="336"/>
  <c r="BO26" i="336"/>
  <c r="BP26" i="336"/>
  <c r="BP24" i="336"/>
  <c r="BO24" i="336"/>
  <c r="BP23" i="336"/>
  <c r="BQ23" i="336" s="1"/>
  <c r="BO23" i="336"/>
  <c r="BP22" i="336"/>
  <c r="BO22" i="336"/>
  <c r="BO21" i="336"/>
  <c r="BP21" i="336"/>
  <c r="BP17" i="336"/>
  <c r="BO17" i="336"/>
  <c r="BO16" i="336"/>
  <c r="BP16" i="336"/>
  <c r="BP13" i="336"/>
  <c r="BO12" i="336"/>
  <c r="BP11" i="336"/>
  <c r="BP6" i="336"/>
  <c r="BE134" i="337"/>
  <c r="BD134" i="337"/>
  <c r="BE124" i="337"/>
  <c r="BD124" i="337"/>
  <c r="BD136" i="337"/>
  <c r="BC124" i="337"/>
  <c r="BE119" i="337"/>
  <c r="BD119" i="337"/>
  <c r="BE114" i="337"/>
  <c r="BE136" i="337"/>
  <c r="BD114" i="337"/>
  <c r="BC114" i="337"/>
  <c r="BE99" i="337"/>
  <c r="BD99" i="337"/>
  <c r="BE89" i="337"/>
  <c r="BD89" i="337"/>
  <c r="BC89" i="337"/>
  <c r="BE84" i="337"/>
  <c r="BE101" i="337"/>
  <c r="BD84" i="337"/>
  <c r="BE79" i="337"/>
  <c r="BD79" i="337"/>
  <c r="BC79" i="337"/>
  <c r="BE64" i="337"/>
  <c r="BD64" i="337"/>
  <c r="BC64" i="337"/>
  <c r="BF63" i="337"/>
  <c r="BF64" i="337"/>
  <c r="BF62" i="337"/>
  <c r="BF61" i="337"/>
  <c r="BE59" i="337"/>
  <c r="BD59" i="337"/>
  <c r="BF58" i="337"/>
  <c r="BF57" i="337"/>
  <c r="BF56" i="337"/>
  <c r="BE54" i="337"/>
  <c r="BE66" i="337"/>
  <c r="BD54" i="337"/>
  <c r="BC54" i="337"/>
  <c r="BF53" i="337"/>
  <c r="BF52" i="337"/>
  <c r="BF51" i="337"/>
  <c r="BE49" i="337"/>
  <c r="BD49" i="337"/>
  <c r="BF48" i="337"/>
  <c r="BF47" i="337"/>
  <c r="BF46" i="337"/>
  <c r="BE44" i="337"/>
  <c r="BD44" i="337"/>
  <c r="BC44" i="337"/>
  <c r="BF43" i="337"/>
  <c r="BF42" i="337"/>
  <c r="BF41" i="337"/>
  <c r="BE28" i="337"/>
  <c r="BD28" i="337"/>
  <c r="BC28" i="337"/>
  <c r="BE27" i="337"/>
  <c r="BD27" i="337"/>
  <c r="BF27" i="337"/>
  <c r="BC27" i="337"/>
  <c r="BE26" i="337"/>
  <c r="BD26" i="337"/>
  <c r="BD29" i="337"/>
  <c r="BC26" i="337"/>
  <c r="BE23" i="337"/>
  <c r="BD23" i="337"/>
  <c r="BC23" i="337"/>
  <c r="BE22" i="337"/>
  <c r="BD22" i="337"/>
  <c r="BC22" i="337"/>
  <c r="BE21" i="337"/>
  <c r="BD21" i="337"/>
  <c r="BC21" i="337"/>
  <c r="BE18" i="337"/>
  <c r="BD18" i="337"/>
  <c r="BC18" i="337"/>
  <c r="BE17" i="337"/>
  <c r="BD17" i="337"/>
  <c r="BC17" i="337"/>
  <c r="BE16" i="337"/>
  <c r="BD16" i="337"/>
  <c r="BC16" i="337"/>
  <c r="BE13" i="337"/>
  <c r="BD13" i="337"/>
  <c r="BC13" i="337"/>
  <c r="BE12" i="337"/>
  <c r="BD12" i="337"/>
  <c r="BC12" i="337"/>
  <c r="BE11" i="337"/>
  <c r="BD11" i="337"/>
  <c r="BC11" i="337"/>
  <c r="BE8" i="337"/>
  <c r="BD8" i="337"/>
  <c r="BC8" i="337"/>
  <c r="BE7" i="337"/>
  <c r="BD7" i="337"/>
  <c r="BC7" i="337"/>
  <c r="BE6" i="337"/>
  <c r="BD6" i="337"/>
  <c r="BC6" i="337"/>
  <c r="AJ117" i="295"/>
  <c r="AJ137" i="295"/>
  <c r="AL137" i="295"/>
  <c r="AK117" i="295"/>
  <c r="AK137" i="295"/>
  <c r="AJ135" i="295"/>
  <c r="AJ138" i="295"/>
  <c r="AJ136" i="295"/>
  <c r="AK135" i="295"/>
  <c r="AK136" i="295"/>
  <c r="AL136" i="295"/>
  <c r="AL135" i="295"/>
  <c r="AJ130" i="295"/>
  <c r="AJ131" i="295"/>
  <c r="AL131" i="295"/>
  <c r="AJ132" i="295"/>
  <c r="AK132" i="295"/>
  <c r="AL132" i="295"/>
  <c r="AK131" i="295"/>
  <c r="AK130" i="295"/>
  <c r="AJ125" i="295"/>
  <c r="AJ126" i="295"/>
  <c r="AJ127" i="295"/>
  <c r="AK125" i="295"/>
  <c r="AK126" i="295"/>
  <c r="AK127" i="295"/>
  <c r="AJ120" i="295"/>
  <c r="AJ121" i="295"/>
  <c r="AJ122" i="295"/>
  <c r="AK120" i="295"/>
  <c r="AK123" i="295"/>
  <c r="AK121" i="295"/>
  <c r="AK144" i="295"/>
  <c r="AK122" i="295"/>
  <c r="AL122" i="295"/>
  <c r="AJ145" i="295"/>
  <c r="AL121" i="295"/>
  <c r="AJ144" i="295"/>
  <c r="AL144" i="295"/>
  <c r="AJ115" i="295"/>
  <c r="AJ116" i="295"/>
  <c r="AK115" i="295"/>
  <c r="AL115" i="295"/>
  <c r="AK116" i="295"/>
  <c r="AK107" i="295"/>
  <c r="AJ107" i="295"/>
  <c r="AK106" i="295"/>
  <c r="AJ106" i="295"/>
  <c r="AK105" i="295"/>
  <c r="AJ105" i="295"/>
  <c r="AK104" i="295"/>
  <c r="AK108" i="295"/>
  <c r="AJ104" i="295"/>
  <c r="AK103" i="295"/>
  <c r="AJ103" i="295"/>
  <c r="AJ108" i="295"/>
  <c r="AK102" i="295"/>
  <c r="AJ102" i="295"/>
  <c r="AK100" i="295"/>
  <c r="AL100" i="295"/>
  <c r="AJ100" i="295"/>
  <c r="AL99" i="295"/>
  <c r="AL105" i="295"/>
  <c r="AL98" i="295"/>
  <c r="AL97" i="295"/>
  <c r="AK95" i="295"/>
  <c r="AL95" i="295"/>
  <c r="AJ95" i="295"/>
  <c r="AL94" i="295"/>
  <c r="AL104" i="295"/>
  <c r="AL93" i="295"/>
  <c r="AL92" i="295"/>
  <c r="AK90" i="295"/>
  <c r="AJ90" i="295"/>
  <c r="AL89" i="295"/>
  <c r="AL107" i="295"/>
  <c r="AL88" i="295"/>
  <c r="AL106" i="295"/>
  <c r="AL87" i="295"/>
  <c r="AK85" i="295"/>
  <c r="AJ85" i="295"/>
  <c r="AL84" i="295"/>
  <c r="AL83" i="295"/>
  <c r="AL82" i="295"/>
  <c r="AK74" i="295"/>
  <c r="AJ74" i="295"/>
  <c r="AK73" i="295"/>
  <c r="AJ73" i="295"/>
  <c r="AL73" i="295"/>
  <c r="AK72" i="295"/>
  <c r="AJ72" i="295"/>
  <c r="AJ75" i="295"/>
  <c r="AK71" i="295"/>
  <c r="AJ71" i="295"/>
  <c r="AK70" i="295"/>
  <c r="AK75" i="295"/>
  <c r="AJ70" i="295"/>
  <c r="AK69" i="295"/>
  <c r="AJ69" i="295"/>
  <c r="AK67" i="295"/>
  <c r="AJ67" i="295"/>
  <c r="AL66" i="295"/>
  <c r="AL65" i="295"/>
  <c r="AL64" i="295"/>
  <c r="AK57" i="295"/>
  <c r="AJ57" i="295"/>
  <c r="AL56" i="295"/>
  <c r="AL55" i="295"/>
  <c r="AL54" i="295"/>
  <c r="AK52" i="295"/>
  <c r="AJ52" i="295"/>
  <c r="AL51" i="295"/>
  <c r="AL50" i="295"/>
  <c r="AL49" i="295"/>
  <c r="AK47" i="295"/>
  <c r="AJ47" i="295"/>
  <c r="AL47" i="295"/>
  <c r="AL46" i="295"/>
  <c r="AL45" i="295"/>
  <c r="AL44" i="295"/>
  <c r="AK36" i="295"/>
  <c r="AL36" i="295"/>
  <c r="AJ36" i="295"/>
  <c r="AK35" i="295"/>
  <c r="AJ35" i="295"/>
  <c r="AL35" i="295"/>
  <c r="AK34" i="295"/>
  <c r="AJ34" i="295"/>
  <c r="AL34" i="295"/>
  <c r="AK33" i="295"/>
  <c r="AL33" i="295"/>
  <c r="AJ33" i="295"/>
  <c r="AK32" i="295"/>
  <c r="AL32" i="295"/>
  <c r="AJ32" i="295"/>
  <c r="AK31" i="295"/>
  <c r="AJ31" i="295"/>
  <c r="AK29" i="295"/>
  <c r="AJ29" i="295"/>
  <c r="AL29" i="295"/>
  <c r="AL28" i="295"/>
  <c r="AL27" i="295"/>
  <c r="AL26" i="295"/>
  <c r="AK24" i="295"/>
  <c r="AJ24" i="295"/>
  <c r="AL23" i="295"/>
  <c r="AL22" i="295"/>
  <c r="AL21" i="295"/>
  <c r="AK19" i="295"/>
  <c r="AJ19" i="295"/>
  <c r="AL18" i="295"/>
  <c r="AL17" i="295"/>
  <c r="AL16" i="295"/>
  <c r="AK14" i="295"/>
  <c r="AJ14" i="295"/>
  <c r="AL13" i="295"/>
  <c r="AL12" i="295"/>
  <c r="AL11" i="295"/>
  <c r="AK9" i="295"/>
  <c r="AJ9" i="295"/>
  <c r="AL8" i="295"/>
  <c r="AL7" i="295"/>
  <c r="AL6" i="295"/>
  <c r="BD101" i="337"/>
  <c r="BF7" i="337"/>
  <c r="BD9" i="337"/>
  <c r="BE14" i="337"/>
  <c r="BF28" i="337"/>
  <c r="BE19" i="337"/>
  <c r="BF49" i="337"/>
  <c r="BD66" i="337"/>
  <c r="BD19" i="337"/>
  <c r="BF16" i="337"/>
  <c r="BC29" i="337"/>
  <c r="AL103" i="295"/>
  <c r="AL85" i="295"/>
  <c r="AL102" i="295"/>
  <c r="AL71" i="295"/>
  <c r="AL57" i="295"/>
  <c r="AL74" i="295"/>
  <c r="AL52" i="295"/>
  <c r="AL69" i="295"/>
  <c r="AL24" i="295"/>
  <c r="AL19" i="295"/>
  <c r="AL14" i="295"/>
  <c r="AL31" i="295"/>
  <c r="P29" i="292"/>
  <c r="P29" i="291"/>
  <c r="P24" i="291"/>
  <c r="P25" i="291"/>
  <c r="P26" i="291"/>
  <c r="P27" i="291"/>
  <c r="P28" i="291"/>
  <c r="P16" i="291"/>
  <c r="P30" i="292"/>
  <c r="P31" i="292"/>
  <c r="BD40" i="263"/>
  <c r="BF40" i="263"/>
  <c r="BF68" i="273"/>
  <c r="BG68" i="273"/>
  <c r="BE68" i="273"/>
  <c r="BH52" i="273"/>
  <c r="BD33" i="263"/>
  <c r="BE33" i="263"/>
  <c r="BC33" i="263"/>
  <c r="BE146" i="273"/>
  <c r="BF146" i="273"/>
  <c r="BG146" i="273"/>
  <c r="BH145" i="273"/>
  <c r="BE67" i="263"/>
  <c r="BD67" i="263"/>
  <c r="BC67" i="263"/>
  <c r="BE66" i="263"/>
  <c r="BE68" i="263"/>
  <c r="BD66" i="263"/>
  <c r="BC66" i="263"/>
  <c r="BE63" i="263"/>
  <c r="BD63" i="263"/>
  <c r="BC63" i="263"/>
  <c r="BE62" i="263"/>
  <c r="BD62" i="263"/>
  <c r="BC62" i="263"/>
  <c r="BE61" i="263"/>
  <c r="BE64" i="263"/>
  <c r="BD61" i="263"/>
  <c r="BC61" i="263"/>
  <c r="BE59" i="263"/>
  <c r="BD59" i="263"/>
  <c r="BC59" i="263"/>
  <c r="BE58" i="263"/>
  <c r="BD58" i="263"/>
  <c r="BC58" i="263"/>
  <c r="BC60" i="263"/>
  <c r="BE57" i="263"/>
  <c r="BD57" i="263"/>
  <c r="BC57" i="263"/>
  <c r="BE50" i="263"/>
  <c r="BD50" i="263"/>
  <c r="BC50" i="263"/>
  <c r="BC51" i="263"/>
  <c r="BE49" i="263"/>
  <c r="BD49" i="263"/>
  <c r="BC49" i="263"/>
  <c r="BD48" i="263"/>
  <c r="BC48" i="263"/>
  <c r="BE46" i="263"/>
  <c r="BD46" i="263"/>
  <c r="BC46" i="263"/>
  <c r="BE45" i="263"/>
  <c r="BD45" i="263"/>
  <c r="BD53" i="263"/>
  <c r="BC45" i="263"/>
  <c r="BE44" i="263"/>
  <c r="BD44" i="263"/>
  <c r="BC44" i="263"/>
  <c r="BE42" i="263"/>
  <c r="BD42" i="263"/>
  <c r="BC42" i="263"/>
  <c r="BE41" i="263"/>
  <c r="BD41" i="263"/>
  <c r="BC41" i="263"/>
  <c r="BE32" i="263"/>
  <c r="BD32" i="263"/>
  <c r="BC32" i="263"/>
  <c r="BE31" i="263"/>
  <c r="BE35" i="263"/>
  <c r="BD31" i="263"/>
  <c r="BD35" i="263"/>
  <c r="BC31" i="263"/>
  <c r="BC35" i="263"/>
  <c r="BE28" i="263"/>
  <c r="BE30" i="263"/>
  <c r="BD28" i="263"/>
  <c r="BD30" i="263"/>
  <c r="BC28" i="263"/>
  <c r="BC30" i="263"/>
  <c r="BE25" i="263"/>
  <c r="BD25" i="263"/>
  <c r="BC25" i="263"/>
  <c r="BC26" i="263"/>
  <c r="BE24" i="263"/>
  <c r="BD24" i="263"/>
  <c r="BD26" i="263"/>
  <c r="BC24" i="263"/>
  <c r="BE16" i="263"/>
  <c r="BD16" i="263"/>
  <c r="BC16" i="263"/>
  <c r="BE15" i="263"/>
  <c r="BD15" i="263"/>
  <c r="BD17" i="263"/>
  <c r="BC15" i="263"/>
  <c r="BE14" i="263"/>
  <c r="BD14" i="263"/>
  <c r="BC14" i="263"/>
  <c r="BE12" i="263"/>
  <c r="BD12" i="263"/>
  <c r="BC12" i="263"/>
  <c r="BE11" i="263"/>
  <c r="BE13" i="263"/>
  <c r="BD11" i="263"/>
  <c r="BC11" i="263"/>
  <c r="BC13" i="263"/>
  <c r="BE10" i="263"/>
  <c r="BD10" i="263"/>
  <c r="BD18" i="263"/>
  <c r="BC10" i="263"/>
  <c r="BE8" i="263"/>
  <c r="BD8" i="263"/>
  <c r="BC8" i="263"/>
  <c r="BC9" i="263"/>
  <c r="BE7" i="263"/>
  <c r="BD7" i="263"/>
  <c r="BD9" i="263"/>
  <c r="BC7" i="263"/>
  <c r="BF147" i="273"/>
  <c r="BH144" i="273"/>
  <c r="BH143" i="273"/>
  <c r="BH142" i="273"/>
  <c r="BG141" i="273"/>
  <c r="BF141" i="273"/>
  <c r="BE141" i="273"/>
  <c r="BH140" i="273"/>
  <c r="BH141" i="273"/>
  <c r="BG139" i="273"/>
  <c r="BF139" i="273"/>
  <c r="BE139" i="273"/>
  <c r="BH138" i="273"/>
  <c r="BH137" i="273"/>
  <c r="BG135" i="273"/>
  <c r="BG136" i="273"/>
  <c r="BF135" i="273"/>
  <c r="BE135" i="273"/>
  <c r="BH134" i="273"/>
  <c r="BH133" i="273"/>
  <c r="BH132" i="273"/>
  <c r="BH131" i="273"/>
  <c r="BG130" i="273"/>
  <c r="BF130" i="273"/>
  <c r="BE130" i="273"/>
  <c r="BH129" i="273"/>
  <c r="BH128" i="273"/>
  <c r="BH127" i="273"/>
  <c r="BH126" i="273"/>
  <c r="BH125" i="273"/>
  <c r="BH124" i="273"/>
  <c r="BH123" i="273"/>
  <c r="BH122" i="273"/>
  <c r="BH121" i="273"/>
  <c r="BH119" i="273"/>
  <c r="BH118" i="273"/>
  <c r="BH117" i="273"/>
  <c r="BH116" i="273"/>
  <c r="BG115" i="273"/>
  <c r="BF115" i="273"/>
  <c r="BE115" i="273"/>
  <c r="BH112" i="273"/>
  <c r="BH111" i="273"/>
  <c r="BH110" i="273"/>
  <c r="BH107" i="273"/>
  <c r="BH106" i="273"/>
  <c r="BH105" i="273"/>
  <c r="BH104" i="273"/>
  <c r="BH103" i="273"/>
  <c r="BH102" i="273"/>
  <c r="BH101" i="273"/>
  <c r="BH100" i="273"/>
  <c r="BH99" i="273"/>
  <c r="BH98" i="273"/>
  <c r="BH97" i="273"/>
  <c r="BG95" i="273"/>
  <c r="BG96" i="273"/>
  <c r="BF95" i="273"/>
  <c r="BE95" i="273"/>
  <c r="BH94" i="273"/>
  <c r="BH93" i="273"/>
  <c r="BH92" i="273"/>
  <c r="BH91" i="273"/>
  <c r="BH90" i="273"/>
  <c r="BH89" i="273"/>
  <c r="BH88" i="273"/>
  <c r="BH86" i="273"/>
  <c r="BH85" i="273"/>
  <c r="BG84" i="273"/>
  <c r="BF84" i="273"/>
  <c r="BE84" i="273"/>
  <c r="BH81" i="273"/>
  <c r="BH80" i="273"/>
  <c r="BH79" i="273"/>
  <c r="BH78" i="273"/>
  <c r="BH77" i="273"/>
  <c r="BH74" i="273"/>
  <c r="BH73" i="273"/>
  <c r="BH72" i="273"/>
  <c r="BH71" i="273"/>
  <c r="BH70" i="273"/>
  <c r="BH84" i="273"/>
  <c r="BH69" i="273"/>
  <c r="BH67" i="273"/>
  <c r="BH66" i="273"/>
  <c r="BH65" i="273"/>
  <c r="BH64" i="273"/>
  <c r="BH63" i="273"/>
  <c r="BH62" i="273"/>
  <c r="BH61" i="273"/>
  <c r="BH60" i="273"/>
  <c r="BH59" i="273"/>
  <c r="BH58" i="273"/>
  <c r="BH57" i="273"/>
  <c r="BH56" i="273"/>
  <c r="BH55" i="273"/>
  <c r="BH54" i="273"/>
  <c r="BH53" i="273"/>
  <c r="BG50" i="273"/>
  <c r="BF50" i="273"/>
  <c r="BE50" i="273"/>
  <c r="BH48" i="273"/>
  <c r="BH46" i="273"/>
  <c r="BH44" i="273"/>
  <c r="BH43" i="273"/>
  <c r="BH42" i="273"/>
  <c r="BH41" i="273"/>
  <c r="BH40" i="273"/>
  <c r="BH39" i="273"/>
  <c r="BH38" i="273"/>
  <c r="BH37" i="273"/>
  <c r="BH36" i="273"/>
  <c r="BH35" i="273"/>
  <c r="BH33" i="273"/>
  <c r="BG32" i="273"/>
  <c r="BG51" i="273"/>
  <c r="BF32" i="273"/>
  <c r="BE32" i="273"/>
  <c r="BH30" i="273"/>
  <c r="BH29" i="273"/>
  <c r="BH28" i="273"/>
  <c r="BH25" i="273"/>
  <c r="BH24" i="273"/>
  <c r="BH23" i="273"/>
  <c r="BH22" i="273"/>
  <c r="BH21" i="273"/>
  <c r="BH20" i="273"/>
  <c r="BH19" i="273"/>
  <c r="BH18" i="273"/>
  <c r="BH17" i="273"/>
  <c r="BH16" i="273"/>
  <c r="BG15" i="273"/>
  <c r="BF15" i="273"/>
  <c r="BE15" i="273"/>
  <c r="BH14" i="273"/>
  <c r="BH13" i="273"/>
  <c r="BH12" i="273"/>
  <c r="BH11" i="273"/>
  <c r="BH10" i="273"/>
  <c r="BH9" i="273"/>
  <c r="BH8" i="273"/>
  <c r="BH7" i="273"/>
  <c r="BH6" i="273"/>
  <c r="BH5" i="273"/>
  <c r="BE52" i="263"/>
  <c r="BF48" i="263"/>
  <c r="BD54" i="263"/>
  <c r="BF57" i="263"/>
  <c r="BC53" i="263"/>
  <c r="BD69" i="263"/>
  <c r="BC36" i="263"/>
  <c r="BD37" i="263"/>
  <c r="BE60" i="263"/>
  <c r="BC69" i="263"/>
  <c r="BG147" i="273"/>
  <c r="BH139" i="273"/>
  <c r="BE96" i="273"/>
  <c r="BE51" i="273"/>
  <c r="BT48" i="277"/>
  <c r="BT40" i="277"/>
  <c r="BU33" i="277"/>
  <c r="BU32" i="277"/>
  <c r="BU31" i="277"/>
  <c r="BU35" i="277"/>
  <c r="BU67" i="277"/>
  <c r="BT67" i="277"/>
  <c r="BS67" i="277"/>
  <c r="BS68" i="277" s="1"/>
  <c r="BU66" i="277"/>
  <c r="BU68" i="277" s="1"/>
  <c r="BT66" i="277"/>
  <c r="BS66" i="277"/>
  <c r="BU63" i="277"/>
  <c r="BT63" i="277"/>
  <c r="BS63" i="277"/>
  <c r="BU62" i="277"/>
  <c r="BT62" i="277"/>
  <c r="BS62" i="277"/>
  <c r="BU61" i="277"/>
  <c r="BT61" i="277"/>
  <c r="BS61" i="277"/>
  <c r="BU59" i="277"/>
  <c r="BT59" i="277"/>
  <c r="BT60" i="277" s="1"/>
  <c r="BS59" i="277"/>
  <c r="BU58" i="277"/>
  <c r="BT58" i="277"/>
  <c r="BS58" i="277"/>
  <c r="BU57" i="277"/>
  <c r="BU60" i="277" s="1"/>
  <c r="BT57" i="277"/>
  <c r="BT69" i="277"/>
  <c r="BS57" i="277"/>
  <c r="BU50" i="277"/>
  <c r="BT50" i="277"/>
  <c r="BS50" i="277"/>
  <c r="BU49" i="277"/>
  <c r="BT49" i="277"/>
  <c r="BS49" i="277"/>
  <c r="BU48" i="277"/>
  <c r="BS48" i="277"/>
  <c r="BS51" i="277" s="1"/>
  <c r="BU46" i="277"/>
  <c r="BT46" i="277"/>
  <c r="BS46" i="277"/>
  <c r="BU45" i="277"/>
  <c r="BT45" i="277"/>
  <c r="BS45" i="277"/>
  <c r="BU44" i="277"/>
  <c r="BT44" i="277"/>
  <c r="BS44" i="277"/>
  <c r="BU42" i="277"/>
  <c r="BU54" i="277" s="1"/>
  <c r="BT42" i="277"/>
  <c r="BS42" i="277"/>
  <c r="BU41" i="277"/>
  <c r="BU43" i="277" s="1"/>
  <c r="BT41" i="277"/>
  <c r="BS41" i="277"/>
  <c r="BS53" i="277"/>
  <c r="BT33" i="277"/>
  <c r="BS33" i="277"/>
  <c r="BT32" i="277"/>
  <c r="BS32" i="277"/>
  <c r="BT31" i="277"/>
  <c r="BT35" i="277"/>
  <c r="BS31" i="277"/>
  <c r="BU28" i="277"/>
  <c r="BU30" i="277" s="1"/>
  <c r="BT28" i="277"/>
  <c r="BT30" i="277" s="1"/>
  <c r="BS28" i="277"/>
  <c r="BU25" i="277"/>
  <c r="BT25" i="277"/>
  <c r="BS25" i="277"/>
  <c r="BU24" i="277"/>
  <c r="BT24" i="277"/>
  <c r="BS24" i="277"/>
  <c r="BV23" i="277"/>
  <c r="BU16" i="277"/>
  <c r="BU20" i="277" s="1"/>
  <c r="BT16" i="277"/>
  <c r="BS16" i="277"/>
  <c r="BU15" i="277"/>
  <c r="BT15" i="277"/>
  <c r="BS15" i="277"/>
  <c r="BU14" i="277"/>
  <c r="BT14" i="277"/>
  <c r="BS14" i="277"/>
  <c r="BU12" i="277"/>
  <c r="BT12" i="277"/>
  <c r="BS12" i="277"/>
  <c r="BU11" i="277"/>
  <c r="BT11" i="277"/>
  <c r="BS11" i="277"/>
  <c r="BU10" i="277"/>
  <c r="BT10" i="277"/>
  <c r="BS10" i="277"/>
  <c r="BS13" i="277" s="1"/>
  <c r="BU8" i="277"/>
  <c r="BT8" i="277"/>
  <c r="BS8" i="277"/>
  <c r="BU7" i="277"/>
  <c r="BT7" i="277"/>
  <c r="BS7" i="277"/>
  <c r="BS9" i="277" s="1"/>
  <c r="BU6" i="277"/>
  <c r="BT6" i="277"/>
  <c r="BS6" i="277"/>
  <c r="BS47" i="277"/>
  <c r="BT26" i="277"/>
  <c r="BU15" i="276"/>
  <c r="BX108" i="276"/>
  <c r="BX63" i="276"/>
  <c r="BX98" i="276"/>
  <c r="BV141" i="276"/>
  <c r="BW141" i="276"/>
  <c r="BU141" i="276"/>
  <c r="BU79" i="276"/>
  <c r="BW79" i="276"/>
  <c r="BV79" i="276"/>
  <c r="BX78" i="276"/>
  <c r="BW61" i="276"/>
  <c r="BX60" i="276"/>
  <c r="AR40" i="284"/>
  <c r="AS79" i="283"/>
  <c r="AT79" i="283"/>
  <c r="AR79" i="283"/>
  <c r="AQ33" i="284"/>
  <c r="AR33" i="284"/>
  <c r="AP33" i="284"/>
  <c r="AR61" i="283"/>
  <c r="AS61" i="283"/>
  <c r="AT61" i="283"/>
  <c r="AR32" i="284"/>
  <c r="AQ32" i="284"/>
  <c r="AQ36" i="284"/>
  <c r="AP32" i="284"/>
  <c r="AR31" i="284"/>
  <c r="AQ31" i="284"/>
  <c r="AQ35" i="284"/>
  <c r="AP31" i="284"/>
  <c r="AR28" i="284"/>
  <c r="AR30" i="284"/>
  <c r="AQ28" i="284"/>
  <c r="AP28" i="284"/>
  <c r="AP30" i="284"/>
  <c r="AR25" i="284"/>
  <c r="AQ25" i="284"/>
  <c r="AP25" i="284"/>
  <c r="AR24" i="284"/>
  <c r="AR36" i="284"/>
  <c r="AQ24" i="284"/>
  <c r="AP24" i="284"/>
  <c r="AQ14" i="284"/>
  <c r="AR14" i="284"/>
  <c r="AQ15" i="284"/>
  <c r="AR15" i="284"/>
  <c r="AQ16" i="284"/>
  <c r="AR16" i="284"/>
  <c r="AP16" i="284"/>
  <c r="AP15" i="284"/>
  <c r="AP14" i="284"/>
  <c r="AR12" i="284"/>
  <c r="AQ12" i="284"/>
  <c r="AP12" i="284"/>
  <c r="AR11" i="284"/>
  <c r="AQ11" i="284"/>
  <c r="AP11" i="284"/>
  <c r="AR10" i="284"/>
  <c r="AQ10" i="284"/>
  <c r="AP10" i="284"/>
  <c r="AP18" i="284"/>
  <c r="AR8" i="284"/>
  <c r="AQ8" i="284"/>
  <c r="AP8" i="284"/>
  <c r="AR7" i="284"/>
  <c r="AR19" i="284"/>
  <c r="AQ7" i="284"/>
  <c r="AP7" i="284"/>
  <c r="AQ37" i="284"/>
  <c r="Q5" i="268"/>
  <c r="Q158" i="268" s="1"/>
  <c r="Q6" i="268"/>
  <c r="Q159" i="268" s="1"/>
  <c r="Q10" i="268"/>
  <c r="P14" i="268"/>
  <c r="Q167" i="268" s="1"/>
  <c r="Q9" i="268"/>
  <c r="Q162" i="268" s="1"/>
  <c r="Q11" i="268"/>
  <c r="Q164" i="268" s="1"/>
  <c r="P13" i="268"/>
  <c r="Q15" i="268"/>
  <c r="Q168" i="268" s="1"/>
  <c r="Q200" i="268"/>
  <c r="Q48" i="268"/>
  <c r="Q49" i="268"/>
  <c r="Q202" i="268" s="1"/>
  <c r="Q24" i="268"/>
  <c r="Q28" i="268"/>
  <c r="Q181" i="268" s="1"/>
  <c r="Q32" i="268"/>
  <c r="Q185" i="268" s="1"/>
  <c r="Q41" i="268"/>
  <c r="Q194" i="268" s="1"/>
  <c r="Q45" i="268"/>
  <c r="Q58" i="268"/>
  <c r="Q211" i="268" s="1"/>
  <c r="Q66" i="268"/>
  <c r="Q22" i="268"/>
  <c r="Q175" i="268" s="1"/>
  <c r="Q23" i="268"/>
  <c r="Q176" i="268" s="1"/>
  <c r="Q26" i="268"/>
  <c r="Q30" i="268"/>
  <c r="Q183" i="268" s="1"/>
  <c r="Q31" i="268"/>
  <c r="Q184" i="268" s="1"/>
  <c r="Q39" i="268"/>
  <c r="Q192" i="268" s="1"/>
  <c r="Q43" i="268"/>
  <c r="Q196" i="268" s="1"/>
  <c r="Q44" i="268"/>
  <c r="Q197" i="268" s="1"/>
  <c r="Q209" i="268"/>
  <c r="Q57" i="268"/>
  <c r="Q210" i="268" s="1"/>
  <c r="Q61" i="268"/>
  <c r="Q214" i="268" s="1"/>
  <c r="Q216" i="268" s="1"/>
  <c r="Q64" i="268"/>
  <c r="Q65" i="268"/>
  <c r="R150" i="267"/>
  <c r="R69" i="267"/>
  <c r="Q13" i="268"/>
  <c r="R166" i="268" s="1"/>
  <c r="Q7" i="268"/>
  <c r="Q14" i="268"/>
  <c r="R167" i="268" s="1"/>
  <c r="Q27" i="268"/>
  <c r="Q40" i="268"/>
  <c r="Q193" i="268" s="1"/>
  <c r="R145" i="267"/>
  <c r="R143" i="267"/>
  <c r="R139" i="267"/>
  <c r="R140" i="267"/>
  <c r="R134" i="267"/>
  <c r="R119" i="267"/>
  <c r="R98" i="267"/>
  <c r="R87" i="267"/>
  <c r="R51" i="267"/>
  <c r="R33" i="267"/>
  <c r="R16" i="267"/>
  <c r="Q76" i="201"/>
  <c r="Q80" i="201"/>
  <c r="Q33" i="201"/>
  <c r="Q29" i="201"/>
  <c r="Q96" i="201"/>
  <c r="Q87" i="201"/>
  <c r="Q50" i="201"/>
  <c r="Q62" i="201"/>
  <c r="Q19" i="201"/>
  <c r="Q14" i="201"/>
  <c r="Q101" i="201"/>
  <c r="Q69" i="201"/>
  <c r="Q38" i="201"/>
  <c r="Q23" i="201"/>
  <c r="R52" i="267"/>
  <c r="R151" i="267"/>
  <c r="Q70" i="201"/>
  <c r="AR16" i="194"/>
  <c r="AS51" i="193"/>
  <c r="AR51" i="193"/>
  <c r="AQ51" i="193"/>
  <c r="AA6" i="304"/>
  <c r="AQ16" i="241"/>
  <c r="AS26" i="240"/>
  <c r="AS27" i="240"/>
  <c r="AS28" i="240"/>
  <c r="AS29" i="240"/>
  <c r="AS30" i="240"/>
  <c r="AS31" i="240"/>
  <c r="AS32" i="240"/>
  <c r="AS33" i="240"/>
  <c r="AS34" i="240"/>
  <c r="AS35" i="240"/>
  <c r="AR36" i="240"/>
  <c r="AR99" i="240"/>
  <c r="AR96" i="240"/>
  <c r="AR87" i="240"/>
  <c r="AR83" i="240"/>
  <c r="AR72" i="240"/>
  <c r="AR63" i="240"/>
  <c r="AR48" i="240"/>
  <c r="AQ36" i="240"/>
  <c r="AR20" i="240"/>
  <c r="AR25" i="240"/>
  <c r="AR15" i="240"/>
  <c r="D66" i="284"/>
  <c r="E66" i="284"/>
  <c r="F66" i="284"/>
  <c r="G66" i="284"/>
  <c r="H66" i="284"/>
  <c r="I66" i="284"/>
  <c r="J66" i="284"/>
  <c r="K66" i="284"/>
  <c r="L66" i="284"/>
  <c r="M66" i="284"/>
  <c r="N66" i="284"/>
  <c r="O66" i="284"/>
  <c r="P66" i="284"/>
  <c r="Q66" i="284"/>
  <c r="R66" i="284"/>
  <c r="S66" i="284"/>
  <c r="T66" i="284"/>
  <c r="U66" i="284"/>
  <c r="V66" i="284"/>
  <c r="W66" i="284"/>
  <c r="X66" i="284"/>
  <c r="Y66" i="284"/>
  <c r="Z66" i="284"/>
  <c r="AA66" i="284"/>
  <c r="AB66" i="284"/>
  <c r="AC66" i="284"/>
  <c r="AD66" i="284"/>
  <c r="AE66" i="284"/>
  <c r="AF66" i="284"/>
  <c r="AF67" i="284"/>
  <c r="AG66" i="284"/>
  <c r="AH66" i="284"/>
  <c r="AI66" i="284"/>
  <c r="AJ66" i="284"/>
  <c r="AJ67" i="284"/>
  <c r="AK66" i="284"/>
  <c r="AL66" i="284"/>
  <c r="AM66" i="284"/>
  <c r="AN66" i="284"/>
  <c r="AN67" i="284"/>
  <c r="AO66" i="284"/>
  <c r="AP66" i="284"/>
  <c r="AQ66" i="284"/>
  <c r="AR66" i="284"/>
  <c r="D67" i="284"/>
  <c r="E67" i="284"/>
  <c r="F67" i="284"/>
  <c r="G67" i="284"/>
  <c r="H67" i="284"/>
  <c r="I67" i="284"/>
  <c r="J67" i="284"/>
  <c r="K67" i="284"/>
  <c r="L67" i="284"/>
  <c r="M67" i="284"/>
  <c r="N67" i="284"/>
  <c r="O67" i="284"/>
  <c r="P67" i="284"/>
  <c r="Q67" i="284"/>
  <c r="R67" i="284"/>
  <c r="S67" i="284"/>
  <c r="T67" i="284"/>
  <c r="U67" i="284"/>
  <c r="V67" i="284"/>
  <c r="W67" i="284"/>
  <c r="X67" i="284"/>
  <c r="Y67" i="284"/>
  <c r="Z67" i="284"/>
  <c r="AA67" i="284"/>
  <c r="AB67" i="284"/>
  <c r="AC67" i="284"/>
  <c r="AD67" i="284"/>
  <c r="AE67" i="284"/>
  <c r="AG67" i="284"/>
  <c r="AG68" i="284"/>
  <c r="AH67" i="284"/>
  <c r="AI67" i="284"/>
  <c r="AK67" i="284"/>
  <c r="AL67" i="284"/>
  <c r="AM67" i="284"/>
  <c r="AO67" i="284"/>
  <c r="AP67" i="284"/>
  <c r="AP68" i="284"/>
  <c r="AQ67" i="284"/>
  <c r="AR67" i="284"/>
  <c r="C67" i="284"/>
  <c r="C66" i="284"/>
  <c r="D61" i="284"/>
  <c r="E61" i="284"/>
  <c r="F61" i="284"/>
  <c r="G61" i="284"/>
  <c r="H61" i="284"/>
  <c r="I61" i="284"/>
  <c r="J61" i="284"/>
  <c r="K61" i="284"/>
  <c r="L61" i="284"/>
  <c r="M61" i="284"/>
  <c r="N61" i="284"/>
  <c r="O61" i="284"/>
  <c r="P61" i="284"/>
  <c r="Q61" i="284"/>
  <c r="R61" i="284"/>
  <c r="S61" i="284"/>
  <c r="T61" i="284"/>
  <c r="U61" i="284"/>
  <c r="V61" i="284"/>
  <c r="W61" i="284"/>
  <c r="X61" i="284"/>
  <c r="Y61" i="284"/>
  <c r="Z61" i="284"/>
  <c r="AA61" i="284"/>
  <c r="AB61" i="284"/>
  <c r="AC61" i="284"/>
  <c r="AD61" i="284"/>
  <c r="AE61" i="284"/>
  <c r="AF61" i="284"/>
  <c r="AF57" i="284"/>
  <c r="AG61" i="284"/>
  <c r="AH61" i="284"/>
  <c r="AI61" i="284"/>
  <c r="AJ61" i="284"/>
  <c r="AJ57" i="284"/>
  <c r="AK61" i="284"/>
  <c r="AL61" i="284"/>
  <c r="AM61" i="284"/>
  <c r="AN61" i="284"/>
  <c r="AN57" i="284"/>
  <c r="AO61" i="284"/>
  <c r="AP61" i="284"/>
  <c r="AQ61" i="284"/>
  <c r="AR61" i="284"/>
  <c r="AR57" i="284"/>
  <c r="D62" i="284"/>
  <c r="E62" i="284"/>
  <c r="F62" i="284"/>
  <c r="G62" i="284"/>
  <c r="H62" i="284"/>
  <c r="I62" i="284"/>
  <c r="J62" i="284"/>
  <c r="K62" i="284"/>
  <c r="L62" i="284"/>
  <c r="M62" i="284"/>
  <c r="N62" i="284"/>
  <c r="O62" i="284"/>
  <c r="P62" i="284"/>
  <c r="Q62" i="284"/>
  <c r="R62" i="284"/>
  <c r="S62" i="284"/>
  <c r="T62" i="284"/>
  <c r="U62" i="284"/>
  <c r="V62" i="284"/>
  <c r="W62" i="284"/>
  <c r="X62" i="284"/>
  <c r="Y62" i="284"/>
  <c r="Z62" i="284"/>
  <c r="AA62" i="284"/>
  <c r="AB62" i="284"/>
  <c r="AC62" i="284"/>
  <c r="AD62" i="284"/>
  <c r="AE62" i="284"/>
  <c r="AE58" i="284"/>
  <c r="AF62" i="284"/>
  <c r="AG62" i="284"/>
  <c r="AH62" i="284"/>
  <c r="AI62" i="284"/>
  <c r="AI58" i="284"/>
  <c r="AJ62" i="284"/>
  <c r="AK62" i="284"/>
  <c r="AL62" i="284"/>
  <c r="AM62" i="284"/>
  <c r="AM58" i="284"/>
  <c r="AN62" i="284"/>
  <c r="AO62" i="284"/>
  <c r="AP62" i="284"/>
  <c r="AQ62" i="284"/>
  <c r="AR62" i="284"/>
  <c r="D63" i="284"/>
  <c r="E63" i="284"/>
  <c r="F63" i="284"/>
  <c r="G63" i="284"/>
  <c r="H63" i="284"/>
  <c r="I63" i="284"/>
  <c r="J63" i="284"/>
  <c r="K63" i="284"/>
  <c r="L63" i="284"/>
  <c r="M63" i="284"/>
  <c r="N63" i="284"/>
  <c r="O63" i="284"/>
  <c r="P63" i="284"/>
  <c r="Q63" i="284"/>
  <c r="R63" i="284"/>
  <c r="S63" i="284"/>
  <c r="T63" i="284"/>
  <c r="U63" i="284"/>
  <c r="V63" i="284"/>
  <c r="W63" i="284"/>
  <c r="X63" i="284"/>
  <c r="Y63" i="284"/>
  <c r="Y64" i="284"/>
  <c r="Z63" i="284"/>
  <c r="AA63" i="284"/>
  <c r="AB63" i="284"/>
  <c r="AC63" i="284"/>
  <c r="AD63" i="284"/>
  <c r="AD59" i="284"/>
  <c r="AE63" i="284"/>
  <c r="AF63" i="284"/>
  <c r="AG63" i="284"/>
  <c r="AG64" i="284"/>
  <c r="AH63" i="284"/>
  <c r="AH59" i="284"/>
  <c r="AH71" i="284"/>
  <c r="AI63" i="284"/>
  <c r="AJ63" i="284"/>
  <c r="AK63" i="284"/>
  <c r="AK64" i="284"/>
  <c r="AL63" i="284"/>
  <c r="AL59" i="284"/>
  <c r="AM63" i="284"/>
  <c r="AN63" i="284"/>
  <c r="AO63" i="284"/>
  <c r="AP63" i="284"/>
  <c r="AP59" i="284"/>
  <c r="AQ63" i="284"/>
  <c r="AR63" i="284"/>
  <c r="C63" i="284"/>
  <c r="C62" i="284"/>
  <c r="C61" i="284"/>
  <c r="D57" i="284"/>
  <c r="D69" i="284"/>
  <c r="E57" i="284"/>
  <c r="F57" i="284"/>
  <c r="G57" i="284"/>
  <c r="H57" i="284"/>
  <c r="I57" i="284"/>
  <c r="I69" i="284"/>
  <c r="J57" i="284"/>
  <c r="K57" i="284"/>
  <c r="L57" i="284"/>
  <c r="L69" i="284"/>
  <c r="M57" i="284"/>
  <c r="N57" i="284"/>
  <c r="O57" i="284"/>
  <c r="P57" i="284"/>
  <c r="Q57" i="284"/>
  <c r="Q69" i="284"/>
  <c r="R57" i="284"/>
  <c r="S57" i="284"/>
  <c r="T57" i="284"/>
  <c r="U57" i="284"/>
  <c r="V57" i="284"/>
  <c r="W57" i="284"/>
  <c r="X57" i="284"/>
  <c r="Y57" i="284"/>
  <c r="Z57" i="284"/>
  <c r="AA57" i="284"/>
  <c r="AB57" i="284"/>
  <c r="AB69" i="284"/>
  <c r="AC57" i="284"/>
  <c r="AD57" i="284"/>
  <c r="AE57" i="284"/>
  <c r="AE69" i="284"/>
  <c r="AG57" i="284"/>
  <c r="AH57" i="284"/>
  <c r="AI57" i="284"/>
  <c r="AK57" i="284"/>
  <c r="AL57" i="284"/>
  <c r="AM57" i="284"/>
  <c r="AO57" i="284"/>
  <c r="AP57" i="284"/>
  <c r="AQ57" i="284"/>
  <c r="D58" i="284"/>
  <c r="E58" i="284"/>
  <c r="F58" i="284"/>
  <c r="G58" i="284"/>
  <c r="G70" i="284"/>
  <c r="H58" i="284"/>
  <c r="I58" i="284"/>
  <c r="J58" i="284"/>
  <c r="K58" i="284"/>
  <c r="L58" i="284"/>
  <c r="M58" i="284"/>
  <c r="N58" i="284"/>
  <c r="O58" i="284"/>
  <c r="O70" i="284"/>
  <c r="P58" i="284"/>
  <c r="Q58" i="284"/>
  <c r="R58" i="284"/>
  <c r="S58" i="284"/>
  <c r="T58" i="284"/>
  <c r="U58" i="284"/>
  <c r="V58" i="284"/>
  <c r="W58" i="284"/>
  <c r="W70" i="284"/>
  <c r="X58" i="284"/>
  <c r="Y58" i="284"/>
  <c r="Z58" i="284"/>
  <c r="AA58" i="284"/>
  <c r="AB58" i="284"/>
  <c r="AC58" i="284"/>
  <c r="AD58" i="284"/>
  <c r="AF58" i="284"/>
  <c r="AF60" i="284"/>
  <c r="AG58" i="284"/>
  <c r="AG70" i="284"/>
  <c r="AH58" i="284"/>
  <c r="AJ58" i="284"/>
  <c r="AK58" i="284"/>
  <c r="AL58" i="284"/>
  <c r="AN58" i="284"/>
  <c r="AO58" i="284"/>
  <c r="AP58" i="284"/>
  <c r="AQ58" i="284"/>
  <c r="AR58" i="284"/>
  <c r="D59" i="284"/>
  <c r="E59" i="284"/>
  <c r="F59" i="284"/>
  <c r="F71" i="284"/>
  <c r="G59" i="284"/>
  <c r="H59" i="284"/>
  <c r="I59" i="284"/>
  <c r="J59" i="284"/>
  <c r="K59" i="284"/>
  <c r="L59" i="284"/>
  <c r="M59" i="284"/>
  <c r="N59" i="284"/>
  <c r="N71" i="284"/>
  <c r="O59" i="284"/>
  <c r="P59" i="284"/>
  <c r="Q59" i="284"/>
  <c r="R59" i="284"/>
  <c r="S59" i="284"/>
  <c r="T59" i="284"/>
  <c r="U59" i="284"/>
  <c r="V59" i="284"/>
  <c r="V60" i="284"/>
  <c r="W59" i="284"/>
  <c r="X59" i="284"/>
  <c r="Y59" i="284"/>
  <c r="Z59" i="284"/>
  <c r="AA59" i="284"/>
  <c r="AB59" i="284"/>
  <c r="AC59" i="284"/>
  <c r="AE59" i="284"/>
  <c r="AE71" i="284"/>
  <c r="AF59" i="284"/>
  <c r="AG59" i="284"/>
  <c r="AI59" i="284"/>
  <c r="AJ59" i="284"/>
  <c r="AK59" i="284"/>
  <c r="AM59" i="284"/>
  <c r="AN59" i="284"/>
  <c r="AN71" i="284"/>
  <c r="AO59" i="284"/>
  <c r="AQ59" i="284"/>
  <c r="AR59" i="284"/>
  <c r="C59" i="284"/>
  <c r="C58" i="284"/>
  <c r="C57" i="284"/>
  <c r="D48" i="284"/>
  <c r="E48" i="284"/>
  <c r="F48" i="284"/>
  <c r="G48" i="284"/>
  <c r="H48" i="284"/>
  <c r="I48" i="284"/>
  <c r="J48" i="284"/>
  <c r="K48" i="284"/>
  <c r="L48" i="284"/>
  <c r="M48" i="284"/>
  <c r="N48" i="284"/>
  <c r="O48" i="284"/>
  <c r="P48" i="284"/>
  <c r="Q48" i="284"/>
  <c r="R48" i="284"/>
  <c r="S48" i="284"/>
  <c r="T48" i="284"/>
  <c r="U48" i="284"/>
  <c r="V48" i="284"/>
  <c r="W48" i="284"/>
  <c r="X48" i="284"/>
  <c r="Y48" i="284"/>
  <c r="Z48" i="284"/>
  <c r="AA48" i="284"/>
  <c r="AB48" i="284"/>
  <c r="AC48" i="284"/>
  <c r="AD48" i="284"/>
  <c r="AE48" i="284"/>
  <c r="AF48" i="284"/>
  <c r="AF44" i="284"/>
  <c r="AG48" i="284"/>
  <c r="AH48" i="284"/>
  <c r="AI48" i="284"/>
  <c r="AJ48" i="284"/>
  <c r="AJ44" i="284"/>
  <c r="AK48" i="284"/>
  <c r="AL48" i="284"/>
  <c r="AM48" i="284"/>
  <c r="AN48" i="284"/>
  <c r="AN44" i="284"/>
  <c r="AO48" i="284"/>
  <c r="AP48" i="284"/>
  <c r="AQ48" i="284"/>
  <c r="AR48" i="284"/>
  <c r="D49" i="284"/>
  <c r="E49" i="284"/>
  <c r="F49" i="284"/>
  <c r="G49" i="284"/>
  <c r="H49" i="284"/>
  <c r="I49" i="284"/>
  <c r="J49" i="284"/>
  <c r="K49" i="284"/>
  <c r="L49" i="284"/>
  <c r="M49" i="284"/>
  <c r="N49" i="284"/>
  <c r="O49" i="284"/>
  <c r="P49" i="284"/>
  <c r="Q49" i="284"/>
  <c r="R49" i="284"/>
  <c r="S49" i="284"/>
  <c r="T49" i="284"/>
  <c r="U49" i="284"/>
  <c r="V49" i="284"/>
  <c r="W49" i="284"/>
  <c r="X49" i="284"/>
  <c r="Y49" i="284"/>
  <c r="Z49" i="284"/>
  <c r="AA49" i="284"/>
  <c r="AB49" i="284"/>
  <c r="AC49" i="284"/>
  <c r="AD49" i="284"/>
  <c r="AE49" i="284"/>
  <c r="AF49" i="284"/>
  <c r="AG49" i="284"/>
  <c r="AH49" i="284"/>
  <c r="AI49" i="284"/>
  <c r="AJ49" i="284"/>
  <c r="AK49" i="284"/>
  <c r="AL49" i="284"/>
  <c r="AM49" i="284"/>
  <c r="AN49" i="284"/>
  <c r="AO49" i="284"/>
  <c r="AP49" i="284"/>
  <c r="AQ49" i="284"/>
  <c r="AQ50" i="284"/>
  <c r="AR49" i="284"/>
  <c r="D50" i="284"/>
  <c r="E50" i="284"/>
  <c r="F50" i="284"/>
  <c r="G50" i="284"/>
  <c r="H50" i="284"/>
  <c r="I50" i="284"/>
  <c r="J50" i="284"/>
  <c r="K50" i="284"/>
  <c r="L50" i="284"/>
  <c r="M50" i="284"/>
  <c r="N50" i="284"/>
  <c r="O50" i="284"/>
  <c r="P50" i="284"/>
  <c r="Q50" i="284"/>
  <c r="R50" i="284"/>
  <c r="S50" i="284"/>
  <c r="T50" i="284"/>
  <c r="U50" i="284"/>
  <c r="V50" i="284"/>
  <c r="W50" i="284"/>
  <c r="W51" i="284"/>
  <c r="X50" i="284"/>
  <c r="Y50" i="284"/>
  <c r="Z50" i="284"/>
  <c r="AA50" i="284"/>
  <c r="AA51" i="284"/>
  <c r="AB50" i="284"/>
  <c r="AC50" i="284"/>
  <c r="AD50" i="284"/>
  <c r="AE50" i="284"/>
  <c r="AE51" i="284"/>
  <c r="AF50" i="284"/>
  <c r="AG50" i="284"/>
  <c r="AH50" i="284"/>
  <c r="AI50" i="284"/>
  <c r="AJ50" i="284"/>
  <c r="AK50" i="284"/>
  <c r="AL50" i="284"/>
  <c r="AL51" i="284"/>
  <c r="AM50" i="284"/>
  <c r="AN50" i="284"/>
  <c r="AO50" i="284"/>
  <c r="AP50" i="284"/>
  <c r="AR50" i="284"/>
  <c r="C50" i="284"/>
  <c r="C49" i="284"/>
  <c r="C48" i="284"/>
  <c r="D44" i="284"/>
  <c r="E44" i="284"/>
  <c r="F44" i="284"/>
  <c r="G44" i="284"/>
  <c r="H44" i="284"/>
  <c r="H52" i="284"/>
  <c r="I44" i="284"/>
  <c r="J44" i="284"/>
  <c r="K44" i="284"/>
  <c r="L44" i="284"/>
  <c r="M44" i="284"/>
  <c r="N44" i="284"/>
  <c r="O44" i="284"/>
  <c r="P44" i="284"/>
  <c r="P52" i="284"/>
  <c r="Q44" i="284"/>
  <c r="R44" i="284"/>
  <c r="S44" i="284"/>
  <c r="T44" i="284"/>
  <c r="U44" i="284"/>
  <c r="V44" i="284"/>
  <c r="W44" i="284"/>
  <c r="X44" i="284"/>
  <c r="Y44" i="284"/>
  <c r="Z44" i="284"/>
  <c r="AA44" i="284"/>
  <c r="AB44" i="284"/>
  <c r="AC44" i="284"/>
  <c r="AD44" i="284"/>
  <c r="AE44" i="284"/>
  <c r="AG44" i="284"/>
  <c r="AH44" i="284"/>
  <c r="AH52" i="284"/>
  <c r="AI44" i="284"/>
  <c r="AK44" i="284"/>
  <c r="AL44" i="284"/>
  <c r="AL52" i="284"/>
  <c r="AM44" i="284"/>
  <c r="AO44" i="284"/>
  <c r="AP44" i="284"/>
  <c r="AQ44" i="284"/>
  <c r="AR44" i="284"/>
  <c r="D45" i="284"/>
  <c r="E45" i="284"/>
  <c r="F45" i="284"/>
  <c r="G45" i="284"/>
  <c r="H45" i="284"/>
  <c r="I45" i="284"/>
  <c r="J45" i="284"/>
  <c r="K45" i="284"/>
  <c r="L45" i="284"/>
  <c r="M45" i="284"/>
  <c r="N45" i="284"/>
  <c r="O45" i="284"/>
  <c r="P45" i="284"/>
  <c r="Q45" i="284"/>
  <c r="R45" i="284"/>
  <c r="S45" i="284"/>
  <c r="T45" i="284"/>
  <c r="U45" i="284"/>
  <c r="V45" i="284"/>
  <c r="W45" i="284"/>
  <c r="X45" i="284"/>
  <c r="Y45" i="284"/>
  <c r="Z45" i="284"/>
  <c r="AA45" i="284"/>
  <c r="AB45" i="284"/>
  <c r="AC45" i="284"/>
  <c r="AD45" i="284"/>
  <c r="AE45" i="284"/>
  <c r="AF45" i="284"/>
  <c r="AG45" i="284"/>
  <c r="AH45" i="284"/>
  <c r="AI45" i="284"/>
  <c r="AJ45" i="284"/>
  <c r="AK45" i="284"/>
  <c r="AL45" i="284"/>
  <c r="AM45" i="284"/>
  <c r="AN45" i="284"/>
  <c r="AO45" i="284"/>
  <c r="AP45" i="284"/>
  <c r="AQ45" i="284"/>
  <c r="AR45" i="284"/>
  <c r="D46" i="284"/>
  <c r="E46" i="284"/>
  <c r="F46" i="284"/>
  <c r="G46" i="284"/>
  <c r="H46" i="284"/>
  <c r="I46" i="284"/>
  <c r="J46" i="284"/>
  <c r="K46" i="284"/>
  <c r="L46" i="284"/>
  <c r="M46" i="284"/>
  <c r="N46" i="284"/>
  <c r="O46" i="284"/>
  <c r="P46" i="284"/>
  <c r="Q46" i="284"/>
  <c r="R46" i="284"/>
  <c r="S46" i="284"/>
  <c r="T46" i="284"/>
  <c r="U46" i="284"/>
  <c r="V46" i="284"/>
  <c r="W46" i="284"/>
  <c r="X46" i="284"/>
  <c r="Y46" i="284"/>
  <c r="Y47" i="284"/>
  <c r="Z46" i="284"/>
  <c r="AA46" i="284"/>
  <c r="AB46" i="284"/>
  <c r="AC46" i="284"/>
  <c r="AD46" i="284"/>
  <c r="AE46" i="284"/>
  <c r="AF46" i="284"/>
  <c r="AG46" i="284"/>
  <c r="AH46" i="284"/>
  <c r="AI46" i="284"/>
  <c r="AJ46" i="284"/>
  <c r="AK46" i="284"/>
  <c r="AL46" i="284"/>
  <c r="AM46" i="284"/>
  <c r="AN46" i="284"/>
  <c r="AO46" i="284"/>
  <c r="AP46" i="284"/>
  <c r="AQ46" i="284"/>
  <c r="AR46" i="284"/>
  <c r="AR47" i="284"/>
  <c r="C46" i="284"/>
  <c r="C45" i="284"/>
  <c r="C44" i="284"/>
  <c r="AQ40" i="284"/>
  <c r="D41" i="284"/>
  <c r="D53" i="284"/>
  <c r="E41" i="284"/>
  <c r="F41" i="284"/>
  <c r="G41" i="284"/>
  <c r="H41" i="284"/>
  <c r="I41" i="284"/>
  <c r="J41" i="284"/>
  <c r="K41" i="284"/>
  <c r="L41" i="284"/>
  <c r="L53" i="284"/>
  <c r="M41" i="284"/>
  <c r="N41" i="284"/>
  <c r="O41" i="284"/>
  <c r="P41" i="284"/>
  <c r="Q41" i="284"/>
  <c r="R41" i="284"/>
  <c r="S41" i="284"/>
  <c r="T41" i="284"/>
  <c r="U41" i="284"/>
  <c r="V41" i="284"/>
  <c r="W41" i="284"/>
  <c r="X41" i="284"/>
  <c r="Y41" i="284"/>
  <c r="Z41" i="284"/>
  <c r="AA41" i="284"/>
  <c r="AB41" i="284"/>
  <c r="AB53" i="284"/>
  <c r="AC41" i="284"/>
  <c r="AD41" i="284"/>
  <c r="AE41" i="284"/>
  <c r="AF41" i="284"/>
  <c r="AG41" i="284"/>
  <c r="AH41" i="284"/>
  <c r="AI41" i="284"/>
  <c r="AJ41" i="284"/>
  <c r="AJ53" i="284"/>
  <c r="AK41" i="284"/>
  <c r="AL41" i="284"/>
  <c r="AM41" i="284"/>
  <c r="AN41" i="284"/>
  <c r="AO41" i="284"/>
  <c r="AP41" i="284"/>
  <c r="AQ41" i="284"/>
  <c r="AQ53" i="284"/>
  <c r="AR41" i="284"/>
  <c r="D42" i="284"/>
  <c r="E42" i="284"/>
  <c r="F42" i="284"/>
  <c r="G42" i="284"/>
  <c r="G54" i="284"/>
  <c r="H42" i="284"/>
  <c r="I42" i="284"/>
  <c r="J42" i="284"/>
  <c r="K42" i="284"/>
  <c r="K54" i="284"/>
  <c r="L42" i="284"/>
  <c r="M42" i="284"/>
  <c r="N42" i="284"/>
  <c r="O42" i="284"/>
  <c r="O54" i="284"/>
  <c r="P42" i="284"/>
  <c r="Q42" i="284"/>
  <c r="R42" i="284"/>
  <c r="S42" i="284"/>
  <c r="T42" i="284"/>
  <c r="U42" i="284"/>
  <c r="V42" i="284"/>
  <c r="W42" i="284"/>
  <c r="W54" i="284"/>
  <c r="X42" i="284"/>
  <c r="Y42" i="284"/>
  <c r="Z42" i="284"/>
  <c r="AA42" i="284"/>
  <c r="AA43" i="284"/>
  <c r="AB42" i="284"/>
  <c r="AC42" i="284"/>
  <c r="AD42" i="284"/>
  <c r="AD43" i="284"/>
  <c r="AE42" i="284"/>
  <c r="AE54" i="284"/>
  <c r="AF42" i="284"/>
  <c r="AF54" i="284"/>
  <c r="AG42" i="284"/>
  <c r="AH42" i="284"/>
  <c r="AH54" i="284"/>
  <c r="AI42" i="284"/>
  <c r="AI54" i="284"/>
  <c r="AJ42" i="284"/>
  <c r="AK42" i="284"/>
  <c r="AL42" i="284"/>
  <c r="AM42" i="284"/>
  <c r="AN42" i="284"/>
  <c r="AO42" i="284"/>
  <c r="AP42" i="284"/>
  <c r="AP54" i="284"/>
  <c r="AQ42" i="284"/>
  <c r="AQ54" i="284"/>
  <c r="AR42" i="284"/>
  <c r="C42" i="284"/>
  <c r="C41" i="284"/>
  <c r="AG69" i="284"/>
  <c r="AK69" i="284"/>
  <c r="AO69" i="284"/>
  <c r="AH68" i="284"/>
  <c r="AL68" i="284"/>
  <c r="AM60" i="284"/>
  <c r="AD68" i="284"/>
  <c r="AG60" i="284"/>
  <c r="AK60" i="284"/>
  <c r="AQ69" i="284"/>
  <c r="AR71" i="284"/>
  <c r="AH43" i="284"/>
  <c r="AE64" i="284"/>
  <c r="AE52" i="284"/>
  <c r="AH51" i="284"/>
  <c r="AI64" i="284"/>
  <c r="AR64" i="284"/>
  <c r="AN54" i="284"/>
  <c r="AI47" i="284"/>
  <c r="AO43" i="284"/>
  <c r="AG43" i="284"/>
  <c r="AQ30" i="284"/>
  <c r="AP9" i="284"/>
  <c r="AT148" i="283"/>
  <c r="AS148" i="283"/>
  <c r="AR148" i="283"/>
  <c r="AQ148" i="283"/>
  <c r="AP148" i="283"/>
  <c r="AO148" i="283"/>
  <c r="AN148" i="283"/>
  <c r="AM148" i="283"/>
  <c r="AL148" i="283"/>
  <c r="AK148" i="283"/>
  <c r="AK149" i="283"/>
  <c r="AJ148" i="283"/>
  <c r="AI148" i="283"/>
  <c r="AH148" i="283"/>
  <c r="AG148" i="283"/>
  <c r="AF148" i="283"/>
  <c r="AE148" i="283"/>
  <c r="AD148" i="283"/>
  <c r="AC148" i="283"/>
  <c r="AB148" i="283"/>
  <c r="AA148" i="283"/>
  <c r="Z148" i="283"/>
  <c r="Y148" i="283"/>
  <c r="X148" i="283"/>
  <c r="W148" i="283"/>
  <c r="V148" i="283"/>
  <c r="U148" i="283"/>
  <c r="T148" i="283"/>
  <c r="S148" i="283"/>
  <c r="R148" i="283"/>
  <c r="Q148" i="283"/>
  <c r="P148" i="283"/>
  <c r="O148" i="283"/>
  <c r="N148" i="283"/>
  <c r="M148" i="283"/>
  <c r="M149" i="283"/>
  <c r="L148" i="283"/>
  <c r="K148" i="283"/>
  <c r="J148" i="283"/>
  <c r="I148" i="283"/>
  <c r="H148" i="283"/>
  <c r="G148" i="283"/>
  <c r="F148" i="283"/>
  <c r="E148" i="283"/>
  <c r="AT143" i="283"/>
  <c r="AS143" i="283"/>
  <c r="AS128" i="283"/>
  <c r="AR143" i="283"/>
  <c r="AQ143" i="283"/>
  <c r="AP143" i="283"/>
  <c r="AO143" i="283"/>
  <c r="AO149" i="283"/>
  <c r="AO128" i="283"/>
  <c r="AN143" i="283"/>
  <c r="AM143" i="283"/>
  <c r="AL143" i="283"/>
  <c r="AK143" i="283"/>
  <c r="AK128" i="283"/>
  <c r="AJ143" i="283"/>
  <c r="AI143" i="283"/>
  <c r="AH143" i="283"/>
  <c r="AG143" i="283"/>
  <c r="AG128" i="283"/>
  <c r="AF143" i="283"/>
  <c r="AE143" i="283"/>
  <c r="AD143" i="283"/>
  <c r="AC143" i="283"/>
  <c r="AC128" i="283"/>
  <c r="AB143" i="283"/>
  <c r="AA143" i="283"/>
  <c r="Z143" i="283"/>
  <c r="Y143" i="283"/>
  <c r="Y128" i="283"/>
  <c r="X143" i="283"/>
  <c r="W143" i="283"/>
  <c r="V143" i="283"/>
  <c r="U143" i="283"/>
  <c r="U128" i="283"/>
  <c r="U149" i="283"/>
  <c r="T143" i="283"/>
  <c r="S143" i="283"/>
  <c r="R143" i="283"/>
  <c r="Q143" i="283"/>
  <c r="Q128" i="283"/>
  <c r="P143" i="283"/>
  <c r="O143" i="283"/>
  <c r="N143" i="283"/>
  <c r="M143" i="283"/>
  <c r="M128" i="283"/>
  <c r="L143" i="283"/>
  <c r="K143" i="283"/>
  <c r="J143" i="283"/>
  <c r="I143" i="283"/>
  <c r="I128" i="283"/>
  <c r="H143" i="283"/>
  <c r="G143" i="283"/>
  <c r="F143" i="283"/>
  <c r="E143" i="283"/>
  <c r="E128" i="283"/>
  <c r="AT128" i="283"/>
  <c r="AR128" i="283"/>
  <c r="AQ128" i="283"/>
  <c r="AP128" i="283"/>
  <c r="AN128" i="283"/>
  <c r="AM128" i="283"/>
  <c r="AL128" i="283"/>
  <c r="AJ128" i="283"/>
  <c r="AI128" i="283"/>
  <c r="AH128" i="283"/>
  <c r="AF128" i="283"/>
  <c r="AE128" i="283"/>
  <c r="AD128" i="283"/>
  <c r="AB128" i="283"/>
  <c r="AA128" i="283"/>
  <c r="Z128" i="283"/>
  <c r="Z149" i="283"/>
  <c r="X128" i="283"/>
  <c r="W128" i="283"/>
  <c r="V128" i="283"/>
  <c r="T128" i="283"/>
  <c r="S128" i="283"/>
  <c r="R128" i="283"/>
  <c r="P128" i="283"/>
  <c r="O128" i="283"/>
  <c r="O149" i="283"/>
  <c r="N128" i="283"/>
  <c r="L128" i="283"/>
  <c r="K128" i="283"/>
  <c r="J128" i="283"/>
  <c r="H128" i="283"/>
  <c r="H149" i="283"/>
  <c r="G128" i="283"/>
  <c r="F128" i="283"/>
  <c r="AT108" i="283"/>
  <c r="AS108" i="283"/>
  <c r="AR108" i="283"/>
  <c r="AQ108" i="283"/>
  <c r="AP108" i="283"/>
  <c r="AP97" i="283"/>
  <c r="AP79" i="283"/>
  <c r="AO108" i="283"/>
  <c r="AN108" i="283"/>
  <c r="AM108" i="283"/>
  <c r="AL108" i="283"/>
  <c r="AL97" i="283"/>
  <c r="AL79" i="283"/>
  <c r="AK108" i="283"/>
  <c r="AJ108" i="283"/>
  <c r="AI108" i="283"/>
  <c r="AH108" i="283"/>
  <c r="AH97" i="283"/>
  <c r="AH79" i="283"/>
  <c r="AG108" i="283"/>
  <c r="AF108" i="283"/>
  <c r="AE108" i="283"/>
  <c r="AD108" i="283"/>
  <c r="AD97" i="283"/>
  <c r="AD79" i="283"/>
  <c r="AC108" i="283"/>
  <c r="AB108" i="283"/>
  <c r="AA108" i="283"/>
  <c r="Z108" i="283"/>
  <c r="Z97" i="283"/>
  <c r="Z79" i="283"/>
  <c r="Y108" i="283"/>
  <c r="X108" i="283"/>
  <c r="W108" i="283"/>
  <c r="V108" i="283"/>
  <c r="V97" i="283"/>
  <c r="V79" i="283"/>
  <c r="U108" i="283"/>
  <c r="T108" i="283"/>
  <c r="S108" i="283"/>
  <c r="R108" i="283"/>
  <c r="R97" i="283"/>
  <c r="R79" i="283"/>
  <c r="Q108" i="283"/>
  <c r="P108" i="283"/>
  <c r="O108" i="283"/>
  <c r="N108" i="283"/>
  <c r="N97" i="283"/>
  <c r="N79" i="283"/>
  <c r="M108" i="283"/>
  <c r="L108" i="283"/>
  <c r="K108" i="283"/>
  <c r="J108" i="283"/>
  <c r="J97" i="283"/>
  <c r="J79" i="283"/>
  <c r="I108" i="283"/>
  <c r="H108" i="283"/>
  <c r="G108" i="283"/>
  <c r="F108" i="283"/>
  <c r="F97" i="283"/>
  <c r="F79" i="283"/>
  <c r="E108" i="283"/>
  <c r="AT97" i="283"/>
  <c r="AS97" i="283"/>
  <c r="AR97" i="283"/>
  <c r="AR109" i="283"/>
  <c r="AQ97" i="283"/>
  <c r="AO97" i="283"/>
  <c r="AN97" i="283"/>
  <c r="AN79" i="283"/>
  <c r="AM97" i="283"/>
  <c r="AK97" i="283"/>
  <c r="AJ97" i="283"/>
  <c r="AJ79" i="283"/>
  <c r="AI97" i="283"/>
  <c r="AG97" i="283"/>
  <c r="AF97" i="283"/>
  <c r="AF79" i="283"/>
  <c r="AE97" i="283"/>
  <c r="AC97" i="283"/>
  <c r="AB97" i="283"/>
  <c r="AB79" i="283"/>
  <c r="AA97" i="283"/>
  <c r="Y97" i="283"/>
  <c r="X97" i="283"/>
  <c r="X79" i="283"/>
  <c r="W97" i="283"/>
  <c r="U97" i="283"/>
  <c r="T97" i="283"/>
  <c r="T79" i="283"/>
  <c r="S97" i="283"/>
  <c r="Q97" i="283"/>
  <c r="P97" i="283"/>
  <c r="P79" i="283"/>
  <c r="O97" i="283"/>
  <c r="M97" i="283"/>
  <c r="L97" i="283"/>
  <c r="L79" i="283"/>
  <c r="K97" i="283"/>
  <c r="I97" i="283"/>
  <c r="H97" i="283"/>
  <c r="H79" i="283"/>
  <c r="G97" i="283"/>
  <c r="E97" i="283"/>
  <c r="AQ79" i="283"/>
  <c r="AO79" i="283"/>
  <c r="AO109" i="283"/>
  <c r="AM79" i="283"/>
  <c r="AK79" i="283"/>
  <c r="AI79" i="283"/>
  <c r="AI109" i="283"/>
  <c r="AG79" i="283"/>
  <c r="AE79" i="283"/>
  <c r="AC79" i="283"/>
  <c r="AA79" i="283"/>
  <c r="Y79" i="283"/>
  <c r="Y109" i="283"/>
  <c r="W79" i="283"/>
  <c r="U79" i="283"/>
  <c r="S79" i="283"/>
  <c r="S109" i="283"/>
  <c r="Q79" i="283"/>
  <c r="O79" i="283"/>
  <c r="M79" i="283"/>
  <c r="K79" i="283"/>
  <c r="I79" i="283"/>
  <c r="I109" i="283"/>
  <c r="G79" i="283"/>
  <c r="E79" i="283"/>
  <c r="AF54" i="283"/>
  <c r="AF62" i="283"/>
  <c r="AQ61" i="283"/>
  <c r="AP61" i="283"/>
  <c r="AO61" i="283"/>
  <c r="AN61" i="283"/>
  <c r="AM61" i="283"/>
  <c r="AL61" i="283"/>
  <c r="AL62" i="283"/>
  <c r="AK61" i="283"/>
  <c r="AJ61" i="283"/>
  <c r="AI61" i="283"/>
  <c r="AH61" i="283"/>
  <c r="AG61" i="283"/>
  <c r="AT56" i="283"/>
  <c r="AS56" i="283"/>
  <c r="AR56" i="283"/>
  <c r="AQ56" i="283"/>
  <c r="AQ54" i="283"/>
  <c r="AQ62" i="283"/>
  <c r="AP56" i="283"/>
  <c r="AO56" i="283"/>
  <c r="AN56" i="283"/>
  <c r="AN54" i="283"/>
  <c r="AM56" i="283"/>
  <c r="AM54" i="283"/>
  <c r="AL56" i="283"/>
  <c r="AK56" i="283"/>
  <c r="AK62" i="283"/>
  <c r="AJ56" i="283"/>
  <c r="AJ54" i="283"/>
  <c r="AI56" i="283"/>
  <c r="AI54" i="283"/>
  <c r="AH56" i="283"/>
  <c r="AT54" i="283"/>
  <c r="AS54" i="283"/>
  <c r="AR54" i="283"/>
  <c r="AR62" i="283"/>
  <c r="AP54" i="283"/>
  <c r="AO54" i="283"/>
  <c r="AL54" i="283"/>
  <c r="AK54" i="283"/>
  <c r="AH54" i="283"/>
  <c r="AG54" i="283"/>
  <c r="AE54" i="283"/>
  <c r="AE62" i="283"/>
  <c r="AD54" i="283"/>
  <c r="AD62" i="283"/>
  <c r="AC54" i="283"/>
  <c r="AC62" i="283"/>
  <c r="AT50" i="283"/>
  <c r="AS50" i="283"/>
  <c r="AR50" i="283"/>
  <c r="AQ50" i="283"/>
  <c r="AP50" i="283"/>
  <c r="AP51" i="283"/>
  <c r="AO50" i="283"/>
  <c r="AN50" i="283"/>
  <c r="AM50" i="283"/>
  <c r="AL50" i="283"/>
  <c r="AK50" i="283"/>
  <c r="AJ50" i="283"/>
  <c r="AI50" i="283"/>
  <c r="AH50" i="283"/>
  <c r="AG50" i="283"/>
  <c r="AG51" i="283"/>
  <c r="AF50" i="283"/>
  <c r="AE50" i="283"/>
  <c r="AD50" i="283"/>
  <c r="AC50" i="283"/>
  <c r="AB50" i="283"/>
  <c r="AA50" i="283"/>
  <c r="AA51" i="283"/>
  <c r="Z50" i="283"/>
  <c r="Y50" i="283"/>
  <c r="X50" i="283"/>
  <c r="W50" i="283"/>
  <c r="V50" i="283"/>
  <c r="U50" i="283"/>
  <c r="T50" i="283"/>
  <c r="S50" i="283"/>
  <c r="S51" i="283"/>
  <c r="R50" i="283"/>
  <c r="Q50" i="283"/>
  <c r="P50" i="283"/>
  <c r="O50" i="283"/>
  <c r="N50" i="283"/>
  <c r="M50" i="283"/>
  <c r="L50" i="283"/>
  <c r="K50" i="283"/>
  <c r="J50" i="283"/>
  <c r="J51" i="283"/>
  <c r="I50" i="283"/>
  <c r="I51" i="283"/>
  <c r="H50" i="283"/>
  <c r="G50" i="283"/>
  <c r="F50" i="283"/>
  <c r="E50" i="283"/>
  <c r="AT31" i="283"/>
  <c r="AS31" i="283"/>
  <c r="AS51" i="283"/>
  <c r="AR31" i="283"/>
  <c r="AR51" i="283"/>
  <c r="AR14" i="283"/>
  <c r="AQ31" i="283"/>
  <c r="AP31" i="283"/>
  <c r="AO31" i="283"/>
  <c r="AN31" i="283"/>
  <c r="AN14" i="283"/>
  <c r="AM31" i="283"/>
  <c r="AM51" i="283"/>
  <c r="AL31" i="283"/>
  <c r="AK31" i="283"/>
  <c r="AJ31" i="283"/>
  <c r="AJ14" i="283"/>
  <c r="AI31" i="283"/>
  <c r="AH31" i="283"/>
  <c r="AG31" i="283"/>
  <c r="AF31" i="283"/>
  <c r="AF14" i="283"/>
  <c r="AE31" i="283"/>
  <c r="AE51" i="283"/>
  <c r="AD31" i="283"/>
  <c r="AD51" i="283"/>
  <c r="AC31" i="283"/>
  <c r="AB31" i="283"/>
  <c r="AB51" i="283"/>
  <c r="AB14" i="283"/>
  <c r="AA31" i="283"/>
  <c r="Z31" i="283"/>
  <c r="Y31" i="283"/>
  <c r="X31" i="283"/>
  <c r="X51" i="283"/>
  <c r="X14" i="283"/>
  <c r="W31" i="283"/>
  <c r="V31" i="283"/>
  <c r="U31" i="283"/>
  <c r="T31" i="283"/>
  <c r="T51" i="283"/>
  <c r="T14" i="283"/>
  <c r="S31" i="283"/>
  <c r="R31" i="283"/>
  <c r="Q31" i="283"/>
  <c r="P31" i="283"/>
  <c r="P14" i="283"/>
  <c r="O31" i="283"/>
  <c r="N31" i="283"/>
  <c r="N51" i="283"/>
  <c r="M31" i="283"/>
  <c r="M51" i="283"/>
  <c r="L31" i="283"/>
  <c r="L14" i="283"/>
  <c r="K31" i="283"/>
  <c r="J31" i="283"/>
  <c r="I31" i="283"/>
  <c r="H31" i="283"/>
  <c r="H14" i="283"/>
  <c r="G31" i="283"/>
  <c r="F31" i="283"/>
  <c r="F51" i="283"/>
  <c r="E31" i="283"/>
  <c r="E51" i="283"/>
  <c r="AT14" i="283"/>
  <c r="AS14" i="283"/>
  <c r="AQ14" i="283"/>
  <c r="AP14" i="283"/>
  <c r="AO14" i="283"/>
  <c r="AO51" i="283"/>
  <c r="AO151" i="283"/>
  <c r="AM14" i="283"/>
  <c r="AL14" i="283"/>
  <c r="AL51" i="283"/>
  <c r="AK14" i="283"/>
  <c r="AK51" i="283"/>
  <c r="AI14" i="283"/>
  <c r="AH14" i="283"/>
  <c r="AG14" i="283"/>
  <c r="AE14" i="283"/>
  <c r="AD14" i="283"/>
  <c r="AC14" i="283"/>
  <c r="AA14" i="283"/>
  <c r="Z14" i="283"/>
  <c r="Z51" i="283"/>
  <c r="Y14" i="283"/>
  <c r="W14" i="283"/>
  <c r="V14" i="283"/>
  <c r="V51" i="283"/>
  <c r="U14" i="283"/>
  <c r="S14" i="283"/>
  <c r="R14" i="283"/>
  <c r="Q14" i="283"/>
  <c r="O14" i="283"/>
  <c r="O51" i="283"/>
  <c r="N14" i="283"/>
  <c r="M14" i="283"/>
  <c r="K14" i="283"/>
  <c r="J14" i="283"/>
  <c r="I14" i="283"/>
  <c r="G14" i="283"/>
  <c r="F14" i="283"/>
  <c r="E14" i="283"/>
  <c r="P149" i="283"/>
  <c r="R149" i="283"/>
  <c r="AH62" i="283"/>
  <c r="AH149" i="283"/>
  <c r="G149" i="283"/>
  <c r="W149" i="283"/>
  <c r="AE149" i="283"/>
  <c r="AM149" i="283"/>
  <c r="AQ51" i="283"/>
  <c r="AP62" i="283"/>
  <c r="AK109" i="283"/>
  <c r="AO62" i="283"/>
  <c r="AS62" i="283"/>
  <c r="E109" i="283"/>
  <c r="M109" i="283"/>
  <c r="U109" i="283"/>
  <c r="AC109" i="283"/>
  <c r="AG109" i="283"/>
  <c r="AS109" i="283"/>
  <c r="G109" i="283"/>
  <c r="O109" i="283"/>
  <c r="W109" i="283"/>
  <c r="AE109" i="283"/>
  <c r="AM109" i="283"/>
  <c r="G51" i="283"/>
  <c r="G151" i="283"/>
  <c r="W51" i="283"/>
  <c r="AI51" i="283"/>
  <c r="Q51" i="283"/>
  <c r="U51" i="283"/>
  <c r="Y51" i="283"/>
  <c r="AC51" i="283"/>
  <c r="L149" i="283"/>
  <c r="T149" i="283"/>
  <c r="X149" i="283"/>
  <c r="AB149" i="283"/>
  <c r="AF149" i="283"/>
  <c r="J149" i="283"/>
  <c r="AD149" i="283"/>
  <c r="AR149" i="283"/>
  <c r="AT109" i="283"/>
  <c r="AT62" i="283"/>
  <c r="AT51" i="283"/>
  <c r="AQ9" i="284"/>
  <c r="AP19" i="284"/>
  <c r="AQ18" i="284"/>
  <c r="AR35" i="284"/>
  <c r="AQ26" i="284"/>
  <c r="AP35" i="284"/>
  <c r="Q6" i="303"/>
  <c r="AQ16" i="239"/>
  <c r="AR99" i="238"/>
  <c r="AR96" i="238"/>
  <c r="AR83" i="238"/>
  <c r="AR93" i="238"/>
  <c r="AR72" i="238"/>
  <c r="AR63" i="238"/>
  <c r="AS26" i="238"/>
  <c r="AS27" i="238"/>
  <c r="AS28" i="238"/>
  <c r="AS29" i="238"/>
  <c r="AS30" i="238"/>
  <c r="AS31" i="238"/>
  <c r="AS32" i="238"/>
  <c r="AS33" i="238"/>
  <c r="AS34" i="238"/>
  <c r="AS35" i="238"/>
  <c r="AR55" i="238"/>
  <c r="AR48" i="238"/>
  <c r="AR36" i="238"/>
  <c r="AR20" i="238"/>
  <c r="AR25" i="238"/>
  <c r="AR15" i="238"/>
  <c r="AQ16" i="237"/>
  <c r="AR100" i="236"/>
  <c r="AR97" i="236"/>
  <c r="AR88" i="236"/>
  <c r="AR84" i="236"/>
  <c r="AR73" i="236"/>
  <c r="AR64" i="236"/>
  <c r="AR79" i="236"/>
  <c r="AR49" i="236"/>
  <c r="AR37" i="236"/>
  <c r="AS36" i="236"/>
  <c r="AR21" i="236"/>
  <c r="AR16" i="236"/>
  <c r="BW146" i="276"/>
  <c r="BV146" i="276"/>
  <c r="BU146" i="276"/>
  <c r="BX145" i="276"/>
  <c r="BX144" i="276"/>
  <c r="BX143" i="276"/>
  <c r="BX146" i="276" s="1"/>
  <c r="BX142" i="276"/>
  <c r="BX140" i="276"/>
  <c r="BX139" i="276"/>
  <c r="BX138" i="276"/>
  <c r="BX137" i="276"/>
  <c r="BX136" i="276"/>
  <c r="BX135" i="276"/>
  <c r="BX134" i="276"/>
  <c r="BX141" i="276" s="1"/>
  <c r="BX133" i="276"/>
  <c r="BX132" i="276"/>
  <c r="BX131" i="276"/>
  <c r="BX130" i="276"/>
  <c r="BX129" i="276"/>
  <c r="BX128" i="276"/>
  <c r="BX127" i="276"/>
  <c r="BW126" i="276"/>
  <c r="BW147" i="276" s="1"/>
  <c r="BV126" i="276"/>
  <c r="BU126" i="276"/>
  <c r="BX123" i="276"/>
  <c r="BX122" i="276"/>
  <c r="BX121" i="276"/>
  <c r="BX118" i="276"/>
  <c r="BX117" i="276"/>
  <c r="BX116" i="276"/>
  <c r="BX115" i="276"/>
  <c r="BX114" i="276"/>
  <c r="BX113" i="276"/>
  <c r="BX112" i="276"/>
  <c r="BX111" i="276"/>
  <c r="BX110" i="276"/>
  <c r="BX109" i="276"/>
  <c r="BW106" i="276"/>
  <c r="BW107" i="276" s="1"/>
  <c r="BV106" i="276"/>
  <c r="BU106" i="276"/>
  <c r="BX105" i="276"/>
  <c r="BX104" i="276"/>
  <c r="BX103" i="276"/>
  <c r="BX102" i="276"/>
  <c r="BX101" i="276"/>
  <c r="BX100" i="276"/>
  <c r="BX99" i="276"/>
  <c r="BX97" i="276"/>
  <c r="BX96" i="276"/>
  <c r="BW95" i="276"/>
  <c r="BV95" i="276"/>
  <c r="BV107" i="276"/>
  <c r="BV149" i="276" s="1"/>
  <c r="BU95" i="276"/>
  <c r="BX92" i="276"/>
  <c r="BX91" i="276"/>
  <c r="BX90" i="276"/>
  <c r="BX89" i="276"/>
  <c r="BX88" i="276"/>
  <c r="BX85" i="276"/>
  <c r="BX84" i="276"/>
  <c r="BX83" i="276"/>
  <c r="BX82" i="276"/>
  <c r="BX81" i="276"/>
  <c r="BX80" i="276"/>
  <c r="BX77" i="276"/>
  <c r="BX76" i="276"/>
  <c r="BX75" i="276"/>
  <c r="BX74" i="276"/>
  <c r="BX73" i="276"/>
  <c r="BX72" i="276"/>
  <c r="BX71" i="276"/>
  <c r="BX70" i="276"/>
  <c r="BX69" i="276"/>
  <c r="BX68" i="276"/>
  <c r="BX67" i="276"/>
  <c r="BX66" i="276"/>
  <c r="BX65" i="276"/>
  <c r="BX64" i="276"/>
  <c r="BV61" i="276"/>
  <c r="BV62" i="276"/>
  <c r="BU61" i="276"/>
  <c r="BU62" i="276"/>
  <c r="BX59" i="276"/>
  <c r="BX58" i="276"/>
  <c r="BX57" i="276"/>
  <c r="BW56" i="276"/>
  <c r="BX55" i="276"/>
  <c r="BX56" i="276"/>
  <c r="BW54" i="276"/>
  <c r="BX53" i="276"/>
  <c r="BX52" i="276"/>
  <c r="BW50" i="276"/>
  <c r="BW51" i="276" s="1"/>
  <c r="BW149" i="276" s="1"/>
  <c r="BV50" i="276"/>
  <c r="BU50" i="276"/>
  <c r="BX49" i="276"/>
  <c r="BX48" i="276"/>
  <c r="BX47" i="276"/>
  <c r="BX46" i="276"/>
  <c r="BX45" i="276"/>
  <c r="BX44" i="276"/>
  <c r="BX43" i="276"/>
  <c r="BX42" i="276"/>
  <c r="BX41" i="276"/>
  <c r="BX40" i="276"/>
  <c r="BX39" i="276"/>
  <c r="BX38" i="276"/>
  <c r="BX37" i="276"/>
  <c r="BX36" i="276"/>
  <c r="BX35" i="276"/>
  <c r="BX33" i="276"/>
  <c r="BW32" i="276"/>
  <c r="BV32" i="276"/>
  <c r="BU32" i="276"/>
  <c r="BX30" i="276"/>
  <c r="BX29" i="276"/>
  <c r="BX28" i="276"/>
  <c r="BX25" i="276"/>
  <c r="BX24" i="276"/>
  <c r="BX23" i="276"/>
  <c r="BX22" i="276"/>
  <c r="BX21" i="276"/>
  <c r="BX20" i="276"/>
  <c r="BX19" i="276"/>
  <c r="BX18" i="276"/>
  <c r="BX17" i="276"/>
  <c r="BX16" i="276"/>
  <c r="BW15" i="276"/>
  <c r="BV15" i="276"/>
  <c r="BX14" i="276"/>
  <c r="BX13" i="276"/>
  <c r="BX12" i="276"/>
  <c r="BX11" i="276"/>
  <c r="BX15" i="276" s="1"/>
  <c r="BX10" i="276"/>
  <c r="BX9" i="276"/>
  <c r="BX8" i="276"/>
  <c r="BX7" i="276"/>
  <c r="BX6" i="276"/>
  <c r="BX5" i="276"/>
  <c r="BV147" i="276"/>
  <c r="AR28" i="194"/>
  <c r="AR34" i="194"/>
  <c r="AQ28" i="194"/>
  <c r="AP28" i="194"/>
  <c r="AR27" i="194"/>
  <c r="AQ27" i="194"/>
  <c r="AP27" i="194"/>
  <c r="AR26" i="194"/>
  <c r="AQ26" i="194"/>
  <c r="AP26" i="194"/>
  <c r="AP29" i="194"/>
  <c r="AR23" i="194"/>
  <c r="AQ23" i="194"/>
  <c r="AP23" i="194"/>
  <c r="AR22" i="194"/>
  <c r="AQ22" i="194"/>
  <c r="AP22" i="194"/>
  <c r="AR21" i="194"/>
  <c r="AQ21" i="194"/>
  <c r="AQ24" i="194"/>
  <c r="AP21" i="194"/>
  <c r="AR18" i="194"/>
  <c r="AQ18" i="194"/>
  <c r="AP18" i="194"/>
  <c r="AR17" i="194"/>
  <c r="AQ17" i="194"/>
  <c r="AP17" i="194"/>
  <c r="AQ16" i="194"/>
  <c r="AQ31" i="194"/>
  <c r="AP16" i="194"/>
  <c r="AR13" i="194"/>
  <c r="AR36" i="194"/>
  <c r="AQ13" i="194"/>
  <c r="AQ36" i="194"/>
  <c r="AP13" i="194"/>
  <c r="AP36" i="194"/>
  <c r="AR12" i="194"/>
  <c r="AR35" i="194"/>
  <c r="AQ12" i="194"/>
  <c r="AQ35" i="194"/>
  <c r="AP12" i="194"/>
  <c r="AP35" i="194"/>
  <c r="AR11" i="194"/>
  <c r="AQ11" i="194"/>
  <c r="AP11" i="194"/>
  <c r="AR8" i="194"/>
  <c r="AQ8" i="194"/>
  <c r="AQ34" i="194"/>
  <c r="AP8" i="194"/>
  <c r="AP34" i="194"/>
  <c r="AR7" i="194"/>
  <c r="AQ7" i="194"/>
  <c r="AP7" i="194"/>
  <c r="AR6" i="194"/>
  <c r="AQ6" i="194"/>
  <c r="AP6" i="194"/>
  <c r="AS102" i="193"/>
  <c r="AR102" i="193"/>
  <c r="AQ102" i="193"/>
  <c r="AS97" i="193"/>
  <c r="AR97" i="193"/>
  <c r="AQ97" i="193"/>
  <c r="AS88" i="193"/>
  <c r="AR88" i="193"/>
  <c r="AQ88" i="193"/>
  <c r="AQ103" i="193"/>
  <c r="AQ105" i="193"/>
  <c r="AS80" i="193"/>
  <c r="AR80" i="193"/>
  <c r="AR81" i="193"/>
  <c r="AR77" i="193"/>
  <c r="AR74" i="193"/>
  <c r="AQ80" i="193"/>
  <c r="AS77" i="193"/>
  <c r="AQ77" i="193"/>
  <c r="AQ81" i="193"/>
  <c r="AS74" i="193"/>
  <c r="AQ74" i="193"/>
  <c r="AS70" i="193"/>
  <c r="AS71" i="193"/>
  <c r="AR70" i="193"/>
  <c r="AQ70" i="193"/>
  <c r="AS63" i="193"/>
  <c r="AR63" i="193"/>
  <c r="AQ63" i="193"/>
  <c r="AQ71" i="193"/>
  <c r="AS39" i="193"/>
  <c r="AR39" i="193"/>
  <c r="AQ39" i="193"/>
  <c r="AQ40" i="193"/>
  <c r="AS34" i="193"/>
  <c r="AR34" i="193"/>
  <c r="AQ34" i="193"/>
  <c r="AS30" i="193"/>
  <c r="AR30" i="193"/>
  <c r="AR40" i="193"/>
  <c r="AQ30" i="193"/>
  <c r="AS24" i="193"/>
  <c r="AR24" i="193"/>
  <c r="AR25" i="193"/>
  <c r="AQ24" i="193"/>
  <c r="AS20" i="193"/>
  <c r="AR20" i="193"/>
  <c r="AQ20" i="193"/>
  <c r="AS15" i="193"/>
  <c r="AS25" i="193"/>
  <c r="AR15" i="193"/>
  <c r="AQ15" i="193"/>
  <c r="AD80" i="193"/>
  <c r="AD81" i="193"/>
  <c r="AD77" i="193"/>
  <c r="AD74" i="193"/>
  <c r="AE80" i="193"/>
  <c r="AE81" i="193"/>
  <c r="AE77" i="193"/>
  <c r="AE74" i="193"/>
  <c r="AF80" i="193"/>
  <c r="AF81" i="193"/>
  <c r="AF77" i="193"/>
  <c r="AF74" i="193"/>
  <c r="AG80" i="193"/>
  <c r="AG81" i="193"/>
  <c r="AG77" i="193"/>
  <c r="AG74" i="193"/>
  <c r="AH80" i="193"/>
  <c r="AH81" i="193"/>
  <c r="AH77" i="193"/>
  <c r="AH74" i="193"/>
  <c r="AI80" i="193"/>
  <c r="AI81" i="193"/>
  <c r="AI77" i="193"/>
  <c r="AI74" i="193"/>
  <c r="AJ80" i="193"/>
  <c r="AJ81" i="193"/>
  <c r="AJ77" i="193"/>
  <c r="AJ74" i="193"/>
  <c r="AK80" i="193"/>
  <c r="AK81" i="193"/>
  <c r="AK77" i="193"/>
  <c r="AK74" i="193"/>
  <c r="AL80" i="193"/>
  <c r="AL81" i="193"/>
  <c r="AL77" i="193"/>
  <c r="AL74" i="193"/>
  <c r="AM80" i="193"/>
  <c r="AM81" i="193"/>
  <c r="AM77" i="193"/>
  <c r="AM74" i="193"/>
  <c r="AN80" i="193"/>
  <c r="AN81" i="193"/>
  <c r="AN77" i="193"/>
  <c r="AN74" i="193"/>
  <c r="AO80" i="193"/>
  <c r="AO81" i="193"/>
  <c r="AO77" i="193"/>
  <c r="AO74" i="193"/>
  <c r="AP80" i="193"/>
  <c r="AP81" i="193"/>
  <c r="AP77" i="193"/>
  <c r="AP74" i="193"/>
  <c r="AC80" i="193"/>
  <c r="AC81" i="193"/>
  <c r="AC77" i="193"/>
  <c r="AC74" i="193"/>
  <c r="AQ28" i="241"/>
  <c r="AQ29" i="241"/>
  <c r="AP28" i="241"/>
  <c r="AQ27" i="241"/>
  <c r="AP27" i="241"/>
  <c r="AQ26" i="241"/>
  <c r="AP26" i="241"/>
  <c r="AP23" i="241"/>
  <c r="AP33" i="241"/>
  <c r="AQ23" i="241"/>
  <c r="AQ33" i="241"/>
  <c r="AQ22" i="241"/>
  <c r="AP22" i="241"/>
  <c r="AQ21" i="241"/>
  <c r="AP21" i="241"/>
  <c r="AQ18" i="241"/>
  <c r="AP18" i="241"/>
  <c r="AR18" i="241"/>
  <c r="AQ17" i="241"/>
  <c r="AP17" i="241"/>
  <c r="AP16" i="241"/>
  <c r="AQ13" i="241"/>
  <c r="AQ36" i="241"/>
  <c r="AR36" i="241"/>
  <c r="AQ12" i="241"/>
  <c r="AR12" i="241"/>
  <c r="AQ11" i="241"/>
  <c r="AQ83" i="240"/>
  <c r="AP11" i="241"/>
  <c r="AQ8" i="241"/>
  <c r="AP8" i="241"/>
  <c r="AR8" i="241"/>
  <c r="AQ7" i="241"/>
  <c r="AP7" i="241"/>
  <c r="AQ6" i="241"/>
  <c r="AP6" i="241"/>
  <c r="AQ102" i="240"/>
  <c r="AQ99" i="240"/>
  <c r="AQ96" i="240"/>
  <c r="AQ72" i="240"/>
  <c r="AQ63" i="240"/>
  <c r="AQ78" i="240"/>
  <c r="AQ48" i="240"/>
  <c r="AQ20" i="240"/>
  <c r="AQ15" i="240"/>
  <c r="AC102" i="240"/>
  <c r="AC99" i="240"/>
  <c r="AC103" i="240"/>
  <c r="AC96" i="240"/>
  <c r="AD100" i="240"/>
  <c r="AD102" i="240"/>
  <c r="AD97" i="240"/>
  <c r="AD99" i="240"/>
  <c r="AD94" i="240"/>
  <c r="AD96" i="240"/>
  <c r="AE102" i="240"/>
  <c r="AE99" i="240"/>
  <c r="AE96" i="240"/>
  <c r="AF102" i="240"/>
  <c r="AF99" i="240"/>
  <c r="AF96" i="240"/>
  <c r="AG100" i="240"/>
  <c r="AG102" i="240"/>
  <c r="AG97" i="240"/>
  <c r="AG99" i="240"/>
  <c r="AG94" i="240"/>
  <c r="AG96" i="240"/>
  <c r="AH102" i="240"/>
  <c r="AH103" i="240"/>
  <c r="AH99" i="240"/>
  <c r="AH96" i="240"/>
  <c r="AI102" i="240"/>
  <c r="AI99" i="240"/>
  <c r="AI96" i="240"/>
  <c r="AJ100" i="240"/>
  <c r="AJ102" i="240"/>
  <c r="AJ97" i="240"/>
  <c r="AJ98" i="240"/>
  <c r="AJ94" i="240"/>
  <c r="AJ96" i="240"/>
  <c r="AK102" i="240"/>
  <c r="AK99" i="240"/>
  <c r="AK96" i="240"/>
  <c r="AL102" i="240"/>
  <c r="AL99" i="240"/>
  <c r="AL96" i="240"/>
  <c r="AM100" i="240"/>
  <c r="AM102" i="240"/>
  <c r="AM97" i="240"/>
  <c r="AM98" i="240"/>
  <c r="AM99" i="240"/>
  <c r="AM94" i="240"/>
  <c r="AM96" i="240"/>
  <c r="AN102" i="240"/>
  <c r="AN99" i="240"/>
  <c r="AN96" i="240"/>
  <c r="AO102" i="240"/>
  <c r="AO103" i="240"/>
  <c r="AO99" i="240"/>
  <c r="AO96" i="240"/>
  <c r="AP100" i="240"/>
  <c r="AP102" i="240"/>
  <c r="AP103" i="240"/>
  <c r="AP97" i="240"/>
  <c r="AP98" i="240"/>
  <c r="AP99" i="240"/>
  <c r="AP94" i="240"/>
  <c r="AP96" i="240"/>
  <c r="AB102" i="240"/>
  <c r="AB99" i="240"/>
  <c r="AB96" i="240"/>
  <c r="AR102" i="240"/>
  <c r="AS100" i="240"/>
  <c r="AS102" i="240"/>
  <c r="AS103" i="240"/>
  <c r="AS98" i="240"/>
  <c r="AS97" i="240"/>
  <c r="AS94" i="240"/>
  <c r="AS96" i="240"/>
  <c r="AR92" i="240"/>
  <c r="AQ92" i="240"/>
  <c r="AQ93" i="240"/>
  <c r="AS91" i="240"/>
  <c r="AS90" i="240"/>
  <c r="AS89" i="240"/>
  <c r="AS88" i="240"/>
  <c r="AQ87" i="240"/>
  <c r="AS86" i="240"/>
  <c r="AS85" i="240"/>
  <c r="AS84" i="240"/>
  <c r="AS82" i="240"/>
  <c r="AS81" i="240"/>
  <c r="AS80" i="240"/>
  <c r="AS83" i="240"/>
  <c r="AS79" i="240"/>
  <c r="AR77" i="240"/>
  <c r="AQ77" i="240"/>
  <c r="AS76" i="240"/>
  <c r="AS75" i="240"/>
  <c r="AS77" i="240"/>
  <c r="AS74" i="240"/>
  <c r="AS73" i="240"/>
  <c r="AS71" i="240"/>
  <c r="AS70" i="240"/>
  <c r="AS69" i="240"/>
  <c r="AS68" i="240"/>
  <c r="AS67" i="240"/>
  <c r="AS66" i="240"/>
  <c r="AS65" i="240"/>
  <c r="AS64" i="240"/>
  <c r="AS62" i="240"/>
  <c r="AS61" i="240"/>
  <c r="AS60" i="240"/>
  <c r="AS59" i="240"/>
  <c r="AS58" i="240"/>
  <c r="AS57" i="240"/>
  <c r="AR55" i="240"/>
  <c r="AQ55" i="240"/>
  <c r="AS54" i="240"/>
  <c r="AS53" i="240"/>
  <c r="AS52" i="240"/>
  <c r="AS51" i="240"/>
  <c r="AS50" i="240"/>
  <c r="AS49" i="240"/>
  <c r="AS47" i="240"/>
  <c r="AS46" i="240"/>
  <c r="AS45" i="240"/>
  <c r="AS44" i="240"/>
  <c r="AS43" i="240"/>
  <c r="AS42" i="240"/>
  <c r="AS41" i="240"/>
  <c r="AS40" i="240"/>
  <c r="AS39" i="240"/>
  <c r="AS38" i="240"/>
  <c r="AS37" i="240"/>
  <c r="AR24" i="240"/>
  <c r="AQ24" i="240"/>
  <c r="AS23" i="240"/>
  <c r="AS22" i="240"/>
  <c r="AS21" i="240"/>
  <c r="AS19" i="240"/>
  <c r="AS18" i="240"/>
  <c r="AS17" i="240"/>
  <c r="AS20" i="240"/>
  <c r="AS16" i="240"/>
  <c r="AS14" i="240"/>
  <c r="AS13" i="240"/>
  <c r="AS12" i="240"/>
  <c r="AS11" i="240"/>
  <c r="AS10" i="240"/>
  <c r="AS9" i="240"/>
  <c r="AS8" i="240"/>
  <c r="AS7" i="240"/>
  <c r="AS6" i="240"/>
  <c r="AS5" i="240"/>
  <c r="AR19" i="194"/>
  <c r="AR24" i="194"/>
  <c r="AQ29" i="194"/>
  <c r="AR9" i="194"/>
  <c r="AR14" i="194"/>
  <c r="AR13" i="241"/>
  <c r="AQ35" i="241"/>
  <c r="AR35" i="241"/>
  <c r="AR27" i="241"/>
  <c r="AP31" i="194"/>
  <c r="AP33" i="194"/>
  <c r="AP19" i="194"/>
  <c r="AQ33" i="194"/>
  <c r="AR103" i="193"/>
  <c r="AR71" i="193"/>
  <c r="AR31" i="194"/>
  <c r="AS103" i="193"/>
  <c r="AS81" i="193"/>
  <c r="AS40" i="193"/>
  <c r="AQ25" i="193"/>
  <c r="AP29" i="241"/>
  <c r="AQ103" i="240"/>
  <c r="AS99" i="240"/>
  <c r="AS87" i="240"/>
  <c r="AR93" i="240"/>
  <c r="AR78" i="240"/>
  <c r="AQ56" i="240"/>
  <c r="AR56" i="240"/>
  <c r="AS24" i="240"/>
  <c r="AQ25" i="240"/>
  <c r="AC37" i="306"/>
  <c r="AB37" i="306"/>
  <c r="AC36" i="306"/>
  <c r="AB36" i="306"/>
  <c r="AC35" i="306"/>
  <c r="AC38" i="306"/>
  <c r="AB35" i="306"/>
  <c r="AC34" i="306"/>
  <c r="AB34" i="306"/>
  <c r="AC33" i="306"/>
  <c r="AB33" i="306"/>
  <c r="AC32" i="306"/>
  <c r="AB32" i="306"/>
  <c r="AC30" i="306"/>
  <c r="AB30" i="306"/>
  <c r="AD29" i="306"/>
  <c r="AD28" i="306"/>
  <c r="AD27" i="306"/>
  <c r="AD30" i="306"/>
  <c r="AC25" i="306"/>
  <c r="AB25" i="306"/>
  <c r="AD24" i="306"/>
  <c r="AD23" i="306"/>
  <c r="AD33" i="306"/>
  <c r="AD22" i="306"/>
  <c r="AC20" i="306"/>
  <c r="AB20" i="306"/>
  <c r="AD19" i="306"/>
  <c r="AD18" i="306"/>
  <c r="AD17" i="306"/>
  <c r="AC15" i="306"/>
  <c r="AB15" i="306"/>
  <c r="AD14" i="306"/>
  <c r="AD37" i="306"/>
  <c r="AD13" i="306"/>
  <c r="AD36" i="306"/>
  <c r="AD12" i="306"/>
  <c r="AC10" i="306"/>
  <c r="AB10" i="306"/>
  <c r="AD9" i="306"/>
  <c r="AD35" i="306"/>
  <c r="AD8" i="306"/>
  <c r="AD7" i="306"/>
  <c r="AQ72" i="238"/>
  <c r="AQ63" i="238"/>
  <c r="AQ48" i="238"/>
  <c r="AQ36" i="238"/>
  <c r="AQ55" i="238"/>
  <c r="AQ56" i="238"/>
  <c r="AQ20" i="238"/>
  <c r="AQ15" i="238"/>
  <c r="AS22" i="238"/>
  <c r="AS24" i="238"/>
  <c r="AS21" i="238"/>
  <c r="AS18" i="238"/>
  <c r="AP7" i="239"/>
  <c r="AS14" i="238"/>
  <c r="AS13" i="238"/>
  <c r="AS10" i="238"/>
  <c r="AS9" i="238"/>
  <c r="AS6" i="238"/>
  <c r="AC102" i="238"/>
  <c r="AC99" i="238"/>
  <c r="AC96" i="238"/>
  <c r="AC103" i="238"/>
  <c r="AD100" i="238"/>
  <c r="AD102" i="238"/>
  <c r="AD97" i="238"/>
  <c r="AD99" i="238"/>
  <c r="AD94" i="238"/>
  <c r="AD96" i="238"/>
  <c r="AE102" i="238"/>
  <c r="AE103" i="238"/>
  <c r="AE99" i="238"/>
  <c r="AE96" i="238"/>
  <c r="AF102" i="238"/>
  <c r="AF103" i="238"/>
  <c r="AF99" i="238"/>
  <c r="AF96" i="238"/>
  <c r="AG100" i="238"/>
  <c r="AG102" i="238"/>
  <c r="AG97" i="238"/>
  <c r="AG99" i="238"/>
  <c r="AG94" i="238"/>
  <c r="AG96" i="238"/>
  <c r="AH102" i="238"/>
  <c r="AH99" i="238"/>
  <c r="AH96" i="238"/>
  <c r="AI102" i="238"/>
  <c r="AI99" i="238"/>
  <c r="AI96" i="238"/>
  <c r="AJ100" i="238"/>
  <c r="AJ102" i="238"/>
  <c r="AJ97" i="238"/>
  <c r="AJ98" i="238"/>
  <c r="AJ94" i="238"/>
  <c r="AJ96" i="238"/>
  <c r="AK102" i="238"/>
  <c r="AK103" i="238"/>
  <c r="AK99" i="238"/>
  <c r="AK96" i="238"/>
  <c r="AL102" i="238"/>
  <c r="AL99" i="238"/>
  <c r="AL96" i="238"/>
  <c r="AM100" i="238"/>
  <c r="AM102" i="238"/>
  <c r="AM97" i="238"/>
  <c r="AM98" i="238"/>
  <c r="AM99" i="238"/>
  <c r="AM94" i="238"/>
  <c r="AM96" i="238"/>
  <c r="AN102" i="238"/>
  <c r="AN99" i="238"/>
  <c r="AN96" i="238"/>
  <c r="AO102" i="238"/>
  <c r="AO99" i="238"/>
  <c r="AO96" i="238"/>
  <c r="AP100" i="238"/>
  <c r="AP102" i="238"/>
  <c r="AP97" i="238"/>
  <c r="AP98" i="238"/>
  <c r="AP99" i="238"/>
  <c r="AP94" i="238"/>
  <c r="AP96" i="238"/>
  <c r="AR102" i="238"/>
  <c r="AR103" i="238"/>
  <c r="AB102" i="238"/>
  <c r="AB99" i="238"/>
  <c r="AB96" i="238"/>
  <c r="AQ102" i="238"/>
  <c r="AQ99" i="238"/>
  <c r="AQ96" i="238"/>
  <c r="AQ28" i="239"/>
  <c r="AP28" i="239"/>
  <c r="AQ27" i="239"/>
  <c r="AP27" i="239"/>
  <c r="AQ26" i="239"/>
  <c r="AR26" i="239"/>
  <c r="AP26" i="239"/>
  <c r="AQ23" i="239"/>
  <c r="AP23" i="239"/>
  <c r="AQ22" i="239"/>
  <c r="AP22" i="239"/>
  <c r="AQ21" i="239"/>
  <c r="AP21" i="239"/>
  <c r="AQ18" i="239"/>
  <c r="AQ33" i="239"/>
  <c r="AP18" i="239"/>
  <c r="AQ17" i="239"/>
  <c r="AP17" i="239"/>
  <c r="AP16" i="239"/>
  <c r="AQ13" i="239"/>
  <c r="AQ36" i="239"/>
  <c r="AP13" i="239"/>
  <c r="AQ12" i="239"/>
  <c r="AQ35" i="239"/>
  <c r="AP12" i="239"/>
  <c r="AP35" i="239"/>
  <c r="AQ11" i="239"/>
  <c r="AP11" i="239"/>
  <c r="AQ8" i="239"/>
  <c r="AQ34" i="239"/>
  <c r="AP8" i="239"/>
  <c r="AP34" i="239"/>
  <c r="AQ7" i="239"/>
  <c r="AQ6" i="239"/>
  <c r="AP6" i="239"/>
  <c r="AP31" i="239"/>
  <c r="AS100" i="238"/>
  <c r="AS102" i="238"/>
  <c r="AS98" i="238"/>
  <c r="AS97" i="238"/>
  <c r="AS99" i="238"/>
  <c r="AS94" i="238"/>
  <c r="AS96" i="238"/>
  <c r="AR92" i="238"/>
  <c r="AQ92" i="238"/>
  <c r="AS91" i="238"/>
  <c r="AS90" i="238"/>
  <c r="AS92" i="238"/>
  <c r="AS93" i="238"/>
  <c r="AS89" i="238"/>
  <c r="AS88" i="238"/>
  <c r="AQ87" i="238"/>
  <c r="AQ93" i="238"/>
  <c r="AS86" i="238"/>
  <c r="AS85" i="238"/>
  <c r="AS84" i="238"/>
  <c r="AQ83" i="238"/>
  <c r="AS82" i="238"/>
  <c r="AS81" i="238"/>
  <c r="AS80" i="238"/>
  <c r="AS79" i="238"/>
  <c r="AS83" i="238"/>
  <c r="AR77" i="238"/>
  <c r="AQ77" i="238"/>
  <c r="AS76" i="238"/>
  <c r="AS75" i="238"/>
  <c r="AS74" i="238"/>
  <c r="AS73" i="238"/>
  <c r="AS71" i="238"/>
  <c r="AS70" i="238"/>
  <c r="AS69" i="238"/>
  <c r="AS68" i="238"/>
  <c r="AS67" i="238"/>
  <c r="AS66" i="238"/>
  <c r="AS65" i="238"/>
  <c r="AS64" i="238"/>
  <c r="AS62" i="238"/>
  <c r="AS61" i="238"/>
  <c r="AS60" i="238"/>
  <c r="AS59" i="238"/>
  <c r="AS58" i="238"/>
  <c r="AS57" i="238"/>
  <c r="AS54" i="238"/>
  <c r="AS53" i="238"/>
  <c r="AS52" i="238"/>
  <c r="AS51" i="238"/>
  <c r="AS50" i="238"/>
  <c r="AS49" i="238"/>
  <c r="AS47" i="238"/>
  <c r="AS46" i="238"/>
  <c r="AS45" i="238"/>
  <c r="AS44" i="238"/>
  <c r="AS43" i="238"/>
  <c r="AS42" i="238"/>
  <c r="AS41" i="238"/>
  <c r="AS40" i="238"/>
  <c r="AS39" i="238"/>
  <c r="AS38" i="238"/>
  <c r="AS37" i="238"/>
  <c r="AR24" i="238"/>
  <c r="AS23" i="238"/>
  <c r="AS19" i="238"/>
  <c r="AS20" i="238"/>
  <c r="AS16" i="238"/>
  <c r="AS12" i="238"/>
  <c r="AS11" i="238"/>
  <c r="AS8" i="238"/>
  <c r="AS7" i="238"/>
  <c r="AH36" i="296"/>
  <c r="AG36" i="296"/>
  <c r="AI36" i="296"/>
  <c r="AH35" i="296"/>
  <c r="AI35" i="296"/>
  <c r="AG35" i="296"/>
  <c r="AH34" i="296"/>
  <c r="AI34" i="296"/>
  <c r="AG34" i="296"/>
  <c r="AH33" i="296"/>
  <c r="AG33" i="296"/>
  <c r="AG37" i="296"/>
  <c r="AH32" i="296"/>
  <c r="AG32" i="296"/>
  <c r="AH31" i="296"/>
  <c r="AH37" i="296"/>
  <c r="AG31" i="296"/>
  <c r="AH29" i="296"/>
  <c r="AG29" i="296"/>
  <c r="AI28" i="296"/>
  <c r="AI27" i="296"/>
  <c r="AI26" i="296"/>
  <c r="AH24" i="296"/>
  <c r="AG24" i="296"/>
  <c r="AI24" i="296"/>
  <c r="AI23" i="296"/>
  <c r="AI22" i="296"/>
  <c r="AI21" i="296"/>
  <c r="AH19" i="296"/>
  <c r="AG19" i="296"/>
  <c r="AI19" i="296"/>
  <c r="AI18" i="296"/>
  <c r="AI17" i="296"/>
  <c r="AI16" i="296"/>
  <c r="AH14" i="296"/>
  <c r="AG14" i="296"/>
  <c r="AI13" i="296"/>
  <c r="AI12" i="296"/>
  <c r="AI11" i="296"/>
  <c r="AH9" i="296"/>
  <c r="AG9" i="296"/>
  <c r="AI8" i="296"/>
  <c r="AI7" i="296"/>
  <c r="AI6" i="296"/>
  <c r="AC103" i="236"/>
  <c r="AC100" i="236"/>
  <c r="AC97" i="236"/>
  <c r="AC104" i="236"/>
  <c r="AD101" i="236"/>
  <c r="AD103" i="236"/>
  <c r="AD98" i="236"/>
  <c r="AD100" i="236"/>
  <c r="AD95" i="236"/>
  <c r="AD97" i="236"/>
  <c r="AE103" i="236"/>
  <c r="AE104" i="236"/>
  <c r="AE100" i="236"/>
  <c r="AE97" i="236"/>
  <c r="AF103" i="236"/>
  <c r="AF104" i="236"/>
  <c r="AF100" i="236"/>
  <c r="AF97" i="236"/>
  <c r="AG101" i="236"/>
  <c r="AG103" i="236"/>
  <c r="AG98" i="236"/>
  <c r="AG100" i="236"/>
  <c r="AG95" i="236"/>
  <c r="AG97" i="236"/>
  <c r="AH103" i="236"/>
  <c r="AH104" i="236"/>
  <c r="AH100" i="236"/>
  <c r="AH97" i="236"/>
  <c r="AI103" i="236"/>
  <c r="AI100" i="236"/>
  <c r="AI97" i="236"/>
  <c r="AJ101" i="236"/>
  <c r="AJ103" i="236"/>
  <c r="AJ98" i="236"/>
  <c r="AJ99" i="236"/>
  <c r="AJ95" i="236"/>
  <c r="AJ97" i="236"/>
  <c r="AK103" i="236"/>
  <c r="AK104" i="236"/>
  <c r="AK100" i="236"/>
  <c r="AK97" i="236"/>
  <c r="AL103" i="236"/>
  <c r="AL104" i="236"/>
  <c r="AL100" i="236"/>
  <c r="AL97" i="236"/>
  <c r="AM101" i="236"/>
  <c r="AM103" i="236"/>
  <c r="AM98" i="236"/>
  <c r="AM99" i="236"/>
  <c r="AM95" i="236"/>
  <c r="AM97" i="236"/>
  <c r="AN103" i="236"/>
  <c r="AN100" i="236"/>
  <c r="AN97" i="236"/>
  <c r="AO103" i="236"/>
  <c r="AO100" i="236"/>
  <c r="AO104" i="236"/>
  <c r="AO97" i="236"/>
  <c r="AP101" i="236"/>
  <c r="AP103" i="236"/>
  <c r="AP98" i="236"/>
  <c r="AP99" i="236"/>
  <c r="AP95" i="236"/>
  <c r="AP97" i="236"/>
  <c r="AQ103" i="236"/>
  <c r="AQ100" i="236"/>
  <c r="AQ97" i="236"/>
  <c r="AB103" i="236"/>
  <c r="AB100" i="236"/>
  <c r="AB97" i="236"/>
  <c r="AR103" i="236"/>
  <c r="AR104" i="236"/>
  <c r="AD34" i="306"/>
  <c r="AD20" i="306"/>
  <c r="AB38" i="306"/>
  <c r="AD15" i="306"/>
  <c r="AQ103" i="238"/>
  <c r="AS77" i="238"/>
  <c r="AQ24" i="238"/>
  <c r="AQ25" i="238"/>
  <c r="AS5" i="238"/>
  <c r="AS17" i="238"/>
  <c r="AP29" i="239"/>
  <c r="AR13" i="239"/>
  <c r="AR28" i="239"/>
  <c r="AR6" i="239"/>
  <c r="AR16" i="239"/>
  <c r="AR22" i="239"/>
  <c r="AR27" i="239"/>
  <c r="AR8" i="239"/>
  <c r="AR12" i="239"/>
  <c r="AP36" i="239"/>
  <c r="AS87" i="238"/>
  <c r="AR78" i="238"/>
  <c r="AQ78" i="238"/>
  <c r="AR56" i="238"/>
  <c r="AI32" i="296"/>
  <c r="AI14" i="296"/>
  <c r="AI29" i="296"/>
  <c r="AI9" i="296"/>
  <c r="AI31" i="296"/>
  <c r="AQ28" i="237"/>
  <c r="AP28" i="237"/>
  <c r="AQ27" i="237"/>
  <c r="AP27" i="237"/>
  <c r="AQ26" i="237"/>
  <c r="AP26" i="237"/>
  <c r="AR26" i="237"/>
  <c r="AQ23" i="237"/>
  <c r="AP23" i="237"/>
  <c r="AQ22" i="237"/>
  <c r="AQ21" i="237"/>
  <c r="AP21" i="237"/>
  <c r="AQ18" i="237"/>
  <c r="AP18" i="237"/>
  <c r="AQ17" i="237"/>
  <c r="AP17" i="237"/>
  <c r="AP16" i="237"/>
  <c r="AQ13" i="237"/>
  <c r="AQ36" i="237"/>
  <c r="AP13" i="237"/>
  <c r="AP36" i="237"/>
  <c r="AQ12" i="237"/>
  <c r="AQ35" i="237"/>
  <c r="AP12" i="237"/>
  <c r="AP35" i="237"/>
  <c r="AQ11" i="237"/>
  <c r="AP11" i="237"/>
  <c r="AQ8" i="237"/>
  <c r="AQ34" i="237"/>
  <c r="AP8" i="237"/>
  <c r="AQ7" i="237"/>
  <c r="AR7" i="237"/>
  <c r="AP7" i="237"/>
  <c r="AQ6" i="237"/>
  <c r="AP6" i="237"/>
  <c r="AP9" i="237"/>
  <c r="AS101" i="236"/>
  <c r="AS103" i="236"/>
  <c r="AS99" i="236"/>
  <c r="AS98" i="236"/>
  <c r="AS100" i="236"/>
  <c r="AS95" i="236"/>
  <c r="AS97" i="236"/>
  <c r="AR93" i="236"/>
  <c r="AR94" i="236"/>
  <c r="AQ93" i="236"/>
  <c r="AS92" i="236"/>
  <c r="AS91" i="236"/>
  <c r="AS93" i="236"/>
  <c r="AS94" i="236"/>
  <c r="AS90" i="236"/>
  <c r="AS89" i="236"/>
  <c r="AQ88" i="236"/>
  <c r="AQ94" i="236"/>
  <c r="AS87" i="236"/>
  <c r="AS86" i="236"/>
  <c r="AS85" i="236"/>
  <c r="AQ84" i="236"/>
  <c r="AS83" i="236"/>
  <c r="AS82" i="236"/>
  <c r="AS81" i="236"/>
  <c r="AS80" i="236"/>
  <c r="AS84" i="236"/>
  <c r="AR78" i="236"/>
  <c r="AQ78" i="236"/>
  <c r="AS77" i="236"/>
  <c r="AS76" i="236"/>
  <c r="AS75" i="236"/>
  <c r="AS78" i="236"/>
  <c r="AS74" i="236"/>
  <c r="AQ73" i="236"/>
  <c r="AQ64" i="236"/>
  <c r="AS72" i="236"/>
  <c r="AS71" i="236"/>
  <c r="AS70" i="236"/>
  <c r="AS69" i="236"/>
  <c r="AS68" i="236"/>
  <c r="AS67" i="236"/>
  <c r="AS66" i="236"/>
  <c r="AS73" i="236"/>
  <c r="AS65" i="236"/>
  <c r="AS63" i="236"/>
  <c r="AS62" i="236"/>
  <c r="AS61" i="236"/>
  <c r="AS60" i="236"/>
  <c r="AS64" i="236"/>
  <c r="AS59" i="236"/>
  <c r="AS58" i="236"/>
  <c r="AR56" i="236"/>
  <c r="AR57" i="236"/>
  <c r="AQ56" i="236"/>
  <c r="AS55" i="236"/>
  <c r="AS54" i="236"/>
  <c r="AS53" i="236"/>
  <c r="AS52" i="236"/>
  <c r="AS51" i="236"/>
  <c r="AS50" i="236"/>
  <c r="AQ49" i="236"/>
  <c r="AQ57" i="236"/>
  <c r="AS48" i="236"/>
  <c r="AS47" i="236"/>
  <c r="AS46" i="236"/>
  <c r="AS45" i="236"/>
  <c r="AS44" i="236"/>
  <c r="AS43" i="236"/>
  <c r="AS42" i="236"/>
  <c r="AS41" i="236"/>
  <c r="AS40" i="236"/>
  <c r="AS39" i="236"/>
  <c r="AS38" i="236"/>
  <c r="AQ37" i="236"/>
  <c r="AS35" i="236"/>
  <c r="AS34" i="236"/>
  <c r="AS33" i="236"/>
  <c r="AS32" i="236"/>
  <c r="AS31" i="236"/>
  <c r="AS30" i="236"/>
  <c r="AS29" i="236"/>
  <c r="AS28" i="236"/>
  <c r="AS27" i="236"/>
  <c r="AR25" i="236"/>
  <c r="AQ25" i="236"/>
  <c r="AS24" i="236"/>
  <c r="AS23" i="236"/>
  <c r="AS22" i="236"/>
  <c r="AQ21" i="236"/>
  <c r="AS20" i="236"/>
  <c r="AS19" i="236"/>
  <c r="AS18" i="236"/>
  <c r="AS17" i="236"/>
  <c r="AQ16" i="236"/>
  <c r="AQ26" i="236"/>
  <c r="AS15" i="236"/>
  <c r="AS14" i="236"/>
  <c r="AS13" i="236"/>
  <c r="AS12" i="236"/>
  <c r="AS11" i="236"/>
  <c r="AS10" i="236"/>
  <c r="AS9" i="236"/>
  <c r="AS8" i="236"/>
  <c r="AS7" i="236"/>
  <c r="AS6" i="236"/>
  <c r="AP34" i="237"/>
  <c r="AR16" i="237"/>
  <c r="AR11" i="237"/>
  <c r="AR21" i="237"/>
  <c r="AQ32" i="237"/>
  <c r="AQ19" i="237"/>
  <c r="AP22" i="237"/>
  <c r="AP33" i="237"/>
  <c r="AR18" i="237"/>
  <c r="AP14" i="237"/>
  <c r="AP29" i="237"/>
  <c r="AQ31" i="237"/>
  <c r="AS88" i="236"/>
  <c r="AS25" i="236"/>
  <c r="AR26" i="236"/>
  <c r="AS21" i="236"/>
  <c r="R27" i="282"/>
  <c r="Q19" i="282"/>
  <c r="R9" i="282"/>
  <c r="R29" i="282"/>
  <c r="Q14" i="282"/>
  <c r="R14" i="282"/>
  <c r="Q24" i="282"/>
  <c r="R24" i="282"/>
  <c r="Q27" i="282"/>
  <c r="Q28" i="282"/>
  <c r="R28" i="282"/>
  <c r="Q30" i="282"/>
  <c r="Q32" i="282"/>
  <c r="R30" i="282"/>
  <c r="Q31" i="282"/>
  <c r="R31" i="282"/>
  <c r="R26" i="282"/>
  <c r="Q9" i="282"/>
  <c r="R19" i="282"/>
  <c r="Q26" i="282"/>
  <c r="Q29" i="282"/>
  <c r="U45" i="314"/>
  <c r="U48" i="314"/>
  <c r="U54" i="314"/>
  <c r="R45" i="314"/>
  <c r="P48" i="314"/>
  <c r="P43" i="314"/>
  <c r="Q48" i="314"/>
  <c r="Q43" i="314"/>
  <c r="Q54" i="314"/>
  <c r="S48" i="314"/>
  <c r="T48" i="314"/>
  <c r="U47" i="314"/>
  <c r="R47" i="314"/>
  <c r="R48" i="314"/>
  <c r="R42" i="314"/>
  <c r="R43" i="314"/>
  <c r="U42" i="314"/>
  <c r="U43" i="314"/>
  <c r="S43" i="314"/>
  <c r="S54" i="314"/>
  <c r="T43" i="314"/>
  <c r="U33" i="314"/>
  <c r="U32" i="314"/>
  <c r="R33" i="314"/>
  <c r="R32" i="314"/>
  <c r="R35" i="314"/>
  <c r="R41" i="314"/>
  <c r="P35" i="314"/>
  <c r="P41" i="314"/>
  <c r="Q35" i="314"/>
  <c r="Q41" i="314"/>
  <c r="S35" i="314"/>
  <c r="S41" i="314"/>
  <c r="T35" i="314"/>
  <c r="T41" i="314"/>
  <c r="U16" i="314"/>
  <c r="U19" i="314"/>
  <c r="R16" i="314"/>
  <c r="R19" i="314"/>
  <c r="Q19" i="314"/>
  <c r="S19" i="314"/>
  <c r="T19" i="314"/>
  <c r="P19" i="314"/>
  <c r="U8" i="314"/>
  <c r="U9" i="314"/>
  <c r="U13" i="314"/>
  <c r="U14" i="314"/>
  <c r="U6" i="314"/>
  <c r="R8" i="314"/>
  <c r="R9" i="314"/>
  <c r="R13" i="314"/>
  <c r="R14" i="314"/>
  <c r="R6" i="314"/>
  <c r="Q15" i="314"/>
  <c r="Q25" i="314"/>
  <c r="S15" i="314"/>
  <c r="T15" i="314"/>
  <c r="P15" i="314"/>
  <c r="K48" i="314"/>
  <c r="M48" i="314"/>
  <c r="M54" i="314"/>
  <c r="N48" i="314"/>
  <c r="N54" i="314"/>
  <c r="J48" i="314"/>
  <c r="K43" i="314"/>
  <c r="M43" i="314"/>
  <c r="N43" i="314"/>
  <c r="J43" i="314"/>
  <c r="O47" i="314"/>
  <c r="O45" i="314"/>
  <c r="O48" i="314"/>
  <c r="L47" i="314"/>
  <c r="L48" i="314"/>
  <c r="L45" i="314"/>
  <c r="O42" i="314"/>
  <c r="O43" i="314"/>
  <c r="L42" i="314"/>
  <c r="L43" i="314"/>
  <c r="O33" i="314"/>
  <c r="O32" i="314"/>
  <c r="L33" i="314"/>
  <c r="L32" i="314"/>
  <c r="L35" i="314"/>
  <c r="L41" i="314"/>
  <c r="J35" i="314"/>
  <c r="J41" i="314"/>
  <c r="K35" i="314"/>
  <c r="K41" i="314"/>
  <c r="M35" i="314"/>
  <c r="M41" i="314"/>
  <c r="N35" i="314"/>
  <c r="N41" i="314"/>
  <c r="N24" i="314"/>
  <c r="N19" i="314"/>
  <c r="O17" i="314"/>
  <c r="O20" i="314"/>
  <c r="O24" i="314"/>
  <c r="O16" i="314"/>
  <c r="O6" i="314"/>
  <c r="O15" i="314"/>
  <c r="M24" i="314"/>
  <c r="M19" i="314"/>
  <c r="L6" i="314"/>
  <c r="L15" i="314"/>
  <c r="L25" i="314"/>
  <c r="J15" i="314"/>
  <c r="J25" i="314"/>
  <c r="K25" i="314"/>
  <c r="S25" i="314"/>
  <c r="U35" i="314"/>
  <c r="U41" i="314"/>
  <c r="O35" i="314"/>
  <c r="O41" i="314"/>
  <c r="K54" i="314"/>
  <c r="K56" i="314"/>
  <c r="BB50" i="273"/>
  <c r="BC50" i="273"/>
  <c r="BA50" i="273"/>
  <c r="AY31" i="234"/>
  <c r="AZ31" i="234"/>
  <c r="AY32" i="234"/>
  <c r="AZ32" i="234"/>
  <c r="AY33" i="234"/>
  <c r="AZ33" i="234"/>
  <c r="AX33" i="234"/>
  <c r="AX32" i="234"/>
  <c r="AX31" i="234"/>
  <c r="BA31" i="234"/>
  <c r="AZ24" i="234"/>
  <c r="AY24" i="234"/>
  <c r="AX24" i="234"/>
  <c r="BA23" i="234"/>
  <c r="BA22" i="234"/>
  <c r="BA21" i="234"/>
  <c r="I78" i="330"/>
  <c r="I22" i="330"/>
  <c r="G98" i="330"/>
  <c r="F28" i="331"/>
  <c r="H71" i="330"/>
  <c r="G73" i="330"/>
  <c r="F22" i="331"/>
  <c r="H93" i="330"/>
  <c r="G27" i="331"/>
  <c r="G93" i="330"/>
  <c r="F27" i="331"/>
  <c r="I86" i="330"/>
  <c r="I87" i="330"/>
  <c r="I88" i="330"/>
  <c r="I89" i="330"/>
  <c r="I90" i="330"/>
  <c r="I91" i="330"/>
  <c r="I92" i="330"/>
  <c r="I85" i="330"/>
  <c r="H84" i="330"/>
  <c r="G26" i="331"/>
  <c r="H98" i="330"/>
  <c r="G28" i="331"/>
  <c r="G84" i="330"/>
  <c r="F26" i="331"/>
  <c r="I83" i="330"/>
  <c r="I80" i="330"/>
  <c r="I95" i="330"/>
  <c r="I96" i="330"/>
  <c r="I97" i="330"/>
  <c r="I94" i="330"/>
  <c r="I75" i="330"/>
  <c r="I74" i="330"/>
  <c r="H76" i="330"/>
  <c r="G23" i="331"/>
  <c r="H73" i="330"/>
  <c r="G22" i="331"/>
  <c r="G71" i="330"/>
  <c r="F21" i="331"/>
  <c r="G76" i="330"/>
  <c r="F23" i="331"/>
  <c r="I70" i="330"/>
  <c r="I71" i="330"/>
  <c r="I72" i="330"/>
  <c r="I73" i="330"/>
  <c r="H68" i="330"/>
  <c r="G18" i="331"/>
  <c r="G68" i="330"/>
  <c r="I64" i="330"/>
  <c r="I65" i="330"/>
  <c r="I63" i="330"/>
  <c r="I68" i="330"/>
  <c r="H18" i="331"/>
  <c r="I53" i="330"/>
  <c r="I54" i="330"/>
  <c r="I55" i="330"/>
  <c r="I56" i="330"/>
  <c r="I57" i="330"/>
  <c r="I58" i="330"/>
  <c r="I59" i="330"/>
  <c r="I60" i="330"/>
  <c r="I52" i="330"/>
  <c r="H61" i="330"/>
  <c r="G61" i="330"/>
  <c r="F17" i="331"/>
  <c r="H49" i="330"/>
  <c r="G16" i="331"/>
  <c r="G49" i="330"/>
  <c r="F16" i="331"/>
  <c r="I41" i="330"/>
  <c r="I49" i="330"/>
  <c r="H29" i="330"/>
  <c r="G29" i="330"/>
  <c r="I36" i="330"/>
  <c r="I37" i="330"/>
  <c r="I35" i="330"/>
  <c r="I38" i="330"/>
  <c r="H11" i="331"/>
  <c r="H38" i="330"/>
  <c r="G11" i="331"/>
  <c r="G38" i="330"/>
  <c r="F11" i="331"/>
  <c r="I27" i="330"/>
  <c r="I28" i="330"/>
  <c r="I30" i="330"/>
  <c r="I31" i="330"/>
  <c r="I32" i="330"/>
  <c r="I33" i="330"/>
  <c r="I26" i="330"/>
  <c r="H34" i="330"/>
  <c r="G13" i="331"/>
  <c r="G36" i="331"/>
  <c r="G34" i="330"/>
  <c r="H24" i="330"/>
  <c r="G8" i="331"/>
  <c r="G24" i="330"/>
  <c r="F8" i="331"/>
  <c r="I17" i="330"/>
  <c r="I18" i="330"/>
  <c r="I19" i="330"/>
  <c r="I16" i="330"/>
  <c r="H20" i="330"/>
  <c r="G7" i="331"/>
  <c r="G20" i="330"/>
  <c r="I7" i="330"/>
  <c r="I8" i="330"/>
  <c r="I9" i="330"/>
  <c r="I10" i="330"/>
  <c r="I11" i="330"/>
  <c r="I12" i="330"/>
  <c r="I13" i="330"/>
  <c r="I14" i="330"/>
  <c r="I6" i="330"/>
  <c r="I5" i="330"/>
  <c r="G15" i="330"/>
  <c r="H15" i="330"/>
  <c r="G6" i="331"/>
  <c r="I51" i="324"/>
  <c r="I52" i="324"/>
  <c r="H54" i="324"/>
  <c r="G54" i="324"/>
  <c r="I50" i="324"/>
  <c r="I40" i="324"/>
  <c r="I42" i="324"/>
  <c r="I45" i="324"/>
  <c r="I46" i="324"/>
  <c r="H39" i="324"/>
  <c r="G39" i="324"/>
  <c r="I28" i="324"/>
  <c r="I29" i="324"/>
  <c r="I36" i="324"/>
  <c r="I35" i="324"/>
  <c r="I32" i="324"/>
  <c r="I33" i="324"/>
  <c r="H22" i="324"/>
  <c r="G22" i="324"/>
  <c r="I17" i="324"/>
  <c r="I22" i="324"/>
  <c r="H16" i="324"/>
  <c r="G16" i="324"/>
  <c r="I10" i="324"/>
  <c r="I12" i="324"/>
  <c r="I15" i="324"/>
  <c r="Q11" i="321"/>
  <c r="P11" i="321"/>
  <c r="K92" i="285"/>
  <c r="G110" i="285"/>
  <c r="F110" i="285"/>
  <c r="C104" i="285"/>
  <c r="B104" i="285"/>
  <c r="B117" i="285"/>
  <c r="C117" i="285"/>
  <c r="B118" i="285"/>
  <c r="C118" i="285"/>
  <c r="F118" i="285"/>
  <c r="G118" i="285"/>
  <c r="W29" i="344"/>
  <c r="Y27" i="344"/>
  <c r="Y26" i="344"/>
  <c r="Y25" i="344"/>
  <c r="Y24" i="344"/>
  <c r="Y23" i="344"/>
  <c r="Y22" i="344"/>
  <c r="Y21" i="344"/>
  <c r="Y20" i="344"/>
  <c r="Y19" i="344"/>
  <c r="Y18" i="344"/>
  <c r="Y17" i="344"/>
  <c r="Y16" i="344"/>
  <c r="Y15" i="344"/>
  <c r="Y14" i="344"/>
  <c r="Y13" i="344"/>
  <c r="Y12" i="344"/>
  <c r="Y11" i="344"/>
  <c r="Y10" i="344"/>
  <c r="Y8" i="344"/>
  <c r="Y7" i="344"/>
  <c r="Y6" i="344"/>
  <c r="T29" i="344"/>
  <c r="Q29" i="344"/>
  <c r="R19" i="344" s="1"/>
  <c r="N29" i="344"/>
  <c r="K29" i="344"/>
  <c r="L25" i="344"/>
  <c r="H29" i="344"/>
  <c r="I24" i="344"/>
  <c r="E29" i="344"/>
  <c r="F29" i="344"/>
  <c r="D29" i="344"/>
  <c r="C29" i="344"/>
  <c r="V27" i="344"/>
  <c r="V26" i="344"/>
  <c r="S26" i="344"/>
  <c r="P26" i="344"/>
  <c r="M26" i="344"/>
  <c r="J26" i="344"/>
  <c r="V25" i="344"/>
  <c r="S25" i="344"/>
  <c r="P25" i="344"/>
  <c r="M25" i="344"/>
  <c r="J25" i="344"/>
  <c r="V24" i="344"/>
  <c r="S24" i="344"/>
  <c r="P24" i="344"/>
  <c r="M24" i="344"/>
  <c r="J24" i="344"/>
  <c r="V23" i="344"/>
  <c r="S23" i="344"/>
  <c r="P23" i="344"/>
  <c r="M23" i="344"/>
  <c r="J23" i="344"/>
  <c r="V22" i="344"/>
  <c r="S22" i="344"/>
  <c r="P22" i="344"/>
  <c r="M22" i="344"/>
  <c r="J22" i="344"/>
  <c r="V21" i="344"/>
  <c r="S21" i="344"/>
  <c r="P21" i="344"/>
  <c r="M21" i="344"/>
  <c r="J21" i="344"/>
  <c r="G21" i="344"/>
  <c r="V20" i="344"/>
  <c r="S20" i="344"/>
  <c r="P20" i="344"/>
  <c r="G20" i="344"/>
  <c r="V19" i="344"/>
  <c r="S19" i="344"/>
  <c r="P19" i="344"/>
  <c r="M19" i="344"/>
  <c r="L19" i="344"/>
  <c r="J19" i="344"/>
  <c r="V18" i="344"/>
  <c r="S18" i="344"/>
  <c r="P18" i="344"/>
  <c r="M18" i="344"/>
  <c r="L18" i="344"/>
  <c r="J18" i="344"/>
  <c r="V17" i="344"/>
  <c r="S17" i="344"/>
  <c r="P17" i="344"/>
  <c r="M17" i="344"/>
  <c r="L17" i="344"/>
  <c r="J17" i="344"/>
  <c r="V16" i="344"/>
  <c r="S16" i="344"/>
  <c r="P16" i="344"/>
  <c r="M16" i="344"/>
  <c r="L16" i="344"/>
  <c r="J16" i="344"/>
  <c r="I16" i="344"/>
  <c r="V15" i="344"/>
  <c r="S15" i="344"/>
  <c r="P15" i="344"/>
  <c r="M15" i="344"/>
  <c r="L15" i="344"/>
  <c r="J15" i="344"/>
  <c r="V14" i="344"/>
  <c r="S14" i="344"/>
  <c r="P14" i="344"/>
  <c r="M14" i="344"/>
  <c r="L14" i="344"/>
  <c r="J14" i="344"/>
  <c r="G14" i="344"/>
  <c r="V13" i="344"/>
  <c r="S13" i="344"/>
  <c r="P13" i="344"/>
  <c r="M13" i="344"/>
  <c r="J13" i="344"/>
  <c r="G13" i="344"/>
  <c r="V12" i="344"/>
  <c r="S12" i="344"/>
  <c r="P12" i="344"/>
  <c r="M12" i="344"/>
  <c r="L12" i="344"/>
  <c r="J12" i="344"/>
  <c r="G12" i="344"/>
  <c r="V11" i="344"/>
  <c r="S11" i="344"/>
  <c r="P11" i="344"/>
  <c r="M11" i="344"/>
  <c r="L11" i="344"/>
  <c r="J11" i="344"/>
  <c r="V10" i="344"/>
  <c r="S10" i="344"/>
  <c r="P10" i="344"/>
  <c r="M10" i="344"/>
  <c r="J10" i="344"/>
  <c r="G10" i="344"/>
  <c r="J9" i="344"/>
  <c r="V8" i="344"/>
  <c r="S8" i="344"/>
  <c r="P8" i="344"/>
  <c r="M8" i="344"/>
  <c r="L8" i="344"/>
  <c r="J8" i="344"/>
  <c r="G8" i="344"/>
  <c r="V7" i="344"/>
  <c r="S7" i="344"/>
  <c r="P7" i="344"/>
  <c r="M7" i="344"/>
  <c r="J7" i="344"/>
  <c r="G7" i="344"/>
  <c r="V6" i="344"/>
  <c r="S6" i="344"/>
  <c r="P6" i="344"/>
  <c r="M6" i="344"/>
  <c r="L6" i="344"/>
  <c r="J6" i="344"/>
  <c r="I6" i="344"/>
  <c r="G6" i="344"/>
  <c r="L20" i="344"/>
  <c r="L22" i="344"/>
  <c r="L24" i="344"/>
  <c r="L26" i="344"/>
  <c r="R26" i="344"/>
  <c r="L29" i="344"/>
  <c r="L7" i="344"/>
  <c r="L10" i="344"/>
  <c r="L13" i="344"/>
  <c r="L21" i="344"/>
  <c r="L23" i="344"/>
  <c r="P24" i="227"/>
  <c r="H50" i="47"/>
  <c r="G52" i="47"/>
  <c r="F52" i="47"/>
  <c r="E52" i="47"/>
  <c r="D52" i="47"/>
  <c r="C52" i="47"/>
  <c r="B52" i="47"/>
  <c r="H51" i="47"/>
  <c r="H49" i="47"/>
  <c r="H48" i="47"/>
  <c r="H47" i="47"/>
  <c r="D84" i="46"/>
  <c r="F84" i="46"/>
  <c r="G84" i="46"/>
  <c r="H84" i="46"/>
  <c r="I84" i="46"/>
  <c r="J84" i="46"/>
  <c r="K84" i="46"/>
  <c r="L84" i="46"/>
  <c r="M84" i="46"/>
  <c r="C84" i="46"/>
  <c r="N68" i="46"/>
  <c r="N52" i="46"/>
  <c r="N46" i="46"/>
  <c r="N30" i="46"/>
  <c r="N17" i="46"/>
  <c r="F44" i="339"/>
  <c r="F45" i="339"/>
  <c r="F46" i="339"/>
  <c r="I30" i="339"/>
  <c r="I31" i="339"/>
  <c r="I32" i="339"/>
  <c r="I33" i="339"/>
  <c r="I34" i="339"/>
  <c r="I35" i="339"/>
  <c r="I27" i="339"/>
  <c r="F30" i="339"/>
  <c r="F31" i="339"/>
  <c r="F32" i="339"/>
  <c r="F33" i="339"/>
  <c r="F34" i="339"/>
  <c r="F35" i="339"/>
  <c r="F27" i="339"/>
  <c r="F7" i="339"/>
  <c r="F8" i="339"/>
  <c r="F9" i="339"/>
  <c r="F11" i="339"/>
  <c r="F12" i="339"/>
  <c r="F14" i="339"/>
  <c r="I7" i="339"/>
  <c r="I8" i="339"/>
  <c r="I9" i="339"/>
  <c r="I11" i="339"/>
  <c r="I12" i="339"/>
  <c r="I14" i="339"/>
  <c r="F13" i="339"/>
  <c r="F15" i="339"/>
  <c r="AZ16" i="263"/>
  <c r="BB16" i="263"/>
  <c r="BA16" i="263"/>
  <c r="AY16" i="263"/>
  <c r="AZ15" i="263"/>
  <c r="BA15" i="263"/>
  <c r="AY15" i="263"/>
  <c r="AZ14" i="263"/>
  <c r="BA14" i="263"/>
  <c r="BA17" i="263"/>
  <c r="AY14" i="263"/>
  <c r="AY18" i="263"/>
  <c r="Y115" i="288"/>
  <c r="Y63" i="288"/>
  <c r="Y12" i="288"/>
  <c r="F38" i="288"/>
  <c r="E38" i="288"/>
  <c r="C38" i="288"/>
  <c r="B38" i="288"/>
  <c r="I37" i="288"/>
  <c r="H37" i="288"/>
  <c r="G37" i="288"/>
  <c r="D37" i="288"/>
  <c r="I36" i="288"/>
  <c r="H36" i="288"/>
  <c r="G36" i="288"/>
  <c r="D36" i="288"/>
  <c r="I35" i="288"/>
  <c r="H35" i="288"/>
  <c r="G35" i="288"/>
  <c r="D35" i="288"/>
  <c r="I34" i="288"/>
  <c r="H34" i="288"/>
  <c r="G34" i="288"/>
  <c r="D34" i="288"/>
  <c r="I33" i="288"/>
  <c r="H33" i="288"/>
  <c r="G33" i="288"/>
  <c r="D33" i="288"/>
  <c r="I32" i="288"/>
  <c r="H32" i="288"/>
  <c r="G32" i="288"/>
  <c r="G38" i="288"/>
  <c r="D32" i="288"/>
  <c r="AC23" i="233"/>
  <c r="AB23" i="233"/>
  <c r="AC22" i="233"/>
  <c r="AB22" i="233"/>
  <c r="AA22" i="233"/>
  <c r="AA24" i="233"/>
  <c r="AC21" i="233"/>
  <c r="AB21" i="233"/>
  <c r="AA21" i="233"/>
  <c r="AC18" i="233"/>
  <c r="AC28" i="233"/>
  <c r="AB18" i="233"/>
  <c r="AA18" i="233"/>
  <c r="AC17" i="233"/>
  <c r="AD17" i="233"/>
  <c r="AB17" i="233"/>
  <c r="AA17" i="233"/>
  <c r="AA19" i="233"/>
  <c r="AC16" i="233"/>
  <c r="AB16" i="233"/>
  <c r="AC13" i="233"/>
  <c r="AB13" i="233"/>
  <c r="AB31" i="233"/>
  <c r="AA13" i="233"/>
  <c r="AA31" i="233"/>
  <c r="AB12" i="233"/>
  <c r="AD12" i="233"/>
  <c r="AC11" i="233"/>
  <c r="AB11" i="233"/>
  <c r="K150" i="266"/>
  <c r="K148" i="266"/>
  <c r="K155" i="266"/>
  <c r="K144" i="266"/>
  <c r="K139" i="266"/>
  <c r="K122" i="266"/>
  <c r="K103" i="266"/>
  <c r="K90" i="266"/>
  <c r="K74" i="266"/>
  <c r="AA8" i="233"/>
  <c r="AB8" i="233"/>
  <c r="AC8" i="233"/>
  <c r="AC7" i="233"/>
  <c r="AC27" i="233"/>
  <c r="AB7" i="233"/>
  <c r="AA7" i="233"/>
  <c r="AC6" i="233"/>
  <c r="AC26" i="233"/>
  <c r="AB6" i="233"/>
  <c r="AA6" i="233"/>
  <c r="AA26" i="233"/>
  <c r="AB30" i="233"/>
  <c r="AD30" i="233"/>
  <c r="Y8" i="233"/>
  <c r="X8" i="233"/>
  <c r="W8" i="233"/>
  <c r="Y7" i="233"/>
  <c r="X7" i="233"/>
  <c r="W7" i="233"/>
  <c r="Y6" i="233"/>
  <c r="X6" i="233"/>
  <c r="X9" i="233"/>
  <c r="W6" i="233"/>
  <c r="K51" i="266"/>
  <c r="K16" i="266"/>
  <c r="K30" i="266"/>
  <c r="BS137" i="278"/>
  <c r="BR137" i="278"/>
  <c r="BR138" i="278"/>
  <c r="BR139" i="278"/>
  <c r="BS46" i="278"/>
  <c r="BR46" i="278"/>
  <c r="BP59" i="279"/>
  <c r="BP67" i="279"/>
  <c r="BQ59" i="279"/>
  <c r="BO59" i="279"/>
  <c r="BQ67" i="279"/>
  <c r="BQ8" i="279"/>
  <c r="BR8" i="279"/>
  <c r="BQ12" i="279"/>
  <c r="BQ16" i="279"/>
  <c r="BQ25" i="279"/>
  <c r="BQ29" i="279"/>
  <c r="BQ33" i="279"/>
  <c r="BQ42" i="279"/>
  <c r="BQ46" i="279"/>
  <c r="BQ50" i="279"/>
  <c r="BQ54" i="279"/>
  <c r="BQ10" i="279"/>
  <c r="BQ14" i="279"/>
  <c r="BQ27" i="279"/>
  <c r="BQ31" i="279"/>
  <c r="BQ40" i="279"/>
  <c r="BQ44" i="279"/>
  <c r="BQ69" i="279"/>
  <c r="BQ7" i="279"/>
  <c r="BQ19" i="279"/>
  <c r="BQ11" i="279"/>
  <c r="BQ15" i="279"/>
  <c r="BQ24" i="279"/>
  <c r="BQ26" i="279"/>
  <c r="BQ28" i="279"/>
  <c r="BQ32" i="279"/>
  <c r="BQ41" i="279"/>
  <c r="BQ45" i="279"/>
  <c r="BQ49" i="279"/>
  <c r="BQ51" i="279"/>
  <c r="BQ58" i="279"/>
  <c r="BQ62" i="279"/>
  <c r="BR62" i="279"/>
  <c r="BQ66" i="279"/>
  <c r="BO67" i="279"/>
  <c r="BO68" i="279"/>
  <c r="BT136" i="278"/>
  <c r="BP16" i="279"/>
  <c r="BO16" i="279"/>
  <c r="BR16" i="279"/>
  <c r="BT42" i="278"/>
  <c r="BT43" i="278"/>
  <c r="BT44" i="278"/>
  <c r="BP24" i="279"/>
  <c r="BO24" i="279"/>
  <c r="BP11" i="279"/>
  <c r="BO11" i="279"/>
  <c r="BP7" i="279"/>
  <c r="BP9" i="279"/>
  <c r="BO7" i="279"/>
  <c r="BP15" i="279"/>
  <c r="BO15" i="279"/>
  <c r="BR15" i="279"/>
  <c r="BL41" i="278"/>
  <c r="BT54" i="278"/>
  <c r="BT36" i="278"/>
  <c r="BT39" i="278"/>
  <c r="BT41" i="278"/>
  <c r="BO69" i="279"/>
  <c r="BP65" i="279"/>
  <c r="BP64" i="279"/>
  <c r="BO64" i="279"/>
  <c r="BR63" i="279"/>
  <c r="BR61" i="279"/>
  <c r="BP58" i="279"/>
  <c r="BP70" i="279"/>
  <c r="BO58" i="279"/>
  <c r="BO60" i="279"/>
  <c r="BR57" i="279"/>
  <c r="BP50" i="279"/>
  <c r="BO50" i="279"/>
  <c r="BP49" i="279"/>
  <c r="BO49" i="279"/>
  <c r="BP46" i="279"/>
  <c r="BO46" i="279"/>
  <c r="BP45" i="279"/>
  <c r="BP47" i="279"/>
  <c r="BO45" i="279"/>
  <c r="BP44" i="279"/>
  <c r="BO44" i="279"/>
  <c r="BO47" i="279"/>
  <c r="BP42" i="279"/>
  <c r="BO42" i="279"/>
  <c r="BP41" i="279"/>
  <c r="BO41" i="279"/>
  <c r="BP40" i="279"/>
  <c r="BP52" i="279"/>
  <c r="BO40" i="279"/>
  <c r="BP33" i="279"/>
  <c r="BO33" i="279"/>
  <c r="BP32" i="279"/>
  <c r="BO32" i="279"/>
  <c r="BP31" i="279"/>
  <c r="BO31" i="279"/>
  <c r="BP29" i="279"/>
  <c r="BP37" i="279"/>
  <c r="BO29" i="279"/>
  <c r="BP28" i="279"/>
  <c r="BO28" i="279"/>
  <c r="BR28" i="279"/>
  <c r="BP27" i="279"/>
  <c r="BO27" i="279"/>
  <c r="BP25" i="279"/>
  <c r="BO25" i="279"/>
  <c r="BP14" i="279"/>
  <c r="BP18" i="279"/>
  <c r="BO14" i="279"/>
  <c r="BP12" i="279"/>
  <c r="BO12" i="279"/>
  <c r="BP10" i="279"/>
  <c r="BO10" i="279"/>
  <c r="BP8" i="279"/>
  <c r="BO8" i="279"/>
  <c r="BQ137" i="278"/>
  <c r="BT135" i="278"/>
  <c r="BT134" i="278"/>
  <c r="BT133" i="278"/>
  <c r="BT137" i="278"/>
  <c r="BS132" i="278"/>
  <c r="BR132" i="278"/>
  <c r="BQ132" i="278"/>
  <c r="BT131" i="278"/>
  <c r="BT132" i="278"/>
  <c r="BS130" i="278"/>
  <c r="BS138" i="278"/>
  <c r="BS17" i="278"/>
  <c r="BS31" i="278"/>
  <c r="BS47" i="278"/>
  <c r="BS62" i="278"/>
  <c r="BS77" i="278"/>
  <c r="BS88" i="278"/>
  <c r="BS121" i="278"/>
  <c r="BS106" i="278"/>
  <c r="BS126" i="278"/>
  <c r="BS127" i="278"/>
  <c r="BR130" i="278"/>
  <c r="BQ130" i="278"/>
  <c r="BT129" i="278"/>
  <c r="BT128" i="278"/>
  <c r="BR126" i="278"/>
  <c r="BQ126" i="278"/>
  <c r="BT125" i="278"/>
  <c r="BT124" i="278"/>
  <c r="BT123" i="278"/>
  <c r="BT122" i="278"/>
  <c r="BR121" i="278"/>
  <c r="BQ121" i="278"/>
  <c r="BT119" i="278"/>
  <c r="BT118" i="278"/>
  <c r="BT116" i="278"/>
  <c r="BT115" i="278"/>
  <c r="BT114" i="278"/>
  <c r="BT113" i="278"/>
  <c r="BT112" i="278"/>
  <c r="BT111" i="278"/>
  <c r="BT110" i="278"/>
  <c r="BT109" i="278"/>
  <c r="BT108" i="278"/>
  <c r="BT107" i="278"/>
  <c r="BR106" i="278"/>
  <c r="BQ106" i="278"/>
  <c r="BQ127" i="278"/>
  <c r="BT105" i="278"/>
  <c r="BT104" i="278"/>
  <c r="BT103" i="278"/>
  <c r="BT102" i="278"/>
  <c r="BT101" i="278"/>
  <c r="BT100" i="278"/>
  <c r="BT99" i="278"/>
  <c r="BT98" i="278"/>
  <c r="BT97" i="278"/>
  <c r="BT96" i="278"/>
  <c r="BT95" i="278"/>
  <c r="BT94" i="278"/>
  <c r="BT93" i="278"/>
  <c r="BT92" i="278"/>
  <c r="BT91" i="278"/>
  <c r="BT90" i="278"/>
  <c r="BR88" i="278"/>
  <c r="BQ88" i="278"/>
  <c r="BT87" i="278"/>
  <c r="BT86" i="278"/>
  <c r="BT85" i="278"/>
  <c r="BT83" i="278"/>
  <c r="BT88" i="278"/>
  <c r="BT82" i="278"/>
  <c r="BT81" i="278"/>
  <c r="BT80" i="278"/>
  <c r="BT79" i="278"/>
  <c r="BT78" i="278"/>
  <c r="BR77" i="278"/>
  <c r="BQ77" i="278"/>
  <c r="BT76" i="278"/>
  <c r="BT75" i="278"/>
  <c r="BT74" i="278"/>
  <c r="BT73" i="278"/>
  <c r="BT72" i="278"/>
  <c r="BT71" i="278"/>
  <c r="BT70" i="278"/>
  <c r="BT69" i="278"/>
  <c r="BT68" i="278"/>
  <c r="BT77" i="278"/>
  <c r="BT67" i="278"/>
  <c r="BT66" i="278"/>
  <c r="BT65" i="278"/>
  <c r="BT64" i="278"/>
  <c r="BT63" i="278"/>
  <c r="BR62" i="278"/>
  <c r="BQ62" i="278"/>
  <c r="BT61" i="278"/>
  <c r="BT59" i="278"/>
  <c r="BT58" i="278"/>
  <c r="BT57" i="278"/>
  <c r="BT56" i="278"/>
  <c r="BT55" i="278"/>
  <c r="BT53" i="278"/>
  <c r="BT52" i="278"/>
  <c r="BT51" i="278"/>
  <c r="BT50" i="278"/>
  <c r="BT49" i="278"/>
  <c r="BT48" i="278"/>
  <c r="BQ46" i="278"/>
  <c r="BT35" i="278"/>
  <c r="BT33" i="278"/>
  <c r="BT32" i="278"/>
  <c r="BT6" i="278"/>
  <c r="BT7" i="278"/>
  <c r="BT9" i="278"/>
  <c r="BT10" i="278"/>
  <c r="BT11" i="278"/>
  <c r="BT12" i="278"/>
  <c r="BT13" i="278"/>
  <c r="BT18" i="278"/>
  <c r="BT19" i="278"/>
  <c r="BT20" i="278"/>
  <c r="BT21" i="278"/>
  <c r="BT22" i="278"/>
  <c r="BT23" i="278"/>
  <c r="BT24" i="278"/>
  <c r="BT25" i="278"/>
  <c r="BT26" i="278"/>
  <c r="BT27" i="278"/>
  <c r="BT28" i="278"/>
  <c r="BT29" i="278"/>
  <c r="BT30" i="278"/>
  <c r="BR31" i="278"/>
  <c r="BQ31" i="278"/>
  <c r="BR17" i="278"/>
  <c r="BQ17" i="278"/>
  <c r="D21" i="282"/>
  <c r="E21" i="282"/>
  <c r="F21" i="282"/>
  <c r="G21" i="282"/>
  <c r="H21" i="282"/>
  <c r="I21" i="282"/>
  <c r="J21" i="282"/>
  <c r="K21" i="282"/>
  <c r="L21" i="282"/>
  <c r="D22" i="282"/>
  <c r="D28" i="282"/>
  <c r="E22" i="282"/>
  <c r="E28" i="282"/>
  <c r="F22" i="282"/>
  <c r="F28" i="282"/>
  <c r="G22" i="282"/>
  <c r="G28" i="282"/>
  <c r="H22" i="282"/>
  <c r="H28" i="282"/>
  <c r="I22" i="282"/>
  <c r="J22" i="282"/>
  <c r="K22" i="282"/>
  <c r="L22" i="282"/>
  <c r="D23" i="282"/>
  <c r="E23" i="282"/>
  <c r="F23" i="282"/>
  <c r="G23" i="282"/>
  <c r="H23" i="282"/>
  <c r="I23" i="282"/>
  <c r="J23" i="282"/>
  <c r="K23" i="282"/>
  <c r="L23" i="282"/>
  <c r="C23" i="282"/>
  <c r="C22" i="282"/>
  <c r="C28" i="282"/>
  <c r="C21" i="282"/>
  <c r="J16" i="282"/>
  <c r="K16" i="282"/>
  <c r="L16" i="282"/>
  <c r="J18" i="282"/>
  <c r="K18" i="282"/>
  <c r="L18" i="282"/>
  <c r="I18" i="282"/>
  <c r="I16" i="282"/>
  <c r="J11" i="282"/>
  <c r="K11" i="282"/>
  <c r="L11" i="282"/>
  <c r="J12" i="282"/>
  <c r="J30" i="282"/>
  <c r="K12" i="282"/>
  <c r="K30" i="282"/>
  <c r="L12" i="282"/>
  <c r="L30" i="282"/>
  <c r="J13" i="282"/>
  <c r="J31" i="282"/>
  <c r="K13" i="282"/>
  <c r="K31" i="282"/>
  <c r="L13" i="282"/>
  <c r="L31" i="282"/>
  <c r="I13" i="282"/>
  <c r="I31" i="282"/>
  <c r="I12" i="282"/>
  <c r="I30" i="282"/>
  <c r="I11" i="282"/>
  <c r="K6" i="282"/>
  <c r="L6" i="282"/>
  <c r="K7" i="282"/>
  <c r="L7" i="282"/>
  <c r="K8" i="282"/>
  <c r="L8" i="282"/>
  <c r="D6" i="282"/>
  <c r="E6" i="282"/>
  <c r="E26" i="282"/>
  <c r="F6" i="282"/>
  <c r="F26" i="282"/>
  <c r="G6" i="282"/>
  <c r="G26" i="282"/>
  <c r="H6" i="282"/>
  <c r="I6" i="282"/>
  <c r="I26" i="282"/>
  <c r="J6" i="282"/>
  <c r="D7" i="282"/>
  <c r="E7" i="282"/>
  <c r="F7" i="282"/>
  <c r="G7" i="282"/>
  <c r="H7" i="282"/>
  <c r="I7" i="282"/>
  <c r="J7" i="282"/>
  <c r="D8" i="282"/>
  <c r="D29" i="282"/>
  <c r="E8" i="282"/>
  <c r="E29" i="282"/>
  <c r="F8" i="282"/>
  <c r="F29" i="282"/>
  <c r="G8" i="282"/>
  <c r="G29" i="282"/>
  <c r="H8" i="282"/>
  <c r="H29" i="282"/>
  <c r="I8" i="282"/>
  <c r="I29" i="282"/>
  <c r="J8" i="282"/>
  <c r="C8" i="282"/>
  <c r="C7" i="282"/>
  <c r="C6" i="282"/>
  <c r="C26" i="282"/>
  <c r="M9" i="282"/>
  <c r="N9" i="282"/>
  <c r="O9" i="282"/>
  <c r="P9" i="282"/>
  <c r="L95" i="314"/>
  <c r="M95" i="314"/>
  <c r="BR66" i="279"/>
  <c r="J84" i="314"/>
  <c r="M84" i="314"/>
  <c r="M87" i="314"/>
  <c r="L84" i="314"/>
  <c r="K84" i="314"/>
  <c r="J86" i="314"/>
  <c r="M86" i="314"/>
  <c r="L86" i="314"/>
  <c r="K86" i="314"/>
  <c r="K81" i="314"/>
  <c r="J81" i="314"/>
  <c r="M81" i="314"/>
  <c r="L81" i="314"/>
  <c r="K78" i="314"/>
  <c r="J78" i="314"/>
  <c r="M78" i="314"/>
  <c r="L78" i="314"/>
  <c r="K76" i="314"/>
  <c r="J76" i="314"/>
  <c r="M76" i="314"/>
  <c r="L76" i="314"/>
  <c r="D72" i="314"/>
  <c r="G72" i="314"/>
  <c r="F72" i="314"/>
  <c r="I72" i="314"/>
  <c r="H72" i="314"/>
  <c r="K72" i="314"/>
  <c r="J72" i="314"/>
  <c r="M72" i="314"/>
  <c r="L72" i="314"/>
  <c r="E72" i="314"/>
  <c r="D67" i="314"/>
  <c r="G67" i="314"/>
  <c r="F67" i="314"/>
  <c r="I67" i="314"/>
  <c r="H67" i="314"/>
  <c r="K67" i="314"/>
  <c r="J67" i="314"/>
  <c r="M67" i="314"/>
  <c r="L67" i="314"/>
  <c r="E67" i="314"/>
  <c r="D63" i="314"/>
  <c r="G63" i="314"/>
  <c r="F63" i="314"/>
  <c r="I63" i="314"/>
  <c r="H63" i="314"/>
  <c r="K63" i="314"/>
  <c r="J63" i="314"/>
  <c r="M63" i="314"/>
  <c r="L63" i="314"/>
  <c r="E63" i="314"/>
  <c r="L99" i="314"/>
  <c r="M99" i="314"/>
  <c r="J99" i="314"/>
  <c r="K99" i="314"/>
  <c r="J95" i="314"/>
  <c r="K95" i="314"/>
  <c r="L90" i="314"/>
  <c r="M90" i="314"/>
  <c r="J90" i="314"/>
  <c r="K90" i="314"/>
  <c r="H90" i="314"/>
  <c r="H99" i="314"/>
  <c r="I99" i="314"/>
  <c r="I90" i="314"/>
  <c r="F90" i="314"/>
  <c r="H95" i="314"/>
  <c r="I95" i="314"/>
  <c r="D99" i="314"/>
  <c r="E99" i="314"/>
  <c r="F99" i="314"/>
  <c r="G99" i="314"/>
  <c r="F95" i="314"/>
  <c r="G95" i="314"/>
  <c r="G90" i="314"/>
  <c r="X13" i="253"/>
  <c r="X96" i="275"/>
  <c r="X99" i="275"/>
  <c r="X101" i="275"/>
  <c r="X23" i="253"/>
  <c r="X22" i="253"/>
  <c r="X21" i="253"/>
  <c r="X94" i="275"/>
  <c r="X56" i="275"/>
  <c r="X49" i="275"/>
  <c r="X36" i="275"/>
  <c r="X25" i="275"/>
  <c r="X21" i="275"/>
  <c r="X16" i="275"/>
  <c r="O6" i="172"/>
  <c r="O16" i="172"/>
  <c r="O72" i="173"/>
  <c r="O21" i="172"/>
  <c r="O31" i="172"/>
  <c r="O7" i="172"/>
  <c r="O8" i="172"/>
  <c r="O11" i="172"/>
  <c r="O12" i="172"/>
  <c r="O13" i="172"/>
  <c r="O36" i="172"/>
  <c r="O17" i="172"/>
  <c r="O18" i="172"/>
  <c r="O26" i="172"/>
  <c r="O27" i="172"/>
  <c r="O28" i="172"/>
  <c r="O77" i="173"/>
  <c r="O75" i="173"/>
  <c r="O22" i="172"/>
  <c r="O38" i="173"/>
  <c r="O33" i="173"/>
  <c r="O29" i="173"/>
  <c r="O99" i="173"/>
  <c r="O94" i="173"/>
  <c r="O85" i="173"/>
  <c r="O100" i="173"/>
  <c r="O69" i="173"/>
  <c r="O62" i="173"/>
  <c r="O70" i="173"/>
  <c r="O49" i="173"/>
  <c r="O23" i="173"/>
  <c r="O19" i="173"/>
  <c r="O14" i="173"/>
  <c r="AE31" i="297"/>
  <c r="AE32" i="297"/>
  <c r="AE33" i="297"/>
  <c r="AD33" i="297"/>
  <c r="AF33" i="297"/>
  <c r="AD32" i="297"/>
  <c r="AD31" i="297"/>
  <c r="AD37" i="297"/>
  <c r="AE34" i="297"/>
  <c r="AE35" i="297"/>
  <c r="AE36" i="297"/>
  <c r="AF7" i="297"/>
  <c r="AF8" i="297"/>
  <c r="AF6" i="297"/>
  <c r="AF9" i="297"/>
  <c r="AE24" i="297"/>
  <c r="AD24" i="297"/>
  <c r="AF23" i="297"/>
  <c r="AF22" i="297"/>
  <c r="AF21" i="297"/>
  <c r="AD36" i="297"/>
  <c r="AD35" i="297"/>
  <c r="AF35" i="297"/>
  <c r="AD34" i="297"/>
  <c r="AF34" i="297"/>
  <c r="AF32" i="297"/>
  <c r="AE29" i="297"/>
  <c r="AD29" i="297"/>
  <c r="AF28" i="297"/>
  <c r="AF27" i="297"/>
  <c r="AF26" i="297"/>
  <c r="AE19" i="297"/>
  <c r="AD19" i="297"/>
  <c r="AF18" i="297"/>
  <c r="AF19" i="297"/>
  <c r="AF17" i="297"/>
  <c r="AF16" i="297"/>
  <c r="AE14" i="297"/>
  <c r="AD14" i="297"/>
  <c r="AF13" i="297"/>
  <c r="AF12" i="297"/>
  <c r="AF14" i="297"/>
  <c r="AF11" i="297"/>
  <c r="AE9" i="297"/>
  <c r="AD9" i="297"/>
  <c r="BL12" i="98"/>
  <c r="BM12" i="98"/>
  <c r="BM35" i="98"/>
  <c r="BK12" i="98"/>
  <c r="BK35" i="98"/>
  <c r="BL11" i="98"/>
  <c r="BM11" i="98"/>
  <c r="BK11" i="98"/>
  <c r="BQ28" i="98"/>
  <c r="BP28" i="98"/>
  <c r="BO28" i="98"/>
  <c r="BQ27" i="98"/>
  <c r="BP27" i="98"/>
  <c r="BO27" i="98"/>
  <c r="BQ26" i="98"/>
  <c r="BQ29" i="98"/>
  <c r="BP26" i="98"/>
  <c r="BP29" i="98"/>
  <c r="BO26" i="98"/>
  <c r="BQ18" i="98"/>
  <c r="BP18" i="98"/>
  <c r="BO18" i="98"/>
  <c r="BQ17" i="98"/>
  <c r="BP17" i="98"/>
  <c r="BO17" i="98"/>
  <c r="BQ16" i="98"/>
  <c r="BQ19" i="98"/>
  <c r="BP16" i="98"/>
  <c r="BO16" i="98"/>
  <c r="BQ12" i="98"/>
  <c r="BQ35" i="98"/>
  <c r="BP12" i="98"/>
  <c r="BP35" i="98"/>
  <c r="BO12" i="98"/>
  <c r="BO35" i="98"/>
  <c r="BQ11" i="98"/>
  <c r="BP11" i="98"/>
  <c r="BO11" i="98"/>
  <c r="BQ8" i="98"/>
  <c r="BQ34" i="98"/>
  <c r="BP8" i="98"/>
  <c r="BP34" i="98"/>
  <c r="BO8" i="98"/>
  <c r="BO34" i="98"/>
  <c r="BQ7" i="98"/>
  <c r="BR75" i="274"/>
  <c r="BQ22" i="98"/>
  <c r="BP7" i="98"/>
  <c r="BO7" i="98"/>
  <c r="BQ6" i="98"/>
  <c r="BP6" i="98"/>
  <c r="BP31" i="98"/>
  <c r="BQ72" i="274"/>
  <c r="BP21" i="98"/>
  <c r="BO6" i="98"/>
  <c r="BM28" i="98"/>
  <c r="BL28" i="98"/>
  <c r="BK28" i="98"/>
  <c r="BM27" i="98"/>
  <c r="BL27" i="98"/>
  <c r="BL26" i="98"/>
  <c r="BK27" i="98"/>
  <c r="BM26" i="98"/>
  <c r="BK26" i="98"/>
  <c r="BK29" i="98"/>
  <c r="BM18" i="98"/>
  <c r="BM33" i="98"/>
  <c r="BL18" i="98"/>
  <c r="BK18" i="98"/>
  <c r="BK33" i="98"/>
  <c r="BM17" i="98"/>
  <c r="BL17" i="98"/>
  <c r="BK17" i="98"/>
  <c r="BK7" i="98"/>
  <c r="BM16" i="98"/>
  <c r="BM19" i="98"/>
  <c r="BL16" i="98"/>
  <c r="BL19" i="98"/>
  <c r="BK16" i="98"/>
  <c r="BK19" i="98"/>
  <c r="BL35" i="98"/>
  <c r="BM8" i="98"/>
  <c r="BM34" i="98"/>
  <c r="BL8" i="98"/>
  <c r="BL34" i="98"/>
  <c r="BK8" i="98"/>
  <c r="BK34" i="98"/>
  <c r="BM7" i="98"/>
  <c r="BM6" i="98"/>
  <c r="BM31" i="98"/>
  <c r="BL6" i="98"/>
  <c r="BL31" i="98"/>
  <c r="BK6" i="98"/>
  <c r="BQ77" i="274"/>
  <c r="BP23" i="98"/>
  <c r="BR77" i="274"/>
  <c r="BQ23" i="98"/>
  <c r="BS76" i="274"/>
  <c r="BS77" i="274"/>
  <c r="BR23" i="98"/>
  <c r="BP77" i="274"/>
  <c r="BP78" i="274"/>
  <c r="BP75" i="274"/>
  <c r="BP72" i="274"/>
  <c r="BO21" i="98"/>
  <c r="BQ75" i="274"/>
  <c r="BP22" i="98"/>
  <c r="BS73" i="274"/>
  <c r="BS75" i="274"/>
  <c r="BR22" i="98"/>
  <c r="BO22" i="98"/>
  <c r="BR72" i="274"/>
  <c r="BQ21" i="98"/>
  <c r="BQ24" i="98"/>
  <c r="BS71" i="274"/>
  <c r="BS72" i="274"/>
  <c r="BR21" i="98"/>
  <c r="BR24" i="98"/>
  <c r="O34" i="172"/>
  <c r="O29" i="172"/>
  <c r="O9" i="172"/>
  <c r="AF24" i="297"/>
  <c r="AF29" i="297"/>
  <c r="AE37" i="297"/>
  <c r="BO9" i="98"/>
  <c r="BQ9" i="98"/>
  <c r="BM9" i="98"/>
  <c r="E101" i="339"/>
  <c r="G101" i="339"/>
  <c r="H101" i="339"/>
  <c r="G24" i="342"/>
  <c r="E99" i="339"/>
  <c r="D23" i="342"/>
  <c r="F99" i="339"/>
  <c r="E23" i="342"/>
  <c r="G99" i="339"/>
  <c r="F23" i="342"/>
  <c r="H99" i="339"/>
  <c r="H102" i="339"/>
  <c r="I99" i="339"/>
  <c r="H23" i="342"/>
  <c r="E96" i="339"/>
  <c r="D22" i="342"/>
  <c r="G96" i="339"/>
  <c r="F22" i="342"/>
  <c r="H96" i="339"/>
  <c r="D101" i="339"/>
  <c r="D99" i="339"/>
  <c r="D102" i="339"/>
  <c r="D96" i="339"/>
  <c r="C22" i="342"/>
  <c r="E93" i="339"/>
  <c r="G93" i="339"/>
  <c r="F14" i="342"/>
  <c r="F37" i="342"/>
  <c r="H93" i="339"/>
  <c r="D93" i="339"/>
  <c r="D94" i="339"/>
  <c r="E87" i="339"/>
  <c r="D13" i="342"/>
  <c r="D36" i="342"/>
  <c r="G87" i="339"/>
  <c r="F13" i="342"/>
  <c r="F36" i="342"/>
  <c r="H87" i="339"/>
  <c r="G13" i="342"/>
  <c r="G36" i="342"/>
  <c r="D87" i="339"/>
  <c r="C13" i="342"/>
  <c r="E83" i="339"/>
  <c r="D12" i="342"/>
  <c r="G83" i="339"/>
  <c r="G94" i="339"/>
  <c r="H83" i="339"/>
  <c r="G12" i="342"/>
  <c r="D83" i="339"/>
  <c r="C12" i="342"/>
  <c r="I10" i="339"/>
  <c r="I13" i="339"/>
  <c r="I15" i="339"/>
  <c r="I17" i="339"/>
  <c r="I18" i="339"/>
  <c r="I19" i="339"/>
  <c r="I20" i="339"/>
  <c r="I22" i="339"/>
  <c r="I23" i="339"/>
  <c r="I24" i="339"/>
  <c r="I28" i="339"/>
  <c r="I29" i="339"/>
  <c r="I37" i="339"/>
  <c r="I38" i="339"/>
  <c r="I39" i="339"/>
  <c r="I40" i="339"/>
  <c r="I41" i="339"/>
  <c r="I42" i="339"/>
  <c r="I44" i="339"/>
  <c r="I45" i="339"/>
  <c r="I46" i="339"/>
  <c r="I47" i="339"/>
  <c r="I48" i="339"/>
  <c r="I50" i="339"/>
  <c r="I51" i="339"/>
  <c r="I52" i="339"/>
  <c r="I53" i="339"/>
  <c r="I54" i="339"/>
  <c r="I55" i="339"/>
  <c r="I58" i="339"/>
  <c r="I59" i="339"/>
  <c r="I60" i="339"/>
  <c r="I61" i="339"/>
  <c r="I62" i="339"/>
  <c r="I63" i="339"/>
  <c r="I65" i="339"/>
  <c r="I66" i="339"/>
  <c r="I67" i="339"/>
  <c r="I68" i="339"/>
  <c r="I69" i="339"/>
  <c r="I70" i="339"/>
  <c r="I71" i="339"/>
  <c r="I72" i="339"/>
  <c r="I74" i="339"/>
  <c r="I75" i="339"/>
  <c r="I76" i="339"/>
  <c r="I77" i="339"/>
  <c r="I80" i="339"/>
  <c r="I81" i="339"/>
  <c r="I82" i="339"/>
  <c r="I84" i="339"/>
  <c r="I85" i="339"/>
  <c r="I86" i="339"/>
  <c r="I87" i="339"/>
  <c r="H13" i="342"/>
  <c r="H36" i="342"/>
  <c r="I89" i="339"/>
  <c r="I91" i="339"/>
  <c r="I95" i="339"/>
  <c r="I96" i="339"/>
  <c r="H22" i="342"/>
  <c r="I100" i="339"/>
  <c r="I101" i="339"/>
  <c r="H24" i="342"/>
  <c r="I6" i="339"/>
  <c r="F10" i="339"/>
  <c r="F17" i="339"/>
  <c r="F18" i="339"/>
  <c r="F19" i="339"/>
  <c r="F20" i="339"/>
  <c r="F22" i="339"/>
  <c r="F23" i="339"/>
  <c r="F24" i="339"/>
  <c r="F28" i="339"/>
  <c r="F29" i="339"/>
  <c r="F37" i="339"/>
  <c r="F38" i="339"/>
  <c r="F39" i="339"/>
  <c r="F40" i="339"/>
  <c r="F41" i="339"/>
  <c r="F42" i="339"/>
  <c r="F47" i="339"/>
  <c r="F48" i="339"/>
  <c r="F50" i="339"/>
  <c r="F51" i="339"/>
  <c r="F52" i="339"/>
  <c r="F53" i="339"/>
  <c r="F54" i="339"/>
  <c r="F55" i="339"/>
  <c r="F58" i="339"/>
  <c r="F59" i="339"/>
  <c r="F60" i="339"/>
  <c r="F61" i="339"/>
  <c r="F62" i="339"/>
  <c r="F63" i="339"/>
  <c r="F65" i="339"/>
  <c r="F66" i="339"/>
  <c r="F67" i="339"/>
  <c r="F68" i="339"/>
  <c r="F69" i="339"/>
  <c r="F70" i="339"/>
  <c r="F71" i="339"/>
  <c r="F72" i="339"/>
  <c r="F74" i="339"/>
  <c r="F75" i="339"/>
  <c r="F76" i="339"/>
  <c r="F77" i="339"/>
  <c r="F80" i="339"/>
  <c r="F81" i="339"/>
  <c r="F82" i="339"/>
  <c r="F84" i="339"/>
  <c r="F85" i="339"/>
  <c r="F86" i="339"/>
  <c r="F89" i="339"/>
  <c r="F91" i="339"/>
  <c r="F95" i="339"/>
  <c r="F96" i="339"/>
  <c r="F100" i="339"/>
  <c r="F101" i="339"/>
  <c r="E24" i="342"/>
  <c r="F6" i="339"/>
  <c r="H78" i="339"/>
  <c r="H79" i="339"/>
  <c r="G78" i="339"/>
  <c r="F29" i="342"/>
  <c r="E78" i="339"/>
  <c r="D78" i="339"/>
  <c r="C29" i="342"/>
  <c r="C35" i="342"/>
  <c r="H73" i="339"/>
  <c r="G73" i="339"/>
  <c r="F28" i="342"/>
  <c r="E73" i="339"/>
  <c r="D28" i="342"/>
  <c r="D73" i="339"/>
  <c r="H64" i="339"/>
  <c r="G27" i="342"/>
  <c r="G64" i="339"/>
  <c r="E64" i="339"/>
  <c r="D27" i="342"/>
  <c r="D64" i="339"/>
  <c r="C27" i="342"/>
  <c r="C30" i="342"/>
  <c r="H56" i="339"/>
  <c r="G19" i="342"/>
  <c r="G34" i="342"/>
  <c r="G56" i="339"/>
  <c r="F19" i="342"/>
  <c r="E56" i="339"/>
  <c r="D56" i="339"/>
  <c r="C19" i="342"/>
  <c r="H49" i="339"/>
  <c r="G18" i="342"/>
  <c r="G49" i="339"/>
  <c r="F18" i="342"/>
  <c r="E49" i="339"/>
  <c r="D49" i="339"/>
  <c r="C18" i="342"/>
  <c r="H36" i="339"/>
  <c r="G17" i="342"/>
  <c r="G36" i="339"/>
  <c r="E36" i="339"/>
  <c r="D36" i="339"/>
  <c r="C17" i="342"/>
  <c r="H25" i="339"/>
  <c r="G9" i="342"/>
  <c r="G25" i="339"/>
  <c r="E25" i="339"/>
  <c r="D9" i="342"/>
  <c r="D25" i="339"/>
  <c r="H21" i="339"/>
  <c r="G8" i="342"/>
  <c r="G21" i="339"/>
  <c r="F8" i="342"/>
  <c r="E21" i="339"/>
  <c r="D8" i="342"/>
  <c r="D21" i="339"/>
  <c r="C8" i="342"/>
  <c r="H16" i="339"/>
  <c r="G7" i="342"/>
  <c r="G16" i="339"/>
  <c r="F7" i="342"/>
  <c r="E16" i="339"/>
  <c r="D16" i="339"/>
  <c r="F54" i="308"/>
  <c r="AG102" i="270"/>
  <c r="AF23" i="271"/>
  <c r="AG96" i="270"/>
  <c r="AF21" i="271"/>
  <c r="AG99" i="270"/>
  <c r="AF22" i="271"/>
  <c r="AF102" i="270"/>
  <c r="AE23" i="271"/>
  <c r="AF99" i="270"/>
  <c r="AE22" i="271"/>
  <c r="AF96" i="270"/>
  <c r="AE21" i="271"/>
  <c r="AG92" i="270"/>
  <c r="AF13" i="271" s="1"/>
  <c r="AF36" i="271" s="1"/>
  <c r="AF92" i="270"/>
  <c r="AG87" i="270"/>
  <c r="AF12" i="271" s="1"/>
  <c r="AF35" i="271" s="1"/>
  <c r="AF87" i="270"/>
  <c r="AE12" i="271"/>
  <c r="AE35" i="271" s="1"/>
  <c r="AG83" i="270"/>
  <c r="AF11" i="271" s="1"/>
  <c r="AF83" i="270"/>
  <c r="AE11" i="271" s="1"/>
  <c r="AG77" i="270"/>
  <c r="AF28" i="271" s="1"/>
  <c r="AF77" i="270"/>
  <c r="AG72" i="270"/>
  <c r="AF72" i="270"/>
  <c r="AE27" i="271" s="1"/>
  <c r="AG63" i="270"/>
  <c r="AF26" i="271" s="1"/>
  <c r="AF63" i="270"/>
  <c r="AE26" i="271" s="1"/>
  <c r="AG55" i="270"/>
  <c r="AF18" i="271" s="1"/>
  <c r="AF55" i="270"/>
  <c r="AE18" i="271" s="1"/>
  <c r="AG48" i="270"/>
  <c r="AF17" i="271" s="1"/>
  <c r="AF48" i="270"/>
  <c r="AE17" i="271" s="1"/>
  <c r="AG36" i="270"/>
  <c r="AF16" i="271" s="1"/>
  <c r="AF19" i="271" s="1"/>
  <c r="AF36" i="270"/>
  <c r="AE16" i="271" s="1"/>
  <c r="AG24" i="270"/>
  <c r="AF8" i="271" s="1"/>
  <c r="AF24" i="270"/>
  <c r="AE8" i="271" s="1"/>
  <c r="AG20" i="270"/>
  <c r="AF7" i="271" s="1"/>
  <c r="AF20" i="270"/>
  <c r="AE7" i="271"/>
  <c r="AG15" i="270"/>
  <c r="AF6" i="271" s="1"/>
  <c r="AF15" i="270"/>
  <c r="AE6" i="271" s="1"/>
  <c r="AG103" i="270"/>
  <c r="AG93" i="270"/>
  <c r="E19" i="320"/>
  <c r="D19" i="320"/>
  <c r="C19" i="320"/>
  <c r="D26" i="340"/>
  <c r="C26" i="340"/>
  <c r="C28" i="340"/>
  <c r="D21" i="340"/>
  <c r="D16" i="340"/>
  <c r="E16" i="340"/>
  <c r="E8" i="340"/>
  <c r="E11" i="340"/>
  <c r="E18" i="340"/>
  <c r="E21" i="340"/>
  <c r="E23" i="340"/>
  <c r="E24" i="340"/>
  <c r="E6" i="340"/>
  <c r="D9" i="340"/>
  <c r="E9" i="340"/>
  <c r="E22" i="341"/>
  <c r="D22" i="341"/>
  <c r="E14" i="341"/>
  <c r="D14" i="341"/>
  <c r="E8" i="341"/>
  <c r="D8" i="341"/>
  <c r="E6" i="341"/>
  <c r="D6" i="341"/>
  <c r="F7" i="341"/>
  <c r="F9" i="341"/>
  <c r="F11" i="341"/>
  <c r="F10" i="341"/>
  <c r="F12" i="341"/>
  <c r="F13" i="341"/>
  <c r="F15" i="341"/>
  <c r="F16" i="341"/>
  <c r="F17" i="341"/>
  <c r="F18" i="341"/>
  <c r="F19" i="341"/>
  <c r="F20" i="341"/>
  <c r="F21" i="341"/>
  <c r="F5" i="341"/>
  <c r="F6" i="341"/>
  <c r="E28" i="328"/>
  <c r="E24" i="328"/>
  <c r="D24" i="328"/>
  <c r="C24" i="328"/>
  <c r="D54" i="327"/>
  <c r="C17" i="328"/>
  <c r="E54" i="327"/>
  <c r="D17" i="328"/>
  <c r="D42" i="327"/>
  <c r="C16" i="328"/>
  <c r="G42" i="327"/>
  <c r="F16" i="328"/>
  <c r="I67" i="327"/>
  <c r="I68" i="327"/>
  <c r="I69" i="327"/>
  <c r="I70" i="327"/>
  <c r="I71" i="327"/>
  <c r="I63" i="327"/>
  <c r="I64" i="327"/>
  <c r="I21" i="327"/>
  <c r="H58" i="327"/>
  <c r="G18" i="328"/>
  <c r="G58" i="327"/>
  <c r="H42" i="327"/>
  <c r="G16" i="328"/>
  <c r="E72" i="327"/>
  <c r="D27" i="328"/>
  <c r="E65" i="327"/>
  <c r="E77" i="327"/>
  <c r="D72" i="327"/>
  <c r="F71" i="327"/>
  <c r="F70" i="327"/>
  <c r="F69" i="327"/>
  <c r="F68" i="327"/>
  <c r="F67" i="327"/>
  <c r="F66" i="327"/>
  <c r="D26" i="328"/>
  <c r="D65" i="327"/>
  <c r="C26" i="328"/>
  <c r="F64" i="327"/>
  <c r="F63" i="327"/>
  <c r="F60" i="327"/>
  <c r="E58" i="327"/>
  <c r="D18" i="328"/>
  <c r="D58" i="327"/>
  <c r="C18" i="328"/>
  <c r="F57" i="327"/>
  <c r="F56" i="327"/>
  <c r="F53" i="327"/>
  <c r="F52" i="327"/>
  <c r="F51" i="327"/>
  <c r="F50" i="327"/>
  <c r="F49" i="327"/>
  <c r="F48" i="327"/>
  <c r="F47" i="327"/>
  <c r="F46" i="327"/>
  <c r="F45" i="327"/>
  <c r="F44" i="327"/>
  <c r="E42" i="327"/>
  <c r="D16" i="328"/>
  <c r="F41" i="327"/>
  <c r="F40" i="327"/>
  <c r="E37" i="327"/>
  <c r="D11" i="328"/>
  <c r="D37" i="327"/>
  <c r="F33" i="327"/>
  <c r="F37" i="327"/>
  <c r="E11" i="328"/>
  <c r="E32" i="327"/>
  <c r="D13" i="328"/>
  <c r="D36" i="328"/>
  <c r="D32" i="327"/>
  <c r="C13" i="328"/>
  <c r="C36" i="328"/>
  <c r="F31" i="327"/>
  <c r="F32" i="327"/>
  <c r="E13" i="328"/>
  <c r="E36" i="328"/>
  <c r="F29" i="327"/>
  <c r="E28" i="327"/>
  <c r="D12" i="328"/>
  <c r="D35" i="328"/>
  <c r="D28" i="327"/>
  <c r="C12" i="328"/>
  <c r="F25" i="327"/>
  <c r="F28" i="327"/>
  <c r="E23" i="327"/>
  <c r="D8" i="328"/>
  <c r="D23" i="327"/>
  <c r="F22" i="327"/>
  <c r="F21" i="327"/>
  <c r="F20" i="327"/>
  <c r="E19" i="327"/>
  <c r="D7" i="328"/>
  <c r="D19" i="327"/>
  <c r="F18" i="327"/>
  <c r="F16" i="327"/>
  <c r="F15" i="327"/>
  <c r="E14" i="327"/>
  <c r="D14" i="327"/>
  <c r="C6" i="328"/>
  <c r="F10" i="327"/>
  <c r="F9" i="327"/>
  <c r="F8" i="327"/>
  <c r="F7" i="327"/>
  <c r="F6" i="327"/>
  <c r="F5" i="327"/>
  <c r="G17" i="331"/>
  <c r="F12" i="331"/>
  <c r="F35" i="331"/>
  <c r="F13" i="331"/>
  <c r="D31" i="331"/>
  <c r="C31" i="331"/>
  <c r="E28" i="331"/>
  <c r="E21" i="331"/>
  <c r="E6" i="331"/>
  <c r="E16" i="331"/>
  <c r="E31" i="331"/>
  <c r="E7" i="331"/>
  <c r="E98" i="330"/>
  <c r="D98" i="330"/>
  <c r="F97" i="330"/>
  <c r="F96" i="330"/>
  <c r="F95" i="330"/>
  <c r="F94" i="330"/>
  <c r="E93" i="330"/>
  <c r="D27" i="331"/>
  <c r="D93" i="330"/>
  <c r="C27" i="331"/>
  <c r="F92" i="330"/>
  <c r="F91" i="330"/>
  <c r="F90" i="330"/>
  <c r="F89" i="330"/>
  <c r="F88" i="330"/>
  <c r="F87" i="330"/>
  <c r="F86" i="330"/>
  <c r="F85" i="330"/>
  <c r="E84" i="330"/>
  <c r="D26" i="331"/>
  <c r="D84" i="330"/>
  <c r="C26" i="331"/>
  <c r="F83" i="330"/>
  <c r="F82" i="330"/>
  <c r="F81" i="330"/>
  <c r="F78" i="330"/>
  <c r="F79" i="330"/>
  <c r="F80" i="330"/>
  <c r="E76" i="330"/>
  <c r="D22" i="331"/>
  <c r="E71" i="330"/>
  <c r="D23" i="331"/>
  <c r="D76" i="330"/>
  <c r="C22" i="331"/>
  <c r="F75" i="330"/>
  <c r="F74" i="330"/>
  <c r="E73" i="330"/>
  <c r="D73" i="330"/>
  <c r="F72" i="330"/>
  <c r="F73" i="330"/>
  <c r="D71" i="330"/>
  <c r="C23" i="331"/>
  <c r="F70" i="330"/>
  <c r="F71" i="330"/>
  <c r="E23" i="331"/>
  <c r="E68" i="330"/>
  <c r="D18" i="331"/>
  <c r="D68" i="330"/>
  <c r="C18" i="331"/>
  <c r="F67" i="330"/>
  <c r="F66" i="330"/>
  <c r="F65" i="330"/>
  <c r="F64" i="330"/>
  <c r="F63" i="330"/>
  <c r="F62" i="330"/>
  <c r="E61" i="330"/>
  <c r="D17" i="331"/>
  <c r="D61" i="330"/>
  <c r="C17" i="331"/>
  <c r="F60" i="330"/>
  <c r="F59" i="330"/>
  <c r="F58" i="330"/>
  <c r="F57" i="330"/>
  <c r="F56" i="330"/>
  <c r="F55" i="330"/>
  <c r="F54" i="330"/>
  <c r="F53" i="330"/>
  <c r="F52" i="330"/>
  <c r="F51" i="330"/>
  <c r="F50" i="330"/>
  <c r="E49" i="330"/>
  <c r="D49" i="330"/>
  <c r="F48" i="330"/>
  <c r="F47" i="330"/>
  <c r="F46" i="330"/>
  <c r="F45" i="330"/>
  <c r="F44" i="330"/>
  <c r="F43" i="330"/>
  <c r="F42" i="330"/>
  <c r="F41" i="330"/>
  <c r="F40" i="330"/>
  <c r="E38" i="330"/>
  <c r="D11" i="331"/>
  <c r="D38" i="330"/>
  <c r="C11" i="331"/>
  <c r="F37" i="330"/>
  <c r="F36" i="330"/>
  <c r="F35" i="330"/>
  <c r="E34" i="330"/>
  <c r="D34" i="330"/>
  <c r="C13" i="331"/>
  <c r="C36" i="331"/>
  <c r="F33" i="330"/>
  <c r="F32" i="330"/>
  <c r="F31" i="330"/>
  <c r="F30" i="330"/>
  <c r="E29" i="330"/>
  <c r="D12" i="331"/>
  <c r="D35" i="331"/>
  <c r="D29" i="330"/>
  <c r="C12" i="331"/>
  <c r="F28" i="330"/>
  <c r="F27" i="330"/>
  <c r="F26" i="330"/>
  <c r="E24" i="330"/>
  <c r="D8" i="331"/>
  <c r="D24" i="330"/>
  <c r="C8" i="331"/>
  <c r="F23" i="330"/>
  <c r="F22" i="330"/>
  <c r="F21" i="330"/>
  <c r="E20" i="330"/>
  <c r="D20" i="330"/>
  <c r="E15" i="330"/>
  <c r="D15" i="330"/>
  <c r="F14" i="330"/>
  <c r="F13" i="330"/>
  <c r="F12" i="330"/>
  <c r="F11" i="330"/>
  <c r="F10" i="330"/>
  <c r="F9" i="330"/>
  <c r="F8" i="330"/>
  <c r="F7" i="330"/>
  <c r="F6" i="330"/>
  <c r="F5" i="330"/>
  <c r="E93" i="325"/>
  <c r="D27" i="329"/>
  <c r="E84" i="325"/>
  <c r="D26" i="329"/>
  <c r="D71" i="325"/>
  <c r="C21" i="329"/>
  <c r="I43" i="325"/>
  <c r="I44" i="325"/>
  <c r="I45" i="325"/>
  <c r="I40" i="325"/>
  <c r="I41" i="325"/>
  <c r="I42" i="325"/>
  <c r="I46" i="325"/>
  <c r="I47" i="325"/>
  <c r="I48" i="325"/>
  <c r="I62" i="325"/>
  <c r="I63" i="325"/>
  <c r="I64" i="325"/>
  <c r="I65" i="325"/>
  <c r="I66" i="325"/>
  <c r="I67" i="325"/>
  <c r="I50" i="325"/>
  <c r="I51" i="325"/>
  <c r="I52" i="325"/>
  <c r="I53" i="325"/>
  <c r="I54" i="325"/>
  <c r="I55" i="325"/>
  <c r="I56" i="325"/>
  <c r="I57" i="325"/>
  <c r="I58" i="325"/>
  <c r="I60" i="325"/>
  <c r="H34" i="325"/>
  <c r="G13" i="329"/>
  <c r="G36" i="329"/>
  <c r="G34" i="325"/>
  <c r="F13" i="329"/>
  <c r="I7" i="325"/>
  <c r="E98" i="325"/>
  <c r="D98" i="325"/>
  <c r="C28" i="329"/>
  <c r="F97" i="325"/>
  <c r="F96" i="325"/>
  <c r="F95" i="325"/>
  <c r="F94" i="325"/>
  <c r="D93" i="325"/>
  <c r="C27" i="329"/>
  <c r="F92" i="325"/>
  <c r="F91" i="325"/>
  <c r="F90" i="325"/>
  <c r="F89" i="325"/>
  <c r="F88" i="325"/>
  <c r="F85" i="325"/>
  <c r="F86" i="325"/>
  <c r="F87" i="325"/>
  <c r="D84" i="325"/>
  <c r="C26" i="329"/>
  <c r="F83" i="325"/>
  <c r="F82" i="325"/>
  <c r="F81" i="325"/>
  <c r="F78" i="325"/>
  <c r="F79" i="325"/>
  <c r="F80" i="325"/>
  <c r="E76" i="325"/>
  <c r="D76" i="325"/>
  <c r="C23" i="329"/>
  <c r="E23" i="329"/>
  <c r="F75" i="325"/>
  <c r="F74" i="325"/>
  <c r="E73" i="325"/>
  <c r="D22" i="329"/>
  <c r="D73" i="325"/>
  <c r="C22" i="329"/>
  <c r="F72" i="325"/>
  <c r="F73" i="325"/>
  <c r="E71" i="325"/>
  <c r="D21" i="329"/>
  <c r="F70" i="325"/>
  <c r="F71" i="325"/>
  <c r="E68" i="325"/>
  <c r="D18" i="329"/>
  <c r="D68" i="325"/>
  <c r="C18" i="329"/>
  <c r="F67" i="325"/>
  <c r="F66" i="325"/>
  <c r="F65" i="325"/>
  <c r="F64" i="325"/>
  <c r="F63" i="325"/>
  <c r="F62" i="325"/>
  <c r="F68" i="325"/>
  <c r="E61" i="325"/>
  <c r="D17" i="329"/>
  <c r="D61" i="325"/>
  <c r="C17" i="329"/>
  <c r="F60" i="325"/>
  <c r="F59" i="325"/>
  <c r="F58" i="325"/>
  <c r="F57" i="325"/>
  <c r="F56" i="325"/>
  <c r="F55" i="325"/>
  <c r="F54" i="325"/>
  <c r="F53" i="325"/>
  <c r="F52" i="325"/>
  <c r="F51" i="325"/>
  <c r="F50" i="325"/>
  <c r="E49" i="325"/>
  <c r="D16" i="329"/>
  <c r="D49" i="325"/>
  <c r="C16" i="329"/>
  <c r="F48" i="325"/>
  <c r="F47" i="325"/>
  <c r="F46" i="325"/>
  <c r="F45" i="325"/>
  <c r="F40" i="325"/>
  <c r="F41" i="325"/>
  <c r="F42" i="325"/>
  <c r="F43" i="325"/>
  <c r="F44" i="325"/>
  <c r="E38" i="325"/>
  <c r="D38" i="325"/>
  <c r="F37" i="325"/>
  <c r="F36" i="325"/>
  <c r="F35" i="325"/>
  <c r="E34" i="325"/>
  <c r="D13" i="329"/>
  <c r="D36" i="329"/>
  <c r="D34" i="325"/>
  <c r="C13" i="329"/>
  <c r="F33" i="325"/>
  <c r="F32" i="325"/>
  <c r="F31" i="325"/>
  <c r="F30" i="325"/>
  <c r="E29" i="325"/>
  <c r="D12" i="329"/>
  <c r="D29" i="325"/>
  <c r="C12" i="329"/>
  <c r="F28" i="325"/>
  <c r="F26" i="325"/>
  <c r="F27" i="325"/>
  <c r="E24" i="325"/>
  <c r="D8" i="329"/>
  <c r="D24" i="325"/>
  <c r="C8" i="329"/>
  <c r="F23" i="325"/>
  <c r="F22" i="325"/>
  <c r="F21" i="325"/>
  <c r="E20" i="325"/>
  <c r="D7" i="329"/>
  <c r="D20" i="325"/>
  <c r="C7" i="329"/>
  <c r="F19" i="325"/>
  <c r="F20" i="325"/>
  <c r="F18" i="325"/>
  <c r="F17" i="325"/>
  <c r="F16" i="325"/>
  <c r="E15" i="325"/>
  <c r="D6" i="329"/>
  <c r="D15" i="325"/>
  <c r="F14" i="325"/>
  <c r="F13" i="325"/>
  <c r="F12" i="325"/>
  <c r="F11" i="325"/>
  <c r="F10" i="325"/>
  <c r="F9" i="325"/>
  <c r="F8" i="325"/>
  <c r="F7" i="325"/>
  <c r="F6" i="325"/>
  <c r="F5" i="325"/>
  <c r="E84" i="323"/>
  <c r="D26" i="326"/>
  <c r="D98" i="323"/>
  <c r="C28" i="326"/>
  <c r="F70" i="323"/>
  <c r="F71" i="323"/>
  <c r="G76" i="323"/>
  <c r="F23" i="326"/>
  <c r="D73" i="323"/>
  <c r="C22" i="326"/>
  <c r="H34" i="323"/>
  <c r="G12" i="326"/>
  <c r="G34" i="323"/>
  <c r="F12" i="326"/>
  <c r="F35" i="326"/>
  <c r="H76" i="323"/>
  <c r="G23" i="326"/>
  <c r="I32" i="323"/>
  <c r="I33" i="323"/>
  <c r="I45" i="323"/>
  <c r="E98" i="323"/>
  <c r="D28" i="326"/>
  <c r="F97" i="323"/>
  <c r="F96" i="323"/>
  <c r="F95" i="323"/>
  <c r="F94" i="323"/>
  <c r="E93" i="323"/>
  <c r="D27" i="326"/>
  <c r="D93" i="323"/>
  <c r="C27" i="326"/>
  <c r="F92" i="323"/>
  <c r="F91" i="323"/>
  <c r="F90" i="323"/>
  <c r="F89" i="323"/>
  <c r="F88" i="323"/>
  <c r="F85" i="323"/>
  <c r="F86" i="323"/>
  <c r="F87" i="323"/>
  <c r="D84" i="323"/>
  <c r="C26" i="326"/>
  <c r="F83" i="323"/>
  <c r="F82" i="323"/>
  <c r="F81" i="323"/>
  <c r="F80" i="323"/>
  <c r="F79" i="323"/>
  <c r="F78" i="323"/>
  <c r="E76" i="323"/>
  <c r="D76" i="323"/>
  <c r="C23" i="326"/>
  <c r="F75" i="323"/>
  <c r="F74" i="323"/>
  <c r="E73" i="323"/>
  <c r="D22" i="326"/>
  <c r="F72" i="323"/>
  <c r="F73" i="323"/>
  <c r="E22" i="326"/>
  <c r="E71" i="323"/>
  <c r="D21" i="326"/>
  <c r="D71" i="323"/>
  <c r="C21" i="326"/>
  <c r="E68" i="323"/>
  <c r="D68" i="323"/>
  <c r="C18" i="326"/>
  <c r="F67" i="323"/>
  <c r="F66" i="323"/>
  <c r="F65" i="323"/>
  <c r="F64" i="323"/>
  <c r="F63" i="323"/>
  <c r="F62" i="323"/>
  <c r="E61" i="323"/>
  <c r="D17" i="326"/>
  <c r="D61" i="323"/>
  <c r="F60" i="323"/>
  <c r="F59" i="323"/>
  <c r="F58" i="323"/>
  <c r="F57" i="323"/>
  <c r="F56" i="323"/>
  <c r="F55" i="323"/>
  <c r="F54" i="323"/>
  <c r="F53" i="323"/>
  <c r="F52" i="323"/>
  <c r="F51" i="323"/>
  <c r="F50" i="323"/>
  <c r="E49" i="323"/>
  <c r="D16" i="326"/>
  <c r="D49" i="323"/>
  <c r="C16" i="326"/>
  <c r="F48" i="323"/>
  <c r="F47" i="323"/>
  <c r="F46" i="323"/>
  <c r="F45" i="323"/>
  <c r="F44" i="323"/>
  <c r="F43" i="323"/>
  <c r="F42" i="323"/>
  <c r="F41" i="323"/>
  <c r="F40" i="323"/>
  <c r="E38" i="323"/>
  <c r="D13" i="326"/>
  <c r="D36" i="326"/>
  <c r="D38" i="323"/>
  <c r="C13" i="326"/>
  <c r="C36" i="326"/>
  <c r="F37" i="323"/>
  <c r="F36" i="323"/>
  <c r="F35" i="323"/>
  <c r="E34" i="323"/>
  <c r="D12" i="326"/>
  <c r="D34" i="323"/>
  <c r="C12" i="326"/>
  <c r="C35" i="326"/>
  <c r="F33" i="323"/>
  <c r="F32" i="323"/>
  <c r="F31" i="323"/>
  <c r="F30" i="323"/>
  <c r="E29" i="323"/>
  <c r="D11" i="326"/>
  <c r="D29" i="323"/>
  <c r="C11" i="326"/>
  <c r="F28" i="323"/>
  <c r="F27" i="323"/>
  <c r="F26" i="323"/>
  <c r="E24" i="323"/>
  <c r="D24" i="323"/>
  <c r="C8" i="326"/>
  <c r="F23" i="323"/>
  <c r="F21" i="323"/>
  <c r="F22" i="323"/>
  <c r="F24" i="323"/>
  <c r="E8" i="326"/>
  <c r="E20" i="323"/>
  <c r="D7" i="326"/>
  <c r="D20" i="323"/>
  <c r="C7" i="326"/>
  <c r="F19" i="323"/>
  <c r="F18" i="323"/>
  <c r="F16" i="323"/>
  <c r="F17" i="323"/>
  <c r="E15" i="323"/>
  <c r="D6" i="326"/>
  <c r="D15" i="323"/>
  <c r="C6" i="326"/>
  <c r="F14" i="323"/>
  <c r="F13" i="323"/>
  <c r="F12" i="323"/>
  <c r="F11" i="323"/>
  <c r="F10" i="323"/>
  <c r="F9" i="323"/>
  <c r="F8" i="323"/>
  <c r="F7" i="323"/>
  <c r="F6" i="323"/>
  <c r="F5" i="323"/>
  <c r="D28" i="312"/>
  <c r="D29" i="312" s="1"/>
  <c r="E28" i="312"/>
  <c r="C28" i="312"/>
  <c r="D65" i="309"/>
  <c r="C13" i="312"/>
  <c r="C41" i="312" s="1"/>
  <c r="G40" i="312"/>
  <c r="F40" i="312"/>
  <c r="H40" i="312"/>
  <c r="H27" i="312"/>
  <c r="H26" i="312"/>
  <c r="G24" i="312"/>
  <c r="F24" i="312"/>
  <c r="H23" i="312"/>
  <c r="H22" i="312"/>
  <c r="H21" i="312"/>
  <c r="H12" i="312"/>
  <c r="H8" i="312"/>
  <c r="H68" i="309"/>
  <c r="H69" i="309" s="1"/>
  <c r="G68" i="309"/>
  <c r="F28" i="312"/>
  <c r="F29" i="312" s="1"/>
  <c r="I67" i="309"/>
  <c r="I68" i="309"/>
  <c r="I69" i="309"/>
  <c r="E65" i="309"/>
  <c r="D13" i="312" s="1"/>
  <c r="D41" i="312" s="1"/>
  <c r="G65" i="309"/>
  <c r="F13" i="312" s="1"/>
  <c r="F41" i="312" s="1"/>
  <c r="H65" i="309"/>
  <c r="H62" i="309"/>
  <c r="H66" i="309"/>
  <c r="E62" i="309"/>
  <c r="D11" i="312" s="1"/>
  <c r="G62" i="309"/>
  <c r="F11" i="312" s="1"/>
  <c r="D62" i="309"/>
  <c r="D66" i="309" s="1"/>
  <c r="E58" i="309"/>
  <c r="D33" i="312" s="1"/>
  <c r="D39" i="312" s="1"/>
  <c r="G58" i="309"/>
  <c r="F33" i="312" s="1"/>
  <c r="F39" i="312" s="1"/>
  <c r="H58" i="309"/>
  <c r="G33" i="312"/>
  <c r="G39" i="312" s="1"/>
  <c r="D58" i="309"/>
  <c r="C33" i="312" s="1"/>
  <c r="C39" i="312" s="1"/>
  <c r="E39" i="312" s="1"/>
  <c r="F57" i="309"/>
  <c r="I57" i="309"/>
  <c r="I58" i="309" s="1"/>
  <c r="H33" i="312" s="1"/>
  <c r="I47" i="309"/>
  <c r="I48" i="309"/>
  <c r="I49" i="309"/>
  <c r="I50" i="309"/>
  <c r="I51" i="309"/>
  <c r="I52" i="309"/>
  <c r="F51" i="309"/>
  <c r="F52" i="309"/>
  <c r="F47" i="309"/>
  <c r="E53" i="309"/>
  <c r="D32" i="312"/>
  <c r="G53" i="309"/>
  <c r="F32" i="312"/>
  <c r="H53" i="309"/>
  <c r="G32" i="312" s="1"/>
  <c r="D53" i="309"/>
  <c r="C32" i="312"/>
  <c r="E45" i="309"/>
  <c r="D31" i="312" s="1"/>
  <c r="G45" i="309"/>
  <c r="F31" i="312" s="1"/>
  <c r="H45" i="309"/>
  <c r="G31" i="312" s="1"/>
  <c r="D45" i="309"/>
  <c r="C31" i="312" s="1"/>
  <c r="D39" i="309"/>
  <c r="C18" i="312" s="1"/>
  <c r="E39" i="309"/>
  <c r="D18" i="312" s="1"/>
  <c r="H39" i="309"/>
  <c r="G18" i="312" s="1"/>
  <c r="G39" i="309"/>
  <c r="F18" i="312" s="1"/>
  <c r="I28" i="309"/>
  <c r="E34" i="309"/>
  <c r="D17" i="312" s="1"/>
  <c r="G34" i="309"/>
  <c r="F17" i="312" s="1"/>
  <c r="H34" i="309"/>
  <c r="G17" i="312" s="1"/>
  <c r="D34" i="309"/>
  <c r="C17" i="312" s="1"/>
  <c r="F7" i="309"/>
  <c r="F28" i="309"/>
  <c r="E26" i="309"/>
  <c r="G26" i="309"/>
  <c r="F16" i="312" s="1"/>
  <c r="H26" i="309"/>
  <c r="G16" i="312" s="1"/>
  <c r="D26" i="309"/>
  <c r="C16" i="312"/>
  <c r="I7" i="309"/>
  <c r="H12" i="309"/>
  <c r="G6" i="312" s="1"/>
  <c r="G12" i="309"/>
  <c r="F6" i="312" s="1"/>
  <c r="D17" i="309"/>
  <c r="C7" i="312" s="1"/>
  <c r="E17" i="309"/>
  <c r="H17" i="309"/>
  <c r="G7" i="312" s="1"/>
  <c r="G17" i="309"/>
  <c r="F7" i="312" s="1"/>
  <c r="D12" i="309"/>
  <c r="C6" i="312"/>
  <c r="E12" i="309"/>
  <c r="D6" i="312" s="1"/>
  <c r="I8" i="309"/>
  <c r="I9" i="309"/>
  <c r="I10" i="309"/>
  <c r="I11" i="309"/>
  <c r="I13" i="309"/>
  <c r="I14" i="309"/>
  <c r="I15" i="309"/>
  <c r="I16" i="309"/>
  <c r="I17" i="309" s="1"/>
  <c r="H7" i="312" s="1"/>
  <c r="I21" i="309"/>
  <c r="I22" i="309"/>
  <c r="I23" i="309"/>
  <c r="I24" i="309"/>
  <c r="I25" i="309"/>
  <c r="I27" i="309"/>
  <c r="I29" i="309"/>
  <c r="I30" i="309"/>
  <c r="I34" i="309" s="1"/>
  <c r="H17" i="312" s="1"/>
  <c r="I32" i="309"/>
  <c r="I33" i="309"/>
  <c r="I35" i="309"/>
  <c r="I36" i="309"/>
  <c r="I37" i="309"/>
  <c r="I38" i="309"/>
  <c r="I41" i="309"/>
  <c r="I42" i="309"/>
  <c r="I45" i="309" s="1"/>
  <c r="H31" i="312" s="1"/>
  <c r="I43" i="309"/>
  <c r="I44" i="309"/>
  <c r="I46" i="309"/>
  <c r="I53" i="309" s="1"/>
  <c r="I54" i="309"/>
  <c r="I55" i="309"/>
  <c r="I56" i="309"/>
  <c r="I60" i="309"/>
  <c r="I62" i="309"/>
  <c r="H11" i="312" s="1"/>
  <c r="I61" i="309"/>
  <c r="I63" i="309"/>
  <c r="I65" i="309" s="1"/>
  <c r="I64" i="309"/>
  <c r="I6" i="309"/>
  <c r="F64" i="309"/>
  <c r="F63" i="309"/>
  <c r="F61" i="309"/>
  <c r="F62" i="309" s="1"/>
  <c r="F60" i="309"/>
  <c r="F56" i="309"/>
  <c r="F55" i="309"/>
  <c r="F54" i="309"/>
  <c r="F50" i="309"/>
  <c r="F49" i="309"/>
  <c r="F48" i="309"/>
  <c r="F46" i="309"/>
  <c r="F44" i="309"/>
  <c r="F43" i="309"/>
  <c r="F42" i="309"/>
  <c r="F41" i="309"/>
  <c r="F38" i="309"/>
  <c r="F35" i="309"/>
  <c r="F36" i="309"/>
  <c r="F37" i="309"/>
  <c r="F33" i="309"/>
  <c r="F32" i="309"/>
  <c r="F30" i="309"/>
  <c r="F29" i="309"/>
  <c r="F27" i="309"/>
  <c r="F25" i="309"/>
  <c r="F24" i="309"/>
  <c r="F26" i="309" s="1"/>
  <c r="E16" i="312" s="1"/>
  <c r="F23" i="309"/>
  <c r="F22" i="309"/>
  <c r="F21" i="309"/>
  <c r="F16" i="309"/>
  <c r="F15" i="309"/>
  <c r="F14" i="309"/>
  <c r="F13" i="309"/>
  <c r="F17" i="309" s="1"/>
  <c r="E7" i="312" s="1"/>
  <c r="F11" i="309"/>
  <c r="F10" i="309"/>
  <c r="F9" i="309"/>
  <c r="F8" i="309"/>
  <c r="F6" i="309"/>
  <c r="G54" i="308"/>
  <c r="D77" i="325"/>
  <c r="E100" i="308"/>
  <c r="D23" i="311"/>
  <c r="D100" i="308"/>
  <c r="C23" i="311"/>
  <c r="E97" i="308"/>
  <c r="D22" i="311"/>
  <c r="D97" i="308"/>
  <c r="C22" i="311"/>
  <c r="E94" i="308"/>
  <c r="D21" i="311"/>
  <c r="D94" i="308"/>
  <c r="C21" i="311"/>
  <c r="C24" i="311"/>
  <c r="E90" i="308"/>
  <c r="D13" i="311"/>
  <c r="D36" i="311"/>
  <c r="D90" i="308"/>
  <c r="C13" i="311"/>
  <c r="C36" i="311"/>
  <c r="E85" i="308"/>
  <c r="D12" i="311"/>
  <c r="D35" i="311"/>
  <c r="D85" i="308"/>
  <c r="C12" i="311"/>
  <c r="C35" i="311"/>
  <c r="E81" i="308"/>
  <c r="D81" i="308"/>
  <c r="C11" i="311"/>
  <c r="E76" i="308"/>
  <c r="D28" i="311"/>
  <c r="D76" i="308"/>
  <c r="C28" i="311"/>
  <c r="E71" i="308"/>
  <c r="D27" i="311"/>
  <c r="D71" i="308"/>
  <c r="C27" i="311"/>
  <c r="E62" i="308"/>
  <c r="D26" i="311"/>
  <c r="D29" i="311"/>
  <c r="D62" i="308"/>
  <c r="C26" i="311"/>
  <c r="E54" i="308"/>
  <c r="D54" i="308"/>
  <c r="E47" i="308"/>
  <c r="D17" i="311"/>
  <c r="D47" i="308"/>
  <c r="C17" i="311"/>
  <c r="D35" i="308"/>
  <c r="C16" i="311"/>
  <c r="E35" i="308"/>
  <c r="D16" i="311"/>
  <c r="E24" i="308"/>
  <c r="E25" i="308"/>
  <c r="D24" i="308"/>
  <c r="C8" i="311"/>
  <c r="E20" i="308"/>
  <c r="D7" i="311"/>
  <c r="D20" i="308"/>
  <c r="C7" i="311"/>
  <c r="E15" i="308"/>
  <c r="D6" i="311"/>
  <c r="D15" i="308"/>
  <c r="C6" i="311"/>
  <c r="D101" i="308"/>
  <c r="I60" i="327"/>
  <c r="I66" i="327"/>
  <c r="G72" i="327"/>
  <c r="H65" i="327"/>
  <c r="G26" i="328"/>
  <c r="H72" i="327"/>
  <c r="G27" i="328"/>
  <c r="H54" i="327"/>
  <c r="H37" i="327"/>
  <c r="G11" i="328"/>
  <c r="H32" i="327"/>
  <c r="G13" i="328"/>
  <c r="G36" i="328"/>
  <c r="H28" i="327"/>
  <c r="G12" i="328"/>
  <c r="G35" i="328"/>
  <c r="H23" i="327"/>
  <c r="G8" i="328"/>
  <c r="G34" i="328"/>
  <c r="H19" i="327"/>
  <c r="H14" i="327"/>
  <c r="G6" i="328"/>
  <c r="G65" i="327"/>
  <c r="G77" i="327"/>
  <c r="I15" i="327"/>
  <c r="I16" i="327"/>
  <c r="I18" i="327"/>
  <c r="G19" i="327"/>
  <c r="F7" i="328"/>
  <c r="E26" i="312"/>
  <c r="E27" i="312"/>
  <c r="G19" i="320"/>
  <c r="H19" i="320"/>
  <c r="F19" i="320"/>
  <c r="BD38" i="273"/>
  <c r="BD37" i="273"/>
  <c r="BD39" i="273"/>
  <c r="BD40" i="273"/>
  <c r="BD41" i="273"/>
  <c r="BD42" i="273"/>
  <c r="BD44" i="273"/>
  <c r="BD46" i="273"/>
  <c r="BD48" i="273"/>
  <c r="BD35" i="273"/>
  <c r="CB37" i="123"/>
  <c r="CA37" i="123"/>
  <c r="BZ37" i="123"/>
  <c r="BY37" i="123"/>
  <c r="CB36" i="123"/>
  <c r="CA36" i="123"/>
  <c r="BZ36" i="123"/>
  <c r="BY36" i="123"/>
  <c r="CB35" i="123"/>
  <c r="CA35" i="123"/>
  <c r="BZ35" i="123"/>
  <c r="BY35" i="123"/>
  <c r="CB34" i="123"/>
  <c r="CA34" i="123"/>
  <c r="BZ34" i="123"/>
  <c r="BY34" i="123"/>
  <c r="CB33" i="123"/>
  <c r="CB38" i="123" s="1"/>
  <c r="CA33" i="123"/>
  <c r="BZ33" i="123"/>
  <c r="BY33" i="123"/>
  <c r="CB32" i="123"/>
  <c r="CA32" i="123"/>
  <c r="BZ32" i="123"/>
  <c r="BY32" i="123"/>
  <c r="BY38" i="123" s="1"/>
  <c r="CB30" i="123"/>
  <c r="CA30" i="123"/>
  <c r="BZ30" i="123"/>
  <c r="BY30" i="123"/>
  <c r="CC29" i="123"/>
  <c r="CC28" i="123"/>
  <c r="CC27" i="123"/>
  <c r="CA25" i="123"/>
  <c r="BZ25" i="123"/>
  <c r="BY25" i="123"/>
  <c r="CC24" i="123"/>
  <c r="CC23" i="123"/>
  <c r="CC22" i="123"/>
  <c r="CC25" i="123" s="1"/>
  <c r="CB20" i="123"/>
  <c r="CA20" i="123"/>
  <c r="BZ20" i="123"/>
  <c r="BY20" i="123"/>
  <c r="CC19" i="123"/>
  <c r="CC34" i="123" s="1"/>
  <c r="CC18" i="123"/>
  <c r="CC17" i="123"/>
  <c r="CB15" i="123"/>
  <c r="CA15" i="123"/>
  <c r="BZ15" i="123"/>
  <c r="BY15" i="123"/>
  <c r="CC14" i="123"/>
  <c r="CC37" i="123" s="1"/>
  <c r="CC13" i="123"/>
  <c r="CC36" i="123" s="1"/>
  <c r="CC12" i="123"/>
  <c r="CB10" i="123"/>
  <c r="CA10" i="123"/>
  <c r="BZ10" i="123"/>
  <c r="BY10" i="123"/>
  <c r="CC9" i="123"/>
  <c r="CC8" i="123"/>
  <c r="CC7" i="123"/>
  <c r="BC68" i="273"/>
  <c r="BB68" i="273"/>
  <c r="BA68" i="273"/>
  <c r="F97" i="318"/>
  <c r="K93" i="318"/>
  <c r="J93" i="318"/>
  <c r="I93" i="318"/>
  <c r="H93" i="318"/>
  <c r="E93" i="318"/>
  <c r="D93" i="318"/>
  <c r="C93" i="318"/>
  <c r="L92" i="318"/>
  <c r="M92" i="318"/>
  <c r="N92" i="318"/>
  <c r="F92" i="318"/>
  <c r="L91" i="318"/>
  <c r="F91" i="318"/>
  <c r="F93" i="318"/>
  <c r="K89" i="318"/>
  <c r="J89" i="318"/>
  <c r="I89" i="318"/>
  <c r="H89" i="318"/>
  <c r="E89" i="318"/>
  <c r="D89" i="318"/>
  <c r="C89" i="318"/>
  <c r="L88" i="318"/>
  <c r="F88" i="318"/>
  <c r="L87" i="318"/>
  <c r="F87" i="318"/>
  <c r="L86" i="318"/>
  <c r="F86" i="318"/>
  <c r="K84" i="318"/>
  <c r="J84" i="318"/>
  <c r="I84" i="318"/>
  <c r="H84" i="318"/>
  <c r="E84" i="318"/>
  <c r="D84" i="318"/>
  <c r="C84" i="318"/>
  <c r="L83" i="318"/>
  <c r="F83" i="318"/>
  <c r="L82" i="318"/>
  <c r="F82" i="318"/>
  <c r="L81" i="318"/>
  <c r="F81" i="318"/>
  <c r="K79" i="318"/>
  <c r="J79" i="318"/>
  <c r="I79" i="318"/>
  <c r="H79" i="318"/>
  <c r="E79" i="318"/>
  <c r="D79" i="318"/>
  <c r="C79" i="318"/>
  <c r="L78" i="318"/>
  <c r="F78" i="318"/>
  <c r="L77" i="318"/>
  <c r="F77" i="318"/>
  <c r="L76" i="318"/>
  <c r="F76" i="318"/>
  <c r="K74" i="318"/>
  <c r="J74" i="318"/>
  <c r="I74" i="318"/>
  <c r="H74" i="318"/>
  <c r="E74" i="318"/>
  <c r="D74" i="318"/>
  <c r="C74" i="318"/>
  <c r="L73" i="318"/>
  <c r="F73" i="318"/>
  <c r="L72" i="318"/>
  <c r="F72" i="318"/>
  <c r="L71" i="318"/>
  <c r="F71" i="318"/>
  <c r="M86" i="318"/>
  <c r="N86" i="318"/>
  <c r="F92" i="319"/>
  <c r="F72" i="319"/>
  <c r="F82" i="319"/>
  <c r="F77" i="319"/>
  <c r="F87" i="319"/>
  <c r="E92" i="319"/>
  <c r="D92" i="319"/>
  <c r="C92" i="319"/>
  <c r="G91" i="319"/>
  <c r="H91" i="319"/>
  <c r="J91" i="319"/>
  <c r="G90" i="319"/>
  <c r="H90" i="319"/>
  <c r="J90" i="319"/>
  <c r="G89" i="319"/>
  <c r="H89" i="319"/>
  <c r="J89" i="319"/>
  <c r="E87" i="319"/>
  <c r="G87" i="319"/>
  <c r="D87" i="319"/>
  <c r="C87" i="319"/>
  <c r="G86" i="319"/>
  <c r="I86" i="319"/>
  <c r="G85" i="319"/>
  <c r="I85" i="319"/>
  <c r="G84" i="319"/>
  <c r="I84" i="319"/>
  <c r="E82" i="319"/>
  <c r="G82" i="319"/>
  <c r="D82" i="319"/>
  <c r="C82" i="319"/>
  <c r="G81" i="319"/>
  <c r="H81" i="319"/>
  <c r="J81" i="319"/>
  <c r="G80" i="319"/>
  <c r="H80" i="319"/>
  <c r="J80" i="319"/>
  <c r="G79" i="319"/>
  <c r="H79" i="319"/>
  <c r="J79" i="319"/>
  <c r="E77" i="319"/>
  <c r="D77" i="319"/>
  <c r="C77" i="319"/>
  <c r="G76" i="319"/>
  <c r="I76" i="319"/>
  <c r="G75" i="319"/>
  <c r="I75" i="319"/>
  <c r="G74" i="319"/>
  <c r="I74" i="319"/>
  <c r="E72" i="319"/>
  <c r="D72" i="319"/>
  <c r="C72" i="319"/>
  <c r="G71" i="319"/>
  <c r="I71" i="319"/>
  <c r="G70" i="319"/>
  <c r="I70" i="319"/>
  <c r="G69" i="319"/>
  <c r="I69" i="319"/>
  <c r="AN7" i="263"/>
  <c r="AO7" i="263"/>
  <c r="AO19" i="263"/>
  <c r="AM7" i="263"/>
  <c r="AR10" i="273"/>
  <c r="P36" i="229"/>
  <c r="P35" i="229"/>
  <c r="P34" i="229"/>
  <c r="P33" i="229"/>
  <c r="P32" i="229"/>
  <c r="P31" i="229"/>
  <c r="P37" i="229"/>
  <c r="P29" i="229"/>
  <c r="P19" i="229"/>
  <c r="P14" i="229"/>
  <c r="P9" i="229"/>
  <c r="P36" i="227"/>
  <c r="P35" i="227"/>
  <c r="P34" i="227"/>
  <c r="P33" i="227"/>
  <c r="P32" i="227"/>
  <c r="P31" i="227"/>
  <c r="P29" i="227"/>
  <c r="P19" i="227"/>
  <c r="P14" i="227"/>
  <c r="P9" i="227"/>
  <c r="M214" i="268"/>
  <c r="M209" i="268"/>
  <c r="N209" i="268"/>
  <c r="O209" i="268"/>
  <c r="P209" i="268"/>
  <c r="M210" i="268"/>
  <c r="M211" i="268"/>
  <c r="L211" i="268"/>
  <c r="L210" i="268"/>
  <c r="L209" i="268"/>
  <c r="F200" i="268"/>
  <c r="G200" i="268"/>
  <c r="H200" i="268"/>
  <c r="I200" i="268"/>
  <c r="J200" i="268"/>
  <c r="K200" i="268"/>
  <c r="L200" i="268"/>
  <c r="M200" i="268"/>
  <c r="N200" i="268"/>
  <c r="O200" i="268"/>
  <c r="P200" i="268"/>
  <c r="F201" i="268"/>
  <c r="G201" i="268"/>
  <c r="H201" i="268"/>
  <c r="I201" i="268"/>
  <c r="J201" i="268"/>
  <c r="K201" i="268"/>
  <c r="L201" i="268"/>
  <c r="M201" i="268"/>
  <c r="F202" i="268"/>
  <c r="G202" i="268"/>
  <c r="H202" i="268"/>
  <c r="I202" i="268"/>
  <c r="J202" i="268"/>
  <c r="K202" i="268"/>
  <c r="L202" i="268"/>
  <c r="M202" i="268"/>
  <c r="E202" i="268"/>
  <c r="E201" i="268"/>
  <c r="E200" i="268"/>
  <c r="F196" i="268"/>
  <c r="G196" i="268"/>
  <c r="H196" i="268"/>
  <c r="I196" i="268"/>
  <c r="J196" i="268"/>
  <c r="K196" i="268"/>
  <c r="L196" i="268"/>
  <c r="M196" i="268"/>
  <c r="F197" i="268"/>
  <c r="G197" i="268"/>
  <c r="H197" i="268"/>
  <c r="I197" i="268"/>
  <c r="J197" i="268"/>
  <c r="K197" i="268"/>
  <c r="L197" i="268"/>
  <c r="M197" i="268"/>
  <c r="F198" i="268"/>
  <c r="G198" i="268"/>
  <c r="H198" i="268"/>
  <c r="I198" i="268"/>
  <c r="J198" i="268"/>
  <c r="K198" i="268"/>
  <c r="L198" i="268"/>
  <c r="M198" i="268"/>
  <c r="E198" i="268"/>
  <c r="E197" i="268"/>
  <c r="E196" i="268"/>
  <c r="F192" i="268"/>
  <c r="G192" i="268"/>
  <c r="H192" i="268"/>
  <c r="I192" i="268"/>
  <c r="J192" i="268"/>
  <c r="K192" i="268"/>
  <c r="L192" i="268"/>
  <c r="M192" i="268"/>
  <c r="F193" i="268"/>
  <c r="G193" i="268"/>
  <c r="G205" i="268" s="1"/>
  <c r="H193" i="268"/>
  <c r="I193" i="268"/>
  <c r="J193" i="268"/>
  <c r="K193" i="268"/>
  <c r="L193" i="268"/>
  <c r="M193" i="268"/>
  <c r="F194" i="268"/>
  <c r="G194" i="268"/>
  <c r="G206" i="268" s="1"/>
  <c r="H194" i="268"/>
  <c r="I194" i="268"/>
  <c r="J194" i="268"/>
  <c r="K194" i="268"/>
  <c r="L194" i="268"/>
  <c r="M194" i="268"/>
  <c r="E194" i="268"/>
  <c r="E193" i="268"/>
  <c r="E205" i="268" s="1"/>
  <c r="E192" i="268"/>
  <c r="F183" i="268"/>
  <c r="G183" i="268"/>
  <c r="H183" i="268"/>
  <c r="I183" i="268"/>
  <c r="J183" i="268"/>
  <c r="K183" i="268"/>
  <c r="L183" i="268"/>
  <c r="M183" i="268"/>
  <c r="F184" i="268"/>
  <c r="G184" i="268"/>
  <c r="H184" i="268"/>
  <c r="I184" i="268"/>
  <c r="J184" i="268"/>
  <c r="K184" i="268"/>
  <c r="L184" i="268"/>
  <c r="L188" i="268" s="1"/>
  <c r="M184" i="268"/>
  <c r="F185" i="268"/>
  <c r="G185" i="268"/>
  <c r="H185" i="268"/>
  <c r="I185" i="268"/>
  <c r="J185" i="268"/>
  <c r="K185" i="268"/>
  <c r="L185" i="268"/>
  <c r="L189" i="268" s="1"/>
  <c r="M185" i="268"/>
  <c r="E185" i="268"/>
  <c r="E184" i="268"/>
  <c r="F179" i="268"/>
  <c r="G179" i="268"/>
  <c r="H179" i="268"/>
  <c r="I179" i="268"/>
  <c r="J179" i="268"/>
  <c r="K179" i="268"/>
  <c r="L179" i="268"/>
  <c r="M179" i="268"/>
  <c r="F180" i="268"/>
  <c r="G180" i="268"/>
  <c r="H180" i="268"/>
  <c r="I180" i="268"/>
  <c r="J180" i="268"/>
  <c r="K180" i="268"/>
  <c r="L180" i="268"/>
  <c r="M180" i="268"/>
  <c r="F181" i="268"/>
  <c r="G181" i="268"/>
  <c r="H181" i="268"/>
  <c r="I181" i="268"/>
  <c r="J181" i="268"/>
  <c r="K181" i="268"/>
  <c r="L181" i="268"/>
  <c r="M181" i="268"/>
  <c r="E181" i="268"/>
  <c r="E180" i="268"/>
  <c r="F176" i="268"/>
  <c r="G176" i="268"/>
  <c r="H176" i="268"/>
  <c r="I176" i="268"/>
  <c r="J176" i="268"/>
  <c r="K176" i="268"/>
  <c r="L176" i="268"/>
  <c r="M176" i="268"/>
  <c r="F177" i="268"/>
  <c r="G177" i="268"/>
  <c r="H177" i="268"/>
  <c r="I177" i="268"/>
  <c r="J177" i="268"/>
  <c r="K177" i="268"/>
  <c r="L177" i="268"/>
  <c r="M177" i="268"/>
  <c r="E177" i="268"/>
  <c r="E176" i="268"/>
  <c r="E183" i="268"/>
  <c r="E186" i="268" s="1"/>
  <c r="E179" i="268"/>
  <c r="F175" i="268"/>
  <c r="G175" i="268"/>
  <c r="H175" i="268"/>
  <c r="I175" i="268"/>
  <c r="J175" i="268"/>
  <c r="K175" i="268"/>
  <c r="L175" i="268"/>
  <c r="L178" i="268" s="1"/>
  <c r="M175" i="268"/>
  <c r="N175" i="268"/>
  <c r="O175" i="268"/>
  <c r="P175" i="268"/>
  <c r="E175" i="268"/>
  <c r="F166" i="268"/>
  <c r="G166" i="268"/>
  <c r="H166" i="268"/>
  <c r="H169" i="268" s="1"/>
  <c r="I166" i="268"/>
  <c r="J166" i="268"/>
  <c r="K166" i="268"/>
  <c r="L166" i="268"/>
  <c r="M166" i="268"/>
  <c r="N166" i="268"/>
  <c r="F167" i="268"/>
  <c r="G167" i="268"/>
  <c r="H167" i="268"/>
  <c r="I167" i="268"/>
  <c r="J167" i="268"/>
  <c r="J159" i="268"/>
  <c r="J163" i="268"/>
  <c r="K167" i="268"/>
  <c r="L167" i="268"/>
  <c r="M167" i="268"/>
  <c r="N167" i="268"/>
  <c r="F168" i="268"/>
  <c r="F169" i="268" s="1"/>
  <c r="G168" i="268"/>
  <c r="H168" i="268"/>
  <c r="I168" i="268"/>
  <c r="J168" i="268"/>
  <c r="K168" i="268"/>
  <c r="L168" i="268"/>
  <c r="M168" i="268"/>
  <c r="E168" i="268"/>
  <c r="E160" i="268"/>
  <c r="E164" i="268"/>
  <c r="E167" i="268"/>
  <c r="E166" i="268"/>
  <c r="F162" i="268"/>
  <c r="G162" i="268"/>
  <c r="H162" i="268"/>
  <c r="I162" i="268"/>
  <c r="J162" i="268"/>
  <c r="K162" i="268"/>
  <c r="K165" i="268" s="1"/>
  <c r="L162" i="268"/>
  <c r="M162" i="268"/>
  <c r="F163" i="268"/>
  <c r="G163" i="268"/>
  <c r="H163" i="268"/>
  <c r="I163" i="268"/>
  <c r="K163" i="268"/>
  <c r="L163" i="268"/>
  <c r="M163" i="268"/>
  <c r="F164" i="268"/>
  <c r="G164" i="268"/>
  <c r="H164" i="268"/>
  <c r="H172" i="268" s="1"/>
  <c r="I164" i="268"/>
  <c r="I172" i="268" s="1"/>
  <c r="J164" i="268"/>
  <c r="K164" i="268"/>
  <c r="K158" i="268"/>
  <c r="K159" i="268"/>
  <c r="L164" i="268"/>
  <c r="M164" i="268"/>
  <c r="E163" i="268"/>
  <c r="E162" i="268"/>
  <c r="E158" i="268"/>
  <c r="E159" i="268"/>
  <c r="F159" i="268"/>
  <c r="G159" i="268"/>
  <c r="H159" i="268"/>
  <c r="I159" i="268"/>
  <c r="L159" i="268"/>
  <c r="L171" i="268" s="1"/>
  <c r="M159" i="268"/>
  <c r="F158" i="268"/>
  <c r="G158" i="268"/>
  <c r="H158" i="268"/>
  <c r="H161" i="268" s="1"/>
  <c r="I158" i="268"/>
  <c r="J158" i="268"/>
  <c r="L158" i="268"/>
  <c r="M158" i="268"/>
  <c r="W7" i="336"/>
  <c r="X7" i="336"/>
  <c r="W8" i="336"/>
  <c r="X8" i="336"/>
  <c r="W9" i="336"/>
  <c r="Y9" i="336" s="1"/>
  <c r="X9" i="336"/>
  <c r="W11" i="336"/>
  <c r="Y11" i="336" s="1"/>
  <c r="X11" i="336"/>
  <c r="W12" i="336"/>
  <c r="X12" i="336"/>
  <c r="W13" i="336"/>
  <c r="X13" i="336"/>
  <c r="W14" i="336"/>
  <c r="X14" i="336"/>
  <c r="W16" i="336"/>
  <c r="X16" i="336"/>
  <c r="W17" i="336"/>
  <c r="X17" i="336"/>
  <c r="W18" i="336"/>
  <c r="X18" i="336"/>
  <c r="W19" i="336"/>
  <c r="X19" i="336"/>
  <c r="W21" i="336"/>
  <c r="Y21" i="336" s="1"/>
  <c r="X21" i="336"/>
  <c r="W22" i="336"/>
  <c r="X22" i="336"/>
  <c r="W23" i="336"/>
  <c r="X23" i="336"/>
  <c r="W24" i="336"/>
  <c r="X24" i="336"/>
  <c r="W26" i="336"/>
  <c r="Y26" i="336" s="1"/>
  <c r="X26" i="336"/>
  <c r="W27" i="336"/>
  <c r="X27" i="336"/>
  <c r="W28" i="336"/>
  <c r="X28" i="336"/>
  <c r="W29" i="336"/>
  <c r="X29" i="336"/>
  <c r="W31" i="336"/>
  <c r="Y31" i="336" s="1"/>
  <c r="X31" i="336"/>
  <c r="S7" i="336"/>
  <c r="T7" i="336"/>
  <c r="S8" i="336"/>
  <c r="T8" i="336"/>
  <c r="S9" i="336"/>
  <c r="T9" i="336"/>
  <c r="S11" i="336"/>
  <c r="U11" i="336" s="1"/>
  <c r="T11" i="336"/>
  <c r="S12" i="336"/>
  <c r="T12" i="336"/>
  <c r="U12" i="336" s="1"/>
  <c r="S13" i="336"/>
  <c r="T13" i="336"/>
  <c r="S14" i="336"/>
  <c r="T14" i="336"/>
  <c r="S16" i="336"/>
  <c r="U16" i="336" s="1"/>
  <c r="T16" i="336"/>
  <c r="S17" i="336"/>
  <c r="T17" i="336"/>
  <c r="S18" i="336"/>
  <c r="T18" i="336"/>
  <c r="S19" i="336"/>
  <c r="T19" i="336"/>
  <c r="S21" i="336"/>
  <c r="U21" i="336" s="1"/>
  <c r="T21" i="336"/>
  <c r="S22" i="336"/>
  <c r="T22" i="336"/>
  <c r="U22" i="336" s="1"/>
  <c r="S23" i="336"/>
  <c r="T23" i="336"/>
  <c r="S24" i="336"/>
  <c r="U24" i="336" s="1"/>
  <c r="T24" i="336"/>
  <c r="S26" i="336"/>
  <c r="T26" i="336"/>
  <c r="S27" i="336"/>
  <c r="T27" i="336"/>
  <c r="U27" i="336" s="1"/>
  <c r="S28" i="336"/>
  <c r="T28" i="336"/>
  <c r="S29" i="336"/>
  <c r="T29" i="336"/>
  <c r="S31" i="336"/>
  <c r="T31" i="336"/>
  <c r="X6" i="336"/>
  <c r="T6" i="336"/>
  <c r="W6" i="336"/>
  <c r="S6" i="336"/>
  <c r="AI7" i="336"/>
  <c r="AJ7" i="336"/>
  <c r="AI8" i="336"/>
  <c r="AJ8" i="336"/>
  <c r="AI9" i="336"/>
  <c r="AJ9" i="336"/>
  <c r="AK9" i="336" s="1"/>
  <c r="AI11" i="336"/>
  <c r="AJ11" i="336"/>
  <c r="AI12" i="336"/>
  <c r="AJ12" i="336"/>
  <c r="AI13" i="336"/>
  <c r="AJ13" i="336"/>
  <c r="AI14" i="336"/>
  <c r="AJ14" i="336"/>
  <c r="AI16" i="336"/>
  <c r="AJ16" i="336"/>
  <c r="AK16" i="336" s="1"/>
  <c r="G93" i="336" s="1"/>
  <c r="AI17" i="336"/>
  <c r="AJ17" i="336"/>
  <c r="AI18" i="336"/>
  <c r="AJ18" i="336"/>
  <c r="AI19" i="336"/>
  <c r="AJ19" i="336"/>
  <c r="AI21" i="336"/>
  <c r="AJ21" i="336"/>
  <c r="AK21" i="336" s="1"/>
  <c r="AI22" i="336"/>
  <c r="AJ22" i="336"/>
  <c r="AI23" i="336"/>
  <c r="AJ23" i="336"/>
  <c r="AI24" i="336"/>
  <c r="AJ24" i="336"/>
  <c r="AI26" i="336"/>
  <c r="AJ26" i="336"/>
  <c r="AI27" i="336"/>
  <c r="AJ27" i="336"/>
  <c r="AI28" i="336"/>
  <c r="AJ28" i="336"/>
  <c r="AI29" i="336"/>
  <c r="AJ29" i="336"/>
  <c r="AI31" i="336"/>
  <c r="AJ31" i="336"/>
  <c r="AJ6" i="336"/>
  <c r="AI6" i="336"/>
  <c r="AE7" i="336"/>
  <c r="AF7" i="336"/>
  <c r="AE8" i="336"/>
  <c r="AF8" i="336"/>
  <c r="AE9" i="336"/>
  <c r="AF9" i="336"/>
  <c r="AG9" i="336" s="1"/>
  <c r="AE11" i="336"/>
  <c r="AF11" i="336"/>
  <c r="AE12" i="336"/>
  <c r="AF12" i="336"/>
  <c r="AE13" i="336"/>
  <c r="AF13" i="336"/>
  <c r="AE14" i="336"/>
  <c r="AF14" i="336"/>
  <c r="AG14" i="336" s="1"/>
  <c r="AE16" i="336"/>
  <c r="AF16" i="336"/>
  <c r="AE17" i="336"/>
  <c r="AF17" i="336"/>
  <c r="AE18" i="336"/>
  <c r="AF18" i="336"/>
  <c r="AE19" i="336"/>
  <c r="AF19" i="336"/>
  <c r="AG19" i="336" s="1"/>
  <c r="AE21" i="336"/>
  <c r="AF21" i="336"/>
  <c r="AE22" i="336"/>
  <c r="AF22" i="336"/>
  <c r="AE23" i="336"/>
  <c r="AF23" i="336"/>
  <c r="AE24" i="336"/>
  <c r="AF24" i="336"/>
  <c r="AG24" i="336" s="1"/>
  <c r="AE26" i="336"/>
  <c r="AF26" i="336"/>
  <c r="AE27" i="336"/>
  <c r="AF27" i="336"/>
  <c r="AE28" i="336"/>
  <c r="AF28" i="336"/>
  <c r="AE29" i="336"/>
  <c r="AF29" i="336"/>
  <c r="AG29" i="336" s="1"/>
  <c r="F106" i="336" s="1"/>
  <c r="AE31" i="336"/>
  <c r="AF31" i="336"/>
  <c r="AF6" i="336"/>
  <c r="AE6" i="336"/>
  <c r="AA7" i="336"/>
  <c r="AB7" i="336"/>
  <c r="AA8" i="336"/>
  <c r="AB8" i="336"/>
  <c r="AC8" i="336" s="1"/>
  <c r="AA9" i="336"/>
  <c r="AB9" i="336"/>
  <c r="AA11" i="336"/>
  <c r="AB11" i="336"/>
  <c r="AA12" i="336"/>
  <c r="AB12" i="336"/>
  <c r="AA13" i="336"/>
  <c r="AB13" i="336"/>
  <c r="AC13" i="336" s="1"/>
  <c r="E13" i="336" s="1"/>
  <c r="AA14" i="336"/>
  <c r="AB14" i="336"/>
  <c r="AA16" i="336"/>
  <c r="AB16" i="336"/>
  <c r="AA17" i="336"/>
  <c r="AB17" i="336"/>
  <c r="AA18" i="336"/>
  <c r="AB18" i="336"/>
  <c r="AC18" i="336" s="1"/>
  <c r="AA19" i="336"/>
  <c r="AB19" i="336"/>
  <c r="AA21" i="336"/>
  <c r="AB21" i="336"/>
  <c r="AA22" i="336"/>
  <c r="AB22" i="336"/>
  <c r="AA23" i="336"/>
  <c r="AB23" i="336"/>
  <c r="AA24" i="336"/>
  <c r="AB24" i="336"/>
  <c r="AA26" i="336"/>
  <c r="AB26" i="336"/>
  <c r="AA27" i="336"/>
  <c r="AB27" i="336"/>
  <c r="AA28" i="336"/>
  <c r="AB28" i="336"/>
  <c r="AC28" i="336" s="1"/>
  <c r="AA29" i="336"/>
  <c r="AB29" i="336"/>
  <c r="AA31" i="336"/>
  <c r="AB31" i="336"/>
  <c r="AB6" i="336"/>
  <c r="AA6" i="336"/>
  <c r="AR7" i="336"/>
  <c r="AR8" i="336"/>
  <c r="AR9" i="336"/>
  <c r="AR11" i="336"/>
  <c r="AQ12" i="336"/>
  <c r="AR12" i="336"/>
  <c r="AQ13" i="336"/>
  <c r="AR13" i="336"/>
  <c r="AR14" i="336"/>
  <c r="AR16" i="336"/>
  <c r="AS16" i="336" s="1"/>
  <c r="AH86" i="337"/>
  <c r="AQ16" i="336"/>
  <c r="AR17" i="336"/>
  <c r="AR18" i="336"/>
  <c r="AR19" i="336"/>
  <c r="AQ21" i="336"/>
  <c r="AR21" i="336"/>
  <c r="AQ22" i="336"/>
  <c r="AR22" i="336"/>
  <c r="AQ23" i="336"/>
  <c r="AR23" i="336"/>
  <c r="AS23" i="336" s="1"/>
  <c r="AQ24" i="336"/>
  <c r="AR24" i="336"/>
  <c r="AR26" i="336"/>
  <c r="AH96" i="337"/>
  <c r="AQ26" i="336"/>
  <c r="AS26" i="336" s="1"/>
  <c r="AR27" i="336"/>
  <c r="AR28" i="336"/>
  <c r="AR29" i="336"/>
  <c r="AR31" i="336"/>
  <c r="AR6" i="336"/>
  <c r="AN7" i="336"/>
  <c r="AN8" i="336"/>
  <c r="AN9" i="336"/>
  <c r="AD76" i="337"/>
  <c r="AM6" i="336"/>
  <c r="AD77" i="337"/>
  <c r="AD78" i="337"/>
  <c r="AN11" i="336"/>
  <c r="AM12" i="336"/>
  <c r="AN12" i="336"/>
  <c r="AM13" i="336"/>
  <c r="AN13" i="336"/>
  <c r="AN14" i="336"/>
  <c r="AN16" i="336"/>
  <c r="AN17" i="336"/>
  <c r="AN18" i="336"/>
  <c r="AN19" i="336"/>
  <c r="AM21" i="336"/>
  <c r="AN21" i="336"/>
  <c r="AO21" i="336" s="1"/>
  <c r="AM22" i="336"/>
  <c r="AN22" i="336"/>
  <c r="AM23" i="336"/>
  <c r="AN23" i="336"/>
  <c r="AM24" i="336"/>
  <c r="AN24" i="336"/>
  <c r="AN26" i="336"/>
  <c r="AN27" i="336"/>
  <c r="AO27" i="336" s="1"/>
  <c r="AD97" i="337"/>
  <c r="AM27" i="336"/>
  <c r="AN28" i="336"/>
  <c r="AN29" i="336"/>
  <c r="AN31" i="336"/>
  <c r="AN6" i="336"/>
  <c r="AU12" i="336"/>
  <c r="AU13" i="336"/>
  <c r="AV13" i="336"/>
  <c r="AU21" i="336"/>
  <c r="AV21" i="336"/>
  <c r="AW21" i="336" s="1"/>
  <c r="J98" i="336" s="1"/>
  <c r="AU22" i="336"/>
  <c r="AV22" i="336"/>
  <c r="AU23" i="336"/>
  <c r="AV23" i="336"/>
  <c r="AU24" i="336"/>
  <c r="AV24" i="336"/>
  <c r="AY12" i="336"/>
  <c r="AY13" i="336"/>
  <c r="AY21" i="336"/>
  <c r="AZ21" i="336"/>
  <c r="AY22" i="336"/>
  <c r="AZ22" i="336"/>
  <c r="AY23" i="336"/>
  <c r="AZ23" i="336"/>
  <c r="AY24" i="336"/>
  <c r="AZ24" i="336"/>
  <c r="BA24" i="336" s="1"/>
  <c r="K24" i="336" s="1"/>
  <c r="BE16" i="336"/>
  <c r="BC12" i="336"/>
  <c r="BD13" i="336"/>
  <c r="BC21" i="336"/>
  <c r="BD21" i="336"/>
  <c r="BC22" i="336"/>
  <c r="BD22" i="336"/>
  <c r="BC23" i="336"/>
  <c r="BD23" i="336"/>
  <c r="BC24" i="336"/>
  <c r="BD24" i="336"/>
  <c r="BH11" i="336"/>
  <c r="BH21" i="336"/>
  <c r="BH22" i="336"/>
  <c r="BH23" i="336"/>
  <c r="BG23" i="336"/>
  <c r="BI23" i="336" s="1"/>
  <c r="BH24" i="336"/>
  <c r="BG12" i="336"/>
  <c r="BG21" i="336"/>
  <c r="BG22" i="336"/>
  <c r="BG24" i="336"/>
  <c r="BL11" i="336"/>
  <c r="BL21" i="336"/>
  <c r="BK21" i="336"/>
  <c r="BM21" i="336" s="1"/>
  <c r="BL22" i="336"/>
  <c r="BL23" i="336"/>
  <c r="BL24" i="336"/>
  <c r="BK12" i="336"/>
  <c r="BB117" i="337"/>
  <c r="BL12" i="336"/>
  <c r="O13" i="202"/>
  <c r="BK22" i="336"/>
  <c r="BM22" i="336" s="1"/>
  <c r="N99" i="336" s="1"/>
  <c r="BK23" i="336"/>
  <c r="BM23" i="336" s="1"/>
  <c r="BK24" i="336"/>
  <c r="X28" i="253"/>
  <c r="X27" i="253"/>
  <c r="X29" i="253"/>
  <c r="X26" i="253"/>
  <c r="X18" i="253"/>
  <c r="X17" i="253"/>
  <c r="X16" i="253"/>
  <c r="X36" i="253"/>
  <c r="X12" i="253"/>
  <c r="X35" i="253"/>
  <c r="X11" i="253"/>
  <c r="X8" i="253"/>
  <c r="X34" i="253"/>
  <c r="X7" i="253"/>
  <c r="X6" i="253"/>
  <c r="X26" i="275"/>
  <c r="X79" i="275"/>
  <c r="AO16" i="284"/>
  <c r="AO15" i="284"/>
  <c r="BN46" i="281"/>
  <c r="BK46" i="281"/>
  <c r="BL46" i="281"/>
  <c r="BM46" i="281"/>
  <c r="BN44" i="281"/>
  <c r="BM44" i="281"/>
  <c r="BL44" i="281"/>
  <c r="BK44" i="281"/>
  <c r="BN42" i="281"/>
  <c r="BN48" i="281"/>
  <c r="BM42" i="281"/>
  <c r="BL42" i="281"/>
  <c r="BK42" i="281"/>
  <c r="BN37" i="281"/>
  <c r="BM37" i="281"/>
  <c r="BL37" i="281"/>
  <c r="BK37" i="281"/>
  <c r="BO37" i="281"/>
  <c r="BL38" i="281"/>
  <c r="BN35" i="281"/>
  <c r="BM35" i="281"/>
  <c r="BM39" i="281"/>
  <c r="BL35" i="281"/>
  <c r="BK35" i="281"/>
  <c r="BN33" i="281"/>
  <c r="BM33" i="281"/>
  <c r="BL33" i="281"/>
  <c r="BL39" i="281"/>
  <c r="BK33" i="281"/>
  <c r="BO33" i="281"/>
  <c r="BN28" i="281"/>
  <c r="BM28" i="281"/>
  <c r="BL28" i="281"/>
  <c r="BK28" i="281"/>
  <c r="BN26" i="281"/>
  <c r="BM26" i="281"/>
  <c r="BL26" i="281"/>
  <c r="BK26" i="281"/>
  <c r="BN24" i="281"/>
  <c r="BN30" i="281"/>
  <c r="BM24" i="281"/>
  <c r="BM30" i="281"/>
  <c r="BL24" i="281"/>
  <c r="BK24" i="281"/>
  <c r="BN19" i="281"/>
  <c r="BM19" i="281"/>
  <c r="BL19" i="281"/>
  <c r="BK19" i="281"/>
  <c r="BN17" i="281"/>
  <c r="BM17" i="281"/>
  <c r="BM21" i="281"/>
  <c r="BL17" i="281"/>
  <c r="BK17" i="281"/>
  <c r="BN15" i="281"/>
  <c r="BM15" i="281"/>
  <c r="BL15" i="281"/>
  <c r="BK15" i="281"/>
  <c r="BK21" i="281"/>
  <c r="BN10" i="281"/>
  <c r="BM10" i="281"/>
  <c r="BL10" i="281"/>
  <c r="BK10" i="281"/>
  <c r="BN8" i="281"/>
  <c r="BM8" i="281"/>
  <c r="BL8" i="281"/>
  <c r="BK8" i="281"/>
  <c r="BN6" i="281"/>
  <c r="BM6" i="281"/>
  <c r="BM12" i="281"/>
  <c r="BL6" i="281"/>
  <c r="BK6" i="281"/>
  <c r="BN29" i="242"/>
  <c r="BM29" i="242"/>
  <c r="BL29" i="242"/>
  <c r="BK29" i="242"/>
  <c r="BO28" i="242"/>
  <c r="BO26" i="242"/>
  <c r="BO27" i="242"/>
  <c r="BN24" i="242"/>
  <c r="BM24" i="242"/>
  <c r="BO23" i="242"/>
  <c r="BO22" i="242"/>
  <c r="BO24" i="242"/>
  <c r="BO21" i="242"/>
  <c r="BN19" i="242"/>
  <c r="BN9" i="242"/>
  <c r="BN14" i="242"/>
  <c r="BM19" i="242"/>
  <c r="BL19" i="242"/>
  <c r="BK19" i="242"/>
  <c r="BO18" i="242"/>
  <c r="BO16" i="242"/>
  <c r="BO17" i="242"/>
  <c r="BM14" i="242"/>
  <c r="BM9" i="242"/>
  <c r="BL14" i="242"/>
  <c r="BK14" i="242"/>
  <c r="BO13" i="242"/>
  <c r="BO12" i="242"/>
  <c r="BO11" i="242"/>
  <c r="BL9" i="242"/>
  <c r="BK9" i="242"/>
  <c r="BO8" i="242"/>
  <c r="BO7" i="242"/>
  <c r="BO6" i="242"/>
  <c r="BO9" i="242"/>
  <c r="O35" i="243"/>
  <c r="O34" i="243"/>
  <c r="O33" i="243"/>
  <c r="O32" i="243"/>
  <c r="O31" i="243"/>
  <c r="O30" i="243"/>
  <c r="O28" i="243"/>
  <c r="O23" i="243"/>
  <c r="O18" i="243"/>
  <c r="O13" i="243"/>
  <c r="O8" i="243"/>
  <c r="BN12" i="281"/>
  <c r="BK31" i="242"/>
  <c r="BS79" i="276"/>
  <c r="BP14" i="277"/>
  <c r="BQ14" i="277"/>
  <c r="BP15" i="277"/>
  <c r="BQ15" i="277"/>
  <c r="BQ16" i="277"/>
  <c r="BP16" i="277"/>
  <c r="BO16" i="277"/>
  <c r="BO15" i="277"/>
  <c r="BO14" i="277"/>
  <c r="BQ50" i="276"/>
  <c r="BQ51" i="276" s="1"/>
  <c r="BQ149" i="276" s="1"/>
  <c r="BR50" i="276"/>
  <c r="BS50" i="276"/>
  <c r="BT35" i="276"/>
  <c r="BT44" i="276"/>
  <c r="BT45" i="276"/>
  <c r="BT46" i="276"/>
  <c r="BT47" i="276"/>
  <c r="BT48" i="276"/>
  <c r="BT50" i="276" s="1"/>
  <c r="BT49" i="276"/>
  <c r="BT37" i="276"/>
  <c r="BT38" i="276"/>
  <c r="BT39" i="276"/>
  <c r="BT40" i="276"/>
  <c r="BT41" i="276"/>
  <c r="BT42" i="276"/>
  <c r="BS15" i="276"/>
  <c r="BS51" i="276" s="1"/>
  <c r="BS149" i="276" s="1"/>
  <c r="BR15" i="276"/>
  <c r="BQ15" i="276"/>
  <c r="P15" i="268"/>
  <c r="P66" i="268"/>
  <c r="P65" i="268"/>
  <c r="P64" i="268"/>
  <c r="P68" i="268" s="1"/>
  <c r="P61" i="268"/>
  <c r="P63" i="268" s="1"/>
  <c r="P82" i="268" s="1"/>
  <c r="P58" i="268"/>
  <c r="P57" i="268"/>
  <c r="P210" i="268" s="1"/>
  <c r="P49" i="268"/>
  <c r="P202" i="268" s="1"/>
  <c r="P48" i="268"/>
  <c r="P201" i="268" s="1"/>
  <c r="P45" i="268"/>
  <c r="P198" i="268" s="1"/>
  <c r="P44" i="268"/>
  <c r="P197" i="268" s="1"/>
  <c r="P43" i="268"/>
  <c r="P196" i="268" s="1"/>
  <c r="P41" i="268"/>
  <c r="P194" i="268" s="1"/>
  <c r="P40" i="268"/>
  <c r="P193" i="268" s="1"/>
  <c r="P39" i="268"/>
  <c r="P192" i="268" s="1"/>
  <c r="P32" i="268"/>
  <c r="P185" i="268" s="1"/>
  <c r="P31" i="268"/>
  <c r="P184" i="268" s="1"/>
  <c r="P30" i="268"/>
  <c r="P183" i="268" s="1"/>
  <c r="P28" i="268"/>
  <c r="P181" i="268" s="1"/>
  <c r="P27" i="268"/>
  <c r="P26" i="268"/>
  <c r="P179" i="268" s="1"/>
  <c r="P24" i="268"/>
  <c r="P177" i="268" s="1"/>
  <c r="P23" i="268"/>
  <c r="P176" i="268" s="1"/>
  <c r="P11" i="268"/>
  <c r="P164" i="268" s="1"/>
  <c r="P10" i="268"/>
  <c r="P9" i="268"/>
  <c r="P162" i="268" s="1"/>
  <c r="P7" i="268"/>
  <c r="P6" i="268"/>
  <c r="P159" i="268" s="1"/>
  <c r="P5" i="268"/>
  <c r="Q87" i="267"/>
  <c r="Q33" i="267"/>
  <c r="Q51" i="267"/>
  <c r="Q16" i="267"/>
  <c r="Q150" i="267"/>
  <c r="Q145" i="267"/>
  <c r="Q143" i="267"/>
  <c r="Q139" i="267"/>
  <c r="Q134" i="267"/>
  <c r="Q119" i="267"/>
  <c r="Q98" i="267"/>
  <c r="Q69" i="267"/>
  <c r="Q151" i="267"/>
  <c r="AN33" i="284"/>
  <c r="AN32" i="284"/>
  <c r="AN31" i="284"/>
  <c r="AM33" i="284"/>
  <c r="AM32" i="284"/>
  <c r="AM31" i="284"/>
  <c r="AM35" i="284"/>
  <c r="AO33" i="284"/>
  <c r="AO31" i="284"/>
  <c r="AO32" i="284"/>
  <c r="AO35" i="284"/>
  <c r="AN35" i="284"/>
  <c r="AO28" i="284"/>
  <c r="AO30" i="284"/>
  <c r="AN28" i="284"/>
  <c r="AN30" i="284"/>
  <c r="AM28" i="284"/>
  <c r="AM30" i="284"/>
  <c r="AO25" i="284"/>
  <c r="AN25" i="284"/>
  <c r="AN37" i="284"/>
  <c r="AM25" i="284"/>
  <c r="AO24" i="284"/>
  <c r="AN24" i="284"/>
  <c r="AM24" i="284"/>
  <c r="AN16" i="284"/>
  <c r="AM16" i="284"/>
  <c r="AM14" i="284"/>
  <c r="AM15" i="284"/>
  <c r="AN15" i="284"/>
  <c r="AO14" i="284"/>
  <c r="AN14" i="284"/>
  <c r="AN10" i="284"/>
  <c r="AO12" i="284"/>
  <c r="AN12" i="284"/>
  <c r="AM12" i="284"/>
  <c r="AM8" i="284"/>
  <c r="AO11" i="284"/>
  <c r="AN11" i="284"/>
  <c r="AM11" i="284"/>
  <c r="AO10" i="284"/>
  <c r="AM10" i="284"/>
  <c r="AO8" i="284"/>
  <c r="AN8" i="284"/>
  <c r="AO7" i="284"/>
  <c r="AN7" i="284"/>
  <c r="AN19" i="284"/>
  <c r="AM7" i="284"/>
  <c r="AM37" i="284"/>
  <c r="M13" i="294"/>
  <c r="M31" i="294"/>
  <c r="M16" i="293"/>
  <c r="O31" i="292"/>
  <c r="O29" i="291"/>
  <c r="O24" i="291"/>
  <c r="O25" i="291"/>
  <c r="O26" i="291"/>
  <c r="O27" i="291"/>
  <c r="O28" i="291"/>
  <c r="O16" i="291"/>
  <c r="M28" i="294"/>
  <c r="M25" i="294"/>
  <c r="M29" i="294"/>
  <c r="M26" i="294"/>
  <c r="M27" i="294"/>
  <c r="AH52" i="295"/>
  <c r="AI49" i="295"/>
  <c r="AH137" i="295"/>
  <c r="AI137" i="295"/>
  <c r="AG137" i="295"/>
  <c r="AH136" i="295"/>
  <c r="AG136" i="295"/>
  <c r="AI136" i="295"/>
  <c r="AH135" i="295"/>
  <c r="AG135" i="295"/>
  <c r="AH132" i="295"/>
  <c r="AG132" i="295"/>
  <c r="AI132" i="295"/>
  <c r="AH131" i="295"/>
  <c r="AH133" i="295"/>
  <c r="AG131" i="295"/>
  <c r="AH130" i="295"/>
  <c r="AG130" i="295"/>
  <c r="AI130" i="295"/>
  <c r="AH127" i="295"/>
  <c r="AG127" i="295"/>
  <c r="AH126" i="295"/>
  <c r="AG126" i="295"/>
  <c r="AI126" i="295"/>
  <c r="AH125" i="295"/>
  <c r="AH128" i="295"/>
  <c r="AG125" i="295"/>
  <c r="AH122" i="295"/>
  <c r="AH145" i="295"/>
  <c r="AG122" i="295"/>
  <c r="AH121" i="295"/>
  <c r="AH144" i="295"/>
  <c r="AG121" i="295"/>
  <c r="AG144" i="295"/>
  <c r="AH120" i="295"/>
  <c r="AH141" i="295"/>
  <c r="AG120" i="295"/>
  <c r="AG141" i="295"/>
  <c r="AH117" i="295"/>
  <c r="AH143" i="295"/>
  <c r="AG117" i="295"/>
  <c r="AH116" i="295"/>
  <c r="AG116" i="295"/>
  <c r="AH115" i="295"/>
  <c r="AG115" i="295"/>
  <c r="AH107" i="295"/>
  <c r="AG107" i="295"/>
  <c r="AH106" i="295"/>
  <c r="AG106" i="295"/>
  <c r="AH105" i="295"/>
  <c r="AG105" i="295"/>
  <c r="AH104" i="295"/>
  <c r="AG104" i="295"/>
  <c r="AH103" i="295"/>
  <c r="AG103" i="295"/>
  <c r="AH102" i="295"/>
  <c r="AG102" i="295"/>
  <c r="AH100" i="295"/>
  <c r="AG100" i="295"/>
  <c r="AI99" i="295"/>
  <c r="AI98" i="295"/>
  <c r="AI97" i="295"/>
  <c r="AH95" i="295"/>
  <c r="AG95" i="295"/>
  <c r="AI95" i="295"/>
  <c r="AI94" i="295"/>
  <c r="AI93" i="295"/>
  <c r="AI92" i="295"/>
  <c r="AH90" i="295"/>
  <c r="AG90" i="295"/>
  <c r="AI89" i="295"/>
  <c r="AI107" i="295"/>
  <c r="AI88" i="295"/>
  <c r="AI106" i="295"/>
  <c r="AI82" i="295"/>
  <c r="AI102" i="295"/>
  <c r="AI83" i="295"/>
  <c r="AI87" i="295"/>
  <c r="AI104" i="295"/>
  <c r="AI84" i="295"/>
  <c r="AH85" i="295"/>
  <c r="AI85" i="295"/>
  <c r="AG85" i="295"/>
  <c r="AH74" i="295"/>
  <c r="AG74" i="295"/>
  <c r="AH73" i="295"/>
  <c r="AI73" i="295"/>
  <c r="AG73" i="295"/>
  <c r="AH72" i="295"/>
  <c r="AG72" i="295"/>
  <c r="AH71" i="295"/>
  <c r="AG71" i="295"/>
  <c r="AH70" i="295"/>
  <c r="AH75" i="295"/>
  <c r="AI75" i="295"/>
  <c r="AG70" i="295"/>
  <c r="AH69" i="295"/>
  <c r="AG69" i="295"/>
  <c r="AH67" i="295"/>
  <c r="AG67" i="295"/>
  <c r="AI67" i="295"/>
  <c r="AI66" i="295"/>
  <c r="AI65" i="295"/>
  <c r="AI64" i="295"/>
  <c r="AH57" i="295"/>
  <c r="AG57" i="295"/>
  <c r="AI56" i="295"/>
  <c r="AI55" i="295"/>
  <c r="AI54" i="295"/>
  <c r="AI51" i="295"/>
  <c r="AI50" i="295"/>
  <c r="AH47" i="295"/>
  <c r="AG47" i="295"/>
  <c r="AI46" i="295"/>
  <c r="AI45" i="295"/>
  <c r="AI44" i="295"/>
  <c r="AH36" i="295"/>
  <c r="AG36" i="295"/>
  <c r="AH35" i="295"/>
  <c r="AG35" i="295"/>
  <c r="AH34" i="295"/>
  <c r="AG34" i="295"/>
  <c r="AH33" i="295"/>
  <c r="AG33" i="295"/>
  <c r="AH32" i="295"/>
  <c r="AG32" i="295"/>
  <c r="AH31" i="295"/>
  <c r="AG31" i="295"/>
  <c r="AI31" i="295"/>
  <c r="AH29" i="295"/>
  <c r="AI29" i="295"/>
  <c r="AG29" i="295"/>
  <c r="AI28" i="295"/>
  <c r="AI27" i="295"/>
  <c r="AI26" i="295"/>
  <c r="AH24" i="295"/>
  <c r="AI24" i="295"/>
  <c r="AG24" i="295"/>
  <c r="AI23" i="295"/>
  <c r="AI22" i="295"/>
  <c r="AI21" i="295"/>
  <c r="AH19" i="295"/>
  <c r="AG19" i="295"/>
  <c r="AI18" i="295"/>
  <c r="AI17" i="295"/>
  <c r="AI16" i="295"/>
  <c r="AH14" i="295"/>
  <c r="AG14" i="295"/>
  <c r="AI13" i="295"/>
  <c r="AI12" i="295"/>
  <c r="AI11" i="295"/>
  <c r="AH9" i="295"/>
  <c r="AG9" i="295"/>
  <c r="AI8" i="295"/>
  <c r="AI7" i="295"/>
  <c r="AI6" i="295"/>
  <c r="BA134" i="337"/>
  <c r="AZ134" i="337"/>
  <c r="BB133" i="337"/>
  <c r="BL28" i="336"/>
  <c r="BB132" i="337"/>
  <c r="BL27" i="336"/>
  <c r="BB97" i="337"/>
  <c r="BK27" i="336"/>
  <c r="BB131" i="337"/>
  <c r="BL26" i="336"/>
  <c r="BA124" i="337"/>
  <c r="AZ124" i="337"/>
  <c r="AZ136" i="337"/>
  <c r="AY124" i="337"/>
  <c r="BB123" i="337"/>
  <c r="BL18" i="336"/>
  <c r="BB122" i="337"/>
  <c r="BL17" i="336"/>
  <c r="BB121" i="337"/>
  <c r="BL16" i="336"/>
  <c r="BA119" i="337"/>
  <c r="AZ119" i="337"/>
  <c r="BB118" i="337"/>
  <c r="BL13" i="336"/>
  <c r="BA114" i="337"/>
  <c r="AZ114" i="337"/>
  <c r="AY114" i="337"/>
  <c r="AY136" i="337"/>
  <c r="BB113" i="337"/>
  <c r="BL8" i="336"/>
  <c r="BB112" i="337"/>
  <c r="BL7" i="336"/>
  <c r="BB111" i="337"/>
  <c r="BL6" i="336"/>
  <c r="BA99" i="337"/>
  <c r="AZ99" i="337"/>
  <c r="AZ101" i="337"/>
  <c r="BB98" i="337"/>
  <c r="BK28" i="336"/>
  <c r="BB96" i="337"/>
  <c r="BK26" i="336"/>
  <c r="BM26" i="336" s="1"/>
  <c r="BA89" i="337"/>
  <c r="AZ89" i="337"/>
  <c r="AY89" i="337"/>
  <c r="BB88" i="337"/>
  <c r="BK18" i="336"/>
  <c r="BB87" i="337"/>
  <c r="BK17" i="336"/>
  <c r="BM17" i="336" s="1"/>
  <c r="N94" i="336" s="1"/>
  <c r="BB86" i="337"/>
  <c r="BK16" i="336"/>
  <c r="BA84" i="337"/>
  <c r="AZ84" i="337"/>
  <c r="BB83" i="337"/>
  <c r="BK13" i="336"/>
  <c r="BB81" i="337"/>
  <c r="BK11" i="336"/>
  <c r="BA79" i="337"/>
  <c r="AZ79" i="337"/>
  <c r="AY79" i="337"/>
  <c r="AY101" i="337"/>
  <c r="BB78" i="337"/>
  <c r="BK8" i="336"/>
  <c r="BM8" i="336" s="1"/>
  <c r="BB77" i="337"/>
  <c r="BK7" i="336"/>
  <c r="BM7" i="336" s="1"/>
  <c r="N150" i="336" s="1"/>
  <c r="BB76" i="337"/>
  <c r="BK6" i="336"/>
  <c r="BM6" i="336" s="1"/>
  <c r="BA64" i="337"/>
  <c r="AZ64" i="337"/>
  <c r="AY64" i="337"/>
  <c r="BB63" i="337"/>
  <c r="BB64" i="337"/>
  <c r="BB62" i="337"/>
  <c r="BB61" i="337"/>
  <c r="BA59" i="337"/>
  <c r="AZ59" i="337"/>
  <c r="BB58" i="337"/>
  <c r="BB57" i="337"/>
  <c r="BB56" i="337"/>
  <c r="BB59" i="337"/>
  <c r="BA54" i="337"/>
  <c r="BA66" i="337"/>
  <c r="AZ54" i="337"/>
  <c r="AY54" i="337"/>
  <c r="AY66" i="337"/>
  <c r="BB53" i="337"/>
  <c r="BB52" i="337"/>
  <c r="BB51" i="337"/>
  <c r="BA49" i="337"/>
  <c r="AZ49" i="337"/>
  <c r="BB48" i="337"/>
  <c r="BB49" i="337"/>
  <c r="BB47" i="337"/>
  <c r="BB46" i="337"/>
  <c r="BA44" i="337"/>
  <c r="AZ44" i="337"/>
  <c r="AY44" i="337"/>
  <c r="BB43" i="337"/>
  <c r="BB42" i="337"/>
  <c r="BB44" i="337"/>
  <c r="BB41" i="337"/>
  <c r="BA28" i="337"/>
  <c r="AZ28" i="337"/>
  <c r="AY28" i="337"/>
  <c r="BA27" i="337"/>
  <c r="AZ27" i="337"/>
  <c r="AY27" i="337"/>
  <c r="BA26" i="337"/>
  <c r="BB26" i="337"/>
  <c r="BB29" i="337"/>
  <c r="AZ26" i="337"/>
  <c r="AY26" i="337"/>
  <c r="BA23" i="337"/>
  <c r="AZ23" i="337"/>
  <c r="AY23" i="337"/>
  <c r="BA22" i="337"/>
  <c r="AZ22" i="337"/>
  <c r="AY22" i="337"/>
  <c r="BB22" i="337"/>
  <c r="BA21" i="337"/>
  <c r="BA24" i="337"/>
  <c r="AZ21" i="337"/>
  <c r="AY21" i="337"/>
  <c r="BB21" i="337"/>
  <c r="BA18" i="337"/>
  <c r="AZ18" i="337"/>
  <c r="AY18" i="337"/>
  <c r="BA17" i="337"/>
  <c r="BB17" i="337"/>
  <c r="AZ17" i="337"/>
  <c r="AY17" i="337"/>
  <c r="BA16" i="337"/>
  <c r="AZ16" i="337"/>
  <c r="AY16" i="337"/>
  <c r="AY19" i="337"/>
  <c r="AY31" i="337"/>
  <c r="BA13" i="337"/>
  <c r="AZ13" i="337"/>
  <c r="AY13" i="337"/>
  <c r="BB13" i="337"/>
  <c r="BA12" i="337"/>
  <c r="AZ12" i="337"/>
  <c r="AY12" i="337"/>
  <c r="BA11" i="337"/>
  <c r="AZ11" i="337"/>
  <c r="AY11" i="337"/>
  <c r="BA8" i="337"/>
  <c r="AZ8" i="337"/>
  <c r="BB8" i="337"/>
  <c r="AY8" i="337"/>
  <c r="BA7" i="337"/>
  <c r="AZ7" i="337"/>
  <c r="AY7" i="337"/>
  <c r="BA6" i="337"/>
  <c r="AZ6" i="337"/>
  <c r="AY6" i="337"/>
  <c r="AG108" i="295"/>
  <c r="AG52" i="295"/>
  <c r="AI52" i="295"/>
  <c r="AI19" i="295"/>
  <c r="AI135" i="295"/>
  <c r="AH140" i="295"/>
  <c r="AH146" i="295"/>
  <c r="AI115" i="295"/>
  <c r="AG75" i="295"/>
  <c r="AG138" i="295"/>
  <c r="AH142" i="295"/>
  <c r="AI32" i="295"/>
  <c r="AI127" i="295"/>
  <c r="AI33" i="295"/>
  <c r="AG118" i="295"/>
  <c r="AI121" i="295"/>
  <c r="AG143" i="295"/>
  <c r="AG145" i="295"/>
  <c r="AI69" i="295"/>
  <c r="BB124" i="337"/>
  <c r="BL19" i="336"/>
  <c r="AZ29" i="337"/>
  <c r="BB28" i="337"/>
  <c r="AZ66" i="337"/>
  <c r="AZ24" i="337"/>
  <c r="BB7" i="337"/>
  <c r="BA9" i="337"/>
  <c r="AZ14" i="337"/>
  <c r="AZ19" i="337"/>
  <c r="BB18" i="337"/>
  <c r="BB54" i="337"/>
  <c r="BB23" i="337"/>
  <c r="BB6" i="337"/>
  <c r="BB11" i="337"/>
  <c r="BB12" i="337"/>
  <c r="BB27" i="337"/>
  <c r="BA14" i="337"/>
  <c r="BB84" i="337"/>
  <c r="BK14" i="336"/>
  <c r="BB89" i="337"/>
  <c r="BK19" i="336"/>
  <c r="BA101" i="337"/>
  <c r="BB99" i="337"/>
  <c r="BK29" i="336"/>
  <c r="BM29" i="336" s="1"/>
  <c r="N167" i="336" s="1"/>
  <c r="BB134" i="337"/>
  <c r="BL29" i="336"/>
  <c r="AY9" i="337"/>
  <c r="BB114" i="337"/>
  <c r="BL9" i="336"/>
  <c r="BA19" i="337"/>
  <c r="BA136" i="337"/>
  <c r="AY29" i="337"/>
  <c r="BQ67" i="277"/>
  <c r="BP67" i="277"/>
  <c r="BO67" i="277"/>
  <c r="BQ66" i="277"/>
  <c r="BP66" i="277"/>
  <c r="BO66" i="277"/>
  <c r="BQ63" i="277"/>
  <c r="BP63" i="277"/>
  <c r="BO63" i="277"/>
  <c r="BQ62" i="277"/>
  <c r="BP62" i="277"/>
  <c r="BO62" i="277"/>
  <c r="BQ61" i="277"/>
  <c r="BP61" i="277"/>
  <c r="BO61" i="277"/>
  <c r="BQ59" i="277"/>
  <c r="BP59" i="277"/>
  <c r="BP60" i="277" s="1"/>
  <c r="BO59" i="277"/>
  <c r="BQ58" i="277"/>
  <c r="BP58" i="277"/>
  <c r="BO58" i="277"/>
  <c r="BQ57" i="277"/>
  <c r="BP57" i="277"/>
  <c r="BO57" i="277"/>
  <c r="BQ50" i="277"/>
  <c r="BP50" i="277"/>
  <c r="BO50" i="277"/>
  <c r="BQ49" i="277"/>
  <c r="BP49" i="277"/>
  <c r="BO49" i="277"/>
  <c r="BQ48" i="277"/>
  <c r="BP48" i="277"/>
  <c r="BO48" i="277"/>
  <c r="BQ46" i="277"/>
  <c r="BP46" i="277"/>
  <c r="BO46" i="277"/>
  <c r="BQ45" i="277"/>
  <c r="BP45" i="277"/>
  <c r="BO45" i="277"/>
  <c r="BQ44" i="277"/>
  <c r="BP44" i="277"/>
  <c r="BO44" i="277"/>
  <c r="BQ42" i="277"/>
  <c r="BQ43" i="277" s="1"/>
  <c r="BP42" i="277"/>
  <c r="BO42" i="277"/>
  <c r="BQ41" i="277"/>
  <c r="BP41" i="277"/>
  <c r="BO41" i="277"/>
  <c r="BQ33" i="277"/>
  <c r="BP33" i="277"/>
  <c r="BO33" i="277"/>
  <c r="BQ32" i="277"/>
  <c r="BP32" i="277"/>
  <c r="BO32" i="277"/>
  <c r="BQ31" i="277"/>
  <c r="BQ35" i="277"/>
  <c r="BP31" i="277"/>
  <c r="BP35" i="277"/>
  <c r="BO31" i="277"/>
  <c r="BQ28" i="277"/>
  <c r="BQ30" i="277"/>
  <c r="BP28" i="277"/>
  <c r="BO28" i="277"/>
  <c r="BO30" i="277"/>
  <c r="BQ25" i="277"/>
  <c r="BQ26" i="277"/>
  <c r="BP25" i="277"/>
  <c r="BP26" i="277"/>
  <c r="BO25" i="277"/>
  <c r="BO37" i="277"/>
  <c r="BQ24" i="277"/>
  <c r="BP24" i="277"/>
  <c r="BP36" i="277" s="1"/>
  <c r="BO24" i="277"/>
  <c r="BR23" i="277"/>
  <c r="BQ12" i="277"/>
  <c r="BP12" i="277"/>
  <c r="BO12" i="277"/>
  <c r="BQ11" i="277"/>
  <c r="BP11" i="277"/>
  <c r="BO11" i="277"/>
  <c r="BQ10" i="277"/>
  <c r="BP10" i="277"/>
  <c r="BP13" i="277" s="1"/>
  <c r="BO10" i="277"/>
  <c r="BQ8" i="277"/>
  <c r="BQ9" i="277" s="1"/>
  <c r="BP8" i="277"/>
  <c r="BO8" i="277"/>
  <c r="BQ7" i="277"/>
  <c r="BQ19" i="277" s="1"/>
  <c r="BP7" i="277"/>
  <c r="BO7" i="277"/>
  <c r="BQ6" i="277"/>
  <c r="BP6" i="277"/>
  <c r="BO6" i="277"/>
  <c r="BS146" i="276"/>
  <c r="BR146" i="276"/>
  <c r="BQ146" i="276"/>
  <c r="BT145" i="276"/>
  <c r="BT144" i="276"/>
  <c r="BT142" i="276"/>
  <c r="BT143" i="276"/>
  <c r="BS141" i="276"/>
  <c r="BR141" i="276"/>
  <c r="BR126" i="276"/>
  <c r="BQ141" i="276"/>
  <c r="BT140" i="276"/>
  <c r="BT139" i="276"/>
  <c r="BT138" i="276"/>
  <c r="BT137" i="276"/>
  <c r="BT136" i="276"/>
  <c r="BT135" i="276"/>
  <c r="BT134" i="276"/>
  <c r="BT133" i="276"/>
  <c r="BT132" i="276"/>
  <c r="BT131" i="276"/>
  <c r="BT130" i="276"/>
  <c r="BT127" i="276"/>
  <c r="BT128" i="276"/>
  <c r="BT129" i="276"/>
  <c r="BS126" i="276"/>
  <c r="BQ126" i="276"/>
  <c r="BT123" i="276"/>
  <c r="BT122" i="276"/>
  <c r="BT121" i="276"/>
  <c r="BT118" i="276"/>
  <c r="BT117" i="276"/>
  <c r="BT116" i="276"/>
  <c r="BT115" i="276"/>
  <c r="BT114" i="276"/>
  <c r="BT113" i="276"/>
  <c r="BT112" i="276"/>
  <c r="BT111" i="276"/>
  <c r="BT110" i="276"/>
  <c r="BT126" i="276" s="1"/>
  <c r="BT109" i="276"/>
  <c r="BS106" i="276"/>
  <c r="BR106" i="276"/>
  <c r="BQ106" i="276"/>
  <c r="BT105" i="276"/>
  <c r="BT104" i="276"/>
  <c r="BT103" i="276"/>
  <c r="BT106" i="276" s="1"/>
  <c r="BT102" i="276"/>
  <c r="BT101" i="276"/>
  <c r="BT100" i="276"/>
  <c r="BT99" i="276"/>
  <c r="BT97" i="276"/>
  <c r="BT96" i="276"/>
  <c r="BS95" i="276"/>
  <c r="BS107" i="276" s="1"/>
  <c r="BR95" i="276"/>
  <c r="BR107" i="276" s="1"/>
  <c r="BQ95" i="276"/>
  <c r="BT92" i="276"/>
  <c r="BT91" i="276"/>
  <c r="BT90" i="276"/>
  <c r="BT89" i="276"/>
  <c r="BT88" i="276"/>
  <c r="BT85" i="276"/>
  <c r="BT84" i="276"/>
  <c r="BT95" i="276" s="1"/>
  <c r="BT83" i="276"/>
  <c r="BT82" i="276"/>
  <c r="BT81" i="276"/>
  <c r="BT80" i="276"/>
  <c r="BR79" i="276"/>
  <c r="BQ79" i="276"/>
  <c r="BT77" i="276"/>
  <c r="BT76" i="276"/>
  <c r="BT75" i="276"/>
  <c r="BT74" i="276"/>
  <c r="BT73" i="276"/>
  <c r="BT72" i="276"/>
  <c r="BT71" i="276"/>
  <c r="BT70" i="276"/>
  <c r="BT69" i="276"/>
  <c r="BT68" i="276"/>
  <c r="BT79" i="276" s="1"/>
  <c r="BT67" i="276"/>
  <c r="BT66" i="276"/>
  <c r="BT65" i="276"/>
  <c r="BT64" i="276"/>
  <c r="BS61" i="276"/>
  <c r="BR61" i="276"/>
  <c r="BR62" i="276" s="1"/>
  <c r="BR149" i="276" s="1"/>
  <c r="BQ61" i="276"/>
  <c r="BQ62" i="276" s="1"/>
  <c r="BT59" i="276"/>
  <c r="BT58" i="276"/>
  <c r="BT57" i="276"/>
  <c r="BS56" i="276"/>
  <c r="BT55" i="276"/>
  <c r="BT56" i="276" s="1"/>
  <c r="BS54" i="276"/>
  <c r="BS62" i="276" s="1"/>
  <c r="BT53" i="276"/>
  <c r="BT52" i="276"/>
  <c r="BT54" i="276" s="1"/>
  <c r="BT43" i="276"/>
  <c r="BT36" i="276"/>
  <c r="BT33" i="276"/>
  <c r="BS32" i="276"/>
  <c r="BR32" i="276"/>
  <c r="BQ32" i="276"/>
  <c r="BT30" i="276"/>
  <c r="BT29" i="276"/>
  <c r="BT28" i="276"/>
  <c r="BT25" i="276"/>
  <c r="BT24" i="276"/>
  <c r="BT23" i="276"/>
  <c r="BT32" i="276" s="1"/>
  <c r="BT22" i="276"/>
  <c r="BT21" i="276"/>
  <c r="BT20" i="276"/>
  <c r="BT19" i="276"/>
  <c r="BT18" i="276"/>
  <c r="BT17" i="276"/>
  <c r="BT16" i="276"/>
  <c r="BT14" i="276"/>
  <c r="BT13" i="276"/>
  <c r="BT12" i="276"/>
  <c r="BT11" i="276"/>
  <c r="BT10" i="276"/>
  <c r="BT9" i="276"/>
  <c r="BT8" i="276"/>
  <c r="BT7" i="276"/>
  <c r="BT6" i="276"/>
  <c r="BT5" i="276"/>
  <c r="BB147" i="273"/>
  <c r="BC95" i="273"/>
  <c r="BA130" i="273"/>
  <c r="BA67" i="263"/>
  <c r="BA68" i="263"/>
  <c r="AZ67" i="263"/>
  <c r="AY67" i="263"/>
  <c r="BA66" i="263"/>
  <c r="AZ66" i="263"/>
  <c r="AY66" i="263"/>
  <c r="BA63" i="263"/>
  <c r="AZ63" i="263"/>
  <c r="AY63" i="263"/>
  <c r="BA62" i="263"/>
  <c r="AZ62" i="263"/>
  <c r="AY62" i="263"/>
  <c r="BA61" i="263"/>
  <c r="BA57" i="263"/>
  <c r="AZ61" i="263"/>
  <c r="AY61" i="263"/>
  <c r="BA59" i="263"/>
  <c r="AZ59" i="263"/>
  <c r="AY59" i="263"/>
  <c r="BA58" i="263"/>
  <c r="AZ58" i="263"/>
  <c r="AY58" i="263"/>
  <c r="BB58" i="263"/>
  <c r="AZ57" i="263"/>
  <c r="AZ69" i="263"/>
  <c r="AY57" i="263"/>
  <c r="AY69" i="263"/>
  <c r="BA50" i="263"/>
  <c r="AZ50" i="263"/>
  <c r="AY50" i="263"/>
  <c r="BA49" i="263"/>
  <c r="AZ49" i="263"/>
  <c r="AY49" i="263"/>
  <c r="BB49" i="263"/>
  <c r="BA48" i="263"/>
  <c r="AZ48" i="263"/>
  <c r="AZ44" i="263"/>
  <c r="BB44" i="263"/>
  <c r="AY48" i="263"/>
  <c r="BA46" i="263"/>
  <c r="AZ46" i="263"/>
  <c r="AY46" i="263"/>
  <c r="BA45" i="263"/>
  <c r="AZ45" i="263"/>
  <c r="AY45" i="263"/>
  <c r="BA44" i="263"/>
  <c r="AY44" i="263"/>
  <c r="BA42" i="263"/>
  <c r="AZ42" i="263"/>
  <c r="AY42" i="263"/>
  <c r="BA41" i="263"/>
  <c r="AZ41" i="263"/>
  <c r="AZ53" i="263"/>
  <c r="AY41" i="263"/>
  <c r="BA33" i="263"/>
  <c r="BA37" i="263"/>
  <c r="AZ33" i="263"/>
  <c r="AY33" i="263"/>
  <c r="BA32" i="263"/>
  <c r="AZ32" i="263"/>
  <c r="AY32" i="263"/>
  <c r="BA31" i="263"/>
  <c r="BA35" i="263"/>
  <c r="AZ31" i="263"/>
  <c r="AZ35" i="263"/>
  <c r="AY31" i="263"/>
  <c r="AY35" i="263"/>
  <c r="BA28" i="263"/>
  <c r="BA30" i="263"/>
  <c r="AZ28" i="263"/>
  <c r="AZ30" i="263"/>
  <c r="AY28" i="263"/>
  <c r="AY30" i="263"/>
  <c r="BA25" i="263"/>
  <c r="AZ25" i="263"/>
  <c r="AY25" i="263"/>
  <c r="AY26" i="263"/>
  <c r="BA24" i="263"/>
  <c r="BA36" i="263"/>
  <c r="AZ24" i="263"/>
  <c r="AY24" i="263"/>
  <c r="BA12" i="263"/>
  <c r="AZ12" i="263"/>
  <c r="AY12" i="263"/>
  <c r="BA11" i="263"/>
  <c r="AZ11" i="263"/>
  <c r="AY11" i="263"/>
  <c r="BA10" i="263"/>
  <c r="BB10" i="263"/>
  <c r="AZ10" i="263"/>
  <c r="AY10" i="263"/>
  <c r="BA8" i="263"/>
  <c r="AZ8" i="263"/>
  <c r="AY8" i="263"/>
  <c r="BA7" i="263"/>
  <c r="BA9" i="263"/>
  <c r="AZ7" i="263"/>
  <c r="AZ9" i="263"/>
  <c r="AY7" i="263"/>
  <c r="BC146" i="273"/>
  <c r="BB146" i="273"/>
  <c r="BA146" i="273"/>
  <c r="BD144" i="273"/>
  <c r="BD143" i="273"/>
  <c r="BD142" i="273"/>
  <c r="BD146" i="273"/>
  <c r="BC141" i="273"/>
  <c r="BB141" i="273"/>
  <c r="BA141" i="273"/>
  <c r="BD140" i="273"/>
  <c r="BD141" i="273"/>
  <c r="BC139" i="273"/>
  <c r="BC147" i="273"/>
  <c r="BB139" i="273"/>
  <c r="BA139" i="273"/>
  <c r="BA147" i="273"/>
  <c r="BD138" i="273"/>
  <c r="BD139" i="273"/>
  <c r="BD137" i="273"/>
  <c r="BC135" i="273"/>
  <c r="BB135" i="273"/>
  <c r="BA135" i="273"/>
  <c r="BD134" i="273"/>
  <c r="BD133" i="273"/>
  <c r="BD132" i="273"/>
  <c r="BD131" i="273"/>
  <c r="BD135" i="273"/>
  <c r="BC130" i="273"/>
  <c r="BC136" i="273"/>
  <c r="BC115" i="273"/>
  <c r="BB130" i="273"/>
  <c r="BD129" i="273"/>
  <c r="BD128" i="273"/>
  <c r="BD127" i="273"/>
  <c r="BD126" i="273"/>
  <c r="BD125" i="273"/>
  <c r="BD124" i="273"/>
  <c r="BD123" i="273"/>
  <c r="BD122" i="273"/>
  <c r="BD121" i="273"/>
  <c r="BD119" i="273"/>
  <c r="BD118" i="273"/>
  <c r="BD117" i="273"/>
  <c r="BD116" i="273"/>
  <c r="BB115" i="273"/>
  <c r="BA115" i="273"/>
  <c r="BD112" i="273"/>
  <c r="BD111" i="273"/>
  <c r="BD110" i="273"/>
  <c r="BD107" i="273"/>
  <c r="BD106" i="273"/>
  <c r="BD105" i="273"/>
  <c r="BD104" i="273"/>
  <c r="BD103" i="273"/>
  <c r="BD102" i="273"/>
  <c r="BD101" i="273"/>
  <c r="BD100" i="273"/>
  <c r="BD99" i="273"/>
  <c r="BD98" i="273"/>
  <c r="BD97" i="273"/>
  <c r="BB95" i="273"/>
  <c r="BA95" i="273"/>
  <c r="BD94" i="273"/>
  <c r="BD93" i="273"/>
  <c r="BD92" i="273"/>
  <c r="BD91" i="273"/>
  <c r="BD90" i="273"/>
  <c r="BD89" i="273"/>
  <c r="BD95" i="273"/>
  <c r="BD88" i="273"/>
  <c r="BD86" i="273"/>
  <c r="BD85" i="273"/>
  <c r="BC84" i="273"/>
  <c r="BB84" i="273"/>
  <c r="BA84" i="273"/>
  <c r="BD81" i="273"/>
  <c r="BD80" i="273"/>
  <c r="BD79" i="273"/>
  <c r="BD78" i="273"/>
  <c r="BD77" i="273"/>
  <c r="BD74" i="273"/>
  <c r="BD73" i="273"/>
  <c r="BD72" i="273"/>
  <c r="BD71" i="273"/>
  <c r="BD70" i="273"/>
  <c r="BD69" i="273"/>
  <c r="BD67" i="273"/>
  <c r="BD66" i="273"/>
  <c r="BD65" i="273"/>
  <c r="BD64" i="273"/>
  <c r="BD63" i="273"/>
  <c r="BD62" i="273"/>
  <c r="BD61" i="273"/>
  <c r="BD60" i="273"/>
  <c r="BD59" i="273"/>
  <c r="BD58" i="273"/>
  <c r="BD57" i="273"/>
  <c r="BD56" i="273"/>
  <c r="BD55" i="273"/>
  <c r="BD54" i="273"/>
  <c r="BD53" i="273"/>
  <c r="BD43" i="273"/>
  <c r="BD36" i="273"/>
  <c r="BD33" i="273"/>
  <c r="BC32" i="273"/>
  <c r="BB32" i="273"/>
  <c r="BA32" i="273"/>
  <c r="BA15" i="273"/>
  <c r="BD30" i="273"/>
  <c r="BD29" i="273"/>
  <c r="BD28" i="273"/>
  <c r="BD25" i="273"/>
  <c r="BD24" i="273"/>
  <c r="BD23" i="273"/>
  <c r="BD22" i="273"/>
  <c r="BD21" i="273"/>
  <c r="BD20" i="273"/>
  <c r="BD19" i="273"/>
  <c r="BD18" i="273"/>
  <c r="BD17" i="273"/>
  <c r="BD16" i="273"/>
  <c r="BC15" i="273"/>
  <c r="BB15" i="273"/>
  <c r="BD14" i="273"/>
  <c r="BD13" i="273"/>
  <c r="BD12" i="273"/>
  <c r="BD11" i="273"/>
  <c r="BD10" i="273"/>
  <c r="BD9" i="273"/>
  <c r="BD8" i="273"/>
  <c r="BD7" i="273"/>
  <c r="BD6" i="273"/>
  <c r="BD5" i="273"/>
  <c r="O29" i="202"/>
  <c r="O28" i="202"/>
  <c r="O27" i="202"/>
  <c r="O24" i="202"/>
  <c r="O23" i="202"/>
  <c r="O22" i="202"/>
  <c r="O19" i="202"/>
  <c r="O18" i="202"/>
  <c r="O17" i="202"/>
  <c r="O14" i="202"/>
  <c r="O36" i="202"/>
  <c r="O12" i="202"/>
  <c r="O9" i="202"/>
  <c r="O8" i="202"/>
  <c r="O7" i="202"/>
  <c r="N12" i="202"/>
  <c r="N13" i="202"/>
  <c r="N14" i="202"/>
  <c r="N37" i="202"/>
  <c r="P14" i="201"/>
  <c r="P101" i="201"/>
  <c r="P96" i="201"/>
  <c r="P102" i="201"/>
  <c r="P87" i="201"/>
  <c r="P76" i="201"/>
  <c r="P80" i="201"/>
  <c r="P69" i="201"/>
  <c r="P62" i="201"/>
  <c r="P70" i="201"/>
  <c r="P50" i="201"/>
  <c r="P38" i="201"/>
  <c r="P33" i="201"/>
  <c r="P29" i="201"/>
  <c r="P23" i="201"/>
  <c r="P19" i="201"/>
  <c r="BR99" i="274"/>
  <c r="BQ99" i="274"/>
  <c r="BP99" i="274"/>
  <c r="BS98" i="274"/>
  <c r="BS97" i="274"/>
  <c r="BS96" i="274"/>
  <c r="BS95" i="274"/>
  <c r="BR94" i="274"/>
  <c r="BQ94" i="274"/>
  <c r="BP94" i="274"/>
  <c r="BS93" i="274"/>
  <c r="BS92" i="274"/>
  <c r="BS91" i="274"/>
  <c r="BS90" i="274"/>
  <c r="BS89" i="274"/>
  <c r="BS88" i="274"/>
  <c r="BS87" i="274"/>
  <c r="BS86" i="274"/>
  <c r="BR85" i="274"/>
  <c r="BQ85" i="274"/>
  <c r="BP85" i="274"/>
  <c r="BS84" i="274"/>
  <c r="BS83" i="274"/>
  <c r="BS82" i="274"/>
  <c r="BS81" i="274"/>
  <c r="BS80" i="274"/>
  <c r="BS79" i="274"/>
  <c r="BR69" i="274"/>
  <c r="BQ69" i="274"/>
  <c r="BP69" i="274"/>
  <c r="BS68" i="274"/>
  <c r="BS67" i="274"/>
  <c r="BS66" i="274"/>
  <c r="BS65" i="274"/>
  <c r="BS64" i="274"/>
  <c r="BS63" i="274"/>
  <c r="BR62" i="274"/>
  <c r="BQ62" i="274"/>
  <c r="BP62" i="274"/>
  <c r="BP50" i="274"/>
  <c r="BS61" i="274"/>
  <c r="BS60" i="274"/>
  <c r="BS59" i="274"/>
  <c r="BS58" i="274"/>
  <c r="BS57" i="274"/>
  <c r="BS56" i="274"/>
  <c r="BS55" i="274"/>
  <c r="BS54" i="274"/>
  <c r="BS53" i="274"/>
  <c r="BS52" i="274"/>
  <c r="BS51" i="274"/>
  <c r="BR50" i="274"/>
  <c r="BQ50" i="274"/>
  <c r="BS49" i="274"/>
  <c r="BS48" i="274"/>
  <c r="BS47" i="274"/>
  <c r="BS46" i="274"/>
  <c r="BS45" i="274"/>
  <c r="BS44" i="274"/>
  <c r="BS43" i="274"/>
  <c r="BS42" i="274"/>
  <c r="BS41" i="274"/>
  <c r="BR39" i="274"/>
  <c r="BQ13" i="98"/>
  <c r="BQ39" i="274"/>
  <c r="BP13" i="98"/>
  <c r="BP39" i="274"/>
  <c r="BO13" i="98"/>
  <c r="BO36" i="98"/>
  <c r="BS38" i="274"/>
  <c r="BS37" i="274"/>
  <c r="BS36" i="274"/>
  <c r="BS35" i="274"/>
  <c r="BR34" i="274"/>
  <c r="BQ34" i="274"/>
  <c r="BP34" i="274"/>
  <c r="BS33" i="274"/>
  <c r="BS32" i="274"/>
  <c r="BS31" i="274"/>
  <c r="BR12" i="98"/>
  <c r="BR35" i="98"/>
  <c r="BR30" i="274"/>
  <c r="BQ30" i="274"/>
  <c r="BP30" i="274"/>
  <c r="BP40" i="274"/>
  <c r="BS29" i="274"/>
  <c r="BS28" i="274"/>
  <c r="BS27" i="274"/>
  <c r="BS26" i="274"/>
  <c r="BR11" i="98"/>
  <c r="BR24" i="274"/>
  <c r="BQ24" i="274"/>
  <c r="BP24" i="274"/>
  <c r="BP25" i="274"/>
  <c r="BS23" i="274"/>
  <c r="BS22" i="274"/>
  <c r="BS21" i="274"/>
  <c r="BR20" i="274"/>
  <c r="BP20" i="274"/>
  <c r="BS19" i="274"/>
  <c r="BS18" i="274"/>
  <c r="BQ20" i="274"/>
  <c r="BQ25" i="274"/>
  <c r="BQ15" i="274"/>
  <c r="BS16" i="274"/>
  <c r="BR15" i="274"/>
  <c r="BP15" i="274"/>
  <c r="BS14" i="274"/>
  <c r="BS13" i="274"/>
  <c r="BS12" i="274"/>
  <c r="BS11" i="274"/>
  <c r="BS10" i="274"/>
  <c r="BS9" i="274"/>
  <c r="BS8" i="274"/>
  <c r="BS7" i="274"/>
  <c r="BS6" i="274"/>
  <c r="BS5" i="274"/>
  <c r="BS99" i="274"/>
  <c r="BP100" i="274"/>
  <c r="BQ100" i="274"/>
  <c r="BR100" i="274"/>
  <c r="BS34" i="274"/>
  <c r="BR25" i="274"/>
  <c r="BS17" i="274"/>
  <c r="BS20" i="274"/>
  <c r="AO28" i="194"/>
  <c r="AN28" i="194"/>
  <c r="AM28" i="194"/>
  <c r="AO27" i="194"/>
  <c r="AN27" i="194"/>
  <c r="AM27" i="194"/>
  <c r="AO26" i="194"/>
  <c r="AN26" i="194"/>
  <c r="AN32" i="194"/>
  <c r="AM26" i="194"/>
  <c r="AO23" i="194"/>
  <c r="AN23" i="194"/>
  <c r="AM23" i="194"/>
  <c r="AO22" i="194"/>
  <c r="AN22" i="194"/>
  <c r="AM22" i="194"/>
  <c r="AO21" i="194"/>
  <c r="AO24" i="194"/>
  <c r="AN21" i="194"/>
  <c r="AM21" i="194"/>
  <c r="AO18" i="194"/>
  <c r="AN18" i="194"/>
  <c r="AM18" i="194"/>
  <c r="AO17" i="194"/>
  <c r="AN17" i="194"/>
  <c r="AM17" i="194"/>
  <c r="AM19" i="194"/>
  <c r="AO16" i="194"/>
  <c r="AO19" i="194"/>
  <c r="AN16" i="194"/>
  <c r="AM16" i="194"/>
  <c r="AO13" i="194"/>
  <c r="AO36" i="194"/>
  <c r="AN13" i="194"/>
  <c r="AN36" i="194"/>
  <c r="AM13" i="194"/>
  <c r="AM36" i="194"/>
  <c r="AO12" i="194"/>
  <c r="AO35" i="194"/>
  <c r="AN12" i="194"/>
  <c r="AN35" i="194"/>
  <c r="AM12" i="194"/>
  <c r="AM35" i="194"/>
  <c r="AO11" i="194"/>
  <c r="AN11" i="194"/>
  <c r="AM11" i="194"/>
  <c r="AO8" i="194"/>
  <c r="AN8" i="194"/>
  <c r="AN34" i="194"/>
  <c r="AM8" i="194"/>
  <c r="AM34" i="194"/>
  <c r="AO7" i="194"/>
  <c r="AO32" i="194"/>
  <c r="AN7" i="194"/>
  <c r="AM7" i="194"/>
  <c r="AO6" i="194"/>
  <c r="AN6" i="194"/>
  <c r="AM6" i="194"/>
  <c r="AP102" i="193"/>
  <c r="AP103" i="193"/>
  <c r="AO102" i="193"/>
  <c r="AN102" i="193"/>
  <c r="AP97" i="193"/>
  <c r="AO97" i="193"/>
  <c r="AO88" i="193"/>
  <c r="AO103" i="193"/>
  <c r="AN97" i="193"/>
  <c r="AP88" i="193"/>
  <c r="AN88" i="193"/>
  <c r="AP24" i="193"/>
  <c r="AP25" i="193"/>
  <c r="AP20" i="193"/>
  <c r="AP15" i="193"/>
  <c r="AP39" i="193"/>
  <c r="AP34" i="193"/>
  <c r="AP40" i="193"/>
  <c r="AP30" i="193"/>
  <c r="AP70" i="193"/>
  <c r="AP63" i="193"/>
  <c r="AP51" i="193"/>
  <c r="AN24" i="193"/>
  <c r="AN20" i="193"/>
  <c r="AN15" i="193"/>
  <c r="AN39" i="193"/>
  <c r="AN34" i="193"/>
  <c r="AN30" i="193"/>
  <c r="AN70" i="193"/>
  <c r="AN63" i="193"/>
  <c r="AN51" i="193"/>
  <c r="AN103" i="193"/>
  <c r="AO70" i="193"/>
  <c r="AO63" i="193"/>
  <c r="AO51" i="193"/>
  <c r="AO71" i="193"/>
  <c r="AO39" i="193"/>
  <c r="AO34" i="193"/>
  <c r="AO30" i="193"/>
  <c r="AO24" i="193"/>
  <c r="AO20" i="193"/>
  <c r="AO15" i="193"/>
  <c r="AO40" i="193"/>
  <c r="P6" i="304"/>
  <c r="AZ36" i="234"/>
  <c r="AY36" i="234"/>
  <c r="AX36" i="234"/>
  <c r="AZ35" i="234"/>
  <c r="AY35" i="234"/>
  <c r="BA35" i="234"/>
  <c r="AX35" i="234"/>
  <c r="AZ34" i="234"/>
  <c r="AZ37" i="234"/>
  <c r="AY34" i="234"/>
  <c r="AY37" i="234"/>
  <c r="AX34" i="234"/>
  <c r="AZ29" i="234"/>
  <c r="AY29" i="234"/>
  <c r="AX29" i="234"/>
  <c r="BA28" i="234"/>
  <c r="BA27" i="234"/>
  <c r="BA26" i="234"/>
  <c r="BA29" i="234"/>
  <c r="AZ19" i="234"/>
  <c r="AY19" i="234"/>
  <c r="AX19" i="234"/>
  <c r="BA18" i="234"/>
  <c r="BA17" i="234"/>
  <c r="BA19" i="234"/>
  <c r="BA16" i="234"/>
  <c r="AZ14" i="234"/>
  <c r="AY14" i="234"/>
  <c r="AX14" i="234"/>
  <c r="BA13" i="234"/>
  <c r="BA12" i="234"/>
  <c r="BA11" i="234"/>
  <c r="AZ9" i="234"/>
  <c r="AY9" i="234"/>
  <c r="AX9" i="234"/>
  <c r="BA9" i="234"/>
  <c r="BA8" i="234"/>
  <c r="BA7" i="234"/>
  <c r="BA6" i="234"/>
  <c r="BA14" i="234"/>
  <c r="P6" i="303"/>
  <c r="AO87" i="238"/>
  <c r="AO83" i="238"/>
  <c r="AO72" i="238"/>
  <c r="AO63" i="238"/>
  <c r="AO48" i="238"/>
  <c r="AO36" i="238"/>
  <c r="AO20" i="238"/>
  <c r="AO15" i="238"/>
  <c r="AP80" i="238"/>
  <c r="AP81" i="236"/>
  <c r="AO88" i="236"/>
  <c r="AO84" i="236"/>
  <c r="AO73" i="236"/>
  <c r="AO64" i="236"/>
  <c r="AO49" i="236"/>
  <c r="AO37" i="236"/>
  <c r="AO21" i="236"/>
  <c r="AO26" i="236"/>
  <c r="AO16" i="236"/>
  <c r="AN72" i="240"/>
  <c r="AN63" i="240"/>
  <c r="AN55" i="240"/>
  <c r="AN48" i="240"/>
  <c r="AN36" i="240"/>
  <c r="AN24" i="240"/>
  <c r="AN20" i="240"/>
  <c r="AN25" i="240"/>
  <c r="AN15" i="240"/>
  <c r="AN28" i="241"/>
  <c r="AM28" i="241"/>
  <c r="AO28" i="241"/>
  <c r="AN27" i="241"/>
  <c r="AM27" i="241"/>
  <c r="AM26" i="241"/>
  <c r="AN26" i="241"/>
  <c r="AN23" i="241"/>
  <c r="AM23" i="241"/>
  <c r="AM33" i="241"/>
  <c r="AM21" i="241"/>
  <c r="AM22" i="241"/>
  <c r="AN22" i="241"/>
  <c r="AN21" i="241"/>
  <c r="AO21" i="241"/>
  <c r="AN18" i="241"/>
  <c r="AM18" i="241"/>
  <c r="AN17" i="241"/>
  <c r="AM17" i="241"/>
  <c r="AN16" i="241"/>
  <c r="AM16" i="241"/>
  <c r="AN13" i="241"/>
  <c r="AN36" i="241"/>
  <c r="AO36" i="241"/>
  <c r="AN12" i="241"/>
  <c r="AN35" i="241"/>
  <c r="AO35" i="241"/>
  <c r="AN11" i="241"/>
  <c r="AN8" i="241"/>
  <c r="AM8" i="241"/>
  <c r="AN7" i="241"/>
  <c r="AN32" i="241"/>
  <c r="AM7" i="241"/>
  <c r="AN6" i="241"/>
  <c r="AN31" i="241"/>
  <c r="AM6" i="241"/>
  <c r="AO92" i="240"/>
  <c r="AN92" i="240"/>
  <c r="AP91" i="240"/>
  <c r="AP90" i="240"/>
  <c r="AP92" i="240"/>
  <c r="AP89" i="240"/>
  <c r="AP88" i="240"/>
  <c r="AO87" i="240"/>
  <c r="AN87" i="240"/>
  <c r="AP86" i="240"/>
  <c r="AP85" i="240"/>
  <c r="AP87" i="240"/>
  <c r="AP84" i="240"/>
  <c r="AO83" i="240"/>
  <c r="AO93" i="240"/>
  <c r="AN83" i="240"/>
  <c r="AP82" i="240"/>
  <c r="AP81" i="240"/>
  <c r="AP80" i="240"/>
  <c r="AP79" i="240"/>
  <c r="AO77" i="240"/>
  <c r="AN77" i="240"/>
  <c r="AP76" i="240"/>
  <c r="AP75" i="240"/>
  <c r="AP74" i="240"/>
  <c r="AP73" i="240"/>
  <c r="AO72" i="240"/>
  <c r="AP71" i="240"/>
  <c r="AP70" i="240"/>
  <c r="AP69" i="240"/>
  <c r="AP68" i="240"/>
  <c r="AP67" i="240"/>
  <c r="AP72" i="240"/>
  <c r="AP66" i="240"/>
  <c r="AP65" i="240"/>
  <c r="AP64" i="240"/>
  <c r="AO63" i="240"/>
  <c r="AO78" i="240"/>
  <c r="AP62" i="240"/>
  <c r="AP61" i="240"/>
  <c r="AP60" i="240"/>
  <c r="AP59" i="240"/>
  <c r="AP58" i="240"/>
  <c r="AP57" i="240"/>
  <c r="AO55" i="240"/>
  <c r="AP54" i="240"/>
  <c r="AP53" i="240"/>
  <c r="AP52" i="240"/>
  <c r="AP51" i="240"/>
  <c r="AP50" i="240"/>
  <c r="AP49" i="240"/>
  <c r="AO48" i="240"/>
  <c r="AP47" i="240"/>
  <c r="AP46" i="240"/>
  <c r="AP45" i="240"/>
  <c r="AP44" i="240"/>
  <c r="AP43" i="240"/>
  <c r="AP42" i="240"/>
  <c r="AP41" i="240"/>
  <c r="AP40" i="240"/>
  <c r="AP39" i="240"/>
  <c r="AP38" i="240"/>
  <c r="AP37" i="240"/>
  <c r="AO36" i="240"/>
  <c r="AP34" i="240"/>
  <c r="AP33" i="240"/>
  <c r="AP32" i="240"/>
  <c r="AP31" i="240"/>
  <c r="AP30" i="240"/>
  <c r="AP29" i="240"/>
  <c r="AP28" i="240"/>
  <c r="AP27" i="240"/>
  <c r="AP26" i="240"/>
  <c r="AO24" i="240"/>
  <c r="AP23" i="240"/>
  <c r="AP22" i="240"/>
  <c r="AP21" i="240"/>
  <c r="AO20" i="240"/>
  <c r="AP19" i="240"/>
  <c r="AP18" i="240"/>
  <c r="AP17" i="240"/>
  <c r="AP16" i="240"/>
  <c r="AO15" i="240"/>
  <c r="AP14" i="240"/>
  <c r="AP13" i="240"/>
  <c r="AP12" i="240"/>
  <c r="AP11" i="240"/>
  <c r="AP10" i="240"/>
  <c r="AP9" i="240"/>
  <c r="AP8" i="240"/>
  <c r="AP7" i="240"/>
  <c r="AP6" i="240"/>
  <c r="AP5" i="240"/>
  <c r="Z37" i="306"/>
  <c r="Y37" i="306"/>
  <c r="Z36" i="306"/>
  <c r="Y36" i="306"/>
  <c r="Z35" i="306"/>
  <c r="Y35" i="306"/>
  <c r="Z34" i="306"/>
  <c r="Y34" i="306"/>
  <c r="Y38" i="306"/>
  <c r="Z33" i="306"/>
  <c r="Y33" i="306"/>
  <c r="Z32" i="306"/>
  <c r="Y32" i="306"/>
  <c r="Z30" i="306"/>
  <c r="Y30" i="306"/>
  <c r="AA29" i="306"/>
  <c r="AA28" i="306"/>
  <c r="AA30" i="306"/>
  <c r="AA27" i="306"/>
  <c r="Z25" i="306"/>
  <c r="Y25" i="306"/>
  <c r="AA24" i="306"/>
  <c r="AA23" i="306"/>
  <c r="AA22" i="306"/>
  <c r="Z20" i="306"/>
  <c r="Y20" i="306"/>
  <c r="AA19" i="306"/>
  <c r="AA18" i="306"/>
  <c r="AA17" i="306"/>
  <c r="Z15" i="306"/>
  <c r="Y15" i="306"/>
  <c r="AA14" i="306"/>
  <c r="AA37" i="306"/>
  <c r="AA13" i="306"/>
  <c r="AA36" i="306"/>
  <c r="AA7" i="306"/>
  <c r="AA32" i="306"/>
  <c r="AA8" i="306"/>
  <c r="AA12" i="306"/>
  <c r="AA33" i="306"/>
  <c r="AA9" i="306"/>
  <c r="AA35" i="306"/>
  <c r="Z10" i="306"/>
  <c r="Y10" i="306"/>
  <c r="AA10" i="306"/>
  <c r="AN28" i="239"/>
  <c r="AO28" i="239"/>
  <c r="AM28" i="239"/>
  <c r="AN27" i="239"/>
  <c r="AM27" i="239"/>
  <c r="AN26" i="239"/>
  <c r="AM26" i="239"/>
  <c r="AN23" i="239"/>
  <c r="AM23" i="239"/>
  <c r="AM22" i="239"/>
  <c r="AN21" i="239"/>
  <c r="AM21" i="239"/>
  <c r="AN18" i="239"/>
  <c r="AM18" i="239"/>
  <c r="AN17" i="239"/>
  <c r="AN16" i="239"/>
  <c r="AM17" i="239"/>
  <c r="AM16" i="239"/>
  <c r="AO16" i="239"/>
  <c r="AN13" i="239"/>
  <c r="AN36" i="239"/>
  <c r="AM13" i="239"/>
  <c r="AM36" i="239"/>
  <c r="AN12" i="239"/>
  <c r="AN35" i="239"/>
  <c r="AM12" i="239"/>
  <c r="AN11" i="239"/>
  <c r="AM11" i="239"/>
  <c r="AN8" i="239"/>
  <c r="AM8" i="239"/>
  <c r="AM34" i="239"/>
  <c r="AN7" i="239"/>
  <c r="AM7" i="239"/>
  <c r="AN6" i="239"/>
  <c r="AM6" i="239"/>
  <c r="AN72" i="238"/>
  <c r="AN63" i="238"/>
  <c r="AN55" i="238"/>
  <c r="AN48" i="238"/>
  <c r="AN56" i="238"/>
  <c r="AN36" i="238"/>
  <c r="AN20" i="238"/>
  <c r="AN15" i="238"/>
  <c r="AO92" i="238"/>
  <c r="AN92" i="238"/>
  <c r="AP91" i="238"/>
  <c r="AP90" i="238"/>
  <c r="AP89" i="238"/>
  <c r="AP88" i="238"/>
  <c r="AN87" i="238"/>
  <c r="AP86" i="238"/>
  <c r="AP85" i="238"/>
  <c r="AP84" i="238"/>
  <c r="AN83" i="238"/>
  <c r="AP82" i="238"/>
  <c r="AP81" i="238"/>
  <c r="AP79" i="238"/>
  <c r="AO77" i="238"/>
  <c r="AN77" i="238"/>
  <c r="AP76" i="238"/>
  <c r="AP75" i="238"/>
  <c r="AP74" i="238"/>
  <c r="AP73" i="238"/>
  <c r="AP71" i="238"/>
  <c r="AP70" i="238"/>
  <c r="AP69" i="238"/>
  <c r="AP68" i="238"/>
  <c r="AP67" i="238"/>
  <c r="AP66" i="238"/>
  <c r="AP65" i="238"/>
  <c r="AP64" i="238"/>
  <c r="AP62" i="238"/>
  <c r="AP61" i="238"/>
  <c r="AP60" i="238"/>
  <c r="AP59" i="238"/>
  <c r="AP58" i="238"/>
  <c r="AP57" i="238"/>
  <c r="AO55" i="238"/>
  <c r="AP54" i="238"/>
  <c r="AP53" i="238"/>
  <c r="AP52" i="238"/>
  <c r="AP51" i="238"/>
  <c r="AP50" i="238"/>
  <c r="AP49" i="238"/>
  <c r="AP47" i="238"/>
  <c r="AP46" i="238"/>
  <c r="AP45" i="238"/>
  <c r="AP44" i="238"/>
  <c r="AP43" i="238"/>
  <c r="AP42" i="238"/>
  <c r="AP41" i="238"/>
  <c r="AP40" i="238"/>
  <c r="AP39" i="238"/>
  <c r="AP38" i="238"/>
  <c r="AP37" i="238"/>
  <c r="AP34" i="238"/>
  <c r="AP33" i="238"/>
  <c r="AP32" i="238"/>
  <c r="AP31" i="238"/>
  <c r="AP30" i="238"/>
  <c r="AP29" i="238"/>
  <c r="AP28" i="238"/>
  <c r="AP27" i="238"/>
  <c r="AP26" i="238"/>
  <c r="AO24" i="238"/>
  <c r="AO25" i="238"/>
  <c r="AN24" i="238"/>
  <c r="AN25" i="238"/>
  <c r="AP23" i="238"/>
  <c r="AP22" i="238"/>
  <c r="AP21" i="238"/>
  <c r="AP19" i="238"/>
  <c r="AP18" i="238"/>
  <c r="AP17" i="238"/>
  <c r="AP16" i="238"/>
  <c r="AP20" i="238"/>
  <c r="AP14" i="238"/>
  <c r="AP13" i="238"/>
  <c r="AP12" i="238"/>
  <c r="AP11" i="238"/>
  <c r="AP10" i="238"/>
  <c r="AP9" i="238"/>
  <c r="AP8" i="238"/>
  <c r="AP7" i="238"/>
  <c r="AP6" i="238"/>
  <c r="AP5" i="238"/>
  <c r="AE36" i="296"/>
  <c r="AD36" i="296"/>
  <c r="AE35" i="296"/>
  <c r="AD35" i="296"/>
  <c r="AF35" i="296"/>
  <c r="AE34" i="296"/>
  <c r="AD34" i="296"/>
  <c r="AE33" i="296"/>
  <c r="AD33" i="296"/>
  <c r="AF33" i="296"/>
  <c r="AE32" i="296"/>
  <c r="AE37" i="296"/>
  <c r="AD32" i="296"/>
  <c r="AE31" i="296"/>
  <c r="AD31" i="296"/>
  <c r="AE29" i="296"/>
  <c r="AF29" i="296"/>
  <c r="AD29" i="296"/>
  <c r="AF28" i="296"/>
  <c r="AF27" i="296"/>
  <c r="AF26" i="296"/>
  <c r="AE24" i="296"/>
  <c r="AD24" i="296"/>
  <c r="AF24" i="296"/>
  <c r="AF23" i="296"/>
  <c r="AF22" i="296"/>
  <c r="AF21" i="296"/>
  <c r="AE19" i="296"/>
  <c r="AD19" i="296"/>
  <c r="AF18" i="296"/>
  <c r="AF17" i="296"/>
  <c r="AF16" i="296"/>
  <c r="AE14" i="296"/>
  <c r="AD14" i="296"/>
  <c r="AF13" i="296"/>
  <c r="AF12" i="296"/>
  <c r="AF11" i="296"/>
  <c r="AE9" i="296"/>
  <c r="AF9" i="296"/>
  <c r="AD9" i="296"/>
  <c r="AF8" i="296"/>
  <c r="AF7" i="296"/>
  <c r="AF6" i="296"/>
  <c r="AN78" i="236"/>
  <c r="AN73" i="236"/>
  <c r="AN64" i="236"/>
  <c r="AN56" i="236"/>
  <c r="AN37" i="236"/>
  <c r="AN49" i="236"/>
  <c r="AN25" i="236"/>
  <c r="AN21" i="236"/>
  <c r="AN16" i="236"/>
  <c r="AN34" i="241"/>
  <c r="AO26" i="241"/>
  <c r="AP24" i="240"/>
  <c r="AF14" i="296"/>
  <c r="AF34" i="296"/>
  <c r="AM11" i="241"/>
  <c r="AP77" i="240"/>
  <c r="AO12" i="241"/>
  <c r="AN78" i="240"/>
  <c r="AN56" i="240"/>
  <c r="AO56" i="240"/>
  <c r="AO25" i="240"/>
  <c r="AP20" i="240"/>
  <c r="AA25" i="306"/>
  <c r="AA20" i="306"/>
  <c r="Z38" i="306"/>
  <c r="AM35" i="239"/>
  <c r="AF19" i="296"/>
  <c r="AF32" i="296"/>
  <c r="AM14" i="241"/>
  <c r="AO11" i="241"/>
  <c r="AN28" i="237"/>
  <c r="AM28" i="237"/>
  <c r="AN27" i="237"/>
  <c r="AN18" i="237"/>
  <c r="AN23" i="237"/>
  <c r="AM27" i="237"/>
  <c r="AN26" i="237"/>
  <c r="AM26" i="237"/>
  <c r="AM23" i="237"/>
  <c r="AN22" i="237"/>
  <c r="AN21" i="237"/>
  <c r="AM21" i="237"/>
  <c r="AM18" i="237"/>
  <c r="AN17" i="237"/>
  <c r="AM17" i="237"/>
  <c r="AN16" i="237"/>
  <c r="AM16" i="237"/>
  <c r="AN13" i="237"/>
  <c r="AN36" i="237"/>
  <c r="AM13" i="237"/>
  <c r="AM36" i="237"/>
  <c r="AO36" i="237"/>
  <c r="AN12" i="237"/>
  <c r="AN35" i="237"/>
  <c r="AM12" i="237"/>
  <c r="AN11" i="237"/>
  <c r="AN14" i="237"/>
  <c r="AM11" i="237"/>
  <c r="AN8" i="237"/>
  <c r="AN34" i="237"/>
  <c r="AM8" i="237"/>
  <c r="AN7" i="237"/>
  <c r="AN32" i="237"/>
  <c r="AN6" i="237"/>
  <c r="AM7" i="237"/>
  <c r="AM6" i="237"/>
  <c r="AO93" i="236"/>
  <c r="AL88" i="236"/>
  <c r="AM22" i="237"/>
  <c r="AO94" i="236"/>
  <c r="AN93" i="236"/>
  <c r="AP92" i="236"/>
  <c r="AP91" i="236"/>
  <c r="AP90" i="236"/>
  <c r="AP93" i="236"/>
  <c r="AP89" i="236"/>
  <c r="AN88" i="236"/>
  <c r="AP87" i="236"/>
  <c r="AP86" i="236"/>
  <c r="AP85" i="236"/>
  <c r="AN84" i="236"/>
  <c r="AP83" i="236"/>
  <c r="AP82" i="236"/>
  <c r="AP80" i="236"/>
  <c r="AO78" i="236"/>
  <c r="AP77" i="236"/>
  <c r="AP76" i="236"/>
  <c r="AP75" i="236"/>
  <c r="AP74" i="236"/>
  <c r="AP72" i="236"/>
  <c r="AP71" i="236"/>
  <c r="AP70" i="236"/>
  <c r="AP69" i="236"/>
  <c r="AP68" i="236"/>
  <c r="AP67" i="236"/>
  <c r="AP66" i="236"/>
  <c r="AP65" i="236"/>
  <c r="AO79" i="236"/>
  <c r="AP63" i="236"/>
  <c r="AP62" i="236"/>
  <c r="AP61" i="236"/>
  <c r="AP60" i="236"/>
  <c r="AP59" i="236"/>
  <c r="AP58" i="236"/>
  <c r="AO56" i="236"/>
  <c r="AO57" i="236"/>
  <c r="AP55" i="236"/>
  <c r="AP54" i="236"/>
  <c r="AP53" i="236"/>
  <c r="AP50" i="236"/>
  <c r="AP51" i="236"/>
  <c r="AP52" i="236"/>
  <c r="AP48" i="236"/>
  <c r="AP47" i="236"/>
  <c r="AP46" i="236"/>
  <c r="AP45" i="236"/>
  <c r="AP44" i="236"/>
  <c r="AP43" i="236"/>
  <c r="AP42" i="236"/>
  <c r="AP41" i="236"/>
  <c r="AP40" i="236"/>
  <c r="AP38" i="236"/>
  <c r="AP39" i="236"/>
  <c r="AP35" i="236"/>
  <c r="AP34" i="236"/>
  <c r="AP33" i="236"/>
  <c r="AP32" i="236"/>
  <c r="AP31" i="236"/>
  <c r="AP30" i="236"/>
  <c r="AP29" i="236"/>
  <c r="AP28" i="236"/>
  <c r="AP27" i="236"/>
  <c r="AO25" i="236"/>
  <c r="AP24" i="236"/>
  <c r="AP23" i="236"/>
  <c r="AP22" i="236"/>
  <c r="AP20" i="236"/>
  <c r="AP17" i="236"/>
  <c r="AP18" i="236"/>
  <c r="AP19" i="236"/>
  <c r="AP21" i="236"/>
  <c r="AP15" i="236"/>
  <c r="AP14" i="236"/>
  <c r="AP13" i="236"/>
  <c r="AP12" i="236"/>
  <c r="AP11" i="236"/>
  <c r="AP10" i="236"/>
  <c r="AP9" i="236"/>
  <c r="AP8" i="236"/>
  <c r="AP7" i="236"/>
  <c r="AP6" i="236"/>
  <c r="AP88" i="236"/>
  <c r="AW134" i="337"/>
  <c r="AV134" i="337"/>
  <c r="AV136" i="337"/>
  <c r="AS134" i="337"/>
  <c r="AR134" i="337"/>
  <c r="AK134" i="337"/>
  <c r="AJ134" i="337"/>
  <c r="AI134" i="337"/>
  <c r="AX133" i="337"/>
  <c r="BH28" i="336"/>
  <c r="AT133" i="337"/>
  <c r="BD28" i="336"/>
  <c r="AT98" i="337"/>
  <c r="BC28" i="336"/>
  <c r="AP133" i="337"/>
  <c r="AZ28" i="336"/>
  <c r="AL133" i="337"/>
  <c r="AV28" i="336"/>
  <c r="AL98" i="337"/>
  <c r="AU28" i="336"/>
  <c r="AW28" i="336" s="1"/>
  <c r="AX132" i="337"/>
  <c r="AT132" i="337"/>
  <c r="BD27" i="336"/>
  <c r="AP132" i="337"/>
  <c r="AL132" i="337"/>
  <c r="AV27" i="336"/>
  <c r="AL97" i="337"/>
  <c r="AX131" i="337"/>
  <c r="BH26" i="336"/>
  <c r="AX96" i="337"/>
  <c r="AX97" i="337"/>
  <c r="BG27" i="336"/>
  <c r="AX98" i="337"/>
  <c r="BG28" i="336"/>
  <c r="BI28" i="336" s="1"/>
  <c r="M166" i="336" s="1"/>
  <c r="AT131" i="337"/>
  <c r="AT96" i="337"/>
  <c r="AT99" i="337"/>
  <c r="BC29" i="336"/>
  <c r="AT97" i="337"/>
  <c r="AP131" i="337"/>
  <c r="AZ26" i="336"/>
  <c r="AL131" i="337"/>
  <c r="AV26" i="336"/>
  <c r="AW124" i="337"/>
  <c r="AV124" i="337"/>
  <c r="AU124" i="337"/>
  <c r="AS124" i="337"/>
  <c r="AR124" i="337"/>
  <c r="AQ124" i="337"/>
  <c r="AO124" i="337"/>
  <c r="AN124" i="337"/>
  <c r="AM124" i="337"/>
  <c r="AK124" i="337"/>
  <c r="AJ124" i="337"/>
  <c r="AI124" i="337"/>
  <c r="AX123" i="337"/>
  <c r="BH18" i="336"/>
  <c r="AT123" i="337"/>
  <c r="BD18" i="336"/>
  <c r="BE18" i="336" s="1"/>
  <c r="AT88" i="337"/>
  <c r="BC18" i="336"/>
  <c r="M19" i="202"/>
  <c r="AP123" i="337"/>
  <c r="AZ18" i="336"/>
  <c r="AL123" i="337"/>
  <c r="AV18" i="336"/>
  <c r="AX122" i="337"/>
  <c r="BH17" i="336"/>
  <c r="AT122" i="337"/>
  <c r="BD17" i="336"/>
  <c r="AP122" i="337"/>
  <c r="AZ17" i="336"/>
  <c r="AL122" i="337"/>
  <c r="AV17" i="336"/>
  <c r="AL87" i="337"/>
  <c r="AX121" i="337"/>
  <c r="AX86" i="337"/>
  <c r="AX87" i="337"/>
  <c r="BG17" i="336"/>
  <c r="AX88" i="337"/>
  <c r="AT121" i="337"/>
  <c r="AT124" i="337"/>
  <c r="BD19" i="336"/>
  <c r="AP121" i="337"/>
  <c r="AZ16" i="336"/>
  <c r="AL121" i="337"/>
  <c r="AW119" i="337"/>
  <c r="AV119" i="337"/>
  <c r="AS119" i="337"/>
  <c r="AR119" i="337"/>
  <c r="AN119" i="337"/>
  <c r="AJ119" i="337"/>
  <c r="AX118" i="337"/>
  <c r="BH13" i="336"/>
  <c r="AP118" i="337"/>
  <c r="AZ13" i="336"/>
  <c r="AX117" i="337"/>
  <c r="BH12" i="336"/>
  <c r="AT117" i="337"/>
  <c r="BD12" i="336"/>
  <c r="BE12" i="336" s="1"/>
  <c r="AP117" i="337"/>
  <c r="AZ12" i="336"/>
  <c r="BA12" i="336" s="1"/>
  <c r="AL117" i="337"/>
  <c r="AV12" i="336"/>
  <c r="AW12" i="336" s="1"/>
  <c r="J155" i="336" s="1"/>
  <c r="AT116" i="337"/>
  <c r="BD11" i="336"/>
  <c r="AP116" i="337"/>
  <c r="AL116" i="337"/>
  <c r="AV11" i="336"/>
  <c r="AW114" i="337"/>
  <c r="AV114" i="337"/>
  <c r="AU114" i="337"/>
  <c r="AS114" i="337"/>
  <c r="AR114" i="337"/>
  <c r="AQ114" i="337"/>
  <c r="AQ136" i="337"/>
  <c r="AO114" i="337"/>
  <c r="AN114" i="337"/>
  <c r="AM114" i="337"/>
  <c r="AM136" i="337"/>
  <c r="AK114" i="337"/>
  <c r="AJ114" i="337"/>
  <c r="AI114" i="337"/>
  <c r="AX113" i="337"/>
  <c r="BH8" i="336"/>
  <c r="AT113" i="337"/>
  <c r="BD8" i="336"/>
  <c r="AP113" i="337"/>
  <c r="AZ8" i="336"/>
  <c r="AL113" i="337"/>
  <c r="AV8" i="336"/>
  <c r="AX112" i="337"/>
  <c r="BH7" i="336"/>
  <c r="AT112" i="337"/>
  <c r="BD7" i="336"/>
  <c r="AP112" i="337"/>
  <c r="AZ7" i="336"/>
  <c r="AL112" i="337"/>
  <c r="AV7" i="336"/>
  <c r="AX111" i="337"/>
  <c r="BH6" i="336"/>
  <c r="AT111" i="337"/>
  <c r="BD6" i="336"/>
  <c r="AP111" i="337"/>
  <c r="AL111" i="337"/>
  <c r="AV6" i="336"/>
  <c r="AW99" i="337"/>
  <c r="AV99" i="337"/>
  <c r="AS99" i="337"/>
  <c r="AR99" i="337"/>
  <c r="AO99" i="337"/>
  <c r="AN99" i="337"/>
  <c r="AK99" i="337"/>
  <c r="AJ99" i="337"/>
  <c r="AG99" i="337"/>
  <c r="AF99" i="337"/>
  <c r="AC99" i="337"/>
  <c r="AB99" i="337"/>
  <c r="AP98" i="337"/>
  <c r="AY28" i="336"/>
  <c r="BA28" i="336" s="1"/>
  <c r="AH98" i="337"/>
  <c r="AQ28" i="336"/>
  <c r="AS28" i="336" s="1"/>
  <c r="AD98" i="337"/>
  <c r="AM28" i="336"/>
  <c r="BC27" i="336"/>
  <c r="BE27" i="336" s="1"/>
  <c r="AP97" i="337"/>
  <c r="AY27" i="336"/>
  <c r="AH97" i="337"/>
  <c r="AQ27" i="336"/>
  <c r="AS27" i="336" s="1"/>
  <c r="BG26" i="336"/>
  <c r="BI26" i="336" s="1"/>
  <c r="BC26" i="336"/>
  <c r="AP96" i="337"/>
  <c r="AY26" i="336"/>
  <c r="AL96" i="337"/>
  <c r="AU26" i="336"/>
  <c r="AD96" i="337"/>
  <c r="AM26" i="336"/>
  <c r="AW89" i="337"/>
  <c r="AV89" i="337"/>
  <c r="AU89" i="337"/>
  <c r="AS89" i="337"/>
  <c r="AR89" i="337"/>
  <c r="AQ89" i="337"/>
  <c r="AO89" i="337"/>
  <c r="AN89" i="337"/>
  <c r="AM89" i="337"/>
  <c r="AK89" i="337"/>
  <c r="AJ89" i="337"/>
  <c r="AI89" i="337"/>
  <c r="AG89" i="337"/>
  <c r="AF89" i="337"/>
  <c r="AE89" i="337"/>
  <c r="AC89" i="337"/>
  <c r="AB89" i="337"/>
  <c r="AA89" i="337"/>
  <c r="BG18" i="336"/>
  <c r="AP88" i="337"/>
  <c r="AY18" i="336"/>
  <c r="AL88" i="337"/>
  <c r="AU18" i="336"/>
  <c r="AH88" i="337"/>
  <c r="AQ18" i="336"/>
  <c r="AD88" i="337"/>
  <c r="AT87" i="337"/>
  <c r="BC17" i="336"/>
  <c r="AP87" i="337"/>
  <c r="AY17" i="336"/>
  <c r="AH87" i="337"/>
  <c r="AQ17" i="336"/>
  <c r="AD87" i="337"/>
  <c r="AM17" i="336"/>
  <c r="AO17" i="336" s="1"/>
  <c r="AT86" i="337"/>
  <c r="AT89" i="337"/>
  <c r="BC19" i="336"/>
  <c r="AP86" i="337"/>
  <c r="AY16" i="336"/>
  <c r="BA16" i="336" s="1"/>
  <c r="AL86" i="337"/>
  <c r="AU16" i="336"/>
  <c r="AD86" i="337"/>
  <c r="AM16" i="336"/>
  <c r="AW84" i="337"/>
  <c r="AV84" i="337"/>
  <c r="AS84" i="337"/>
  <c r="AR84" i="337"/>
  <c r="AN84" i="337"/>
  <c r="AJ84" i="337"/>
  <c r="AF84" i="337"/>
  <c r="AB84" i="337"/>
  <c r="AX83" i="337"/>
  <c r="AT83" i="337"/>
  <c r="BC13" i="336"/>
  <c r="BE13" i="336" s="1"/>
  <c r="L156" i="336" s="1"/>
  <c r="AX81" i="337"/>
  <c r="BG11" i="336"/>
  <c r="AT81" i="337"/>
  <c r="BC11" i="336"/>
  <c r="BE11" i="336" s="1"/>
  <c r="M12" i="202"/>
  <c r="AP81" i="337"/>
  <c r="AY11" i="336"/>
  <c r="AL81" i="337"/>
  <c r="AU11" i="336"/>
  <c r="AW11" i="336" s="1"/>
  <c r="K12" i="202"/>
  <c r="AH81" i="337"/>
  <c r="AQ11" i="336"/>
  <c r="AS11" i="336" s="1"/>
  <c r="AD81" i="337"/>
  <c r="AD84" i="337"/>
  <c r="AM14" i="336"/>
  <c r="AO14" i="336" s="1"/>
  <c r="AW79" i="337"/>
  <c r="AV79" i="337"/>
  <c r="AU79" i="337"/>
  <c r="AU101" i="337"/>
  <c r="AS79" i="337"/>
  <c r="AR79" i="337"/>
  <c r="AR101" i="337"/>
  <c r="AQ79" i="337"/>
  <c r="AO79" i="337"/>
  <c r="AN79" i="337"/>
  <c r="AM79" i="337"/>
  <c r="AM101" i="337"/>
  <c r="AK79" i="337"/>
  <c r="AJ79" i="337"/>
  <c r="AJ101" i="337"/>
  <c r="AI79" i="337"/>
  <c r="AG79" i="337"/>
  <c r="AG101" i="337"/>
  <c r="AF79" i="337"/>
  <c r="AF101" i="337"/>
  <c r="AE79" i="337"/>
  <c r="AE101" i="337"/>
  <c r="AC79" i="337"/>
  <c r="AB79" i="337"/>
  <c r="AB101" i="337"/>
  <c r="AA79" i="337"/>
  <c r="AA101" i="337"/>
  <c r="AX78" i="337"/>
  <c r="BG8" i="336"/>
  <c r="BI8" i="336" s="1"/>
  <c r="M151" i="336" s="1"/>
  <c r="AT78" i="337"/>
  <c r="BC8" i="336"/>
  <c r="AP78" i="337"/>
  <c r="AY8" i="336"/>
  <c r="AL78" i="337"/>
  <c r="AU8" i="336"/>
  <c r="AH78" i="337"/>
  <c r="AQ8" i="336"/>
  <c r="AM8" i="336"/>
  <c r="AX77" i="337"/>
  <c r="BG7" i="336"/>
  <c r="AT77" i="337"/>
  <c r="AP77" i="337"/>
  <c r="AY7" i="336"/>
  <c r="BA7" i="336" s="1"/>
  <c r="AL77" i="337"/>
  <c r="AU7" i="336"/>
  <c r="AW7" i="336" s="1"/>
  <c r="AH77" i="337"/>
  <c r="AM7" i="336"/>
  <c r="AX76" i="337"/>
  <c r="AT76" i="337"/>
  <c r="BC6" i="336"/>
  <c r="AP76" i="337"/>
  <c r="AY6" i="336"/>
  <c r="AL76" i="337"/>
  <c r="AU6" i="336"/>
  <c r="AW6" i="336" s="1"/>
  <c r="AH76" i="337"/>
  <c r="AQ6" i="336"/>
  <c r="AS6" i="336" s="1"/>
  <c r="AW64" i="337"/>
  <c r="AV64" i="337"/>
  <c r="AU64" i="337"/>
  <c r="AS64" i="337"/>
  <c r="AR64" i="337"/>
  <c r="AQ64" i="337"/>
  <c r="AO64" i="337"/>
  <c r="AN64" i="337"/>
  <c r="AN66" i="337"/>
  <c r="AM64" i="337"/>
  <c r="AK64" i="337"/>
  <c r="AJ64" i="337"/>
  <c r="AI64" i="337"/>
  <c r="AX63" i="337"/>
  <c r="AT63" i="337"/>
  <c r="AP63" i="337"/>
  <c r="AL63" i="337"/>
  <c r="AX62" i="337"/>
  <c r="AT62" i="337"/>
  <c r="AP62" i="337"/>
  <c r="AL62" i="337"/>
  <c r="AL61" i="337"/>
  <c r="AX61" i="337"/>
  <c r="AX64" i="337"/>
  <c r="AT61" i="337"/>
  <c r="AP61" i="337"/>
  <c r="AP64" i="337"/>
  <c r="AW59" i="337"/>
  <c r="AV59" i="337"/>
  <c r="AS59" i="337"/>
  <c r="AR59" i="337"/>
  <c r="AO59" i="337"/>
  <c r="AK59" i="337"/>
  <c r="AX58" i="337"/>
  <c r="AT58" i="337"/>
  <c r="AP58" i="337"/>
  <c r="AL58" i="337"/>
  <c r="AX57" i="337"/>
  <c r="AT57" i="337"/>
  <c r="AP57" i="337"/>
  <c r="AP56" i="337"/>
  <c r="AL57" i="337"/>
  <c r="AX56" i="337"/>
  <c r="AT56" i="337"/>
  <c r="AL56" i="337"/>
  <c r="AL59" i="337"/>
  <c r="AW54" i="337"/>
  <c r="AV54" i="337"/>
  <c r="AU54" i="337"/>
  <c r="AS54" i="337"/>
  <c r="AR54" i="337"/>
  <c r="AQ54" i="337"/>
  <c r="AQ66" i="337"/>
  <c r="AO54" i="337"/>
  <c r="AN54" i="337"/>
  <c r="AM54" i="337"/>
  <c r="AK54" i="337"/>
  <c r="AJ54" i="337"/>
  <c r="AI54" i="337"/>
  <c r="AX53" i="337"/>
  <c r="AT53" i="337"/>
  <c r="AP53" i="337"/>
  <c r="AL53" i="337"/>
  <c r="AX52" i="337"/>
  <c r="AT52" i="337"/>
  <c r="AP52" i="337"/>
  <c r="AL52" i="337"/>
  <c r="AX51" i="337"/>
  <c r="AX54" i="337"/>
  <c r="AT51" i="337"/>
  <c r="AP51" i="337"/>
  <c r="AP54" i="337"/>
  <c r="AL51" i="337"/>
  <c r="AL41" i="337"/>
  <c r="AL42" i="337"/>
  <c r="AL43" i="337"/>
  <c r="AL46" i="337"/>
  <c r="AL47" i="337"/>
  <c r="AL49" i="337"/>
  <c r="AL48" i="337"/>
  <c r="AW49" i="337"/>
  <c r="AV49" i="337"/>
  <c r="AS49" i="337"/>
  <c r="AR49" i="337"/>
  <c r="AO49" i="337"/>
  <c r="AN49" i="337"/>
  <c r="AK49" i="337"/>
  <c r="AJ49" i="337"/>
  <c r="AX48" i="337"/>
  <c r="AT48" i="337"/>
  <c r="AP48" i="337"/>
  <c r="Z48" i="337"/>
  <c r="AX47" i="337"/>
  <c r="AT47" i="337"/>
  <c r="AP47" i="337"/>
  <c r="Z47" i="337"/>
  <c r="AX46" i="337"/>
  <c r="AT46" i="337"/>
  <c r="AP46" i="337"/>
  <c r="Z46" i="337"/>
  <c r="AW44" i="337"/>
  <c r="AW66" i="337"/>
  <c r="AV44" i="337"/>
  <c r="AU44" i="337"/>
  <c r="AS44" i="337"/>
  <c r="AR44" i="337"/>
  <c r="AR66" i="337"/>
  <c r="AQ44" i="337"/>
  <c r="AO44" i="337"/>
  <c r="AN44" i="337"/>
  <c r="AM44" i="337"/>
  <c r="AM66" i="337"/>
  <c r="AK44" i="337"/>
  <c r="AJ44" i="337"/>
  <c r="AI44" i="337"/>
  <c r="AX43" i="337"/>
  <c r="AT43" i="337"/>
  <c r="AP43" i="337"/>
  <c r="AX42" i="337"/>
  <c r="AT42" i="337"/>
  <c r="AP42" i="337"/>
  <c r="AX41" i="337"/>
  <c r="AT41" i="337"/>
  <c r="AP41" i="337"/>
  <c r="AO29" i="337"/>
  <c r="AN29" i="337"/>
  <c r="AM29" i="337"/>
  <c r="AK29" i="337"/>
  <c r="AJ29" i="337"/>
  <c r="AI29" i="337"/>
  <c r="AH29" i="337"/>
  <c r="AG29" i="337"/>
  <c r="AF29" i="337"/>
  <c r="AE29" i="337"/>
  <c r="AC29" i="337"/>
  <c r="AB29" i="337"/>
  <c r="AA29" i="337"/>
  <c r="Y29" i="337"/>
  <c r="X29" i="337"/>
  <c r="W29" i="337"/>
  <c r="V29" i="337"/>
  <c r="R29" i="337"/>
  <c r="N29" i="337"/>
  <c r="F29" i="337"/>
  <c r="AW28" i="337"/>
  <c r="AV28" i="337"/>
  <c r="AX28" i="337"/>
  <c r="AU28" i="337"/>
  <c r="AS28" i="337"/>
  <c r="AR28" i="337"/>
  <c r="AQ28" i="337"/>
  <c r="AP28" i="337"/>
  <c r="AL28" i="337"/>
  <c r="AD28" i="337"/>
  <c r="Z28" i="337"/>
  <c r="AW27" i="337"/>
  <c r="AV27" i="337"/>
  <c r="AU27" i="337"/>
  <c r="AS27" i="337"/>
  <c r="AR27" i="337"/>
  <c r="AQ27" i="337"/>
  <c r="AP27" i="337"/>
  <c r="AL27" i="337"/>
  <c r="AL29" i="337"/>
  <c r="AD27" i="337"/>
  <c r="Z27" i="337"/>
  <c r="AW26" i="337"/>
  <c r="AV26" i="337"/>
  <c r="AU26" i="337"/>
  <c r="AS26" i="337"/>
  <c r="AR26" i="337"/>
  <c r="AQ26" i="337"/>
  <c r="AQ29" i="337"/>
  <c r="AP26" i="337"/>
  <c r="AP29" i="337"/>
  <c r="AP6" i="337"/>
  <c r="AP7" i="337"/>
  <c r="AP8" i="337"/>
  <c r="AP9" i="337"/>
  <c r="AP11" i="337"/>
  <c r="AP12" i="337"/>
  <c r="AP14" i="337"/>
  <c r="AP13" i="337"/>
  <c r="AP16" i="337"/>
  <c r="AP17" i="337"/>
  <c r="AP18" i="337"/>
  <c r="AP19" i="337"/>
  <c r="AP21" i="337"/>
  <c r="AP22" i="337"/>
  <c r="AP24" i="337"/>
  <c r="AP23" i="337"/>
  <c r="AL26" i="337"/>
  <c r="AD26" i="337"/>
  <c r="Z26" i="337"/>
  <c r="AO24" i="337"/>
  <c r="AK24" i="337"/>
  <c r="AH24" i="337"/>
  <c r="AG24" i="337"/>
  <c r="AC24" i="337"/>
  <c r="AW23" i="337"/>
  <c r="AV23" i="337"/>
  <c r="AU23" i="337"/>
  <c r="AS23" i="337"/>
  <c r="AR23" i="337"/>
  <c r="AQ23" i="337"/>
  <c r="AT23" i="337"/>
  <c r="AL23" i="337"/>
  <c r="AD23" i="337"/>
  <c r="AD24" i="337"/>
  <c r="AD6" i="337"/>
  <c r="AD7" i="337"/>
  <c r="AD8" i="337"/>
  <c r="AD11" i="337"/>
  <c r="AD12" i="337"/>
  <c r="AD13" i="337"/>
  <c r="AD16" i="337"/>
  <c r="AD17" i="337"/>
  <c r="AD18" i="337"/>
  <c r="AW22" i="337"/>
  <c r="AX22" i="337"/>
  <c r="AV22" i="337"/>
  <c r="AU22" i="337"/>
  <c r="AS22" i="337"/>
  <c r="AQ22" i="337"/>
  <c r="AR22" i="337"/>
  <c r="AL22" i="337"/>
  <c r="AW21" i="337"/>
  <c r="AV21" i="337"/>
  <c r="AV24" i="337"/>
  <c r="AU21" i="337"/>
  <c r="AS21" i="337"/>
  <c r="AR21" i="337"/>
  <c r="AQ21" i="337"/>
  <c r="AT21" i="337"/>
  <c r="AL21" i="337"/>
  <c r="AO19" i="337"/>
  <c r="AN19" i="337"/>
  <c r="AM19" i="337"/>
  <c r="AK19" i="337"/>
  <c r="AJ19" i="337"/>
  <c r="AI19" i="337"/>
  <c r="AH19" i="337"/>
  <c r="AG19" i="337"/>
  <c r="AF19" i="337"/>
  <c r="AF31" i="337"/>
  <c r="AE19" i="337"/>
  <c r="AC19" i="337"/>
  <c r="AB19" i="337"/>
  <c r="AA19" i="337"/>
  <c r="Y19" i="337"/>
  <c r="X19" i="337"/>
  <c r="X31" i="337"/>
  <c r="W19" i="337"/>
  <c r="V19" i="337"/>
  <c r="R19" i="337"/>
  <c r="AW18" i="337"/>
  <c r="AV18" i="337"/>
  <c r="AU18" i="337"/>
  <c r="AS18" i="337"/>
  <c r="AR18" i="337"/>
  <c r="AQ18" i="337"/>
  <c r="AL18" i="337"/>
  <c r="Z18" i="337"/>
  <c r="AW17" i="337"/>
  <c r="AV17" i="337"/>
  <c r="AU17" i="337"/>
  <c r="AS17" i="337"/>
  <c r="AR17" i="337"/>
  <c r="AR19" i="337"/>
  <c r="AQ17" i="337"/>
  <c r="AL17" i="337"/>
  <c r="Z17" i="337"/>
  <c r="AW16" i="337"/>
  <c r="AW19" i="337"/>
  <c r="AW6" i="337"/>
  <c r="AW9" i="337"/>
  <c r="AW7" i="337"/>
  <c r="AW8" i="337"/>
  <c r="AW11" i="337"/>
  <c r="AW14" i="337"/>
  <c r="AW12" i="337"/>
  <c r="AW13" i="337"/>
  <c r="AV16" i="337"/>
  <c r="AU16" i="337"/>
  <c r="AS16" i="337"/>
  <c r="AR16" i="337"/>
  <c r="AQ16" i="337"/>
  <c r="AL16" i="337"/>
  <c r="Z16" i="337"/>
  <c r="AO14" i="337"/>
  <c r="AN14" i="337"/>
  <c r="AK14" i="337"/>
  <c r="AJ14" i="337"/>
  <c r="AC14" i="337"/>
  <c r="AB14" i="337"/>
  <c r="Y14" i="337"/>
  <c r="X14" i="337"/>
  <c r="V14" i="337"/>
  <c r="M14" i="337"/>
  <c r="AV13" i="337"/>
  <c r="AX13" i="337"/>
  <c r="AU13" i="337"/>
  <c r="AS13" i="337"/>
  <c r="AR13" i="337"/>
  <c r="AQ13" i="337"/>
  <c r="AL13" i="337"/>
  <c r="Z13" i="337"/>
  <c r="AV12" i="337"/>
  <c r="AU12" i="337"/>
  <c r="AS12" i="337"/>
  <c r="AR12" i="337"/>
  <c r="AQ12" i="337"/>
  <c r="AL12" i="337"/>
  <c r="Z12" i="337"/>
  <c r="AV11" i="337"/>
  <c r="AU11" i="337"/>
  <c r="AS11" i="337"/>
  <c r="AS14" i="337"/>
  <c r="AR11" i="337"/>
  <c r="AQ11" i="337"/>
  <c r="AL11" i="337"/>
  <c r="AL14" i="337"/>
  <c r="Z11" i="337"/>
  <c r="AO9" i="337"/>
  <c r="AN9" i="337"/>
  <c r="AM9" i="337"/>
  <c r="AK9" i="337"/>
  <c r="AK31" i="337"/>
  <c r="AJ9" i="337"/>
  <c r="AI9" i="337"/>
  <c r="AC9" i="337"/>
  <c r="AB9" i="337"/>
  <c r="AA9" i="337"/>
  <c r="AA31" i="337"/>
  <c r="Y9" i="337"/>
  <c r="X9" i="337"/>
  <c r="W9" i="337"/>
  <c r="W31" i="337"/>
  <c r="E9" i="337"/>
  <c r="D9" i="337"/>
  <c r="C9" i="337"/>
  <c r="AV8" i="337"/>
  <c r="AU8" i="337"/>
  <c r="AS8" i="337"/>
  <c r="AR8" i="337"/>
  <c r="AQ8" i="337"/>
  <c r="AL8" i="337"/>
  <c r="Z8" i="337"/>
  <c r="F8" i="337"/>
  <c r="AV7" i="337"/>
  <c r="AU7" i="337"/>
  <c r="AS7" i="337"/>
  <c r="AR7" i="337"/>
  <c r="AQ7" i="337"/>
  <c r="AL7" i="337"/>
  <c r="Z7" i="337"/>
  <c r="F7" i="337"/>
  <c r="AV6" i="337"/>
  <c r="AU6" i="337"/>
  <c r="AS6" i="337"/>
  <c r="AR6" i="337"/>
  <c r="AQ6" i="337"/>
  <c r="AL6" i="337"/>
  <c r="Z6" i="337"/>
  <c r="F6" i="337"/>
  <c r="F9" i="337"/>
  <c r="AS19" i="337"/>
  <c r="AL19" i="337"/>
  <c r="AN31" i="337"/>
  <c r="AH31" i="337"/>
  <c r="AR24" i="337"/>
  <c r="AI66" i="337"/>
  <c r="AS66" i="337"/>
  <c r="AT49" i="337"/>
  <c r="AI136" i="337"/>
  <c r="AS136" i="337"/>
  <c r="AL119" i="337"/>
  <c r="AV14" i="336"/>
  <c r="AU136" i="337"/>
  <c r="Z9" i="337"/>
  <c r="Z19" i="337"/>
  <c r="AR9" i="337"/>
  <c r="AM31" i="337"/>
  <c r="AT28" i="337"/>
  <c r="Y31" i="337"/>
  <c r="AE31" i="337"/>
  <c r="AO66" i="337"/>
  <c r="AC101" i="337"/>
  <c r="AD99" i="337"/>
  <c r="AM29" i="336"/>
  <c r="AO136" i="337"/>
  <c r="AR29" i="337"/>
  <c r="AP49" i="337"/>
  <c r="AH89" i="337"/>
  <c r="AQ19" i="336"/>
  <c r="AS19" i="336" s="1"/>
  <c r="AH99" i="337"/>
  <c r="AQ29" i="336"/>
  <c r="AS29" i="336" s="1"/>
  <c r="AP99" i="337"/>
  <c r="AY29" i="336"/>
  <c r="AX119" i="337"/>
  <c r="BH14" i="336"/>
  <c r="AC31" i="337"/>
  <c r="AL9" i="337"/>
  <c r="AS9" i="337"/>
  <c r="AU9" i="337"/>
  <c r="AJ31" i="337"/>
  <c r="AS24" i="337"/>
  <c r="AT27" i="337"/>
  <c r="AL79" i="337"/>
  <c r="AU9" i="336"/>
  <c r="AT11" i="337"/>
  <c r="Z49" i="337"/>
  <c r="AW101" i="337"/>
  <c r="AO101" i="337"/>
  <c r="AU19" i="337"/>
  <c r="BT32" i="123"/>
  <c r="C32" i="123"/>
  <c r="D32" i="123"/>
  <c r="E32" i="123"/>
  <c r="G32" i="123"/>
  <c r="H32" i="123"/>
  <c r="I32" i="123"/>
  <c r="J32" i="123"/>
  <c r="L32" i="123"/>
  <c r="M32" i="123"/>
  <c r="N32" i="123"/>
  <c r="O32" i="123"/>
  <c r="Q32" i="123"/>
  <c r="R32" i="123"/>
  <c r="S32" i="123"/>
  <c r="T32" i="123"/>
  <c r="V32" i="123"/>
  <c r="W32" i="123"/>
  <c r="X32" i="123"/>
  <c r="Y32" i="123"/>
  <c r="Y38" i="123" s="1"/>
  <c r="AA32" i="123"/>
  <c r="AB32" i="123"/>
  <c r="AC32" i="123"/>
  <c r="AD32" i="123"/>
  <c r="AF32" i="123"/>
  <c r="AG32" i="123"/>
  <c r="AH32" i="123"/>
  <c r="AI32" i="123"/>
  <c r="AK32" i="123"/>
  <c r="AL32" i="123"/>
  <c r="AM32" i="123"/>
  <c r="AN32" i="123"/>
  <c r="AP32" i="123"/>
  <c r="AQ32" i="123"/>
  <c r="AR32" i="123"/>
  <c r="AS32" i="123"/>
  <c r="AU32" i="123"/>
  <c r="AV32" i="123"/>
  <c r="AW32" i="123"/>
  <c r="AX32" i="123"/>
  <c r="AZ32" i="123"/>
  <c r="AZ33" i="123"/>
  <c r="AZ34" i="123"/>
  <c r="AZ35" i="123"/>
  <c r="AZ36" i="123"/>
  <c r="AZ37" i="123"/>
  <c r="BA32" i="123"/>
  <c r="BB32" i="123"/>
  <c r="BC32" i="123"/>
  <c r="BE32" i="123"/>
  <c r="BF32" i="123"/>
  <c r="BG32" i="123"/>
  <c r="BH32" i="123"/>
  <c r="BH33" i="123"/>
  <c r="BH34" i="123"/>
  <c r="BH35" i="123"/>
  <c r="BH36" i="123"/>
  <c r="BH37" i="123"/>
  <c r="BJ32" i="123"/>
  <c r="BK32" i="123"/>
  <c r="BK38" i="123" s="1"/>
  <c r="BL32" i="123"/>
  <c r="BM32" i="123"/>
  <c r="BO32" i="123"/>
  <c r="BP32" i="123"/>
  <c r="BQ32" i="123"/>
  <c r="BR32" i="123"/>
  <c r="BU32" i="123"/>
  <c r="BV32" i="123"/>
  <c r="BV38" i="123" s="1"/>
  <c r="BW32" i="123"/>
  <c r="C33" i="123"/>
  <c r="D33" i="123"/>
  <c r="E33" i="123"/>
  <c r="G33" i="123"/>
  <c r="H33" i="123"/>
  <c r="I33" i="123"/>
  <c r="J33" i="123"/>
  <c r="L33" i="123"/>
  <c r="M33" i="123"/>
  <c r="N33" i="123"/>
  <c r="O33" i="123"/>
  <c r="Q33" i="123"/>
  <c r="R33" i="123"/>
  <c r="S33" i="123"/>
  <c r="T33" i="123"/>
  <c r="T34" i="123"/>
  <c r="T35" i="123"/>
  <c r="T36" i="123"/>
  <c r="T37" i="123"/>
  <c r="V33" i="123"/>
  <c r="W33" i="123"/>
  <c r="X33" i="123"/>
  <c r="Y33" i="123"/>
  <c r="AA33" i="123"/>
  <c r="AB33" i="123"/>
  <c r="AB34" i="123"/>
  <c r="AB35" i="123"/>
  <c r="AB38" i="123" s="1"/>
  <c r="AB36" i="123"/>
  <c r="AB37" i="123"/>
  <c r="AC33" i="123"/>
  <c r="AD33" i="123"/>
  <c r="AD38" i="123" s="1"/>
  <c r="AF33" i="123"/>
  <c r="AG33" i="123"/>
  <c r="AH33" i="123"/>
  <c r="AI33" i="123"/>
  <c r="AK33" i="123"/>
  <c r="AL33" i="123"/>
  <c r="AM33" i="123"/>
  <c r="AN33" i="123"/>
  <c r="AP33" i="123"/>
  <c r="AQ33" i="123"/>
  <c r="AR33" i="123"/>
  <c r="AS33" i="123"/>
  <c r="AU33" i="123"/>
  <c r="AV33" i="123"/>
  <c r="AW33" i="123"/>
  <c r="AX33" i="123"/>
  <c r="BA33" i="123"/>
  <c r="BB33" i="123"/>
  <c r="BC33" i="123"/>
  <c r="BE33" i="123"/>
  <c r="BF33" i="123"/>
  <c r="BG33" i="123"/>
  <c r="BJ33" i="123"/>
  <c r="BK33" i="123"/>
  <c r="BL33" i="123"/>
  <c r="BM33" i="123"/>
  <c r="BO33" i="123"/>
  <c r="BP33" i="123"/>
  <c r="BP34" i="123"/>
  <c r="BP35" i="123"/>
  <c r="BP36" i="123"/>
  <c r="BP37" i="123"/>
  <c r="BP38" i="123" s="1"/>
  <c r="BQ33" i="123"/>
  <c r="BR33" i="123"/>
  <c r="BT33" i="123"/>
  <c r="BU33" i="123"/>
  <c r="BU34" i="123"/>
  <c r="BU35" i="123"/>
  <c r="BU36" i="123"/>
  <c r="BU37" i="123"/>
  <c r="BU38" i="123" s="1"/>
  <c r="BV33" i="123"/>
  <c r="BW33" i="123"/>
  <c r="C34" i="123"/>
  <c r="D34" i="123"/>
  <c r="E34" i="123"/>
  <c r="G34" i="123"/>
  <c r="G35" i="123"/>
  <c r="G36" i="123"/>
  <c r="G37" i="123"/>
  <c r="H34" i="123"/>
  <c r="I34" i="123"/>
  <c r="I35" i="123"/>
  <c r="I38" i="123" s="1"/>
  <c r="I36" i="123"/>
  <c r="I37" i="123"/>
  <c r="J34" i="123"/>
  <c r="L34" i="123"/>
  <c r="L38" i="123" s="1"/>
  <c r="L35" i="123"/>
  <c r="L36" i="123"/>
  <c r="L37" i="123"/>
  <c r="M34" i="123"/>
  <c r="N34" i="123"/>
  <c r="O34" i="123"/>
  <c r="Q34" i="123"/>
  <c r="R34" i="123"/>
  <c r="S34" i="123"/>
  <c r="V34" i="123"/>
  <c r="W34" i="123"/>
  <c r="W35" i="123"/>
  <c r="W36" i="123"/>
  <c r="W37" i="123"/>
  <c r="X34" i="123"/>
  <c r="Y34" i="123"/>
  <c r="Y35" i="123"/>
  <c r="Y36" i="123"/>
  <c r="Y37" i="123"/>
  <c r="AA34" i="123"/>
  <c r="AC34" i="123"/>
  <c r="AD34" i="123"/>
  <c r="AF34" i="123"/>
  <c r="AG34" i="123"/>
  <c r="AH34" i="123"/>
  <c r="AI34" i="123"/>
  <c r="AK34" i="123"/>
  <c r="AL34" i="123"/>
  <c r="AM34" i="123"/>
  <c r="AM35" i="123"/>
  <c r="AM36" i="123"/>
  <c r="AM37" i="123"/>
  <c r="AM38" i="123" s="1"/>
  <c r="AN34" i="123"/>
  <c r="AP34" i="123"/>
  <c r="AQ34" i="123"/>
  <c r="AR34" i="123"/>
  <c r="AR38" i="123" s="1"/>
  <c r="AR35" i="123"/>
  <c r="AR36" i="123"/>
  <c r="AR37" i="123"/>
  <c r="AS34" i="123"/>
  <c r="AU34" i="123"/>
  <c r="AV34" i="123"/>
  <c r="AW34" i="123"/>
  <c r="AX34" i="123"/>
  <c r="BA34" i="123"/>
  <c r="BB34" i="123"/>
  <c r="BC34" i="123"/>
  <c r="BC35" i="123"/>
  <c r="BC38" i="123" s="1"/>
  <c r="BC36" i="123"/>
  <c r="BC37" i="123"/>
  <c r="BE34" i="123"/>
  <c r="BF34" i="123"/>
  <c r="BG34" i="123"/>
  <c r="BJ34" i="123"/>
  <c r="BK34" i="123"/>
  <c r="BK35" i="123"/>
  <c r="BK36" i="123"/>
  <c r="BK37" i="123"/>
  <c r="BL34" i="123"/>
  <c r="BM34" i="123"/>
  <c r="BO34" i="123"/>
  <c r="BQ34" i="123"/>
  <c r="BR34" i="123"/>
  <c r="BT34" i="123"/>
  <c r="BT38" i="123" s="1"/>
  <c r="BV34" i="123"/>
  <c r="BW34" i="123"/>
  <c r="C35" i="123"/>
  <c r="D35" i="123"/>
  <c r="D36" i="123"/>
  <c r="D37" i="123"/>
  <c r="E35" i="123"/>
  <c r="H35" i="123"/>
  <c r="H38" i="123" s="1"/>
  <c r="J35" i="123"/>
  <c r="M35" i="123"/>
  <c r="N35" i="123"/>
  <c r="O35" i="123"/>
  <c r="O36" i="123"/>
  <c r="O37" i="123"/>
  <c r="Q35" i="123"/>
  <c r="Q36" i="123"/>
  <c r="Q38" i="123" s="1"/>
  <c r="Q37" i="123"/>
  <c r="R35" i="123"/>
  <c r="S35" i="123"/>
  <c r="V35" i="123"/>
  <c r="X35" i="123"/>
  <c r="AA35" i="123"/>
  <c r="AC35" i="123"/>
  <c r="AD35" i="123"/>
  <c r="AF35" i="123"/>
  <c r="AG35" i="123"/>
  <c r="AH35" i="123"/>
  <c r="AI35" i="123"/>
  <c r="AK35" i="123"/>
  <c r="AL35" i="123"/>
  <c r="AN35" i="123"/>
  <c r="AP35" i="123"/>
  <c r="AQ35" i="123"/>
  <c r="AS35" i="123"/>
  <c r="AU35" i="123"/>
  <c r="AU36" i="123"/>
  <c r="AU37" i="123"/>
  <c r="AV35" i="123"/>
  <c r="AW35" i="123"/>
  <c r="AW36" i="123"/>
  <c r="AW38" i="123" s="1"/>
  <c r="AW37" i="123"/>
  <c r="AX35" i="123"/>
  <c r="BA35" i="123"/>
  <c r="BB35" i="123"/>
  <c r="BE35" i="123"/>
  <c r="BE36" i="123"/>
  <c r="BE37" i="123"/>
  <c r="BF35" i="123"/>
  <c r="BG35" i="123"/>
  <c r="BJ35" i="123"/>
  <c r="BL35" i="123"/>
  <c r="BM35" i="123"/>
  <c r="BM36" i="123"/>
  <c r="BM37" i="123"/>
  <c r="BO35" i="123"/>
  <c r="BQ35" i="123"/>
  <c r="BQ38" i="123" s="1"/>
  <c r="BR35" i="123"/>
  <c r="BT35" i="123"/>
  <c r="BV35" i="123"/>
  <c r="BW35" i="123"/>
  <c r="C36" i="123"/>
  <c r="E36" i="123"/>
  <c r="H36" i="123"/>
  <c r="J36" i="123"/>
  <c r="J38" i="123" s="1"/>
  <c r="K36" i="123"/>
  <c r="M36" i="123"/>
  <c r="N36" i="123"/>
  <c r="P36" i="123"/>
  <c r="R36" i="123"/>
  <c r="S36" i="123"/>
  <c r="U36" i="123"/>
  <c r="V36" i="123"/>
  <c r="V38" i="123" s="1"/>
  <c r="X36" i="123"/>
  <c r="X37" i="123"/>
  <c r="Z36" i="123"/>
  <c r="AA36" i="123"/>
  <c r="AC36" i="123"/>
  <c r="AD36" i="123"/>
  <c r="AF36" i="123"/>
  <c r="AG36" i="123"/>
  <c r="AG37" i="123"/>
  <c r="AH36" i="123"/>
  <c r="AI36" i="123"/>
  <c r="AK36" i="123"/>
  <c r="AL36" i="123"/>
  <c r="AN36" i="123"/>
  <c r="AP36" i="123"/>
  <c r="AQ36" i="123"/>
  <c r="AS36" i="123"/>
  <c r="AV36" i="123"/>
  <c r="AX36" i="123"/>
  <c r="BA36" i="123"/>
  <c r="BB36" i="123"/>
  <c r="BF36" i="123"/>
  <c r="BG36" i="123"/>
  <c r="BJ36" i="123"/>
  <c r="BJ38" i="123" s="1"/>
  <c r="BL36" i="123"/>
  <c r="BO36" i="123"/>
  <c r="BQ36" i="123"/>
  <c r="BR36" i="123"/>
  <c r="BT36" i="123"/>
  <c r="BT37" i="123"/>
  <c r="BV36" i="123"/>
  <c r="BW36" i="123"/>
  <c r="C37" i="123"/>
  <c r="E37" i="123"/>
  <c r="H37" i="123"/>
  <c r="J37" i="123"/>
  <c r="K37" i="123"/>
  <c r="M37" i="123"/>
  <c r="N37" i="123"/>
  <c r="P37" i="123"/>
  <c r="R37" i="123"/>
  <c r="S37" i="123"/>
  <c r="U37" i="123"/>
  <c r="V37" i="123"/>
  <c r="Z37" i="123"/>
  <c r="AA37" i="123"/>
  <c r="AC37" i="123"/>
  <c r="AD37" i="123"/>
  <c r="AF37" i="123"/>
  <c r="AF38" i="123"/>
  <c r="AH37" i="123"/>
  <c r="AI37" i="123"/>
  <c r="AK37" i="123"/>
  <c r="AL37" i="123"/>
  <c r="AN37" i="123"/>
  <c r="AP37" i="123"/>
  <c r="AQ37" i="123"/>
  <c r="AS37" i="123"/>
  <c r="AV37" i="123"/>
  <c r="AX37" i="123"/>
  <c r="BA37" i="123"/>
  <c r="BB37" i="123"/>
  <c r="BF37" i="123"/>
  <c r="BG37" i="123"/>
  <c r="BJ37" i="123"/>
  <c r="BL37" i="123"/>
  <c r="BO37" i="123"/>
  <c r="BQ37" i="123"/>
  <c r="BR37" i="123"/>
  <c r="BV37" i="123"/>
  <c r="BW37" i="123"/>
  <c r="B37" i="123"/>
  <c r="B36" i="123"/>
  <c r="F36" i="123" s="1"/>
  <c r="B35" i="123"/>
  <c r="B34" i="123"/>
  <c r="F34" i="123" s="1"/>
  <c r="B33" i="123"/>
  <c r="B32" i="123"/>
  <c r="C30" i="123"/>
  <c r="D30" i="123"/>
  <c r="E30" i="123"/>
  <c r="G30" i="123"/>
  <c r="H30" i="123"/>
  <c r="I30" i="123"/>
  <c r="J30" i="123"/>
  <c r="L30" i="123"/>
  <c r="M30" i="123"/>
  <c r="N30" i="123"/>
  <c r="O30" i="123"/>
  <c r="Q30" i="123"/>
  <c r="R30" i="123"/>
  <c r="S30" i="123"/>
  <c r="T30" i="123"/>
  <c r="V30" i="123"/>
  <c r="W30" i="123"/>
  <c r="X30" i="123"/>
  <c r="Y30" i="123"/>
  <c r="AA30" i="123"/>
  <c r="AB30" i="123"/>
  <c r="AC30" i="123"/>
  <c r="AD30" i="123"/>
  <c r="AF30" i="123"/>
  <c r="AG30" i="123"/>
  <c r="AH30" i="123"/>
  <c r="AI30" i="123"/>
  <c r="AK30" i="123"/>
  <c r="AL30" i="123"/>
  <c r="AM30" i="123"/>
  <c r="AN30" i="123"/>
  <c r="AP30" i="123"/>
  <c r="AQ30" i="123"/>
  <c r="AR30" i="123"/>
  <c r="AS30" i="123"/>
  <c r="AU30" i="123"/>
  <c r="AV30" i="123"/>
  <c r="AW30" i="123"/>
  <c r="AX30" i="123"/>
  <c r="AZ30" i="123"/>
  <c r="BA30" i="123"/>
  <c r="BB30" i="123"/>
  <c r="BC30" i="123"/>
  <c r="BE30" i="123"/>
  <c r="BF30" i="123"/>
  <c r="BG30" i="123"/>
  <c r="BH30" i="123"/>
  <c r="BJ30" i="123"/>
  <c r="BK30" i="123"/>
  <c r="BL30" i="123"/>
  <c r="BM30" i="123"/>
  <c r="BO30" i="123"/>
  <c r="BP30" i="123"/>
  <c r="BQ30" i="123"/>
  <c r="BR30" i="123"/>
  <c r="BT30" i="123"/>
  <c r="BU30" i="123"/>
  <c r="BV30" i="123"/>
  <c r="BW30" i="123"/>
  <c r="B30" i="123"/>
  <c r="BB25" i="123"/>
  <c r="BE25" i="123"/>
  <c r="BF25" i="123"/>
  <c r="BG25" i="123"/>
  <c r="BJ25" i="123"/>
  <c r="BK25" i="123"/>
  <c r="BL25" i="123"/>
  <c r="BO25" i="123"/>
  <c r="BP25" i="123"/>
  <c r="BQ25" i="123"/>
  <c r="BT25" i="123"/>
  <c r="BU25" i="123"/>
  <c r="BV25" i="123"/>
  <c r="BA25" i="123"/>
  <c r="C20" i="123"/>
  <c r="D20" i="123"/>
  <c r="E20" i="123"/>
  <c r="G20" i="123"/>
  <c r="H20" i="123"/>
  <c r="I20" i="123"/>
  <c r="J20" i="123"/>
  <c r="L20" i="123"/>
  <c r="M20" i="123"/>
  <c r="N20" i="123"/>
  <c r="O20" i="123"/>
  <c r="Q20" i="123"/>
  <c r="R20" i="123"/>
  <c r="S20" i="123"/>
  <c r="T20" i="123"/>
  <c r="V20" i="123"/>
  <c r="W20" i="123"/>
  <c r="X20" i="123"/>
  <c r="Y20" i="123"/>
  <c r="AA20" i="123"/>
  <c r="AB20" i="123"/>
  <c r="AC20" i="123"/>
  <c r="AD20" i="123"/>
  <c r="AF20" i="123"/>
  <c r="AG20" i="123"/>
  <c r="AH20" i="123"/>
  <c r="AI20" i="123"/>
  <c r="AK20" i="123"/>
  <c r="AL20" i="123"/>
  <c r="AM20" i="123"/>
  <c r="AN20" i="123"/>
  <c r="AP20" i="123"/>
  <c r="AQ20" i="123"/>
  <c r="AR20" i="123"/>
  <c r="AS20" i="123"/>
  <c r="AU20" i="123"/>
  <c r="AV20" i="123"/>
  <c r="AW20" i="123"/>
  <c r="AX20" i="123"/>
  <c r="AZ20" i="123"/>
  <c r="BA20" i="123"/>
  <c r="BB20" i="123"/>
  <c r="BC20" i="123"/>
  <c r="BE20" i="123"/>
  <c r="BF20" i="123"/>
  <c r="BG20" i="123"/>
  <c r="BH20" i="123"/>
  <c r="BJ20" i="123"/>
  <c r="BK20" i="123"/>
  <c r="BL20" i="123"/>
  <c r="BM20" i="123"/>
  <c r="BO20" i="123"/>
  <c r="BP20" i="123"/>
  <c r="BQ20" i="123"/>
  <c r="BR20" i="123"/>
  <c r="BT20" i="123"/>
  <c r="BU20" i="123"/>
  <c r="BV20" i="123"/>
  <c r="BW20" i="123"/>
  <c r="B20" i="123"/>
  <c r="AB15" i="123"/>
  <c r="AC15" i="123"/>
  <c r="AD15" i="123"/>
  <c r="AF15" i="123"/>
  <c r="AG15" i="123"/>
  <c r="AH15" i="123"/>
  <c r="AI15" i="123"/>
  <c r="AK15" i="123"/>
  <c r="AL15" i="123"/>
  <c r="AM15" i="123"/>
  <c r="AN15" i="123"/>
  <c r="AP15" i="123"/>
  <c r="AQ15" i="123"/>
  <c r="AR15" i="123"/>
  <c r="AS15" i="123"/>
  <c r="AU15" i="123"/>
  <c r="AV15" i="123"/>
  <c r="AW15" i="123"/>
  <c r="AX15" i="123"/>
  <c r="AZ15" i="123"/>
  <c r="BA15" i="123"/>
  <c r="BB15" i="123"/>
  <c r="BC15" i="123"/>
  <c r="BE15" i="123"/>
  <c r="BF15" i="123"/>
  <c r="BG15" i="123"/>
  <c r="BH15" i="123"/>
  <c r="BJ15" i="123"/>
  <c r="BK15" i="123"/>
  <c r="BL15" i="123"/>
  <c r="BM15" i="123"/>
  <c r="BO15" i="123"/>
  <c r="BP15" i="123"/>
  <c r="BQ15" i="123"/>
  <c r="BR15" i="123"/>
  <c r="BT15" i="123"/>
  <c r="BU15" i="123"/>
  <c r="BV15" i="123"/>
  <c r="BW15" i="123"/>
  <c r="AA15" i="123"/>
  <c r="C10" i="123"/>
  <c r="D10" i="123"/>
  <c r="E10" i="123"/>
  <c r="G10" i="123"/>
  <c r="H10" i="123"/>
  <c r="I10" i="123"/>
  <c r="J10" i="123"/>
  <c r="L10" i="123"/>
  <c r="M10" i="123"/>
  <c r="N10" i="123"/>
  <c r="O10" i="123"/>
  <c r="Q10" i="123"/>
  <c r="R10" i="123"/>
  <c r="S10" i="123"/>
  <c r="T10" i="123"/>
  <c r="V10" i="123"/>
  <c r="W10" i="123"/>
  <c r="X10" i="123"/>
  <c r="Y10" i="123"/>
  <c r="AA10" i="123"/>
  <c r="AB10" i="123"/>
  <c r="AC10" i="123"/>
  <c r="AD10" i="123"/>
  <c r="AF10" i="123"/>
  <c r="AG10" i="123"/>
  <c r="AH10" i="123"/>
  <c r="AI10" i="123"/>
  <c r="AK10" i="123"/>
  <c r="AL10" i="123"/>
  <c r="AM10" i="123"/>
  <c r="AN10" i="123"/>
  <c r="AP10" i="123"/>
  <c r="AQ10" i="123"/>
  <c r="AR10" i="123"/>
  <c r="AS10" i="123"/>
  <c r="AU10" i="123"/>
  <c r="AV10" i="123"/>
  <c r="AW10" i="123"/>
  <c r="AX10" i="123"/>
  <c r="AZ10" i="123"/>
  <c r="BA10" i="123"/>
  <c r="BB10" i="123"/>
  <c r="BC10" i="123"/>
  <c r="BE10" i="123"/>
  <c r="BF10" i="123"/>
  <c r="BG10" i="123"/>
  <c r="BH10" i="123"/>
  <c r="BJ10" i="123"/>
  <c r="BK10" i="123"/>
  <c r="BL10" i="123"/>
  <c r="BM10" i="123"/>
  <c r="BO10" i="123"/>
  <c r="BP10" i="123"/>
  <c r="BQ10" i="123"/>
  <c r="BR10" i="123"/>
  <c r="BT10" i="123"/>
  <c r="BU10" i="123"/>
  <c r="BV10" i="123"/>
  <c r="BW10" i="123"/>
  <c r="B10" i="123"/>
  <c r="BX8" i="123"/>
  <c r="BX12" i="123"/>
  <c r="BX18" i="123"/>
  <c r="BX23" i="123"/>
  <c r="BX25" i="123" s="1"/>
  <c r="BX27" i="123"/>
  <c r="BX9" i="123"/>
  <c r="BX29" i="123"/>
  <c r="BX35" i="123" s="1"/>
  <c r="BX13" i="123"/>
  <c r="BX14" i="123"/>
  <c r="BX37" i="123" s="1"/>
  <c r="BX17" i="123"/>
  <c r="BX19" i="123"/>
  <c r="BX22" i="123"/>
  <c r="BX24" i="123"/>
  <c r="BX28" i="123"/>
  <c r="BX30" i="123" s="1"/>
  <c r="BX7" i="123"/>
  <c r="BS8" i="123"/>
  <c r="BS12" i="123"/>
  <c r="BS18" i="123"/>
  <c r="BS23" i="123"/>
  <c r="BS27" i="123"/>
  <c r="BS9" i="123"/>
  <c r="BS13" i="123"/>
  <c r="BS36" i="123" s="1"/>
  <c r="BS14" i="123"/>
  <c r="BS37" i="123" s="1"/>
  <c r="BS17" i="123"/>
  <c r="BS20" i="123" s="1"/>
  <c r="BS19" i="123"/>
  <c r="BS24" i="123"/>
  <c r="BS28" i="123"/>
  <c r="BS22" i="123"/>
  <c r="BS25" i="123" s="1"/>
  <c r="BS29" i="123"/>
  <c r="BS35" i="123"/>
  <c r="BS7" i="123"/>
  <c r="BN8" i="123"/>
  <c r="BN9" i="123"/>
  <c r="BN35" i="123" s="1"/>
  <c r="BN29" i="123"/>
  <c r="BN12" i="123"/>
  <c r="BN13" i="123"/>
  <c r="BN36" i="123" s="1"/>
  <c r="BN14" i="123"/>
  <c r="BN37" i="123"/>
  <c r="BN17" i="123"/>
  <c r="BN18" i="123"/>
  <c r="BN19" i="123"/>
  <c r="BN24" i="123"/>
  <c r="BN28" i="123"/>
  <c r="BN22" i="123"/>
  <c r="BN32" i="123" s="1"/>
  <c r="BN23" i="123"/>
  <c r="BN27" i="123"/>
  <c r="BN7" i="123"/>
  <c r="BI8" i="123"/>
  <c r="BI12" i="123"/>
  <c r="BI18" i="123"/>
  <c r="BI23" i="123"/>
  <c r="BI27" i="123"/>
  <c r="BI7" i="123"/>
  <c r="BI17" i="123"/>
  <c r="BI22" i="123"/>
  <c r="BI19" i="123"/>
  <c r="BI24" i="123"/>
  <c r="BI34" i="123" s="1"/>
  <c r="BI28" i="123"/>
  <c r="BI9" i="123"/>
  <c r="BI29" i="123"/>
  <c r="BI35" i="123" s="1"/>
  <c r="BI13" i="123"/>
  <c r="BI36" i="123" s="1"/>
  <c r="BI14" i="123"/>
  <c r="BI37" i="123" s="1"/>
  <c r="BD8" i="123"/>
  <c r="BD12" i="123"/>
  <c r="BD15" i="123" s="1"/>
  <c r="BD18" i="123"/>
  <c r="BD23" i="123"/>
  <c r="BD27" i="123"/>
  <c r="BD33" i="123" s="1"/>
  <c r="BD9" i="123"/>
  <c r="BD13" i="123"/>
  <c r="BD14" i="123"/>
  <c r="BD37" i="123"/>
  <c r="BD17" i="123"/>
  <c r="BD19" i="123"/>
  <c r="BD24" i="123"/>
  <c r="BD28" i="123"/>
  <c r="BD34" i="123" s="1"/>
  <c r="BD22" i="123"/>
  <c r="BD25" i="123" s="1"/>
  <c r="BD29" i="123"/>
  <c r="BD7" i="123"/>
  <c r="AY8" i="123"/>
  <c r="AY12" i="123"/>
  <c r="AY18" i="123"/>
  <c r="AY27" i="123"/>
  <c r="AY9" i="123"/>
  <c r="AY35" i="123" s="1"/>
  <c r="AY29" i="123"/>
  <c r="AY13" i="123"/>
  <c r="AY36" i="123" s="1"/>
  <c r="AY14" i="123"/>
  <c r="AY37" i="123" s="1"/>
  <c r="AY17" i="123"/>
  <c r="AY19" i="123"/>
  <c r="AY28" i="123"/>
  <c r="AY34" i="123" s="1"/>
  <c r="AY7" i="123"/>
  <c r="AY10" i="123" s="1"/>
  <c r="AT8" i="123"/>
  <c r="AT9" i="123"/>
  <c r="AT35" i="123" s="1"/>
  <c r="AT29" i="123"/>
  <c r="AT12" i="123"/>
  <c r="AT13" i="123"/>
  <c r="AT14" i="123"/>
  <c r="AT37" i="123" s="1"/>
  <c r="AT17" i="123"/>
  <c r="AT32" i="123" s="1"/>
  <c r="AT18" i="123"/>
  <c r="AT27" i="123"/>
  <c r="AT19" i="123"/>
  <c r="AT28" i="123"/>
  <c r="AT34" i="123" s="1"/>
  <c r="AT7" i="123"/>
  <c r="AO8" i="123"/>
  <c r="AO12" i="123"/>
  <c r="AO18" i="123"/>
  <c r="AO33" i="123" s="1"/>
  <c r="AO27" i="123"/>
  <c r="AO9" i="123"/>
  <c r="AO29" i="123"/>
  <c r="AO13" i="123"/>
  <c r="AO36" i="123" s="1"/>
  <c r="AO14" i="123"/>
  <c r="AO37" i="123" s="1"/>
  <c r="AO17" i="123"/>
  <c r="AO19" i="123"/>
  <c r="AO34" i="123" s="1"/>
  <c r="AO28" i="123"/>
  <c r="AO7" i="123"/>
  <c r="AJ8" i="123"/>
  <c r="AJ12" i="123"/>
  <c r="AJ18" i="123"/>
  <c r="AJ27" i="123"/>
  <c r="AJ9" i="123"/>
  <c r="AJ13" i="123"/>
  <c r="AJ36" i="123" s="1"/>
  <c r="AJ14" i="123"/>
  <c r="AJ37" i="123"/>
  <c r="AJ17" i="123"/>
  <c r="AJ19" i="123"/>
  <c r="AJ28" i="123"/>
  <c r="AJ29" i="123"/>
  <c r="AJ7" i="123"/>
  <c r="AE8" i="123"/>
  <c r="AE33" i="123" s="1"/>
  <c r="AE12" i="123"/>
  <c r="AE18" i="123"/>
  <c r="AE27" i="123"/>
  <c r="AE9" i="123"/>
  <c r="AE29" i="123"/>
  <c r="AE13" i="123"/>
  <c r="AE36" i="123"/>
  <c r="AE14" i="123"/>
  <c r="AE37" i="123" s="1"/>
  <c r="AE17" i="123"/>
  <c r="AE19" i="123"/>
  <c r="AE28" i="123"/>
  <c r="AE30" i="123" s="1"/>
  <c r="AE7" i="123"/>
  <c r="Z8" i="123"/>
  <c r="Z9" i="123"/>
  <c r="Z29" i="123"/>
  <c r="Z17" i="123"/>
  <c r="Z32" i="123" s="1"/>
  <c r="Z18" i="123"/>
  <c r="Z27" i="123"/>
  <c r="Z19" i="123"/>
  <c r="Z34" i="123" s="1"/>
  <c r="Z28" i="123"/>
  <c r="Z7" i="123"/>
  <c r="Z10" i="123" s="1"/>
  <c r="U8" i="123"/>
  <c r="U18" i="123"/>
  <c r="U33" i="123" s="1"/>
  <c r="U27" i="123"/>
  <c r="U7" i="123"/>
  <c r="U10" i="123" s="1"/>
  <c r="U17" i="123"/>
  <c r="U19" i="123"/>
  <c r="U28" i="123"/>
  <c r="U9" i="123"/>
  <c r="U29" i="123"/>
  <c r="U30" i="123" s="1"/>
  <c r="P8" i="123"/>
  <c r="P33" i="123" s="1"/>
  <c r="P9" i="123"/>
  <c r="P35" i="123" s="1"/>
  <c r="P29" i="123"/>
  <c r="P17" i="123"/>
  <c r="P18" i="123"/>
  <c r="P19" i="123"/>
  <c r="P20" i="123" s="1"/>
  <c r="P27" i="123"/>
  <c r="P28" i="123"/>
  <c r="P7" i="123"/>
  <c r="P32" i="123" s="1"/>
  <c r="K8" i="123"/>
  <c r="K18" i="123"/>
  <c r="K27" i="123"/>
  <c r="K9" i="123"/>
  <c r="K10" i="123" s="1"/>
  <c r="K29" i="123"/>
  <c r="K17" i="123"/>
  <c r="K19" i="123"/>
  <c r="K28" i="123"/>
  <c r="K7" i="123"/>
  <c r="F8" i="123"/>
  <c r="F9" i="123"/>
  <c r="F18" i="123"/>
  <c r="F20" i="123" s="1"/>
  <c r="F19" i="123"/>
  <c r="F27" i="123"/>
  <c r="F28" i="123"/>
  <c r="F29" i="123"/>
  <c r="F7" i="123"/>
  <c r="BX36" i="123"/>
  <c r="BN10" i="123"/>
  <c r="AE32" i="123"/>
  <c r="BS30" i="123"/>
  <c r="AT10" i="123"/>
  <c r="BX10" i="123"/>
  <c r="BR38" i="123"/>
  <c r="AP38" i="123"/>
  <c r="AX99" i="274"/>
  <c r="AW99" i="274"/>
  <c r="AY99" i="274"/>
  <c r="AV99" i="274"/>
  <c r="AY98" i="274"/>
  <c r="AY97" i="274"/>
  <c r="AY96" i="274"/>
  <c r="AY95" i="274"/>
  <c r="AX94" i="274"/>
  <c r="AW94" i="274"/>
  <c r="AV94" i="274"/>
  <c r="AY93" i="274"/>
  <c r="AY92" i="274"/>
  <c r="AY91" i="274"/>
  <c r="AY90" i="274"/>
  <c r="AY89" i="274"/>
  <c r="AY88" i="274"/>
  <c r="AY87" i="274"/>
  <c r="AY86" i="274"/>
  <c r="AX85" i="274"/>
  <c r="AW85" i="274"/>
  <c r="AV85" i="274"/>
  <c r="AY84" i="274"/>
  <c r="AY83" i="274"/>
  <c r="AY82" i="274"/>
  <c r="AY81" i="274"/>
  <c r="AY80" i="274"/>
  <c r="AY79" i="274"/>
  <c r="AX69" i="274"/>
  <c r="AW69" i="274"/>
  <c r="AV69" i="274"/>
  <c r="AY68" i="274"/>
  <c r="AY67" i="274"/>
  <c r="AY66" i="274"/>
  <c r="AY65" i="274"/>
  <c r="AY64" i="274"/>
  <c r="AY63" i="274"/>
  <c r="AX62" i="274"/>
  <c r="AW62" i="274"/>
  <c r="AV62" i="274"/>
  <c r="AY61" i="274"/>
  <c r="AY60" i="274"/>
  <c r="AY59" i="274"/>
  <c r="AY58" i="274"/>
  <c r="AY57" i="274"/>
  <c r="AY56" i="274"/>
  <c r="AY55" i="274"/>
  <c r="AY54" i="274"/>
  <c r="AY53" i="274"/>
  <c r="AY52" i="274"/>
  <c r="AY51" i="274"/>
  <c r="AX50" i="274"/>
  <c r="AW50" i="274"/>
  <c r="AV50" i="274"/>
  <c r="AY50" i="274"/>
  <c r="AY49" i="274"/>
  <c r="AY48" i="274"/>
  <c r="AY47" i="274"/>
  <c r="AY46" i="274"/>
  <c r="AY45" i="274"/>
  <c r="AY44" i="274"/>
  <c r="AY43" i="274"/>
  <c r="AY42" i="274"/>
  <c r="AY41" i="274"/>
  <c r="AX39" i="274"/>
  <c r="AW39" i="274"/>
  <c r="AV39" i="274"/>
  <c r="AY38" i="274"/>
  <c r="AY37" i="274"/>
  <c r="AY36" i="274"/>
  <c r="AY35" i="274"/>
  <c r="AX34" i="274"/>
  <c r="AW34" i="274"/>
  <c r="AW30" i="274"/>
  <c r="AV34" i="274"/>
  <c r="AY33" i="274"/>
  <c r="AY32" i="274"/>
  <c r="AY31" i="274"/>
  <c r="AX30" i="274"/>
  <c r="AV30" i="274"/>
  <c r="AV40" i="274"/>
  <c r="AY29" i="274"/>
  <c r="AY28" i="274"/>
  <c r="AY27" i="274"/>
  <c r="AY26" i="274"/>
  <c r="AX24" i="274"/>
  <c r="AW24" i="274"/>
  <c r="AV24" i="274"/>
  <c r="AY24" i="274"/>
  <c r="AY23" i="274"/>
  <c r="AY22" i="274"/>
  <c r="AY21" i="274"/>
  <c r="AX20" i="274"/>
  <c r="AW20" i="274"/>
  <c r="AV20" i="274"/>
  <c r="AY20" i="274"/>
  <c r="AY19" i="274"/>
  <c r="AY18" i="274"/>
  <c r="AY17" i="274"/>
  <c r="AY16" i="274"/>
  <c r="AX15" i="274"/>
  <c r="AW15" i="274"/>
  <c r="AV15" i="274"/>
  <c r="AY14" i="274"/>
  <c r="AY13" i="274"/>
  <c r="AY12" i="274"/>
  <c r="AY11" i="274"/>
  <c r="AY10" i="274"/>
  <c r="AY9" i="274"/>
  <c r="AY8" i="274"/>
  <c r="AY7" i="274"/>
  <c r="AY6" i="274"/>
  <c r="AY5" i="274"/>
  <c r="AT99" i="274"/>
  <c r="AS99" i="274"/>
  <c r="AR99" i="274"/>
  <c r="AU98" i="274"/>
  <c r="AU97" i="274"/>
  <c r="AU96" i="274"/>
  <c r="AU95" i="274"/>
  <c r="AT94" i="274"/>
  <c r="AS94" i="274"/>
  <c r="AR94" i="274"/>
  <c r="AU93" i="274"/>
  <c r="AU92" i="274"/>
  <c r="AU91" i="274"/>
  <c r="AU90" i="274"/>
  <c r="AU89" i="274"/>
  <c r="AU88" i="274"/>
  <c r="AU87" i="274"/>
  <c r="AU86" i="274"/>
  <c r="AT85" i="274"/>
  <c r="AS85" i="274"/>
  <c r="AR85" i="274"/>
  <c r="AU84" i="274"/>
  <c r="AU83" i="274"/>
  <c r="AU82" i="274"/>
  <c r="AU81" i="274"/>
  <c r="AU80" i="274"/>
  <c r="AU79" i="274"/>
  <c r="AT69" i="274"/>
  <c r="AT62" i="274"/>
  <c r="AT50" i="274"/>
  <c r="AS69" i="274"/>
  <c r="AR69" i="274"/>
  <c r="AU68" i="274"/>
  <c r="AU67" i="274"/>
  <c r="AU66" i="274"/>
  <c r="AU65" i="274"/>
  <c r="AU64" i="274"/>
  <c r="AU63" i="274"/>
  <c r="AS62" i="274"/>
  <c r="AR62" i="274"/>
  <c r="AU62" i="274"/>
  <c r="AU61" i="274"/>
  <c r="AU60" i="274"/>
  <c r="AU59" i="274"/>
  <c r="AU58" i="274"/>
  <c r="AU57" i="274"/>
  <c r="AU56" i="274"/>
  <c r="AU55" i="274"/>
  <c r="AU54" i="274"/>
  <c r="AU53" i="274"/>
  <c r="AU52" i="274"/>
  <c r="AU51" i="274"/>
  <c r="AS50" i="274"/>
  <c r="AR50" i="274"/>
  <c r="AU49" i="274"/>
  <c r="AU48" i="274"/>
  <c r="AU47" i="274"/>
  <c r="AU46" i="274"/>
  <c r="AU45" i="274"/>
  <c r="AU44" i="274"/>
  <c r="AU43" i="274"/>
  <c r="AU42" i="274"/>
  <c r="AU41" i="274"/>
  <c r="AT39" i="274"/>
  <c r="AS39" i="274"/>
  <c r="AR39" i="274"/>
  <c r="AU38" i="274"/>
  <c r="AU37" i="274"/>
  <c r="AU36" i="274"/>
  <c r="AU35" i="274"/>
  <c r="AT34" i="274"/>
  <c r="AS34" i="274"/>
  <c r="AR34" i="274"/>
  <c r="AU33" i="274"/>
  <c r="AU32" i="274"/>
  <c r="AU31" i="274"/>
  <c r="AT30" i="274"/>
  <c r="AT40" i="274"/>
  <c r="AS30" i="274"/>
  <c r="AU30" i="274"/>
  <c r="AR30" i="274"/>
  <c r="AU29" i="274"/>
  <c r="AU28" i="274"/>
  <c r="AU27" i="274"/>
  <c r="AU26" i="274"/>
  <c r="AT24" i="274"/>
  <c r="AS24" i="274"/>
  <c r="AR24" i="274"/>
  <c r="AU23" i="274"/>
  <c r="AU22" i="274"/>
  <c r="AU21" i="274"/>
  <c r="AT20" i="274"/>
  <c r="AS20" i="274"/>
  <c r="AS15" i="274"/>
  <c r="AS25" i="274"/>
  <c r="AR20" i="274"/>
  <c r="AU19" i="274"/>
  <c r="AU18" i="274"/>
  <c r="AU17" i="274"/>
  <c r="AU16" i="274"/>
  <c r="AT15" i="274"/>
  <c r="AR15" i="274"/>
  <c r="AU14" i="274"/>
  <c r="AU13" i="274"/>
  <c r="AU12" i="274"/>
  <c r="AU11" i="274"/>
  <c r="AU10" i="274"/>
  <c r="AU9" i="274"/>
  <c r="AU8" i="274"/>
  <c r="AU7" i="274"/>
  <c r="AU6" i="274"/>
  <c r="AU5" i="274"/>
  <c r="AY30" i="274"/>
  <c r="AY69" i="274"/>
  <c r="AX100" i="274"/>
  <c r="AR40" i="274"/>
  <c r="E53" i="281"/>
  <c r="J53" i="281"/>
  <c r="O53" i="281"/>
  <c r="T53" i="281"/>
  <c r="Y53" i="281"/>
  <c r="AD53" i="281"/>
  <c r="AI53" i="281"/>
  <c r="E16" i="173"/>
  <c r="F16" i="173"/>
  <c r="G16" i="173"/>
  <c r="J16" i="173"/>
  <c r="M16" i="173"/>
  <c r="N16" i="173"/>
  <c r="BM17" i="274"/>
  <c r="BL7" i="98"/>
  <c r="BO27" i="274"/>
  <c r="F36" i="331"/>
  <c r="E72" i="324"/>
  <c r="E73" i="324"/>
  <c r="D72" i="324"/>
  <c r="E69" i="324"/>
  <c r="D69" i="324"/>
  <c r="I27" i="324"/>
  <c r="I34" i="324"/>
  <c r="F66" i="324"/>
  <c r="F69" i="324"/>
  <c r="F73" i="324"/>
  <c r="F70" i="324"/>
  <c r="F72" i="324"/>
  <c r="I9" i="324"/>
  <c r="G14" i="327"/>
  <c r="F6" i="328"/>
  <c r="H28" i="328"/>
  <c r="H24" i="328"/>
  <c r="G24" i="328"/>
  <c r="F24" i="328"/>
  <c r="F18" i="328"/>
  <c r="I57" i="327"/>
  <c r="I58" i="327"/>
  <c r="I40" i="327"/>
  <c r="I42" i="327"/>
  <c r="H16" i="328"/>
  <c r="G54" i="327"/>
  <c r="I53" i="327"/>
  <c r="I52" i="327"/>
  <c r="I51" i="327"/>
  <c r="I50" i="327"/>
  <c r="I49" i="327"/>
  <c r="I48" i="327"/>
  <c r="I47" i="327"/>
  <c r="I46" i="327"/>
  <c r="I45" i="327"/>
  <c r="I44" i="327"/>
  <c r="G37" i="327"/>
  <c r="F11" i="328"/>
  <c r="I33" i="327"/>
  <c r="I37" i="327"/>
  <c r="H11" i="328"/>
  <c r="G32" i="327"/>
  <c r="F13" i="328"/>
  <c r="F36" i="328"/>
  <c r="I31" i="327"/>
  <c r="I32" i="327"/>
  <c r="H13" i="328"/>
  <c r="H36" i="328"/>
  <c r="G28" i="327"/>
  <c r="F12" i="328"/>
  <c r="I25" i="327"/>
  <c r="I28" i="327"/>
  <c r="G23" i="327"/>
  <c r="F8" i="328"/>
  <c r="F34" i="328"/>
  <c r="I22" i="327"/>
  <c r="I20" i="327"/>
  <c r="I10" i="327"/>
  <c r="I9" i="327"/>
  <c r="I8" i="327"/>
  <c r="I14" i="327"/>
  <c r="I6" i="327"/>
  <c r="H98" i="325"/>
  <c r="G28" i="329"/>
  <c r="G98" i="325"/>
  <c r="F28" i="329"/>
  <c r="I97" i="325"/>
  <c r="I96" i="325"/>
  <c r="I95" i="325"/>
  <c r="I94" i="325"/>
  <c r="I98" i="325"/>
  <c r="H93" i="325"/>
  <c r="G27" i="329"/>
  <c r="G93" i="325"/>
  <c r="F27" i="329"/>
  <c r="I92" i="325"/>
  <c r="I91" i="325"/>
  <c r="I90" i="325"/>
  <c r="I89" i="325"/>
  <c r="I88" i="325"/>
  <c r="I87" i="325"/>
  <c r="I86" i="325"/>
  <c r="I85" i="325"/>
  <c r="H84" i="325"/>
  <c r="G26" i="329"/>
  <c r="G84" i="325"/>
  <c r="F26" i="329"/>
  <c r="I83" i="325"/>
  <c r="I82" i="325"/>
  <c r="I81" i="325"/>
  <c r="I80" i="325"/>
  <c r="I79" i="325"/>
  <c r="I78" i="325"/>
  <c r="H76" i="325"/>
  <c r="G23" i="329"/>
  <c r="G76" i="325"/>
  <c r="F23" i="329"/>
  <c r="I75" i="325"/>
  <c r="I74" i="325"/>
  <c r="I76" i="325"/>
  <c r="H73" i="325"/>
  <c r="G22" i="329"/>
  <c r="G73" i="325"/>
  <c r="F22" i="329"/>
  <c r="I72" i="325"/>
  <c r="I73" i="325"/>
  <c r="H71" i="325"/>
  <c r="G21" i="329"/>
  <c r="G71" i="325"/>
  <c r="F21" i="329"/>
  <c r="I70" i="325"/>
  <c r="I71" i="325"/>
  <c r="H68" i="325"/>
  <c r="G18" i="329"/>
  <c r="G68" i="325"/>
  <c r="F18" i="329"/>
  <c r="H61" i="325"/>
  <c r="G17" i="329"/>
  <c r="G61" i="325"/>
  <c r="F17" i="329"/>
  <c r="H49" i="325"/>
  <c r="G49" i="325"/>
  <c r="F16" i="329"/>
  <c r="H38" i="325"/>
  <c r="G11" i="329"/>
  <c r="G38" i="325"/>
  <c r="I36" i="325"/>
  <c r="I37" i="325"/>
  <c r="I38" i="325"/>
  <c r="I35" i="325"/>
  <c r="I33" i="325"/>
  <c r="I32" i="325"/>
  <c r="I30" i="325"/>
  <c r="I31" i="325"/>
  <c r="H29" i="325"/>
  <c r="G12" i="329"/>
  <c r="G35" i="329"/>
  <c r="G29" i="325"/>
  <c r="F12" i="329"/>
  <c r="I28" i="325"/>
  <c r="I27" i="325"/>
  <c r="I26" i="325"/>
  <c r="H24" i="325"/>
  <c r="G8" i="329"/>
  <c r="G24" i="325"/>
  <c r="F8" i="329"/>
  <c r="I23" i="325"/>
  <c r="I22" i="325"/>
  <c r="I21" i="325"/>
  <c r="H20" i="325"/>
  <c r="G7" i="329"/>
  <c r="G20" i="325"/>
  <c r="F7" i="329"/>
  <c r="I19" i="325"/>
  <c r="I18" i="325"/>
  <c r="I17" i="325"/>
  <c r="I16" i="325"/>
  <c r="H15" i="325"/>
  <c r="G15" i="325"/>
  <c r="I14" i="325"/>
  <c r="I13" i="325"/>
  <c r="I12" i="325"/>
  <c r="I11" i="325"/>
  <c r="I10" i="325"/>
  <c r="I9" i="325"/>
  <c r="I8" i="325"/>
  <c r="I6" i="325"/>
  <c r="I5" i="325"/>
  <c r="H98" i="323"/>
  <c r="G28" i="326"/>
  <c r="G98" i="323"/>
  <c r="F28" i="326"/>
  <c r="I97" i="323"/>
  <c r="I96" i="323"/>
  <c r="I95" i="323"/>
  <c r="I94" i="323"/>
  <c r="H93" i="323"/>
  <c r="G27" i="326"/>
  <c r="G93" i="323"/>
  <c r="F27" i="326"/>
  <c r="I92" i="323"/>
  <c r="I91" i="323"/>
  <c r="I90" i="323"/>
  <c r="I89" i="323"/>
  <c r="I88" i="323"/>
  <c r="I87" i="323"/>
  <c r="I86" i="323"/>
  <c r="I85" i="323"/>
  <c r="H84" i="323"/>
  <c r="G26" i="326"/>
  <c r="G84" i="323"/>
  <c r="F26" i="326"/>
  <c r="I83" i="323"/>
  <c r="I82" i="323"/>
  <c r="I81" i="323"/>
  <c r="I80" i="323"/>
  <c r="I79" i="323"/>
  <c r="I78" i="323"/>
  <c r="I74" i="323"/>
  <c r="I75" i="323"/>
  <c r="H73" i="323"/>
  <c r="G22" i="326"/>
  <c r="G73" i="323"/>
  <c r="I72" i="323"/>
  <c r="I73" i="323"/>
  <c r="H71" i="323"/>
  <c r="G21" i="326"/>
  <c r="G71" i="323"/>
  <c r="F21" i="326"/>
  <c r="I70" i="323"/>
  <c r="I71" i="323"/>
  <c r="H21" i="326"/>
  <c r="H68" i="323"/>
  <c r="G18" i="326"/>
  <c r="G68" i="323"/>
  <c r="F18" i="326"/>
  <c r="I67" i="323"/>
  <c r="I66" i="323"/>
  <c r="I65" i="323"/>
  <c r="I64" i="323"/>
  <c r="I63" i="323"/>
  <c r="I62" i="323"/>
  <c r="H61" i="323"/>
  <c r="G17" i="326"/>
  <c r="G61" i="323"/>
  <c r="F17" i="326"/>
  <c r="I60" i="323"/>
  <c r="I59" i="323"/>
  <c r="I58" i="323"/>
  <c r="I57" i="323"/>
  <c r="I56" i="323"/>
  <c r="I55" i="323"/>
  <c r="I54" i="323"/>
  <c r="I53" i="323"/>
  <c r="I52" i="323"/>
  <c r="I51" i="323"/>
  <c r="I50" i="323"/>
  <c r="H49" i="323"/>
  <c r="G16" i="326"/>
  <c r="G49" i="323"/>
  <c r="F16" i="326"/>
  <c r="I48" i="323"/>
  <c r="I47" i="323"/>
  <c r="I46" i="323"/>
  <c r="I44" i="323"/>
  <c r="I43" i="323"/>
  <c r="I42" i="323"/>
  <c r="I41" i="323"/>
  <c r="I40" i="323"/>
  <c r="H38" i="323"/>
  <c r="G13" i="326"/>
  <c r="G36" i="326"/>
  <c r="G38" i="323"/>
  <c r="F13" i="326"/>
  <c r="F36" i="326"/>
  <c r="I37" i="323"/>
  <c r="I36" i="323"/>
  <c r="I35" i="323"/>
  <c r="I30" i="323"/>
  <c r="I31" i="323"/>
  <c r="H29" i="323"/>
  <c r="G11" i="326"/>
  <c r="G29" i="323"/>
  <c r="F11" i="326"/>
  <c r="I28" i="323"/>
  <c r="I27" i="323"/>
  <c r="I26" i="323"/>
  <c r="H24" i="323"/>
  <c r="G8" i="326"/>
  <c r="G24" i="323"/>
  <c r="F8" i="326"/>
  <c r="I23" i="323"/>
  <c r="I22" i="323"/>
  <c r="I21" i="323"/>
  <c r="H20" i="323"/>
  <c r="G7" i="326"/>
  <c r="G20" i="323"/>
  <c r="F7" i="326"/>
  <c r="I19" i="323"/>
  <c r="I18" i="323"/>
  <c r="I17" i="323"/>
  <c r="I16" i="323"/>
  <c r="H15" i="323"/>
  <c r="G6" i="326"/>
  <c r="G15" i="323"/>
  <c r="I14" i="323"/>
  <c r="I13" i="323"/>
  <c r="I12" i="323"/>
  <c r="I11" i="323"/>
  <c r="I10" i="323"/>
  <c r="I8" i="323"/>
  <c r="I9" i="323"/>
  <c r="I7" i="323"/>
  <c r="I6" i="323"/>
  <c r="I5" i="323"/>
  <c r="P11" i="297"/>
  <c r="O11" i="297"/>
  <c r="F29" i="173"/>
  <c r="G29" i="173"/>
  <c r="H29" i="173"/>
  <c r="I29" i="173"/>
  <c r="J29" i="173"/>
  <c r="K29" i="173"/>
  <c r="L29" i="173"/>
  <c r="M29" i="173"/>
  <c r="N29" i="173"/>
  <c r="BP27" i="278"/>
  <c r="BP28" i="278"/>
  <c r="BD7" i="276"/>
  <c r="BD6" i="276"/>
  <c r="BD8" i="276"/>
  <c r="BD11" i="276"/>
  <c r="AZ7" i="276"/>
  <c r="AZ28" i="276"/>
  <c r="AY32" i="276"/>
  <c r="AX32" i="276"/>
  <c r="AX15" i="276"/>
  <c r="AX51" i="276"/>
  <c r="B49" i="288"/>
  <c r="E119" i="287"/>
  <c r="D119" i="287"/>
  <c r="C119" i="287"/>
  <c r="F119" i="287"/>
  <c r="E114" i="287"/>
  <c r="D114" i="287"/>
  <c r="C114" i="287"/>
  <c r="E109" i="287"/>
  <c r="D109" i="287"/>
  <c r="C109" i="287"/>
  <c r="E104" i="287"/>
  <c r="D104" i="287"/>
  <c r="C104" i="287"/>
  <c r="E100" i="287"/>
  <c r="D100" i="287"/>
  <c r="C100" i="287"/>
  <c r="F8" i="306"/>
  <c r="F9" i="306"/>
  <c r="F12" i="306"/>
  <c r="F13" i="306"/>
  <c r="F15" i="306"/>
  <c r="F14" i="306"/>
  <c r="F17" i="306"/>
  <c r="F18" i="306"/>
  <c r="F19" i="306"/>
  <c r="F20" i="306"/>
  <c r="F27" i="306"/>
  <c r="F28" i="306"/>
  <c r="F29" i="306"/>
  <c r="F7" i="306"/>
  <c r="F10" i="306"/>
  <c r="I8" i="306"/>
  <c r="I9" i="306"/>
  <c r="I12" i="306"/>
  <c r="I13" i="306"/>
  <c r="I14" i="306"/>
  <c r="I17" i="306"/>
  <c r="I18" i="306"/>
  <c r="I19" i="306"/>
  <c r="I27" i="306"/>
  <c r="I28" i="306"/>
  <c r="I29" i="306"/>
  <c r="I7" i="306"/>
  <c r="L8" i="306"/>
  <c r="L9" i="306"/>
  <c r="L12" i="306"/>
  <c r="L13" i="306"/>
  <c r="L14" i="306"/>
  <c r="L17" i="306"/>
  <c r="L18" i="306"/>
  <c r="L19" i="306"/>
  <c r="L27" i="306"/>
  <c r="L28" i="306"/>
  <c r="L29" i="306"/>
  <c r="L7" i="306"/>
  <c r="L10" i="306"/>
  <c r="P30" i="306"/>
  <c r="Q30" i="306"/>
  <c r="P25" i="306"/>
  <c r="Q25" i="306"/>
  <c r="P20" i="306"/>
  <c r="Q20" i="306"/>
  <c r="P15" i="306"/>
  <c r="Q15" i="306"/>
  <c r="P10" i="306"/>
  <c r="Q10" i="306"/>
  <c r="O8" i="306"/>
  <c r="O9" i="306"/>
  <c r="O12" i="306"/>
  <c r="O13" i="306"/>
  <c r="O15" i="306"/>
  <c r="O14" i="306"/>
  <c r="O17" i="306"/>
  <c r="O18" i="306"/>
  <c r="O19" i="306"/>
  <c r="O20" i="306"/>
  <c r="O22" i="306"/>
  <c r="O23" i="306"/>
  <c r="O24" i="306"/>
  <c r="O25" i="306"/>
  <c r="O27" i="306"/>
  <c r="O28" i="306"/>
  <c r="O29" i="306"/>
  <c r="O30" i="306"/>
  <c r="O7" i="306"/>
  <c r="R8" i="306"/>
  <c r="R9" i="306"/>
  <c r="R12" i="306"/>
  <c r="R13" i="306"/>
  <c r="R14" i="306"/>
  <c r="R17" i="306"/>
  <c r="R18" i="306"/>
  <c r="R20" i="306"/>
  <c r="R19" i="306"/>
  <c r="R22" i="306"/>
  <c r="R23" i="306"/>
  <c r="R24" i="306"/>
  <c r="R27" i="306"/>
  <c r="R28" i="306"/>
  <c r="R29" i="306"/>
  <c r="R7" i="306"/>
  <c r="R10" i="306"/>
  <c r="U8" i="306"/>
  <c r="U9" i="306"/>
  <c r="U12" i="306"/>
  <c r="U13" i="306"/>
  <c r="U14" i="306"/>
  <c r="U17" i="306"/>
  <c r="U18" i="306"/>
  <c r="U19" i="306"/>
  <c r="U22" i="306"/>
  <c r="U23" i="306"/>
  <c r="U24" i="306"/>
  <c r="U27" i="306"/>
  <c r="U28" i="306"/>
  <c r="U29" i="306"/>
  <c r="U7" i="306"/>
  <c r="U10" i="306"/>
  <c r="D32" i="306"/>
  <c r="E32" i="306"/>
  <c r="G32" i="306"/>
  <c r="H32" i="306"/>
  <c r="J32" i="306"/>
  <c r="K32" i="306"/>
  <c r="M32" i="306"/>
  <c r="N32" i="306"/>
  <c r="P32" i="306"/>
  <c r="P33" i="306"/>
  <c r="P34" i="306"/>
  <c r="P35" i="306"/>
  <c r="P36" i="306"/>
  <c r="P37" i="306"/>
  <c r="Q32" i="306"/>
  <c r="S32" i="306"/>
  <c r="T32" i="306"/>
  <c r="D33" i="306"/>
  <c r="E33" i="306"/>
  <c r="G33" i="306"/>
  <c r="H33" i="306"/>
  <c r="J33" i="306"/>
  <c r="K33" i="306"/>
  <c r="K38" i="306"/>
  <c r="M33" i="306"/>
  <c r="N33" i="306"/>
  <c r="Q33" i="306"/>
  <c r="S33" i="306"/>
  <c r="T33" i="306"/>
  <c r="D34" i="306"/>
  <c r="F34" i="306"/>
  <c r="E34" i="306"/>
  <c r="G34" i="306"/>
  <c r="H34" i="306"/>
  <c r="J34" i="306"/>
  <c r="L34" i="306"/>
  <c r="K34" i="306"/>
  <c r="M34" i="306"/>
  <c r="O34" i="306"/>
  <c r="N34" i="306"/>
  <c r="Q34" i="306"/>
  <c r="R34" i="306"/>
  <c r="R33" i="306"/>
  <c r="Q35" i="306"/>
  <c r="R35" i="306"/>
  <c r="Q36" i="306"/>
  <c r="Q37" i="306"/>
  <c r="R37" i="306"/>
  <c r="S34" i="306"/>
  <c r="T34" i="306"/>
  <c r="D35" i="306"/>
  <c r="E35" i="306"/>
  <c r="E38" i="306"/>
  <c r="G35" i="306"/>
  <c r="I35" i="306"/>
  <c r="H35" i="306"/>
  <c r="J35" i="306"/>
  <c r="K35" i="306"/>
  <c r="L35" i="306"/>
  <c r="M35" i="306"/>
  <c r="N35" i="306"/>
  <c r="S35" i="306"/>
  <c r="T35" i="306"/>
  <c r="U35" i="306"/>
  <c r="D36" i="306"/>
  <c r="E36" i="306"/>
  <c r="G36" i="306"/>
  <c r="H36" i="306"/>
  <c r="J36" i="306"/>
  <c r="K36" i="306"/>
  <c r="M36" i="306"/>
  <c r="N36" i="306"/>
  <c r="O36" i="306"/>
  <c r="S36" i="306"/>
  <c r="T36" i="306"/>
  <c r="D37" i="306"/>
  <c r="E37" i="306"/>
  <c r="F37" i="306"/>
  <c r="G37" i="306"/>
  <c r="H37" i="306"/>
  <c r="J37" i="306"/>
  <c r="K37" i="306"/>
  <c r="M37" i="306"/>
  <c r="O37" i="306"/>
  <c r="N37" i="306"/>
  <c r="S37" i="306"/>
  <c r="T37" i="306"/>
  <c r="D30" i="306"/>
  <c r="E30" i="306"/>
  <c r="G30" i="306"/>
  <c r="H30" i="306"/>
  <c r="J30" i="306"/>
  <c r="K30" i="306"/>
  <c r="M30" i="306"/>
  <c r="N30" i="306"/>
  <c r="S30" i="306"/>
  <c r="T30" i="306"/>
  <c r="M25" i="306"/>
  <c r="N25" i="306"/>
  <c r="S25" i="306"/>
  <c r="T25" i="306"/>
  <c r="D20" i="306"/>
  <c r="E20" i="306"/>
  <c r="G20" i="306"/>
  <c r="H20" i="306"/>
  <c r="J20" i="306"/>
  <c r="K20" i="306"/>
  <c r="M20" i="306"/>
  <c r="N20" i="306"/>
  <c r="S20" i="306"/>
  <c r="T20" i="306"/>
  <c r="D15" i="306"/>
  <c r="E15" i="306"/>
  <c r="G15" i="306"/>
  <c r="H15" i="306"/>
  <c r="J15" i="306"/>
  <c r="K15" i="306"/>
  <c r="M15" i="306"/>
  <c r="N15" i="306"/>
  <c r="S15" i="306"/>
  <c r="T15" i="306"/>
  <c r="D10" i="306"/>
  <c r="E10" i="306"/>
  <c r="G10" i="306"/>
  <c r="H10" i="306"/>
  <c r="J10" i="306"/>
  <c r="K10" i="306"/>
  <c r="M10" i="306"/>
  <c r="N10" i="306"/>
  <c r="S10" i="306"/>
  <c r="T10" i="306"/>
  <c r="U30" i="306"/>
  <c r="U34" i="306"/>
  <c r="F32" i="306"/>
  <c r="D38" i="306"/>
  <c r="G38" i="306"/>
  <c r="L33" i="306"/>
  <c r="L32" i="306"/>
  <c r="J38" i="306"/>
  <c r="Q38" i="306"/>
  <c r="M38" i="306"/>
  <c r="W32" i="306"/>
  <c r="W33" i="306"/>
  <c r="W34" i="306"/>
  <c r="W35" i="306"/>
  <c r="W36" i="306"/>
  <c r="W37" i="306"/>
  <c r="V37" i="306"/>
  <c r="V36" i="306"/>
  <c r="V35" i="306"/>
  <c r="V34" i="306"/>
  <c r="V33" i="306"/>
  <c r="V32" i="306"/>
  <c r="X28" i="306"/>
  <c r="X29" i="306"/>
  <c r="X27" i="306"/>
  <c r="W30" i="306"/>
  <c r="V30" i="306"/>
  <c r="X23" i="306"/>
  <c r="X24" i="306"/>
  <c r="X22" i="306"/>
  <c r="W25" i="306"/>
  <c r="V25" i="306"/>
  <c r="X18" i="306"/>
  <c r="X19" i="306"/>
  <c r="X17" i="306"/>
  <c r="X7" i="306"/>
  <c r="X8" i="306"/>
  <c r="X12" i="306"/>
  <c r="X9" i="306"/>
  <c r="X13" i="306"/>
  <c r="X36" i="306"/>
  <c r="X14" i="306"/>
  <c r="X37" i="306"/>
  <c r="W20" i="306"/>
  <c r="V20" i="306"/>
  <c r="W15" i="306"/>
  <c r="V15" i="306"/>
  <c r="W10" i="306"/>
  <c r="V10" i="306"/>
  <c r="F115" i="287"/>
  <c r="F116" i="287"/>
  <c r="C130" i="287"/>
  <c r="D130" i="287"/>
  <c r="E130" i="287"/>
  <c r="C134" i="287"/>
  <c r="D134" i="287"/>
  <c r="E134" i="287"/>
  <c r="C139" i="287"/>
  <c r="D139" i="287"/>
  <c r="E139" i="287"/>
  <c r="C144" i="287"/>
  <c r="F117" i="287"/>
  <c r="F124" i="287"/>
  <c r="F123" i="287"/>
  <c r="F122" i="287"/>
  <c r="F121" i="287"/>
  <c r="F120" i="287"/>
  <c r="F113" i="287"/>
  <c r="F112" i="287"/>
  <c r="F111" i="287"/>
  <c r="F110" i="287"/>
  <c r="F108" i="287"/>
  <c r="F107" i="287"/>
  <c r="F106" i="287"/>
  <c r="F105" i="287"/>
  <c r="F103" i="287"/>
  <c r="F102" i="287"/>
  <c r="F101" i="287"/>
  <c r="F86" i="288"/>
  <c r="E86" i="288"/>
  <c r="G85" i="288"/>
  <c r="G84" i="288"/>
  <c r="G83" i="288"/>
  <c r="G82" i="288"/>
  <c r="G81" i="288"/>
  <c r="G80" i="288"/>
  <c r="C86" i="288"/>
  <c r="B86" i="288"/>
  <c r="D85" i="288"/>
  <c r="D84" i="288"/>
  <c r="D83" i="288"/>
  <c r="D82" i="288"/>
  <c r="D81" i="288"/>
  <c r="D86" i="288"/>
  <c r="D80" i="288"/>
  <c r="F61" i="288"/>
  <c r="C61" i="288"/>
  <c r="B61" i="288"/>
  <c r="F75" i="288"/>
  <c r="E75" i="288"/>
  <c r="C75" i="288"/>
  <c r="B75" i="288"/>
  <c r="I74" i="288"/>
  <c r="H74" i="288"/>
  <c r="G74" i="288"/>
  <c r="D74" i="288"/>
  <c r="I73" i="288"/>
  <c r="H73" i="288"/>
  <c r="G73" i="288"/>
  <c r="D73" i="288"/>
  <c r="I72" i="288"/>
  <c r="H72" i="288"/>
  <c r="G72" i="288"/>
  <c r="D72" i="288"/>
  <c r="I71" i="288"/>
  <c r="H71" i="288"/>
  <c r="G71" i="288"/>
  <c r="D71" i="288"/>
  <c r="I70" i="288"/>
  <c r="H70" i="288"/>
  <c r="G70" i="288"/>
  <c r="D70" i="288"/>
  <c r="I69" i="288"/>
  <c r="H69" i="288"/>
  <c r="G69" i="288"/>
  <c r="D69" i="288"/>
  <c r="D75" i="288"/>
  <c r="I60" i="288"/>
  <c r="H60" i="288"/>
  <c r="G60" i="288"/>
  <c r="D60" i="288"/>
  <c r="I59" i="288"/>
  <c r="H59" i="288"/>
  <c r="G59" i="288"/>
  <c r="D59" i="288"/>
  <c r="I58" i="288"/>
  <c r="H58" i="288"/>
  <c r="G58" i="288"/>
  <c r="D58" i="288"/>
  <c r="I57" i="288"/>
  <c r="H57" i="288"/>
  <c r="G57" i="288"/>
  <c r="D57" i="288"/>
  <c r="I56" i="288"/>
  <c r="H56" i="288"/>
  <c r="G56" i="288"/>
  <c r="D56" i="288"/>
  <c r="I55" i="288"/>
  <c r="H55" i="288"/>
  <c r="G55" i="288"/>
  <c r="D55" i="288"/>
  <c r="D61" i="288"/>
  <c r="I44" i="288"/>
  <c r="I45" i="288"/>
  <c r="H45" i="288"/>
  <c r="I46" i="288"/>
  <c r="I47" i="288"/>
  <c r="I48" i="288"/>
  <c r="I43" i="288"/>
  <c r="H43" i="288"/>
  <c r="J43" i="288"/>
  <c r="H44" i="288"/>
  <c r="H46" i="288"/>
  <c r="H47" i="288"/>
  <c r="H48" i="288"/>
  <c r="M12" i="288"/>
  <c r="F49" i="288"/>
  <c r="E49" i="288"/>
  <c r="C49" i="288"/>
  <c r="G48" i="288"/>
  <c r="D48" i="288"/>
  <c r="G47" i="288"/>
  <c r="D47" i="288"/>
  <c r="G46" i="288"/>
  <c r="D46" i="288"/>
  <c r="G45" i="288"/>
  <c r="D45" i="288"/>
  <c r="D49" i="288"/>
  <c r="G44" i="288"/>
  <c r="D44" i="288"/>
  <c r="D43" i="288"/>
  <c r="G43" i="288"/>
  <c r="I8" i="303"/>
  <c r="I9" i="303"/>
  <c r="AD77" i="270"/>
  <c r="AD72" i="270"/>
  <c r="AD78" i="270" s="1"/>
  <c r="AD63" i="270"/>
  <c r="AD55" i="270"/>
  <c r="AC18" i="271" s="1"/>
  <c r="AD48" i="270"/>
  <c r="AD36" i="270"/>
  <c r="AC16" i="271" s="1"/>
  <c r="AD24" i="270"/>
  <c r="AD25" i="270" s="1"/>
  <c r="AD15" i="270"/>
  <c r="AD20" i="270"/>
  <c r="BL61" i="278"/>
  <c r="BH61" i="278"/>
  <c r="C246" i="319"/>
  <c r="E241" i="319"/>
  <c r="F241" i="319"/>
  <c r="D241" i="319"/>
  <c r="C241" i="319"/>
  <c r="F240" i="319"/>
  <c r="F239" i="319"/>
  <c r="F238" i="319"/>
  <c r="E236" i="319"/>
  <c r="E248" i="319"/>
  <c r="D236" i="319"/>
  <c r="C236" i="319"/>
  <c r="F235" i="319"/>
  <c r="F234" i="319"/>
  <c r="F233" i="319"/>
  <c r="E231" i="319"/>
  <c r="D231" i="319"/>
  <c r="C231" i="319"/>
  <c r="C248" i="319"/>
  <c r="F230" i="319"/>
  <c r="F229" i="319"/>
  <c r="F228" i="319"/>
  <c r="F219" i="319"/>
  <c r="E219" i="319"/>
  <c r="D219" i="319"/>
  <c r="C219" i="319"/>
  <c r="G218" i="319"/>
  <c r="G217" i="319"/>
  <c r="G216" i="319"/>
  <c r="F214" i="319"/>
  <c r="E214" i="319"/>
  <c r="G214" i="319"/>
  <c r="D214" i="319"/>
  <c r="C214" i="319"/>
  <c r="G213" i="319"/>
  <c r="G212" i="319"/>
  <c r="G211" i="319"/>
  <c r="F209" i="319"/>
  <c r="G209" i="319"/>
  <c r="E209" i="319"/>
  <c r="D209" i="319"/>
  <c r="C209" i="319"/>
  <c r="G208" i="319"/>
  <c r="H208" i="319"/>
  <c r="G207" i="319"/>
  <c r="H207" i="319"/>
  <c r="G206" i="319"/>
  <c r="H206" i="319"/>
  <c r="F204" i="319"/>
  <c r="E204" i="319"/>
  <c r="D204" i="319"/>
  <c r="C204" i="319"/>
  <c r="G203" i="319"/>
  <c r="H203" i="319"/>
  <c r="G202" i="319"/>
  <c r="H202" i="319"/>
  <c r="G201" i="319"/>
  <c r="H201" i="319"/>
  <c r="F199" i="319"/>
  <c r="E199" i="319"/>
  <c r="D199" i="319"/>
  <c r="C199" i="319"/>
  <c r="G198" i="319"/>
  <c r="H198" i="319"/>
  <c r="G197" i="319"/>
  <c r="H197" i="319"/>
  <c r="G196" i="319"/>
  <c r="H196" i="319"/>
  <c r="F187" i="319"/>
  <c r="E187" i="319"/>
  <c r="G187" i="319"/>
  <c r="H187" i="319"/>
  <c r="I187" i="319"/>
  <c r="D187" i="319"/>
  <c r="C187" i="319"/>
  <c r="G186" i="319"/>
  <c r="H186" i="319"/>
  <c r="I186" i="319"/>
  <c r="G185" i="319"/>
  <c r="H185" i="319"/>
  <c r="I185" i="319"/>
  <c r="G184" i="319"/>
  <c r="H184" i="319"/>
  <c r="I184" i="319"/>
  <c r="F182" i="319"/>
  <c r="E182" i="319"/>
  <c r="D182" i="319"/>
  <c r="C182" i="319"/>
  <c r="G181" i="319"/>
  <c r="G180" i="319"/>
  <c r="G179" i="319"/>
  <c r="F177" i="319"/>
  <c r="E177" i="319"/>
  <c r="D177" i="319"/>
  <c r="C177" i="319"/>
  <c r="G176" i="319"/>
  <c r="H176" i="319"/>
  <c r="I176" i="319"/>
  <c r="G175" i="319"/>
  <c r="H175" i="319"/>
  <c r="I175" i="319"/>
  <c r="G174" i="319"/>
  <c r="H174" i="319"/>
  <c r="I174" i="319"/>
  <c r="F172" i="319"/>
  <c r="E172" i="319"/>
  <c r="D172" i="319"/>
  <c r="C172" i="319"/>
  <c r="G171" i="319"/>
  <c r="H171" i="319"/>
  <c r="I171" i="319"/>
  <c r="G170" i="319"/>
  <c r="H170" i="319"/>
  <c r="I170" i="319"/>
  <c r="G169" i="319"/>
  <c r="H169" i="319"/>
  <c r="I169" i="319"/>
  <c r="F167" i="319"/>
  <c r="E167" i="319"/>
  <c r="D167" i="319"/>
  <c r="C167" i="319"/>
  <c r="G166" i="319"/>
  <c r="H166" i="319"/>
  <c r="I166" i="319"/>
  <c r="G165" i="319"/>
  <c r="H165" i="319"/>
  <c r="I165" i="319"/>
  <c r="G164" i="319"/>
  <c r="H164" i="319"/>
  <c r="I164" i="319"/>
  <c r="F155" i="319"/>
  <c r="E155" i="319"/>
  <c r="D155" i="319"/>
  <c r="C155" i="319"/>
  <c r="G154" i="319"/>
  <c r="H154" i="319"/>
  <c r="I154" i="319"/>
  <c r="G153" i="319"/>
  <c r="H153" i="319"/>
  <c r="I153" i="319"/>
  <c r="G152" i="319"/>
  <c r="H152" i="319"/>
  <c r="I152" i="319"/>
  <c r="F150" i="319"/>
  <c r="E150" i="319"/>
  <c r="D150" i="319"/>
  <c r="C150" i="319"/>
  <c r="G149" i="319"/>
  <c r="G148" i="319"/>
  <c r="G147" i="319"/>
  <c r="F145" i="319"/>
  <c r="E145" i="319"/>
  <c r="D145" i="319"/>
  <c r="C145" i="319"/>
  <c r="G144" i="319"/>
  <c r="H144" i="319"/>
  <c r="I144" i="319"/>
  <c r="G143" i="319"/>
  <c r="H143" i="319"/>
  <c r="I143" i="319"/>
  <c r="G142" i="319"/>
  <c r="H142" i="319"/>
  <c r="I142" i="319"/>
  <c r="F140" i="319"/>
  <c r="E140" i="319"/>
  <c r="G140" i="319"/>
  <c r="H140" i="319"/>
  <c r="I140" i="319"/>
  <c r="D140" i="319"/>
  <c r="C140" i="319"/>
  <c r="G139" i="319"/>
  <c r="H139" i="319"/>
  <c r="I139" i="319"/>
  <c r="G138" i="319"/>
  <c r="H138" i="319"/>
  <c r="I138" i="319"/>
  <c r="G137" i="319"/>
  <c r="H137" i="319"/>
  <c r="I137" i="319"/>
  <c r="F135" i="319"/>
  <c r="E135" i="319"/>
  <c r="D135" i="319"/>
  <c r="C135" i="319"/>
  <c r="G134" i="319"/>
  <c r="H134" i="319"/>
  <c r="I134" i="319"/>
  <c r="G133" i="319"/>
  <c r="H133" i="319"/>
  <c r="I133" i="319"/>
  <c r="G132" i="319"/>
  <c r="H132" i="319"/>
  <c r="I132" i="319"/>
  <c r="F123" i="319"/>
  <c r="F125" i="319"/>
  <c r="E123" i="319"/>
  <c r="D123" i="319"/>
  <c r="C123" i="319"/>
  <c r="G122" i="319"/>
  <c r="H122" i="319"/>
  <c r="J122" i="319"/>
  <c r="G121" i="319"/>
  <c r="H121" i="319"/>
  <c r="J121" i="319"/>
  <c r="G120" i="319"/>
  <c r="H120" i="319"/>
  <c r="J120" i="319"/>
  <c r="F118" i="319"/>
  <c r="E118" i="319"/>
  <c r="D118" i="319"/>
  <c r="C118" i="319"/>
  <c r="G117" i="319"/>
  <c r="I117" i="319"/>
  <c r="G116" i="319"/>
  <c r="I116" i="319"/>
  <c r="G115" i="319"/>
  <c r="I115" i="319"/>
  <c r="F113" i="319"/>
  <c r="E113" i="319"/>
  <c r="E125" i="319"/>
  <c r="D113" i="319"/>
  <c r="C113" i="319"/>
  <c r="G112" i="319"/>
  <c r="H112" i="319"/>
  <c r="J112" i="319"/>
  <c r="G111" i="319"/>
  <c r="H111" i="319"/>
  <c r="J111" i="319"/>
  <c r="G110" i="319"/>
  <c r="H110" i="319"/>
  <c r="J110" i="319"/>
  <c r="F108" i="319"/>
  <c r="E108" i="319"/>
  <c r="D108" i="319"/>
  <c r="C108" i="319"/>
  <c r="G107" i="319"/>
  <c r="H107" i="319"/>
  <c r="J107" i="319"/>
  <c r="G106" i="319"/>
  <c r="H106" i="319"/>
  <c r="J106" i="319"/>
  <c r="G105" i="319"/>
  <c r="H105" i="319"/>
  <c r="J105" i="319"/>
  <c r="F103" i="319"/>
  <c r="E103" i="319"/>
  <c r="D103" i="319"/>
  <c r="I103" i="319"/>
  <c r="C103" i="319"/>
  <c r="G102" i="319"/>
  <c r="H102" i="319"/>
  <c r="J102" i="319"/>
  <c r="G101" i="319"/>
  <c r="H101" i="319"/>
  <c r="J101" i="319"/>
  <c r="G100" i="319"/>
  <c r="H100" i="319"/>
  <c r="J100" i="319"/>
  <c r="E242" i="318"/>
  <c r="D242" i="318"/>
  <c r="C242" i="318"/>
  <c r="F241" i="318"/>
  <c r="F240" i="318"/>
  <c r="F239" i="318"/>
  <c r="E237" i="318"/>
  <c r="D237" i="318"/>
  <c r="C237" i="318"/>
  <c r="F236" i="318"/>
  <c r="F235" i="318"/>
  <c r="F234" i="318"/>
  <c r="E232" i="318"/>
  <c r="D232" i="318"/>
  <c r="C232" i="318"/>
  <c r="F231" i="318"/>
  <c r="F230" i="318"/>
  <c r="F229" i="318"/>
  <c r="K220" i="318"/>
  <c r="J220" i="318"/>
  <c r="I220" i="318"/>
  <c r="H220" i="318"/>
  <c r="E220" i="318"/>
  <c r="D220" i="318"/>
  <c r="C220" i="318"/>
  <c r="L217" i="318"/>
  <c r="L220" i="318"/>
  <c r="F217" i="318"/>
  <c r="F220" i="318"/>
  <c r="K215" i="318"/>
  <c r="J215" i="318"/>
  <c r="I215" i="318"/>
  <c r="H215" i="318"/>
  <c r="E215" i="318"/>
  <c r="D215" i="318"/>
  <c r="C215" i="318"/>
  <c r="L214" i="318"/>
  <c r="F214" i="318"/>
  <c r="F215" i="318"/>
  <c r="L213" i="318"/>
  <c r="F213" i="318"/>
  <c r="L212" i="318"/>
  <c r="F212" i="318"/>
  <c r="K210" i="318"/>
  <c r="J210" i="318"/>
  <c r="I210" i="318"/>
  <c r="H210" i="318"/>
  <c r="E210" i="318"/>
  <c r="D210" i="318"/>
  <c r="C210" i="318"/>
  <c r="L209" i="318"/>
  <c r="F209" i="318"/>
  <c r="L208" i="318"/>
  <c r="F208" i="318"/>
  <c r="L207" i="318"/>
  <c r="F207" i="318"/>
  <c r="K205" i="318"/>
  <c r="J205" i="318"/>
  <c r="I205" i="318"/>
  <c r="H205" i="318"/>
  <c r="E205" i="318"/>
  <c r="D205" i="318"/>
  <c r="C205" i="318"/>
  <c r="C222" i="318"/>
  <c r="L204" i="318"/>
  <c r="F204" i="318"/>
  <c r="L203" i="318"/>
  <c r="F203" i="318"/>
  <c r="L202" i="318"/>
  <c r="F202" i="318"/>
  <c r="F205" i="318"/>
  <c r="K191" i="318"/>
  <c r="J191" i="318"/>
  <c r="I191" i="318"/>
  <c r="H191" i="318"/>
  <c r="E191" i="318"/>
  <c r="D191" i="318"/>
  <c r="C191" i="318"/>
  <c r="L190" i="318"/>
  <c r="F190" i="318"/>
  <c r="L189" i="318"/>
  <c r="F189" i="318"/>
  <c r="K187" i="318"/>
  <c r="J187" i="318"/>
  <c r="I187" i="318"/>
  <c r="H187" i="318"/>
  <c r="E187" i="318"/>
  <c r="D187" i="318"/>
  <c r="C187" i="318"/>
  <c r="L186" i="318"/>
  <c r="F186" i="318"/>
  <c r="L185" i="318"/>
  <c r="F185" i="318"/>
  <c r="L184" i="318"/>
  <c r="F184" i="318"/>
  <c r="F187" i="318"/>
  <c r="K182" i="318"/>
  <c r="J182" i="318"/>
  <c r="I182" i="318"/>
  <c r="H182" i="318"/>
  <c r="E182" i="318"/>
  <c r="D182" i="318"/>
  <c r="C182" i="318"/>
  <c r="L181" i="318"/>
  <c r="F181" i="318"/>
  <c r="L180" i="318"/>
  <c r="F180" i="318"/>
  <c r="L179" i="318"/>
  <c r="F179" i="318"/>
  <c r="K177" i="318"/>
  <c r="J177" i="318"/>
  <c r="I177" i="318"/>
  <c r="H177" i="318"/>
  <c r="E177" i="318"/>
  <c r="D177" i="318"/>
  <c r="C177" i="318"/>
  <c r="F176" i="318"/>
  <c r="M176" i="318"/>
  <c r="N176" i="318"/>
  <c r="F175" i="318"/>
  <c r="M175" i="318"/>
  <c r="N175" i="318"/>
  <c r="L174" i="318"/>
  <c r="L177" i="318"/>
  <c r="F174" i="318"/>
  <c r="K172" i="318"/>
  <c r="J172" i="318"/>
  <c r="I172" i="318"/>
  <c r="H172" i="318"/>
  <c r="E172" i="318"/>
  <c r="D172" i="318"/>
  <c r="C172" i="318"/>
  <c r="L171" i="318"/>
  <c r="F171" i="318"/>
  <c r="L170" i="318"/>
  <c r="F170" i="318"/>
  <c r="L169" i="318"/>
  <c r="F169" i="318"/>
  <c r="F162" i="318"/>
  <c r="K158" i="318"/>
  <c r="J158" i="318"/>
  <c r="I158" i="318"/>
  <c r="H158" i="318"/>
  <c r="E158" i="318"/>
  <c r="D158" i="318"/>
  <c r="C158" i="318"/>
  <c r="L157" i="318"/>
  <c r="F157" i="318"/>
  <c r="L156" i="318"/>
  <c r="F156" i="318"/>
  <c r="K154" i="318"/>
  <c r="J154" i="318"/>
  <c r="I154" i="318"/>
  <c r="H154" i="318"/>
  <c r="E154" i="318"/>
  <c r="D154" i="318"/>
  <c r="C154" i="318"/>
  <c r="L153" i="318"/>
  <c r="M153" i="318"/>
  <c r="N153" i="318"/>
  <c r="F153" i="318"/>
  <c r="L152" i="318"/>
  <c r="F152" i="318"/>
  <c r="L151" i="318"/>
  <c r="F151" i="318"/>
  <c r="K149" i="318"/>
  <c r="J149" i="318"/>
  <c r="I149" i="318"/>
  <c r="H149" i="318"/>
  <c r="E149" i="318"/>
  <c r="D149" i="318"/>
  <c r="C149" i="318"/>
  <c r="L148" i="318"/>
  <c r="F148" i="318"/>
  <c r="L147" i="318"/>
  <c r="F147" i="318"/>
  <c r="L146" i="318"/>
  <c r="L149" i="318"/>
  <c r="F146" i="318"/>
  <c r="K144" i="318"/>
  <c r="J144" i="318"/>
  <c r="I144" i="318"/>
  <c r="H144" i="318"/>
  <c r="E144" i="318"/>
  <c r="D144" i="318"/>
  <c r="C144" i="318"/>
  <c r="L143" i="318"/>
  <c r="F143" i="318"/>
  <c r="F142" i="318"/>
  <c r="M142" i="318"/>
  <c r="N142" i="318"/>
  <c r="L141" i="318"/>
  <c r="F141" i="318"/>
  <c r="K139" i="318"/>
  <c r="J139" i="318"/>
  <c r="I139" i="318"/>
  <c r="H139" i="318"/>
  <c r="E139" i="318"/>
  <c r="D139" i="318"/>
  <c r="C139" i="318"/>
  <c r="L138" i="318"/>
  <c r="F138" i="318"/>
  <c r="L137" i="318"/>
  <c r="F137" i="318"/>
  <c r="L136" i="318"/>
  <c r="F136" i="318"/>
  <c r="F129" i="318"/>
  <c r="K125" i="318"/>
  <c r="J125" i="318"/>
  <c r="I125" i="318"/>
  <c r="H125" i="318"/>
  <c r="E125" i="318"/>
  <c r="D125" i="318"/>
  <c r="C125" i="318"/>
  <c r="L124" i="318"/>
  <c r="F124" i="318"/>
  <c r="L123" i="318"/>
  <c r="F123" i="318"/>
  <c r="K121" i="318"/>
  <c r="J121" i="318"/>
  <c r="I121" i="318"/>
  <c r="H121" i="318"/>
  <c r="E121" i="318"/>
  <c r="D121" i="318"/>
  <c r="C121" i="318"/>
  <c r="L120" i="318"/>
  <c r="F120" i="318"/>
  <c r="L119" i="318"/>
  <c r="F119" i="318"/>
  <c r="L118" i="318"/>
  <c r="F118" i="318"/>
  <c r="K116" i="318"/>
  <c r="J116" i="318"/>
  <c r="I116" i="318"/>
  <c r="H116" i="318"/>
  <c r="E116" i="318"/>
  <c r="D116" i="318"/>
  <c r="C116" i="318"/>
  <c r="L115" i="318"/>
  <c r="F115" i="318"/>
  <c r="L114" i="318"/>
  <c r="F114" i="318"/>
  <c r="L113" i="318"/>
  <c r="F113" i="318"/>
  <c r="K111" i="318"/>
  <c r="J111" i="318"/>
  <c r="I111" i="318"/>
  <c r="H111" i="318"/>
  <c r="E111" i="318"/>
  <c r="D111" i="318"/>
  <c r="C111" i="318"/>
  <c r="L110" i="318"/>
  <c r="F110" i="318"/>
  <c r="L109" i="318"/>
  <c r="F109" i="318"/>
  <c r="L108" i="318"/>
  <c r="F108" i="318"/>
  <c r="M108" i="318"/>
  <c r="N108" i="318"/>
  <c r="K106" i="318"/>
  <c r="J106" i="318"/>
  <c r="I106" i="318"/>
  <c r="H106" i="318"/>
  <c r="E106" i="318"/>
  <c r="D106" i="318"/>
  <c r="C106" i="318"/>
  <c r="L105" i="318"/>
  <c r="F105" i="318"/>
  <c r="L104" i="318"/>
  <c r="M104" i="318"/>
  <c r="N104" i="318"/>
  <c r="F104" i="318"/>
  <c r="L103" i="318"/>
  <c r="F103" i="318"/>
  <c r="G103" i="319"/>
  <c r="G150" i="319"/>
  <c r="G155" i="319"/>
  <c r="H155" i="319"/>
  <c r="I155" i="319"/>
  <c r="G182" i="319"/>
  <c r="G108" i="319"/>
  <c r="G177" i="319"/>
  <c r="H177" i="319"/>
  <c r="I177" i="319"/>
  <c r="G145" i="319"/>
  <c r="H145" i="319"/>
  <c r="I145" i="319"/>
  <c r="C221" i="319"/>
  <c r="G123" i="319"/>
  <c r="I123" i="319"/>
  <c r="G172" i="319"/>
  <c r="H172" i="319"/>
  <c r="I172" i="319"/>
  <c r="I101" i="319"/>
  <c r="I102" i="319"/>
  <c r="I105" i="319"/>
  <c r="I107" i="319"/>
  <c r="I110" i="319"/>
  <c r="I111" i="319"/>
  <c r="I120" i="319"/>
  <c r="I122" i="319"/>
  <c r="E157" i="319"/>
  <c r="F189" i="319"/>
  <c r="F231" i="319"/>
  <c r="M209" i="318"/>
  <c r="G100" i="308"/>
  <c r="F23" i="311"/>
  <c r="F100" i="308"/>
  <c r="E23" i="311"/>
  <c r="G97" i="308"/>
  <c r="F22" i="311"/>
  <c r="F97" i="308"/>
  <c r="E22" i="311"/>
  <c r="G94" i="308"/>
  <c r="F21" i="311"/>
  <c r="F94" i="308"/>
  <c r="E21" i="311"/>
  <c r="G90" i="308"/>
  <c r="F13" i="311"/>
  <c r="F36" i="311"/>
  <c r="F90" i="308"/>
  <c r="E13" i="311"/>
  <c r="E36" i="311"/>
  <c r="G85" i="308"/>
  <c r="F12" i="311"/>
  <c r="F35" i="311"/>
  <c r="F85" i="308"/>
  <c r="E12" i="311"/>
  <c r="G81" i="308"/>
  <c r="G91" i="308"/>
  <c r="F81" i="308"/>
  <c r="E11" i="311"/>
  <c r="G76" i="308"/>
  <c r="G71" i="308"/>
  <c r="F27" i="311"/>
  <c r="G62" i="308"/>
  <c r="G77" i="308"/>
  <c r="F76" i="308"/>
  <c r="F71" i="308"/>
  <c r="E27" i="311"/>
  <c r="F62" i="308"/>
  <c r="E26" i="311"/>
  <c r="G47" i="308"/>
  <c r="F17" i="311"/>
  <c r="F47" i="308"/>
  <c r="E17" i="311"/>
  <c r="G35" i="308"/>
  <c r="F16" i="311"/>
  <c r="F35" i="308"/>
  <c r="E16" i="311"/>
  <c r="G24" i="308"/>
  <c r="F24" i="308"/>
  <c r="E8" i="311"/>
  <c r="G20" i="308"/>
  <c r="F7" i="311"/>
  <c r="F20" i="308"/>
  <c r="E7" i="311"/>
  <c r="G15" i="308"/>
  <c r="G25" i="308"/>
  <c r="F15" i="308"/>
  <c r="E6" i="311"/>
  <c r="Y102" i="270"/>
  <c r="X23" i="271"/>
  <c r="X33" i="271"/>
  <c r="Z102" i="270"/>
  <c r="Y23" i="271"/>
  <c r="Y33" i="271"/>
  <c r="AA102" i="270"/>
  <c r="Z23" i="271"/>
  <c r="AB102" i="270"/>
  <c r="AA23" i="271"/>
  <c r="AC102" i="270"/>
  <c r="AD102" i="270"/>
  <c r="AC23" i="271"/>
  <c r="AE102" i="270"/>
  <c r="AD23" i="271"/>
  <c r="AE55" i="270"/>
  <c r="AE72" i="270"/>
  <c r="AD27" i="271"/>
  <c r="X102" i="270"/>
  <c r="X99" i="270"/>
  <c r="X96" i="270"/>
  <c r="W21" i="271"/>
  <c r="W31" i="271"/>
  <c r="W22" i="271"/>
  <c r="Y96" i="270"/>
  <c r="X21" i="271"/>
  <c r="X31" i="271"/>
  <c r="Z96" i="270"/>
  <c r="AA96" i="270"/>
  <c r="Z21" i="271"/>
  <c r="Z31" i="271"/>
  <c r="AB96" i="270"/>
  <c r="AA21" i="271"/>
  <c r="AC96" i="270"/>
  <c r="AB21" i="271"/>
  <c r="AD96" i="270"/>
  <c r="AE96" i="270"/>
  <c r="AD21" i="271"/>
  <c r="AB23" i="271"/>
  <c r="W32" i="271"/>
  <c r="W34" i="271"/>
  <c r="W35" i="271"/>
  <c r="W36" i="271"/>
  <c r="AE99" i="270"/>
  <c r="AD22" i="271"/>
  <c r="AC21" i="271"/>
  <c r="Y21" i="271"/>
  <c r="Y31" i="271"/>
  <c r="Z99" i="270"/>
  <c r="Y22" i="271"/>
  <c r="Y32" i="271"/>
  <c r="Y34" i="271"/>
  <c r="Y35" i="271"/>
  <c r="Y36" i="271"/>
  <c r="K301" i="285"/>
  <c r="L301" i="285"/>
  <c r="B260" i="285"/>
  <c r="L360" i="285"/>
  <c r="K360" i="285"/>
  <c r="L399" i="285"/>
  <c r="K399" i="285"/>
  <c r="L398" i="285"/>
  <c r="K398" i="285"/>
  <c r="L397" i="285"/>
  <c r="K397" i="285"/>
  <c r="L395" i="285"/>
  <c r="K395" i="285"/>
  <c r="L394" i="285"/>
  <c r="K394" i="285"/>
  <c r="L393" i="285"/>
  <c r="K393" i="285"/>
  <c r="L392" i="285"/>
  <c r="K392" i="285"/>
  <c r="K400" i="285"/>
  <c r="L391" i="285"/>
  <c r="K391" i="285"/>
  <c r="L390" i="285"/>
  <c r="K390" i="285"/>
  <c r="L389" i="285"/>
  <c r="K389" i="285"/>
  <c r="L388" i="285"/>
  <c r="K388" i="285"/>
  <c r="L379" i="285"/>
  <c r="K379" i="285"/>
  <c r="L373" i="285"/>
  <c r="K373" i="285"/>
  <c r="L346" i="285"/>
  <c r="K346" i="285"/>
  <c r="L331" i="285"/>
  <c r="K331" i="285"/>
  <c r="K347" i="285"/>
  <c r="L321" i="285"/>
  <c r="K321" i="285"/>
  <c r="L315" i="285"/>
  <c r="K315" i="285"/>
  <c r="L400" i="285"/>
  <c r="C286" i="285"/>
  <c r="B286" i="285"/>
  <c r="G285" i="285"/>
  <c r="C284" i="285"/>
  <c r="B284" i="285"/>
  <c r="C281" i="285"/>
  <c r="C279" i="285"/>
  <c r="C277" i="285"/>
  <c r="G275" i="285"/>
  <c r="F275" i="285"/>
  <c r="C275" i="285"/>
  <c r="C288" i="285"/>
  <c r="F274" i="285"/>
  <c r="F273" i="285"/>
  <c r="L272" i="285"/>
  <c r="K272" i="285"/>
  <c r="C272" i="285"/>
  <c r="B272" i="285"/>
  <c r="F271" i="285"/>
  <c r="G270" i="285"/>
  <c r="G290" i="285"/>
  <c r="F270" i="285"/>
  <c r="G268" i="285"/>
  <c r="F268" i="285"/>
  <c r="C268" i="285"/>
  <c r="B268" i="285"/>
  <c r="B288" i="285"/>
  <c r="K240" i="285"/>
  <c r="L234" i="285"/>
  <c r="L240" i="285"/>
  <c r="F257" i="285"/>
  <c r="F252" i="285"/>
  <c r="F244" i="285"/>
  <c r="G243" i="285"/>
  <c r="G260" i="285"/>
  <c r="F243" i="285"/>
  <c r="F242" i="285"/>
  <c r="F238" i="285"/>
  <c r="F235" i="285"/>
  <c r="C257" i="285"/>
  <c r="C253" i="285"/>
  <c r="G224" i="285"/>
  <c r="F224" i="285"/>
  <c r="C224" i="285"/>
  <c r="B224" i="285"/>
  <c r="G223" i="285"/>
  <c r="F223" i="285"/>
  <c r="G222" i="285"/>
  <c r="F222" i="285"/>
  <c r="G221" i="285"/>
  <c r="F221" i="285"/>
  <c r="C221" i="285"/>
  <c r="B221" i="285"/>
  <c r="G220" i="285"/>
  <c r="F220" i="285"/>
  <c r="C220" i="285"/>
  <c r="B220" i="285"/>
  <c r="G219" i="285"/>
  <c r="F219" i="285"/>
  <c r="C219" i="285"/>
  <c r="B219" i="285"/>
  <c r="K218" i="285"/>
  <c r="C218" i="285"/>
  <c r="B218" i="285"/>
  <c r="C217" i="285"/>
  <c r="B217" i="285"/>
  <c r="L216" i="285"/>
  <c r="L222" i="285"/>
  <c r="K216" i="285"/>
  <c r="C216" i="285"/>
  <c r="B216" i="285"/>
  <c r="G213" i="285"/>
  <c r="F213" i="285"/>
  <c r="C213" i="285"/>
  <c r="B213" i="285"/>
  <c r="C212" i="285"/>
  <c r="G211" i="285"/>
  <c r="F211" i="285"/>
  <c r="C211" i="285"/>
  <c r="G210" i="285"/>
  <c r="F210" i="285"/>
  <c r="C210" i="285"/>
  <c r="B210" i="285"/>
  <c r="G209" i="285"/>
  <c r="F209" i="285"/>
  <c r="C209" i="285"/>
  <c r="B209" i="285"/>
  <c r="C208" i="285"/>
  <c r="B208" i="285"/>
  <c r="C207" i="285"/>
  <c r="B207" i="285"/>
  <c r="G206" i="285"/>
  <c r="F206" i="285"/>
  <c r="C206" i="285"/>
  <c r="B206" i="285"/>
  <c r="G205" i="285"/>
  <c r="G226" i="285"/>
  <c r="F205" i="285"/>
  <c r="C205" i="285"/>
  <c r="B205" i="285"/>
  <c r="C204" i="285"/>
  <c r="B204" i="285"/>
  <c r="C203" i="285"/>
  <c r="B203" i="285"/>
  <c r="C202" i="285"/>
  <c r="B202" i="285"/>
  <c r="G199" i="285"/>
  <c r="F199" i="285"/>
  <c r="C199" i="285"/>
  <c r="B199" i="285"/>
  <c r="G198" i="285"/>
  <c r="F198" i="285"/>
  <c r="C198" i="285"/>
  <c r="B198" i="285"/>
  <c r="C197" i="285"/>
  <c r="B197" i="285"/>
  <c r="B196" i="285"/>
  <c r="G196" i="285"/>
  <c r="F196" i="285"/>
  <c r="C196" i="285"/>
  <c r="K222" i="285"/>
  <c r="G187" i="285"/>
  <c r="F187" i="285"/>
  <c r="G186" i="285"/>
  <c r="F186" i="285"/>
  <c r="G185" i="285"/>
  <c r="F185" i="285"/>
  <c r="G184" i="285"/>
  <c r="F184" i="285"/>
  <c r="G183" i="285"/>
  <c r="F183" i="285"/>
  <c r="G182" i="285"/>
  <c r="F182" i="285"/>
  <c r="G181" i="285"/>
  <c r="F181" i="285"/>
  <c r="G180" i="285"/>
  <c r="F180" i="285"/>
  <c r="C178" i="285"/>
  <c r="B178" i="285"/>
  <c r="G177" i="285"/>
  <c r="F177" i="285"/>
  <c r="C177" i="285"/>
  <c r="B177" i="285"/>
  <c r="K174" i="285"/>
  <c r="G173" i="285"/>
  <c r="F173" i="285"/>
  <c r="C173" i="285"/>
  <c r="B173" i="285"/>
  <c r="G172" i="285"/>
  <c r="F172" i="285"/>
  <c r="C172" i="285"/>
  <c r="B172" i="285"/>
  <c r="G171" i="285"/>
  <c r="F171" i="285"/>
  <c r="C171" i="285"/>
  <c r="B171" i="285"/>
  <c r="G170" i="285"/>
  <c r="F170" i="285"/>
  <c r="C170" i="285"/>
  <c r="B170" i="285"/>
  <c r="C169" i="285"/>
  <c r="B169" i="285"/>
  <c r="C168" i="285"/>
  <c r="B168" i="285"/>
  <c r="G167" i="285"/>
  <c r="F167" i="285"/>
  <c r="G166" i="285"/>
  <c r="F166" i="285"/>
  <c r="C166" i="285"/>
  <c r="B166" i="285"/>
  <c r="G165" i="285"/>
  <c r="F165" i="285"/>
  <c r="C164" i="285"/>
  <c r="B164" i="285"/>
  <c r="C162" i="285"/>
  <c r="B162" i="285"/>
  <c r="C161" i="285"/>
  <c r="B161" i="285"/>
  <c r="G160" i="285"/>
  <c r="F160" i="285"/>
  <c r="C160" i="285"/>
  <c r="B160" i="285"/>
  <c r="G159" i="285"/>
  <c r="F159" i="285"/>
  <c r="C159" i="285"/>
  <c r="C179" i="285"/>
  <c r="B159" i="285"/>
  <c r="F157" i="285"/>
  <c r="G157" i="285"/>
  <c r="G156" i="285"/>
  <c r="F156" i="285"/>
  <c r="C156" i="285"/>
  <c r="B156" i="285"/>
  <c r="G155" i="285"/>
  <c r="F155" i="285"/>
  <c r="C155" i="285"/>
  <c r="B155" i="285"/>
  <c r="G154" i="285"/>
  <c r="F154" i="285"/>
  <c r="C154" i="285"/>
  <c r="G153" i="285"/>
  <c r="F153" i="285"/>
  <c r="C153" i="285"/>
  <c r="B153" i="285"/>
  <c r="L152" i="285"/>
  <c r="L174" i="285"/>
  <c r="G144" i="285"/>
  <c r="F144" i="285"/>
  <c r="G142" i="285"/>
  <c r="F142" i="285"/>
  <c r="G141" i="285"/>
  <c r="F141" i="285"/>
  <c r="G136" i="285"/>
  <c r="F136" i="285"/>
  <c r="L135" i="285"/>
  <c r="K135" i="285"/>
  <c r="C134" i="285"/>
  <c r="B134" i="285"/>
  <c r="G131" i="285"/>
  <c r="F131" i="285"/>
  <c r="C130" i="285"/>
  <c r="B130" i="285"/>
  <c r="G129" i="285"/>
  <c r="F129" i="285"/>
  <c r="G128" i="285"/>
  <c r="F128" i="285"/>
  <c r="G127" i="285"/>
  <c r="G145" i="285"/>
  <c r="F127" i="285"/>
  <c r="G126" i="285"/>
  <c r="G124" i="285"/>
  <c r="F126" i="285"/>
  <c r="F124" i="285"/>
  <c r="C124" i="285"/>
  <c r="B124" i="285"/>
  <c r="C123" i="285"/>
  <c r="B123" i="285"/>
  <c r="C122" i="285"/>
  <c r="B122" i="285"/>
  <c r="C121" i="285"/>
  <c r="B121" i="285"/>
  <c r="E19" i="173"/>
  <c r="C30" i="282"/>
  <c r="D30" i="282"/>
  <c r="C31" i="282"/>
  <c r="D31" i="282"/>
  <c r="D95" i="314"/>
  <c r="E95" i="314"/>
  <c r="D90" i="314"/>
  <c r="E90" i="314"/>
  <c r="H53" i="314"/>
  <c r="G53" i="314"/>
  <c r="G54" i="314"/>
  <c r="I49" i="314"/>
  <c r="I53" i="314"/>
  <c r="E48" i="314"/>
  <c r="D48" i="314"/>
  <c r="H48" i="314"/>
  <c r="G48" i="314"/>
  <c r="F44" i="314"/>
  <c r="F48" i="314"/>
  <c r="I44" i="314"/>
  <c r="I48" i="314"/>
  <c r="E43" i="314"/>
  <c r="D43" i="314"/>
  <c r="H43" i="314"/>
  <c r="G43" i="314"/>
  <c r="F42" i="314"/>
  <c r="F43" i="314"/>
  <c r="I42" i="314"/>
  <c r="I43" i="314"/>
  <c r="E40" i="314"/>
  <c r="D40" i="314"/>
  <c r="H40" i="314"/>
  <c r="G40" i="314"/>
  <c r="F39" i="314"/>
  <c r="F40" i="314"/>
  <c r="I39" i="314"/>
  <c r="I40" i="314"/>
  <c r="E35" i="314"/>
  <c r="D35" i="314"/>
  <c r="H35" i="314"/>
  <c r="G35" i="314"/>
  <c r="F34" i="314"/>
  <c r="F35" i="314"/>
  <c r="I34" i="314"/>
  <c r="F33" i="314"/>
  <c r="I33" i="314"/>
  <c r="F32" i="314"/>
  <c r="I32" i="314"/>
  <c r="E30" i="314"/>
  <c r="D30" i="314"/>
  <c r="H30" i="314"/>
  <c r="H31" i="314"/>
  <c r="G30" i="314"/>
  <c r="F29" i="314"/>
  <c r="F30" i="314"/>
  <c r="I29" i="314"/>
  <c r="I30" i="314"/>
  <c r="E28" i="314"/>
  <c r="D28" i="314"/>
  <c r="H28" i="314"/>
  <c r="G28" i="314"/>
  <c r="G31" i="314"/>
  <c r="F27" i="314"/>
  <c r="I27" i="314"/>
  <c r="F26" i="314"/>
  <c r="I26" i="314"/>
  <c r="E24" i="314"/>
  <c r="D24" i="314"/>
  <c r="H24" i="314"/>
  <c r="G24" i="314"/>
  <c r="G25" i="314"/>
  <c r="I21" i="314"/>
  <c r="F20" i="314"/>
  <c r="I20" i="314"/>
  <c r="E19" i="314"/>
  <c r="D19" i="314"/>
  <c r="H19" i="314"/>
  <c r="G19" i="314"/>
  <c r="I18" i="314"/>
  <c r="I19" i="314"/>
  <c r="F17" i="314"/>
  <c r="I17" i="314"/>
  <c r="F16" i="314"/>
  <c r="I16" i="314"/>
  <c r="E15" i="314"/>
  <c r="D15" i="314"/>
  <c r="H15" i="314"/>
  <c r="G15" i="314"/>
  <c r="F6" i="314"/>
  <c r="I6" i="314"/>
  <c r="D24" i="312"/>
  <c r="E23" i="312"/>
  <c r="E22" i="312"/>
  <c r="E21" i="312"/>
  <c r="C24" i="312"/>
  <c r="D40" i="312"/>
  <c r="C40" i="312"/>
  <c r="E40" i="312"/>
  <c r="E8" i="312"/>
  <c r="E12" i="312"/>
  <c r="AE103" i="270"/>
  <c r="BL58" i="279"/>
  <c r="BL70" i="279"/>
  <c r="BM42" i="279"/>
  <c r="BM41" i="279"/>
  <c r="BM40" i="279"/>
  <c r="BL7" i="279"/>
  <c r="BL8" i="279"/>
  <c r="BK7" i="279"/>
  <c r="BK8" i="279"/>
  <c r="BK10" i="279"/>
  <c r="BK18" i="279"/>
  <c r="BK11" i="279"/>
  <c r="BK12" i="279"/>
  <c r="BL10" i="279"/>
  <c r="BL11" i="279"/>
  <c r="BL12" i="279"/>
  <c r="BM12" i="279"/>
  <c r="BM11" i="279"/>
  <c r="BM10" i="279"/>
  <c r="BM13" i="279"/>
  <c r="BM7" i="279"/>
  <c r="BM8" i="279"/>
  <c r="BM66" i="279"/>
  <c r="BN66" i="279"/>
  <c r="BM62" i="279"/>
  <c r="BM58" i="279"/>
  <c r="BM59" i="279"/>
  <c r="BM71" i="279"/>
  <c r="X13" i="233"/>
  <c r="X31" i="233"/>
  <c r="W13" i="233"/>
  <c r="W31" i="233"/>
  <c r="X12" i="233"/>
  <c r="X30" i="233"/>
  <c r="Y11" i="233"/>
  <c r="Y14" i="233"/>
  <c r="X11" i="233"/>
  <c r="J155" i="266"/>
  <c r="J150" i="266"/>
  <c r="J148" i="266"/>
  <c r="Y23" i="233"/>
  <c r="X23" i="233"/>
  <c r="X22" i="233"/>
  <c r="W22" i="233"/>
  <c r="Z22" i="233"/>
  <c r="Y22" i="233"/>
  <c r="Y21" i="233"/>
  <c r="X21" i="233"/>
  <c r="W21" i="233"/>
  <c r="Y18" i="233"/>
  <c r="Y28" i="233"/>
  <c r="X18" i="233"/>
  <c r="W18" i="233"/>
  <c r="Z18" i="233"/>
  <c r="Y17" i="233"/>
  <c r="X17" i="233"/>
  <c r="W17" i="233"/>
  <c r="Y16" i="233"/>
  <c r="Y26" i="233"/>
  <c r="X16" i="233"/>
  <c r="E206" i="268"/>
  <c r="F206" i="268"/>
  <c r="I206" i="268"/>
  <c r="J206" i="268"/>
  <c r="L206" i="268"/>
  <c r="F205" i="268"/>
  <c r="I205" i="268"/>
  <c r="L205" i="268"/>
  <c r="E203" i="268"/>
  <c r="G203" i="268"/>
  <c r="H203" i="268"/>
  <c r="I203" i="268"/>
  <c r="J203" i="268"/>
  <c r="L203" i="268"/>
  <c r="F199" i="268"/>
  <c r="G199" i="268"/>
  <c r="H199" i="268"/>
  <c r="I199" i="268"/>
  <c r="K199" i="268"/>
  <c r="L199" i="268"/>
  <c r="M199" i="268"/>
  <c r="F195" i="268"/>
  <c r="H195" i="268"/>
  <c r="I195" i="268"/>
  <c r="J195" i="268"/>
  <c r="K195" i="268"/>
  <c r="L195" i="268"/>
  <c r="E188" i="268"/>
  <c r="G188" i="268"/>
  <c r="I188" i="268"/>
  <c r="K188" i="268"/>
  <c r="M188" i="268"/>
  <c r="G189" i="268"/>
  <c r="I189" i="268"/>
  <c r="K189" i="268"/>
  <c r="M189" i="268"/>
  <c r="F186" i="268"/>
  <c r="G186" i="268"/>
  <c r="H186" i="268"/>
  <c r="I186" i="268"/>
  <c r="K186" i="268"/>
  <c r="M186" i="268"/>
  <c r="E182" i="268"/>
  <c r="F182" i="268"/>
  <c r="G182" i="268"/>
  <c r="I182" i="268"/>
  <c r="K182" i="268"/>
  <c r="L182" i="268"/>
  <c r="M182" i="268"/>
  <c r="E178" i="268"/>
  <c r="G178" i="268"/>
  <c r="I178" i="268"/>
  <c r="K178" i="268"/>
  <c r="M178" i="268"/>
  <c r="M216" i="268"/>
  <c r="M235" i="268" s="1"/>
  <c r="M212" i="268"/>
  <c r="L212" i="268"/>
  <c r="I204" i="268"/>
  <c r="K204" i="268"/>
  <c r="L204" i="268"/>
  <c r="E187" i="268"/>
  <c r="F187" i="268"/>
  <c r="G187" i="268"/>
  <c r="I187" i="268"/>
  <c r="K187" i="268"/>
  <c r="M187" i="268"/>
  <c r="K233" i="268"/>
  <c r="M233" i="268"/>
  <c r="I233" i="268"/>
  <c r="G190" i="268"/>
  <c r="N13" i="172"/>
  <c r="N38" i="173"/>
  <c r="BN39" i="274"/>
  <c r="BM13" i="98"/>
  <c r="BM36" i="98"/>
  <c r="BM39" i="274"/>
  <c r="BL13" i="98"/>
  <c r="BL39" i="274"/>
  <c r="BK13" i="98"/>
  <c r="BO38" i="274"/>
  <c r="O6" i="304"/>
  <c r="O6" i="303"/>
  <c r="N63" i="288"/>
  <c r="O63" i="288"/>
  <c r="P63" i="288"/>
  <c r="Q63" i="288"/>
  <c r="R63" i="288"/>
  <c r="S63" i="288"/>
  <c r="T63" i="288"/>
  <c r="U63" i="288"/>
  <c r="V63" i="288"/>
  <c r="W63" i="288"/>
  <c r="X63" i="288"/>
  <c r="M63" i="288"/>
  <c r="N115" i="288"/>
  <c r="O115" i="288"/>
  <c r="P115" i="288"/>
  <c r="Q115" i="288"/>
  <c r="R115" i="288"/>
  <c r="S115" i="288"/>
  <c r="T115" i="288"/>
  <c r="U115" i="288"/>
  <c r="V115" i="288"/>
  <c r="W115" i="288"/>
  <c r="X115" i="288"/>
  <c r="M115" i="288"/>
  <c r="X12" i="288"/>
  <c r="W12" i="288"/>
  <c r="V12" i="288"/>
  <c r="U12" i="288"/>
  <c r="T12" i="288"/>
  <c r="S12" i="288"/>
  <c r="R12" i="288"/>
  <c r="Q12" i="288"/>
  <c r="P12" i="288"/>
  <c r="O12" i="288"/>
  <c r="N12" i="288"/>
  <c r="E284" i="287"/>
  <c r="D284" i="287"/>
  <c r="C284" i="287"/>
  <c r="B284" i="287"/>
  <c r="F283" i="287"/>
  <c r="F282" i="287"/>
  <c r="F281" i="287"/>
  <c r="F280" i="287"/>
  <c r="F279" i="287"/>
  <c r="E276" i="287"/>
  <c r="D276" i="287"/>
  <c r="C276" i="287"/>
  <c r="B276" i="287"/>
  <c r="F275" i="287"/>
  <c r="F274" i="287"/>
  <c r="F273" i="287"/>
  <c r="F272" i="287"/>
  <c r="F271" i="287"/>
  <c r="E268" i="287"/>
  <c r="D268" i="287"/>
  <c r="C268" i="287"/>
  <c r="B268" i="287"/>
  <c r="F267" i="287"/>
  <c r="F266" i="287"/>
  <c r="F265" i="287"/>
  <c r="F264" i="287"/>
  <c r="F263" i="287"/>
  <c r="E260" i="287"/>
  <c r="D260" i="287"/>
  <c r="C260" i="287"/>
  <c r="B260" i="287"/>
  <c r="F259" i="287"/>
  <c r="F258" i="287"/>
  <c r="F257" i="287"/>
  <c r="F256" i="287"/>
  <c r="E253" i="287"/>
  <c r="D253" i="287"/>
  <c r="C253" i="287"/>
  <c r="B253" i="287"/>
  <c r="F252" i="287"/>
  <c r="F251" i="287"/>
  <c r="F250" i="287"/>
  <c r="F249" i="287"/>
  <c r="E246" i="287"/>
  <c r="D246" i="287"/>
  <c r="C246" i="287"/>
  <c r="B246" i="287"/>
  <c r="F245" i="287"/>
  <c r="F244" i="287"/>
  <c r="F243" i="287"/>
  <c r="F242" i="287"/>
  <c r="F241" i="287"/>
  <c r="E238" i="287"/>
  <c r="D238" i="287"/>
  <c r="C238" i="287"/>
  <c r="B238" i="287"/>
  <c r="F237" i="287"/>
  <c r="F236" i="287"/>
  <c r="F235" i="287"/>
  <c r="F234" i="287"/>
  <c r="F233" i="287"/>
  <c r="F179" i="287"/>
  <c r="F178" i="287"/>
  <c r="F177" i="287"/>
  <c r="F176" i="287"/>
  <c r="F175" i="287"/>
  <c r="E174" i="287"/>
  <c r="D174" i="287"/>
  <c r="C174" i="287"/>
  <c r="F173" i="287"/>
  <c r="F172" i="287"/>
  <c r="F171" i="287"/>
  <c r="E170" i="287"/>
  <c r="D170" i="287"/>
  <c r="C170" i="287"/>
  <c r="F169" i="287"/>
  <c r="F168" i="287"/>
  <c r="F167" i="287"/>
  <c r="F166" i="287"/>
  <c r="E165" i="287"/>
  <c r="D165" i="287"/>
  <c r="C165" i="287"/>
  <c r="F164" i="287"/>
  <c r="F163" i="287"/>
  <c r="F162" i="287"/>
  <c r="F161" i="287"/>
  <c r="E160" i="287"/>
  <c r="D160" i="287"/>
  <c r="C160" i="287"/>
  <c r="F159" i="287"/>
  <c r="F158" i="287"/>
  <c r="F157" i="287"/>
  <c r="E156" i="287"/>
  <c r="D156" i="287"/>
  <c r="C156" i="287"/>
  <c r="F152" i="287"/>
  <c r="F151" i="287"/>
  <c r="F150" i="287"/>
  <c r="F149" i="287"/>
  <c r="F148" i="287"/>
  <c r="E147" i="287"/>
  <c r="D147" i="287"/>
  <c r="C147" i="287"/>
  <c r="F146" i="287"/>
  <c r="F145" i="287"/>
  <c r="F143" i="287"/>
  <c r="F142" i="287"/>
  <c r="F141" i="287"/>
  <c r="F140" i="287"/>
  <c r="F138" i="287"/>
  <c r="F137" i="287"/>
  <c r="F136" i="287"/>
  <c r="F135" i="287"/>
  <c r="F133" i="287"/>
  <c r="F132" i="287"/>
  <c r="F131" i="287"/>
  <c r="I31" i="294"/>
  <c r="I30" i="294"/>
  <c r="I29" i="294"/>
  <c r="I28" i="294"/>
  <c r="I27" i="294"/>
  <c r="I26" i="294"/>
  <c r="I32" i="294"/>
  <c r="I25" i="294"/>
  <c r="L13" i="294"/>
  <c r="L29" i="294"/>
  <c r="K13" i="294"/>
  <c r="K31" i="294"/>
  <c r="J13" i="294"/>
  <c r="H13" i="294"/>
  <c r="G13" i="294"/>
  <c r="G29" i="294"/>
  <c r="F13" i="294"/>
  <c r="F28" i="294"/>
  <c r="E13" i="294"/>
  <c r="E28" i="294"/>
  <c r="D13" i="294"/>
  <c r="D29" i="294"/>
  <c r="C13" i="294"/>
  <c r="C29" i="294"/>
  <c r="I40" i="293"/>
  <c r="I35" i="293"/>
  <c r="L31" i="293"/>
  <c r="L30" i="293"/>
  <c r="K30" i="293"/>
  <c r="J30" i="293"/>
  <c r="I30" i="293"/>
  <c r="I39" i="293"/>
  <c r="H30" i="293"/>
  <c r="G30" i="293"/>
  <c r="F30" i="293"/>
  <c r="E30" i="293"/>
  <c r="D30" i="293"/>
  <c r="C30" i="293"/>
  <c r="L29" i="293"/>
  <c r="K29" i="293"/>
  <c r="J29" i="293"/>
  <c r="I29" i="293"/>
  <c r="I38" i="293"/>
  <c r="H29" i="293"/>
  <c r="G29" i="293"/>
  <c r="F29" i="293"/>
  <c r="E29" i="293"/>
  <c r="D29" i="293"/>
  <c r="C29" i="293"/>
  <c r="L28" i="293"/>
  <c r="K28" i="293"/>
  <c r="K32" i="293"/>
  <c r="J28" i="293"/>
  <c r="I28" i="293"/>
  <c r="I37" i="293"/>
  <c r="H28" i="293"/>
  <c r="G28" i="293"/>
  <c r="F28" i="293"/>
  <c r="E28" i="293"/>
  <c r="D28" i="293"/>
  <c r="C28" i="293"/>
  <c r="C32" i="293"/>
  <c r="L27" i="293"/>
  <c r="K27" i="293"/>
  <c r="J27" i="293"/>
  <c r="I27" i="293"/>
  <c r="I36" i="293"/>
  <c r="H27" i="293"/>
  <c r="G27" i="293"/>
  <c r="F27" i="293"/>
  <c r="E27" i="293"/>
  <c r="E32" i="293"/>
  <c r="D27" i="293"/>
  <c r="C27" i="293"/>
  <c r="L26" i="293"/>
  <c r="L16" i="293"/>
  <c r="K16" i="293"/>
  <c r="J16" i="293"/>
  <c r="H16" i="293"/>
  <c r="G16" i="293"/>
  <c r="F16" i="293"/>
  <c r="E16" i="293"/>
  <c r="D16" i="293"/>
  <c r="C16" i="293"/>
  <c r="W41" i="47"/>
  <c r="V41" i="47"/>
  <c r="U41" i="47"/>
  <c r="T41" i="47"/>
  <c r="S41" i="47"/>
  <c r="R41" i="47"/>
  <c r="O41" i="47"/>
  <c r="N41" i="47"/>
  <c r="M41" i="47"/>
  <c r="L41" i="47"/>
  <c r="K41" i="47"/>
  <c r="J41" i="47"/>
  <c r="G41" i="47"/>
  <c r="F41" i="47"/>
  <c r="E41" i="47"/>
  <c r="D41" i="47"/>
  <c r="C41" i="47"/>
  <c r="B41" i="47"/>
  <c r="X40" i="47"/>
  <c r="P40" i="47"/>
  <c r="H40" i="47"/>
  <c r="X39" i="47"/>
  <c r="P39" i="47"/>
  <c r="X38" i="47"/>
  <c r="P38" i="47"/>
  <c r="H38" i="47"/>
  <c r="X37" i="47"/>
  <c r="P37" i="47"/>
  <c r="H37" i="47"/>
  <c r="X36" i="47"/>
  <c r="P36" i="47"/>
  <c r="H36" i="47"/>
  <c r="W30" i="47"/>
  <c r="V30" i="47"/>
  <c r="U30" i="47"/>
  <c r="T30" i="47"/>
  <c r="S30" i="47"/>
  <c r="R30" i="47"/>
  <c r="O30" i="47"/>
  <c r="N30" i="47"/>
  <c r="M30" i="47"/>
  <c r="L30" i="47"/>
  <c r="K30" i="47"/>
  <c r="J30" i="47"/>
  <c r="G30" i="47"/>
  <c r="F30" i="47"/>
  <c r="E30" i="47"/>
  <c r="D30" i="47"/>
  <c r="C30" i="47"/>
  <c r="B30" i="47"/>
  <c r="X29" i="47"/>
  <c r="P29" i="47"/>
  <c r="H29" i="47"/>
  <c r="X28" i="47"/>
  <c r="P28" i="47"/>
  <c r="H28" i="47"/>
  <c r="X27" i="47"/>
  <c r="P27" i="47"/>
  <c r="H27" i="47"/>
  <c r="X26" i="47"/>
  <c r="P26" i="47"/>
  <c r="H26" i="47"/>
  <c r="W20" i="47"/>
  <c r="V20" i="47"/>
  <c r="U20" i="47"/>
  <c r="T20" i="47"/>
  <c r="S20" i="47"/>
  <c r="R20" i="47"/>
  <c r="O20" i="47"/>
  <c r="N20" i="47"/>
  <c r="M20" i="47"/>
  <c r="L20" i="47"/>
  <c r="K20" i="47"/>
  <c r="J20" i="47"/>
  <c r="G20" i="47"/>
  <c r="F20" i="47"/>
  <c r="E20" i="47"/>
  <c r="D20" i="47"/>
  <c r="C20" i="47"/>
  <c r="B20" i="47"/>
  <c r="X19" i="47"/>
  <c r="P19" i="47"/>
  <c r="H19" i="47"/>
  <c r="X18" i="47"/>
  <c r="P18" i="47"/>
  <c r="H18" i="47"/>
  <c r="X17" i="47"/>
  <c r="P17" i="47"/>
  <c r="H17" i="47"/>
  <c r="X16" i="47"/>
  <c r="P16" i="47"/>
  <c r="H16" i="47"/>
  <c r="W10" i="47"/>
  <c r="V10" i="47"/>
  <c r="U10" i="47"/>
  <c r="T10" i="47"/>
  <c r="S10" i="47"/>
  <c r="R10" i="47"/>
  <c r="O10" i="47"/>
  <c r="N10" i="47"/>
  <c r="M10" i="47"/>
  <c r="L10" i="47"/>
  <c r="K10" i="47"/>
  <c r="J10" i="47"/>
  <c r="G10" i="47"/>
  <c r="F10" i="47"/>
  <c r="E10" i="47"/>
  <c r="D10" i="47"/>
  <c r="C10" i="47"/>
  <c r="B10" i="47"/>
  <c r="X9" i="47"/>
  <c r="P9" i="47"/>
  <c r="H9" i="47"/>
  <c r="X8" i="47"/>
  <c r="P8" i="47"/>
  <c r="H8" i="47"/>
  <c r="X6" i="47"/>
  <c r="P6" i="47"/>
  <c r="H6" i="47"/>
  <c r="H10" i="47" s="1"/>
  <c r="M83" i="46"/>
  <c r="L83" i="46"/>
  <c r="K83" i="46"/>
  <c r="J83" i="46"/>
  <c r="I83" i="46"/>
  <c r="H83" i="46"/>
  <c r="G83" i="46"/>
  <c r="F83" i="46"/>
  <c r="D83" i="46"/>
  <c r="C83" i="46"/>
  <c r="M82" i="46"/>
  <c r="L82" i="46"/>
  <c r="K82" i="46"/>
  <c r="J82" i="46"/>
  <c r="I82" i="46"/>
  <c r="H82" i="46"/>
  <c r="G82" i="46"/>
  <c r="F82" i="46"/>
  <c r="D82" i="46"/>
  <c r="C82" i="46"/>
  <c r="M81" i="46"/>
  <c r="L81" i="46"/>
  <c r="K81" i="46"/>
  <c r="J81" i="46"/>
  <c r="I81" i="46"/>
  <c r="H81" i="46"/>
  <c r="G81" i="46"/>
  <c r="F81" i="46"/>
  <c r="D81" i="46"/>
  <c r="C81" i="46"/>
  <c r="M80" i="46"/>
  <c r="L80" i="46"/>
  <c r="K80" i="46"/>
  <c r="J80" i="46"/>
  <c r="I80" i="46"/>
  <c r="H80" i="46"/>
  <c r="G80" i="46"/>
  <c r="F80" i="46"/>
  <c r="D80" i="46"/>
  <c r="C80" i="46"/>
  <c r="M79" i="46"/>
  <c r="L79" i="46"/>
  <c r="K79" i="46"/>
  <c r="J79" i="46"/>
  <c r="I79" i="46"/>
  <c r="H79" i="46"/>
  <c r="G79" i="46"/>
  <c r="F79" i="46"/>
  <c r="D79" i="46"/>
  <c r="C79" i="46"/>
  <c r="N67" i="46"/>
  <c r="N66" i="46"/>
  <c r="N65" i="46"/>
  <c r="N64" i="46"/>
  <c r="N63" i="46"/>
  <c r="N51" i="46"/>
  <c r="N50" i="46"/>
  <c r="N45" i="46"/>
  <c r="N44" i="46"/>
  <c r="N43" i="46"/>
  <c r="N42" i="46"/>
  <c r="N41" i="46"/>
  <c r="N29" i="46"/>
  <c r="N28" i="46"/>
  <c r="N27" i="46"/>
  <c r="N26" i="46"/>
  <c r="N25" i="46"/>
  <c r="N16" i="46"/>
  <c r="N83" i="46"/>
  <c r="N15" i="46"/>
  <c r="N14" i="46"/>
  <c r="N13" i="46"/>
  <c r="N12" i="46"/>
  <c r="AV36" i="234"/>
  <c r="AU36" i="234"/>
  <c r="AT36" i="234"/>
  <c r="AR36" i="234"/>
  <c r="AQ36" i="234"/>
  <c r="AP36" i="234"/>
  <c r="AN36" i="234"/>
  <c r="AM36" i="234"/>
  <c r="AL36" i="234"/>
  <c r="AJ36" i="234"/>
  <c r="AI36" i="234"/>
  <c r="AH36" i="234"/>
  <c r="AF36" i="234"/>
  <c r="AE36" i="234"/>
  <c r="AD36" i="234"/>
  <c r="AV35" i="234"/>
  <c r="AU35" i="234"/>
  <c r="AT35" i="234"/>
  <c r="AR35" i="234"/>
  <c r="AQ35" i="234"/>
  <c r="AP35" i="234"/>
  <c r="AN35" i="234"/>
  <c r="AM35" i="234"/>
  <c r="AL35" i="234"/>
  <c r="AJ35" i="234"/>
  <c r="AI35" i="234"/>
  <c r="AH35" i="234"/>
  <c r="AF35" i="234"/>
  <c r="AE35" i="234"/>
  <c r="AD35" i="234"/>
  <c r="AV34" i="234"/>
  <c r="AU34" i="234"/>
  <c r="AT34" i="234"/>
  <c r="AR34" i="234"/>
  <c r="AQ34" i="234"/>
  <c r="AP34" i="234"/>
  <c r="AN34" i="234"/>
  <c r="AM34" i="234"/>
  <c r="AL34" i="234"/>
  <c r="AJ34" i="234"/>
  <c r="AI34" i="234"/>
  <c r="AH34" i="234"/>
  <c r="AF34" i="234"/>
  <c r="AE34" i="234"/>
  <c r="AD34" i="234"/>
  <c r="AV33" i="234"/>
  <c r="AU33" i="234"/>
  <c r="AT33" i="234"/>
  <c r="AR33" i="234"/>
  <c r="AQ33" i="234"/>
  <c r="AP33" i="234"/>
  <c r="AN33" i="234"/>
  <c r="AM33" i="234"/>
  <c r="AL33" i="234"/>
  <c r="AJ33" i="234"/>
  <c r="AI33" i="234"/>
  <c r="AH33" i="234"/>
  <c r="AF33" i="234"/>
  <c r="AE33" i="234"/>
  <c r="AD33" i="234"/>
  <c r="AV32" i="234"/>
  <c r="AU32" i="234"/>
  <c r="AT32" i="234"/>
  <c r="AR32" i="234"/>
  <c r="AQ32" i="234"/>
  <c r="AP32" i="234"/>
  <c r="AN32" i="234"/>
  <c r="AM32" i="234"/>
  <c r="AL32" i="234"/>
  <c r="AJ32" i="234"/>
  <c r="AI32" i="234"/>
  <c r="AH32" i="234"/>
  <c r="AF32" i="234"/>
  <c r="AE32" i="234"/>
  <c r="AD32" i="234"/>
  <c r="AV31" i="234"/>
  <c r="AV37" i="234"/>
  <c r="AU31" i="234"/>
  <c r="AT31" i="234"/>
  <c r="AT37" i="234"/>
  <c r="AR31" i="234"/>
  <c r="AQ31" i="234"/>
  <c r="AP31" i="234"/>
  <c r="AN31" i="234"/>
  <c r="AM31" i="234"/>
  <c r="AL31" i="234"/>
  <c r="AL37" i="234"/>
  <c r="AJ31" i="234"/>
  <c r="AJ37" i="234"/>
  <c r="AI31" i="234"/>
  <c r="AH31" i="234"/>
  <c r="AF31" i="234"/>
  <c r="AE31" i="234"/>
  <c r="AD31" i="234"/>
  <c r="AD37" i="234"/>
  <c r="AV29" i="234"/>
  <c r="AU29" i="234"/>
  <c r="AT29" i="234"/>
  <c r="AR29" i="234"/>
  <c r="AQ29" i="234"/>
  <c r="AP29" i="234"/>
  <c r="AN29" i="234"/>
  <c r="AM29" i="234"/>
  <c r="AL29" i="234"/>
  <c r="AJ29" i="234"/>
  <c r="AI29" i="234"/>
  <c r="AH29" i="234"/>
  <c r="AF29" i="234"/>
  <c r="AE29" i="234"/>
  <c r="AD29" i="234"/>
  <c r="AW28" i="234"/>
  <c r="AS28" i="234"/>
  <c r="AO28" i="234"/>
  <c r="AK28" i="234"/>
  <c r="AG28" i="234"/>
  <c r="AW27" i="234"/>
  <c r="AS27" i="234"/>
  <c r="AO27" i="234"/>
  <c r="AK27" i="234"/>
  <c r="AG27" i="234"/>
  <c r="AW26" i="234"/>
  <c r="AS26" i="234"/>
  <c r="AO26" i="234"/>
  <c r="AK26" i="234"/>
  <c r="AG26" i="234"/>
  <c r="AV19" i="234"/>
  <c r="AU19" i="234"/>
  <c r="AT19" i="234"/>
  <c r="AR19" i="234"/>
  <c r="AQ19" i="234"/>
  <c r="AP19" i="234"/>
  <c r="AN19" i="234"/>
  <c r="AM19" i="234"/>
  <c r="AL19" i="234"/>
  <c r="AJ19" i="234"/>
  <c r="AI19" i="234"/>
  <c r="AH19" i="234"/>
  <c r="AF19" i="234"/>
  <c r="AE19" i="234"/>
  <c r="AD19" i="234"/>
  <c r="AW18" i="234"/>
  <c r="AS18" i="234"/>
  <c r="AO18" i="234"/>
  <c r="AK18" i="234"/>
  <c r="AG18" i="234"/>
  <c r="AW17" i="234"/>
  <c r="AS17" i="234"/>
  <c r="AO17" i="234"/>
  <c r="AK17" i="234"/>
  <c r="AG17" i="234"/>
  <c r="AW16" i="234"/>
  <c r="AS16" i="234"/>
  <c r="AO16" i="234"/>
  <c r="AK16" i="234"/>
  <c r="AG16" i="234"/>
  <c r="AV14" i="234"/>
  <c r="AU14" i="234"/>
  <c r="AT14" i="234"/>
  <c r="AR14" i="234"/>
  <c r="AQ14" i="234"/>
  <c r="AP14" i="234"/>
  <c r="AN14" i="234"/>
  <c r="AM14" i="234"/>
  <c r="AL14" i="234"/>
  <c r="AJ14" i="234"/>
  <c r="AI14" i="234"/>
  <c r="AH14" i="234"/>
  <c r="AF14" i="234"/>
  <c r="AE14" i="234"/>
  <c r="AD14" i="234"/>
  <c r="AW13" i="234"/>
  <c r="AW36" i="234"/>
  <c r="AS13" i="234"/>
  <c r="AS36" i="234"/>
  <c r="AO13" i="234"/>
  <c r="AO36" i="234"/>
  <c r="AK13" i="234"/>
  <c r="AK36" i="234"/>
  <c r="AG13" i="234"/>
  <c r="AG36" i="234"/>
  <c r="AW12" i="234"/>
  <c r="AW35" i="234"/>
  <c r="AS12" i="234"/>
  <c r="AO12" i="234"/>
  <c r="AO35" i="234"/>
  <c r="AK12" i="234"/>
  <c r="AK35" i="234"/>
  <c r="AG12" i="234"/>
  <c r="AG35" i="234"/>
  <c r="AW11" i="234"/>
  <c r="AS11" i="234"/>
  <c r="AO11" i="234"/>
  <c r="AK11" i="234"/>
  <c r="AG11" i="234"/>
  <c r="AV9" i="234"/>
  <c r="AU9" i="234"/>
  <c r="AT9" i="234"/>
  <c r="AW9" i="234"/>
  <c r="AR9" i="234"/>
  <c r="AQ9" i="234"/>
  <c r="AP9" i="234"/>
  <c r="AS9" i="234"/>
  <c r="AN9" i="234"/>
  <c r="AM9" i="234"/>
  <c r="AL9" i="234"/>
  <c r="AJ9" i="234"/>
  <c r="AI9" i="234"/>
  <c r="AH9" i="234"/>
  <c r="AF9" i="234"/>
  <c r="AE9" i="234"/>
  <c r="AD9" i="234"/>
  <c r="AW8" i="234"/>
  <c r="AW34" i="234"/>
  <c r="AS8" i="234"/>
  <c r="AS34" i="234"/>
  <c r="AO8" i="234"/>
  <c r="AO34" i="234"/>
  <c r="AK8" i="234"/>
  <c r="AG8" i="234"/>
  <c r="AG34" i="234"/>
  <c r="AW7" i="234"/>
  <c r="AW32" i="234"/>
  <c r="AS7" i="234"/>
  <c r="AS32" i="234"/>
  <c r="AO7" i="234"/>
  <c r="AK7" i="234"/>
  <c r="AG7" i="234"/>
  <c r="AW6" i="234"/>
  <c r="AW31" i="234"/>
  <c r="AS6" i="234"/>
  <c r="AO6" i="234"/>
  <c r="AO31" i="234"/>
  <c r="AK6" i="234"/>
  <c r="AK31" i="234"/>
  <c r="AG6" i="234"/>
  <c r="AG31" i="234"/>
  <c r="N35" i="243"/>
  <c r="M35" i="243"/>
  <c r="L35" i="243"/>
  <c r="K35" i="243"/>
  <c r="J35" i="243"/>
  <c r="H35" i="243"/>
  <c r="G35" i="243"/>
  <c r="F35" i="243"/>
  <c r="E35" i="243"/>
  <c r="D35" i="243"/>
  <c r="C35" i="243"/>
  <c r="N34" i="243"/>
  <c r="M34" i="243"/>
  <c r="L34" i="243"/>
  <c r="K34" i="243"/>
  <c r="J34" i="243"/>
  <c r="H34" i="243"/>
  <c r="G34" i="243"/>
  <c r="F34" i="243"/>
  <c r="E34" i="243"/>
  <c r="D34" i="243"/>
  <c r="C34" i="243"/>
  <c r="N33" i="243"/>
  <c r="M33" i="243"/>
  <c r="L33" i="243"/>
  <c r="K33" i="243"/>
  <c r="J33" i="243"/>
  <c r="H33" i="243"/>
  <c r="G33" i="243"/>
  <c r="F33" i="243"/>
  <c r="E33" i="243"/>
  <c r="D33" i="243"/>
  <c r="C33" i="243"/>
  <c r="N32" i="243"/>
  <c r="M32" i="243"/>
  <c r="L32" i="243"/>
  <c r="K32" i="243"/>
  <c r="J32" i="243"/>
  <c r="H32" i="243"/>
  <c r="G32" i="243"/>
  <c r="F32" i="243"/>
  <c r="E32" i="243"/>
  <c r="D32" i="243"/>
  <c r="C32" i="243"/>
  <c r="N31" i="243"/>
  <c r="M31" i="243"/>
  <c r="M36" i="243"/>
  <c r="L31" i="243"/>
  <c r="K31" i="243"/>
  <c r="J31" i="243"/>
  <c r="H31" i="243"/>
  <c r="G31" i="243"/>
  <c r="F31" i="243"/>
  <c r="E31" i="243"/>
  <c r="D31" i="243"/>
  <c r="C31" i="243"/>
  <c r="N30" i="243"/>
  <c r="M30" i="243"/>
  <c r="L30" i="243"/>
  <c r="K30" i="243"/>
  <c r="J30" i="243"/>
  <c r="H30" i="243"/>
  <c r="H36" i="243"/>
  <c r="G30" i="243"/>
  <c r="F30" i="243"/>
  <c r="F36" i="243"/>
  <c r="E30" i="243"/>
  <c r="D30" i="243"/>
  <c r="D36" i="243"/>
  <c r="C30" i="243"/>
  <c r="N28" i="243"/>
  <c r="M28" i="243"/>
  <c r="L28" i="243"/>
  <c r="K28" i="243"/>
  <c r="J28" i="243"/>
  <c r="H28" i="243"/>
  <c r="G28" i="243"/>
  <c r="F28" i="243"/>
  <c r="E28" i="243"/>
  <c r="D28" i="243"/>
  <c r="C28" i="243"/>
  <c r="I27" i="243"/>
  <c r="I33" i="243"/>
  <c r="I26" i="243"/>
  <c r="I25" i="243"/>
  <c r="N23" i="243"/>
  <c r="M23" i="243"/>
  <c r="N18" i="243"/>
  <c r="M18" i="243"/>
  <c r="L18" i="243"/>
  <c r="K18" i="243"/>
  <c r="J18" i="243"/>
  <c r="H18" i="243"/>
  <c r="G18" i="243"/>
  <c r="F18" i="243"/>
  <c r="E18" i="243"/>
  <c r="D18" i="243"/>
  <c r="C18" i="243"/>
  <c r="I17" i="243"/>
  <c r="I32" i="243"/>
  <c r="I16" i="243"/>
  <c r="I15" i="243"/>
  <c r="N13" i="243"/>
  <c r="M13" i="243"/>
  <c r="L13" i="243"/>
  <c r="K13" i="243"/>
  <c r="J13" i="243"/>
  <c r="H13" i="243"/>
  <c r="G13" i="243"/>
  <c r="F13" i="243"/>
  <c r="E13" i="243"/>
  <c r="D13" i="243"/>
  <c r="I12" i="243"/>
  <c r="I35" i="243"/>
  <c r="I11" i="243"/>
  <c r="I34" i="243"/>
  <c r="I10" i="243"/>
  <c r="I13" i="243"/>
  <c r="N8" i="243"/>
  <c r="M8" i="243"/>
  <c r="L8" i="243"/>
  <c r="K8" i="243"/>
  <c r="J8" i="243"/>
  <c r="H8" i="243"/>
  <c r="G8" i="243"/>
  <c r="F8" i="243"/>
  <c r="E8" i="243"/>
  <c r="D8" i="243"/>
  <c r="C8" i="243"/>
  <c r="I6" i="243"/>
  <c r="I31" i="243"/>
  <c r="I5" i="243"/>
  <c r="AX53" i="281"/>
  <c r="AS53" i="281"/>
  <c r="AN53" i="281"/>
  <c r="BI46" i="281"/>
  <c r="BH46" i="281"/>
  <c r="BG46" i="281"/>
  <c r="BF46" i="281"/>
  <c r="BD46" i="281"/>
  <c r="BC46" i="281"/>
  <c r="BB46" i="281"/>
  <c r="BA46" i="281"/>
  <c r="BI44" i="281"/>
  <c r="BH44" i="281"/>
  <c r="BG44" i="281"/>
  <c r="BF44" i="281"/>
  <c r="BD44" i="281"/>
  <c r="BC44" i="281"/>
  <c r="BB44" i="281"/>
  <c r="BA44" i="281"/>
  <c r="BI42" i="281"/>
  <c r="BH42" i="281"/>
  <c r="BG42" i="281"/>
  <c r="BF42" i="281"/>
  <c r="BD42" i="281"/>
  <c r="BC42" i="281"/>
  <c r="BB42" i="281"/>
  <c r="BA42" i="281"/>
  <c r="BI37" i="281"/>
  <c r="BH37" i="281"/>
  <c r="BG37" i="281"/>
  <c r="BF37" i="281"/>
  <c r="BD37" i="281"/>
  <c r="BC37" i="281"/>
  <c r="BB37" i="281"/>
  <c r="BA37" i="281"/>
  <c r="BI35" i="281"/>
  <c r="BH35" i="281"/>
  <c r="BG35" i="281"/>
  <c r="BF35" i="281"/>
  <c r="BD35" i="281"/>
  <c r="BC35" i="281"/>
  <c r="BB35" i="281"/>
  <c r="BA35" i="281"/>
  <c r="BI33" i="281"/>
  <c r="BH33" i="281"/>
  <c r="BH39" i="281"/>
  <c r="BG33" i="281"/>
  <c r="BF33" i="281"/>
  <c r="BD33" i="281"/>
  <c r="BC33" i="281"/>
  <c r="BC39" i="281"/>
  <c r="BB33" i="281"/>
  <c r="BA33" i="281"/>
  <c r="AK29" i="281"/>
  <c r="AJ29" i="281"/>
  <c r="AI29" i="281"/>
  <c r="AH29" i="281"/>
  <c r="BI28" i="281"/>
  <c r="BH28" i="281"/>
  <c r="BG28" i="281"/>
  <c r="BF28" i="281"/>
  <c r="BD28" i="281"/>
  <c r="BC28" i="281"/>
  <c r="BB28" i="281"/>
  <c r="BA28" i="281"/>
  <c r="AK27" i="281"/>
  <c r="AJ27" i="281"/>
  <c r="AI27" i="281"/>
  <c r="AH27" i="281"/>
  <c r="BI26" i="281"/>
  <c r="BH26" i="281"/>
  <c r="BG26" i="281"/>
  <c r="BF26" i="281"/>
  <c r="BD26" i="281"/>
  <c r="BC26" i="281"/>
  <c r="BB26" i="281"/>
  <c r="BA26" i="281"/>
  <c r="BI24" i="281"/>
  <c r="BI30" i="281"/>
  <c r="BH24" i="281"/>
  <c r="BH30" i="281"/>
  <c r="BG24" i="281"/>
  <c r="BG30" i="281"/>
  <c r="BF24" i="281"/>
  <c r="BF30" i="281"/>
  <c r="BD24" i="281"/>
  <c r="BC24" i="281"/>
  <c r="BB24" i="281"/>
  <c r="BA24" i="281"/>
  <c r="BI19" i="281"/>
  <c r="BH19" i="281"/>
  <c r="BG19" i="281"/>
  <c r="BF19" i="281"/>
  <c r="BD19" i="281"/>
  <c r="BC19" i="281"/>
  <c r="BB19" i="281"/>
  <c r="BA19" i="281"/>
  <c r="BE19" i="281"/>
  <c r="BI17" i="281"/>
  <c r="BH17" i="281"/>
  <c r="BG17" i="281"/>
  <c r="BF17" i="281"/>
  <c r="BD17" i="281"/>
  <c r="BC17" i="281"/>
  <c r="BA17" i="281"/>
  <c r="BB17" i="281"/>
  <c r="AF16" i="281"/>
  <c r="AE16" i="281"/>
  <c r="BI15" i="281"/>
  <c r="BH15" i="281"/>
  <c r="BG15" i="281"/>
  <c r="BJ15" i="281"/>
  <c r="BF15" i="281"/>
  <c r="BD15" i="281"/>
  <c r="BC15" i="281"/>
  <c r="BB15" i="281"/>
  <c r="BA15" i="281"/>
  <c r="BI10" i="281"/>
  <c r="BH10" i="281"/>
  <c r="BG10" i="281"/>
  <c r="BF10" i="281"/>
  <c r="BD10" i="281"/>
  <c r="BC10" i="281"/>
  <c r="BB10" i="281"/>
  <c r="BA10" i="281"/>
  <c r="BI8" i="281"/>
  <c r="BH8" i="281"/>
  <c r="BG8" i="281"/>
  <c r="BF8" i="281"/>
  <c r="BD8" i="281"/>
  <c r="BC8" i="281"/>
  <c r="BB8" i="281"/>
  <c r="BA8" i="281"/>
  <c r="BI6" i="281"/>
  <c r="BI12" i="281"/>
  <c r="BH6" i="281"/>
  <c r="BG6" i="281"/>
  <c r="BF6" i="281"/>
  <c r="BF12" i="281"/>
  <c r="BD6" i="281"/>
  <c r="BC6" i="281"/>
  <c r="BB6" i="281"/>
  <c r="BA6" i="281"/>
  <c r="BI29" i="242"/>
  <c r="BH29" i="242"/>
  <c r="BG29" i="242"/>
  <c r="BF29" i="242"/>
  <c r="BD29" i="242"/>
  <c r="BC29" i="242"/>
  <c r="BB29" i="242"/>
  <c r="BA29" i="242"/>
  <c r="AY29" i="242"/>
  <c r="AX29" i="242"/>
  <c r="AW29" i="242"/>
  <c r="AV29" i="242"/>
  <c r="AT29" i="242"/>
  <c r="AS29" i="242"/>
  <c r="AR29" i="242"/>
  <c r="AQ29" i="242"/>
  <c r="AO29" i="242"/>
  <c r="AN29" i="242"/>
  <c r="AM29" i="242"/>
  <c r="AL29" i="242"/>
  <c r="BJ28" i="242"/>
  <c r="BE28" i="242"/>
  <c r="AZ28" i="242"/>
  <c r="AU28" i="242"/>
  <c r="AP28" i="242"/>
  <c r="BJ27" i="242"/>
  <c r="BE27" i="242"/>
  <c r="AZ27" i="242"/>
  <c r="AU27" i="242"/>
  <c r="AP27" i="242"/>
  <c r="BJ26" i="242"/>
  <c r="BE26" i="242"/>
  <c r="AZ26" i="242"/>
  <c r="AU26" i="242"/>
  <c r="AP26" i="242"/>
  <c r="BI24" i="242"/>
  <c r="BH24" i="242"/>
  <c r="BD24" i="242"/>
  <c r="BC24" i="242"/>
  <c r="BA24" i="242"/>
  <c r="BJ23" i="242"/>
  <c r="BE23" i="242"/>
  <c r="BJ22" i="242"/>
  <c r="BE22" i="242"/>
  <c r="BJ21" i="242"/>
  <c r="BE21" i="242"/>
  <c r="BI19" i="242"/>
  <c r="BH19" i="242"/>
  <c r="BG19" i="242"/>
  <c r="BF19" i="242"/>
  <c r="BD19" i="242"/>
  <c r="BC19" i="242"/>
  <c r="BB19" i="242"/>
  <c r="BA19" i="242"/>
  <c r="AY19" i="242"/>
  <c r="AX19" i="242"/>
  <c r="AV19" i="242"/>
  <c r="AW19" i="242"/>
  <c r="AT19" i="242"/>
  <c r="AS19" i="242"/>
  <c r="AR19" i="242"/>
  <c r="AQ19" i="242"/>
  <c r="AO19" i="242"/>
  <c r="AN19" i="242"/>
  <c r="AM19" i="242"/>
  <c r="AL19" i="242"/>
  <c r="BJ18" i="242"/>
  <c r="BE18" i="242"/>
  <c r="AZ18" i="242"/>
  <c r="AU18" i="242"/>
  <c r="AP18" i="242"/>
  <c r="BJ17" i="242"/>
  <c r="BE17" i="242"/>
  <c r="AZ17" i="242"/>
  <c r="AU17" i="242"/>
  <c r="AP17" i="242"/>
  <c r="BJ16" i="242"/>
  <c r="BE16" i="242"/>
  <c r="AZ16" i="242"/>
  <c r="AU16" i="242"/>
  <c r="AP16" i="242"/>
  <c r="BI14" i="242"/>
  <c r="BH14" i="242"/>
  <c r="BG14" i="242"/>
  <c r="BF14" i="242"/>
  <c r="BD14" i="242"/>
  <c r="BC14" i="242"/>
  <c r="BB14" i="242"/>
  <c r="BA14" i="242"/>
  <c r="AY14" i="242"/>
  <c r="AX14" i="242"/>
  <c r="AW14" i="242"/>
  <c r="AV14" i="242"/>
  <c r="AT14" i="242"/>
  <c r="AS14" i="242"/>
  <c r="AQ14" i="242"/>
  <c r="AO14" i="242"/>
  <c r="AN14" i="242"/>
  <c r="AL14" i="242"/>
  <c r="BJ13" i="242"/>
  <c r="BE13" i="242"/>
  <c r="AZ13" i="242"/>
  <c r="AU13" i="242"/>
  <c r="AP13" i="242"/>
  <c r="BJ12" i="242"/>
  <c r="BE12" i="242"/>
  <c r="AZ12" i="242"/>
  <c r="AU12" i="242"/>
  <c r="AP12" i="242"/>
  <c r="BJ11" i="242"/>
  <c r="BE11" i="242"/>
  <c r="AZ11" i="242"/>
  <c r="AU11" i="242"/>
  <c r="AP11" i="242"/>
  <c r="BI9" i="242"/>
  <c r="BI31" i="242"/>
  <c r="BH9" i="242"/>
  <c r="BG9" i="242"/>
  <c r="BF9" i="242"/>
  <c r="BF31" i="242"/>
  <c r="BD9" i="242"/>
  <c r="BC9" i="242"/>
  <c r="BB9" i="242"/>
  <c r="BB31" i="242"/>
  <c r="BA9" i="242"/>
  <c r="AY9" i="242"/>
  <c r="AX9" i="242"/>
  <c r="AW9" i="242"/>
  <c r="AW31" i="242"/>
  <c r="AV9" i="242"/>
  <c r="AT9" i="242"/>
  <c r="AS9" i="242"/>
  <c r="AS31" i="242"/>
  <c r="AR9" i="242"/>
  <c r="AQ9" i="242"/>
  <c r="AO9" i="242"/>
  <c r="AN9" i="242"/>
  <c r="AM9" i="242"/>
  <c r="AM31" i="242"/>
  <c r="AL9" i="242"/>
  <c r="BJ8" i="242"/>
  <c r="BE8" i="242"/>
  <c r="AZ8" i="242"/>
  <c r="AU8" i="242"/>
  <c r="AP8" i="242"/>
  <c r="BJ7" i="242"/>
  <c r="BE7" i="242"/>
  <c r="AZ7" i="242"/>
  <c r="AU7" i="242"/>
  <c r="AP7" i="242"/>
  <c r="BJ6" i="242"/>
  <c r="BE6" i="242"/>
  <c r="AZ6" i="242"/>
  <c r="AU6" i="242"/>
  <c r="AP6" i="242"/>
  <c r="Z121" i="302"/>
  <c r="Y121" i="302"/>
  <c r="X121" i="302"/>
  <c r="W121" i="302"/>
  <c r="V121" i="302"/>
  <c r="U121" i="302"/>
  <c r="T121" i="302"/>
  <c r="S121" i="302"/>
  <c r="R121" i="302"/>
  <c r="Q121" i="302"/>
  <c r="P121" i="302"/>
  <c r="O121" i="302"/>
  <c r="N121" i="302"/>
  <c r="M121" i="302"/>
  <c r="L121" i="302"/>
  <c r="K121" i="302"/>
  <c r="J121" i="302"/>
  <c r="I121" i="302"/>
  <c r="H121" i="302"/>
  <c r="AA120" i="302"/>
  <c r="AA119" i="302"/>
  <c r="AA118" i="302"/>
  <c r="AA121" i="302"/>
  <c r="Z117" i="302"/>
  <c r="Y117" i="302"/>
  <c r="AA116" i="302"/>
  <c r="AA115" i="302"/>
  <c r="AA114" i="302"/>
  <c r="AA117" i="302"/>
  <c r="Z113" i="302"/>
  <c r="Y113" i="302"/>
  <c r="X113" i="302"/>
  <c r="W113" i="302"/>
  <c r="V113" i="302"/>
  <c r="U113" i="302"/>
  <c r="T113" i="302"/>
  <c r="S113" i="302"/>
  <c r="R113" i="302"/>
  <c r="Q113" i="302"/>
  <c r="P113" i="302"/>
  <c r="O113" i="302"/>
  <c r="N113" i="302"/>
  <c r="M113" i="302"/>
  <c r="L113" i="302"/>
  <c r="K113" i="302"/>
  <c r="J113" i="302"/>
  <c r="I113" i="302"/>
  <c r="H113" i="302"/>
  <c r="AA112" i="302"/>
  <c r="AA111" i="302"/>
  <c r="AA110" i="302"/>
  <c r="Z109" i="302"/>
  <c r="Y109" i="302"/>
  <c r="X109" i="302"/>
  <c r="W109" i="302"/>
  <c r="AA108" i="302"/>
  <c r="AA107" i="302"/>
  <c r="AA106" i="302"/>
  <c r="Z105" i="302"/>
  <c r="Y105" i="302"/>
  <c r="Y122" i="302"/>
  <c r="X105" i="302"/>
  <c r="W105" i="302"/>
  <c r="W122" i="302"/>
  <c r="V105" i="302"/>
  <c r="U105" i="302"/>
  <c r="U122" i="302"/>
  <c r="T105" i="302"/>
  <c r="T122" i="302"/>
  <c r="S105" i="302"/>
  <c r="S122" i="302"/>
  <c r="R105" i="302"/>
  <c r="R122" i="302"/>
  <c r="Q105" i="302"/>
  <c r="Q122" i="302"/>
  <c r="P105" i="302"/>
  <c r="O105" i="302"/>
  <c r="O122" i="302"/>
  <c r="N105" i="302"/>
  <c r="M105" i="302"/>
  <c r="M122" i="302"/>
  <c r="L105" i="302"/>
  <c r="K105" i="302"/>
  <c r="K122" i="302"/>
  <c r="J105" i="302"/>
  <c r="J122" i="302"/>
  <c r="I105" i="302"/>
  <c r="I122" i="302"/>
  <c r="H105" i="302"/>
  <c r="AA104" i="302"/>
  <c r="AA103" i="302"/>
  <c r="AA102" i="302"/>
  <c r="Z97" i="302"/>
  <c r="Y97" i="302"/>
  <c r="X97" i="302"/>
  <c r="W97" i="302"/>
  <c r="V97" i="302"/>
  <c r="U97" i="302"/>
  <c r="T97" i="302"/>
  <c r="S97" i="302"/>
  <c r="R97" i="302"/>
  <c r="Q97" i="302"/>
  <c r="P97" i="302"/>
  <c r="O97" i="302"/>
  <c r="N97" i="302"/>
  <c r="M97" i="302"/>
  <c r="L97" i="302"/>
  <c r="K97" i="302"/>
  <c r="J97" i="302"/>
  <c r="I97" i="302"/>
  <c r="H97" i="302"/>
  <c r="AA96" i="302"/>
  <c r="AA95" i="302"/>
  <c r="AA94" i="302"/>
  <c r="Z93" i="302"/>
  <c r="Y93" i="302"/>
  <c r="X93" i="302"/>
  <c r="AA92" i="302"/>
  <c r="AA91" i="302"/>
  <c r="AA90" i="302"/>
  <c r="Z89" i="302"/>
  <c r="Y89" i="302"/>
  <c r="X89" i="302"/>
  <c r="W89" i="302"/>
  <c r="V89" i="302"/>
  <c r="U89" i="302"/>
  <c r="T89" i="302"/>
  <c r="S89" i="302"/>
  <c r="R89" i="302"/>
  <c r="Q89" i="302"/>
  <c r="P89" i="302"/>
  <c r="O89" i="302"/>
  <c r="N89" i="302"/>
  <c r="M89" i="302"/>
  <c r="L89" i="302"/>
  <c r="K89" i="302"/>
  <c r="J89" i="302"/>
  <c r="I89" i="302"/>
  <c r="H89" i="302"/>
  <c r="AA88" i="302"/>
  <c r="AA87" i="302"/>
  <c r="AA86" i="302"/>
  <c r="Z85" i="302"/>
  <c r="Y85" i="302"/>
  <c r="X85" i="302"/>
  <c r="W85" i="302"/>
  <c r="V85" i="302"/>
  <c r="U85" i="302"/>
  <c r="T85" i="302"/>
  <c r="S85" i="302"/>
  <c r="R85" i="302"/>
  <c r="AA84" i="302"/>
  <c r="AA83" i="302"/>
  <c r="AA82" i="302"/>
  <c r="Z81" i="302"/>
  <c r="Z98" i="302"/>
  <c r="Y81" i="302"/>
  <c r="Y98" i="302"/>
  <c r="X81" i="302"/>
  <c r="W81" i="302"/>
  <c r="V81" i="302"/>
  <c r="U81" i="302"/>
  <c r="U98" i="302"/>
  <c r="T81" i="302"/>
  <c r="S81" i="302"/>
  <c r="S98" i="302"/>
  <c r="R81" i="302"/>
  <c r="Q81" i="302"/>
  <c r="Q98" i="302"/>
  <c r="P81" i="302"/>
  <c r="P98" i="302"/>
  <c r="O81" i="302"/>
  <c r="N81" i="302"/>
  <c r="M81" i="302"/>
  <c r="M98" i="302"/>
  <c r="L81" i="302"/>
  <c r="L98" i="302"/>
  <c r="K81" i="302"/>
  <c r="K98" i="302"/>
  <c r="J81" i="302"/>
  <c r="I81" i="302"/>
  <c r="I98" i="302"/>
  <c r="H81" i="302"/>
  <c r="H98" i="302"/>
  <c r="AA80" i="302"/>
  <c r="AA79" i="302"/>
  <c r="AA78" i="302"/>
  <c r="Z73" i="302"/>
  <c r="Y73" i="302"/>
  <c r="X73" i="302"/>
  <c r="W73" i="302"/>
  <c r="V73" i="302"/>
  <c r="U73" i="302"/>
  <c r="T73" i="302"/>
  <c r="S73" i="302"/>
  <c r="R73" i="302"/>
  <c r="Q73" i="302"/>
  <c r="P73" i="302"/>
  <c r="O73" i="302"/>
  <c r="N73" i="302"/>
  <c r="M73" i="302"/>
  <c r="L73" i="302"/>
  <c r="K73" i="302"/>
  <c r="J73" i="302"/>
  <c r="I73" i="302"/>
  <c r="H73" i="302"/>
  <c r="G73" i="302"/>
  <c r="F73" i="302"/>
  <c r="E73" i="302"/>
  <c r="AA72" i="302"/>
  <c r="AA70" i="302"/>
  <c r="AA71" i="302"/>
  <c r="Z69" i="302"/>
  <c r="Y69" i="302"/>
  <c r="X69" i="302"/>
  <c r="AA68" i="302"/>
  <c r="AA67" i="302"/>
  <c r="AA66" i="302"/>
  <c r="Z65" i="302"/>
  <c r="Y65" i="302"/>
  <c r="X65" i="302"/>
  <c r="W65" i="302"/>
  <c r="V65" i="302"/>
  <c r="U65" i="302"/>
  <c r="T65" i="302"/>
  <c r="S65" i="302"/>
  <c r="R65" i="302"/>
  <c r="Q65" i="302"/>
  <c r="P65" i="302"/>
  <c r="O65" i="302"/>
  <c r="N65" i="302"/>
  <c r="M65" i="302"/>
  <c r="L65" i="302"/>
  <c r="K65" i="302"/>
  <c r="J65" i="302"/>
  <c r="I65" i="302"/>
  <c r="H65" i="302"/>
  <c r="G65" i="302"/>
  <c r="F65" i="302"/>
  <c r="E65" i="302"/>
  <c r="AA64" i="302"/>
  <c r="AA63" i="302"/>
  <c r="AA62" i="302"/>
  <c r="AA65" i="302"/>
  <c r="Z61" i="302"/>
  <c r="Y61" i="302"/>
  <c r="Y57" i="302"/>
  <c r="Y74" i="302"/>
  <c r="X61" i="302"/>
  <c r="W61" i="302"/>
  <c r="V61" i="302"/>
  <c r="U61" i="302"/>
  <c r="T61" i="302"/>
  <c r="S61" i="302"/>
  <c r="R61" i="302"/>
  <c r="AA60" i="302"/>
  <c r="AA61" i="302"/>
  <c r="AA59" i="302"/>
  <c r="AA58" i="302"/>
  <c r="Z57" i="302"/>
  <c r="X57" i="302"/>
  <c r="W57" i="302"/>
  <c r="V57" i="302"/>
  <c r="V74" i="302"/>
  <c r="U57" i="302"/>
  <c r="U74" i="302"/>
  <c r="T57" i="302"/>
  <c r="T74" i="302"/>
  <c r="S57" i="302"/>
  <c r="S74" i="302"/>
  <c r="R57" i="302"/>
  <c r="Q57" i="302"/>
  <c r="P57" i="302"/>
  <c r="O57" i="302"/>
  <c r="N57" i="302"/>
  <c r="M57" i="302"/>
  <c r="M74" i="302"/>
  <c r="L57" i="302"/>
  <c r="L74" i="302"/>
  <c r="K57" i="302"/>
  <c r="K74" i="302"/>
  <c r="J57" i="302"/>
  <c r="I57" i="302"/>
  <c r="I74" i="302"/>
  <c r="H57" i="302"/>
  <c r="G57" i="302"/>
  <c r="F57" i="302"/>
  <c r="F74" i="302"/>
  <c r="E57" i="302"/>
  <c r="E74" i="302"/>
  <c r="AA56" i="302"/>
  <c r="AA55" i="302"/>
  <c r="AA54" i="302"/>
  <c r="Z49" i="302"/>
  <c r="Y49" i="302"/>
  <c r="X49" i="302"/>
  <c r="W49" i="302"/>
  <c r="V49" i="302"/>
  <c r="U49" i="302"/>
  <c r="T49" i="302"/>
  <c r="S49" i="302"/>
  <c r="R49" i="302"/>
  <c r="Q49" i="302"/>
  <c r="P49" i="302"/>
  <c r="O49" i="302"/>
  <c r="N49" i="302"/>
  <c r="M49" i="302"/>
  <c r="L49" i="302"/>
  <c r="K49" i="302"/>
  <c r="J49" i="302"/>
  <c r="I49" i="302"/>
  <c r="H49" i="302"/>
  <c r="G49" i="302"/>
  <c r="F49" i="302"/>
  <c r="E49" i="302"/>
  <c r="D49" i="302"/>
  <c r="C49" i="302"/>
  <c r="AA48" i="302"/>
  <c r="AA47" i="302"/>
  <c r="AA46" i="302"/>
  <c r="Z45" i="302"/>
  <c r="Y45" i="302"/>
  <c r="AA44" i="302"/>
  <c r="AA43" i="302"/>
  <c r="AA42" i="302"/>
  <c r="Z41" i="302"/>
  <c r="Y41" i="302"/>
  <c r="X41" i="302"/>
  <c r="W41" i="302"/>
  <c r="V41" i="302"/>
  <c r="U41" i="302"/>
  <c r="T41" i="302"/>
  <c r="S41" i="302"/>
  <c r="R41" i="302"/>
  <c r="Q41" i="302"/>
  <c r="P41" i="302"/>
  <c r="O41" i="302"/>
  <c r="N41" i="302"/>
  <c r="M41" i="302"/>
  <c r="L41" i="302"/>
  <c r="K41" i="302"/>
  <c r="J41" i="302"/>
  <c r="I41" i="302"/>
  <c r="H41" i="302"/>
  <c r="G41" i="302"/>
  <c r="F41" i="302"/>
  <c r="E41" i="302"/>
  <c r="D41" i="302"/>
  <c r="C41" i="302"/>
  <c r="AA40" i="302"/>
  <c r="AA41" i="302"/>
  <c r="AA39" i="302"/>
  <c r="AA38" i="302"/>
  <c r="Z37" i="302"/>
  <c r="Y37" i="302"/>
  <c r="X37" i="302"/>
  <c r="W37" i="302"/>
  <c r="V37" i="302"/>
  <c r="U37" i="302"/>
  <c r="T37" i="302"/>
  <c r="S37" i="302"/>
  <c r="R37" i="302"/>
  <c r="AA36" i="302"/>
  <c r="AA35" i="302"/>
  <c r="AA34" i="302"/>
  <c r="Z33" i="302"/>
  <c r="Y33" i="302"/>
  <c r="Y50" i="302"/>
  <c r="X33" i="302"/>
  <c r="X50" i="302"/>
  <c r="W33" i="302"/>
  <c r="W50" i="302"/>
  <c r="V33" i="302"/>
  <c r="V50" i="302"/>
  <c r="U33" i="302"/>
  <c r="U50" i="302"/>
  <c r="T33" i="302"/>
  <c r="S33" i="302"/>
  <c r="R33" i="302"/>
  <c r="Q33" i="302"/>
  <c r="Q50" i="302"/>
  <c r="P33" i="302"/>
  <c r="P50" i="302"/>
  <c r="O33" i="302"/>
  <c r="O50" i="302"/>
  <c r="N33" i="302"/>
  <c r="M33" i="302"/>
  <c r="M50" i="302"/>
  <c r="L33" i="302"/>
  <c r="K33" i="302"/>
  <c r="J33" i="302"/>
  <c r="J50" i="302"/>
  <c r="I33" i="302"/>
  <c r="I50" i="302"/>
  <c r="H33" i="302"/>
  <c r="H50" i="302"/>
  <c r="G33" i="302"/>
  <c r="G50" i="302"/>
  <c r="F33" i="302"/>
  <c r="F50" i="302"/>
  <c r="E33" i="302"/>
  <c r="E50" i="302"/>
  <c r="D33" i="302"/>
  <c r="C33" i="302"/>
  <c r="AA32" i="302"/>
  <c r="AA31" i="302"/>
  <c r="AA30" i="302"/>
  <c r="Z25" i="302"/>
  <c r="Y25" i="302"/>
  <c r="X25" i="302"/>
  <c r="W25" i="302"/>
  <c r="V25" i="302"/>
  <c r="U25" i="302"/>
  <c r="T25" i="302"/>
  <c r="S25" i="302"/>
  <c r="R25" i="302"/>
  <c r="Q25" i="302"/>
  <c r="P25" i="302"/>
  <c r="O25" i="302"/>
  <c r="N25" i="302"/>
  <c r="M25" i="302"/>
  <c r="L25" i="302"/>
  <c r="K25" i="302"/>
  <c r="J25" i="302"/>
  <c r="I25" i="302"/>
  <c r="H25" i="302"/>
  <c r="G25" i="302"/>
  <c r="F25" i="302"/>
  <c r="E25" i="302"/>
  <c r="D25" i="302"/>
  <c r="C25" i="302"/>
  <c r="AA24" i="302"/>
  <c r="AA22" i="302"/>
  <c r="AA23" i="302"/>
  <c r="Z21" i="302"/>
  <c r="AA20" i="302"/>
  <c r="AA18" i="302"/>
  <c r="AA19" i="302"/>
  <c r="AA14" i="302"/>
  <c r="AA15" i="302"/>
  <c r="AA16" i="302"/>
  <c r="Z17" i="302"/>
  <c r="Y17" i="302"/>
  <c r="X17" i="302"/>
  <c r="W17" i="302"/>
  <c r="V17" i="302"/>
  <c r="U17" i="302"/>
  <c r="T17" i="302"/>
  <c r="S17" i="302"/>
  <c r="R17" i="302"/>
  <c r="Q17" i="302"/>
  <c r="P17" i="302"/>
  <c r="O17" i="302"/>
  <c r="N17" i="302"/>
  <c r="M17" i="302"/>
  <c r="L17" i="302"/>
  <c r="K17" i="302"/>
  <c r="J17" i="302"/>
  <c r="I17" i="302"/>
  <c r="H17" i="302"/>
  <c r="G17" i="302"/>
  <c r="F17" i="302"/>
  <c r="E17" i="302"/>
  <c r="D17" i="302"/>
  <c r="C17" i="302"/>
  <c r="Z13" i="302"/>
  <c r="Y13" i="302"/>
  <c r="X13" i="302"/>
  <c r="W13" i="302"/>
  <c r="V13" i="302"/>
  <c r="U13" i="302"/>
  <c r="T13" i="302"/>
  <c r="S13" i="302"/>
  <c r="R13" i="302"/>
  <c r="AA12" i="302"/>
  <c r="AA11" i="302"/>
  <c r="AA13" i="302"/>
  <c r="AA10" i="302"/>
  <c r="Z9" i="302"/>
  <c r="Y9" i="302"/>
  <c r="Y26" i="302"/>
  <c r="X9" i="302"/>
  <c r="X26" i="302"/>
  <c r="W9" i="302"/>
  <c r="V9" i="302"/>
  <c r="U9" i="302"/>
  <c r="U26" i="302"/>
  <c r="T9" i="302"/>
  <c r="S9" i="302"/>
  <c r="R9" i="302"/>
  <c r="Q9" i="302"/>
  <c r="Q26" i="302"/>
  <c r="P9" i="302"/>
  <c r="O9" i="302"/>
  <c r="N9" i="302"/>
  <c r="N26" i="302"/>
  <c r="M9" i="302"/>
  <c r="M26" i="302"/>
  <c r="L9" i="302"/>
  <c r="K9" i="302"/>
  <c r="J9" i="302"/>
  <c r="J26" i="302"/>
  <c r="I9" i="302"/>
  <c r="I26" i="302"/>
  <c r="H9" i="302"/>
  <c r="H26" i="302"/>
  <c r="G9" i="302"/>
  <c r="F9" i="302"/>
  <c r="E9" i="302"/>
  <c r="E26" i="302"/>
  <c r="D9" i="302"/>
  <c r="C9" i="302"/>
  <c r="AA8" i="302"/>
  <c r="AA7" i="302"/>
  <c r="AA6" i="302"/>
  <c r="M29" i="292"/>
  <c r="L29" i="292"/>
  <c r="K29" i="292"/>
  <c r="J31" i="292"/>
  <c r="I31" i="292"/>
  <c r="H31" i="292"/>
  <c r="G30" i="292"/>
  <c r="N29" i="291"/>
  <c r="H29" i="291"/>
  <c r="G29" i="291"/>
  <c r="F29" i="291"/>
  <c r="E29" i="291"/>
  <c r="C29" i="291"/>
  <c r="N28" i="291"/>
  <c r="M28" i="291"/>
  <c r="L28" i="291"/>
  <c r="K28" i="291"/>
  <c r="J28" i="291"/>
  <c r="I28" i="291"/>
  <c r="N27" i="291"/>
  <c r="M27" i="291"/>
  <c r="L27" i="291"/>
  <c r="K27" i="291"/>
  <c r="J27" i="291"/>
  <c r="I27" i="291"/>
  <c r="N26" i="291"/>
  <c r="M26" i="291"/>
  <c r="L26" i="291"/>
  <c r="K26" i="291"/>
  <c r="J26" i="291"/>
  <c r="I26" i="291"/>
  <c r="N25" i="291"/>
  <c r="M25" i="291"/>
  <c r="L25" i="291"/>
  <c r="K25" i="291"/>
  <c r="J25" i="291"/>
  <c r="I25" i="291"/>
  <c r="N24" i="291"/>
  <c r="H24" i="291"/>
  <c r="G24" i="291"/>
  <c r="F24" i="291"/>
  <c r="E24" i="291"/>
  <c r="D24" i="291"/>
  <c r="N16" i="291"/>
  <c r="M16" i="291"/>
  <c r="L16" i="291"/>
  <c r="K16" i="291"/>
  <c r="J16" i="291"/>
  <c r="I16" i="291"/>
  <c r="H14" i="291"/>
  <c r="G14" i="291"/>
  <c r="F14" i="291"/>
  <c r="E14" i="291"/>
  <c r="C14" i="291"/>
  <c r="H13" i="291"/>
  <c r="H12" i="291"/>
  <c r="H28" i="291"/>
  <c r="G13" i="291"/>
  <c r="F13" i="291"/>
  <c r="F28" i="291"/>
  <c r="E13" i="291"/>
  <c r="D13" i="291"/>
  <c r="C13" i="291"/>
  <c r="C28" i="291"/>
  <c r="G12" i="291"/>
  <c r="E12" i="291"/>
  <c r="D12" i="291"/>
  <c r="C12" i="291"/>
  <c r="H11" i="291"/>
  <c r="G11" i="291"/>
  <c r="F11" i="291"/>
  <c r="E11" i="291"/>
  <c r="D11" i="291"/>
  <c r="C11" i="291"/>
  <c r="H10" i="291"/>
  <c r="G10" i="291"/>
  <c r="F10" i="291"/>
  <c r="F27" i="291"/>
  <c r="E10" i="291"/>
  <c r="D10" i="291"/>
  <c r="C10" i="291"/>
  <c r="C27" i="291"/>
  <c r="H9" i="291"/>
  <c r="G9" i="291"/>
  <c r="F9" i="291"/>
  <c r="E9" i="291"/>
  <c r="D9" i="291"/>
  <c r="C9" i="291"/>
  <c r="C8" i="291"/>
  <c r="C26" i="291"/>
  <c r="H8" i="291"/>
  <c r="G8" i="291"/>
  <c r="G26" i="291"/>
  <c r="F8" i="291"/>
  <c r="E8" i="291"/>
  <c r="E26" i="291"/>
  <c r="D8" i="291"/>
  <c r="H7" i="291"/>
  <c r="G7" i="291"/>
  <c r="F7" i="291"/>
  <c r="E7" i="291"/>
  <c r="D7" i="291"/>
  <c r="C7" i="291"/>
  <c r="C25" i="291"/>
  <c r="H6" i="291"/>
  <c r="G6" i="291"/>
  <c r="F6" i="291"/>
  <c r="F25" i="291"/>
  <c r="E6" i="291"/>
  <c r="D6" i="291"/>
  <c r="D5" i="291"/>
  <c r="D16" i="291"/>
  <c r="H5" i="291"/>
  <c r="H16" i="291"/>
  <c r="G5" i="291"/>
  <c r="F5" i="291"/>
  <c r="E5" i="291"/>
  <c r="AE137" i="295"/>
  <c r="AE138" i="295"/>
  <c r="AF138" i="295"/>
  <c r="AD137" i="295"/>
  <c r="AB137" i="295"/>
  <c r="AA137" i="295"/>
  <c r="Y137" i="295"/>
  <c r="X137" i="295"/>
  <c r="V137" i="295"/>
  <c r="U137" i="295"/>
  <c r="S137" i="295"/>
  <c r="S143" i="295"/>
  <c r="R137" i="295"/>
  <c r="P137" i="295"/>
  <c r="O137" i="295"/>
  <c r="M137" i="295"/>
  <c r="L137" i="295"/>
  <c r="J137" i="295"/>
  <c r="I137" i="295"/>
  <c r="G137" i="295"/>
  <c r="F137" i="295"/>
  <c r="D137" i="295"/>
  <c r="C137" i="295"/>
  <c r="AE136" i="295"/>
  <c r="AD136" i="295"/>
  <c r="AB136" i="295"/>
  <c r="AA136" i="295"/>
  <c r="AA135" i="295"/>
  <c r="AA138" i="295"/>
  <c r="AB135" i="295"/>
  <c r="Y136" i="295"/>
  <c r="X136" i="295"/>
  <c r="V136" i="295"/>
  <c r="U136" i="295"/>
  <c r="U135" i="295"/>
  <c r="U138" i="295"/>
  <c r="S136" i="295"/>
  <c r="R136" i="295"/>
  <c r="R138" i="295"/>
  <c r="P136" i="295"/>
  <c r="O136" i="295"/>
  <c r="M136" i="295"/>
  <c r="L136" i="295"/>
  <c r="J136" i="295"/>
  <c r="I136" i="295"/>
  <c r="G136" i="295"/>
  <c r="F136" i="295"/>
  <c r="D136" i="295"/>
  <c r="C136" i="295"/>
  <c r="AE135" i="295"/>
  <c r="AD135" i="295"/>
  <c r="AD138" i="295"/>
  <c r="Y135" i="295"/>
  <c r="X135" i="295"/>
  <c r="X138" i="295"/>
  <c r="V135" i="295"/>
  <c r="S135" i="295"/>
  <c r="S138" i="295"/>
  <c r="R135" i="295"/>
  <c r="P135" i="295"/>
  <c r="O135" i="295"/>
  <c r="M135" i="295"/>
  <c r="L135" i="295"/>
  <c r="J135" i="295"/>
  <c r="I135" i="295"/>
  <c r="G135" i="295"/>
  <c r="F135" i="295"/>
  <c r="D135" i="295"/>
  <c r="C135" i="295"/>
  <c r="AE132" i="295"/>
  <c r="AD132" i="295"/>
  <c r="AB132" i="295"/>
  <c r="AB127" i="295"/>
  <c r="AB142" i="295"/>
  <c r="AA132" i="295"/>
  <c r="Y132" i="295"/>
  <c r="X132" i="295"/>
  <c r="V132" i="295"/>
  <c r="U132" i="295"/>
  <c r="U127" i="295"/>
  <c r="U142" i="295"/>
  <c r="S132" i="295"/>
  <c r="R132" i="295"/>
  <c r="Q132" i="295"/>
  <c r="P132" i="295"/>
  <c r="O132" i="295"/>
  <c r="AE131" i="295"/>
  <c r="AD131" i="295"/>
  <c r="AB131" i="295"/>
  <c r="AA131" i="295"/>
  <c r="Y131" i="295"/>
  <c r="Y133" i="295"/>
  <c r="X131" i="295"/>
  <c r="V131" i="295"/>
  <c r="U131" i="295"/>
  <c r="S131" i="295"/>
  <c r="R131" i="295"/>
  <c r="Q131" i="295"/>
  <c r="Q130" i="295"/>
  <c r="P131" i="295"/>
  <c r="P141" i="295"/>
  <c r="O131" i="295"/>
  <c r="AE130" i="295"/>
  <c r="AD130" i="295"/>
  <c r="AB130" i="295"/>
  <c r="AA130" i="295"/>
  <c r="Y130" i="295"/>
  <c r="X130" i="295"/>
  <c r="V130" i="295"/>
  <c r="V140" i="295"/>
  <c r="U130" i="295"/>
  <c r="S130" i="295"/>
  <c r="S133" i="295"/>
  <c r="R130" i="295"/>
  <c r="P130" i="295"/>
  <c r="O130" i="295"/>
  <c r="AE127" i="295"/>
  <c r="AE142" i="295"/>
  <c r="AD127" i="295"/>
  <c r="AA127" i="295"/>
  <c r="AA142" i="295"/>
  <c r="AC142" i="295"/>
  <c r="Y127" i="295"/>
  <c r="Y142" i="295"/>
  <c r="X127" i="295"/>
  <c r="X142" i="295"/>
  <c r="V127" i="295"/>
  <c r="S127" i="295"/>
  <c r="S142" i="295"/>
  <c r="R127" i="295"/>
  <c r="P127" i="295"/>
  <c r="O127" i="295"/>
  <c r="M127" i="295"/>
  <c r="M142" i="295"/>
  <c r="L127" i="295"/>
  <c r="L142" i="295"/>
  <c r="J127" i="295"/>
  <c r="I127" i="295"/>
  <c r="G127" i="295"/>
  <c r="G142" i="295"/>
  <c r="F127" i="295"/>
  <c r="D127" i="295"/>
  <c r="C127" i="295"/>
  <c r="C142" i="295"/>
  <c r="AE126" i="295"/>
  <c r="AE141" i="295"/>
  <c r="AD126" i="295"/>
  <c r="AB126" i="295"/>
  <c r="AB125" i="295"/>
  <c r="AA126" i="295"/>
  <c r="Y126" i="295"/>
  <c r="X126" i="295"/>
  <c r="X128" i="295"/>
  <c r="V126" i="295"/>
  <c r="U126" i="295"/>
  <c r="S126" i="295"/>
  <c r="R126" i="295"/>
  <c r="P126" i="295"/>
  <c r="O126" i="295"/>
  <c r="M126" i="295"/>
  <c r="L126" i="295"/>
  <c r="L125" i="295"/>
  <c r="J126" i="295"/>
  <c r="J128" i="295"/>
  <c r="I126" i="295"/>
  <c r="G126" i="295"/>
  <c r="F126" i="295"/>
  <c r="D126" i="295"/>
  <c r="C126" i="295"/>
  <c r="AE125" i="295"/>
  <c r="AD125" i="295"/>
  <c r="AA125" i="295"/>
  <c r="AA128" i="295"/>
  <c r="Y125" i="295"/>
  <c r="Y128" i="295"/>
  <c r="X125" i="295"/>
  <c r="V125" i="295"/>
  <c r="U125" i="295"/>
  <c r="S125" i="295"/>
  <c r="R125" i="295"/>
  <c r="P125" i="295"/>
  <c r="P140" i="295"/>
  <c r="O125" i="295"/>
  <c r="O128" i="295"/>
  <c r="M125" i="295"/>
  <c r="J125" i="295"/>
  <c r="I125" i="295"/>
  <c r="G125" i="295"/>
  <c r="F125" i="295"/>
  <c r="F128" i="295"/>
  <c r="D125" i="295"/>
  <c r="C125" i="295"/>
  <c r="C128" i="295"/>
  <c r="AE122" i="295"/>
  <c r="AE145" i="295"/>
  <c r="AD122" i="295"/>
  <c r="AD145" i="295"/>
  <c r="AB122" i="295"/>
  <c r="AB145" i="295"/>
  <c r="AA122" i="295"/>
  <c r="AA145" i="295"/>
  <c r="Y122" i="295"/>
  <c r="Y145" i="295"/>
  <c r="X122" i="295"/>
  <c r="X145" i="295"/>
  <c r="V122" i="295"/>
  <c r="V145" i="295"/>
  <c r="U122" i="295"/>
  <c r="U145" i="295"/>
  <c r="W145" i="295"/>
  <c r="S122" i="295"/>
  <c r="S145" i="295"/>
  <c r="R122" i="295"/>
  <c r="R145" i="295"/>
  <c r="P122" i="295"/>
  <c r="P145" i="295"/>
  <c r="O122" i="295"/>
  <c r="O145" i="295"/>
  <c r="M122" i="295"/>
  <c r="M145" i="295"/>
  <c r="L122" i="295"/>
  <c r="L145" i="295"/>
  <c r="J122" i="295"/>
  <c r="J145" i="295"/>
  <c r="I122" i="295"/>
  <c r="I145" i="295"/>
  <c r="H122" i="295"/>
  <c r="H145" i="295"/>
  <c r="G122" i="295"/>
  <c r="G145" i="295"/>
  <c r="F122" i="295"/>
  <c r="F145" i="295"/>
  <c r="E122" i="295"/>
  <c r="E145" i="295"/>
  <c r="D122" i="295"/>
  <c r="D145" i="295"/>
  <c r="C122" i="295"/>
  <c r="C145" i="295"/>
  <c r="AE121" i="295"/>
  <c r="AE144" i="295"/>
  <c r="AD121" i="295"/>
  <c r="AD144" i="295"/>
  <c r="AF144" i="295"/>
  <c r="AB121" i="295"/>
  <c r="AB144" i="295"/>
  <c r="AA121" i="295"/>
  <c r="AA144" i="295"/>
  <c r="Y121" i="295"/>
  <c r="Y144" i="295"/>
  <c r="X121" i="295"/>
  <c r="X144" i="295"/>
  <c r="V121" i="295"/>
  <c r="V144" i="295"/>
  <c r="U121" i="295"/>
  <c r="S121" i="295"/>
  <c r="S144" i="295"/>
  <c r="T144" i="295"/>
  <c r="R121" i="295"/>
  <c r="R144" i="295"/>
  <c r="P121" i="295"/>
  <c r="P144" i="295"/>
  <c r="O121" i="295"/>
  <c r="O144" i="295"/>
  <c r="M121" i="295"/>
  <c r="M144" i="295"/>
  <c r="L121" i="295"/>
  <c r="L144" i="295"/>
  <c r="J121" i="295"/>
  <c r="J144" i="295"/>
  <c r="I121" i="295"/>
  <c r="I144" i="295"/>
  <c r="H121" i="295"/>
  <c r="H144" i="295"/>
  <c r="G121" i="295"/>
  <c r="G144" i="295"/>
  <c r="F121" i="295"/>
  <c r="E121" i="295"/>
  <c r="E144" i="295"/>
  <c r="D121" i="295"/>
  <c r="C121" i="295"/>
  <c r="C144" i="295"/>
  <c r="AE120" i="295"/>
  <c r="AD120" i="295"/>
  <c r="AD123" i="295"/>
  <c r="AF123" i="295"/>
  <c r="AB120" i="295"/>
  <c r="AB123" i="295"/>
  <c r="AA120" i="295"/>
  <c r="Y120" i="295"/>
  <c r="X120" i="295"/>
  <c r="V120" i="295"/>
  <c r="U120" i="295"/>
  <c r="S120" i="295"/>
  <c r="R120" i="295"/>
  <c r="R123" i="295"/>
  <c r="P120" i="295"/>
  <c r="O120" i="295"/>
  <c r="M120" i="295"/>
  <c r="L120" i="295"/>
  <c r="J120" i="295"/>
  <c r="I120" i="295"/>
  <c r="H120" i="295"/>
  <c r="G120" i="295"/>
  <c r="G123" i="295"/>
  <c r="F120" i="295"/>
  <c r="E120" i="295"/>
  <c r="E123" i="295"/>
  <c r="D120" i="295"/>
  <c r="C120" i="295"/>
  <c r="AE117" i="295"/>
  <c r="AD117" i="295"/>
  <c r="AB117" i="295"/>
  <c r="AB143" i="295"/>
  <c r="AA117" i="295"/>
  <c r="AA143" i="295"/>
  <c r="Y117" i="295"/>
  <c r="Y143" i="295"/>
  <c r="X117" i="295"/>
  <c r="X143" i="295"/>
  <c r="V117" i="295"/>
  <c r="U117" i="295"/>
  <c r="U143" i="295"/>
  <c r="S117" i="295"/>
  <c r="R117" i="295"/>
  <c r="R143" i="295"/>
  <c r="P117" i="295"/>
  <c r="P143" i="295"/>
  <c r="O117" i="295"/>
  <c r="O143" i="295"/>
  <c r="O146" i="295"/>
  <c r="M117" i="295"/>
  <c r="M143" i="295"/>
  <c r="L117" i="295"/>
  <c r="L143" i="295"/>
  <c r="J117" i="295"/>
  <c r="J143" i="295"/>
  <c r="I117" i="295"/>
  <c r="I143" i="295"/>
  <c r="G117" i="295"/>
  <c r="G143" i="295"/>
  <c r="F117" i="295"/>
  <c r="F143" i="295"/>
  <c r="D117" i="295"/>
  <c r="D143" i="295"/>
  <c r="C117" i="295"/>
  <c r="C143" i="295"/>
  <c r="AE116" i="295"/>
  <c r="AD116" i="295"/>
  <c r="AB116" i="295"/>
  <c r="AA116" i="295"/>
  <c r="AA141" i="295"/>
  <c r="Y116" i="295"/>
  <c r="X116" i="295"/>
  <c r="V116" i="295"/>
  <c r="U116" i="295"/>
  <c r="S116" i="295"/>
  <c r="S141" i="295"/>
  <c r="R116" i="295"/>
  <c r="P116" i="295"/>
  <c r="O116" i="295"/>
  <c r="M116" i="295"/>
  <c r="L116" i="295"/>
  <c r="J116" i="295"/>
  <c r="I116" i="295"/>
  <c r="I141" i="295"/>
  <c r="G116" i="295"/>
  <c r="G141" i="295"/>
  <c r="F116" i="295"/>
  <c r="D116" i="295"/>
  <c r="D141" i="295"/>
  <c r="C116" i="295"/>
  <c r="AE115" i="295"/>
  <c r="AD115" i="295"/>
  <c r="AB115" i="295"/>
  <c r="AB140" i="295"/>
  <c r="AA115" i="295"/>
  <c r="Y115" i="295"/>
  <c r="Y140" i="295"/>
  <c r="X115" i="295"/>
  <c r="V115" i="295"/>
  <c r="U115" i="295"/>
  <c r="U140" i="295"/>
  <c r="S115" i="295"/>
  <c r="R115" i="295"/>
  <c r="P115" i="295"/>
  <c r="P118" i="295"/>
  <c r="O115" i="295"/>
  <c r="M115" i="295"/>
  <c r="M118" i="295"/>
  <c r="L115" i="295"/>
  <c r="L140" i="295"/>
  <c r="J115" i="295"/>
  <c r="I115" i="295"/>
  <c r="I140" i="295"/>
  <c r="G115" i="295"/>
  <c r="F115" i="295"/>
  <c r="D115" i="295"/>
  <c r="C115" i="295"/>
  <c r="AE107" i="295"/>
  <c r="AD107" i="295"/>
  <c r="AB107" i="295"/>
  <c r="AA107" i="295"/>
  <c r="Y107" i="295"/>
  <c r="X107" i="295"/>
  <c r="AE106" i="295"/>
  <c r="AD106" i="295"/>
  <c r="AB106" i="295"/>
  <c r="AA106" i="295"/>
  <c r="Y106" i="295"/>
  <c r="X106" i="295"/>
  <c r="V106" i="295"/>
  <c r="U106" i="295"/>
  <c r="AE105" i="295"/>
  <c r="AD105" i="295"/>
  <c r="AB105" i="295"/>
  <c r="AA105" i="295"/>
  <c r="Y105" i="295"/>
  <c r="X105" i="295"/>
  <c r="V105" i="295"/>
  <c r="U105" i="295"/>
  <c r="S105" i="295"/>
  <c r="R105" i="295"/>
  <c r="P105" i="295"/>
  <c r="O105" i="295"/>
  <c r="M105" i="295"/>
  <c r="L105" i="295"/>
  <c r="J105" i="295"/>
  <c r="I105" i="295"/>
  <c r="G105" i="295"/>
  <c r="F105" i="295"/>
  <c r="D105" i="295"/>
  <c r="C105" i="295"/>
  <c r="AE104" i="295"/>
  <c r="AD104" i="295"/>
  <c r="AB104" i="295"/>
  <c r="AA104" i="295"/>
  <c r="Y104" i="295"/>
  <c r="X104" i="295"/>
  <c r="V104" i="295"/>
  <c r="U104" i="295"/>
  <c r="S104" i="295"/>
  <c r="R104" i="295"/>
  <c r="P104" i="295"/>
  <c r="O104" i="295"/>
  <c r="M104" i="295"/>
  <c r="L104" i="295"/>
  <c r="J104" i="295"/>
  <c r="J108" i="295"/>
  <c r="I104" i="295"/>
  <c r="G104" i="295"/>
  <c r="F104" i="295"/>
  <c r="D104" i="295"/>
  <c r="C104" i="295"/>
  <c r="AE103" i="295"/>
  <c r="AD103" i="295"/>
  <c r="AB103" i="295"/>
  <c r="AB108" i="295"/>
  <c r="AC108" i="295"/>
  <c r="AA103" i="295"/>
  <c r="Y103" i="295"/>
  <c r="X103" i="295"/>
  <c r="V103" i="295"/>
  <c r="U103" i="295"/>
  <c r="S103" i="295"/>
  <c r="R103" i="295"/>
  <c r="P103" i="295"/>
  <c r="O103" i="295"/>
  <c r="M103" i="295"/>
  <c r="L103" i="295"/>
  <c r="J103" i="295"/>
  <c r="I103" i="295"/>
  <c r="G103" i="295"/>
  <c r="F103" i="295"/>
  <c r="D103" i="295"/>
  <c r="C103" i="295"/>
  <c r="AE102" i="295"/>
  <c r="AD102" i="295"/>
  <c r="AD108" i="295"/>
  <c r="AB102" i="295"/>
  <c r="AA102" i="295"/>
  <c r="Y102" i="295"/>
  <c r="Y108" i="295"/>
  <c r="X102" i="295"/>
  <c r="X108" i="295"/>
  <c r="Z108" i="295"/>
  <c r="V102" i="295"/>
  <c r="U102" i="295"/>
  <c r="U108" i="295"/>
  <c r="S102" i="295"/>
  <c r="R102" i="295"/>
  <c r="P102" i="295"/>
  <c r="O102" i="295"/>
  <c r="O108" i="295"/>
  <c r="M102" i="295"/>
  <c r="M108" i="295"/>
  <c r="L102" i="295"/>
  <c r="J102" i="295"/>
  <c r="I102" i="295"/>
  <c r="G102" i="295"/>
  <c r="F102" i="295"/>
  <c r="F108" i="295"/>
  <c r="D102" i="295"/>
  <c r="C102" i="295"/>
  <c r="C108" i="295"/>
  <c r="AE100" i="295"/>
  <c r="AF100" i="295"/>
  <c r="AD100" i="295"/>
  <c r="AB100" i="295"/>
  <c r="AA100" i="295"/>
  <c r="Y100" i="295"/>
  <c r="X100" i="295"/>
  <c r="V100" i="295"/>
  <c r="U100" i="295"/>
  <c r="S100" i="295"/>
  <c r="R100" i="295"/>
  <c r="P100" i="295"/>
  <c r="O100" i="295"/>
  <c r="M100" i="295"/>
  <c r="L100" i="295"/>
  <c r="J100" i="295"/>
  <c r="I100" i="295"/>
  <c r="G100" i="295"/>
  <c r="F100" i="295"/>
  <c r="D100" i="295"/>
  <c r="C100" i="295"/>
  <c r="AF99" i="295"/>
  <c r="AC99" i="295"/>
  <c r="Z99" i="295"/>
  <c r="W99" i="295"/>
  <c r="T99" i="295"/>
  <c r="T105" i="295"/>
  <c r="Q99" i="295"/>
  <c r="N99" i="295"/>
  <c r="K99" i="295"/>
  <c r="H99" i="295"/>
  <c r="E99" i="295"/>
  <c r="AF98" i="295"/>
  <c r="AC98" i="295"/>
  <c r="Z98" i="295"/>
  <c r="Z104" i="295"/>
  <c r="W98" i="295"/>
  <c r="T98" i="295"/>
  <c r="Q98" i="295"/>
  <c r="N98" i="295"/>
  <c r="K98" i="295"/>
  <c r="H98" i="295"/>
  <c r="E98" i="295"/>
  <c r="E97" i="295"/>
  <c r="E103" i="295"/>
  <c r="AF97" i="295"/>
  <c r="AC97" i="295"/>
  <c r="Z97" i="295"/>
  <c r="W97" i="295"/>
  <c r="T97" i="295"/>
  <c r="Q97" i="295"/>
  <c r="N97" i="295"/>
  <c r="K97" i="295"/>
  <c r="K100" i="295"/>
  <c r="H97" i="295"/>
  <c r="AE95" i="295"/>
  <c r="AD95" i="295"/>
  <c r="AB95" i="295"/>
  <c r="AA95" i="295"/>
  <c r="Y95" i="295"/>
  <c r="X95" i="295"/>
  <c r="V95" i="295"/>
  <c r="U95" i="295"/>
  <c r="S95" i="295"/>
  <c r="R95" i="295"/>
  <c r="P95" i="295"/>
  <c r="O95" i="295"/>
  <c r="Q95" i="295"/>
  <c r="M95" i="295"/>
  <c r="L95" i="295"/>
  <c r="J95" i="295"/>
  <c r="I95" i="295"/>
  <c r="G95" i="295"/>
  <c r="F95" i="295"/>
  <c r="D95" i="295"/>
  <c r="C95" i="295"/>
  <c r="AF94" i="295"/>
  <c r="AF104" i="295"/>
  <c r="AF108" i="295"/>
  <c r="AC94" i="295"/>
  <c r="AC104" i="295"/>
  <c r="Z94" i="295"/>
  <c r="W94" i="295"/>
  <c r="W104" i="295"/>
  <c r="T94" i="295"/>
  <c r="T104" i="295"/>
  <c r="Q94" i="295"/>
  <c r="Q104" i="295"/>
  <c r="N94" i="295"/>
  <c r="K94" i="295"/>
  <c r="H94" i="295"/>
  <c r="E94" i="295"/>
  <c r="E104" i="295"/>
  <c r="AF93" i="295"/>
  <c r="AC93" i="295"/>
  <c r="Z93" i="295"/>
  <c r="W93" i="295"/>
  <c r="T93" i="295"/>
  <c r="Q93" i="295"/>
  <c r="N93" i="295"/>
  <c r="K93" i="295"/>
  <c r="H93" i="295"/>
  <c r="E93" i="295"/>
  <c r="AF92" i="295"/>
  <c r="AC92" i="295"/>
  <c r="Z92" i="295"/>
  <c r="W92" i="295"/>
  <c r="T92" i="295"/>
  <c r="Q92" i="295"/>
  <c r="N92" i="295"/>
  <c r="K92" i="295"/>
  <c r="K95" i="295"/>
  <c r="H92" i="295"/>
  <c r="E92" i="295"/>
  <c r="E125" i="295"/>
  <c r="AE90" i="295"/>
  <c r="AD90" i="295"/>
  <c r="AB90" i="295"/>
  <c r="AA90" i="295"/>
  <c r="Y90" i="295"/>
  <c r="X90" i="295"/>
  <c r="V90" i="295"/>
  <c r="U90" i="295"/>
  <c r="W90" i="295"/>
  <c r="AF89" i="295"/>
  <c r="AF107" i="295"/>
  <c r="AC89" i="295"/>
  <c r="AC107" i="295"/>
  <c r="Z89" i="295"/>
  <c r="Z107" i="295"/>
  <c r="AF88" i="295"/>
  <c r="AF106" i="295"/>
  <c r="AC88" i="295"/>
  <c r="AC106" i="295"/>
  <c r="Z88" i="295"/>
  <c r="Z106" i="295"/>
  <c r="W88" i="295"/>
  <c r="W121" i="295"/>
  <c r="AF87" i="295"/>
  <c r="AC87" i="295"/>
  <c r="Z87" i="295"/>
  <c r="W87" i="295"/>
  <c r="AE85" i="295"/>
  <c r="AD85" i="295"/>
  <c r="AB85" i="295"/>
  <c r="AA85" i="295"/>
  <c r="Y85" i="295"/>
  <c r="X85" i="295"/>
  <c r="V85" i="295"/>
  <c r="U85" i="295"/>
  <c r="S85" i="295"/>
  <c r="R85" i="295"/>
  <c r="P85" i="295"/>
  <c r="O85" i="295"/>
  <c r="Q85" i="295"/>
  <c r="M85" i="295"/>
  <c r="L85" i="295"/>
  <c r="J85" i="295"/>
  <c r="I85" i="295"/>
  <c r="G85" i="295"/>
  <c r="F85" i="295"/>
  <c r="D85" i="295"/>
  <c r="C85" i="295"/>
  <c r="AF84" i="295"/>
  <c r="AC84" i="295"/>
  <c r="Z84" i="295"/>
  <c r="W84" i="295"/>
  <c r="W105" i="295"/>
  <c r="T84" i="295"/>
  <c r="Q84" i="295"/>
  <c r="Q105" i="295"/>
  <c r="N84" i="295"/>
  <c r="K84" i="295"/>
  <c r="K117" i="295"/>
  <c r="H84" i="295"/>
  <c r="E84" i="295"/>
  <c r="AF83" i="295"/>
  <c r="AC83" i="295"/>
  <c r="Z83" i="295"/>
  <c r="W83" i="295"/>
  <c r="T83" i="295"/>
  <c r="Q83" i="295"/>
  <c r="Q103" i="295"/>
  <c r="N83" i="295"/>
  <c r="K83" i="295"/>
  <c r="H83" i="295"/>
  <c r="E83" i="295"/>
  <c r="AF82" i="295"/>
  <c r="AF102" i="295"/>
  <c r="AC82" i="295"/>
  <c r="Z82" i="295"/>
  <c r="Z102" i="295"/>
  <c r="W82" i="295"/>
  <c r="W102" i="295"/>
  <c r="T82" i="295"/>
  <c r="Q82" i="295"/>
  <c r="Q102" i="295"/>
  <c r="N82" i="295"/>
  <c r="K82" i="295"/>
  <c r="H82" i="295"/>
  <c r="E82" i="295"/>
  <c r="AE74" i="295"/>
  <c r="AD74" i="295"/>
  <c r="AF74" i="295"/>
  <c r="AB74" i="295"/>
  <c r="AA74" i="295"/>
  <c r="Y74" i="295"/>
  <c r="X74" i="295"/>
  <c r="V74" i="295"/>
  <c r="U74" i="295"/>
  <c r="S74" i="295"/>
  <c r="R74" i="295"/>
  <c r="P74" i="295"/>
  <c r="O74" i="295"/>
  <c r="M74" i="295"/>
  <c r="L74" i="295"/>
  <c r="J74" i="295"/>
  <c r="I74" i="295"/>
  <c r="H74" i="295"/>
  <c r="G74" i="295"/>
  <c r="G75" i="295"/>
  <c r="F74" i="295"/>
  <c r="E74" i="295"/>
  <c r="D74" i="295"/>
  <c r="C74" i="295"/>
  <c r="AE73" i="295"/>
  <c r="AD73" i="295"/>
  <c r="AB73" i="295"/>
  <c r="AA73" i="295"/>
  <c r="AA75" i="295"/>
  <c r="AC75" i="295"/>
  <c r="Y73" i="295"/>
  <c r="X73" i="295"/>
  <c r="V73" i="295"/>
  <c r="U73" i="295"/>
  <c r="S73" i="295"/>
  <c r="R73" i="295"/>
  <c r="P73" i="295"/>
  <c r="O73" i="295"/>
  <c r="O75" i="295"/>
  <c r="Q75" i="295"/>
  <c r="M73" i="295"/>
  <c r="L73" i="295"/>
  <c r="J73" i="295"/>
  <c r="I73" i="295"/>
  <c r="H73" i="295"/>
  <c r="G73" i="295"/>
  <c r="F73" i="295"/>
  <c r="E73" i="295"/>
  <c r="D73" i="295"/>
  <c r="C73" i="295"/>
  <c r="AE72" i="295"/>
  <c r="AD72" i="295"/>
  <c r="AF72" i="295"/>
  <c r="AB72" i="295"/>
  <c r="AA72" i="295"/>
  <c r="Y72" i="295"/>
  <c r="X72" i="295"/>
  <c r="Z72" i="295"/>
  <c r="V72" i="295"/>
  <c r="U72" i="295"/>
  <c r="S72" i="295"/>
  <c r="R72" i="295"/>
  <c r="P72" i="295"/>
  <c r="O72" i="295"/>
  <c r="Q72" i="295"/>
  <c r="M72" i="295"/>
  <c r="L72" i="295"/>
  <c r="N72" i="295"/>
  <c r="J72" i="295"/>
  <c r="I72" i="295"/>
  <c r="G72" i="295"/>
  <c r="F72" i="295"/>
  <c r="D72" i="295"/>
  <c r="C72" i="295"/>
  <c r="AE71" i="295"/>
  <c r="AD71" i="295"/>
  <c r="AF71" i="295"/>
  <c r="AB71" i="295"/>
  <c r="AA71" i="295"/>
  <c r="Y71" i="295"/>
  <c r="X71" i="295"/>
  <c r="V71" i="295"/>
  <c r="U71" i="295"/>
  <c r="S71" i="295"/>
  <c r="R71" i="295"/>
  <c r="P71" i="295"/>
  <c r="O71" i="295"/>
  <c r="M71" i="295"/>
  <c r="L71" i="295"/>
  <c r="J71" i="295"/>
  <c r="I71" i="295"/>
  <c r="G71" i="295"/>
  <c r="F71" i="295"/>
  <c r="D71" i="295"/>
  <c r="C71" i="295"/>
  <c r="AE70" i="295"/>
  <c r="AD70" i="295"/>
  <c r="AB70" i="295"/>
  <c r="AA70" i="295"/>
  <c r="Y70" i="295"/>
  <c r="X70" i="295"/>
  <c r="Z70" i="295"/>
  <c r="V70" i="295"/>
  <c r="U70" i="295"/>
  <c r="S70" i="295"/>
  <c r="R70" i="295"/>
  <c r="P70" i="295"/>
  <c r="O70" i="295"/>
  <c r="M70" i="295"/>
  <c r="L70" i="295"/>
  <c r="N70" i="295"/>
  <c r="J70" i="295"/>
  <c r="I70" i="295"/>
  <c r="G70" i="295"/>
  <c r="F70" i="295"/>
  <c r="D70" i="295"/>
  <c r="C70" i="295"/>
  <c r="AE69" i="295"/>
  <c r="AD69" i="295"/>
  <c r="AD75" i="295"/>
  <c r="AF75" i="295"/>
  <c r="AB69" i="295"/>
  <c r="AA69" i="295"/>
  <c r="Y69" i="295"/>
  <c r="X69" i="295"/>
  <c r="V69" i="295"/>
  <c r="U69" i="295"/>
  <c r="S69" i="295"/>
  <c r="R69" i="295"/>
  <c r="R75" i="295"/>
  <c r="T75" i="295"/>
  <c r="P69" i="295"/>
  <c r="O69" i="295"/>
  <c r="M69" i="295"/>
  <c r="L69" i="295"/>
  <c r="J69" i="295"/>
  <c r="I69" i="295"/>
  <c r="G69" i="295"/>
  <c r="F69" i="295"/>
  <c r="F75" i="295"/>
  <c r="D69" i="295"/>
  <c r="C69" i="295"/>
  <c r="AE67" i="295"/>
  <c r="AD67" i="295"/>
  <c r="AB67" i="295"/>
  <c r="AA67" i="295"/>
  <c r="Y67" i="295"/>
  <c r="X67" i="295"/>
  <c r="V67" i="295"/>
  <c r="U67" i="295"/>
  <c r="S67" i="295"/>
  <c r="R67" i="295"/>
  <c r="P67" i="295"/>
  <c r="P138" i="295"/>
  <c r="O67" i="295"/>
  <c r="M67" i="295"/>
  <c r="M138" i="295"/>
  <c r="L67" i="295"/>
  <c r="J67" i="295"/>
  <c r="I67" i="295"/>
  <c r="I138" i="295"/>
  <c r="G67" i="295"/>
  <c r="F67" i="295"/>
  <c r="D67" i="295"/>
  <c r="C67" i="295"/>
  <c r="C138" i="295"/>
  <c r="AF66" i="295"/>
  <c r="AC66" i="295"/>
  <c r="Z66" i="295"/>
  <c r="W66" i="295"/>
  <c r="T66" i="295"/>
  <c r="Q66" i="295"/>
  <c r="Q137" i="295"/>
  <c r="N66" i="295"/>
  <c r="K66" i="295"/>
  <c r="K72" i="295"/>
  <c r="H66" i="295"/>
  <c r="E66" i="295"/>
  <c r="E137" i="295"/>
  <c r="AF65" i="295"/>
  <c r="AC65" i="295"/>
  <c r="Z65" i="295"/>
  <c r="W65" i="295"/>
  <c r="T65" i="295"/>
  <c r="Q65" i="295"/>
  <c r="Q136" i="295"/>
  <c r="Q142" i="295"/>
  <c r="N65" i="295"/>
  <c r="K65" i="295"/>
  <c r="K136" i="295"/>
  <c r="H65" i="295"/>
  <c r="E65" i="295"/>
  <c r="AF64" i="295"/>
  <c r="AC64" i="295"/>
  <c r="Z64" i="295"/>
  <c r="W64" i="295"/>
  <c r="T64" i="295"/>
  <c r="Q64" i="295"/>
  <c r="N64" i="295"/>
  <c r="N135" i="295"/>
  <c r="K64" i="295"/>
  <c r="H64" i="295"/>
  <c r="E64" i="295"/>
  <c r="AE57" i="295"/>
  <c r="AD57" i="295"/>
  <c r="AF57" i="295"/>
  <c r="AB57" i="295"/>
  <c r="AA57" i="295"/>
  <c r="Y57" i="295"/>
  <c r="X57" i="295"/>
  <c r="V57" i="295"/>
  <c r="U57" i="295"/>
  <c r="W57" i="295"/>
  <c r="S57" i="295"/>
  <c r="R57" i="295"/>
  <c r="T57" i="295"/>
  <c r="P57" i="295"/>
  <c r="O57" i="295"/>
  <c r="Q57" i="295"/>
  <c r="M57" i="295"/>
  <c r="L57" i="295"/>
  <c r="J57" i="295"/>
  <c r="I57" i="295"/>
  <c r="G57" i="295"/>
  <c r="F57" i="295"/>
  <c r="D57" i="295"/>
  <c r="C57" i="295"/>
  <c r="AF56" i="295"/>
  <c r="AC56" i="295"/>
  <c r="Z56" i="295"/>
  <c r="W56" i="295"/>
  <c r="T56" i="295"/>
  <c r="Q56" i="295"/>
  <c r="Q127" i="295"/>
  <c r="N56" i="295"/>
  <c r="N127" i="295"/>
  <c r="K56" i="295"/>
  <c r="K71" i="295"/>
  <c r="H56" i="295"/>
  <c r="H127" i="295"/>
  <c r="E56" i="295"/>
  <c r="E127" i="295"/>
  <c r="AF55" i="295"/>
  <c r="AC55" i="295"/>
  <c r="Z55" i="295"/>
  <c r="W55" i="295"/>
  <c r="T55" i="295"/>
  <c r="Q55" i="295"/>
  <c r="Q126" i="295"/>
  <c r="N55" i="295"/>
  <c r="K55" i="295"/>
  <c r="K126" i="295"/>
  <c r="H55" i="295"/>
  <c r="H126" i="295"/>
  <c r="E55" i="295"/>
  <c r="AF54" i="295"/>
  <c r="AC54" i="295"/>
  <c r="Z54" i="295"/>
  <c r="W54" i="295"/>
  <c r="T54" i="295"/>
  <c r="Q54" i="295"/>
  <c r="Q125" i="295"/>
  <c r="N54" i="295"/>
  <c r="N125" i="295"/>
  <c r="K54" i="295"/>
  <c r="H54" i="295"/>
  <c r="H125" i="295"/>
  <c r="H128" i="295"/>
  <c r="E54" i="295"/>
  <c r="AE52" i="295"/>
  <c r="AD52" i="295"/>
  <c r="AB52" i="295"/>
  <c r="AA52" i="295"/>
  <c r="Y52" i="295"/>
  <c r="X52" i="295"/>
  <c r="V52" i="295"/>
  <c r="U52" i="295"/>
  <c r="S52" i="295"/>
  <c r="R52" i="295"/>
  <c r="P52" i="295"/>
  <c r="O52" i="295"/>
  <c r="M52" i="295"/>
  <c r="L52" i="295"/>
  <c r="J52" i="295"/>
  <c r="I52" i="295"/>
  <c r="AF51" i="295"/>
  <c r="AC51" i="295"/>
  <c r="Z51" i="295"/>
  <c r="W51" i="295"/>
  <c r="T51" i="295"/>
  <c r="Q51" i="295"/>
  <c r="Q122" i="295"/>
  <c r="Q145" i="295"/>
  <c r="N51" i="295"/>
  <c r="N122" i="295"/>
  <c r="K51" i="295"/>
  <c r="AF50" i="295"/>
  <c r="AC50" i="295"/>
  <c r="Z50" i="295"/>
  <c r="W50" i="295"/>
  <c r="T50" i="295"/>
  <c r="Q50" i="295"/>
  <c r="Q121" i="295"/>
  <c r="Q144" i="295"/>
  <c r="N50" i="295"/>
  <c r="N121" i="295"/>
  <c r="N144" i="295"/>
  <c r="K50" i="295"/>
  <c r="AF49" i="295"/>
  <c r="AC49" i="295"/>
  <c r="Z49" i="295"/>
  <c r="W49" i="295"/>
  <c r="T49" i="295"/>
  <c r="Q49" i="295"/>
  <c r="Q120" i="295"/>
  <c r="Q123" i="295"/>
  <c r="N49" i="295"/>
  <c r="N120" i="295"/>
  <c r="K49" i="295"/>
  <c r="K52" i="295"/>
  <c r="AE47" i="295"/>
  <c r="AD47" i="295"/>
  <c r="AB47" i="295"/>
  <c r="AA47" i="295"/>
  <c r="Y47" i="295"/>
  <c r="X47" i="295"/>
  <c r="Z47" i="295"/>
  <c r="V47" i="295"/>
  <c r="U47" i="295"/>
  <c r="S47" i="295"/>
  <c r="R47" i="295"/>
  <c r="P47" i="295"/>
  <c r="O47" i="295"/>
  <c r="M47" i="295"/>
  <c r="L47" i="295"/>
  <c r="J47" i="295"/>
  <c r="I47" i="295"/>
  <c r="G47" i="295"/>
  <c r="F47" i="295"/>
  <c r="D47" i="295"/>
  <c r="C47" i="295"/>
  <c r="AF46" i="295"/>
  <c r="AC46" i="295"/>
  <c r="Z46" i="295"/>
  <c r="W46" i="295"/>
  <c r="T46" i="295"/>
  <c r="Q46" i="295"/>
  <c r="N46" i="295"/>
  <c r="N117" i="295"/>
  <c r="K46" i="295"/>
  <c r="H46" i="295"/>
  <c r="H117" i="295"/>
  <c r="H118" i="295"/>
  <c r="E46" i="295"/>
  <c r="AF45" i="295"/>
  <c r="AC45" i="295"/>
  <c r="Z45" i="295"/>
  <c r="W45" i="295"/>
  <c r="T45" i="295"/>
  <c r="Q45" i="295"/>
  <c r="N45" i="295"/>
  <c r="N116" i="295"/>
  <c r="N118" i="295"/>
  <c r="K45" i="295"/>
  <c r="H45" i="295"/>
  <c r="E45" i="295"/>
  <c r="E116" i="295"/>
  <c r="AF44" i="295"/>
  <c r="AC44" i="295"/>
  <c r="Z44" i="295"/>
  <c r="W44" i="295"/>
  <c r="T44" i="295"/>
  <c r="Q44" i="295"/>
  <c r="Q115" i="295"/>
  <c r="N44" i="295"/>
  <c r="N115" i="295"/>
  <c r="K44" i="295"/>
  <c r="K115" i="295"/>
  <c r="H44" i="295"/>
  <c r="H115" i="295"/>
  <c r="E44" i="295"/>
  <c r="AE36" i="295"/>
  <c r="AD36" i="295"/>
  <c r="AB36" i="295"/>
  <c r="AC36" i="295"/>
  <c r="AA36" i="295"/>
  <c r="Y36" i="295"/>
  <c r="X36" i="295"/>
  <c r="V36" i="295"/>
  <c r="U36" i="295"/>
  <c r="S36" i="295"/>
  <c r="R36" i="295"/>
  <c r="AE35" i="295"/>
  <c r="AF35" i="295"/>
  <c r="AD35" i="295"/>
  <c r="AB35" i="295"/>
  <c r="AC35" i="295"/>
  <c r="AA35" i="295"/>
  <c r="Y35" i="295"/>
  <c r="X35" i="295"/>
  <c r="V35" i="295"/>
  <c r="U35" i="295"/>
  <c r="S35" i="295"/>
  <c r="T35" i="295"/>
  <c r="R35" i="295"/>
  <c r="AE34" i="295"/>
  <c r="AD34" i="295"/>
  <c r="AB34" i="295"/>
  <c r="AC34" i="295"/>
  <c r="AA34" i="295"/>
  <c r="Y34" i="295"/>
  <c r="X34" i="295"/>
  <c r="V34" i="295"/>
  <c r="V37" i="295"/>
  <c r="W37" i="295"/>
  <c r="U34" i="295"/>
  <c r="S34" i="295"/>
  <c r="R34" i="295"/>
  <c r="AE33" i="295"/>
  <c r="AD33" i="295"/>
  <c r="AB33" i="295"/>
  <c r="AA33" i="295"/>
  <c r="Y33" i="295"/>
  <c r="Y37" i="295"/>
  <c r="Z37" i="295"/>
  <c r="X33" i="295"/>
  <c r="V33" i="295"/>
  <c r="U33" i="295"/>
  <c r="S33" i="295"/>
  <c r="R33" i="295"/>
  <c r="AE32" i="295"/>
  <c r="AD32" i="295"/>
  <c r="AB32" i="295"/>
  <c r="AB37" i="295"/>
  <c r="AA32" i="295"/>
  <c r="Y32" i="295"/>
  <c r="X32" i="295"/>
  <c r="V32" i="295"/>
  <c r="U32" i="295"/>
  <c r="S32" i="295"/>
  <c r="R32" i="295"/>
  <c r="AE31" i="295"/>
  <c r="AF31" i="295"/>
  <c r="AD31" i="295"/>
  <c r="AB31" i="295"/>
  <c r="AC31" i="295"/>
  <c r="AA31" i="295"/>
  <c r="Y31" i="295"/>
  <c r="X31" i="295"/>
  <c r="V31" i="295"/>
  <c r="U31" i="295"/>
  <c r="S31" i="295"/>
  <c r="T31" i="295"/>
  <c r="R31" i="295"/>
  <c r="AE29" i="295"/>
  <c r="AD29" i="295"/>
  <c r="AB29" i="295"/>
  <c r="AA29" i="295"/>
  <c r="Y29" i="295"/>
  <c r="X29" i="295"/>
  <c r="V29" i="295"/>
  <c r="W29" i="295"/>
  <c r="U29" i="295"/>
  <c r="S29" i="295"/>
  <c r="R29" i="295"/>
  <c r="AF28" i="295"/>
  <c r="AC28" i="295"/>
  <c r="AC137" i="295"/>
  <c r="Z28" i="295"/>
  <c r="W28" i="295"/>
  <c r="W137" i="295"/>
  <c r="T28" i="295"/>
  <c r="T137" i="295"/>
  <c r="AF27" i="295"/>
  <c r="AC27" i="295"/>
  <c r="AC136" i="295"/>
  <c r="Z27" i="295"/>
  <c r="W27" i="295"/>
  <c r="T27" i="295"/>
  <c r="AF26" i="295"/>
  <c r="AC26" i="295"/>
  <c r="AC135" i="295"/>
  <c r="Z26" i="295"/>
  <c r="W26" i="295"/>
  <c r="T26" i="295"/>
  <c r="AE24" i="295"/>
  <c r="AD24" i="295"/>
  <c r="AB24" i="295"/>
  <c r="AA24" i="295"/>
  <c r="Y24" i="295"/>
  <c r="X24" i="295"/>
  <c r="V24" i="295"/>
  <c r="U24" i="295"/>
  <c r="S24" i="295"/>
  <c r="R24" i="295"/>
  <c r="AF23" i="295"/>
  <c r="AC23" i="295"/>
  <c r="AC132" i="295"/>
  <c r="Z23" i="295"/>
  <c r="Z132" i="295"/>
  <c r="W23" i="295"/>
  <c r="W132" i="295"/>
  <c r="T23" i="295"/>
  <c r="T132" i="295"/>
  <c r="AF22" i="295"/>
  <c r="AC22" i="295"/>
  <c r="AC131" i="295"/>
  <c r="Z22" i="295"/>
  <c r="Z131" i="295"/>
  <c r="W22" i="295"/>
  <c r="W131" i="295"/>
  <c r="T22" i="295"/>
  <c r="T131" i="295"/>
  <c r="AF21" i="295"/>
  <c r="AC21" i="295"/>
  <c r="AC130" i="295"/>
  <c r="Z21" i="295"/>
  <c r="Z130" i="295"/>
  <c r="W21" i="295"/>
  <c r="W130" i="295"/>
  <c r="T21" i="295"/>
  <c r="T130" i="295"/>
  <c r="T133" i="295"/>
  <c r="AE19" i="295"/>
  <c r="AD19" i="295"/>
  <c r="AB19" i="295"/>
  <c r="AA19" i="295"/>
  <c r="Y19" i="295"/>
  <c r="X19" i="295"/>
  <c r="V19" i="295"/>
  <c r="U19" i="295"/>
  <c r="S19" i="295"/>
  <c r="R19" i="295"/>
  <c r="AF18" i="295"/>
  <c r="AC18" i="295"/>
  <c r="Z18" i="295"/>
  <c r="W18" i="295"/>
  <c r="T18" i="295"/>
  <c r="AF17" i="295"/>
  <c r="AC17" i="295"/>
  <c r="AC126" i="295"/>
  <c r="Z17" i="295"/>
  <c r="Z126" i="295"/>
  <c r="W17" i="295"/>
  <c r="T17" i="295"/>
  <c r="T126" i="295"/>
  <c r="AF16" i="295"/>
  <c r="AC16" i="295"/>
  <c r="Z16" i="295"/>
  <c r="W16" i="295"/>
  <c r="W125" i="295"/>
  <c r="T16" i="295"/>
  <c r="T125" i="295"/>
  <c r="T128" i="295"/>
  <c r="AE14" i="295"/>
  <c r="AD14" i="295"/>
  <c r="AB14" i="295"/>
  <c r="AA14" i="295"/>
  <c r="Y14" i="295"/>
  <c r="X14" i="295"/>
  <c r="V14" i="295"/>
  <c r="U14" i="295"/>
  <c r="W14" i="295"/>
  <c r="S14" i="295"/>
  <c r="R14" i="295"/>
  <c r="AF13" i="295"/>
  <c r="AC13" i="295"/>
  <c r="Z13" i="295"/>
  <c r="W13" i="295"/>
  <c r="W122" i="295"/>
  <c r="T13" i="295"/>
  <c r="AF12" i="295"/>
  <c r="AC12" i="295"/>
  <c r="Z12" i="295"/>
  <c r="Z121" i="295"/>
  <c r="W12" i="295"/>
  <c r="T12" i="295"/>
  <c r="T121" i="295"/>
  <c r="AF11" i="295"/>
  <c r="AC11" i="295"/>
  <c r="Z11" i="295"/>
  <c r="W11" i="295"/>
  <c r="W120" i="295"/>
  <c r="T11" i="295"/>
  <c r="T120" i="295"/>
  <c r="AE9" i="295"/>
  <c r="AD9" i="295"/>
  <c r="AB9" i="295"/>
  <c r="AA9" i="295"/>
  <c r="Y9" i="295"/>
  <c r="X9" i="295"/>
  <c r="V9" i="295"/>
  <c r="W9" i="295"/>
  <c r="U9" i="295"/>
  <c r="S9" i="295"/>
  <c r="R9" i="295"/>
  <c r="AF8" i="295"/>
  <c r="AC8" i="295"/>
  <c r="Z8" i="295"/>
  <c r="Z117" i="295"/>
  <c r="W8" i="295"/>
  <c r="W117" i="295"/>
  <c r="T8" i="295"/>
  <c r="T117" i="295"/>
  <c r="AF7" i="295"/>
  <c r="AC7" i="295"/>
  <c r="Z7" i="295"/>
  <c r="Z116" i="295"/>
  <c r="W7" i="295"/>
  <c r="T7" i="295"/>
  <c r="AF6" i="295"/>
  <c r="AC6" i="295"/>
  <c r="Z6" i="295"/>
  <c r="Z115" i="295"/>
  <c r="W6" i="295"/>
  <c r="T6" i="295"/>
  <c r="P31" i="282"/>
  <c r="O31" i="282"/>
  <c r="N31" i="282"/>
  <c r="M31" i="282"/>
  <c r="H31" i="282"/>
  <c r="G31" i="282"/>
  <c r="F31" i="282"/>
  <c r="E31" i="282"/>
  <c r="P30" i="282"/>
  <c r="O30" i="282"/>
  <c r="N30" i="282"/>
  <c r="M30" i="282"/>
  <c r="H30" i="282"/>
  <c r="G30" i="282"/>
  <c r="F30" i="282"/>
  <c r="E30" i="282"/>
  <c r="P29" i="282"/>
  <c r="O29" i="282"/>
  <c r="N29" i="282"/>
  <c r="M29" i="282"/>
  <c r="P28" i="282"/>
  <c r="O28" i="282"/>
  <c r="N28" i="282"/>
  <c r="M28" i="282"/>
  <c r="P27" i="282"/>
  <c r="P26" i="282"/>
  <c r="O27" i="282"/>
  <c r="N27" i="282"/>
  <c r="M27" i="282"/>
  <c r="O26" i="282"/>
  <c r="N26" i="282"/>
  <c r="M26" i="282"/>
  <c r="P24" i="282"/>
  <c r="O24" i="282"/>
  <c r="N24" i="282"/>
  <c r="M24" i="282"/>
  <c r="P19" i="282"/>
  <c r="O19" i="282"/>
  <c r="N19" i="282"/>
  <c r="M19" i="282"/>
  <c r="P14" i="282"/>
  <c r="O14" i="282"/>
  <c r="N14" i="282"/>
  <c r="M14" i="282"/>
  <c r="AG38" i="124"/>
  <c r="AF38" i="124"/>
  <c r="AE38" i="124"/>
  <c r="AD38" i="124"/>
  <c r="AB38" i="124"/>
  <c r="AA38" i="124"/>
  <c r="Z38" i="124"/>
  <c r="Y38" i="124"/>
  <c r="W38" i="124"/>
  <c r="V38" i="124"/>
  <c r="U38" i="124"/>
  <c r="T38" i="124"/>
  <c r="M38" i="124"/>
  <c r="L38" i="124"/>
  <c r="K38" i="124"/>
  <c r="J38" i="124"/>
  <c r="H38" i="124"/>
  <c r="G38" i="124"/>
  <c r="F38" i="124"/>
  <c r="E38" i="124"/>
  <c r="AG37" i="124"/>
  <c r="AF37" i="124"/>
  <c r="AE37" i="124"/>
  <c r="AD37" i="124"/>
  <c r="AB37" i="124"/>
  <c r="AA37" i="124"/>
  <c r="Z37" i="124"/>
  <c r="Y37" i="124"/>
  <c r="W37" i="124"/>
  <c r="V37" i="124"/>
  <c r="U37" i="124"/>
  <c r="T37" i="124"/>
  <c r="M37" i="124"/>
  <c r="L37" i="124"/>
  <c r="K37" i="124"/>
  <c r="J37" i="124"/>
  <c r="H37" i="124"/>
  <c r="G37" i="124"/>
  <c r="F37" i="124"/>
  <c r="E37" i="124"/>
  <c r="AG36" i="124"/>
  <c r="AF36" i="124"/>
  <c r="AE36" i="124"/>
  <c r="AD36" i="124"/>
  <c r="AB36" i="124"/>
  <c r="AA36" i="124"/>
  <c r="Z36" i="124"/>
  <c r="Y36" i="124"/>
  <c r="W36" i="124"/>
  <c r="V36" i="124"/>
  <c r="U36" i="124"/>
  <c r="T36" i="124"/>
  <c r="M36" i="124"/>
  <c r="L36" i="124"/>
  <c r="K36" i="124"/>
  <c r="J36" i="124"/>
  <c r="H36" i="124"/>
  <c r="G36" i="124"/>
  <c r="F36" i="124"/>
  <c r="E36" i="124"/>
  <c r="AG35" i="124"/>
  <c r="AF35" i="124"/>
  <c r="AE35" i="124"/>
  <c r="AD35" i="124"/>
  <c r="AB35" i="124"/>
  <c r="AA35" i="124"/>
  <c r="Z35" i="124"/>
  <c r="Y35" i="124"/>
  <c r="W35" i="124"/>
  <c r="V35" i="124"/>
  <c r="U35" i="124"/>
  <c r="T35" i="124"/>
  <c r="M35" i="124"/>
  <c r="L35" i="124"/>
  <c r="K35" i="124"/>
  <c r="J35" i="124"/>
  <c r="H35" i="124"/>
  <c r="G35" i="124"/>
  <c r="F35" i="124"/>
  <c r="E35" i="124"/>
  <c r="AG34" i="124"/>
  <c r="AF34" i="124"/>
  <c r="AE34" i="124"/>
  <c r="AD34" i="124"/>
  <c r="AB34" i="124"/>
  <c r="AA34" i="124"/>
  <c r="Z34" i="124"/>
  <c r="Y34" i="124"/>
  <c r="W34" i="124"/>
  <c r="V34" i="124"/>
  <c r="U34" i="124"/>
  <c r="T34" i="124"/>
  <c r="M34" i="124"/>
  <c r="L34" i="124"/>
  <c r="K34" i="124"/>
  <c r="J34" i="124"/>
  <c r="H34" i="124"/>
  <c r="G34" i="124"/>
  <c r="F34" i="124"/>
  <c r="F33" i="124"/>
  <c r="E34" i="124"/>
  <c r="AG33" i="124"/>
  <c r="AF33" i="124"/>
  <c r="AF39" i="124"/>
  <c r="AE33" i="124"/>
  <c r="AD33" i="124"/>
  <c r="AD39" i="124"/>
  <c r="AB33" i="124"/>
  <c r="AA33" i="124"/>
  <c r="AA39" i="124"/>
  <c r="Z33" i="124"/>
  <c r="Y33" i="124"/>
  <c r="W33" i="124"/>
  <c r="V33" i="124"/>
  <c r="U33" i="124"/>
  <c r="U39" i="124"/>
  <c r="T33" i="124"/>
  <c r="T39" i="124"/>
  <c r="M33" i="124"/>
  <c r="M39" i="124"/>
  <c r="L33" i="124"/>
  <c r="K33" i="124"/>
  <c r="J33" i="124"/>
  <c r="J39" i="124"/>
  <c r="H33" i="124"/>
  <c r="H39" i="124"/>
  <c r="G33" i="124"/>
  <c r="E33" i="124"/>
  <c r="E39" i="124"/>
  <c r="AG31" i="124"/>
  <c r="AF31" i="124"/>
  <c r="AE31" i="124"/>
  <c r="AD31" i="124"/>
  <c r="AB31" i="124"/>
  <c r="AA31" i="124"/>
  <c r="Z31" i="124"/>
  <c r="Y31" i="124"/>
  <c r="W31" i="124"/>
  <c r="V31" i="124"/>
  <c r="U31" i="124"/>
  <c r="T31" i="124"/>
  <c r="M31" i="124"/>
  <c r="L31" i="124"/>
  <c r="K31" i="124"/>
  <c r="H31" i="124"/>
  <c r="G31" i="124"/>
  <c r="F31" i="124"/>
  <c r="E31" i="124"/>
  <c r="AH30" i="124"/>
  <c r="AC30" i="124"/>
  <c r="X30" i="124"/>
  <c r="N30" i="124"/>
  <c r="I30" i="124"/>
  <c r="AH29" i="124"/>
  <c r="AC29" i="124"/>
  <c r="X29" i="124"/>
  <c r="N29" i="124"/>
  <c r="N28" i="124"/>
  <c r="I29" i="124"/>
  <c r="AH28" i="124"/>
  <c r="AH31" i="124"/>
  <c r="AC28" i="124"/>
  <c r="AC31" i="124"/>
  <c r="X28" i="124"/>
  <c r="I28" i="124"/>
  <c r="AG26" i="124"/>
  <c r="AF26" i="124"/>
  <c r="AE26" i="124"/>
  <c r="AD26" i="124"/>
  <c r="AB26" i="124"/>
  <c r="AA26" i="124"/>
  <c r="Z26" i="124"/>
  <c r="Y26" i="124"/>
  <c r="AH25" i="124"/>
  <c r="AC25" i="124"/>
  <c r="AH24" i="124"/>
  <c r="AC24" i="124"/>
  <c r="AH23" i="124"/>
  <c r="AC23" i="124"/>
  <c r="AC26" i="124"/>
  <c r="AG21" i="124"/>
  <c r="AF21" i="124"/>
  <c r="AE21" i="124"/>
  <c r="AD21" i="124"/>
  <c r="AB21" i="124"/>
  <c r="AA21" i="124"/>
  <c r="Z21" i="124"/>
  <c r="Y21" i="124"/>
  <c r="W21" i="124"/>
  <c r="V21" i="124"/>
  <c r="U21" i="124"/>
  <c r="T21" i="124"/>
  <c r="M21" i="124"/>
  <c r="L21" i="124"/>
  <c r="K21" i="124"/>
  <c r="H21" i="124"/>
  <c r="G21" i="124"/>
  <c r="F21" i="124"/>
  <c r="E21" i="124"/>
  <c r="AH20" i="124"/>
  <c r="AH35" i="124"/>
  <c r="AC20" i="124"/>
  <c r="AC35" i="124"/>
  <c r="X20" i="124"/>
  <c r="N20" i="124"/>
  <c r="I20" i="124"/>
  <c r="I35" i="124"/>
  <c r="AH19" i="124"/>
  <c r="AC19" i="124"/>
  <c r="X19" i="124"/>
  <c r="N19" i="124"/>
  <c r="I19" i="124"/>
  <c r="AH18" i="124"/>
  <c r="AH21" i="124"/>
  <c r="AC18" i="124"/>
  <c r="X18" i="124"/>
  <c r="N18" i="124"/>
  <c r="I18" i="124"/>
  <c r="I21" i="124"/>
  <c r="AG16" i="124"/>
  <c r="AF16" i="124"/>
  <c r="AE16" i="124"/>
  <c r="AD16" i="124"/>
  <c r="AB16" i="124"/>
  <c r="AA16" i="124"/>
  <c r="Z16" i="124"/>
  <c r="Y16" i="124"/>
  <c r="W16" i="124"/>
  <c r="V16" i="124"/>
  <c r="U16" i="124"/>
  <c r="T16" i="124"/>
  <c r="M16" i="124"/>
  <c r="L16" i="124"/>
  <c r="K16" i="124"/>
  <c r="H16" i="124"/>
  <c r="G16" i="124"/>
  <c r="F16" i="124"/>
  <c r="E16" i="124"/>
  <c r="AH15" i="124"/>
  <c r="AH38" i="124"/>
  <c r="AC15" i="124"/>
  <c r="AC38" i="124"/>
  <c r="X15" i="124"/>
  <c r="X38" i="124"/>
  <c r="N15" i="124"/>
  <c r="N38" i="124"/>
  <c r="I15" i="124"/>
  <c r="I38" i="124"/>
  <c r="AH14" i="124"/>
  <c r="AH37" i="124"/>
  <c r="AC14" i="124"/>
  <c r="AC37" i="124"/>
  <c r="X14" i="124"/>
  <c r="X37" i="124"/>
  <c r="N14" i="124"/>
  <c r="N37" i="124"/>
  <c r="I14" i="124"/>
  <c r="AH13" i="124"/>
  <c r="AC13" i="124"/>
  <c r="X13" i="124"/>
  <c r="N13" i="124"/>
  <c r="I13" i="124"/>
  <c r="AG11" i="124"/>
  <c r="AF11" i="124"/>
  <c r="AE11" i="124"/>
  <c r="AD11" i="124"/>
  <c r="AB11" i="124"/>
  <c r="AA11" i="124"/>
  <c r="Z11" i="124"/>
  <c r="Y11" i="124"/>
  <c r="W11" i="124"/>
  <c r="V11" i="124"/>
  <c r="U11" i="124"/>
  <c r="T11" i="124"/>
  <c r="M11" i="124"/>
  <c r="L11" i="124"/>
  <c r="K11" i="124"/>
  <c r="H11" i="124"/>
  <c r="G11" i="124"/>
  <c r="F11" i="124"/>
  <c r="E11" i="124"/>
  <c r="AH10" i="124"/>
  <c r="AH36" i="124"/>
  <c r="AC10" i="124"/>
  <c r="AC36" i="124"/>
  <c r="X10" i="124"/>
  <c r="X36" i="124"/>
  <c r="N10" i="124"/>
  <c r="N36" i="124"/>
  <c r="I10" i="124"/>
  <c r="I36" i="124"/>
  <c r="AH9" i="124"/>
  <c r="AC9" i="124"/>
  <c r="X9" i="124"/>
  <c r="X34" i="124"/>
  <c r="N9" i="124"/>
  <c r="N34" i="124"/>
  <c r="I9" i="124"/>
  <c r="I34" i="124"/>
  <c r="AH8" i="124"/>
  <c r="AH11" i="124"/>
  <c r="AC8" i="124"/>
  <c r="X8" i="124"/>
  <c r="N8" i="124"/>
  <c r="I8" i="124"/>
  <c r="I11" i="124"/>
  <c r="Z36" i="271"/>
  <c r="X36" i="271"/>
  <c r="V36" i="271"/>
  <c r="U36" i="271"/>
  <c r="Z35" i="271"/>
  <c r="X35" i="271"/>
  <c r="V35" i="271"/>
  <c r="U35" i="271"/>
  <c r="Z34" i="271"/>
  <c r="X34" i="271"/>
  <c r="V34" i="271"/>
  <c r="U34" i="271"/>
  <c r="F34" i="271"/>
  <c r="E34" i="271"/>
  <c r="D34" i="271"/>
  <c r="C34" i="271"/>
  <c r="Z33" i="271"/>
  <c r="V33" i="271"/>
  <c r="U33" i="271"/>
  <c r="F33" i="271"/>
  <c r="E33" i="271"/>
  <c r="D33" i="271"/>
  <c r="C33" i="271"/>
  <c r="V32" i="271"/>
  <c r="U32" i="271"/>
  <c r="F32" i="271"/>
  <c r="E32" i="271"/>
  <c r="D32" i="271"/>
  <c r="C32" i="271"/>
  <c r="Y99" i="270"/>
  <c r="X22" i="271"/>
  <c r="X32" i="271"/>
  <c r="V31" i="271"/>
  <c r="U31" i="271"/>
  <c r="F31" i="271"/>
  <c r="E31" i="271"/>
  <c r="D31" i="271"/>
  <c r="D37" i="271"/>
  <c r="C31" i="271"/>
  <c r="Z29" i="271"/>
  <c r="Y29" i="271"/>
  <c r="X29" i="271"/>
  <c r="W29" i="271"/>
  <c r="V29" i="271"/>
  <c r="U29" i="271"/>
  <c r="F29" i="271"/>
  <c r="E29" i="271"/>
  <c r="D29" i="271"/>
  <c r="C29" i="271"/>
  <c r="AC28" i="271"/>
  <c r="Z19" i="271"/>
  <c r="Y19" i="271"/>
  <c r="X19" i="271"/>
  <c r="W19" i="271"/>
  <c r="V19" i="271"/>
  <c r="U19" i="271"/>
  <c r="F19" i="271"/>
  <c r="E19" i="271"/>
  <c r="D19" i="271"/>
  <c r="C19" i="271"/>
  <c r="AC17" i="271"/>
  <c r="Z14" i="271"/>
  <c r="Y14" i="271"/>
  <c r="X14" i="271"/>
  <c r="W14" i="271"/>
  <c r="V14" i="271"/>
  <c r="U14" i="271"/>
  <c r="Z9" i="271"/>
  <c r="Y9" i="271"/>
  <c r="X9" i="271"/>
  <c r="W9" i="271"/>
  <c r="V9" i="271"/>
  <c r="U9" i="271"/>
  <c r="F9" i="271"/>
  <c r="E9" i="271"/>
  <c r="D9" i="271"/>
  <c r="C9" i="271"/>
  <c r="AC7" i="271"/>
  <c r="AD99" i="270"/>
  <c r="AC99" i="270"/>
  <c r="AB99" i="270"/>
  <c r="AA99" i="270"/>
  <c r="AE92" i="270"/>
  <c r="AD13" i="271" s="1"/>
  <c r="AD36" i="271" s="1"/>
  <c r="AD92" i="270"/>
  <c r="AC92" i="270"/>
  <c r="AB13" i="271" s="1"/>
  <c r="AB36" i="271" s="1"/>
  <c r="AB92" i="270"/>
  <c r="AA13" i="271" s="1"/>
  <c r="AA36" i="271" s="1"/>
  <c r="AA92" i="270"/>
  <c r="AA93" i="270" s="1"/>
  <c r="Z92" i="270"/>
  <c r="Y92" i="270"/>
  <c r="X92" i="270"/>
  <c r="W92" i="270"/>
  <c r="V92" i="270"/>
  <c r="U92" i="270"/>
  <c r="T92" i="270"/>
  <c r="S92" i="270"/>
  <c r="R92" i="270"/>
  <c r="Q92" i="270"/>
  <c r="P92" i="270"/>
  <c r="O92" i="270"/>
  <c r="N92" i="270"/>
  <c r="M92" i="270"/>
  <c r="L92" i="270"/>
  <c r="AE87" i="270"/>
  <c r="AD12" i="271" s="1"/>
  <c r="AD35" i="271" s="1"/>
  <c r="AD87" i="270"/>
  <c r="AC12" i="271"/>
  <c r="AC35" i="271" s="1"/>
  <c r="AC87" i="270"/>
  <c r="AB12" i="271" s="1"/>
  <c r="AB35" i="271" s="1"/>
  <c r="AB87" i="270"/>
  <c r="AA12" i="271" s="1"/>
  <c r="AA87" i="270"/>
  <c r="AA83" i="270"/>
  <c r="Z87" i="270"/>
  <c r="Y87" i="270"/>
  <c r="Y93" i="270" s="1"/>
  <c r="X87" i="270"/>
  <c r="W87" i="270"/>
  <c r="W83" i="270"/>
  <c r="V87" i="270"/>
  <c r="U87" i="270"/>
  <c r="T87" i="270"/>
  <c r="S87" i="270"/>
  <c r="R87" i="270"/>
  <c r="R93" i="270" s="1"/>
  <c r="Q87" i="270"/>
  <c r="P87" i="270"/>
  <c r="O87" i="270"/>
  <c r="N87" i="270"/>
  <c r="M87" i="270"/>
  <c r="L87" i="270"/>
  <c r="AE83" i="270"/>
  <c r="AD11" i="271" s="1"/>
  <c r="AD83" i="270"/>
  <c r="AD93" i="270" s="1"/>
  <c r="AC83" i="270"/>
  <c r="AB11" i="271" s="1"/>
  <c r="AB83" i="270"/>
  <c r="Z83" i="270"/>
  <c r="Y83" i="270"/>
  <c r="X83" i="270"/>
  <c r="X93" i="270" s="1"/>
  <c r="V83" i="270"/>
  <c r="U83" i="270"/>
  <c r="T83" i="270"/>
  <c r="T93" i="270" s="1"/>
  <c r="S83" i="270"/>
  <c r="R83" i="270"/>
  <c r="Q83" i="270"/>
  <c r="P83" i="270"/>
  <c r="P93" i="270" s="1"/>
  <c r="O83" i="270"/>
  <c r="N83" i="270"/>
  <c r="M83" i="270"/>
  <c r="L83" i="270"/>
  <c r="L93" i="270" s="1"/>
  <c r="AE77" i="270"/>
  <c r="AD28" i="271" s="1"/>
  <c r="AE63" i="270"/>
  <c r="AE78" i="270"/>
  <c r="AC77" i="270"/>
  <c r="AB28" i="271" s="1"/>
  <c r="AB77" i="270"/>
  <c r="AA77" i="270"/>
  <c r="Z77" i="270"/>
  <c r="Y77" i="270"/>
  <c r="X77" i="270"/>
  <c r="W77" i="270"/>
  <c r="V77" i="270"/>
  <c r="U77" i="270"/>
  <c r="T77" i="270"/>
  <c r="S77" i="270"/>
  <c r="R77" i="270"/>
  <c r="Q77" i="270"/>
  <c r="P77" i="270"/>
  <c r="O77" i="270"/>
  <c r="N77" i="270"/>
  <c r="M77" i="270"/>
  <c r="L77" i="270"/>
  <c r="K77" i="270"/>
  <c r="J77" i="270"/>
  <c r="I77" i="270"/>
  <c r="H77" i="270"/>
  <c r="G77" i="270"/>
  <c r="F77" i="270"/>
  <c r="E77" i="270"/>
  <c r="D77" i="270"/>
  <c r="AC72" i="270"/>
  <c r="AB27" i="271" s="1"/>
  <c r="AB72" i="270"/>
  <c r="AA72" i="270"/>
  <c r="Z72" i="270"/>
  <c r="Y72" i="270"/>
  <c r="X72" i="270"/>
  <c r="W72" i="270"/>
  <c r="V72" i="270"/>
  <c r="U72" i="270"/>
  <c r="T72" i="270"/>
  <c r="S72" i="270"/>
  <c r="R72" i="270"/>
  <c r="Q72" i="270"/>
  <c r="P72" i="270"/>
  <c r="O72" i="270"/>
  <c r="N72" i="270"/>
  <c r="M72" i="270"/>
  <c r="L72" i="270"/>
  <c r="K72" i="270"/>
  <c r="J72" i="270"/>
  <c r="I72" i="270"/>
  <c r="H72" i="270"/>
  <c r="G72" i="270"/>
  <c r="F72" i="270"/>
  <c r="E72" i="270"/>
  <c r="D72" i="270"/>
  <c r="AC63" i="270"/>
  <c r="AB26" i="271" s="1"/>
  <c r="AB63" i="270"/>
  <c r="AA26" i="271"/>
  <c r="AA63" i="270"/>
  <c r="Z63" i="270"/>
  <c r="Y63" i="270"/>
  <c r="Y78" i="270"/>
  <c r="X63" i="270"/>
  <c r="W63" i="270"/>
  <c r="V63" i="270"/>
  <c r="U63" i="270"/>
  <c r="T63" i="270"/>
  <c r="S63" i="270"/>
  <c r="R63" i="270"/>
  <c r="R78" i="270" s="1"/>
  <c r="Q63" i="270"/>
  <c r="P63" i="270"/>
  <c r="O63" i="270"/>
  <c r="N63" i="270"/>
  <c r="M63" i="270"/>
  <c r="L63" i="270"/>
  <c r="K63" i="270"/>
  <c r="K78" i="270"/>
  <c r="J63" i="270"/>
  <c r="I63" i="270"/>
  <c r="H63" i="270"/>
  <c r="G63" i="270"/>
  <c r="F63" i="270"/>
  <c r="E63" i="270"/>
  <c r="D63" i="270"/>
  <c r="D78" i="270" s="1"/>
  <c r="AC55" i="270"/>
  <c r="AB18" i="271" s="1"/>
  <c r="AB55" i="270"/>
  <c r="AA18" i="271" s="1"/>
  <c r="AA55" i="270"/>
  <c r="Z55" i="270"/>
  <c r="Y55" i="270"/>
  <c r="X55" i="270"/>
  <c r="W55" i="270"/>
  <c r="V55" i="270"/>
  <c r="U55" i="270"/>
  <c r="T55" i="270"/>
  <c r="S55" i="270"/>
  <c r="R55" i="270"/>
  <c r="Q55" i="270"/>
  <c r="P55" i="270"/>
  <c r="O55" i="270"/>
  <c r="O56" i="270" s="1"/>
  <c r="N55" i="270"/>
  <c r="M55" i="270"/>
  <c r="L55" i="270"/>
  <c r="K55" i="270"/>
  <c r="J55" i="270"/>
  <c r="I55" i="270"/>
  <c r="H55" i="270"/>
  <c r="G55" i="270"/>
  <c r="G56" i="270" s="1"/>
  <c r="F55" i="270"/>
  <c r="E55" i="270"/>
  <c r="D55" i="270"/>
  <c r="AE48" i="270"/>
  <c r="AD17" i="271" s="1"/>
  <c r="AC48" i="270"/>
  <c r="AB48" i="270"/>
  <c r="AA17" i="271" s="1"/>
  <c r="AA48" i="270"/>
  <c r="Z48" i="270"/>
  <c r="Z56" i="270" s="1"/>
  <c r="Y48" i="270"/>
  <c r="X48" i="270"/>
  <c r="W48" i="270"/>
  <c r="V48" i="270"/>
  <c r="U48" i="270"/>
  <c r="T48" i="270"/>
  <c r="S48" i="270"/>
  <c r="R48" i="270"/>
  <c r="R56" i="270" s="1"/>
  <c r="Q48" i="270"/>
  <c r="P48" i="270"/>
  <c r="O48" i="270"/>
  <c r="N48" i="270"/>
  <c r="M48" i="270"/>
  <c r="L48" i="270"/>
  <c r="K48" i="270"/>
  <c r="J48" i="270"/>
  <c r="J56" i="270" s="1"/>
  <c r="I48" i="270"/>
  <c r="H48" i="270"/>
  <c r="G48" i="270"/>
  <c r="F48" i="270"/>
  <c r="E48" i="270"/>
  <c r="D48" i="270"/>
  <c r="AE36" i="270"/>
  <c r="AD16" i="271" s="1"/>
  <c r="AC36" i="270"/>
  <c r="AB16" i="271" s="1"/>
  <c r="AB19" i="271" s="1"/>
  <c r="AC15" i="270"/>
  <c r="AB6" i="271" s="1"/>
  <c r="AB36" i="270"/>
  <c r="AA16" i="271"/>
  <c r="AA36" i="270"/>
  <c r="Z36" i="270"/>
  <c r="Y36" i="270"/>
  <c r="X36" i="270"/>
  <c r="X56" i="270" s="1"/>
  <c r="W36" i="270"/>
  <c r="V36" i="270"/>
  <c r="U36" i="270"/>
  <c r="T36" i="270"/>
  <c r="S36" i="270"/>
  <c r="R36" i="270"/>
  <c r="Q36" i="270"/>
  <c r="P36" i="270"/>
  <c r="P56" i="270" s="1"/>
  <c r="O36" i="270"/>
  <c r="N36" i="270"/>
  <c r="M36" i="270"/>
  <c r="L36" i="270"/>
  <c r="K36" i="270"/>
  <c r="J36" i="270"/>
  <c r="I36" i="270"/>
  <c r="H36" i="270"/>
  <c r="H56" i="270" s="1"/>
  <c r="G36" i="270"/>
  <c r="F36" i="270"/>
  <c r="E36" i="270"/>
  <c r="D36" i="270"/>
  <c r="AE24" i="270"/>
  <c r="AD8" i="271"/>
  <c r="AC24" i="270"/>
  <c r="AB8" i="271" s="1"/>
  <c r="AB24" i="270"/>
  <c r="AA8" i="271" s="1"/>
  <c r="AA24" i="270"/>
  <c r="Z24" i="270"/>
  <c r="Y24" i="270"/>
  <c r="Y25" i="270" s="1"/>
  <c r="X24" i="270"/>
  <c r="W24" i="270"/>
  <c r="V24" i="270"/>
  <c r="U24" i="270"/>
  <c r="T24" i="270"/>
  <c r="S24" i="270"/>
  <c r="R24" i="270"/>
  <c r="Q24" i="270"/>
  <c r="P24" i="270"/>
  <c r="O24" i="270"/>
  <c r="N24" i="270"/>
  <c r="M24" i="270"/>
  <c r="L24" i="270"/>
  <c r="K24" i="270"/>
  <c r="J24" i="270"/>
  <c r="I24" i="270"/>
  <c r="I25" i="270" s="1"/>
  <c r="H24" i="270"/>
  <c r="G24" i="270"/>
  <c r="F24" i="270"/>
  <c r="E24" i="270"/>
  <c r="D24" i="270"/>
  <c r="AE20" i="270"/>
  <c r="AD7" i="271"/>
  <c r="AC20" i="270"/>
  <c r="AB7" i="271" s="1"/>
  <c r="AB22" i="271"/>
  <c r="AB20" i="270"/>
  <c r="AA7" i="271" s="1"/>
  <c r="AA20" i="270"/>
  <c r="Z20" i="270"/>
  <c r="Y20" i="270"/>
  <c r="X20" i="270"/>
  <c r="W20" i="270"/>
  <c r="V20" i="270"/>
  <c r="V25" i="270" s="1"/>
  <c r="U20" i="270"/>
  <c r="T20" i="270"/>
  <c r="S20" i="270"/>
  <c r="R20" i="270"/>
  <c r="R25" i="270" s="1"/>
  <c r="Q20" i="270"/>
  <c r="P20" i="270"/>
  <c r="O20" i="270"/>
  <c r="N20" i="270"/>
  <c r="N25" i="270" s="1"/>
  <c r="M20" i="270"/>
  <c r="L20" i="270"/>
  <c r="K20" i="270"/>
  <c r="J20" i="270"/>
  <c r="I20" i="270"/>
  <c r="H20" i="270"/>
  <c r="G20" i="270"/>
  <c r="F20" i="270"/>
  <c r="F25" i="270" s="1"/>
  <c r="E20" i="270"/>
  <c r="D20" i="270"/>
  <c r="AE15" i="270"/>
  <c r="AD6" i="271" s="1"/>
  <c r="AB15" i="270"/>
  <c r="AA6" i="271" s="1"/>
  <c r="AA31" i="271" s="1"/>
  <c r="AA15" i="270"/>
  <c r="Z15" i="270"/>
  <c r="Y15" i="270"/>
  <c r="X15" i="270"/>
  <c r="X25" i="270" s="1"/>
  <c r="W15" i="270"/>
  <c r="V15" i="270"/>
  <c r="U15" i="270"/>
  <c r="T15" i="270"/>
  <c r="S15" i="270"/>
  <c r="R15" i="270"/>
  <c r="Q15" i="270"/>
  <c r="P15" i="270"/>
  <c r="P25" i="270" s="1"/>
  <c r="O15" i="270"/>
  <c r="N15" i="270"/>
  <c r="M15" i="270"/>
  <c r="L15" i="270"/>
  <c r="K15" i="270"/>
  <c r="J15" i="270"/>
  <c r="I15" i="270"/>
  <c r="H15" i="270"/>
  <c r="H25" i="270" s="1"/>
  <c r="G15" i="270"/>
  <c r="F15" i="270"/>
  <c r="E15" i="270"/>
  <c r="D15" i="270"/>
  <c r="V30" i="233"/>
  <c r="U23" i="233"/>
  <c r="T23" i="233"/>
  <c r="Q23" i="233"/>
  <c r="P23" i="233"/>
  <c r="M23" i="233"/>
  <c r="N23" i="233"/>
  <c r="L23" i="233"/>
  <c r="I23" i="233"/>
  <c r="H23" i="233"/>
  <c r="E23" i="233"/>
  <c r="D23" i="233"/>
  <c r="U22" i="233"/>
  <c r="S22" i="233"/>
  <c r="T22" i="233"/>
  <c r="V22" i="233"/>
  <c r="Q22" i="233"/>
  <c r="P22" i="233"/>
  <c r="O22" i="233"/>
  <c r="M22" i="233"/>
  <c r="L22" i="233"/>
  <c r="K22" i="233"/>
  <c r="I22" i="233"/>
  <c r="H22" i="233"/>
  <c r="J22" i="233"/>
  <c r="G22" i="233"/>
  <c r="E22" i="233"/>
  <c r="C22" i="233"/>
  <c r="D22" i="233"/>
  <c r="U21" i="233"/>
  <c r="T21" i="233"/>
  <c r="S21" i="233"/>
  <c r="Q21" i="233"/>
  <c r="Q24" i="233"/>
  <c r="P21" i="233"/>
  <c r="O21" i="233"/>
  <c r="M21" i="233"/>
  <c r="L21" i="233"/>
  <c r="K21" i="233"/>
  <c r="I21" i="233"/>
  <c r="H21" i="233"/>
  <c r="G21" i="233"/>
  <c r="J21" i="233"/>
  <c r="E21" i="233"/>
  <c r="D21" i="233"/>
  <c r="C21" i="233"/>
  <c r="U18" i="233"/>
  <c r="T18" i="233"/>
  <c r="S18" i="233"/>
  <c r="Q18" i="233"/>
  <c r="P18" i="233"/>
  <c r="P28" i="233"/>
  <c r="O18" i="233"/>
  <c r="M18" i="233"/>
  <c r="L18" i="233"/>
  <c r="K18" i="233"/>
  <c r="I18" i="233"/>
  <c r="H18" i="233"/>
  <c r="G18" i="233"/>
  <c r="E18" i="233"/>
  <c r="F18" i="233"/>
  <c r="D18" i="233"/>
  <c r="C18" i="233"/>
  <c r="U17" i="233"/>
  <c r="T17" i="233"/>
  <c r="S17" i="233"/>
  <c r="Q17" i="233"/>
  <c r="P17" i="233"/>
  <c r="O17" i="233"/>
  <c r="R17" i="233"/>
  <c r="M17" i="233"/>
  <c r="L17" i="233"/>
  <c r="K17" i="233"/>
  <c r="I17" i="233"/>
  <c r="H17" i="233"/>
  <c r="G17" i="233"/>
  <c r="E17" i="233"/>
  <c r="D17" i="233"/>
  <c r="F17" i="233"/>
  <c r="C17" i="233"/>
  <c r="U16" i="233"/>
  <c r="T16" i="233"/>
  <c r="Q16" i="233"/>
  <c r="P16" i="233"/>
  <c r="M16" i="233"/>
  <c r="L16" i="233"/>
  <c r="I16" i="233"/>
  <c r="I26" i="233"/>
  <c r="H16" i="233"/>
  <c r="E16" i="233"/>
  <c r="D16" i="233"/>
  <c r="U14" i="233"/>
  <c r="S13" i="233"/>
  <c r="S31" i="233"/>
  <c r="V12" i="233"/>
  <c r="T11" i="233"/>
  <c r="V11" i="233"/>
  <c r="U8" i="233"/>
  <c r="T8" i="233"/>
  <c r="T29" i="233"/>
  <c r="S8" i="233"/>
  <c r="S29" i="233"/>
  <c r="Q8" i="233"/>
  <c r="P8" i="233"/>
  <c r="O8" i="233"/>
  <c r="R8" i="233"/>
  <c r="M8" i="233"/>
  <c r="L8" i="233"/>
  <c r="K8" i="233"/>
  <c r="K29" i="233"/>
  <c r="I8" i="233"/>
  <c r="H8" i="233"/>
  <c r="G8" i="233"/>
  <c r="E8" i="233"/>
  <c r="E29" i="233"/>
  <c r="D8" i="233"/>
  <c r="D29" i="233"/>
  <c r="C8" i="233"/>
  <c r="C29" i="233"/>
  <c r="U7" i="233"/>
  <c r="T7" i="233"/>
  <c r="S7" i="233"/>
  <c r="Q7" i="233"/>
  <c r="P7" i="233"/>
  <c r="P9" i="233"/>
  <c r="O7" i="233"/>
  <c r="M7" i="233"/>
  <c r="L7" i="233"/>
  <c r="K7" i="233"/>
  <c r="I7" i="233"/>
  <c r="H7" i="233"/>
  <c r="G7" i="233"/>
  <c r="E7" i="233"/>
  <c r="E9" i="233"/>
  <c r="D7" i="233"/>
  <c r="C7" i="233"/>
  <c r="U6" i="233"/>
  <c r="S6" i="233"/>
  <c r="S26" i="233"/>
  <c r="T6" i="233"/>
  <c r="Q6" i="233"/>
  <c r="P6" i="233"/>
  <c r="O6" i="233"/>
  <c r="O26" i="233"/>
  <c r="K6" i="233"/>
  <c r="K26" i="233"/>
  <c r="I6" i="233"/>
  <c r="H6" i="233"/>
  <c r="G6" i="233"/>
  <c r="G26" i="233"/>
  <c r="E6" i="233"/>
  <c r="D6" i="233"/>
  <c r="D26" i="233"/>
  <c r="C6" i="233"/>
  <c r="C26" i="233"/>
  <c r="I155" i="266"/>
  <c r="I148" i="266"/>
  <c r="J144" i="266"/>
  <c r="I144" i="266"/>
  <c r="H144" i="266"/>
  <c r="G144" i="266"/>
  <c r="F144" i="266"/>
  <c r="E144" i="266"/>
  <c r="J139" i="266"/>
  <c r="J145" i="266"/>
  <c r="I139" i="266"/>
  <c r="H139" i="266"/>
  <c r="G139" i="266"/>
  <c r="F139" i="266"/>
  <c r="F145" i="266"/>
  <c r="E139" i="266"/>
  <c r="J122" i="266"/>
  <c r="I122" i="266"/>
  <c r="H122" i="266"/>
  <c r="G122" i="266"/>
  <c r="F122" i="266"/>
  <c r="E122" i="266"/>
  <c r="J103" i="266"/>
  <c r="J90" i="266"/>
  <c r="J74" i="266"/>
  <c r="I103" i="266"/>
  <c r="H103" i="266"/>
  <c r="G103" i="266"/>
  <c r="F103" i="266"/>
  <c r="E103" i="266"/>
  <c r="I90" i="266"/>
  <c r="H90" i="266"/>
  <c r="G90" i="266"/>
  <c r="F90" i="266"/>
  <c r="F74" i="266"/>
  <c r="E90" i="266"/>
  <c r="I74" i="266"/>
  <c r="H74" i="266"/>
  <c r="G74" i="266"/>
  <c r="E74" i="266"/>
  <c r="J51" i="266"/>
  <c r="I51" i="266"/>
  <c r="H51" i="266"/>
  <c r="G51" i="266"/>
  <c r="F51" i="266"/>
  <c r="E51" i="266"/>
  <c r="J30" i="266"/>
  <c r="I30" i="266"/>
  <c r="H30" i="266"/>
  <c r="G30" i="266"/>
  <c r="F30" i="266"/>
  <c r="E30" i="266"/>
  <c r="J16" i="266"/>
  <c r="I16" i="266"/>
  <c r="H16" i="266"/>
  <c r="F16" i="266"/>
  <c r="E16" i="266"/>
  <c r="G11" i="266"/>
  <c r="M6" i="233"/>
  <c r="M26" i="233"/>
  <c r="G6" i="266"/>
  <c r="G5" i="266"/>
  <c r="BI71" i="279"/>
  <c r="BH71" i="279"/>
  <c r="BG71" i="279"/>
  <c r="BM69" i="279"/>
  <c r="BK69" i="279"/>
  <c r="BI69" i="279"/>
  <c r="BG69" i="279"/>
  <c r="BK68" i="279"/>
  <c r="BI68" i="279"/>
  <c r="BG68" i="279"/>
  <c r="BN67" i="279"/>
  <c r="BJ67" i="279"/>
  <c r="BJ66" i="279"/>
  <c r="BL65" i="279"/>
  <c r="BH65" i="279"/>
  <c r="BJ65" i="279"/>
  <c r="BL64" i="279"/>
  <c r="BK64" i="279"/>
  <c r="BI64" i="279"/>
  <c r="BH64" i="279"/>
  <c r="BG64" i="279"/>
  <c r="BN63" i="279"/>
  <c r="BJ63" i="279"/>
  <c r="BJ62" i="279"/>
  <c r="BN61" i="279"/>
  <c r="BJ61" i="279"/>
  <c r="BL59" i="279"/>
  <c r="BL71" i="279"/>
  <c r="BK59" i="279"/>
  <c r="BK71" i="279"/>
  <c r="BJ59" i="279"/>
  <c r="BK58" i="279"/>
  <c r="BK70" i="279"/>
  <c r="BI58" i="279"/>
  <c r="BI60" i="279"/>
  <c r="BH58" i="279"/>
  <c r="BH70" i="279"/>
  <c r="BG58" i="279"/>
  <c r="BN57" i="279"/>
  <c r="BJ57" i="279"/>
  <c r="BA54" i="279"/>
  <c r="AZ54" i="279"/>
  <c r="AY54" i="279"/>
  <c r="AW54" i="279"/>
  <c r="AV54" i="279"/>
  <c r="AU54" i="279"/>
  <c r="AT54" i="279"/>
  <c r="AS54" i="279"/>
  <c r="AR54" i="279"/>
  <c r="AQ54" i="279"/>
  <c r="AL54" i="279"/>
  <c r="AK54" i="279"/>
  <c r="AJ54" i="279"/>
  <c r="AI54" i="279"/>
  <c r="AH54" i="279"/>
  <c r="AG54" i="279"/>
  <c r="AF54" i="279"/>
  <c r="AE54" i="279"/>
  <c r="AD54" i="279"/>
  <c r="AC54" i="279"/>
  <c r="AB54" i="279"/>
  <c r="AA54" i="279"/>
  <c r="Z54" i="279"/>
  <c r="Y54" i="279"/>
  <c r="X54" i="279"/>
  <c r="W54" i="279"/>
  <c r="V54" i="279"/>
  <c r="U54" i="279"/>
  <c r="T54" i="279"/>
  <c r="S54" i="279"/>
  <c r="BA53" i="279"/>
  <c r="AZ53" i="279"/>
  <c r="AY53" i="279"/>
  <c r="AW53" i="279"/>
  <c r="AV53" i="279"/>
  <c r="AU53" i="279"/>
  <c r="AT53" i="279"/>
  <c r="AS53" i="279"/>
  <c r="AR53" i="279"/>
  <c r="AQ53" i="279"/>
  <c r="AL53" i="279"/>
  <c r="AK53" i="279"/>
  <c r="AJ53" i="279"/>
  <c r="AI53" i="279"/>
  <c r="AH53" i="279"/>
  <c r="AG53" i="279"/>
  <c r="AF53" i="279"/>
  <c r="AE53" i="279"/>
  <c r="AD53" i="279"/>
  <c r="AC53" i="279"/>
  <c r="AB53" i="279"/>
  <c r="AA53" i="279"/>
  <c r="Z53" i="279"/>
  <c r="Y53" i="279"/>
  <c r="X53" i="279"/>
  <c r="W53" i="279"/>
  <c r="V53" i="279"/>
  <c r="U53" i="279"/>
  <c r="T53" i="279"/>
  <c r="S53" i="279"/>
  <c r="BA52" i="279"/>
  <c r="AZ52" i="279"/>
  <c r="AY52" i="279"/>
  <c r="BB52" i="279"/>
  <c r="AW52" i="279"/>
  <c r="AV52" i="279"/>
  <c r="AU52" i="279"/>
  <c r="AU55" i="279"/>
  <c r="AT52" i="279"/>
  <c r="AS52" i="279"/>
  <c r="AR52" i="279"/>
  <c r="AQ52" i="279"/>
  <c r="AQ55" i="279"/>
  <c r="AL52" i="279"/>
  <c r="AK52" i="279"/>
  <c r="AJ52" i="279"/>
  <c r="AI52" i="279"/>
  <c r="AH52" i="279"/>
  <c r="AH55" i="279"/>
  <c r="AG52" i="279"/>
  <c r="AG55" i="279"/>
  <c r="AF52" i="279"/>
  <c r="AE52" i="279"/>
  <c r="AD52" i="279"/>
  <c r="AC52" i="279"/>
  <c r="AB52" i="279"/>
  <c r="AA52" i="279"/>
  <c r="AA55" i="279"/>
  <c r="Z52" i="279"/>
  <c r="Y52" i="279"/>
  <c r="X52" i="279"/>
  <c r="W52" i="279"/>
  <c r="W55" i="279"/>
  <c r="V52" i="279"/>
  <c r="U52" i="279"/>
  <c r="T52" i="279"/>
  <c r="S52" i="279"/>
  <c r="BA51" i="279"/>
  <c r="AZ51" i="279"/>
  <c r="AY51" i="279"/>
  <c r="BB51" i="279"/>
  <c r="AW51" i="279"/>
  <c r="AV51" i="279"/>
  <c r="AU51" i="279"/>
  <c r="O51" i="279"/>
  <c r="M51" i="279"/>
  <c r="L51" i="279"/>
  <c r="K51" i="279"/>
  <c r="I51" i="279"/>
  <c r="H51" i="279"/>
  <c r="G51" i="279"/>
  <c r="E51" i="279"/>
  <c r="D51" i="279"/>
  <c r="C51" i="279"/>
  <c r="BM50" i="279"/>
  <c r="BL50" i="279"/>
  <c r="BK50" i="279"/>
  <c r="BI50" i="279"/>
  <c r="BH50" i="279"/>
  <c r="BG50" i="279"/>
  <c r="BE50" i="279"/>
  <c r="BE54" i="279"/>
  <c r="BD50" i="279"/>
  <c r="BC50" i="279"/>
  <c r="BB50" i="279"/>
  <c r="AX50" i="279"/>
  <c r="R50" i="279"/>
  <c r="N50" i="279"/>
  <c r="J50" i="279"/>
  <c r="F50" i="279"/>
  <c r="BM49" i="279"/>
  <c r="BL49" i="279"/>
  <c r="BK49" i="279"/>
  <c r="BI49" i="279"/>
  <c r="BH49" i="279"/>
  <c r="BG49" i="279"/>
  <c r="BE49" i="279"/>
  <c r="BD49" i="279"/>
  <c r="BD53" i="279"/>
  <c r="BC49" i="279"/>
  <c r="BB49" i="279"/>
  <c r="AX49" i="279"/>
  <c r="Q49" i="279"/>
  <c r="Q51" i="279"/>
  <c r="P49" i="279"/>
  <c r="P51" i="279"/>
  <c r="N49" i="279"/>
  <c r="J49" i="279"/>
  <c r="F49" i="279"/>
  <c r="BA47" i="279"/>
  <c r="AZ47" i="279"/>
  <c r="AY47" i="279"/>
  <c r="AW47" i="279"/>
  <c r="AV47" i="279"/>
  <c r="AU47" i="279"/>
  <c r="BM46" i="279"/>
  <c r="BL46" i="279"/>
  <c r="BL47" i="279"/>
  <c r="BK46" i="279"/>
  <c r="BI46" i="279"/>
  <c r="BH46" i="279"/>
  <c r="BG46" i="279"/>
  <c r="BE46" i="279"/>
  <c r="BD46" i="279"/>
  <c r="BC46" i="279"/>
  <c r="BB46" i="279"/>
  <c r="AX46" i="279"/>
  <c r="Q46" i="279"/>
  <c r="P46" i="279"/>
  <c r="O46" i="279"/>
  <c r="M46" i="279"/>
  <c r="L46" i="279"/>
  <c r="K46" i="279"/>
  <c r="I46" i="279"/>
  <c r="I47" i="279"/>
  <c r="H46" i="279"/>
  <c r="G46" i="279"/>
  <c r="E46" i="279"/>
  <c r="D46" i="279"/>
  <c r="C46" i="279"/>
  <c r="BM45" i="279"/>
  <c r="BL45" i="279"/>
  <c r="BK45" i="279"/>
  <c r="BN45" i="279"/>
  <c r="BI45" i="279"/>
  <c r="BH45" i="279"/>
  <c r="BG45" i="279"/>
  <c r="BE45" i="279"/>
  <c r="BD45" i="279"/>
  <c r="BC45" i="279"/>
  <c r="BB45" i="279"/>
  <c r="AX45" i="279"/>
  <c r="Q45" i="279"/>
  <c r="P45" i="279"/>
  <c r="O45" i="279"/>
  <c r="M45" i="279"/>
  <c r="L45" i="279"/>
  <c r="K45" i="279"/>
  <c r="I45" i="279"/>
  <c r="H45" i="279"/>
  <c r="J45" i="279"/>
  <c r="G45" i="279"/>
  <c r="E45" i="279"/>
  <c r="D45" i="279"/>
  <c r="C45" i="279"/>
  <c r="BM44" i="279"/>
  <c r="BL44" i="279"/>
  <c r="BK44" i="279"/>
  <c r="BI44" i="279"/>
  <c r="BH44" i="279"/>
  <c r="BG44" i="279"/>
  <c r="BE44" i="279"/>
  <c r="BD44" i="279"/>
  <c r="BC44" i="279"/>
  <c r="BB44" i="279"/>
  <c r="AX44" i="279"/>
  <c r="Q44" i="279"/>
  <c r="P44" i="279"/>
  <c r="P47" i="279"/>
  <c r="O44" i="279"/>
  <c r="M44" i="279"/>
  <c r="L44" i="279"/>
  <c r="K44" i="279"/>
  <c r="I44" i="279"/>
  <c r="H44" i="279"/>
  <c r="G44" i="279"/>
  <c r="J44" i="279"/>
  <c r="E44" i="279"/>
  <c r="E47" i="279"/>
  <c r="D44" i="279"/>
  <c r="C44" i="279"/>
  <c r="BA43" i="279"/>
  <c r="AZ43" i="279"/>
  <c r="AY43" i="279"/>
  <c r="AW43" i="279"/>
  <c r="AV43" i="279"/>
  <c r="AU43" i="279"/>
  <c r="BL42" i="279"/>
  <c r="BK42" i="279"/>
  <c r="BI42" i="279"/>
  <c r="BH42" i="279"/>
  <c r="BG42" i="279"/>
  <c r="BE42" i="279"/>
  <c r="BD42" i="279"/>
  <c r="BD43" i="279"/>
  <c r="BC42" i="279"/>
  <c r="BB42" i="279"/>
  <c r="AX42" i="279"/>
  <c r="Q42" i="279"/>
  <c r="P42" i="279"/>
  <c r="O42" i="279"/>
  <c r="M42" i="279"/>
  <c r="L42" i="279"/>
  <c r="L54" i="279"/>
  <c r="K42" i="279"/>
  <c r="I42" i="279"/>
  <c r="H42" i="279"/>
  <c r="G42" i="279"/>
  <c r="E42" i="279"/>
  <c r="D42" i="279"/>
  <c r="C42" i="279"/>
  <c r="BL41" i="279"/>
  <c r="BK41" i="279"/>
  <c r="BI41" i="279"/>
  <c r="BH41" i="279"/>
  <c r="BG41" i="279"/>
  <c r="BE41" i="279"/>
  <c r="BD41" i="279"/>
  <c r="BC41" i="279"/>
  <c r="BB41" i="279"/>
  <c r="AX41" i="279"/>
  <c r="Q41" i="279"/>
  <c r="P41" i="279"/>
  <c r="O41" i="279"/>
  <c r="M41" i="279"/>
  <c r="L41" i="279"/>
  <c r="K41" i="279"/>
  <c r="I41" i="279"/>
  <c r="I43" i="279"/>
  <c r="H41" i="279"/>
  <c r="G41" i="279"/>
  <c r="E41" i="279"/>
  <c r="D41" i="279"/>
  <c r="C41" i="279"/>
  <c r="BL40" i="279"/>
  <c r="BK40" i="279"/>
  <c r="BI40" i="279"/>
  <c r="BI43" i="279"/>
  <c r="BH40" i="279"/>
  <c r="BG40" i="279"/>
  <c r="BE40" i="279"/>
  <c r="BD40" i="279"/>
  <c r="BC40" i="279"/>
  <c r="BB40" i="279"/>
  <c r="AX40" i="279"/>
  <c r="Q40" i="279"/>
  <c r="Q43" i="279"/>
  <c r="P40" i="279"/>
  <c r="O40" i="279"/>
  <c r="M40" i="279"/>
  <c r="L40" i="279"/>
  <c r="K40" i="279"/>
  <c r="I40" i="279"/>
  <c r="H40" i="279"/>
  <c r="G40" i="279"/>
  <c r="J40" i="279"/>
  <c r="E40" i="279"/>
  <c r="E52" i="279"/>
  <c r="D40" i="279"/>
  <c r="C40" i="279"/>
  <c r="BA37" i="279"/>
  <c r="AZ37" i="279"/>
  <c r="AY37" i="279"/>
  <c r="AW37" i="279"/>
  <c r="AV37" i="279"/>
  <c r="AU37" i="279"/>
  <c r="AT37" i="279"/>
  <c r="AS37" i="279"/>
  <c r="AR37" i="279"/>
  <c r="AQ37" i="279"/>
  <c r="AL37" i="279"/>
  <c r="AK37" i="279"/>
  <c r="AJ37" i="279"/>
  <c r="AI37" i="279"/>
  <c r="AH37" i="279"/>
  <c r="AG37" i="279"/>
  <c r="AF37" i="279"/>
  <c r="AE37" i="279"/>
  <c r="AD37" i="279"/>
  <c r="AC37" i="279"/>
  <c r="AB37" i="279"/>
  <c r="AA37" i="279"/>
  <c r="Z37" i="279"/>
  <c r="Y37" i="279"/>
  <c r="X37" i="279"/>
  <c r="W37" i="279"/>
  <c r="V37" i="279"/>
  <c r="U37" i="279"/>
  <c r="T37" i="279"/>
  <c r="S37" i="279"/>
  <c r="BA36" i="279"/>
  <c r="AZ36" i="279"/>
  <c r="AY36" i="279"/>
  <c r="AW36" i="279"/>
  <c r="AV36" i="279"/>
  <c r="AU36" i="279"/>
  <c r="AT36" i="279"/>
  <c r="AS36" i="279"/>
  <c r="AR36" i="279"/>
  <c r="AQ36" i="279"/>
  <c r="AL36" i="279"/>
  <c r="AK36" i="279"/>
  <c r="AJ36" i="279"/>
  <c r="AI36" i="279"/>
  <c r="AH36" i="279"/>
  <c r="AG36" i="279"/>
  <c r="AF36" i="279"/>
  <c r="AE36" i="279"/>
  <c r="AD36" i="279"/>
  <c r="AC36" i="279"/>
  <c r="AB36" i="279"/>
  <c r="AA36" i="279"/>
  <c r="Z36" i="279"/>
  <c r="Y36" i="279"/>
  <c r="X36" i="279"/>
  <c r="W36" i="279"/>
  <c r="V36" i="279"/>
  <c r="U36" i="279"/>
  <c r="T36" i="279"/>
  <c r="S36" i="279"/>
  <c r="BA35" i="279"/>
  <c r="AZ35" i="279"/>
  <c r="AZ38" i="279"/>
  <c r="AY35" i="279"/>
  <c r="AW35" i="279"/>
  <c r="AW38" i="279"/>
  <c r="AV35" i="279"/>
  <c r="AU35" i="279"/>
  <c r="AT35" i="279"/>
  <c r="AS35" i="279"/>
  <c r="AS38" i="279"/>
  <c r="AR35" i="279"/>
  <c r="AQ35" i="279"/>
  <c r="AQ38" i="279"/>
  <c r="AL35" i="279"/>
  <c r="AK35" i="279"/>
  <c r="AJ35" i="279"/>
  <c r="AI35" i="279"/>
  <c r="AI38" i="279"/>
  <c r="AH35" i="279"/>
  <c r="AG35" i="279"/>
  <c r="AF35" i="279"/>
  <c r="AE35" i="279"/>
  <c r="AE38" i="279"/>
  <c r="AD35" i="279"/>
  <c r="AC35" i="279"/>
  <c r="AB35" i="279"/>
  <c r="AB38" i="279"/>
  <c r="AA35" i="279"/>
  <c r="Z35" i="279"/>
  <c r="Z38" i="279"/>
  <c r="Y35" i="279"/>
  <c r="X35" i="279"/>
  <c r="W35" i="279"/>
  <c r="V35" i="279"/>
  <c r="U35" i="279"/>
  <c r="U38" i="279"/>
  <c r="T35" i="279"/>
  <c r="T38" i="279"/>
  <c r="S35" i="279"/>
  <c r="BA34" i="279"/>
  <c r="AZ34" i="279"/>
  <c r="AY34" i="279"/>
  <c r="AW34" i="279"/>
  <c r="AV34" i="279"/>
  <c r="AU34" i="279"/>
  <c r="BM33" i="279"/>
  <c r="BL33" i="279"/>
  <c r="BK33" i="279"/>
  <c r="BK34" i="279"/>
  <c r="BI33" i="279"/>
  <c r="BH33" i="279"/>
  <c r="BG33" i="279"/>
  <c r="BE33" i="279"/>
  <c r="BD33" i="279"/>
  <c r="BC33" i="279"/>
  <c r="BB33" i="279"/>
  <c r="AX33" i="279"/>
  <c r="Q33" i="279"/>
  <c r="P33" i="279"/>
  <c r="O33" i="279"/>
  <c r="M33" i="279"/>
  <c r="L33" i="279"/>
  <c r="K33" i="279"/>
  <c r="I33" i="279"/>
  <c r="H33" i="279"/>
  <c r="H34" i="279"/>
  <c r="G33" i="279"/>
  <c r="E33" i="279"/>
  <c r="D33" i="279"/>
  <c r="C33" i="279"/>
  <c r="BM32" i="279"/>
  <c r="BL32" i="279"/>
  <c r="BK32" i="279"/>
  <c r="BI32" i="279"/>
  <c r="BH32" i="279"/>
  <c r="BG32" i="279"/>
  <c r="BE32" i="279"/>
  <c r="BD32" i="279"/>
  <c r="BC32" i="279"/>
  <c r="BB32" i="279"/>
  <c r="AX32" i="279"/>
  <c r="Q32" i="279"/>
  <c r="P32" i="279"/>
  <c r="O32" i="279"/>
  <c r="M32" i="279"/>
  <c r="L32" i="279"/>
  <c r="K32" i="279"/>
  <c r="I32" i="279"/>
  <c r="H32" i="279"/>
  <c r="G32" i="279"/>
  <c r="J32" i="279"/>
  <c r="E32" i="279"/>
  <c r="D32" i="279"/>
  <c r="C32" i="279"/>
  <c r="BM31" i="279"/>
  <c r="BL31" i="279"/>
  <c r="BK31" i="279"/>
  <c r="BI31" i="279"/>
  <c r="BH31" i="279"/>
  <c r="BH35" i="279"/>
  <c r="BG31" i="279"/>
  <c r="BE31" i="279"/>
  <c r="BD31" i="279"/>
  <c r="BC31" i="279"/>
  <c r="BB31" i="279"/>
  <c r="AX31" i="279"/>
  <c r="Q31" i="279"/>
  <c r="P31" i="279"/>
  <c r="P35" i="279"/>
  <c r="O31" i="279"/>
  <c r="M31" i="279"/>
  <c r="L31" i="279"/>
  <c r="K31" i="279"/>
  <c r="I31" i="279"/>
  <c r="H31" i="279"/>
  <c r="G31" i="279"/>
  <c r="E31" i="279"/>
  <c r="E35" i="279"/>
  <c r="D31" i="279"/>
  <c r="C31" i="279"/>
  <c r="BA30" i="279"/>
  <c r="AZ30" i="279"/>
  <c r="AY30" i="279"/>
  <c r="BB30" i="279"/>
  <c r="AW30" i="279"/>
  <c r="AV30" i="279"/>
  <c r="AU30" i="279"/>
  <c r="AX30" i="279"/>
  <c r="BM29" i="279"/>
  <c r="BL29" i="279"/>
  <c r="BK29" i="279"/>
  <c r="BI29" i="279"/>
  <c r="BH29" i="279"/>
  <c r="BG29" i="279"/>
  <c r="BG37" i="279"/>
  <c r="BE29" i="279"/>
  <c r="BD29" i="279"/>
  <c r="BC29" i="279"/>
  <c r="BB29" i="279"/>
  <c r="AX29" i="279"/>
  <c r="Q29" i="279"/>
  <c r="P29" i="279"/>
  <c r="O29" i="279"/>
  <c r="R29" i="279"/>
  <c r="M29" i="279"/>
  <c r="L29" i="279"/>
  <c r="K29" i="279"/>
  <c r="I29" i="279"/>
  <c r="H29" i="279"/>
  <c r="G29" i="279"/>
  <c r="E29" i="279"/>
  <c r="D29" i="279"/>
  <c r="D30" i="279"/>
  <c r="C29" i="279"/>
  <c r="BM28" i="279"/>
  <c r="BL28" i="279"/>
  <c r="BK28" i="279"/>
  <c r="BI28" i="279"/>
  <c r="BH28" i="279"/>
  <c r="BG28" i="279"/>
  <c r="BE28" i="279"/>
  <c r="BE36" i="279"/>
  <c r="BD28" i="279"/>
  <c r="BC28" i="279"/>
  <c r="BB28" i="279"/>
  <c r="AX28" i="279"/>
  <c r="Q28" i="279"/>
  <c r="P28" i="279"/>
  <c r="O28" i="279"/>
  <c r="M28" i="279"/>
  <c r="M36" i="279"/>
  <c r="L28" i="279"/>
  <c r="K28" i="279"/>
  <c r="I28" i="279"/>
  <c r="H28" i="279"/>
  <c r="G28" i="279"/>
  <c r="E28" i="279"/>
  <c r="D28" i="279"/>
  <c r="C28" i="279"/>
  <c r="C36" i="279"/>
  <c r="BM27" i="279"/>
  <c r="BM30" i="279"/>
  <c r="BL27" i="279"/>
  <c r="BK27" i="279"/>
  <c r="BI27" i="279"/>
  <c r="BH27" i="279"/>
  <c r="BG27" i="279"/>
  <c r="BE27" i="279"/>
  <c r="BD27" i="279"/>
  <c r="BD35" i="279"/>
  <c r="BC27" i="279"/>
  <c r="BB27" i="279"/>
  <c r="AX27" i="279"/>
  <c r="Q27" i="279"/>
  <c r="P27" i="279"/>
  <c r="O27" i="279"/>
  <c r="M27" i="279"/>
  <c r="L27" i="279"/>
  <c r="L35" i="279"/>
  <c r="K27" i="279"/>
  <c r="I27" i="279"/>
  <c r="H27" i="279"/>
  <c r="G27" i="279"/>
  <c r="E27" i="279"/>
  <c r="D27" i="279"/>
  <c r="C27" i="279"/>
  <c r="BA26" i="279"/>
  <c r="AZ26" i="279"/>
  <c r="AY26" i="279"/>
  <c r="AW26" i="279"/>
  <c r="AV26" i="279"/>
  <c r="AU26" i="279"/>
  <c r="BM25" i="279"/>
  <c r="BL25" i="279"/>
  <c r="BK25" i="279"/>
  <c r="BK37" i="279"/>
  <c r="BI25" i="279"/>
  <c r="BJ25" i="279"/>
  <c r="BH25" i="279"/>
  <c r="BG25" i="279"/>
  <c r="BE25" i="279"/>
  <c r="BD25" i="279"/>
  <c r="BC25" i="279"/>
  <c r="BB25" i="279"/>
  <c r="AX25" i="279"/>
  <c r="Q25" i="279"/>
  <c r="R25" i="279"/>
  <c r="P25" i="279"/>
  <c r="O25" i="279"/>
  <c r="M25" i="279"/>
  <c r="L25" i="279"/>
  <c r="K25" i="279"/>
  <c r="I25" i="279"/>
  <c r="H25" i="279"/>
  <c r="G25" i="279"/>
  <c r="E25" i="279"/>
  <c r="D25" i="279"/>
  <c r="C25" i="279"/>
  <c r="BM24" i="279"/>
  <c r="BL24" i="279"/>
  <c r="BK24" i="279"/>
  <c r="BI24" i="279"/>
  <c r="BI36" i="279"/>
  <c r="BH24" i="279"/>
  <c r="BH36" i="279"/>
  <c r="BG24" i="279"/>
  <c r="BE24" i="279"/>
  <c r="BD24" i="279"/>
  <c r="BC24" i="279"/>
  <c r="BB24" i="279"/>
  <c r="AX24" i="279"/>
  <c r="Q24" i="279"/>
  <c r="Q36" i="279"/>
  <c r="P24" i="279"/>
  <c r="O24" i="279"/>
  <c r="M24" i="279"/>
  <c r="L24" i="279"/>
  <c r="K24" i="279"/>
  <c r="I24" i="279"/>
  <c r="H24" i="279"/>
  <c r="G24" i="279"/>
  <c r="G36" i="279"/>
  <c r="E24" i="279"/>
  <c r="E36" i="279"/>
  <c r="D24" i="279"/>
  <c r="C24" i="279"/>
  <c r="BA20" i="279"/>
  <c r="AZ20" i="279"/>
  <c r="AY20" i="279"/>
  <c r="AW20" i="279"/>
  <c r="AW76" i="279"/>
  <c r="AV20" i="279"/>
  <c r="AU20" i="279"/>
  <c r="AT20" i="279"/>
  <c r="AT76" i="279"/>
  <c r="AS20" i="279"/>
  <c r="AS76" i="279"/>
  <c r="AR20" i="279"/>
  <c r="AR76" i="279"/>
  <c r="AQ20" i="279"/>
  <c r="AL20" i="279"/>
  <c r="AK20" i="279"/>
  <c r="AJ20" i="279"/>
  <c r="AJ76" i="279"/>
  <c r="AI20" i="279"/>
  <c r="AH20" i="279"/>
  <c r="AG20" i="279"/>
  <c r="AF20" i="279"/>
  <c r="AF76" i="279"/>
  <c r="AE20" i="279"/>
  <c r="AD20" i="279"/>
  <c r="AD76" i="279"/>
  <c r="AC20" i="279"/>
  <c r="AB20" i="279"/>
  <c r="AB76" i="279"/>
  <c r="AA20" i="279"/>
  <c r="Z20" i="279"/>
  <c r="Y20" i="279"/>
  <c r="Y76" i="279"/>
  <c r="X20" i="279"/>
  <c r="X76" i="279"/>
  <c r="W20" i="279"/>
  <c r="V20" i="279"/>
  <c r="U20" i="279"/>
  <c r="T20" i="279"/>
  <c r="S20" i="279"/>
  <c r="S76" i="279"/>
  <c r="BA19" i="279"/>
  <c r="AZ19" i="279"/>
  <c r="AZ75" i="279"/>
  <c r="AY19" i="279"/>
  <c r="AW19" i="279"/>
  <c r="AV19" i="279"/>
  <c r="AU19" i="279"/>
  <c r="AT19" i="279"/>
  <c r="AS19" i="279"/>
  <c r="AS75" i="279"/>
  <c r="AR19" i="279"/>
  <c r="AQ19" i="279"/>
  <c r="AQ75" i="279"/>
  <c r="AL19" i="279"/>
  <c r="AK19" i="279"/>
  <c r="AJ19" i="279"/>
  <c r="AJ75" i="279"/>
  <c r="AI19" i="279"/>
  <c r="AI75" i="279"/>
  <c r="AH19" i="279"/>
  <c r="AG19" i="279"/>
  <c r="AF19" i="279"/>
  <c r="AE19" i="279"/>
  <c r="AE75" i="279"/>
  <c r="AD19" i="279"/>
  <c r="AD75" i="279"/>
  <c r="AC19" i="279"/>
  <c r="AB19" i="279"/>
  <c r="AA19" i="279"/>
  <c r="Z19" i="279"/>
  <c r="Y19" i="279"/>
  <c r="Y75" i="279"/>
  <c r="X19" i="279"/>
  <c r="W19" i="279"/>
  <c r="W75" i="279"/>
  <c r="V19" i="279"/>
  <c r="U19" i="279"/>
  <c r="T19" i="279"/>
  <c r="S19" i="279"/>
  <c r="S75" i="279"/>
  <c r="BA18" i="279"/>
  <c r="AZ18" i="279"/>
  <c r="AY18" i="279"/>
  <c r="AW18" i="279"/>
  <c r="AV18" i="279"/>
  <c r="AV74" i="279"/>
  <c r="AU18" i="279"/>
  <c r="AT18" i="279"/>
  <c r="AT74" i="279"/>
  <c r="AS18" i="279"/>
  <c r="AR18" i="279"/>
  <c r="AQ18" i="279"/>
  <c r="AL18" i="279"/>
  <c r="AK18" i="279"/>
  <c r="AK74" i="279"/>
  <c r="AJ18" i="279"/>
  <c r="AI18" i="279"/>
  <c r="AH18" i="279"/>
  <c r="AH21" i="279"/>
  <c r="AG18" i="279"/>
  <c r="AG21" i="279"/>
  <c r="AF18" i="279"/>
  <c r="AE18" i="279"/>
  <c r="AE74" i="279"/>
  <c r="AD18" i="279"/>
  <c r="AC18" i="279"/>
  <c r="AC74" i="279"/>
  <c r="AB18" i="279"/>
  <c r="AA18" i="279"/>
  <c r="AA74" i="279"/>
  <c r="Z18" i="279"/>
  <c r="Y18" i="279"/>
  <c r="Y74" i="279"/>
  <c r="X18" i="279"/>
  <c r="W18" i="279"/>
  <c r="V18" i="279"/>
  <c r="U18" i="279"/>
  <c r="U21" i="279"/>
  <c r="T18" i="279"/>
  <c r="S18" i="279"/>
  <c r="BA17" i="279"/>
  <c r="AZ17" i="279"/>
  <c r="AY17" i="279"/>
  <c r="AW17" i="279"/>
  <c r="AV17" i="279"/>
  <c r="AU17" i="279"/>
  <c r="AT17" i="279"/>
  <c r="AS17" i="279"/>
  <c r="AR17" i="279"/>
  <c r="AQ17" i="279"/>
  <c r="BM16" i="279"/>
  <c r="BL16" i="279"/>
  <c r="BL20" i="279"/>
  <c r="BK16" i="279"/>
  <c r="BI16" i="279"/>
  <c r="BH16" i="279"/>
  <c r="BG16" i="279"/>
  <c r="BE16" i="279"/>
  <c r="BD16" i="279"/>
  <c r="BC16" i="279"/>
  <c r="BB16" i="279"/>
  <c r="AX16" i="279"/>
  <c r="Q16" i="279"/>
  <c r="P16" i="279"/>
  <c r="O16" i="279"/>
  <c r="M16" i="279"/>
  <c r="L16" i="279"/>
  <c r="K16" i="279"/>
  <c r="I16" i="279"/>
  <c r="I17" i="279"/>
  <c r="H16" i="279"/>
  <c r="G16" i="279"/>
  <c r="E16" i="279"/>
  <c r="D16" i="279"/>
  <c r="C16" i="279"/>
  <c r="BM15" i="279"/>
  <c r="BL15" i="279"/>
  <c r="BK15" i="279"/>
  <c r="BN15" i="279"/>
  <c r="BI15" i="279"/>
  <c r="BH15" i="279"/>
  <c r="BG15" i="279"/>
  <c r="BE15" i="279"/>
  <c r="BD15" i="279"/>
  <c r="BC15" i="279"/>
  <c r="BB15" i="279"/>
  <c r="AX15" i="279"/>
  <c r="Q15" i="279"/>
  <c r="R15" i="279"/>
  <c r="P15" i="279"/>
  <c r="O15" i="279"/>
  <c r="M15" i="279"/>
  <c r="L15" i="279"/>
  <c r="K15" i="279"/>
  <c r="I15" i="279"/>
  <c r="H15" i="279"/>
  <c r="G15" i="279"/>
  <c r="E15" i="279"/>
  <c r="D15" i="279"/>
  <c r="C15" i="279"/>
  <c r="BM14" i="279"/>
  <c r="BL14" i="279"/>
  <c r="BK14" i="279"/>
  <c r="BI14" i="279"/>
  <c r="BJ14" i="279"/>
  <c r="BH14" i="279"/>
  <c r="BH17" i="279"/>
  <c r="BG14" i="279"/>
  <c r="BE14" i="279"/>
  <c r="BD14" i="279"/>
  <c r="BC14" i="279"/>
  <c r="BB14" i="279"/>
  <c r="AX14" i="279"/>
  <c r="Q14" i="279"/>
  <c r="P14" i="279"/>
  <c r="P17" i="279"/>
  <c r="O14" i="279"/>
  <c r="M14" i="279"/>
  <c r="L14" i="279"/>
  <c r="K14" i="279"/>
  <c r="I14" i="279"/>
  <c r="H14" i="279"/>
  <c r="G14" i="279"/>
  <c r="J14" i="279"/>
  <c r="E14" i="279"/>
  <c r="D14" i="279"/>
  <c r="C14" i="279"/>
  <c r="BA13" i="279"/>
  <c r="AZ13" i="279"/>
  <c r="AY13" i="279"/>
  <c r="AW13" i="279"/>
  <c r="AV13" i="279"/>
  <c r="AU13" i="279"/>
  <c r="AT13" i="279"/>
  <c r="AS13" i="279"/>
  <c r="AR13" i="279"/>
  <c r="AQ13" i="279"/>
  <c r="BI12" i="279"/>
  <c r="BH12" i="279"/>
  <c r="BG12" i="279"/>
  <c r="BE12" i="279"/>
  <c r="BD12" i="279"/>
  <c r="BC12" i="279"/>
  <c r="BB12" i="279"/>
  <c r="AX12" i="279"/>
  <c r="Q12" i="279"/>
  <c r="P12" i="279"/>
  <c r="O12" i="279"/>
  <c r="M12" i="279"/>
  <c r="N12" i="279"/>
  <c r="L12" i="279"/>
  <c r="K12" i="279"/>
  <c r="I12" i="279"/>
  <c r="H12" i="279"/>
  <c r="G12" i="279"/>
  <c r="E12" i="279"/>
  <c r="D12" i="279"/>
  <c r="C12" i="279"/>
  <c r="BI11" i="279"/>
  <c r="BH11" i="279"/>
  <c r="BG11" i="279"/>
  <c r="BE11" i="279"/>
  <c r="BD11" i="279"/>
  <c r="BC11" i="279"/>
  <c r="BB11" i="279"/>
  <c r="AX11" i="279"/>
  <c r="Q11" i="279"/>
  <c r="P11" i="279"/>
  <c r="O11" i="279"/>
  <c r="M11" i="279"/>
  <c r="L11" i="279"/>
  <c r="K11" i="279"/>
  <c r="I11" i="279"/>
  <c r="H11" i="279"/>
  <c r="G11" i="279"/>
  <c r="E11" i="279"/>
  <c r="D11" i="279"/>
  <c r="C11" i="279"/>
  <c r="BI10" i="279"/>
  <c r="BI13" i="279"/>
  <c r="BH10" i="279"/>
  <c r="BH13" i="279"/>
  <c r="BG10" i="279"/>
  <c r="BJ10" i="279"/>
  <c r="BE10" i="279"/>
  <c r="BD10" i="279"/>
  <c r="BC10" i="279"/>
  <c r="BB10" i="279"/>
  <c r="AX10" i="279"/>
  <c r="Q10" i="279"/>
  <c r="Q13" i="279"/>
  <c r="P10" i="279"/>
  <c r="P13" i="279"/>
  <c r="O10" i="279"/>
  <c r="O18" i="279"/>
  <c r="M10" i="279"/>
  <c r="L10" i="279"/>
  <c r="K10" i="279"/>
  <c r="I10" i="279"/>
  <c r="H10" i="279"/>
  <c r="G10" i="279"/>
  <c r="E10" i="279"/>
  <c r="E13" i="279"/>
  <c r="D10" i="279"/>
  <c r="C10" i="279"/>
  <c r="BA9" i="279"/>
  <c r="AZ9" i="279"/>
  <c r="AY9" i="279"/>
  <c r="AW9" i="279"/>
  <c r="AV9" i="279"/>
  <c r="AU9" i="279"/>
  <c r="AT9" i="279"/>
  <c r="AS9" i="279"/>
  <c r="AR9" i="279"/>
  <c r="AQ9" i="279"/>
  <c r="BI8" i="279"/>
  <c r="BH8" i="279"/>
  <c r="BG8" i="279"/>
  <c r="BE8" i="279"/>
  <c r="BD8" i="279"/>
  <c r="BD20" i="279"/>
  <c r="BC8" i="279"/>
  <c r="BB8" i="279"/>
  <c r="AX8" i="279"/>
  <c r="Q8" i="279"/>
  <c r="P8" i="279"/>
  <c r="O8" i="279"/>
  <c r="M8" i="279"/>
  <c r="L8" i="279"/>
  <c r="L20" i="279"/>
  <c r="K8" i="279"/>
  <c r="K20" i="279"/>
  <c r="I8" i="279"/>
  <c r="H8" i="279"/>
  <c r="G8" i="279"/>
  <c r="E8" i="279"/>
  <c r="D8" i="279"/>
  <c r="C8" i="279"/>
  <c r="BI7" i="279"/>
  <c r="BI9" i="279"/>
  <c r="BH7" i="279"/>
  <c r="BH9" i="279"/>
  <c r="BG7" i="279"/>
  <c r="BE7" i="279"/>
  <c r="BD7" i="279"/>
  <c r="BC7" i="279"/>
  <c r="BB7" i="279"/>
  <c r="AX7" i="279"/>
  <c r="Q7" i="279"/>
  <c r="Q9" i="279"/>
  <c r="P7" i="279"/>
  <c r="O7" i="279"/>
  <c r="M7" i="279"/>
  <c r="L7" i="279"/>
  <c r="K7" i="279"/>
  <c r="I7" i="279"/>
  <c r="H7" i="279"/>
  <c r="G7" i="279"/>
  <c r="J7" i="279"/>
  <c r="E7" i="279"/>
  <c r="F7" i="279"/>
  <c r="D7" i="279"/>
  <c r="C7" i="279"/>
  <c r="AX6" i="279"/>
  <c r="Q6" i="279"/>
  <c r="P6" i="279"/>
  <c r="O6" i="279"/>
  <c r="M6" i="279"/>
  <c r="M9" i="279"/>
  <c r="L6" i="279"/>
  <c r="K6" i="279"/>
  <c r="I6" i="279"/>
  <c r="H6" i="279"/>
  <c r="G6" i="279"/>
  <c r="E6" i="279"/>
  <c r="D6" i="279"/>
  <c r="C6" i="279"/>
  <c r="F6" i="279"/>
  <c r="BO137" i="278"/>
  <c r="BO138" i="278"/>
  <c r="BN137" i="278"/>
  <c r="BM137" i="278"/>
  <c r="BK137" i="278"/>
  <c r="BJ137" i="278"/>
  <c r="BI137" i="278"/>
  <c r="BP135" i="278"/>
  <c r="BL135" i="278"/>
  <c r="BL137" i="278"/>
  <c r="BP134" i="278"/>
  <c r="BP137" i="278"/>
  <c r="BL134" i="278"/>
  <c r="BP133" i="278"/>
  <c r="BL133" i="278"/>
  <c r="BO132" i="278"/>
  <c r="BN132" i="278"/>
  <c r="BM132" i="278"/>
  <c r="BK132" i="278"/>
  <c r="BJ132" i="278"/>
  <c r="BJ138" i="278"/>
  <c r="BI132" i="278"/>
  <c r="BP131" i="278"/>
  <c r="BP132" i="278"/>
  <c r="BL131" i="278"/>
  <c r="BL132" i="278"/>
  <c r="BO130" i="278"/>
  <c r="BN130" i="278"/>
  <c r="BN138" i="278"/>
  <c r="BM130" i="278"/>
  <c r="BM138" i="278"/>
  <c r="BK130" i="278"/>
  <c r="BJ130" i="278"/>
  <c r="BI130" i="278"/>
  <c r="BI138" i="278"/>
  <c r="BP129" i="278"/>
  <c r="BL129" i="278"/>
  <c r="BP128" i="278"/>
  <c r="BL128" i="278"/>
  <c r="BO126" i="278"/>
  <c r="BO127" i="278"/>
  <c r="BN126" i="278"/>
  <c r="BM126" i="278"/>
  <c r="BK126" i="278"/>
  <c r="BJ126" i="278"/>
  <c r="BI126" i="278"/>
  <c r="BG126" i="278"/>
  <c r="BF126" i="278"/>
  <c r="BE126" i="278"/>
  <c r="BE127" i="278"/>
  <c r="BC126" i="278"/>
  <c r="BB126" i="278"/>
  <c r="BA126" i="278"/>
  <c r="AY126" i="278"/>
  <c r="AX126" i="278"/>
  <c r="AW126" i="278"/>
  <c r="AU126" i="278"/>
  <c r="AT126" i="278"/>
  <c r="AT127" i="278"/>
  <c r="AS126" i="278"/>
  <c r="AQ126" i="278"/>
  <c r="AP126" i="278"/>
  <c r="AO126" i="278"/>
  <c r="AM126" i="278"/>
  <c r="AL126" i="278"/>
  <c r="AK126" i="278"/>
  <c r="AI126" i="278"/>
  <c r="AI127" i="278"/>
  <c r="AI139" i="278"/>
  <c r="AH126" i="278"/>
  <c r="AG126" i="278"/>
  <c r="AE126" i="278"/>
  <c r="AD126" i="278"/>
  <c r="AC126" i="278"/>
  <c r="AA126" i="278"/>
  <c r="Z126" i="278"/>
  <c r="Y126" i="278"/>
  <c r="Y127" i="278"/>
  <c r="Y139" i="278"/>
  <c r="X126" i="278"/>
  <c r="W126" i="278"/>
  <c r="V126" i="278"/>
  <c r="U126" i="278"/>
  <c r="S126" i="278"/>
  <c r="R126" i="278"/>
  <c r="BP125" i="278"/>
  <c r="BL125" i="278"/>
  <c r="BH125" i="278"/>
  <c r="BD125" i="278"/>
  <c r="AZ125" i="278"/>
  <c r="AV125" i="278"/>
  <c r="AR125" i="278"/>
  <c r="AR126" i="278"/>
  <c r="BP124" i="278"/>
  <c r="BL124" i="278"/>
  <c r="BH124" i="278"/>
  <c r="BP123" i="278"/>
  <c r="BL123" i="278"/>
  <c r="BD123" i="278"/>
  <c r="BP122" i="278"/>
  <c r="BL122" i="278"/>
  <c r="BH122" i="278"/>
  <c r="BD122" i="278"/>
  <c r="AZ122" i="278"/>
  <c r="AZ126" i="278"/>
  <c r="AV122" i="278"/>
  <c r="AV126" i="278"/>
  <c r="AR122" i="278"/>
  <c r="AN122" i="278"/>
  <c r="AN126" i="278"/>
  <c r="AJ122" i="278"/>
  <c r="AJ126" i="278"/>
  <c r="AF122" i="278"/>
  <c r="AF126" i="278"/>
  <c r="AB122" i="278"/>
  <c r="AB126" i="278"/>
  <c r="T122" i="278"/>
  <c r="T126" i="278"/>
  <c r="BO121" i="278"/>
  <c r="BN121" i="278"/>
  <c r="BM121" i="278"/>
  <c r="BK121" i="278"/>
  <c r="BJ121" i="278"/>
  <c r="BI121" i="278"/>
  <c r="BI127" i="278"/>
  <c r="BG121" i="278"/>
  <c r="BF121" i="278"/>
  <c r="BE121" i="278"/>
  <c r="BC121" i="278"/>
  <c r="BB121" i="278"/>
  <c r="BA121" i="278"/>
  <c r="AY121" i="278"/>
  <c r="AX121" i="278"/>
  <c r="AX127" i="278"/>
  <c r="AW121" i="278"/>
  <c r="AU121" i="278"/>
  <c r="AT121" i="278"/>
  <c r="AS121" i="278"/>
  <c r="AQ121" i="278"/>
  <c r="AP121" i="278"/>
  <c r="AO121" i="278"/>
  <c r="AM121" i="278"/>
  <c r="AM127" i="278"/>
  <c r="AL121" i="278"/>
  <c r="AK121" i="278"/>
  <c r="AI121" i="278"/>
  <c r="AH121" i="278"/>
  <c r="AG121" i="278"/>
  <c r="AE121" i="278"/>
  <c r="AD121" i="278"/>
  <c r="AC121" i="278"/>
  <c r="AC127" i="278"/>
  <c r="AA121" i="278"/>
  <c r="Z121" i="278"/>
  <c r="Y121" i="278"/>
  <c r="W121" i="278"/>
  <c r="V121" i="278"/>
  <c r="U121" i="278"/>
  <c r="S121" i="278"/>
  <c r="R121" i="278"/>
  <c r="R127" i="278"/>
  <c r="Q121" i="278"/>
  <c r="O121" i="278"/>
  <c r="N121" i="278"/>
  <c r="M121" i="278"/>
  <c r="K121" i="278"/>
  <c r="J121" i="278"/>
  <c r="I121" i="278"/>
  <c r="G121" i="278"/>
  <c r="G127" i="278"/>
  <c r="F121" i="278"/>
  <c r="E121" i="278"/>
  <c r="BP119" i="278"/>
  <c r="BL119" i="278"/>
  <c r="BH119" i="278"/>
  <c r="BD119" i="278"/>
  <c r="AZ119" i="278"/>
  <c r="AV119" i="278"/>
  <c r="AR119" i="278"/>
  <c r="L119" i="278"/>
  <c r="BP118" i="278"/>
  <c r="BL118" i="278"/>
  <c r="BH118" i="278"/>
  <c r="BD118" i="278"/>
  <c r="AZ118" i="278"/>
  <c r="AV118" i="278"/>
  <c r="AR118" i="278"/>
  <c r="AN118" i="278"/>
  <c r="AJ118" i="278"/>
  <c r="AF118" i="278"/>
  <c r="AB118" i="278"/>
  <c r="X118" i="278"/>
  <c r="T118" i="278"/>
  <c r="P118" i="278"/>
  <c r="P121" i="278"/>
  <c r="L118" i="278"/>
  <c r="H118" i="278"/>
  <c r="BP116" i="278"/>
  <c r="BL116" i="278"/>
  <c r="BH116" i="278"/>
  <c r="BD116" i="278"/>
  <c r="AZ116" i="278"/>
  <c r="AV116" i="278"/>
  <c r="AR116" i="278"/>
  <c r="AN116" i="278"/>
  <c r="AJ116" i="278"/>
  <c r="AF116" i="278"/>
  <c r="AB116" i="278"/>
  <c r="BP115" i="278"/>
  <c r="BL115" i="278"/>
  <c r="BH115" i="278"/>
  <c r="BD115" i="278"/>
  <c r="AZ115" i="278"/>
  <c r="AV115" i="278"/>
  <c r="AR115" i="278"/>
  <c r="AN115" i="278"/>
  <c r="AJ115" i="278"/>
  <c r="AF115" i="278"/>
  <c r="AB115" i="278"/>
  <c r="X115" i="278"/>
  <c r="T115" i="278"/>
  <c r="P115" i="278"/>
  <c r="L115" i="278"/>
  <c r="BP114" i="278"/>
  <c r="BH114" i="278"/>
  <c r="BD114" i="278"/>
  <c r="AZ114" i="278"/>
  <c r="AV114" i="278"/>
  <c r="AR114" i="278"/>
  <c r="AN114" i="278"/>
  <c r="AJ114" i="278"/>
  <c r="P114" i="278"/>
  <c r="L114" i="278"/>
  <c r="H114" i="278"/>
  <c r="BP113" i="278"/>
  <c r="BL113" i="278"/>
  <c r="BH113" i="278"/>
  <c r="BD113" i="278"/>
  <c r="AZ113" i="278"/>
  <c r="AV113" i="278"/>
  <c r="AR113" i="278"/>
  <c r="AN113" i="278"/>
  <c r="AJ113" i="278"/>
  <c r="AF113" i="278"/>
  <c r="AB113" i="278"/>
  <c r="X113" i="278"/>
  <c r="T113" i="278"/>
  <c r="P113" i="278"/>
  <c r="L113" i="278"/>
  <c r="H113" i="278"/>
  <c r="BP112" i="278"/>
  <c r="BP121" i="278"/>
  <c r="BL112" i="278"/>
  <c r="BH112" i="278"/>
  <c r="BD112" i="278"/>
  <c r="AZ112" i="278"/>
  <c r="AV112" i="278"/>
  <c r="AR112" i="278"/>
  <c r="AN112" i="278"/>
  <c r="AJ112" i="278"/>
  <c r="AJ121" i="278"/>
  <c r="AF112" i="278"/>
  <c r="AB112" i="278"/>
  <c r="X112" i="278"/>
  <c r="P112" i="278"/>
  <c r="L112" i="278"/>
  <c r="H112" i="278"/>
  <c r="BP111" i="278"/>
  <c r="BL111" i="278"/>
  <c r="BL121" i="278"/>
  <c r="BH111" i="278"/>
  <c r="BD111" i="278"/>
  <c r="AZ111" i="278"/>
  <c r="AV111" i="278"/>
  <c r="AR111" i="278"/>
  <c r="AJ111" i="278"/>
  <c r="AF111" i="278"/>
  <c r="AB111" i="278"/>
  <c r="X111" i="278"/>
  <c r="T111" i="278"/>
  <c r="P111" i="278"/>
  <c r="L111" i="278"/>
  <c r="H111" i="278"/>
  <c r="BP110" i="278"/>
  <c r="BL110" i="278"/>
  <c r="BD110" i="278"/>
  <c r="BP109" i="278"/>
  <c r="BD109" i="278"/>
  <c r="AZ109" i="278"/>
  <c r="AV109" i="278"/>
  <c r="AR109" i="278"/>
  <c r="AJ109" i="278"/>
  <c r="AF109" i="278"/>
  <c r="AB109" i="278"/>
  <c r="AB121" i="278"/>
  <c r="X109" i="278"/>
  <c r="T109" i="278"/>
  <c r="P109" i="278"/>
  <c r="L109" i="278"/>
  <c r="H109" i="278"/>
  <c r="BP108" i="278"/>
  <c r="BD108" i="278"/>
  <c r="AZ108" i="278"/>
  <c r="AZ121" i="278"/>
  <c r="AV108" i="278"/>
  <c r="AR108" i="278"/>
  <c r="X108" i="278"/>
  <c r="T108" i="278"/>
  <c r="P108" i="278"/>
  <c r="L108" i="278"/>
  <c r="BP107" i="278"/>
  <c r="BH107" i="278"/>
  <c r="BD107" i="278"/>
  <c r="AZ107" i="278"/>
  <c r="AV107" i="278"/>
  <c r="AR107" i="278"/>
  <c r="AN107" i="278"/>
  <c r="AF107" i="278"/>
  <c r="AB107" i="278"/>
  <c r="X107" i="278"/>
  <c r="X121" i="278"/>
  <c r="BO106" i="278"/>
  <c r="BN106" i="278"/>
  <c r="BM106" i="278"/>
  <c r="BK106" i="278"/>
  <c r="BJ106" i="278"/>
  <c r="BI106" i="278"/>
  <c r="BG106" i="278"/>
  <c r="BF106" i="278"/>
  <c r="BF127" i="278"/>
  <c r="BE106" i="278"/>
  <c r="BC106" i="278"/>
  <c r="BB106" i="278"/>
  <c r="BA106" i="278"/>
  <c r="AY106" i="278"/>
  <c r="AX106" i="278"/>
  <c r="AW106" i="278"/>
  <c r="AU106" i="278"/>
  <c r="AU127" i="278"/>
  <c r="AT106" i="278"/>
  <c r="AS106" i="278"/>
  <c r="AQ106" i="278"/>
  <c r="AP106" i="278"/>
  <c r="AO106" i="278"/>
  <c r="AM106" i="278"/>
  <c r="AL106" i="278"/>
  <c r="AK106" i="278"/>
  <c r="AK127" i="278"/>
  <c r="AI106" i="278"/>
  <c r="AH106" i="278"/>
  <c r="AG106" i="278"/>
  <c r="AE106" i="278"/>
  <c r="AD106" i="278"/>
  <c r="AC106" i="278"/>
  <c r="AA106" i="278"/>
  <c r="Z106" i="278"/>
  <c r="Z127" i="278"/>
  <c r="Y106" i="278"/>
  <c r="W106" i="278"/>
  <c r="V106" i="278"/>
  <c r="U106" i="278"/>
  <c r="S106" i="278"/>
  <c r="R106" i="278"/>
  <c r="Q106" i="278"/>
  <c r="O106" i="278"/>
  <c r="O127" i="278"/>
  <c r="N106" i="278"/>
  <c r="M106" i="278"/>
  <c r="K106" i="278"/>
  <c r="J106" i="278"/>
  <c r="J127" i="278"/>
  <c r="I106" i="278"/>
  <c r="G106" i="278"/>
  <c r="F106" i="278"/>
  <c r="F127" i="278"/>
  <c r="E106" i="278"/>
  <c r="BP105" i="278"/>
  <c r="BL105" i="278"/>
  <c r="BH105" i="278"/>
  <c r="BD105" i="278"/>
  <c r="AZ105" i="278"/>
  <c r="AV105" i="278"/>
  <c r="AR105" i="278"/>
  <c r="AN105" i="278"/>
  <c r="AJ105" i="278"/>
  <c r="AF105" i="278"/>
  <c r="AB105" i="278"/>
  <c r="X105" i="278"/>
  <c r="T105" i="278"/>
  <c r="P105" i="278"/>
  <c r="L105" i="278"/>
  <c r="H105" i="278"/>
  <c r="BP104" i="278"/>
  <c r="BL104" i="278"/>
  <c r="BH104" i="278"/>
  <c r="BD104" i="278"/>
  <c r="AZ104" i="278"/>
  <c r="AV104" i="278"/>
  <c r="AR104" i="278"/>
  <c r="AN104" i="278"/>
  <c r="AF104" i="278"/>
  <c r="BP103" i="278"/>
  <c r="BL103" i="278"/>
  <c r="BH103" i="278"/>
  <c r="BD103" i="278"/>
  <c r="AZ103" i="278"/>
  <c r="AV103" i="278"/>
  <c r="AR103" i="278"/>
  <c r="AN103" i="278"/>
  <c r="AJ103" i="278"/>
  <c r="AF103" i="278"/>
  <c r="BP102" i="278"/>
  <c r="T102" i="278"/>
  <c r="P102" i="278"/>
  <c r="BP101" i="278"/>
  <c r="BN41" i="279"/>
  <c r="BN43" i="279"/>
  <c r="BP100" i="278"/>
  <c r="BL100" i="278"/>
  <c r="BH100" i="278"/>
  <c r="BD100" i="278"/>
  <c r="AZ100" i="278"/>
  <c r="AV100" i="278"/>
  <c r="AR100" i="278"/>
  <c r="AN100" i="278"/>
  <c r="T100" i="278"/>
  <c r="H100" i="278"/>
  <c r="BP99" i="278"/>
  <c r="BL99" i="278"/>
  <c r="BH99" i="278"/>
  <c r="BD99" i="278"/>
  <c r="AZ99" i="278"/>
  <c r="AV99" i="278"/>
  <c r="AR99" i="278"/>
  <c r="AN99" i="278"/>
  <c r="AF99" i="278"/>
  <c r="X99" i="278"/>
  <c r="BP98" i="278"/>
  <c r="BL98" i="278"/>
  <c r="BH98" i="278"/>
  <c r="BD98" i="278"/>
  <c r="AZ98" i="278"/>
  <c r="AV98" i="278"/>
  <c r="AR98" i="278"/>
  <c r="AN98" i="278"/>
  <c r="AJ98" i="278"/>
  <c r="AF98" i="278"/>
  <c r="AB98" i="278"/>
  <c r="X98" i="278"/>
  <c r="T98" i="278"/>
  <c r="P98" i="278"/>
  <c r="L98" i="278"/>
  <c r="BP97" i="278"/>
  <c r="BL97" i="278"/>
  <c r="BH97" i="278"/>
  <c r="BD97" i="278"/>
  <c r="AZ97" i="278"/>
  <c r="AV97" i="278"/>
  <c r="AR97" i="278"/>
  <c r="AN97" i="278"/>
  <c r="AJ97" i="278"/>
  <c r="AF97" i="278"/>
  <c r="AB97" i="278"/>
  <c r="X97" i="278"/>
  <c r="T97" i="278"/>
  <c r="P97" i="278"/>
  <c r="L97" i="278"/>
  <c r="H97" i="278"/>
  <c r="BP96" i="278"/>
  <c r="BL96" i="278"/>
  <c r="BH96" i="278"/>
  <c r="BD96" i="278"/>
  <c r="AZ96" i="278"/>
  <c r="AV96" i="278"/>
  <c r="AR96" i="278"/>
  <c r="AN96" i="278"/>
  <c r="AJ96" i="278"/>
  <c r="AF96" i="278"/>
  <c r="X96" i="278"/>
  <c r="T96" i="278"/>
  <c r="P96" i="278"/>
  <c r="L96" i="278"/>
  <c r="H96" i="278"/>
  <c r="BP95" i="278"/>
  <c r="BL95" i="278"/>
  <c r="BH95" i="278"/>
  <c r="BD95" i="278"/>
  <c r="AZ95" i="278"/>
  <c r="AV95" i="278"/>
  <c r="AR95" i="278"/>
  <c r="AN95" i="278"/>
  <c r="AJ95" i="278"/>
  <c r="AF95" i="278"/>
  <c r="AB95" i="278"/>
  <c r="X95" i="278"/>
  <c r="T95" i="278"/>
  <c r="P95" i="278"/>
  <c r="L95" i="278"/>
  <c r="H95" i="278"/>
  <c r="BP94" i="278"/>
  <c r="BL94" i="278"/>
  <c r="BH94" i="278"/>
  <c r="BD94" i="278"/>
  <c r="AZ94" i="278"/>
  <c r="AV94" i="278"/>
  <c r="AV106" i="278"/>
  <c r="AR94" i="278"/>
  <c r="AN94" i="278"/>
  <c r="AJ94" i="278"/>
  <c r="AF94" i="278"/>
  <c r="AB94" i="278"/>
  <c r="X94" i="278"/>
  <c r="T94" i="278"/>
  <c r="L94" i="278"/>
  <c r="BP93" i="278"/>
  <c r="BL93" i="278"/>
  <c r="BH93" i="278"/>
  <c r="BD93" i="278"/>
  <c r="AZ93" i="278"/>
  <c r="AV93" i="278"/>
  <c r="AR93" i="278"/>
  <c r="AN93" i="278"/>
  <c r="AJ93" i="278"/>
  <c r="AF93" i="278"/>
  <c r="AB93" i="278"/>
  <c r="X93" i="278"/>
  <c r="T93" i="278"/>
  <c r="P93" i="278"/>
  <c r="L93" i="278"/>
  <c r="H93" i="278"/>
  <c r="H106" i="278"/>
  <c r="BP92" i="278"/>
  <c r="BL92" i="278"/>
  <c r="BH92" i="278"/>
  <c r="BD92" i="278"/>
  <c r="AZ92" i="278"/>
  <c r="AV92" i="278"/>
  <c r="AR92" i="278"/>
  <c r="AN92" i="278"/>
  <c r="AN106" i="278"/>
  <c r="AJ92" i="278"/>
  <c r="AF92" i="278"/>
  <c r="AB92" i="278"/>
  <c r="X92" i="278"/>
  <c r="T92" i="278"/>
  <c r="P92" i="278"/>
  <c r="BP91" i="278"/>
  <c r="BL91" i="278"/>
  <c r="BL106" i="278"/>
  <c r="BH91" i="278"/>
  <c r="BD91" i="278"/>
  <c r="AZ91" i="278"/>
  <c r="AV91" i="278"/>
  <c r="AR91" i="278"/>
  <c r="AN91" i="278"/>
  <c r="AJ91" i="278"/>
  <c r="AJ106" i="278"/>
  <c r="AF91" i="278"/>
  <c r="AF106" i="278"/>
  <c r="AF127" i="278"/>
  <c r="AB91" i="278"/>
  <c r="BP90" i="278"/>
  <c r="BL90" i="278"/>
  <c r="BH90" i="278"/>
  <c r="BD90" i="278"/>
  <c r="AZ90" i="278"/>
  <c r="AV90" i="278"/>
  <c r="AR90" i="278"/>
  <c r="AN90" i="278"/>
  <c r="AJ90" i="278"/>
  <c r="AF90" i="278"/>
  <c r="AB90" i="278"/>
  <c r="X90" i="278"/>
  <c r="T90" i="278"/>
  <c r="P90" i="278"/>
  <c r="L90" i="278"/>
  <c r="BO88" i="278"/>
  <c r="BN88" i="278"/>
  <c r="BM88" i="278"/>
  <c r="BK88" i="278"/>
  <c r="BJ88" i="278"/>
  <c r="BI88" i="278"/>
  <c r="BG88" i="278"/>
  <c r="BF88" i="278"/>
  <c r="BE88" i="278"/>
  <c r="BC88" i="278"/>
  <c r="BB88" i="278"/>
  <c r="BA88" i="278"/>
  <c r="AY88" i="278"/>
  <c r="AX88" i="278"/>
  <c r="AW88" i="278"/>
  <c r="AU88" i="278"/>
  <c r="AT88" i="278"/>
  <c r="AS88" i="278"/>
  <c r="AQ88" i="278"/>
  <c r="AP88" i="278"/>
  <c r="AO88" i="278"/>
  <c r="AM88" i="278"/>
  <c r="AL88" i="278"/>
  <c r="AK88" i="278"/>
  <c r="AI88" i="278"/>
  <c r="AH88" i="278"/>
  <c r="AG88" i="278"/>
  <c r="AE88" i="278"/>
  <c r="AD88" i="278"/>
  <c r="AC88" i="278"/>
  <c r="AA88" i="278"/>
  <c r="Z88" i="278"/>
  <c r="Y88" i="278"/>
  <c r="W88" i="278"/>
  <c r="V88" i="278"/>
  <c r="U88" i="278"/>
  <c r="S88" i="278"/>
  <c r="R88" i="278"/>
  <c r="Q88" i="278"/>
  <c r="O88" i="278"/>
  <c r="N88" i="278"/>
  <c r="M88" i="278"/>
  <c r="K88" i="278"/>
  <c r="J88" i="278"/>
  <c r="I88" i="278"/>
  <c r="G88" i="278"/>
  <c r="F88" i="278"/>
  <c r="E88" i="278"/>
  <c r="BP87" i="278"/>
  <c r="BL87" i="278"/>
  <c r="BH87" i="278"/>
  <c r="BD87" i="278"/>
  <c r="AZ87" i="278"/>
  <c r="AV87" i="278"/>
  <c r="AR87" i="278"/>
  <c r="AN87" i="278"/>
  <c r="AJ87" i="278"/>
  <c r="AF87" i="278"/>
  <c r="AB87" i="278"/>
  <c r="X87" i="278"/>
  <c r="T87" i="278"/>
  <c r="P87" i="278"/>
  <c r="L87" i="278"/>
  <c r="H87" i="278"/>
  <c r="BP86" i="278"/>
  <c r="BL86" i="278"/>
  <c r="BH86" i="278"/>
  <c r="BD86" i="278"/>
  <c r="AZ86" i="278"/>
  <c r="AV86" i="278"/>
  <c r="AR86" i="278"/>
  <c r="AN86" i="278"/>
  <c r="AJ86" i="278"/>
  <c r="AF86" i="278"/>
  <c r="AB86" i="278"/>
  <c r="BP85" i="278"/>
  <c r="BL85" i="278"/>
  <c r="BH85" i="278"/>
  <c r="BD85" i="278"/>
  <c r="AZ85" i="278"/>
  <c r="AV85" i="278"/>
  <c r="AR85" i="278"/>
  <c r="AN85" i="278"/>
  <c r="AJ85" i="278"/>
  <c r="AF85" i="278"/>
  <c r="AB85" i="278"/>
  <c r="X85" i="278"/>
  <c r="T85" i="278"/>
  <c r="P85" i="278"/>
  <c r="L85" i="278"/>
  <c r="H84" i="278"/>
  <c r="BP83" i="278"/>
  <c r="BL83" i="278"/>
  <c r="BH83" i="278"/>
  <c r="BD83" i="278"/>
  <c r="AZ83" i="278"/>
  <c r="AV83" i="278"/>
  <c r="AR83" i="278"/>
  <c r="AN83" i="278"/>
  <c r="AJ83" i="278"/>
  <c r="AF83" i="278"/>
  <c r="AB83" i="278"/>
  <c r="X83" i="278"/>
  <c r="BP82" i="278"/>
  <c r="BL82" i="278"/>
  <c r="BH82" i="278"/>
  <c r="BD82" i="278"/>
  <c r="AZ82" i="278"/>
  <c r="AV82" i="278"/>
  <c r="AR82" i="278"/>
  <c r="AN82" i="278"/>
  <c r="AJ82" i="278"/>
  <c r="AJ88" i="278"/>
  <c r="AF82" i="278"/>
  <c r="AB82" i="278"/>
  <c r="X82" i="278"/>
  <c r="T82" i="278"/>
  <c r="P82" i="278"/>
  <c r="L82" i="278"/>
  <c r="H82" i="278"/>
  <c r="BP81" i="278"/>
  <c r="BP88" i="278"/>
  <c r="BL81" i="278"/>
  <c r="BH81" i="278"/>
  <c r="BD81" i="278"/>
  <c r="AZ81" i="278"/>
  <c r="AV81" i="278"/>
  <c r="AB81" i="278"/>
  <c r="X81" i="278"/>
  <c r="T81" i="278"/>
  <c r="P81" i="278"/>
  <c r="L81" i="278"/>
  <c r="H81" i="278"/>
  <c r="BP80" i="278"/>
  <c r="BL80" i="278"/>
  <c r="BH80" i="278"/>
  <c r="BD80" i="278"/>
  <c r="AZ80" i="278"/>
  <c r="AV80" i="278"/>
  <c r="AR80" i="278"/>
  <c r="AN80" i="278"/>
  <c r="AJ80" i="278"/>
  <c r="AF80" i="278"/>
  <c r="AB80" i="278"/>
  <c r="X80" i="278"/>
  <c r="T80" i="278"/>
  <c r="T88" i="278"/>
  <c r="P80" i="278"/>
  <c r="L80" i="278"/>
  <c r="H80" i="278"/>
  <c r="BP79" i="278"/>
  <c r="BL79" i="278"/>
  <c r="BH79" i="278"/>
  <c r="BD79" i="278"/>
  <c r="BD88" i="278"/>
  <c r="AZ79" i="278"/>
  <c r="AV79" i="278"/>
  <c r="AR79" i="278"/>
  <c r="AN79" i="278"/>
  <c r="AJ79" i="278"/>
  <c r="AF79" i="278"/>
  <c r="AB79" i="278"/>
  <c r="X79" i="278"/>
  <c r="P79" i="278"/>
  <c r="BP78" i="278"/>
  <c r="BL78" i="278"/>
  <c r="BH78" i="278"/>
  <c r="BD78" i="278"/>
  <c r="AZ78" i="278"/>
  <c r="AV78" i="278"/>
  <c r="AV88" i="278"/>
  <c r="AR78" i="278"/>
  <c r="AN78" i="278"/>
  <c r="AJ78" i="278"/>
  <c r="AF78" i="278"/>
  <c r="AF88" i="278"/>
  <c r="AB78" i="278"/>
  <c r="X78" i="278"/>
  <c r="T78" i="278"/>
  <c r="P78" i="278"/>
  <c r="L78" i="278"/>
  <c r="H78" i="278"/>
  <c r="BO77" i="278"/>
  <c r="BN77" i="278"/>
  <c r="BM77" i="278"/>
  <c r="BK77" i="278"/>
  <c r="BJ77" i="278"/>
  <c r="BI77" i="278"/>
  <c r="BG77" i="278"/>
  <c r="BF77" i="278"/>
  <c r="BE77" i="278"/>
  <c r="BC77" i="278"/>
  <c r="BB77" i="278"/>
  <c r="BA77" i="278"/>
  <c r="AY77" i="278"/>
  <c r="AX77" i="278"/>
  <c r="AW77" i="278"/>
  <c r="AU77" i="278"/>
  <c r="AT77" i="278"/>
  <c r="AS77" i="278"/>
  <c r="AQ77" i="278"/>
  <c r="AP77" i="278"/>
  <c r="AO77" i="278"/>
  <c r="AM77" i="278"/>
  <c r="AL77" i="278"/>
  <c r="AK77" i="278"/>
  <c r="AK89" i="278"/>
  <c r="AI77" i="278"/>
  <c r="AH77" i="278"/>
  <c r="AG77" i="278"/>
  <c r="AE77" i="278"/>
  <c r="AD77" i="278"/>
  <c r="AC77" i="278"/>
  <c r="AA77" i="278"/>
  <c r="Z77" i="278"/>
  <c r="Z89" i="278"/>
  <c r="Y77" i="278"/>
  <c r="W77" i="278"/>
  <c r="V77" i="278"/>
  <c r="U77" i="278"/>
  <c r="S77" i="278"/>
  <c r="R77" i="278"/>
  <c r="Q77" i="278"/>
  <c r="O77" i="278"/>
  <c r="N77" i="278"/>
  <c r="M77" i="278"/>
  <c r="K77" i="278"/>
  <c r="J77" i="278"/>
  <c r="I77" i="278"/>
  <c r="G77" i="278"/>
  <c r="F77" i="278"/>
  <c r="E77" i="278"/>
  <c r="E89" i="278"/>
  <c r="BP76" i="278"/>
  <c r="BL76" i="278"/>
  <c r="BH76" i="278"/>
  <c r="BD76" i="278"/>
  <c r="AZ76" i="278"/>
  <c r="AV76" i="278"/>
  <c r="AR76" i="278"/>
  <c r="AN76" i="278"/>
  <c r="AJ76" i="278"/>
  <c r="AF76" i="278"/>
  <c r="AB76" i="278"/>
  <c r="X76" i="278"/>
  <c r="P76" i="278"/>
  <c r="H76" i="278"/>
  <c r="BP75" i="278"/>
  <c r="BL75" i="278"/>
  <c r="BH75" i="278"/>
  <c r="BD75" i="278"/>
  <c r="AZ75" i="278"/>
  <c r="AV75" i="278"/>
  <c r="AR75" i="278"/>
  <c r="AN75" i="278"/>
  <c r="AJ75" i="278"/>
  <c r="AF75" i="278"/>
  <c r="AB75" i="278"/>
  <c r="X75" i="278"/>
  <c r="T75" i="278"/>
  <c r="P75" i="278"/>
  <c r="BP74" i="278"/>
  <c r="BL74" i="278"/>
  <c r="BH74" i="278"/>
  <c r="BD74" i="278"/>
  <c r="BD77" i="278"/>
  <c r="AZ74" i="278"/>
  <c r="AV74" i="278"/>
  <c r="AR74" i="278"/>
  <c r="AN74" i="278"/>
  <c r="AJ74" i="278"/>
  <c r="AF74" i="278"/>
  <c r="AB74" i="278"/>
  <c r="X74" i="278"/>
  <c r="T74" i="278"/>
  <c r="P74" i="278"/>
  <c r="L74" i="278"/>
  <c r="BP73" i="278"/>
  <c r="BL73" i="278"/>
  <c r="BH73" i="278"/>
  <c r="BD73" i="278"/>
  <c r="AZ73" i="278"/>
  <c r="AV73" i="278"/>
  <c r="AR73" i="278"/>
  <c r="AN73" i="278"/>
  <c r="AJ73" i="278"/>
  <c r="AF73" i="278"/>
  <c r="AB73" i="278"/>
  <c r="X73" i="278"/>
  <c r="T73" i="278"/>
  <c r="P73" i="278"/>
  <c r="L73" i="278"/>
  <c r="BP72" i="278"/>
  <c r="BL72" i="278"/>
  <c r="BH72" i="278"/>
  <c r="BD72" i="278"/>
  <c r="AZ72" i="278"/>
  <c r="AV72" i="278"/>
  <c r="AR72" i="278"/>
  <c r="AN72" i="278"/>
  <c r="AJ72" i="278"/>
  <c r="AF72" i="278"/>
  <c r="AB72" i="278"/>
  <c r="X72" i="278"/>
  <c r="T72" i="278"/>
  <c r="P72" i="278"/>
  <c r="L72" i="278"/>
  <c r="BP71" i="278"/>
  <c r="BD71" i="278"/>
  <c r="AZ71" i="278"/>
  <c r="AV71" i="278"/>
  <c r="P71" i="278"/>
  <c r="L71" i="278"/>
  <c r="H71" i="278"/>
  <c r="BP70" i="278"/>
  <c r="BD70" i="278"/>
  <c r="AZ70" i="278"/>
  <c r="AV70" i="278"/>
  <c r="AR70" i="278"/>
  <c r="AB70" i="278"/>
  <c r="T70" i="278"/>
  <c r="P70" i="278"/>
  <c r="L70" i="278"/>
  <c r="H70" i="278"/>
  <c r="BP69" i="278"/>
  <c r="BD69" i="278"/>
  <c r="AZ69" i="278"/>
  <c r="P69" i="278"/>
  <c r="L69" i="278"/>
  <c r="H69" i="278"/>
  <c r="BP68" i="278"/>
  <c r="BL68" i="278"/>
  <c r="BH68" i="278"/>
  <c r="BD68" i="278"/>
  <c r="AZ68" i="278"/>
  <c r="AV68" i="278"/>
  <c r="AR68" i="278"/>
  <c r="AN68" i="278"/>
  <c r="AJ68" i="278"/>
  <c r="T68" i="278"/>
  <c r="P68" i="278"/>
  <c r="BP67" i="278"/>
  <c r="BL67" i="278"/>
  <c r="BH67" i="278"/>
  <c r="BD67" i="278"/>
  <c r="AZ67" i="278"/>
  <c r="AV67" i="278"/>
  <c r="AR67" i="278"/>
  <c r="AN67" i="278"/>
  <c r="AJ67" i="278"/>
  <c r="AF67" i="278"/>
  <c r="AB67" i="278"/>
  <c r="X67" i="278"/>
  <c r="T67" i="278"/>
  <c r="T77" i="278"/>
  <c r="P67" i="278"/>
  <c r="L67" i="278"/>
  <c r="BP66" i="278"/>
  <c r="BL66" i="278"/>
  <c r="BH66" i="278"/>
  <c r="BD66" i="278"/>
  <c r="AZ66" i="278"/>
  <c r="AV66" i="278"/>
  <c r="AR66" i="278"/>
  <c r="AN66" i="278"/>
  <c r="AJ66" i="278"/>
  <c r="AF66" i="278"/>
  <c r="AB66" i="278"/>
  <c r="X66" i="278"/>
  <c r="T66" i="278"/>
  <c r="P66" i="278"/>
  <c r="L66" i="278"/>
  <c r="H66" i="278"/>
  <c r="BP65" i="278"/>
  <c r="BL65" i="278"/>
  <c r="BH65" i="278"/>
  <c r="BD65" i="278"/>
  <c r="AZ65" i="278"/>
  <c r="AV65" i="278"/>
  <c r="AV77" i="278"/>
  <c r="AR65" i="278"/>
  <c r="AJ65" i="278"/>
  <c r="AB65" i="278"/>
  <c r="X65" i="278"/>
  <c r="T65" i="278"/>
  <c r="P65" i="278"/>
  <c r="L65" i="278"/>
  <c r="H65" i="278"/>
  <c r="BP64" i="278"/>
  <c r="BL64" i="278"/>
  <c r="BH64" i="278"/>
  <c r="BD64" i="278"/>
  <c r="AZ64" i="278"/>
  <c r="AV64" i="278"/>
  <c r="AR64" i="278"/>
  <c r="AN64" i="278"/>
  <c r="AJ64" i="278"/>
  <c r="AF64" i="278"/>
  <c r="AB64" i="278"/>
  <c r="X64" i="278"/>
  <c r="T64" i="278"/>
  <c r="P64" i="278"/>
  <c r="L64" i="278"/>
  <c r="H64" i="278"/>
  <c r="BP63" i="278"/>
  <c r="BL63" i="278"/>
  <c r="BH63" i="278"/>
  <c r="BD63" i="278"/>
  <c r="AZ63" i="278"/>
  <c r="AV63" i="278"/>
  <c r="AR63" i="278"/>
  <c r="AJ63" i="278"/>
  <c r="AJ77" i="278"/>
  <c r="AF63" i="278"/>
  <c r="AB63" i="278"/>
  <c r="X63" i="278"/>
  <c r="T63" i="278"/>
  <c r="P63" i="278"/>
  <c r="L63" i="278"/>
  <c r="L77" i="278"/>
  <c r="H63" i="278"/>
  <c r="BO62" i="278"/>
  <c r="BO89" i="278"/>
  <c r="BN62" i="278"/>
  <c r="BN89" i="278"/>
  <c r="BM62" i="278"/>
  <c r="BM89" i="278"/>
  <c r="BK62" i="278"/>
  <c r="BK89" i="278"/>
  <c r="BJ62" i="278"/>
  <c r="BI62" i="278"/>
  <c r="BG62" i="278"/>
  <c r="BF62" i="278"/>
  <c r="BE62" i="278"/>
  <c r="BC62" i="278"/>
  <c r="BB62" i="278"/>
  <c r="BB89" i="278"/>
  <c r="BA62" i="278"/>
  <c r="AY62" i="278"/>
  <c r="AX62" i="278"/>
  <c r="AW62" i="278"/>
  <c r="AU62" i="278"/>
  <c r="AT62" i="278"/>
  <c r="AS62" i="278"/>
  <c r="AQ62" i="278"/>
  <c r="AQ89" i="278"/>
  <c r="AP62" i="278"/>
  <c r="AO62" i="278"/>
  <c r="AM62" i="278"/>
  <c r="AL62" i="278"/>
  <c r="AK62" i="278"/>
  <c r="AI62" i="278"/>
  <c r="AH62" i="278"/>
  <c r="AG62" i="278"/>
  <c r="AE62" i="278"/>
  <c r="AE89" i="278"/>
  <c r="AD62" i="278"/>
  <c r="AC62" i="278"/>
  <c r="AC89" i="278"/>
  <c r="AA62" i="278"/>
  <c r="Z62" i="278"/>
  <c r="Y62" i="278"/>
  <c r="W62" i="278"/>
  <c r="W89" i="278"/>
  <c r="V62" i="278"/>
  <c r="U62" i="278"/>
  <c r="U89" i="278"/>
  <c r="U139" i="278"/>
  <c r="S62" i="278"/>
  <c r="R62" i="278"/>
  <c r="Q62" i="278"/>
  <c r="O62" i="278"/>
  <c r="N62" i="278"/>
  <c r="M62" i="278"/>
  <c r="M89" i="278"/>
  <c r="K62" i="278"/>
  <c r="J62" i="278"/>
  <c r="J89" i="278"/>
  <c r="I62" i="278"/>
  <c r="G62" i="278"/>
  <c r="F62" i="278"/>
  <c r="E62" i="278"/>
  <c r="BP61" i="278"/>
  <c r="BD61" i="278"/>
  <c r="AZ61" i="278"/>
  <c r="AV61" i="278"/>
  <c r="AR61" i="278"/>
  <c r="AN61" i="278"/>
  <c r="AJ61" i="278"/>
  <c r="AF61" i="278"/>
  <c r="AB61" i="278"/>
  <c r="X61" i="278"/>
  <c r="T61" i="278"/>
  <c r="P61" i="278"/>
  <c r="L61" i="278"/>
  <c r="H61" i="278"/>
  <c r="BP59" i="278"/>
  <c r="BL59" i="278"/>
  <c r="BH59" i="278"/>
  <c r="BD59" i="278"/>
  <c r="AZ59" i="278"/>
  <c r="AV59" i="278"/>
  <c r="AR59" i="278"/>
  <c r="AN59" i="278"/>
  <c r="AJ59" i="278"/>
  <c r="X59" i="278"/>
  <c r="BP58" i="278"/>
  <c r="BL58" i="278"/>
  <c r="BH58" i="278"/>
  <c r="BD58" i="278"/>
  <c r="AZ58" i="278"/>
  <c r="AV58" i="278"/>
  <c r="AR58" i="278"/>
  <c r="AN58" i="278"/>
  <c r="AJ58" i="278"/>
  <c r="AF58" i="278"/>
  <c r="AB58" i="278"/>
  <c r="X58" i="278"/>
  <c r="BP57" i="278"/>
  <c r="BL57" i="278"/>
  <c r="BH57" i="278"/>
  <c r="BD57" i="278"/>
  <c r="AZ57" i="278"/>
  <c r="AV57" i="278"/>
  <c r="AR57" i="278"/>
  <c r="AN57" i="278"/>
  <c r="AJ57" i="278"/>
  <c r="AF57" i="278"/>
  <c r="AB57" i="278"/>
  <c r="X57" i="278"/>
  <c r="BP56" i="278"/>
  <c r="BL56" i="278"/>
  <c r="BH56" i="278"/>
  <c r="BD56" i="278"/>
  <c r="AZ56" i="278"/>
  <c r="AV56" i="278"/>
  <c r="AR56" i="278"/>
  <c r="AN56" i="278"/>
  <c r="AJ56" i="278"/>
  <c r="AF56" i="278"/>
  <c r="BP55" i="278"/>
  <c r="BL55" i="278"/>
  <c r="BH55" i="278"/>
  <c r="BD55" i="278"/>
  <c r="AZ55" i="278"/>
  <c r="AV55" i="278"/>
  <c r="AR55" i="278"/>
  <c r="AN55" i="278"/>
  <c r="AJ55" i="278"/>
  <c r="AJ62" i="278"/>
  <c r="AB55" i="278"/>
  <c r="X55" i="278"/>
  <c r="BP53" i="278"/>
  <c r="BL53" i="278"/>
  <c r="BH53" i="278"/>
  <c r="BD53" i="278"/>
  <c r="AZ53" i="278"/>
  <c r="AV53" i="278"/>
  <c r="AR53" i="278"/>
  <c r="AN53" i="278"/>
  <c r="BP52" i="278"/>
  <c r="BL52" i="278"/>
  <c r="BH52" i="278"/>
  <c r="BD52" i="278"/>
  <c r="AZ52" i="278"/>
  <c r="AV52" i="278"/>
  <c r="AR52" i="278"/>
  <c r="AN52" i="278"/>
  <c r="AJ52" i="278"/>
  <c r="AF52" i="278"/>
  <c r="AB52" i="278"/>
  <c r="X52" i="278"/>
  <c r="T52" i="278"/>
  <c r="P52" i="278"/>
  <c r="L52" i="278"/>
  <c r="H52" i="278"/>
  <c r="BP51" i="278"/>
  <c r="BL51" i="278"/>
  <c r="BH51" i="278"/>
  <c r="BD51" i="278"/>
  <c r="AZ51" i="278"/>
  <c r="AV51" i="278"/>
  <c r="AR51" i="278"/>
  <c r="AN51" i="278"/>
  <c r="AJ51" i="278"/>
  <c r="AF51" i="278"/>
  <c r="AB51" i="278"/>
  <c r="X51" i="278"/>
  <c r="T51" i="278"/>
  <c r="P51" i="278"/>
  <c r="L51" i="278"/>
  <c r="H51" i="278"/>
  <c r="BP50" i="278"/>
  <c r="BL50" i="278"/>
  <c r="BH50" i="278"/>
  <c r="BD50" i="278"/>
  <c r="AZ50" i="278"/>
  <c r="AV50" i="278"/>
  <c r="AR50" i="278"/>
  <c r="AN50" i="278"/>
  <c r="AJ50" i="278"/>
  <c r="AF50" i="278"/>
  <c r="AB50" i="278"/>
  <c r="X50" i="278"/>
  <c r="T50" i="278"/>
  <c r="P50" i="278"/>
  <c r="L50" i="278"/>
  <c r="H50" i="278"/>
  <c r="BP49" i="278"/>
  <c r="BL49" i="278"/>
  <c r="BH49" i="278"/>
  <c r="BD49" i="278"/>
  <c r="AZ49" i="278"/>
  <c r="AV49" i="278"/>
  <c r="AV62" i="278"/>
  <c r="AR49" i="278"/>
  <c r="AN49" i="278"/>
  <c r="AJ49" i="278"/>
  <c r="AF49" i="278"/>
  <c r="AB49" i="278"/>
  <c r="X49" i="278"/>
  <c r="X62" i="278"/>
  <c r="T49" i="278"/>
  <c r="P49" i="278"/>
  <c r="L49" i="278"/>
  <c r="H49" i="278"/>
  <c r="BP48" i="278"/>
  <c r="BL48" i="278"/>
  <c r="BD48" i="278"/>
  <c r="AZ48" i="278"/>
  <c r="AV48" i="278"/>
  <c r="AR48" i="278"/>
  <c r="AN48" i="278"/>
  <c r="AF48" i="278"/>
  <c r="AB48" i="278"/>
  <c r="X48" i="278"/>
  <c r="T48" i="278"/>
  <c r="P48" i="278"/>
  <c r="L48" i="278"/>
  <c r="H48" i="278"/>
  <c r="H62" i="278"/>
  <c r="BO46" i="278"/>
  <c r="BN46" i="278"/>
  <c r="BM46" i="278"/>
  <c r="BK46" i="278"/>
  <c r="BJ46" i="278"/>
  <c r="BI46" i="278"/>
  <c r="BG46" i="278"/>
  <c r="BF46" i="278"/>
  <c r="BF47" i="278"/>
  <c r="BE46" i="278"/>
  <c r="BC46" i="278"/>
  <c r="BB46" i="278"/>
  <c r="BA46" i="278"/>
  <c r="AY46" i="278"/>
  <c r="AX46" i="278"/>
  <c r="AW46" i="278"/>
  <c r="AU46" i="278"/>
  <c r="AU47" i="278"/>
  <c r="AT46" i="278"/>
  <c r="AS46" i="278"/>
  <c r="AQ46" i="278"/>
  <c r="AP46" i="278"/>
  <c r="AO46" i="278"/>
  <c r="AM46" i="278"/>
  <c r="AL46" i="278"/>
  <c r="AK46" i="278"/>
  <c r="AI46" i="278"/>
  <c r="AH46" i="278"/>
  <c r="AG46" i="278"/>
  <c r="AE46" i="278"/>
  <c r="AD46" i="278"/>
  <c r="AC46" i="278"/>
  <c r="AA46" i="278"/>
  <c r="Z46" i="278"/>
  <c r="Z47" i="278"/>
  <c r="Z139" i="278"/>
  <c r="Y46" i="278"/>
  <c r="W46" i="278"/>
  <c r="V46" i="278"/>
  <c r="U46" i="278"/>
  <c r="S46" i="278"/>
  <c r="R46" i="278"/>
  <c r="Q46" i="278"/>
  <c r="O46" i="278"/>
  <c r="N46" i="278"/>
  <c r="M46" i="278"/>
  <c r="K46" i="278"/>
  <c r="J46" i="278"/>
  <c r="I46" i="278"/>
  <c r="G46" i="278"/>
  <c r="F46" i="278"/>
  <c r="E46" i="278"/>
  <c r="E47" i="278"/>
  <c r="E139" i="278"/>
  <c r="BP41" i="278"/>
  <c r="BH41" i="278"/>
  <c r="BD41" i="278"/>
  <c r="AZ41" i="278"/>
  <c r="AV41" i="278"/>
  <c r="AR41" i="278"/>
  <c r="AR46" i="278"/>
  <c r="AN41" i="278"/>
  <c r="AJ41" i="278"/>
  <c r="AJ46" i="278"/>
  <c r="AF41" i="278"/>
  <c r="AB41" i="278"/>
  <c r="P41" i="278"/>
  <c r="BP35" i="278"/>
  <c r="BL35" i="278"/>
  <c r="BH35" i="278"/>
  <c r="BD35" i="278"/>
  <c r="T35" i="278"/>
  <c r="P35" i="278"/>
  <c r="H35" i="278"/>
  <c r="BP33" i="278"/>
  <c r="BD33" i="278"/>
  <c r="AZ33" i="278"/>
  <c r="AV33" i="278"/>
  <c r="AR33" i="278"/>
  <c r="AN33" i="278"/>
  <c r="AN46" i="278"/>
  <c r="AJ33" i="278"/>
  <c r="AF33" i="278"/>
  <c r="AB33" i="278"/>
  <c r="X33" i="278"/>
  <c r="T33" i="278"/>
  <c r="BP32" i="278"/>
  <c r="BP46" i="278"/>
  <c r="BL32" i="278"/>
  <c r="BH32" i="278"/>
  <c r="BD32" i="278"/>
  <c r="AZ32" i="278"/>
  <c r="AV32" i="278"/>
  <c r="AR32" i="278"/>
  <c r="AR6" i="278"/>
  <c r="AR7" i="278"/>
  <c r="AR9" i="278"/>
  <c r="AR12" i="278"/>
  <c r="AR13" i="278"/>
  <c r="AR18" i="278"/>
  <c r="AR19" i="278"/>
  <c r="AR22" i="278"/>
  <c r="AR23" i="278"/>
  <c r="AR24" i="278"/>
  <c r="AR25" i="278"/>
  <c r="AR26" i="278"/>
  <c r="AR29" i="278"/>
  <c r="AR30" i="278"/>
  <c r="AN32" i="278"/>
  <c r="AJ32" i="278"/>
  <c r="AF32" i="278"/>
  <c r="AB32" i="278"/>
  <c r="AB46" i="278"/>
  <c r="X32" i="278"/>
  <c r="T32" i="278"/>
  <c r="P32" i="278"/>
  <c r="L32" i="278"/>
  <c r="L46" i="278"/>
  <c r="H32" i="278"/>
  <c r="BO31" i="278"/>
  <c r="BN31" i="278"/>
  <c r="BM31" i="278"/>
  <c r="BK31" i="278"/>
  <c r="BJ31" i="278"/>
  <c r="BJ47" i="278"/>
  <c r="BI31" i="278"/>
  <c r="BG31" i="278"/>
  <c r="BF31" i="278"/>
  <c r="BE31" i="278"/>
  <c r="BC31" i="278"/>
  <c r="BB31" i="278"/>
  <c r="BA31" i="278"/>
  <c r="AY31" i="278"/>
  <c r="AX31" i="278"/>
  <c r="AW31" i="278"/>
  <c r="AU31" i="278"/>
  <c r="AT31" i="278"/>
  <c r="AS31" i="278"/>
  <c r="AQ31" i="278"/>
  <c r="AP31" i="278"/>
  <c r="AO31" i="278"/>
  <c r="AO47" i="278"/>
  <c r="AO139" i="278"/>
  <c r="AM31" i="278"/>
  <c r="AL31" i="278"/>
  <c r="AK31" i="278"/>
  <c r="AI31" i="278"/>
  <c r="AH31" i="278"/>
  <c r="AG31" i="278"/>
  <c r="AE31" i="278"/>
  <c r="AD31" i="278"/>
  <c r="AD47" i="278"/>
  <c r="AD139" i="278"/>
  <c r="AC31" i="278"/>
  <c r="AA31" i="278"/>
  <c r="Z31" i="278"/>
  <c r="Y31" i="278"/>
  <c r="W31" i="278"/>
  <c r="V31" i="278"/>
  <c r="U31" i="278"/>
  <c r="S31" i="278"/>
  <c r="S47" i="278"/>
  <c r="R31" i="278"/>
  <c r="Q31" i="278"/>
  <c r="O31" i="278"/>
  <c r="N31" i="278"/>
  <c r="M31" i="278"/>
  <c r="K31" i="278"/>
  <c r="J31" i="278"/>
  <c r="I31" i="278"/>
  <c r="I47" i="278"/>
  <c r="I139" i="278"/>
  <c r="G31" i="278"/>
  <c r="F31" i="278"/>
  <c r="BP30" i="278"/>
  <c r="BL30" i="278"/>
  <c r="BH30" i="278"/>
  <c r="BD30" i="278"/>
  <c r="AZ30" i="278"/>
  <c r="AV30" i="278"/>
  <c r="BP29" i="278"/>
  <c r="BH29" i="278"/>
  <c r="BD29" i="278"/>
  <c r="AZ29" i="278"/>
  <c r="AV29" i="278"/>
  <c r="AJ29" i="278"/>
  <c r="BH28" i="278"/>
  <c r="BD28" i="278"/>
  <c r="AZ28" i="278"/>
  <c r="BP26" i="278"/>
  <c r="BL26" i="278"/>
  <c r="BH26" i="278"/>
  <c r="BD26" i="278"/>
  <c r="AZ26" i="278"/>
  <c r="AV26" i="278"/>
  <c r="AJ26" i="278"/>
  <c r="AF26" i="278"/>
  <c r="AB26" i="278"/>
  <c r="X26" i="278"/>
  <c r="T26" i="278"/>
  <c r="P26" i="278"/>
  <c r="H26" i="278"/>
  <c r="BP25" i="278"/>
  <c r="BL25" i="278"/>
  <c r="BH25" i="278"/>
  <c r="BD25" i="278"/>
  <c r="AZ25" i="278"/>
  <c r="AV25" i="278"/>
  <c r="AN25" i="278"/>
  <c r="AJ25" i="278"/>
  <c r="AF25" i="278"/>
  <c r="AB25" i="278"/>
  <c r="AB31" i="278"/>
  <c r="X25" i="278"/>
  <c r="T25" i="278"/>
  <c r="P25" i="278"/>
  <c r="L25" i="278"/>
  <c r="H25" i="278"/>
  <c r="BP24" i="278"/>
  <c r="BH24" i="278"/>
  <c r="BD24" i="278"/>
  <c r="AZ24" i="278"/>
  <c r="AV24" i="278"/>
  <c r="BP23" i="278"/>
  <c r="BH23" i="278"/>
  <c r="BD23" i="278"/>
  <c r="AZ23" i="278"/>
  <c r="AV23" i="278"/>
  <c r="AN23" i="278"/>
  <c r="AJ23" i="278"/>
  <c r="BP22" i="278"/>
  <c r="BH22" i="278"/>
  <c r="BD22" i="278"/>
  <c r="AZ22" i="278"/>
  <c r="AV22" i="278"/>
  <c r="AN22" i="278"/>
  <c r="AJ22" i="278"/>
  <c r="AF22" i="278"/>
  <c r="AB22" i="278"/>
  <c r="X22" i="278"/>
  <c r="T22" i="278"/>
  <c r="P22" i="278"/>
  <c r="L22" i="278"/>
  <c r="BP21" i="278"/>
  <c r="BL21" i="278"/>
  <c r="BH21" i="278"/>
  <c r="BD21" i="278"/>
  <c r="AZ21" i="278"/>
  <c r="BP20" i="278"/>
  <c r="BH20" i="278"/>
  <c r="BD20" i="278"/>
  <c r="AZ20" i="278"/>
  <c r="AV20" i="278"/>
  <c r="BP19" i="278"/>
  <c r="BH19" i="278"/>
  <c r="BH18" i="278"/>
  <c r="BD19" i="278"/>
  <c r="AZ19" i="278"/>
  <c r="AV19" i="278"/>
  <c r="AN19" i="278"/>
  <c r="AJ19" i="278"/>
  <c r="AF19" i="278"/>
  <c r="BP18" i="278"/>
  <c r="BL18" i="278"/>
  <c r="BD18" i="278"/>
  <c r="AZ18" i="278"/>
  <c r="AV18" i="278"/>
  <c r="AN18" i="278"/>
  <c r="AJ18" i="278"/>
  <c r="AF18" i="278"/>
  <c r="AB18" i="278"/>
  <c r="X18" i="278"/>
  <c r="T18" i="278"/>
  <c r="P18" i="278"/>
  <c r="P31" i="278"/>
  <c r="L18" i="278"/>
  <c r="H18" i="278"/>
  <c r="BO17" i="278"/>
  <c r="BO47" i="278"/>
  <c r="BN17" i="278"/>
  <c r="BM17" i="278"/>
  <c r="BK17" i="278"/>
  <c r="BJ17" i="278"/>
  <c r="BI17" i="278"/>
  <c r="BI47" i="278"/>
  <c r="BG17" i="278"/>
  <c r="BF17" i="278"/>
  <c r="BE17" i="278"/>
  <c r="BE47" i="278"/>
  <c r="BC17" i="278"/>
  <c r="BB17" i="278"/>
  <c r="BA17" i="278"/>
  <c r="AY17" i="278"/>
  <c r="AX17" i="278"/>
  <c r="AW17" i="278"/>
  <c r="AU17" i="278"/>
  <c r="AT17" i="278"/>
  <c r="AT47" i="278"/>
  <c r="AT139" i="278"/>
  <c r="AS17" i="278"/>
  <c r="AQ17" i="278"/>
  <c r="AQ47" i="278"/>
  <c r="AP17" i="278"/>
  <c r="AP47" i="278"/>
  <c r="AO17" i="278"/>
  <c r="AM17" i="278"/>
  <c r="AL17" i="278"/>
  <c r="AK17" i="278"/>
  <c r="AK47" i="278"/>
  <c r="AI17" i="278"/>
  <c r="AH17" i="278"/>
  <c r="AG17" i="278"/>
  <c r="AG47" i="278"/>
  <c r="AE17" i="278"/>
  <c r="AD17" i="278"/>
  <c r="AC17" i="278"/>
  <c r="AA17" i="278"/>
  <c r="AA47" i="278"/>
  <c r="Z17" i="278"/>
  <c r="Y17" i="278"/>
  <c r="W17" i="278"/>
  <c r="V17" i="278"/>
  <c r="V47" i="278"/>
  <c r="U17" i="278"/>
  <c r="S17" i="278"/>
  <c r="R17" i="278"/>
  <c r="Q17" i="278"/>
  <c r="Q47" i="278"/>
  <c r="O17" i="278"/>
  <c r="N17" i="278"/>
  <c r="M17" i="278"/>
  <c r="K17" i="278"/>
  <c r="K47" i="278"/>
  <c r="J17" i="278"/>
  <c r="I17" i="278"/>
  <c r="G17" i="278"/>
  <c r="F17" i="278"/>
  <c r="F47" i="278"/>
  <c r="E17" i="278"/>
  <c r="BP13" i="278"/>
  <c r="BL13" i="278"/>
  <c r="BH13" i="278"/>
  <c r="BD13" i="278"/>
  <c r="AZ13" i="278"/>
  <c r="AV13" i="278"/>
  <c r="BP12" i="278"/>
  <c r="BL12" i="278"/>
  <c r="BH12" i="278"/>
  <c r="BD12" i="278"/>
  <c r="AZ12" i="278"/>
  <c r="AV12" i="278"/>
  <c r="AN12" i="278"/>
  <c r="AJ12" i="278"/>
  <c r="AF12" i="278"/>
  <c r="AB12" i="278"/>
  <c r="X12" i="278"/>
  <c r="T12" i="278"/>
  <c r="BP11" i="278"/>
  <c r="BP10" i="278"/>
  <c r="BP9" i="278"/>
  <c r="BL9" i="278"/>
  <c r="BH9" i="278"/>
  <c r="BD9" i="278"/>
  <c r="AZ9" i="278"/>
  <c r="AV9" i="278"/>
  <c r="AN9" i="278"/>
  <c r="AJ9" i="278"/>
  <c r="AF9" i="278"/>
  <c r="AB9" i="278"/>
  <c r="X9" i="278"/>
  <c r="X17" i="278"/>
  <c r="X47" i="278"/>
  <c r="T9" i="278"/>
  <c r="P9" i="278"/>
  <c r="L9" i="278"/>
  <c r="L17" i="278"/>
  <c r="H9" i="278"/>
  <c r="H17" i="278"/>
  <c r="BP7" i="278"/>
  <c r="BL7" i="278"/>
  <c r="BH7" i="278"/>
  <c r="BH17" i="278"/>
  <c r="BD7" i="278"/>
  <c r="AZ7" i="278"/>
  <c r="AV7" i="278"/>
  <c r="AN7" i="278"/>
  <c r="AJ7" i="278"/>
  <c r="AF7" i="278"/>
  <c r="AB7" i="278"/>
  <c r="BP6" i="278"/>
  <c r="BL6" i="278"/>
  <c r="BH6" i="278"/>
  <c r="BD6" i="278"/>
  <c r="AZ6" i="278"/>
  <c r="AV6" i="278"/>
  <c r="AN6" i="278"/>
  <c r="AJ6" i="278"/>
  <c r="AF6" i="278"/>
  <c r="AB6" i="278"/>
  <c r="X6" i="278"/>
  <c r="T6" i="278"/>
  <c r="P6" i="278"/>
  <c r="BD5" i="278"/>
  <c r="AZ5" i="278"/>
  <c r="X5" i="278"/>
  <c r="T5" i="278"/>
  <c r="I81" i="268"/>
  <c r="H81" i="268"/>
  <c r="G81" i="268"/>
  <c r="F81" i="268"/>
  <c r="E81" i="268"/>
  <c r="D81" i="268"/>
  <c r="I80" i="268"/>
  <c r="H80" i="268"/>
  <c r="G80" i="268"/>
  <c r="F80" i="268"/>
  <c r="E80" i="268"/>
  <c r="D80" i="268"/>
  <c r="I79" i="268"/>
  <c r="H79" i="268"/>
  <c r="G79" i="268"/>
  <c r="D79" i="268"/>
  <c r="I78" i="268"/>
  <c r="H78" i="268"/>
  <c r="G78" i="268"/>
  <c r="F78" i="268"/>
  <c r="E78" i="268"/>
  <c r="D78" i="268"/>
  <c r="D84" i="268" s="1"/>
  <c r="B33" i="299" s="1"/>
  <c r="M70" i="268"/>
  <c r="M219" i="268" s="1"/>
  <c r="M223" i="268" s="1"/>
  <c r="L70" i="268"/>
  <c r="L219" i="268" s="1"/>
  <c r="L223" i="268" s="1"/>
  <c r="M69" i="268"/>
  <c r="M218" i="268" s="1"/>
  <c r="M222" i="268" s="1"/>
  <c r="L69" i="268"/>
  <c r="L218" i="268" s="1"/>
  <c r="L222" i="268" s="1"/>
  <c r="M68" i="268"/>
  <c r="M217" i="268" s="1"/>
  <c r="L68" i="268"/>
  <c r="L217" i="268" s="1"/>
  <c r="M67" i="268"/>
  <c r="M83" i="268" s="1"/>
  <c r="O66" i="268"/>
  <c r="N66" i="268"/>
  <c r="O65" i="268"/>
  <c r="N65" i="268"/>
  <c r="O64" i="268"/>
  <c r="O68" i="268" s="1"/>
  <c r="N64" i="268"/>
  <c r="M63" i="268"/>
  <c r="O61" i="268"/>
  <c r="O214" i="268" s="1"/>
  <c r="O216" i="268" s="1"/>
  <c r="O235" i="268" s="1"/>
  <c r="N61" i="268"/>
  <c r="N214" i="268" s="1"/>
  <c r="N216" i="268" s="1"/>
  <c r="N235" i="268" s="1"/>
  <c r="M59" i="268"/>
  <c r="L59" i="268"/>
  <c r="O58" i="268"/>
  <c r="O211" i="268" s="1"/>
  <c r="N58" i="268"/>
  <c r="N211" i="268" s="1"/>
  <c r="O57" i="268"/>
  <c r="O210" i="268" s="1"/>
  <c r="N57" i="268"/>
  <c r="N210" i="268" s="1"/>
  <c r="M53" i="268"/>
  <c r="L53" i="268"/>
  <c r="K53" i="268"/>
  <c r="J53" i="268"/>
  <c r="I53" i="268"/>
  <c r="H53" i="268"/>
  <c r="G53" i="268"/>
  <c r="F53" i="268"/>
  <c r="E53" i="268"/>
  <c r="D53" i="268"/>
  <c r="M52" i="268"/>
  <c r="L52" i="268"/>
  <c r="K52" i="268"/>
  <c r="J52" i="268"/>
  <c r="I52" i="268"/>
  <c r="H52" i="268"/>
  <c r="G52" i="268"/>
  <c r="F52" i="268"/>
  <c r="E52" i="268"/>
  <c r="D52" i="268"/>
  <c r="M51" i="268"/>
  <c r="L51" i="268"/>
  <c r="K51" i="268"/>
  <c r="J51" i="268"/>
  <c r="I51" i="268"/>
  <c r="H51" i="268"/>
  <c r="G51" i="268"/>
  <c r="F51" i="268"/>
  <c r="E51" i="268"/>
  <c r="D51" i="268"/>
  <c r="M50" i="268"/>
  <c r="L50" i="268"/>
  <c r="K50" i="268"/>
  <c r="J50" i="268"/>
  <c r="O49" i="268"/>
  <c r="O202" i="268" s="1"/>
  <c r="N49" i="268"/>
  <c r="N202" i="268" s="1"/>
  <c r="O48" i="268"/>
  <c r="O201" i="268" s="1"/>
  <c r="N48" i="268"/>
  <c r="N201" i="268" s="1"/>
  <c r="M46" i="268"/>
  <c r="L46" i="268"/>
  <c r="K46" i="268"/>
  <c r="J46" i="268"/>
  <c r="O45" i="268"/>
  <c r="O198" i="268" s="1"/>
  <c r="N45" i="268"/>
  <c r="N198" i="268" s="1"/>
  <c r="O44" i="268"/>
  <c r="O197" i="268" s="1"/>
  <c r="N44" i="268"/>
  <c r="O43" i="268"/>
  <c r="O196" i="268" s="1"/>
  <c r="N43" i="268"/>
  <c r="N196" i="268" s="1"/>
  <c r="M42" i="268"/>
  <c r="L42" i="268"/>
  <c r="K42" i="268"/>
  <c r="J42" i="268"/>
  <c r="O41" i="268"/>
  <c r="O194" i="268" s="1"/>
  <c r="N41" i="268"/>
  <c r="N194" i="268" s="1"/>
  <c r="O40" i="268"/>
  <c r="O193" i="268" s="1"/>
  <c r="N40" i="268"/>
  <c r="N193" i="268" s="1"/>
  <c r="O39" i="268"/>
  <c r="O192" i="268" s="1"/>
  <c r="N39" i="268"/>
  <c r="N192" i="268" s="1"/>
  <c r="M36" i="268"/>
  <c r="L36" i="268"/>
  <c r="K36" i="268"/>
  <c r="J36" i="268"/>
  <c r="I36" i="268"/>
  <c r="H36" i="268"/>
  <c r="G36" i="268"/>
  <c r="F36" i="268"/>
  <c r="E36" i="268"/>
  <c r="D36" i="268"/>
  <c r="M35" i="268"/>
  <c r="L35" i="268"/>
  <c r="K35" i="268"/>
  <c r="J35" i="268"/>
  <c r="I35" i="268"/>
  <c r="H35" i="268"/>
  <c r="G35" i="268"/>
  <c r="F35" i="268"/>
  <c r="E35" i="268"/>
  <c r="D35" i="268"/>
  <c r="M34" i="268"/>
  <c r="L34" i="268"/>
  <c r="K34" i="268"/>
  <c r="J34" i="268"/>
  <c r="I34" i="268"/>
  <c r="H34" i="268"/>
  <c r="G34" i="268"/>
  <c r="F34" i="268"/>
  <c r="E34" i="268"/>
  <c r="D34" i="268"/>
  <c r="M33" i="268"/>
  <c r="L33" i="268"/>
  <c r="K33" i="268"/>
  <c r="J33" i="268"/>
  <c r="O32" i="268"/>
  <c r="O185" i="268" s="1"/>
  <c r="N32" i="268"/>
  <c r="N185" i="268" s="1"/>
  <c r="O31" i="268"/>
  <c r="O184" i="268" s="1"/>
  <c r="N31" i="268"/>
  <c r="N184" i="268" s="1"/>
  <c r="O30" i="268"/>
  <c r="O183" i="268" s="1"/>
  <c r="N30" i="268"/>
  <c r="N183" i="268" s="1"/>
  <c r="M29" i="268"/>
  <c r="L29" i="268"/>
  <c r="K29" i="268"/>
  <c r="J29" i="268"/>
  <c r="O28" i="268"/>
  <c r="O181" i="268" s="1"/>
  <c r="N28" i="268"/>
  <c r="N181" i="268" s="1"/>
  <c r="O27" i="268"/>
  <c r="O180" i="268" s="1"/>
  <c r="N27" i="268"/>
  <c r="N180" i="268" s="1"/>
  <c r="O26" i="268"/>
  <c r="O179" i="268" s="1"/>
  <c r="N26" i="268"/>
  <c r="N179" i="268" s="1"/>
  <c r="M25" i="268"/>
  <c r="L25" i="268"/>
  <c r="K25" i="268"/>
  <c r="J25" i="268"/>
  <c r="O24" i="268"/>
  <c r="O177" i="268" s="1"/>
  <c r="N24" i="268"/>
  <c r="N177" i="268" s="1"/>
  <c r="O23" i="268"/>
  <c r="O176" i="268" s="1"/>
  <c r="N23" i="268"/>
  <c r="N176" i="268" s="1"/>
  <c r="M19" i="268"/>
  <c r="L19" i="268"/>
  <c r="K19" i="268"/>
  <c r="J19" i="268"/>
  <c r="I19" i="268"/>
  <c r="H19" i="268"/>
  <c r="G19" i="268"/>
  <c r="G75" i="268" s="1"/>
  <c r="F19" i="268"/>
  <c r="E19" i="268"/>
  <c r="D19" i="268"/>
  <c r="M18" i="268"/>
  <c r="L18" i="268"/>
  <c r="K18" i="268"/>
  <c r="J18" i="268"/>
  <c r="I18" i="268"/>
  <c r="I74" i="268" s="1"/>
  <c r="H18" i="268"/>
  <c r="G18" i="268"/>
  <c r="F18" i="268"/>
  <c r="E18" i="268"/>
  <c r="D18" i="268"/>
  <c r="M17" i="268"/>
  <c r="L17" i="268"/>
  <c r="K17" i="268"/>
  <c r="J17" i="268"/>
  <c r="I17" i="268"/>
  <c r="H17" i="268"/>
  <c r="G17" i="268"/>
  <c r="F17" i="268"/>
  <c r="E17" i="268"/>
  <c r="D17" i="268"/>
  <c r="M16" i="268"/>
  <c r="L16" i="268"/>
  <c r="K16" i="268"/>
  <c r="J16" i="268"/>
  <c r="O15" i="268"/>
  <c r="N15" i="268"/>
  <c r="N168" i="268" s="1"/>
  <c r="O14" i="268"/>
  <c r="P167" i="268" s="1"/>
  <c r="N14" i="268"/>
  <c r="O167" i="268" s="1"/>
  <c r="O13" i="268"/>
  <c r="P166" i="268" s="1"/>
  <c r="N13" i="268"/>
  <c r="O166" i="268" s="1"/>
  <c r="M12" i="268"/>
  <c r="L12" i="268"/>
  <c r="L20" i="268" s="1"/>
  <c r="K12" i="268"/>
  <c r="J12" i="268"/>
  <c r="O11" i="268"/>
  <c r="O164" i="268" s="1"/>
  <c r="N11" i="268"/>
  <c r="N164" i="268" s="1"/>
  <c r="O10" i="268"/>
  <c r="N10" i="268"/>
  <c r="N163" i="268" s="1"/>
  <c r="O9" i="268"/>
  <c r="O162" i="268" s="1"/>
  <c r="N9" i="268"/>
  <c r="N162" i="268" s="1"/>
  <c r="M8" i="268"/>
  <c r="L8" i="268"/>
  <c r="K8" i="268"/>
  <c r="J8" i="268"/>
  <c r="O7" i="268"/>
  <c r="N7" i="268"/>
  <c r="O6" i="268"/>
  <c r="N6" i="268"/>
  <c r="N159" i="268" s="1"/>
  <c r="O5" i="268"/>
  <c r="O158" i="268" s="1"/>
  <c r="N5" i="268"/>
  <c r="N158" i="268" s="1"/>
  <c r="P150" i="267"/>
  <c r="O150" i="267"/>
  <c r="N150" i="267"/>
  <c r="P145" i="267"/>
  <c r="O145" i="267"/>
  <c r="N145" i="267"/>
  <c r="P143" i="267"/>
  <c r="O143" i="267"/>
  <c r="N143" i="267"/>
  <c r="M143" i="267"/>
  <c r="M151" i="267"/>
  <c r="P139" i="267"/>
  <c r="P134" i="267"/>
  <c r="P119" i="267"/>
  <c r="O139" i="267"/>
  <c r="N139" i="267"/>
  <c r="M139" i="267"/>
  <c r="L139" i="267"/>
  <c r="K139" i="267"/>
  <c r="J139" i="267"/>
  <c r="I139" i="267"/>
  <c r="H139" i="267"/>
  <c r="G139" i="267"/>
  <c r="F139" i="267"/>
  <c r="E139" i="267"/>
  <c r="O134" i="267"/>
  <c r="N134" i="267"/>
  <c r="M134" i="267"/>
  <c r="L134" i="267"/>
  <c r="K134" i="267"/>
  <c r="J134" i="267"/>
  <c r="I134" i="267"/>
  <c r="H134" i="267"/>
  <c r="G134" i="267"/>
  <c r="F134" i="267"/>
  <c r="E134" i="267"/>
  <c r="O119" i="267"/>
  <c r="N119" i="267"/>
  <c r="M119" i="267"/>
  <c r="L119" i="267"/>
  <c r="K119" i="267"/>
  <c r="J119" i="267"/>
  <c r="I119" i="267"/>
  <c r="H119" i="267"/>
  <c r="G119" i="267"/>
  <c r="F119" i="267"/>
  <c r="E119" i="267"/>
  <c r="P98" i="267"/>
  <c r="O98" i="267"/>
  <c r="N98" i="267"/>
  <c r="M98" i="267"/>
  <c r="L98" i="267"/>
  <c r="K98" i="267"/>
  <c r="J98" i="267"/>
  <c r="I98" i="267"/>
  <c r="H98" i="267"/>
  <c r="G98" i="267"/>
  <c r="F98" i="267"/>
  <c r="E98" i="267"/>
  <c r="P87" i="267"/>
  <c r="O87" i="267"/>
  <c r="N87" i="267"/>
  <c r="N99" i="267"/>
  <c r="N153" i="267"/>
  <c r="M87" i="267"/>
  <c r="L87" i="267"/>
  <c r="K87" i="267"/>
  <c r="J87" i="267"/>
  <c r="I87" i="267"/>
  <c r="H87" i="267"/>
  <c r="G87" i="267"/>
  <c r="F87" i="267"/>
  <c r="F99" i="267"/>
  <c r="F153" i="267"/>
  <c r="E87" i="267"/>
  <c r="P69" i="267"/>
  <c r="O69" i="267"/>
  <c r="N69" i="267"/>
  <c r="M69" i="267"/>
  <c r="L69" i="267"/>
  <c r="L16" i="267"/>
  <c r="L33" i="267"/>
  <c r="L51" i="267"/>
  <c r="L140" i="267"/>
  <c r="K69" i="267"/>
  <c r="J69" i="267"/>
  <c r="I69" i="267"/>
  <c r="H69" i="267"/>
  <c r="H99" i="267"/>
  <c r="H16" i="267"/>
  <c r="H33" i="267"/>
  <c r="H51" i="267"/>
  <c r="G69" i="267"/>
  <c r="F69" i="267"/>
  <c r="E69" i="267"/>
  <c r="P51" i="267"/>
  <c r="O51" i="267"/>
  <c r="N51" i="267"/>
  <c r="M51" i="267"/>
  <c r="K51" i="267"/>
  <c r="J51" i="267"/>
  <c r="I51" i="267"/>
  <c r="G51" i="267"/>
  <c r="F51" i="267"/>
  <c r="E51" i="267"/>
  <c r="P33" i="267"/>
  <c r="O33" i="267"/>
  <c r="N33" i="267"/>
  <c r="M33" i="267"/>
  <c r="K33" i="267"/>
  <c r="J33" i="267"/>
  <c r="I33" i="267"/>
  <c r="G33" i="267"/>
  <c r="F33" i="267"/>
  <c r="E33" i="267"/>
  <c r="P16" i="267"/>
  <c r="O16" i="267"/>
  <c r="O52" i="267"/>
  <c r="N16" i="267"/>
  <c r="M16" i="267"/>
  <c r="K16" i="267"/>
  <c r="J16" i="267"/>
  <c r="I16" i="267"/>
  <c r="I52" i="267"/>
  <c r="G16" i="267"/>
  <c r="G52" i="267"/>
  <c r="F16" i="267"/>
  <c r="E16" i="267"/>
  <c r="R63" i="27"/>
  <c r="R64" i="27"/>
  <c r="R65" i="27"/>
  <c r="X65" i="27"/>
  <c r="W65" i="27"/>
  <c r="V65" i="27"/>
  <c r="U65" i="27"/>
  <c r="T65" i="27"/>
  <c r="S65" i="27"/>
  <c r="Q65" i="27"/>
  <c r="P65" i="27"/>
  <c r="O65" i="27"/>
  <c r="N65" i="27"/>
  <c r="M65" i="27"/>
  <c r="L65" i="27"/>
  <c r="K65" i="27"/>
  <c r="J65" i="27"/>
  <c r="I65" i="27"/>
  <c r="X64" i="27"/>
  <c r="W64" i="27"/>
  <c r="V64" i="27"/>
  <c r="U64" i="27"/>
  <c r="T64" i="27"/>
  <c r="S64" i="27"/>
  <c r="Q64" i="27"/>
  <c r="P64" i="27"/>
  <c r="O64" i="27"/>
  <c r="O63" i="27"/>
  <c r="N64" i="27"/>
  <c r="M64" i="27"/>
  <c r="L64" i="27"/>
  <c r="K64" i="27"/>
  <c r="J64" i="27"/>
  <c r="I64" i="27"/>
  <c r="X63" i="27"/>
  <c r="X66" i="27"/>
  <c r="W63" i="27"/>
  <c r="V63" i="27"/>
  <c r="V66" i="27"/>
  <c r="U63" i="27"/>
  <c r="U66" i="27"/>
  <c r="T63" i="27"/>
  <c r="S63" i="27"/>
  <c r="S66" i="27"/>
  <c r="Q63" i="27"/>
  <c r="Q66" i="27"/>
  <c r="P63" i="27"/>
  <c r="P66" i="27"/>
  <c r="N63" i="27"/>
  <c r="M63" i="27"/>
  <c r="M66" i="27"/>
  <c r="L63" i="27"/>
  <c r="L66" i="27"/>
  <c r="K63" i="27"/>
  <c r="J63" i="27"/>
  <c r="J66" i="27"/>
  <c r="I63" i="27"/>
  <c r="I66" i="27"/>
  <c r="AI45" i="27"/>
  <c r="AI70" i="27"/>
  <c r="AH45" i="27"/>
  <c r="AH70" i="27"/>
  <c r="AG45" i="27"/>
  <c r="AE45" i="27"/>
  <c r="AE70" i="27"/>
  <c r="AD45" i="27"/>
  <c r="AD70" i="27"/>
  <c r="AC45" i="27"/>
  <c r="X45" i="27"/>
  <c r="W45" i="27"/>
  <c r="V45" i="27"/>
  <c r="U45" i="27"/>
  <c r="T45" i="27"/>
  <c r="S45" i="27"/>
  <c r="S43" i="27"/>
  <c r="S44" i="27"/>
  <c r="R45" i="27"/>
  <c r="Q45" i="27"/>
  <c r="P45" i="27"/>
  <c r="O45" i="27"/>
  <c r="N45" i="27"/>
  <c r="N46" i="27"/>
  <c r="M45" i="27"/>
  <c r="L45" i="27"/>
  <c r="K45" i="27"/>
  <c r="J45" i="27"/>
  <c r="J25" i="27"/>
  <c r="I45" i="27"/>
  <c r="AI44" i="27"/>
  <c r="AH44" i="27"/>
  <c r="AH69" i="27"/>
  <c r="AG44" i="27"/>
  <c r="AE44" i="27"/>
  <c r="AD44" i="27"/>
  <c r="AD69" i="27"/>
  <c r="AC44" i="27"/>
  <c r="X44" i="27"/>
  <c r="W44" i="27"/>
  <c r="V44" i="27"/>
  <c r="U44" i="27"/>
  <c r="U46" i="27"/>
  <c r="T44" i="27"/>
  <c r="S24" i="27"/>
  <c r="R44" i="27"/>
  <c r="Q44" i="27"/>
  <c r="P44" i="27"/>
  <c r="O44" i="27"/>
  <c r="N44" i="27"/>
  <c r="M44" i="27"/>
  <c r="L44" i="27"/>
  <c r="K44" i="27"/>
  <c r="J44" i="27"/>
  <c r="I44" i="27"/>
  <c r="AI43" i="27"/>
  <c r="AI68" i="27"/>
  <c r="AH43" i="27"/>
  <c r="AH68" i="27"/>
  <c r="AG43" i="27"/>
  <c r="AG46" i="27"/>
  <c r="AE43" i="27"/>
  <c r="AE68" i="27"/>
  <c r="AD43" i="27"/>
  <c r="AC43" i="27"/>
  <c r="X43" i="27"/>
  <c r="X46" i="27"/>
  <c r="W43" i="27"/>
  <c r="V43" i="27"/>
  <c r="V46" i="27"/>
  <c r="U43" i="27"/>
  <c r="T43" i="27"/>
  <c r="T46" i="27"/>
  <c r="R43" i="27"/>
  <c r="Q43" i="27"/>
  <c r="P43" i="27"/>
  <c r="O43" i="27"/>
  <c r="N43" i="27"/>
  <c r="M43" i="27"/>
  <c r="L43" i="27"/>
  <c r="L46" i="27"/>
  <c r="K43" i="27"/>
  <c r="J43" i="27"/>
  <c r="I43" i="27"/>
  <c r="AI41" i="27"/>
  <c r="AH41" i="27"/>
  <c r="AG41" i="27"/>
  <c r="AE41" i="27"/>
  <c r="AD41" i="27"/>
  <c r="AC41" i="27"/>
  <c r="AJ40" i="27"/>
  <c r="AF40" i="27"/>
  <c r="AJ39" i="27"/>
  <c r="AF39" i="27"/>
  <c r="AJ38" i="27"/>
  <c r="AF38" i="27"/>
  <c r="AI36" i="27"/>
  <c r="AH36" i="27"/>
  <c r="AG36" i="27"/>
  <c r="AE36" i="27"/>
  <c r="AD36" i="27"/>
  <c r="AC36" i="27"/>
  <c r="AJ35" i="27"/>
  <c r="AF35" i="27"/>
  <c r="AJ34" i="27"/>
  <c r="AF34" i="27"/>
  <c r="AJ33" i="27"/>
  <c r="AJ43" i="27"/>
  <c r="AF33" i="27"/>
  <c r="AI31" i="27"/>
  <c r="AH31" i="27"/>
  <c r="AG31" i="27"/>
  <c r="AE31" i="27"/>
  <c r="AD31" i="27"/>
  <c r="AC31" i="27"/>
  <c r="AJ30" i="27"/>
  <c r="AJ45" i="27"/>
  <c r="AF30" i="27"/>
  <c r="AJ29" i="27"/>
  <c r="AF29" i="27"/>
  <c r="AI26" i="27"/>
  <c r="AH26" i="27"/>
  <c r="AE26" i="27"/>
  <c r="AD26" i="27"/>
  <c r="AG25" i="27"/>
  <c r="AG70" i="27"/>
  <c r="AC25" i="27"/>
  <c r="X25" i="27"/>
  <c r="X70" i="27"/>
  <c r="W25" i="27"/>
  <c r="V25" i="27"/>
  <c r="V70" i="27"/>
  <c r="U25" i="27"/>
  <c r="U70" i="27"/>
  <c r="T25" i="27"/>
  <c r="S25" i="27"/>
  <c r="S70" i="27"/>
  <c r="R25" i="27"/>
  <c r="R70" i="27"/>
  <c r="Q25" i="27"/>
  <c r="Q70" i="27"/>
  <c r="P25" i="27"/>
  <c r="P70" i="27"/>
  <c r="O25" i="27"/>
  <c r="N25" i="27"/>
  <c r="N70" i="27"/>
  <c r="M25" i="27"/>
  <c r="M70" i="27"/>
  <c r="L25" i="27"/>
  <c r="L70" i="27"/>
  <c r="K25" i="27"/>
  <c r="I25" i="27"/>
  <c r="I70" i="27"/>
  <c r="AG24" i="27"/>
  <c r="AG69" i="27"/>
  <c r="AC24" i="27"/>
  <c r="X24" i="27"/>
  <c r="W24" i="27"/>
  <c r="W69" i="27"/>
  <c r="V24" i="27"/>
  <c r="V69" i="27"/>
  <c r="U24" i="27"/>
  <c r="U69" i="27"/>
  <c r="T24" i="27"/>
  <c r="T69" i="27"/>
  <c r="R24" i="27"/>
  <c r="Q24" i="27"/>
  <c r="Q69" i="27"/>
  <c r="P24" i="27"/>
  <c r="O24" i="27"/>
  <c r="O69" i="27"/>
  <c r="N24" i="27"/>
  <c r="N69" i="27"/>
  <c r="M24" i="27"/>
  <c r="M69" i="27"/>
  <c r="L24" i="27"/>
  <c r="L69" i="27"/>
  <c r="K24" i="27"/>
  <c r="J24" i="27"/>
  <c r="I24" i="27"/>
  <c r="I69" i="27"/>
  <c r="AG23" i="27"/>
  <c r="AJ23" i="27"/>
  <c r="AC23" i="27"/>
  <c r="X23" i="27"/>
  <c r="X68" i="27"/>
  <c r="W23" i="27"/>
  <c r="V23" i="27"/>
  <c r="U23" i="27"/>
  <c r="U26" i="27"/>
  <c r="T23" i="27"/>
  <c r="S23" i="27"/>
  <c r="R23" i="27"/>
  <c r="R26" i="27"/>
  <c r="Q23" i="27"/>
  <c r="Q68" i="27"/>
  <c r="P23" i="27"/>
  <c r="P68" i="27"/>
  <c r="O23" i="27"/>
  <c r="O26" i="27"/>
  <c r="N23" i="27"/>
  <c r="M23" i="27"/>
  <c r="L23" i="27"/>
  <c r="K23" i="27"/>
  <c r="K68" i="27"/>
  <c r="J23" i="27"/>
  <c r="I23" i="27"/>
  <c r="AI16" i="27"/>
  <c r="AH16" i="27"/>
  <c r="AJ16" i="27"/>
  <c r="AG16" i="27"/>
  <c r="AE16" i="27"/>
  <c r="AD16" i="27"/>
  <c r="AC16" i="27"/>
  <c r="AF16" i="27"/>
  <c r="AJ15" i="27"/>
  <c r="AF15" i="27"/>
  <c r="AJ14" i="27"/>
  <c r="AF14" i="27"/>
  <c r="AI11" i="27"/>
  <c r="AH11" i="27"/>
  <c r="AG11" i="27"/>
  <c r="AE11" i="27"/>
  <c r="AD11" i="27"/>
  <c r="AC11" i="27"/>
  <c r="AJ10" i="27"/>
  <c r="AJ9" i="27"/>
  <c r="AJ11" i="27"/>
  <c r="AF10" i="27"/>
  <c r="AF9" i="27"/>
  <c r="AF11" i="27"/>
  <c r="AI90" i="169"/>
  <c r="AH90" i="169"/>
  <c r="AG90" i="169"/>
  <c r="AE90" i="169"/>
  <c r="AD90" i="169"/>
  <c r="AC90" i="169"/>
  <c r="AA90" i="169"/>
  <c r="Z90" i="169"/>
  <c r="Y90" i="169"/>
  <c r="X90" i="169"/>
  <c r="W90" i="169"/>
  <c r="V90" i="169"/>
  <c r="U90" i="169"/>
  <c r="T90" i="169"/>
  <c r="S90" i="169"/>
  <c r="R90" i="169"/>
  <c r="Q90" i="169"/>
  <c r="P90" i="169"/>
  <c r="O90" i="169"/>
  <c r="N90" i="169"/>
  <c r="M90" i="169"/>
  <c r="L90" i="169"/>
  <c r="K90" i="169"/>
  <c r="J90" i="169"/>
  <c r="I90" i="169"/>
  <c r="H90" i="169"/>
  <c r="G90" i="169"/>
  <c r="F90" i="169"/>
  <c r="E90" i="169"/>
  <c r="AJ89" i="169"/>
  <c r="AF89" i="169"/>
  <c r="AB89" i="169"/>
  <c r="AJ88" i="169"/>
  <c r="AF88" i="169"/>
  <c r="AB88" i="169"/>
  <c r="AJ87" i="169"/>
  <c r="AF87" i="169"/>
  <c r="AB87" i="169"/>
  <c r="AJ86" i="169"/>
  <c r="AF86" i="169"/>
  <c r="AB86" i="169"/>
  <c r="AJ85" i="169"/>
  <c r="AF85" i="169"/>
  <c r="AB85" i="169"/>
  <c r="AJ84" i="169"/>
  <c r="AF84" i="169"/>
  <c r="AB84" i="169"/>
  <c r="AJ83" i="169"/>
  <c r="AF83" i="169"/>
  <c r="AB83" i="169"/>
  <c r="AJ82" i="169"/>
  <c r="AF82" i="169"/>
  <c r="AB82" i="169"/>
  <c r="AJ81" i="169"/>
  <c r="AF81" i="169"/>
  <c r="AB81" i="169"/>
  <c r="AJ80" i="169"/>
  <c r="AF80" i="169"/>
  <c r="AB80" i="169"/>
  <c r="AJ79" i="169"/>
  <c r="AF79" i="169"/>
  <c r="AB79" i="169"/>
  <c r="AJ78" i="169"/>
  <c r="AF78" i="169"/>
  <c r="AB78" i="169"/>
  <c r="AJ77" i="169"/>
  <c r="AF77" i="169"/>
  <c r="AB77" i="169"/>
  <c r="AJ76" i="169"/>
  <c r="AF76" i="169"/>
  <c r="AB76" i="169"/>
  <c r="AJ75" i="169"/>
  <c r="AF75" i="169"/>
  <c r="AB75" i="169"/>
  <c r="AJ74" i="169"/>
  <c r="AF74" i="169"/>
  <c r="AB74" i="169"/>
  <c r="AJ73" i="169"/>
  <c r="AF73" i="169"/>
  <c r="AB73" i="169"/>
  <c r="AJ72" i="169"/>
  <c r="AF72" i="169"/>
  <c r="AB72" i="169"/>
  <c r="AJ71" i="169"/>
  <c r="AF71" i="169"/>
  <c r="AB71" i="169"/>
  <c r="AJ70" i="169"/>
  <c r="AF70" i="169"/>
  <c r="AB70" i="169"/>
  <c r="AJ69" i="169"/>
  <c r="AF69" i="169"/>
  <c r="AB69" i="169"/>
  <c r="AJ68" i="169"/>
  <c r="AF68" i="169"/>
  <c r="AB68" i="169"/>
  <c r="AJ67" i="169"/>
  <c r="AF67" i="169"/>
  <c r="AB67" i="169"/>
  <c r="AJ66" i="169"/>
  <c r="AF66" i="169"/>
  <c r="AB66" i="169"/>
  <c r="AJ65" i="169"/>
  <c r="AF65" i="169"/>
  <c r="AB65" i="169"/>
  <c r="AJ64" i="169"/>
  <c r="AF64" i="169"/>
  <c r="AB64" i="169"/>
  <c r="AJ63" i="169"/>
  <c r="AF63" i="169"/>
  <c r="AB63" i="169"/>
  <c r="AJ62" i="169"/>
  <c r="AF62" i="169"/>
  <c r="AB62" i="169"/>
  <c r="AJ61" i="169"/>
  <c r="AF61" i="169"/>
  <c r="AB61" i="169"/>
  <c r="AJ60" i="169"/>
  <c r="AF60" i="169"/>
  <c r="AB60" i="169"/>
  <c r="AJ59" i="169"/>
  <c r="AF59" i="169"/>
  <c r="AB59" i="169"/>
  <c r="AJ58" i="169"/>
  <c r="AF58" i="169"/>
  <c r="AB58" i="169"/>
  <c r="AJ57" i="169"/>
  <c r="AF57" i="169"/>
  <c r="AB57" i="169"/>
  <c r="AJ56" i="169"/>
  <c r="AF56" i="169"/>
  <c r="AB56" i="169"/>
  <c r="AJ55" i="169"/>
  <c r="AF55" i="169"/>
  <c r="AB55" i="169"/>
  <c r="AJ54" i="169"/>
  <c r="AF54" i="169"/>
  <c r="AB54" i="169"/>
  <c r="AJ53" i="169"/>
  <c r="AF53" i="169"/>
  <c r="AB53" i="169"/>
  <c r="AJ52" i="169"/>
  <c r="AF52" i="169"/>
  <c r="AB52" i="169"/>
  <c r="AJ51" i="169"/>
  <c r="AF51" i="169"/>
  <c r="AB51" i="169"/>
  <c r="AJ50" i="169"/>
  <c r="AF50" i="169"/>
  <c r="AB50" i="169"/>
  <c r="AJ49" i="169"/>
  <c r="AF49" i="169"/>
  <c r="AB49" i="169"/>
  <c r="AJ48" i="169"/>
  <c r="AF48" i="169"/>
  <c r="AB48" i="169"/>
  <c r="AJ47" i="169"/>
  <c r="AF47" i="169"/>
  <c r="AB47" i="169"/>
  <c r="AJ46" i="169"/>
  <c r="AF46" i="169"/>
  <c r="AB46" i="169"/>
  <c r="AJ45" i="169"/>
  <c r="AF45" i="169"/>
  <c r="AB45" i="169"/>
  <c r="AJ44" i="169"/>
  <c r="AF44" i="169"/>
  <c r="AB44" i="169"/>
  <c r="AJ43" i="169"/>
  <c r="AF43" i="169"/>
  <c r="AB43" i="169"/>
  <c r="AJ42" i="169"/>
  <c r="AF42" i="169"/>
  <c r="AB42" i="169"/>
  <c r="AJ41" i="169"/>
  <c r="AF41" i="169"/>
  <c r="AB41" i="169"/>
  <c r="AJ40" i="169"/>
  <c r="AF40" i="169"/>
  <c r="AB40" i="169"/>
  <c r="AJ39" i="169"/>
  <c r="AF39" i="169"/>
  <c r="AB39" i="169"/>
  <c r="AJ38" i="169"/>
  <c r="AF38" i="169"/>
  <c r="AB38" i="169"/>
  <c r="AJ37" i="169"/>
  <c r="AF37" i="169"/>
  <c r="AB37" i="169"/>
  <c r="AJ36" i="169"/>
  <c r="AF36" i="169"/>
  <c r="AB36" i="169"/>
  <c r="AJ35" i="169"/>
  <c r="AF35" i="169"/>
  <c r="AB35" i="169"/>
  <c r="AJ34" i="169"/>
  <c r="AF34" i="169"/>
  <c r="AB34" i="169"/>
  <c r="AJ33" i="169"/>
  <c r="AF33" i="169"/>
  <c r="AB33" i="169"/>
  <c r="AJ32" i="169"/>
  <c r="AF32" i="169"/>
  <c r="AB32" i="169"/>
  <c r="AJ31" i="169"/>
  <c r="AF31" i="169"/>
  <c r="AB31" i="169"/>
  <c r="AJ30" i="169"/>
  <c r="AF30" i="169"/>
  <c r="AB30" i="169"/>
  <c r="AJ29" i="169"/>
  <c r="AF29" i="169"/>
  <c r="AB29" i="169"/>
  <c r="AJ28" i="169"/>
  <c r="AF28" i="169"/>
  <c r="AB28" i="169"/>
  <c r="AJ27" i="169"/>
  <c r="AF27" i="169"/>
  <c r="AB27" i="169"/>
  <c r="AJ26" i="169"/>
  <c r="AF26" i="169"/>
  <c r="AB26" i="169"/>
  <c r="AJ25" i="169"/>
  <c r="AF25" i="169"/>
  <c r="AB25" i="169"/>
  <c r="AJ24" i="169"/>
  <c r="AF24" i="169"/>
  <c r="AB24" i="169"/>
  <c r="AJ23" i="169"/>
  <c r="AF23" i="169"/>
  <c r="AB23" i="169"/>
  <c r="AJ22" i="169"/>
  <c r="AF22" i="169"/>
  <c r="AB22" i="169"/>
  <c r="AJ21" i="169"/>
  <c r="AF21" i="169"/>
  <c r="AB21" i="169"/>
  <c r="AJ20" i="169"/>
  <c r="AF20" i="169"/>
  <c r="AB20" i="169"/>
  <c r="AJ19" i="169"/>
  <c r="AF19" i="169"/>
  <c r="AB19" i="169"/>
  <c r="AJ18" i="169"/>
  <c r="AF18" i="169"/>
  <c r="AB18" i="169"/>
  <c r="AJ17" i="169"/>
  <c r="AF17" i="169"/>
  <c r="AB17" i="169"/>
  <c r="AJ16" i="169"/>
  <c r="AF16" i="169"/>
  <c r="AB16" i="169"/>
  <c r="AJ15" i="169"/>
  <c r="AF15" i="169"/>
  <c r="AB15" i="169"/>
  <c r="AJ14" i="169"/>
  <c r="AF14" i="169"/>
  <c r="AB14" i="169"/>
  <c r="AJ13" i="169"/>
  <c r="AF13" i="169"/>
  <c r="AB13" i="169"/>
  <c r="AJ12" i="169"/>
  <c r="AF12" i="169"/>
  <c r="AB12" i="169"/>
  <c r="AJ11" i="169"/>
  <c r="AF11" i="169"/>
  <c r="AB11" i="169"/>
  <c r="AJ10" i="169"/>
  <c r="AF10" i="169"/>
  <c r="AB10" i="169"/>
  <c r="AJ9" i="169"/>
  <c r="AJ7" i="169"/>
  <c r="AJ8" i="169"/>
  <c r="AF9" i="169"/>
  <c r="AB9" i="169"/>
  <c r="AF8" i="169"/>
  <c r="AB8" i="169"/>
  <c r="AF7" i="169"/>
  <c r="AB7" i="169"/>
  <c r="M38" i="26"/>
  <c r="M60" i="26"/>
  <c r="AD57" i="26"/>
  <c r="AC57" i="26"/>
  <c r="AB57" i="26"/>
  <c r="AE56" i="26"/>
  <c r="W56" i="26"/>
  <c r="W54" i="26"/>
  <c r="W55" i="26"/>
  <c r="V56" i="26"/>
  <c r="U56" i="26"/>
  <c r="T56" i="26"/>
  <c r="S56" i="26"/>
  <c r="R56" i="26"/>
  <c r="Q56" i="26"/>
  <c r="P56" i="26"/>
  <c r="O56" i="26"/>
  <c r="M56" i="26"/>
  <c r="M57" i="26"/>
  <c r="AE55" i="26"/>
  <c r="V55" i="26"/>
  <c r="V54" i="26"/>
  <c r="U55" i="26"/>
  <c r="T55" i="26"/>
  <c r="T60" i="26"/>
  <c r="S55" i="26"/>
  <c r="R55" i="26"/>
  <c r="Q55" i="26"/>
  <c r="P55" i="26"/>
  <c r="O55" i="26"/>
  <c r="O57" i="26"/>
  <c r="L55" i="26"/>
  <c r="L57" i="26"/>
  <c r="K55" i="26"/>
  <c r="K57" i="26"/>
  <c r="J55" i="26"/>
  <c r="J57" i="26"/>
  <c r="H55" i="26"/>
  <c r="H57" i="26"/>
  <c r="G55" i="26"/>
  <c r="E55" i="26"/>
  <c r="E57" i="26"/>
  <c r="D55" i="26"/>
  <c r="D57" i="26"/>
  <c r="AE54" i="26"/>
  <c r="AE57" i="26"/>
  <c r="U54" i="26"/>
  <c r="U57" i="26"/>
  <c r="T54" i="26"/>
  <c r="S54" i="26"/>
  <c r="R54" i="26"/>
  <c r="Q54" i="26"/>
  <c r="P54" i="26"/>
  <c r="P57" i="26"/>
  <c r="G54" i="26"/>
  <c r="G57" i="26"/>
  <c r="AD53" i="26"/>
  <c r="AC53" i="26"/>
  <c r="AB53" i="26"/>
  <c r="AE52" i="26"/>
  <c r="AE51" i="26"/>
  <c r="AE50" i="26"/>
  <c r="AD49" i="26"/>
  <c r="AC49" i="26"/>
  <c r="AB49" i="26"/>
  <c r="AE48" i="26"/>
  <c r="AE47" i="26"/>
  <c r="AE46" i="26"/>
  <c r="AD45" i="26"/>
  <c r="AC45" i="26"/>
  <c r="AB45" i="26"/>
  <c r="AE44" i="26"/>
  <c r="AE42" i="26"/>
  <c r="AE43" i="26"/>
  <c r="N38" i="26"/>
  <c r="N40" i="26"/>
  <c r="J38" i="26"/>
  <c r="J39" i="26"/>
  <c r="AD39" i="26"/>
  <c r="AD61" i="26"/>
  <c r="AC39" i="26"/>
  <c r="AC61" i="26"/>
  <c r="AB39" i="26"/>
  <c r="W39" i="26"/>
  <c r="V39" i="26"/>
  <c r="V61" i="26"/>
  <c r="U39" i="26"/>
  <c r="U61" i="26"/>
  <c r="T39" i="26"/>
  <c r="T61" i="26"/>
  <c r="S39" i="26"/>
  <c r="R39" i="26"/>
  <c r="R61" i="26"/>
  <c r="Q39" i="26"/>
  <c r="Q40" i="26"/>
  <c r="P39" i="26"/>
  <c r="P61" i="26"/>
  <c r="P37" i="26"/>
  <c r="P59" i="26"/>
  <c r="P21" i="26"/>
  <c r="P60" i="26"/>
  <c r="P38" i="26"/>
  <c r="O39" i="26"/>
  <c r="O61" i="26"/>
  <c r="L39" i="26"/>
  <c r="L61" i="26"/>
  <c r="K39" i="26"/>
  <c r="H39" i="26"/>
  <c r="H61" i="26"/>
  <c r="G39" i="26"/>
  <c r="G61" i="26"/>
  <c r="F39" i="26"/>
  <c r="F61" i="26"/>
  <c r="AD38" i="26"/>
  <c r="AC38" i="26"/>
  <c r="AC60" i="26"/>
  <c r="AB38" i="26"/>
  <c r="W38" i="26"/>
  <c r="V38" i="26"/>
  <c r="U38" i="26"/>
  <c r="T38" i="26"/>
  <c r="S38" i="26"/>
  <c r="R38" i="26"/>
  <c r="R60" i="26"/>
  <c r="Q38" i="26"/>
  <c r="O38" i="26"/>
  <c r="N60" i="26"/>
  <c r="N62" i="26"/>
  <c r="M40" i="26"/>
  <c r="L38" i="26"/>
  <c r="L40" i="26"/>
  <c r="K38" i="26"/>
  <c r="K40" i="26"/>
  <c r="H38" i="26"/>
  <c r="G38" i="26"/>
  <c r="G40" i="26"/>
  <c r="F38" i="26"/>
  <c r="F60" i="26"/>
  <c r="E38" i="26"/>
  <c r="E60" i="26"/>
  <c r="E62" i="26"/>
  <c r="D38" i="26"/>
  <c r="D40" i="26"/>
  <c r="AD37" i="26"/>
  <c r="AC37" i="26"/>
  <c r="AB37" i="26"/>
  <c r="AB59" i="26"/>
  <c r="W37" i="26"/>
  <c r="V37" i="26"/>
  <c r="V59" i="26"/>
  <c r="U37" i="26"/>
  <c r="T37" i="26"/>
  <c r="S37" i="26"/>
  <c r="S40" i="26"/>
  <c r="R37" i="26"/>
  <c r="Q37" i="26"/>
  <c r="AD32" i="26"/>
  <c r="AC32" i="26"/>
  <c r="AB32" i="26"/>
  <c r="AE31" i="26"/>
  <c r="AE30" i="26"/>
  <c r="AE26" i="26"/>
  <c r="AE38" i="26"/>
  <c r="AE29" i="26"/>
  <c r="AD28" i="26"/>
  <c r="AC28" i="26"/>
  <c r="AB28" i="26"/>
  <c r="AE27" i="26"/>
  <c r="AE25" i="26"/>
  <c r="W20" i="26"/>
  <c r="W21" i="26"/>
  <c r="W60" i="26"/>
  <c r="P23" i="26"/>
  <c r="AB22" i="26"/>
  <c r="AB61" i="26"/>
  <c r="S22" i="26"/>
  <c r="S61" i="26"/>
  <c r="Q22" i="26"/>
  <c r="K22" i="26"/>
  <c r="K61" i="26"/>
  <c r="J22" i="26"/>
  <c r="J61" i="26"/>
  <c r="AD21" i="26"/>
  <c r="AD23" i="26"/>
  <c r="AB21" i="26"/>
  <c r="AB60" i="26"/>
  <c r="W59" i="26"/>
  <c r="V21" i="26"/>
  <c r="V23" i="26"/>
  <c r="U21" i="26"/>
  <c r="T21" i="26"/>
  <c r="S21" i="26"/>
  <c r="S60" i="26"/>
  <c r="Q21" i="26"/>
  <c r="Q60" i="26"/>
  <c r="O21" i="26"/>
  <c r="L21" i="26"/>
  <c r="K21" i="26"/>
  <c r="K23" i="26"/>
  <c r="J21" i="26"/>
  <c r="I21" i="26"/>
  <c r="I23" i="26"/>
  <c r="H21" i="26"/>
  <c r="H23" i="26"/>
  <c r="G21" i="26"/>
  <c r="G60" i="26"/>
  <c r="D21" i="26"/>
  <c r="D60" i="26"/>
  <c r="U20" i="26"/>
  <c r="S20" i="26"/>
  <c r="S23" i="26"/>
  <c r="R20" i="26"/>
  <c r="R23" i="26"/>
  <c r="Q20" i="26"/>
  <c r="Q23" i="26"/>
  <c r="O20" i="26"/>
  <c r="M20" i="26"/>
  <c r="L20" i="26"/>
  <c r="L59" i="26"/>
  <c r="G20" i="26"/>
  <c r="G59" i="26"/>
  <c r="F20" i="26"/>
  <c r="D20" i="26"/>
  <c r="AE17" i="26"/>
  <c r="AB11" i="26"/>
  <c r="AE10" i="26"/>
  <c r="AE22" i="26"/>
  <c r="AE9" i="26"/>
  <c r="AE21" i="26"/>
  <c r="AE86" i="168"/>
  <c r="AD86" i="168"/>
  <c r="AC86" i="168"/>
  <c r="AA86" i="168"/>
  <c r="Z86" i="168"/>
  <c r="Y86" i="168"/>
  <c r="X86" i="168"/>
  <c r="W86" i="168"/>
  <c r="V86" i="168"/>
  <c r="U86" i="168"/>
  <c r="T86" i="168"/>
  <c r="S86" i="168"/>
  <c r="R86" i="168"/>
  <c r="Q86" i="168"/>
  <c r="P86" i="168"/>
  <c r="O86" i="168"/>
  <c r="N86" i="168"/>
  <c r="M86" i="168"/>
  <c r="L86" i="168"/>
  <c r="K86" i="168"/>
  <c r="J86" i="168"/>
  <c r="I86" i="168"/>
  <c r="H86" i="168"/>
  <c r="G86" i="168"/>
  <c r="F86" i="168"/>
  <c r="E86" i="168"/>
  <c r="AF84" i="168"/>
  <c r="AB83" i="168"/>
  <c r="AB80" i="168"/>
  <c r="AF76" i="168"/>
  <c r="AB72" i="168"/>
  <c r="AF69" i="168"/>
  <c r="AB69" i="168"/>
  <c r="AB68" i="168"/>
  <c r="AB54" i="168"/>
  <c r="AB52" i="168"/>
  <c r="AF49" i="168"/>
  <c r="AB48" i="168"/>
  <c r="AF47" i="168"/>
  <c r="AB46" i="168"/>
  <c r="AF42" i="168"/>
  <c r="AF36" i="168"/>
  <c r="AF30" i="168"/>
  <c r="AB30" i="168"/>
  <c r="AF26" i="168"/>
  <c r="AB26" i="168"/>
  <c r="AB25" i="168"/>
  <c r="AF10" i="168"/>
  <c r="AB8" i="168"/>
  <c r="AF7" i="168"/>
  <c r="AB7" i="168"/>
  <c r="Z71" i="284"/>
  <c r="X71" i="284"/>
  <c r="W71" i="284"/>
  <c r="P71" i="284"/>
  <c r="O71" i="284"/>
  <c r="J71" i="284"/>
  <c r="H71" i="284"/>
  <c r="G71" i="284"/>
  <c r="AA70" i="284"/>
  <c r="Z70" i="284"/>
  <c r="V70" i="284"/>
  <c r="N70" i="284"/>
  <c r="L70" i="284"/>
  <c r="K70" i="284"/>
  <c r="J70" i="284"/>
  <c r="F70" i="284"/>
  <c r="D70" i="284"/>
  <c r="Z69" i="284"/>
  <c r="X69" i="284"/>
  <c r="W69" i="284"/>
  <c r="V69" i="284"/>
  <c r="P69" i="284"/>
  <c r="O69" i="284"/>
  <c r="N69" i="284"/>
  <c r="J69" i="284"/>
  <c r="H69" i="284"/>
  <c r="G69" i="284"/>
  <c r="F69" i="284"/>
  <c r="C69" i="284"/>
  <c r="AB68" i="284"/>
  <c r="Z68" i="284"/>
  <c r="W68" i="284"/>
  <c r="V68" i="284"/>
  <c r="U60" i="284"/>
  <c r="AA64" i="284"/>
  <c r="Z64" i="284"/>
  <c r="W64" i="284"/>
  <c r="V64" i="284"/>
  <c r="AC60" i="284"/>
  <c r="AA60" i="284"/>
  <c r="Z60" i="284"/>
  <c r="X60" i="284"/>
  <c r="W60" i="284"/>
  <c r="AB54" i="284"/>
  <c r="Z54" i="284"/>
  <c r="Z20" i="284"/>
  <c r="X54" i="284"/>
  <c r="V54" i="284"/>
  <c r="V20" i="284"/>
  <c r="P54" i="284"/>
  <c r="N54" i="284"/>
  <c r="L54" i="284"/>
  <c r="J54" i="284"/>
  <c r="H54" i="284"/>
  <c r="F54" i="284"/>
  <c r="D54" i="284"/>
  <c r="C54" i="284"/>
  <c r="AA53" i="284"/>
  <c r="W53" i="284"/>
  <c r="V53" i="284"/>
  <c r="O53" i="284"/>
  <c r="K53" i="284"/>
  <c r="K75" i="284"/>
  <c r="G53" i="284"/>
  <c r="C53" i="284"/>
  <c r="AA52" i="284"/>
  <c r="Z52" i="284"/>
  <c r="W52" i="284"/>
  <c r="V52" i="284"/>
  <c r="O52" i="284"/>
  <c r="N52" i="284"/>
  <c r="K52" i="284"/>
  <c r="J52" i="284"/>
  <c r="G52" i="284"/>
  <c r="F52" i="284"/>
  <c r="F74" i="284"/>
  <c r="C52" i="284"/>
  <c r="C74" i="284"/>
  <c r="AB51" i="284"/>
  <c r="Z51" i="284"/>
  <c r="X51" i="284"/>
  <c r="V51" i="284"/>
  <c r="AA47" i="284"/>
  <c r="W47" i="284"/>
  <c r="AC43" i="284"/>
  <c r="Z43" i="284"/>
  <c r="Y43" i="284"/>
  <c r="X43" i="284"/>
  <c r="V43" i="284"/>
  <c r="U43" i="284"/>
  <c r="AC37" i="284"/>
  <c r="AC36" i="284"/>
  <c r="AB37" i="284"/>
  <c r="AB36" i="284"/>
  <c r="AB38" i="284"/>
  <c r="AA37" i="284"/>
  <c r="AA36" i="284"/>
  <c r="AD35" i="284"/>
  <c r="AL33" i="284"/>
  <c r="AK33" i="284"/>
  <c r="AJ33" i="284"/>
  <c r="AI33" i="284"/>
  <c r="AH33" i="284"/>
  <c r="AG33" i="284"/>
  <c r="AF33" i="284"/>
  <c r="AE33" i="284"/>
  <c r="AL32" i="284"/>
  <c r="AL31" i="284"/>
  <c r="AK32" i="284"/>
  <c r="AK24" i="284"/>
  <c r="AK28" i="284"/>
  <c r="AJ32" i="284"/>
  <c r="AI32" i="284"/>
  <c r="AH32" i="284"/>
  <c r="AG32" i="284"/>
  <c r="AG31" i="284"/>
  <c r="AF32" i="284"/>
  <c r="AL35" i="284"/>
  <c r="AK31" i="284"/>
  <c r="AK35" i="284"/>
  <c r="AJ31" i="284"/>
  <c r="AJ35" i="284"/>
  <c r="AI31" i="284"/>
  <c r="AH31" i="284"/>
  <c r="AH35" i="284"/>
  <c r="AG35" i="284"/>
  <c r="AF31" i="284"/>
  <c r="AF35" i="284"/>
  <c r="AE31" i="284"/>
  <c r="AE34" i="284"/>
  <c r="AL28" i="284"/>
  <c r="AL30" i="284"/>
  <c r="AK30" i="284"/>
  <c r="AJ28" i="284"/>
  <c r="AJ30" i="284"/>
  <c r="AI28" i="284"/>
  <c r="AI30" i="284"/>
  <c r="AH28" i="284"/>
  <c r="AG28" i="284"/>
  <c r="AG30" i="284"/>
  <c r="AF28" i="284"/>
  <c r="AF30" i="284"/>
  <c r="AC26" i="284"/>
  <c r="AB26" i="284"/>
  <c r="AA26" i="284"/>
  <c r="AL25" i="284"/>
  <c r="AL37" i="284"/>
  <c r="AK25" i="284"/>
  <c r="AK37" i="284"/>
  <c r="AJ25" i="284"/>
  <c r="AI25" i="284"/>
  <c r="AH25" i="284"/>
  <c r="AH37" i="284"/>
  <c r="AG25" i="284"/>
  <c r="AF25" i="284"/>
  <c r="AE25" i="284"/>
  <c r="AE37" i="284"/>
  <c r="AD25" i="284"/>
  <c r="AD37" i="284"/>
  <c r="AL24" i="284"/>
  <c r="AJ24" i="284"/>
  <c r="AI24" i="284"/>
  <c r="AH24" i="284"/>
  <c r="AG24" i="284"/>
  <c r="AG36" i="284"/>
  <c r="AF24" i="284"/>
  <c r="AE24" i="284"/>
  <c r="AE36" i="284"/>
  <c r="AD24" i="284"/>
  <c r="AD36" i="284"/>
  <c r="Q21" i="284"/>
  <c r="P21" i="284"/>
  <c r="O21" i="284"/>
  <c r="N21" i="284"/>
  <c r="M21" i="284"/>
  <c r="L21" i="284"/>
  <c r="K21" i="284"/>
  <c r="J21" i="284"/>
  <c r="I21" i="284"/>
  <c r="H21" i="284"/>
  <c r="G21" i="284"/>
  <c r="F21" i="284"/>
  <c r="E21" i="284"/>
  <c r="D21" i="284"/>
  <c r="C21" i="284"/>
  <c r="AC20" i="284"/>
  <c r="AB20" i="284"/>
  <c r="AA20" i="284"/>
  <c r="Y20" i="284"/>
  <c r="X20" i="284"/>
  <c r="W20" i="284"/>
  <c r="U20" i="284"/>
  <c r="AC19" i="284"/>
  <c r="AB19" i="284"/>
  <c r="AA19" i="284"/>
  <c r="Z19" i="284"/>
  <c r="Y19" i="284"/>
  <c r="X19" i="284"/>
  <c r="W19" i="284"/>
  <c r="V19" i="284"/>
  <c r="U19" i="284"/>
  <c r="AC18" i="284"/>
  <c r="AB18" i="284"/>
  <c r="AA18" i="284"/>
  <c r="Z18" i="284"/>
  <c r="Y18" i="284"/>
  <c r="X18" i="284"/>
  <c r="W18" i="284"/>
  <c r="V18" i="284"/>
  <c r="U18" i="284"/>
  <c r="AC17" i="284"/>
  <c r="AB17" i="284"/>
  <c r="AA17" i="284"/>
  <c r="Z17" i="284"/>
  <c r="Y17" i="284"/>
  <c r="X17" i="284"/>
  <c r="W17" i="284"/>
  <c r="V17" i="284"/>
  <c r="U17" i="284"/>
  <c r="U9" i="284"/>
  <c r="U13" i="284"/>
  <c r="AL16" i="284"/>
  <c r="AK16" i="284"/>
  <c r="AK8" i="284"/>
  <c r="AK12" i="284"/>
  <c r="AJ16" i="284"/>
  <c r="AI16" i="284"/>
  <c r="AH16" i="284"/>
  <c r="AG16" i="284"/>
  <c r="AG14" i="284"/>
  <c r="AG15" i="284"/>
  <c r="AF16" i="284"/>
  <c r="AE16" i="284"/>
  <c r="AD16" i="284"/>
  <c r="AL15" i="284"/>
  <c r="AK15" i="284"/>
  <c r="AJ15" i="284"/>
  <c r="AI15" i="284"/>
  <c r="AH15" i="284"/>
  <c r="AF15" i="284"/>
  <c r="AE15" i="284"/>
  <c r="AD15" i="284"/>
  <c r="AD17" i="284"/>
  <c r="AL14" i="284"/>
  <c r="AK14" i="284"/>
  <c r="AJ14" i="284"/>
  <c r="AI14" i="284"/>
  <c r="AI10" i="284"/>
  <c r="AI35" i="284"/>
  <c r="AH14" i="284"/>
  <c r="AF14" i="284"/>
  <c r="AF17" i="284"/>
  <c r="AE14" i="284"/>
  <c r="AE10" i="284"/>
  <c r="AD14" i="284"/>
  <c r="AC13" i="284"/>
  <c r="AB13" i="284"/>
  <c r="AB9" i="284"/>
  <c r="AA13" i="284"/>
  <c r="AA9" i="284"/>
  <c r="Z13" i="284"/>
  <c r="Y13" i="284"/>
  <c r="Y9" i="284"/>
  <c r="X13" i="284"/>
  <c r="W13" i="284"/>
  <c r="V13" i="284"/>
  <c r="V9" i="284"/>
  <c r="AL12" i="284"/>
  <c r="AL10" i="284"/>
  <c r="AL11" i="284"/>
  <c r="AJ12" i="284"/>
  <c r="AI12" i="284"/>
  <c r="AH12" i="284"/>
  <c r="AG12" i="284"/>
  <c r="AF12" i="284"/>
  <c r="AE12" i="284"/>
  <c r="AD12" i="284"/>
  <c r="AK11" i="284"/>
  <c r="AJ11" i="284"/>
  <c r="AJ10" i="284"/>
  <c r="AI11" i="284"/>
  <c r="AH11" i="284"/>
  <c r="AG11" i="284"/>
  <c r="AF11" i="284"/>
  <c r="AF10" i="284"/>
  <c r="AE11" i="284"/>
  <c r="AD11" i="284"/>
  <c r="AL18" i="284"/>
  <c r="AK10" i="284"/>
  <c r="AK18" i="284"/>
  <c r="AH10" i="284"/>
  <c r="AH18" i="284"/>
  <c r="AG10" i="284"/>
  <c r="AG18" i="284"/>
  <c r="AD10" i="284"/>
  <c r="AD18" i="284"/>
  <c r="AC9" i="284"/>
  <c r="Z9" i="284"/>
  <c r="Z21" i="284"/>
  <c r="X9" i="284"/>
  <c r="W9" i="284"/>
  <c r="AL8" i="284"/>
  <c r="AJ8" i="284"/>
  <c r="AI8" i="284"/>
  <c r="AI9" i="284"/>
  <c r="AH8" i="284"/>
  <c r="AG8" i="284"/>
  <c r="AF8" i="284"/>
  <c r="AF20" i="284"/>
  <c r="AE8" i="284"/>
  <c r="AD8" i="284"/>
  <c r="AD20" i="284"/>
  <c r="AL7" i="284"/>
  <c r="AK7" i="284"/>
  <c r="AJ7" i="284"/>
  <c r="AJ9" i="284"/>
  <c r="AI7" i="284"/>
  <c r="AH7" i="284"/>
  <c r="AG7" i="284"/>
  <c r="AF7" i="284"/>
  <c r="AE7" i="284"/>
  <c r="AE19" i="284"/>
  <c r="AD7" i="284"/>
  <c r="U61" i="248"/>
  <c r="T61" i="248"/>
  <c r="S61" i="248"/>
  <c r="U60" i="248"/>
  <c r="T60" i="248"/>
  <c r="S60" i="248"/>
  <c r="U59" i="248"/>
  <c r="T59" i="248"/>
  <c r="S59" i="248"/>
  <c r="Z45" i="248"/>
  <c r="Z49" i="248"/>
  <c r="Z53" i="248"/>
  <c r="D54" i="248"/>
  <c r="D57" i="248"/>
  <c r="D55" i="248"/>
  <c r="D56" i="248"/>
  <c r="AA56" i="248"/>
  <c r="Z56" i="248"/>
  <c r="Y56" i="248"/>
  <c r="X56" i="248"/>
  <c r="W56" i="248"/>
  <c r="V56" i="248"/>
  <c r="R56" i="248"/>
  <c r="Q56" i="248"/>
  <c r="P56" i="248"/>
  <c r="O56" i="248"/>
  <c r="N56" i="248"/>
  <c r="M56" i="248"/>
  <c r="L56" i="248"/>
  <c r="K56" i="248"/>
  <c r="J56" i="248"/>
  <c r="I56" i="248"/>
  <c r="H56" i="248"/>
  <c r="G56" i="248"/>
  <c r="F56" i="248"/>
  <c r="E56" i="248"/>
  <c r="AA55" i="248"/>
  <c r="Z55" i="248"/>
  <c r="Y55" i="248"/>
  <c r="X55" i="248"/>
  <c r="W55" i="248"/>
  <c r="V55" i="248"/>
  <c r="R55" i="248"/>
  <c r="Q55" i="248"/>
  <c r="P55" i="248"/>
  <c r="O55" i="248"/>
  <c r="O60" i="248"/>
  <c r="N55" i="248"/>
  <c r="M55" i="248"/>
  <c r="L55" i="248"/>
  <c r="K55" i="248"/>
  <c r="J55" i="248"/>
  <c r="I55" i="248"/>
  <c r="I54" i="248"/>
  <c r="I57" i="248"/>
  <c r="H55" i="248"/>
  <c r="G55" i="248"/>
  <c r="G54" i="248"/>
  <c r="G57" i="248"/>
  <c r="F55" i="248"/>
  <c r="E55" i="248"/>
  <c r="AA54" i="248"/>
  <c r="Z54" i="248"/>
  <c r="Y54" i="248"/>
  <c r="X54" i="248"/>
  <c r="W54" i="248"/>
  <c r="V54" i="248"/>
  <c r="R54" i="248"/>
  <c r="Q54" i="248"/>
  <c r="Q57" i="248"/>
  <c r="P54" i="248"/>
  <c r="O54" i="248"/>
  <c r="N54" i="248"/>
  <c r="M54" i="248"/>
  <c r="M59" i="248"/>
  <c r="L54" i="248"/>
  <c r="K54" i="248"/>
  <c r="J54" i="248"/>
  <c r="H54" i="248"/>
  <c r="F54" i="248"/>
  <c r="E54" i="248"/>
  <c r="AA53" i="248"/>
  <c r="Y53" i="248"/>
  <c r="X53" i="248"/>
  <c r="W53" i="248"/>
  <c r="V53" i="248"/>
  <c r="R53" i="248"/>
  <c r="Q53" i="248"/>
  <c r="P53" i="248"/>
  <c r="O53" i="248"/>
  <c r="N53" i="248"/>
  <c r="M53" i="248"/>
  <c r="L53" i="248"/>
  <c r="K53" i="248"/>
  <c r="J53" i="248"/>
  <c r="I53" i="248"/>
  <c r="H53" i="248"/>
  <c r="G53" i="248"/>
  <c r="F53" i="248"/>
  <c r="E53" i="248"/>
  <c r="D53" i="248"/>
  <c r="AA49" i="248"/>
  <c r="AA45" i="248"/>
  <c r="Y49" i="248"/>
  <c r="X49" i="248"/>
  <c r="W49" i="248"/>
  <c r="V49" i="248"/>
  <c r="R49" i="248"/>
  <c r="Q49" i="248"/>
  <c r="P49" i="248"/>
  <c r="O49" i="248"/>
  <c r="N49" i="248"/>
  <c r="M49" i="248"/>
  <c r="L49" i="248"/>
  <c r="K49" i="248"/>
  <c r="J49" i="248"/>
  <c r="I49" i="248"/>
  <c r="H49" i="248"/>
  <c r="G49" i="248"/>
  <c r="F49" i="248"/>
  <c r="E49" i="248"/>
  <c r="D49" i="248"/>
  <c r="Y45" i="248"/>
  <c r="Y57" i="248"/>
  <c r="X45" i="248"/>
  <c r="W45" i="248"/>
  <c r="V45" i="248"/>
  <c r="R45" i="248"/>
  <c r="Q45" i="248"/>
  <c r="P45" i="248"/>
  <c r="O45" i="248"/>
  <c r="N45" i="248"/>
  <c r="M45" i="248"/>
  <c r="L45" i="248"/>
  <c r="K45" i="248"/>
  <c r="J45" i="248"/>
  <c r="I45" i="248"/>
  <c r="H45" i="248"/>
  <c r="G45" i="248"/>
  <c r="F45" i="248"/>
  <c r="E45" i="248"/>
  <c r="D45" i="248"/>
  <c r="AA39" i="248"/>
  <c r="Z39" i="248"/>
  <c r="Y39" i="248"/>
  <c r="X39" i="248"/>
  <c r="W39" i="248"/>
  <c r="W22" i="248"/>
  <c r="W61" i="248"/>
  <c r="V39" i="248"/>
  <c r="R39" i="248"/>
  <c r="Q39" i="248"/>
  <c r="P39" i="248"/>
  <c r="O39" i="248"/>
  <c r="N39" i="248"/>
  <c r="M39" i="248"/>
  <c r="L39" i="248"/>
  <c r="K39" i="248"/>
  <c r="J39" i="248"/>
  <c r="I39" i="248"/>
  <c r="H39" i="248"/>
  <c r="G39" i="248"/>
  <c r="G37" i="248"/>
  <c r="G40" i="248"/>
  <c r="G38" i="248"/>
  <c r="F39" i="248"/>
  <c r="E39" i="248"/>
  <c r="D39" i="248"/>
  <c r="AA38" i="248"/>
  <c r="Z38" i="248"/>
  <c r="Y38" i="248"/>
  <c r="X38" i="248"/>
  <c r="W38" i="248"/>
  <c r="V38" i="248"/>
  <c r="R38" i="248"/>
  <c r="Q38" i="248"/>
  <c r="P38" i="248"/>
  <c r="O38" i="248"/>
  <c r="N38" i="248"/>
  <c r="M38" i="248"/>
  <c r="L38" i="248"/>
  <c r="K38" i="248"/>
  <c r="K21" i="248"/>
  <c r="J38" i="248"/>
  <c r="I38" i="248"/>
  <c r="H38" i="248"/>
  <c r="F38" i="248"/>
  <c r="E38" i="248"/>
  <c r="D38" i="248"/>
  <c r="D60" i="248"/>
  <c r="AA37" i="248"/>
  <c r="Z37" i="248"/>
  <c r="Y37" i="248"/>
  <c r="X37" i="248"/>
  <c r="W37" i="248"/>
  <c r="V37" i="248"/>
  <c r="R37" i="248"/>
  <c r="R40" i="248"/>
  <c r="Q37" i="248"/>
  <c r="Q40" i="248"/>
  <c r="P37" i="248"/>
  <c r="P40" i="248"/>
  <c r="O37" i="248"/>
  <c r="O40" i="248"/>
  <c r="N37" i="248"/>
  <c r="M37" i="248"/>
  <c r="L37" i="248"/>
  <c r="K37" i="248"/>
  <c r="J37" i="248"/>
  <c r="J40" i="248"/>
  <c r="I37" i="248"/>
  <c r="I40" i="248"/>
  <c r="H37" i="248"/>
  <c r="H40" i="248"/>
  <c r="F37" i="248"/>
  <c r="E37" i="248"/>
  <c r="D37" i="248"/>
  <c r="D40" i="248"/>
  <c r="AA36" i="248"/>
  <c r="Z36" i="248"/>
  <c r="Y36" i="248"/>
  <c r="X36" i="248"/>
  <c r="W36" i="248"/>
  <c r="V36" i="248"/>
  <c r="R36" i="248"/>
  <c r="Q36" i="248"/>
  <c r="P36" i="248"/>
  <c r="O36" i="248"/>
  <c r="N36" i="248"/>
  <c r="M36" i="248"/>
  <c r="L36" i="248"/>
  <c r="K36" i="248"/>
  <c r="J36" i="248"/>
  <c r="I36" i="248"/>
  <c r="H36" i="248"/>
  <c r="G36" i="248"/>
  <c r="F36" i="248"/>
  <c r="E36" i="248"/>
  <c r="D36" i="248"/>
  <c r="AA32" i="248"/>
  <c r="Z32" i="248"/>
  <c r="Z28" i="248"/>
  <c r="Z40" i="248"/>
  <c r="Y32" i="248"/>
  <c r="X32" i="248"/>
  <c r="W32" i="248"/>
  <c r="V32" i="248"/>
  <c r="V40" i="248"/>
  <c r="V28" i="248"/>
  <c r="R32" i="248"/>
  <c r="Q32" i="248"/>
  <c r="P32" i="248"/>
  <c r="O32" i="248"/>
  <c r="N32" i="248"/>
  <c r="M32" i="248"/>
  <c r="L32" i="248"/>
  <c r="K32" i="248"/>
  <c r="J32" i="248"/>
  <c r="I32" i="248"/>
  <c r="H32" i="248"/>
  <c r="G32" i="248"/>
  <c r="F32" i="248"/>
  <c r="E32" i="248"/>
  <c r="D32" i="248"/>
  <c r="AA28" i="248"/>
  <c r="AA40" i="248"/>
  <c r="Y28" i="248"/>
  <c r="Y40" i="248"/>
  <c r="X28" i="248"/>
  <c r="W28" i="248"/>
  <c r="W40" i="248"/>
  <c r="R28" i="248"/>
  <c r="Q28" i="248"/>
  <c r="P28" i="248"/>
  <c r="O28" i="248"/>
  <c r="N28" i="248"/>
  <c r="M28" i="248"/>
  <c r="L28" i="248"/>
  <c r="K28" i="248"/>
  <c r="J28" i="248"/>
  <c r="I28" i="248"/>
  <c r="H28" i="248"/>
  <c r="G28" i="248"/>
  <c r="F28" i="248"/>
  <c r="E28" i="248"/>
  <c r="D28" i="248"/>
  <c r="AA22" i="248"/>
  <c r="AA61" i="248"/>
  <c r="Z22" i="248"/>
  <c r="Z61" i="248"/>
  <c r="Y22" i="248"/>
  <c r="X22" i="248"/>
  <c r="V22" i="248"/>
  <c r="V61" i="248"/>
  <c r="R22" i="248"/>
  <c r="R61" i="248"/>
  <c r="Q22" i="248"/>
  <c r="P22" i="248"/>
  <c r="P61" i="248"/>
  <c r="O22" i="248"/>
  <c r="N22" i="248"/>
  <c r="M22" i="248"/>
  <c r="L22" i="248"/>
  <c r="K22" i="248"/>
  <c r="K61" i="248"/>
  <c r="J22" i="248"/>
  <c r="I22" i="248"/>
  <c r="H22" i="248"/>
  <c r="H61" i="248"/>
  <c r="G22" i="248"/>
  <c r="G61" i="248"/>
  <c r="F22" i="248"/>
  <c r="E22" i="248"/>
  <c r="D22" i="248"/>
  <c r="D61" i="248"/>
  <c r="AA21" i="248"/>
  <c r="AA60" i="248"/>
  <c r="Z21" i="248"/>
  <c r="Y21" i="248"/>
  <c r="X21" i="248"/>
  <c r="X60" i="248"/>
  <c r="W21" i="248"/>
  <c r="W60" i="248"/>
  <c r="V21" i="248"/>
  <c r="R21" i="248"/>
  <c r="R60" i="248"/>
  <c r="Q21" i="248"/>
  <c r="Q23" i="248"/>
  <c r="Q62" i="248"/>
  <c r="P21" i="248"/>
  <c r="P60" i="248"/>
  <c r="O21" i="248"/>
  <c r="N21" i="248"/>
  <c r="M21" i="248"/>
  <c r="L21" i="248"/>
  <c r="L60" i="248"/>
  <c r="J21" i="248"/>
  <c r="J60" i="248"/>
  <c r="I21" i="248"/>
  <c r="H21" i="248"/>
  <c r="G21" i="248"/>
  <c r="G60" i="248"/>
  <c r="F21" i="248"/>
  <c r="F20" i="248"/>
  <c r="E21" i="248"/>
  <c r="E60" i="248"/>
  <c r="D21" i="248"/>
  <c r="AA20" i="248"/>
  <c r="AA59" i="248"/>
  <c r="Z20" i="248"/>
  <c r="Y20" i="248"/>
  <c r="X20" i="248"/>
  <c r="W20" i="248"/>
  <c r="W59" i="248"/>
  <c r="V20" i="248"/>
  <c r="R20" i="248"/>
  <c r="R59" i="248"/>
  <c r="Q20" i="248"/>
  <c r="P20" i="248"/>
  <c r="O20" i="248"/>
  <c r="O59" i="248"/>
  <c r="N20" i="248"/>
  <c r="N23" i="248"/>
  <c r="M20" i="248"/>
  <c r="L20" i="248"/>
  <c r="L59" i="248"/>
  <c r="K20" i="248"/>
  <c r="J20" i="248"/>
  <c r="J59" i="248"/>
  <c r="I20" i="248"/>
  <c r="H20" i="248"/>
  <c r="G20" i="248"/>
  <c r="G59" i="248"/>
  <c r="E20" i="248"/>
  <c r="D20" i="248"/>
  <c r="AA19" i="248"/>
  <c r="AA11" i="248"/>
  <c r="AA15" i="248"/>
  <c r="Z19" i="248"/>
  <c r="Y19" i="248"/>
  <c r="X19" i="248"/>
  <c r="W19" i="248"/>
  <c r="V19" i="248"/>
  <c r="R19" i="248"/>
  <c r="Q19" i="248"/>
  <c r="P19" i="248"/>
  <c r="O19" i="248"/>
  <c r="N19" i="248"/>
  <c r="M19" i="248"/>
  <c r="L19" i="248"/>
  <c r="K19" i="248"/>
  <c r="J19" i="248"/>
  <c r="I19" i="248"/>
  <c r="H19" i="248"/>
  <c r="G19" i="248"/>
  <c r="F19" i="248"/>
  <c r="E19" i="248"/>
  <c r="D19" i="248"/>
  <c r="Z15" i="248"/>
  <c r="Y15" i="248"/>
  <c r="X15" i="248"/>
  <c r="W15" i="248"/>
  <c r="W23" i="248"/>
  <c r="V15" i="248"/>
  <c r="R15" i="248"/>
  <c r="Q15" i="248"/>
  <c r="P15" i="248"/>
  <c r="O15" i="248"/>
  <c r="N15" i="248"/>
  <c r="M15" i="248"/>
  <c r="L15" i="248"/>
  <c r="K15" i="248"/>
  <c r="J15" i="248"/>
  <c r="I15" i="248"/>
  <c r="H15" i="248"/>
  <c r="G15" i="248"/>
  <c r="F15" i="248"/>
  <c r="E15" i="248"/>
  <c r="D15" i="248"/>
  <c r="Z11" i="248"/>
  <c r="Z23" i="248"/>
  <c r="Y11" i="248"/>
  <c r="X11" i="248"/>
  <c r="W11" i="248"/>
  <c r="V11" i="248"/>
  <c r="R11" i="248"/>
  <c r="Q11" i="248"/>
  <c r="P11" i="248"/>
  <c r="O11" i="248"/>
  <c r="N11" i="248"/>
  <c r="M11" i="248"/>
  <c r="L11" i="248"/>
  <c r="K11" i="248"/>
  <c r="J11" i="248"/>
  <c r="I11" i="248"/>
  <c r="H11" i="248"/>
  <c r="G11" i="248"/>
  <c r="F11" i="248"/>
  <c r="E11" i="248"/>
  <c r="D11" i="248"/>
  <c r="AA90" i="247"/>
  <c r="Z90" i="247"/>
  <c r="Z62" i="247"/>
  <c r="Z27" i="247"/>
  <c r="Y90" i="247"/>
  <c r="Y62" i="247"/>
  <c r="Y27" i="247"/>
  <c r="X90" i="247"/>
  <c r="W90" i="247"/>
  <c r="V90" i="247"/>
  <c r="V62" i="247"/>
  <c r="V27" i="247"/>
  <c r="U90" i="247"/>
  <c r="T90" i="247"/>
  <c r="S90" i="247"/>
  <c r="R90" i="247"/>
  <c r="R62" i="247"/>
  <c r="R27" i="247"/>
  <c r="Q90" i="247"/>
  <c r="Q62" i="247"/>
  <c r="Q27" i="247"/>
  <c r="P90" i="247"/>
  <c r="O90" i="247"/>
  <c r="N90" i="247"/>
  <c r="N62" i="247"/>
  <c r="N27" i="247"/>
  <c r="M90" i="247"/>
  <c r="L90" i="247"/>
  <c r="L92" i="247"/>
  <c r="L62" i="247"/>
  <c r="L27" i="247"/>
  <c r="K90" i="247"/>
  <c r="J90" i="247"/>
  <c r="I90" i="247"/>
  <c r="I62" i="247"/>
  <c r="I27" i="247"/>
  <c r="H90" i="247"/>
  <c r="G90" i="247"/>
  <c r="G62" i="247"/>
  <c r="G27" i="247"/>
  <c r="F90" i="247"/>
  <c r="F62" i="247"/>
  <c r="F27" i="247"/>
  <c r="E90" i="247"/>
  <c r="E62" i="247"/>
  <c r="E27" i="247"/>
  <c r="D90" i="247"/>
  <c r="D62" i="247"/>
  <c r="D27" i="247"/>
  <c r="AA62" i="247"/>
  <c r="X62" i="247"/>
  <c r="W62" i="247"/>
  <c r="W92" i="247"/>
  <c r="W27" i="247"/>
  <c r="U62" i="247"/>
  <c r="T62" i="247"/>
  <c r="S62" i="247"/>
  <c r="P62" i="247"/>
  <c r="O62" i="247"/>
  <c r="O27" i="247"/>
  <c r="M62" i="247"/>
  <c r="K62" i="247"/>
  <c r="J62" i="247"/>
  <c r="J27" i="247"/>
  <c r="H62" i="247"/>
  <c r="AA27" i="247"/>
  <c r="X27" i="247"/>
  <c r="U27" i="247"/>
  <c r="U92" i="247"/>
  <c r="T27" i="247"/>
  <c r="S27" i="247"/>
  <c r="P27" i="247"/>
  <c r="M27" i="247"/>
  <c r="K27" i="247"/>
  <c r="H27" i="247"/>
  <c r="AL76" i="277"/>
  <c r="AK76" i="277"/>
  <c r="AJ76" i="277"/>
  <c r="AI76" i="277"/>
  <c r="AH76" i="277"/>
  <c r="AG76" i="277"/>
  <c r="AF76" i="277"/>
  <c r="AE76" i="277"/>
  <c r="AD76" i="277"/>
  <c r="AC76" i="277"/>
  <c r="AB76" i="277"/>
  <c r="AA76" i="277"/>
  <c r="Z76" i="277"/>
  <c r="Y76" i="277"/>
  <c r="X76" i="277"/>
  <c r="W76" i="277"/>
  <c r="V76" i="277"/>
  <c r="U76" i="277"/>
  <c r="T76" i="277"/>
  <c r="S76" i="277"/>
  <c r="AL75" i="277"/>
  <c r="AK75" i="277"/>
  <c r="AJ75" i="277"/>
  <c r="AI75" i="277"/>
  <c r="AH75" i="277"/>
  <c r="AG75" i="277"/>
  <c r="AF75" i="277"/>
  <c r="AE75" i="277"/>
  <c r="AD75" i="277"/>
  <c r="AC75" i="277"/>
  <c r="AB75" i="277"/>
  <c r="AA75" i="277"/>
  <c r="Z75" i="277"/>
  <c r="Y75" i="277"/>
  <c r="Y74" i="277"/>
  <c r="X75" i="277"/>
  <c r="W75" i="277"/>
  <c r="V75" i="277"/>
  <c r="U75" i="277"/>
  <c r="T75" i="277"/>
  <c r="S75" i="277"/>
  <c r="AL74" i="277"/>
  <c r="AK74" i="277"/>
  <c r="AJ74" i="277"/>
  <c r="AJ77" i="277"/>
  <c r="AI74" i="277"/>
  <c r="AI77" i="277"/>
  <c r="AH74" i="277"/>
  <c r="AG74" i="277"/>
  <c r="AF74" i="277"/>
  <c r="AE74" i="277"/>
  <c r="AE77" i="277"/>
  <c r="AD74" i="277"/>
  <c r="AD77" i="277"/>
  <c r="AC74" i="277"/>
  <c r="AB74" i="277"/>
  <c r="AB77" i="277"/>
  <c r="AA74" i="277"/>
  <c r="AA77" i="277"/>
  <c r="Z74" i="277"/>
  <c r="X74" i="277"/>
  <c r="W74" i="277"/>
  <c r="W77" i="277"/>
  <c r="V74" i="277"/>
  <c r="V77" i="277"/>
  <c r="U74" i="277"/>
  <c r="U77" i="277"/>
  <c r="T74" i="277"/>
  <c r="T77" i="277"/>
  <c r="S74" i="277"/>
  <c r="S77" i="277"/>
  <c r="AL72" i="277"/>
  <c r="AK72" i="277"/>
  <c r="AJ72" i="277"/>
  <c r="AI72" i="277"/>
  <c r="AH72" i="277"/>
  <c r="AG72" i="277"/>
  <c r="AF72" i="277"/>
  <c r="AE72" i="277"/>
  <c r="AD72" i="277"/>
  <c r="AC72" i="277"/>
  <c r="AB72" i="277"/>
  <c r="AA72" i="277"/>
  <c r="Z72" i="277"/>
  <c r="Y72" i="277"/>
  <c r="W72" i="277"/>
  <c r="V72" i="277"/>
  <c r="U72" i="277"/>
  <c r="T72" i="277"/>
  <c r="S72" i="277"/>
  <c r="BA71" i="277"/>
  <c r="AZ71" i="277"/>
  <c r="AY71" i="277"/>
  <c r="AW71" i="277"/>
  <c r="AU71" i="277"/>
  <c r="AS71" i="277"/>
  <c r="AQ71" i="277"/>
  <c r="BA70" i="277"/>
  <c r="AZ70" i="277"/>
  <c r="AY70" i="277"/>
  <c r="AW70" i="277"/>
  <c r="AV70" i="277"/>
  <c r="AU70" i="277"/>
  <c r="AS70" i="277"/>
  <c r="AR70" i="277"/>
  <c r="AQ70" i="277"/>
  <c r="BA69" i="277"/>
  <c r="AY69" i="277"/>
  <c r="AW69" i="277"/>
  <c r="AS69" i="277"/>
  <c r="AQ69" i="277"/>
  <c r="BA68" i="277"/>
  <c r="AZ68" i="277"/>
  <c r="AY68" i="277"/>
  <c r="AW68" i="277"/>
  <c r="AU68" i="277"/>
  <c r="AS68" i="277"/>
  <c r="AQ68" i="277"/>
  <c r="AR68" i="277"/>
  <c r="BM67" i="277"/>
  <c r="BL67" i="277"/>
  <c r="BN67" i="277" s="1"/>
  <c r="BK67" i="277"/>
  <c r="BI67" i="277"/>
  <c r="BG67" i="277"/>
  <c r="BG68" i="277"/>
  <c r="BC67" i="277"/>
  <c r="BF67" i="277"/>
  <c r="BB67" i="277"/>
  <c r="AX67" i="277"/>
  <c r="AT67" i="277"/>
  <c r="Q67" i="277"/>
  <c r="P67" i="277"/>
  <c r="O67" i="277"/>
  <c r="M67" i="277"/>
  <c r="L67" i="277"/>
  <c r="K67" i="277"/>
  <c r="I67" i="277"/>
  <c r="H67" i="277"/>
  <c r="G67" i="277"/>
  <c r="E67" i="277"/>
  <c r="D67" i="277"/>
  <c r="C67" i="277"/>
  <c r="BM66" i="277"/>
  <c r="BL66" i="277"/>
  <c r="BL68" i="277"/>
  <c r="BK66" i="277"/>
  <c r="BI66" i="277"/>
  <c r="BH66" i="277"/>
  <c r="BE66" i="277"/>
  <c r="BE68" i="277" s="1"/>
  <c r="BB66" i="277"/>
  <c r="BB68" i="277"/>
  <c r="AX66" i="277"/>
  <c r="AX70" i="277"/>
  <c r="AT66" i="277"/>
  <c r="Q66" i="277"/>
  <c r="Q68" i="277"/>
  <c r="P66" i="277"/>
  <c r="O66" i="277"/>
  <c r="M66" i="277"/>
  <c r="L66" i="277"/>
  <c r="K66" i="277"/>
  <c r="I66" i="277"/>
  <c r="H66" i="277"/>
  <c r="G66" i="277"/>
  <c r="E66" i="277"/>
  <c r="D66" i="277"/>
  <c r="C66" i="277"/>
  <c r="BA64" i="277"/>
  <c r="AZ64" i="277"/>
  <c r="AY64" i="277"/>
  <c r="AW64" i="277"/>
  <c r="AV64" i="277"/>
  <c r="AV72" i="277"/>
  <c r="AU64" i="277"/>
  <c r="AS64" i="277"/>
  <c r="AR64" i="277"/>
  <c r="AR72" i="277"/>
  <c r="AQ64" i="277"/>
  <c r="BM63" i="277"/>
  <c r="BL63" i="277"/>
  <c r="BK63" i="277"/>
  <c r="BI63" i="277"/>
  <c r="BG63" i="277"/>
  <c r="BE63" i="277"/>
  <c r="BE71" i="277"/>
  <c r="BC63" i="277"/>
  <c r="BB63" i="277"/>
  <c r="AX63" i="277"/>
  <c r="AX71" i="277"/>
  <c r="AT63" i="277"/>
  <c r="Q63" i="277"/>
  <c r="R63" i="277" s="1"/>
  <c r="P63" i="277"/>
  <c r="O63" i="277"/>
  <c r="M63" i="277"/>
  <c r="L63" i="277"/>
  <c r="K63" i="277"/>
  <c r="N63" i="277" s="1"/>
  <c r="I63" i="277"/>
  <c r="H63" i="277"/>
  <c r="G63" i="277"/>
  <c r="E63" i="277"/>
  <c r="D63" i="277"/>
  <c r="C63" i="277"/>
  <c r="BM62" i="277"/>
  <c r="BL62" i="277"/>
  <c r="BK62" i="277"/>
  <c r="BI62" i="277"/>
  <c r="BI70" i="277" s="1"/>
  <c r="BH62" i="277"/>
  <c r="BH64" i="277" s="1"/>
  <c r="BG62" i="277"/>
  <c r="BG70" i="277" s="1"/>
  <c r="BE62" i="277"/>
  <c r="BD62" i="277"/>
  <c r="BC62" i="277"/>
  <c r="BB62" i="277"/>
  <c r="AX62" i="277"/>
  <c r="AT62" i="277"/>
  <c r="Q62" i="277"/>
  <c r="P62" i="277"/>
  <c r="O62" i="277"/>
  <c r="M62" i="277"/>
  <c r="L62" i="277"/>
  <c r="K62" i="277"/>
  <c r="I62" i="277"/>
  <c r="H62" i="277"/>
  <c r="G62" i="277"/>
  <c r="E62" i="277"/>
  <c r="D62" i="277"/>
  <c r="C62" i="277"/>
  <c r="BM61" i="277"/>
  <c r="BL61" i="277"/>
  <c r="BK61" i="277"/>
  <c r="BK64" i="277" s="1"/>
  <c r="BI61" i="277"/>
  <c r="BG61" i="277"/>
  <c r="BB61" i="277"/>
  <c r="AT61" i="277"/>
  <c r="Q61" i="277"/>
  <c r="Q69" i="277" s="1"/>
  <c r="P61" i="277"/>
  <c r="O61" i="277"/>
  <c r="M61" i="277"/>
  <c r="L61" i="277"/>
  <c r="K61" i="277"/>
  <c r="K57" i="277"/>
  <c r="I61" i="277"/>
  <c r="H61" i="277"/>
  <c r="G61" i="277"/>
  <c r="E61" i="277"/>
  <c r="D61" i="277"/>
  <c r="C61" i="277"/>
  <c r="C64" i="277" s="1"/>
  <c r="BA60" i="277"/>
  <c r="AY60" i="277"/>
  <c r="AW60" i="277"/>
  <c r="AS60" i="277"/>
  <c r="AQ60" i="277"/>
  <c r="BM59" i="277"/>
  <c r="BM71" i="277" s="1"/>
  <c r="BL59" i="277"/>
  <c r="BK59" i="277"/>
  <c r="BI59" i="277"/>
  <c r="BG59" i="277"/>
  <c r="BG60" i="277"/>
  <c r="BB59" i="277"/>
  <c r="BB71" i="277"/>
  <c r="AT59" i="277"/>
  <c r="Q59" i="277"/>
  <c r="P59" i="277"/>
  <c r="O59" i="277"/>
  <c r="M59" i="277"/>
  <c r="M71" i="277"/>
  <c r="L59" i="277"/>
  <c r="K59" i="277"/>
  <c r="I59" i="277"/>
  <c r="H59" i="277"/>
  <c r="G59" i="277"/>
  <c r="E59" i="277"/>
  <c r="F59" i="277" s="1"/>
  <c r="D59" i="277"/>
  <c r="C59" i="277"/>
  <c r="C71" i="277" s="1"/>
  <c r="BM58" i="277"/>
  <c r="BL58" i="277"/>
  <c r="BK58" i="277"/>
  <c r="BJ58" i="277"/>
  <c r="BE58" i="277"/>
  <c r="BC58" i="277"/>
  <c r="BC60" i="277" s="1"/>
  <c r="BB58" i="277"/>
  <c r="AX58" i="277"/>
  <c r="AT58" i="277"/>
  <c r="Q58" i="277"/>
  <c r="Q70" i="277"/>
  <c r="P58" i="277"/>
  <c r="O58" i="277"/>
  <c r="M58" i="277"/>
  <c r="L58" i="277"/>
  <c r="K58" i="277"/>
  <c r="I58" i="277"/>
  <c r="I70" i="277"/>
  <c r="H58" i="277"/>
  <c r="G58" i="277"/>
  <c r="E58" i="277"/>
  <c r="E57" i="277"/>
  <c r="D58" i="277"/>
  <c r="C58" i="277"/>
  <c r="BM57" i="277"/>
  <c r="BL57" i="277"/>
  <c r="BK57" i="277"/>
  <c r="BI57" i="277"/>
  <c r="BJ57" i="277" s="1"/>
  <c r="BJ69" i="277" s="1"/>
  <c r="BB57" i="277"/>
  <c r="AX57" i="277"/>
  <c r="AX69" i="277"/>
  <c r="AT57" i="277"/>
  <c r="AT69" i="277"/>
  <c r="Q57" i="277"/>
  <c r="P57" i="277"/>
  <c r="O57" i="277"/>
  <c r="M57" i="277"/>
  <c r="L57" i="277"/>
  <c r="I57" i="277"/>
  <c r="H57" i="277"/>
  <c r="G57" i="277"/>
  <c r="D57" i="277"/>
  <c r="C57" i="277"/>
  <c r="AL55" i="277"/>
  <c r="AK55" i="277"/>
  <c r="AJ55" i="277"/>
  <c r="AI55" i="277"/>
  <c r="AH55" i="277"/>
  <c r="AG55" i="277"/>
  <c r="AF55" i="277"/>
  <c r="AE55" i="277"/>
  <c r="AD55" i="277"/>
  <c r="AC55" i="277"/>
  <c r="AB55" i="277"/>
  <c r="AA55" i="277"/>
  <c r="Z55" i="277"/>
  <c r="Y55" i="277"/>
  <c r="X55" i="277"/>
  <c r="W55" i="277"/>
  <c r="V55" i="277"/>
  <c r="U55" i="277"/>
  <c r="T55" i="277"/>
  <c r="S55" i="277"/>
  <c r="BA54" i="277"/>
  <c r="AZ54" i="277"/>
  <c r="AY54" i="277"/>
  <c r="AW54" i="277"/>
  <c r="AV54" i="277"/>
  <c r="AU54" i="277"/>
  <c r="AS54" i="277"/>
  <c r="AR54" i="277"/>
  <c r="AQ54" i="277"/>
  <c r="BA53" i="277"/>
  <c r="AZ53" i="277"/>
  <c r="AZ75" i="277"/>
  <c r="AY53" i="277"/>
  <c r="AW53" i="277"/>
  <c r="AV53" i="277"/>
  <c r="AV75" i="277"/>
  <c r="AU53" i="277"/>
  <c r="AS53" i="277"/>
  <c r="AR53" i="277"/>
  <c r="AR75" i="277"/>
  <c r="AQ53" i="277"/>
  <c r="BA52" i="277"/>
  <c r="AZ52" i="277"/>
  <c r="AZ74" i="277"/>
  <c r="AY52" i="277"/>
  <c r="AW52" i="277"/>
  <c r="AV52" i="277"/>
  <c r="AV74" i="277"/>
  <c r="AU52" i="277"/>
  <c r="AU74" i="277"/>
  <c r="AS52" i="277"/>
  <c r="AR52" i="277"/>
  <c r="AR74" i="277"/>
  <c r="AQ52" i="277"/>
  <c r="AQ74" i="277"/>
  <c r="BA51" i="277"/>
  <c r="AZ51" i="277"/>
  <c r="AY51" i="277"/>
  <c r="AW51" i="277"/>
  <c r="AV51" i="277"/>
  <c r="AU51" i="277"/>
  <c r="AX51" i="277"/>
  <c r="AS51" i="277"/>
  <c r="AR51" i="277"/>
  <c r="AQ51" i="277"/>
  <c r="BM50" i="277"/>
  <c r="BL50" i="277"/>
  <c r="BK50" i="277"/>
  <c r="BI50" i="277"/>
  <c r="BG50" i="277"/>
  <c r="BJ50" i="277" s="1"/>
  <c r="BE50" i="277"/>
  <c r="BC50" i="277"/>
  <c r="BF50" i="277" s="1"/>
  <c r="BB50" i="277"/>
  <c r="AX50" i="277"/>
  <c r="AT50" i="277"/>
  <c r="Q50" i="277"/>
  <c r="P50" i="277"/>
  <c r="O50" i="277"/>
  <c r="M50" i="277"/>
  <c r="L50" i="277"/>
  <c r="K50" i="277"/>
  <c r="I50" i="277"/>
  <c r="H50" i="277"/>
  <c r="G50" i="277"/>
  <c r="E50" i="277"/>
  <c r="D50" i="277"/>
  <c r="C50" i="277"/>
  <c r="BM49" i="277"/>
  <c r="BL49" i="277"/>
  <c r="BK49" i="277"/>
  <c r="BI49" i="277"/>
  <c r="BJ49" i="277"/>
  <c r="BE49" i="277"/>
  <c r="BC49" i="277"/>
  <c r="BB49" i="277"/>
  <c r="AX49" i="277"/>
  <c r="AT49" i="277"/>
  <c r="Q49" i="277"/>
  <c r="P49" i="277"/>
  <c r="O49" i="277"/>
  <c r="M49" i="277"/>
  <c r="L49" i="277"/>
  <c r="K49" i="277"/>
  <c r="I49" i="277"/>
  <c r="H49" i="277"/>
  <c r="H51" i="277" s="1"/>
  <c r="J51" i="277" s="1"/>
  <c r="G49" i="277"/>
  <c r="E49" i="277"/>
  <c r="D49" i="277"/>
  <c r="C49" i="277"/>
  <c r="BM48" i="277"/>
  <c r="BL48" i="277"/>
  <c r="BK48" i="277"/>
  <c r="BI48" i="277"/>
  <c r="BH48" i="277"/>
  <c r="BH51" i="277" s="1"/>
  <c r="BG48" i="277"/>
  <c r="BG52" i="277"/>
  <c r="BE48" i="277"/>
  <c r="BE52" i="277" s="1"/>
  <c r="BD48" i="277"/>
  <c r="BD52" i="277"/>
  <c r="BF52" i="277" s="1"/>
  <c r="BC48" i="277"/>
  <c r="BC52" i="277" s="1"/>
  <c r="BC74" i="277" s="1"/>
  <c r="BB48" i="277"/>
  <c r="AX48" i="277"/>
  <c r="AT48" i="277"/>
  <c r="Q48" i="277"/>
  <c r="P48" i="277"/>
  <c r="O48" i="277"/>
  <c r="M48" i="277"/>
  <c r="L48" i="277"/>
  <c r="K48" i="277"/>
  <c r="I48" i="277"/>
  <c r="H48" i="277"/>
  <c r="G48" i="277"/>
  <c r="E48" i="277"/>
  <c r="D48" i="277"/>
  <c r="C48" i="277"/>
  <c r="C51" i="277" s="1"/>
  <c r="BA47" i="277"/>
  <c r="AZ47" i="277"/>
  <c r="AY47" i="277"/>
  <c r="AW47" i="277"/>
  <c r="AU47" i="277"/>
  <c r="AS47" i="277"/>
  <c r="AR47" i="277"/>
  <c r="AQ47" i="277"/>
  <c r="BM46" i="277"/>
  <c r="BL46" i="277"/>
  <c r="BK46" i="277"/>
  <c r="BK47" i="277" s="1"/>
  <c r="BI46" i="277"/>
  <c r="BI42" i="277"/>
  <c r="BH46" i="277"/>
  <c r="BH47" i="277" s="1"/>
  <c r="BG46" i="277"/>
  <c r="BE46" i="277"/>
  <c r="BD46" i="277"/>
  <c r="BD42" i="277"/>
  <c r="BC46" i="277"/>
  <c r="BB46" i="277"/>
  <c r="AX46" i="277"/>
  <c r="AT46" i="277"/>
  <c r="Q46" i="277"/>
  <c r="P46" i="277"/>
  <c r="O46" i="277"/>
  <c r="M46" i="277"/>
  <c r="M54" i="277" s="1"/>
  <c r="L46" i="277"/>
  <c r="K46" i="277"/>
  <c r="I46" i="277"/>
  <c r="H46" i="277"/>
  <c r="G46" i="277"/>
  <c r="E46" i="277"/>
  <c r="D46" i="277"/>
  <c r="C46" i="277"/>
  <c r="BM45" i="277"/>
  <c r="BL45" i="277"/>
  <c r="BK45" i="277"/>
  <c r="BI45" i="277"/>
  <c r="BG45" i="277"/>
  <c r="BE45" i="277"/>
  <c r="BE47" i="277" s="1"/>
  <c r="BD45" i="277"/>
  <c r="BC45" i="277"/>
  <c r="BB45" i="277"/>
  <c r="AX45" i="277"/>
  <c r="AT45" i="277"/>
  <c r="Q45" i="277"/>
  <c r="P45" i="277"/>
  <c r="O45" i="277"/>
  <c r="M45" i="277"/>
  <c r="L45" i="277"/>
  <c r="K45" i="277"/>
  <c r="N45" i="277" s="1"/>
  <c r="I45" i="277"/>
  <c r="H45" i="277"/>
  <c r="G45" i="277"/>
  <c r="E45" i="277"/>
  <c r="D45" i="277"/>
  <c r="C45" i="277"/>
  <c r="BM44" i="277"/>
  <c r="BL44" i="277"/>
  <c r="BL47" i="277" s="1"/>
  <c r="BK44" i="277"/>
  <c r="BK52" i="277"/>
  <c r="BI44" i="277"/>
  <c r="BB44" i="277"/>
  <c r="AX44" i="277"/>
  <c r="AX52" i="277"/>
  <c r="AT44" i="277"/>
  <c r="AT52" i="277"/>
  <c r="Q44" i="277"/>
  <c r="P44" i="277"/>
  <c r="O44" i="277"/>
  <c r="M44" i="277"/>
  <c r="M47" i="277" s="1"/>
  <c r="L44" i="277"/>
  <c r="K44" i="277"/>
  <c r="K52" i="277"/>
  <c r="I44" i="277"/>
  <c r="H44" i="277"/>
  <c r="H52" i="277" s="1"/>
  <c r="G44" i="277"/>
  <c r="E44" i="277"/>
  <c r="D44" i="277"/>
  <c r="C44" i="277"/>
  <c r="C47" i="277"/>
  <c r="BA43" i="277"/>
  <c r="AZ43" i="277"/>
  <c r="AY43" i="277"/>
  <c r="AW43" i="277"/>
  <c r="AV43" i="277"/>
  <c r="AV55" i="277"/>
  <c r="AU43" i="277"/>
  <c r="AS43" i="277"/>
  <c r="AS55" i="277"/>
  <c r="AR43" i="277"/>
  <c r="AR55" i="277"/>
  <c r="AQ43" i="277"/>
  <c r="BM42" i="277"/>
  <c r="BL42" i="277"/>
  <c r="BL54" i="277" s="1"/>
  <c r="BK42" i="277"/>
  <c r="BH42" i="277"/>
  <c r="BG42" i="277"/>
  <c r="BE42" i="277"/>
  <c r="BC42" i="277"/>
  <c r="BB42" i="277"/>
  <c r="AX42" i="277"/>
  <c r="AX54" i="277"/>
  <c r="AT42" i="277"/>
  <c r="AT54" i="277"/>
  <c r="Q42" i="277"/>
  <c r="Q43" i="277" s="1"/>
  <c r="P42" i="277"/>
  <c r="O42" i="277"/>
  <c r="M42" i="277"/>
  <c r="L42" i="277"/>
  <c r="K42" i="277"/>
  <c r="I42" i="277"/>
  <c r="H42" i="277"/>
  <c r="H54" i="277" s="1"/>
  <c r="G42" i="277"/>
  <c r="E42" i="277"/>
  <c r="D42" i="277"/>
  <c r="C42" i="277"/>
  <c r="F42" i="277" s="1"/>
  <c r="BM41" i="277"/>
  <c r="BL41" i="277"/>
  <c r="BK41" i="277"/>
  <c r="BI41" i="277"/>
  <c r="BH41" i="277"/>
  <c r="BH53" i="277" s="1"/>
  <c r="BG41" i="277"/>
  <c r="BE41" i="277"/>
  <c r="BD41" i="277"/>
  <c r="BC41" i="277"/>
  <c r="BB41" i="277"/>
  <c r="AX41" i="277"/>
  <c r="AX53" i="277"/>
  <c r="AT41" i="277"/>
  <c r="AT53" i="277"/>
  <c r="Q41" i="277"/>
  <c r="R41" i="277"/>
  <c r="P41" i="277"/>
  <c r="O41" i="277"/>
  <c r="M41" i="277"/>
  <c r="M43" i="277" s="1"/>
  <c r="L41" i="277"/>
  <c r="L43" i="277" s="1"/>
  <c r="K41" i="277"/>
  <c r="K43" i="277"/>
  <c r="I41" i="277"/>
  <c r="H41" i="277"/>
  <c r="G41" i="277"/>
  <c r="G43" i="277" s="1"/>
  <c r="E41" i="277"/>
  <c r="E43" i="277" s="1"/>
  <c r="D41" i="277"/>
  <c r="C41" i="277"/>
  <c r="F41" i="277" s="1"/>
  <c r="BD36" i="277"/>
  <c r="BM33" i="277"/>
  <c r="BL33" i="277"/>
  <c r="BK33" i="277"/>
  <c r="BI33" i="277"/>
  <c r="BH33" i="277"/>
  <c r="BG33" i="277"/>
  <c r="BE33" i="277"/>
  <c r="BE37" i="277" s="1"/>
  <c r="BD33" i="277"/>
  <c r="BD37" i="277"/>
  <c r="BM32" i="277"/>
  <c r="BL32" i="277"/>
  <c r="BK32" i="277"/>
  <c r="BI32" i="277"/>
  <c r="BE32" i="277"/>
  <c r="BM31" i="277"/>
  <c r="BM35" i="277" s="1"/>
  <c r="BL31" i="277"/>
  <c r="BL35" i="277"/>
  <c r="BK31" i="277"/>
  <c r="BI31" i="277"/>
  <c r="BI35" i="277"/>
  <c r="BG31" i="277"/>
  <c r="BE31" i="277"/>
  <c r="BE35" i="277"/>
  <c r="BD31" i="277"/>
  <c r="BD35" i="277"/>
  <c r="BM28" i="277"/>
  <c r="BL28" i="277"/>
  <c r="BL30" i="277"/>
  <c r="BK28" i="277"/>
  <c r="BK30" i="277"/>
  <c r="BI28" i="277"/>
  <c r="BJ28" i="277"/>
  <c r="BE28" i="277"/>
  <c r="BE30" i="277" s="1"/>
  <c r="BF30" i="277" s="1"/>
  <c r="AY26" i="277"/>
  <c r="BB26" i="277"/>
  <c r="BM25" i="277"/>
  <c r="BL25" i="277"/>
  <c r="BL26" i="277"/>
  <c r="BK25" i="277"/>
  <c r="BI25" i="277"/>
  <c r="BI26" i="277"/>
  <c r="BH25" i="277"/>
  <c r="BH26" i="277"/>
  <c r="BC25" i="277"/>
  <c r="BF25" i="277"/>
  <c r="BB25" i="277"/>
  <c r="BM24" i="277"/>
  <c r="BL24" i="277"/>
  <c r="BK24" i="277"/>
  <c r="BK26" i="277"/>
  <c r="BG24" i="277"/>
  <c r="BJ24" i="277"/>
  <c r="BC24" i="277"/>
  <c r="BB24" i="277"/>
  <c r="BN23" i="277"/>
  <c r="AL21" i="277"/>
  <c r="AK21" i="277"/>
  <c r="AJ21" i="277"/>
  <c r="AI21" i="277"/>
  <c r="AH21" i="277"/>
  <c r="AG21" i="277"/>
  <c r="AF21" i="277"/>
  <c r="AE21" i="277"/>
  <c r="AD21" i="277"/>
  <c r="AC21" i="277"/>
  <c r="AA21" i="277"/>
  <c r="Z21" i="277"/>
  <c r="Y21" i="277"/>
  <c r="X21" i="277"/>
  <c r="W21" i="277"/>
  <c r="V21" i="277"/>
  <c r="U21" i="277"/>
  <c r="T21" i="277"/>
  <c r="S21" i="277"/>
  <c r="BA20" i="277"/>
  <c r="AZ20" i="277"/>
  <c r="AZ76" i="277"/>
  <c r="AY20" i="277"/>
  <c r="AW20" i="277"/>
  <c r="AW76" i="277"/>
  <c r="AV20" i="277"/>
  <c r="AV76" i="277"/>
  <c r="AU20" i="277"/>
  <c r="AU76" i="277"/>
  <c r="AS20" i="277"/>
  <c r="AS76" i="277"/>
  <c r="AR20" i="277"/>
  <c r="AR76" i="277"/>
  <c r="AQ20" i="277"/>
  <c r="BA19" i="277"/>
  <c r="BA75" i="277"/>
  <c r="AY19" i="277"/>
  <c r="AY75" i="277"/>
  <c r="AW19" i="277"/>
  <c r="AU19" i="277"/>
  <c r="AU75" i="277"/>
  <c r="AS19" i="277"/>
  <c r="AQ19" i="277"/>
  <c r="AQ75" i="277"/>
  <c r="BA18" i="277"/>
  <c r="BA74" i="277"/>
  <c r="AW18" i="277"/>
  <c r="AS18" i="277"/>
  <c r="BA17" i="277"/>
  <c r="BB17" i="277"/>
  <c r="AW17" i="277"/>
  <c r="AX17" i="277"/>
  <c r="AS17" i="277"/>
  <c r="BM16" i="277"/>
  <c r="BM17" i="277" s="1"/>
  <c r="BN17" i="277" s="1"/>
  <c r="BL16" i="277"/>
  <c r="BK16" i="277"/>
  <c r="BI16" i="277"/>
  <c r="BE16" i="277"/>
  <c r="BF16" i="277"/>
  <c r="BB16" i="277"/>
  <c r="AX16" i="277"/>
  <c r="AT16" i="277"/>
  <c r="Q16" i="277"/>
  <c r="P16" i="277"/>
  <c r="O16" i="277"/>
  <c r="M16" i="277"/>
  <c r="L16" i="277"/>
  <c r="N16" i="277" s="1"/>
  <c r="K16" i="277"/>
  <c r="I16" i="277"/>
  <c r="H16" i="277"/>
  <c r="G16" i="277"/>
  <c r="E16" i="277"/>
  <c r="D16" i="277"/>
  <c r="C16" i="277"/>
  <c r="BM15" i="277"/>
  <c r="BL15" i="277"/>
  <c r="BK15" i="277"/>
  <c r="BI15" i="277"/>
  <c r="BJ15" i="277" s="1"/>
  <c r="BE15" i="277"/>
  <c r="BF15" i="277"/>
  <c r="BB15" i="277"/>
  <c r="AX15" i="277"/>
  <c r="AT15" i="277"/>
  <c r="Q15" i="277"/>
  <c r="P15" i="277"/>
  <c r="O15" i="277"/>
  <c r="M15" i="277"/>
  <c r="L15" i="277"/>
  <c r="K15" i="277"/>
  <c r="I15" i="277"/>
  <c r="H15" i="277"/>
  <c r="G15" i="277"/>
  <c r="E15" i="277"/>
  <c r="D15" i="277"/>
  <c r="C15" i="277"/>
  <c r="BM14" i="277"/>
  <c r="BL14" i="277"/>
  <c r="BK14" i="277"/>
  <c r="BI14" i="277"/>
  <c r="BJ14" i="277"/>
  <c r="BE14" i="277"/>
  <c r="AX14" i="277"/>
  <c r="AT14" i="277"/>
  <c r="Q14" i="277"/>
  <c r="P14" i="277"/>
  <c r="O14" i="277"/>
  <c r="M14" i="277"/>
  <c r="L14" i="277"/>
  <c r="K14" i="277"/>
  <c r="I14" i="277"/>
  <c r="H14" i="277"/>
  <c r="G14" i="277"/>
  <c r="E14" i="277"/>
  <c r="D14" i="277"/>
  <c r="C14" i="277"/>
  <c r="BA13" i="277"/>
  <c r="BB13" i="277"/>
  <c r="AW13" i="277"/>
  <c r="AV13" i="277"/>
  <c r="AS13" i="277"/>
  <c r="AT13" i="277"/>
  <c r="BM12" i="277"/>
  <c r="BL12" i="277"/>
  <c r="BK12" i="277"/>
  <c r="BI12" i="277"/>
  <c r="BJ12" i="277" s="1"/>
  <c r="BE12" i="277"/>
  <c r="BF12" i="277" s="1"/>
  <c r="BF20" i="277" s="1"/>
  <c r="BB12" i="277"/>
  <c r="AX12" i="277"/>
  <c r="AT12" i="277"/>
  <c r="Q12" i="277"/>
  <c r="P12" i="277"/>
  <c r="O12" i="277"/>
  <c r="M12" i="277"/>
  <c r="L12" i="277"/>
  <c r="K12" i="277"/>
  <c r="I12" i="277"/>
  <c r="H12" i="277"/>
  <c r="G12" i="277"/>
  <c r="G13" i="277" s="1"/>
  <c r="E12" i="277"/>
  <c r="D12" i="277"/>
  <c r="C12" i="277"/>
  <c r="BM11" i="277"/>
  <c r="BL11" i="277"/>
  <c r="BK11" i="277"/>
  <c r="BI11" i="277"/>
  <c r="BJ11" i="277"/>
  <c r="BE11" i="277"/>
  <c r="BC11" i="277"/>
  <c r="BC13" i="277" s="1"/>
  <c r="BB11" i="277"/>
  <c r="AX11" i="277"/>
  <c r="AT11" i="277"/>
  <c r="Q11" i="277"/>
  <c r="P11" i="277"/>
  <c r="O11" i="277"/>
  <c r="M11" i="277"/>
  <c r="L11" i="277"/>
  <c r="K11" i="277"/>
  <c r="I11" i="277"/>
  <c r="H11" i="277"/>
  <c r="G11" i="277"/>
  <c r="E11" i="277"/>
  <c r="D11" i="277"/>
  <c r="C11" i="277"/>
  <c r="BM10" i="277"/>
  <c r="BN10" i="277" s="1"/>
  <c r="BL10" i="277"/>
  <c r="BK10" i="277"/>
  <c r="BI10" i="277"/>
  <c r="BJ10" i="277"/>
  <c r="BJ18" i="277" s="1"/>
  <c r="BE10" i="277"/>
  <c r="BE18" i="277" s="1"/>
  <c r="BD10" i="277"/>
  <c r="BD13" i="277" s="1"/>
  <c r="BB10" i="277"/>
  <c r="BB18" i="277"/>
  <c r="AX10" i="277"/>
  <c r="AX18" i="277"/>
  <c r="AT10" i="277"/>
  <c r="AT18" i="277"/>
  <c r="Q10" i="277"/>
  <c r="P10" i="277"/>
  <c r="O10" i="277"/>
  <c r="R10" i="277"/>
  <c r="M10" i="277"/>
  <c r="L10" i="277"/>
  <c r="K10" i="277"/>
  <c r="I10" i="277"/>
  <c r="H10" i="277"/>
  <c r="G10" i="277"/>
  <c r="E10" i="277"/>
  <c r="D10" i="277"/>
  <c r="C10" i="277"/>
  <c r="BA9" i="277"/>
  <c r="BA21" i="277"/>
  <c r="AZ9" i="277"/>
  <c r="AZ21" i="277"/>
  <c r="AY9" i="277"/>
  <c r="AY21" i="277"/>
  <c r="AW9" i="277"/>
  <c r="AV9" i="277"/>
  <c r="AV21" i="277"/>
  <c r="AU9" i="277"/>
  <c r="AU21" i="277"/>
  <c r="AS9" i="277"/>
  <c r="AR9" i="277"/>
  <c r="AR21" i="277"/>
  <c r="AR77" i="277"/>
  <c r="AQ9" i="277"/>
  <c r="BM8" i="277"/>
  <c r="BL8" i="277"/>
  <c r="BK8" i="277"/>
  <c r="BI8" i="277"/>
  <c r="BH8" i="277"/>
  <c r="BG8" i="277"/>
  <c r="BJ8" i="277"/>
  <c r="BE8" i="277"/>
  <c r="BC8" i="277"/>
  <c r="BC20" i="277" s="1"/>
  <c r="BB8" i="277"/>
  <c r="BB20" i="277"/>
  <c r="AX8" i="277"/>
  <c r="AX20" i="277"/>
  <c r="AT8" i="277"/>
  <c r="Q8" i="277"/>
  <c r="P8" i="277"/>
  <c r="R8" i="277" s="1"/>
  <c r="O8" i="277"/>
  <c r="M8" i="277"/>
  <c r="M20" i="277" s="1"/>
  <c r="L8" i="277"/>
  <c r="K8" i="277"/>
  <c r="N8" i="277" s="1"/>
  <c r="I8" i="277"/>
  <c r="H8" i="277"/>
  <c r="G8" i="277"/>
  <c r="E8" i="277"/>
  <c r="D8" i="277"/>
  <c r="D20" i="277" s="1"/>
  <c r="F20" i="277" s="1"/>
  <c r="C8" i="277"/>
  <c r="BM7" i="277"/>
  <c r="BM19" i="277" s="1"/>
  <c r="BL7" i="277"/>
  <c r="BK7" i="277"/>
  <c r="BI7" i="277"/>
  <c r="BI9" i="277" s="1"/>
  <c r="BG7" i="277"/>
  <c r="BG19" i="277" s="1"/>
  <c r="BE7" i="277"/>
  <c r="BD7" i="277"/>
  <c r="BC7" i="277"/>
  <c r="BB7" i="277"/>
  <c r="BB19" i="277"/>
  <c r="AX7" i="277"/>
  <c r="AX19" i="277"/>
  <c r="AT7" i="277"/>
  <c r="AT19" i="277"/>
  <c r="Q7" i="277"/>
  <c r="P7" i="277"/>
  <c r="O7" i="277"/>
  <c r="R7" i="277" s="1"/>
  <c r="M7" i="277"/>
  <c r="L7" i="277"/>
  <c r="K7" i="277"/>
  <c r="I7" i="277"/>
  <c r="I19" i="277" s="1"/>
  <c r="H7" i="277"/>
  <c r="G7" i="277"/>
  <c r="E7" i="277"/>
  <c r="F7" i="277" s="1"/>
  <c r="D7" i="277"/>
  <c r="C7" i="277"/>
  <c r="BM6" i="277"/>
  <c r="BL6" i="277"/>
  <c r="BL18" i="277" s="1"/>
  <c r="BL74" i="277" s="1"/>
  <c r="BK6" i="277"/>
  <c r="Q6" i="277"/>
  <c r="P6" i="277"/>
  <c r="O6" i="277"/>
  <c r="M6" i="277"/>
  <c r="M9" i="277" s="1"/>
  <c r="L6" i="277"/>
  <c r="K6" i="277"/>
  <c r="N6" i="277" s="1"/>
  <c r="I6" i="277"/>
  <c r="H6" i="277"/>
  <c r="G6" i="277"/>
  <c r="E6" i="277"/>
  <c r="D6" i="277"/>
  <c r="C6" i="277"/>
  <c r="F6" i="277"/>
  <c r="BO146" i="276"/>
  <c r="BN146" i="276"/>
  <c r="BM146" i="276"/>
  <c r="BK146" i="276"/>
  <c r="BJ146" i="276"/>
  <c r="BI146" i="276"/>
  <c r="BG146" i="276"/>
  <c r="BF146" i="276"/>
  <c r="BE146" i="276"/>
  <c r="BE147" i="276" s="1"/>
  <c r="BE141" i="276"/>
  <c r="BE126" i="276"/>
  <c r="BC146" i="276"/>
  <c r="BB146" i="276"/>
  <c r="BA146" i="276"/>
  <c r="AY146" i="276"/>
  <c r="AX146" i="276"/>
  <c r="AW146" i="276"/>
  <c r="AW147" i="276" s="1"/>
  <c r="AU146" i="276"/>
  <c r="AT146" i="276"/>
  <c r="AS146" i="276"/>
  <c r="AQ146" i="276"/>
  <c r="AP146" i="276"/>
  <c r="AO146" i="276"/>
  <c r="AM146" i="276"/>
  <c r="AL146" i="276"/>
  <c r="AK146" i="276"/>
  <c r="AI146" i="276"/>
  <c r="AI141" i="276"/>
  <c r="AI126" i="276"/>
  <c r="AH146" i="276"/>
  <c r="AG146" i="276"/>
  <c r="AE146" i="276"/>
  <c r="AD146" i="276"/>
  <c r="AD147" i="276" s="1"/>
  <c r="AC146" i="276"/>
  <c r="AA146" i="276"/>
  <c r="Z146" i="276"/>
  <c r="Y146" i="276"/>
  <c r="Y141" i="276"/>
  <c r="Y126" i="276"/>
  <c r="W146" i="276"/>
  <c r="V146" i="276"/>
  <c r="U146" i="276"/>
  <c r="T146" i="276"/>
  <c r="S146" i="276"/>
  <c r="R146" i="276"/>
  <c r="Q146" i="276"/>
  <c r="L146" i="276"/>
  <c r="L141" i="276"/>
  <c r="L111" i="276"/>
  <c r="L126" i="276" s="1"/>
  <c r="J146" i="276"/>
  <c r="BP145" i="276"/>
  <c r="BL145" i="276"/>
  <c r="BH145" i="276"/>
  <c r="BD145" i="276"/>
  <c r="BD146" i="276" s="1"/>
  <c r="AZ145" i="276"/>
  <c r="AV145" i="276"/>
  <c r="AR145" i="276"/>
  <c r="AR142" i="276"/>
  <c r="AN145" i="276"/>
  <c r="AJ145" i="276"/>
  <c r="AB145" i="276"/>
  <c r="BP144" i="276"/>
  <c r="BL144" i="276"/>
  <c r="BD144" i="276"/>
  <c r="AV144" i="276"/>
  <c r="BP143" i="276"/>
  <c r="BL143" i="276"/>
  <c r="BD143" i="276"/>
  <c r="AV143" i="276"/>
  <c r="BP142" i="276"/>
  <c r="BL142" i="276"/>
  <c r="BH142" i="276"/>
  <c r="BD142" i="276"/>
  <c r="AZ142" i="276"/>
  <c r="AV142" i="276"/>
  <c r="AN142" i="276"/>
  <c r="AJ142" i="276"/>
  <c r="AJ146" i="276" s="1"/>
  <c r="AF142" i="276"/>
  <c r="AF146" i="276"/>
  <c r="AB142" i="276"/>
  <c r="X142" i="276"/>
  <c r="X146" i="276" s="1"/>
  <c r="BO141" i="276"/>
  <c r="BN141" i="276"/>
  <c r="BM141" i="276"/>
  <c r="BM147" i="276" s="1"/>
  <c r="BK141" i="276"/>
  <c r="BJ141" i="276"/>
  <c r="BI141" i="276"/>
  <c r="BG141" i="276"/>
  <c r="BF141" i="276"/>
  <c r="BC141" i="276"/>
  <c r="BB141" i="276"/>
  <c r="BA141" i="276"/>
  <c r="BA147" i="276" s="1"/>
  <c r="BA126" i="276"/>
  <c r="AY141" i="276"/>
  <c r="AX141" i="276"/>
  <c r="AW141" i="276"/>
  <c r="AU141" i="276"/>
  <c r="AU126" i="276"/>
  <c r="AT141" i="276"/>
  <c r="AS141" i="276"/>
  <c r="AS147" i="276" s="1"/>
  <c r="AQ141" i="276"/>
  <c r="AQ126" i="276"/>
  <c r="AP141" i="276"/>
  <c r="AO141" i="276"/>
  <c r="AM141" i="276"/>
  <c r="AL141" i="276"/>
  <c r="AL126" i="276"/>
  <c r="AK141" i="276"/>
  <c r="AK147" i="276" s="1"/>
  <c r="AH141" i="276"/>
  <c r="AG141" i="276"/>
  <c r="AE141" i="276"/>
  <c r="AD141" i="276"/>
  <c r="AC141" i="276"/>
  <c r="AC147" i="276" s="1"/>
  <c r="AA141" i="276"/>
  <c r="Z141" i="276"/>
  <c r="Z147" i="276"/>
  <c r="W141" i="276"/>
  <c r="W126" i="276"/>
  <c r="V141" i="276"/>
  <c r="U141" i="276"/>
  <c r="U147" i="276" s="1"/>
  <c r="T141" i="276"/>
  <c r="S141" i="276"/>
  <c r="S126" i="276"/>
  <c r="R141" i="276"/>
  <c r="R147" i="276" s="1"/>
  <c r="Q141" i="276"/>
  <c r="P141" i="276"/>
  <c r="O141" i="276"/>
  <c r="O147" i="276" s="1"/>
  <c r="O126" i="276"/>
  <c r="N141" i="276"/>
  <c r="N147" i="276" s="1"/>
  <c r="M141" i="276"/>
  <c r="K141" i="276"/>
  <c r="K126" i="276"/>
  <c r="K50" i="276"/>
  <c r="K32" i="276"/>
  <c r="K15" i="276"/>
  <c r="K106" i="276"/>
  <c r="K95" i="276"/>
  <c r="K79" i="276"/>
  <c r="J141" i="276"/>
  <c r="I141" i="276"/>
  <c r="H141" i="276"/>
  <c r="G141" i="276"/>
  <c r="F141" i="276"/>
  <c r="E141" i="276"/>
  <c r="BP140" i="276"/>
  <c r="BL140" i="276"/>
  <c r="BL127" i="276"/>
  <c r="BL128" i="276"/>
  <c r="BL129" i="276"/>
  <c r="BL130" i="276"/>
  <c r="BL131" i="276"/>
  <c r="BL132" i="276"/>
  <c r="BL133" i="276"/>
  <c r="BL134" i="276"/>
  <c r="BL135" i="276"/>
  <c r="BL136" i="276"/>
  <c r="BL138" i="276"/>
  <c r="BL139" i="276"/>
  <c r="BP139" i="276"/>
  <c r="BH139" i="276"/>
  <c r="BD139" i="276"/>
  <c r="AZ139" i="276"/>
  <c r="AV139" i="276"/>
  <c r="AN139" i="276"/>
  <c r="AJ139" i="276"/>
  <c r="AF139" i="276"/>
  <c r="AB139" i="276"/>
  <c r="X139" i="276"/>
  <c r="BP138" i="276"/>
  <c r="BH138" i="276"/>
  <c r="BD138" i="276"/>
  <c r="AZ138" i="276"/>
  <c r="AV138" i="276"/>
  <c r="AR138" i="276"/>
  <c r="AN138" i="276"/>
  <c r="AJ138" i="276"/>
  <c r="AJ127" i="276"/>
  <c r="AJ132" i="276"/>
  <c r="AJ133" i="276"/>
  <c r="AJ135" i="276"/>
  <c r="AJ136" i="276"/>
  <c r="AF138" i="276"/>
  <c r="AB138" i="276"/>
  <c r="X138" i="276"/>
  <c r="BP137" i="276"/>
  <c r="BP136" i="276"/>
  <c r="BH136" i="276"/>
  <c r="BD136" i="276"/>
  <c r="AZ136" i="276"/>
  <c r="AV136" i="276"/>
  <c r="AR136" i="276"/>
  <c r="AN136" i="276"/>
  <c r="AF136" i="276"/>
  <c r="AB136" i="276"/>
  <c r="X136" i="276"/>
  <c r="BP135" i="276"/>
  <c r="BH135" i="276"/>
  <c r="BD135" i="276"/>
  <c r="BD127" i="276"/>
  <c r="BD129" i="276"/>
  <c r="BD132" i="276"/>
  <c r="BD133" i="276"/>
  <c r="AZ135" i="276"/>
  <c r="AV135" i="276"/>
  <c r="AR135" i="276"/>
  <c r="AN135" i="276"/>
  <c r="AF135" i="276"/>
  <c r="AB135" i="276"/>
  <c r="X135" i="276"/>
  <c r="BP134" i="276"/>
  <c r="BH134" i="276"/>
  <c r="AZ134" i="276"/>
  <c r="AV134" i="276"/>
  <c r="AN134" i="276"/>
  <c r="AF134" i="276"/>
  <c r="X134" i="276"/>
  <c r="BP133" i="276"/>
  <c r="AZ133" i="276"/>
  <c r="AV133" i="276"/>
  <c r="AR133" i="276"/>
  <c r="AF133" i="276"/>
  <c r="X133" i="276"/>
  <c r="BP132" i="276"/>
  <c r="BH132" i="276"/>
  <c r="BH141" i="276" s="1"/>
  <c r="AZ132" i="276"/>
  <c r="AV132" i="276"/>
  <c r="AR132" i="276"/>
  <c r="AR127" i="276"/>
  <c r="AN132" i="276"/>
  <c r="AF132" i="276"/>
  <c r="AB132" i="276"/>
  <c r="AB127" i="276"/>
  <c r="X132" i="276"/>
  <c r="BP131" i="276"/>
  <c r="BH131" i="276"/>
  <c r="AV131" i="276"/>
  <c r="AN131" i="276"/>
  <c r="AF131" i="276"/>
  <c r="X131" i="276"/>
  <c r="X127" i="276"/>
  <c r="X128" i="276"/>
  <c r="X111" i="276"/>
  <c r="X112" i="276"/>
  <c r="X121" i="276"/>
  <c r="X122" i="276"/>
  <c r="X123" i="276"/>
  <c r="BP130" i="276"/>
  <c r="BP141" i="276" s="1"/>
  <c r="BH130" i="276"/>
  <c r="AZ130" i="276"/>
  <c r="BP129" i="276"/>
  <c r="BP128" i="276"/>
  <c r="AV128" i="276"/>
  <c r="BP127" i="276"/>
  <c r="AN127" i="276"/>
  <c r="BO126" i="276"/>
  <c r="BN126" i="276"/>
  <c r="BM126" i="276"/>
  <c r="BK126" i="276"/>
  <c r="BJ126" i="276"/>
  <c r="BJ147" i="276" s="1"/>
  <c r="BI126" i="276"/>
  <c r="BI147" i="276" s="1"/>
  <c r="BG126" i="276"/>
  <c r="BG147" i="276" s="1"/>
  <c r="BF126" i="276"/>
  <c r="BC126" i="276"/>
  <c r="BB126" i="276"/>
  <c r="AY126" i="276"/>
  <c r="AX126" i="276"/>
  <c r="AW126" i="276"/>
  <c r="AT126" i="276"/>
  <c r="AT147" i="276"/>
  <c r="AS126" i="276"/>
  <c r="AP126" i="276"/>
  <c r="AO126" i="276"/>
  <c r="AM126" i="276"/>
  <c r="AK126" i="276"/>
  <c r="AH126" i="276"/>
  <c r="AH147" i="276" s="1"/>
  <c r="AG126" i="276"/>
  <c r="AG147" i="276"/>
  <c r="AE126" i="276"/>
  <c r="AD126" i="276"/>
  <c r="AC126" i="276"/>
  <c r="AA126" i="276"/>
  <c r="Z126" i="276"/>
  <c r="V126" i="276"/>
  <c r="V147" i="276" s="1"/>
  <c r="U126" i="276"/>
  <c r="T126" i="276"/>
  <c r="T147" i="276" s="1"/>
  <c r="R126" i="276"/>
  <c r="Q126" i="276"/>
  <c r="P126" i="276"/>
  <c r="N126" i="276"/>
  <c r="M126" i="276"/>
  <c r="M147" i="276" s="1"/>
  <c r="M149" i="276" s="1"/>
  <c r="J126" i="276"/>
  <c r="I126" i="276"/>
  <c r="I147" i="276" s="1"/>
  <c r="H126" i="276"/>
  <c r="G126" i="276"/>
  <c r="G147" i="276" s="1"/>
  <c r="F126" i="276"/>
  <c r="F147" i="276" s="1"/>
  <c r="E126" i="276"/>
  <c r="BP123" i="276"/>
  <c r="BL123" i="276"/>
  <c r="BD123" i="276"/>
  <c r="AV123" i="276"/>
  <c r="AR123" i="276"/>
  <c r="AN123" i="276"/>
  <c r="AF123" i="276"/>
  <c r="AB123" i="276"/>
  <c r="BP122" i="276"/>
  <c r="BL122" i="276"/>
  <c r="AJ122" i="276"/>
  <c r="AF122" i="276"/>
  <c r="AB122" i="276"/>
  <c r="BP121" i="276"/>
  <c r="BL121" i="276"/>
  <c r="BD121" i="276"/>
  <c r="AV121" i="276"/>
  <c r="AN121" i="276"/>
  <c r="AF121" i="276"/>
  <c r="BP118" i="276"/>
  <c r="BL118" i="276"/>
  <c r="AJ118" i="276"/>
  <c r="AF118" i="276"/>
  <c r="AF111" i="276"/>
  <c r="AB118" i="276"/>
  <c r="BP117" i="276"/>
  <c r="BL117" i="276"/>
  <c r="BH117" i="276"/>
  <c r="BP116" i="276"/>
  <c r="BL116" i="276"/>
  <c r="BH116" i="276"/>
  <c r="AZ116" i="276"/>
  <c r="AR116" i="276"/>
  <c r="AJ116" i="276"/>
  <c r="AB116" i="276"/>
  <c r="BP115" i="276"/>
  <c r="BL115" i="276"/>
  <c r="BH115" i="276"/>
  <c r="AZ115" i="276"/>
  <c r="AR115" i="276"/>
  <c r="AJ115" i="276"/>
  <c r="AB115" i="276"/>
  <c r="BP114" i="276"/>
  <c r="BL114" i="276"/>
  <c r="BH114" i="276"/>
  <c r="AZ114" i="276"/>
  <c r="AR114" i="276"/>
  <c r="AJ114" i="276"/>
  <c r="AJ108" i="276"/>
  <c r="AJ110" i="276"/>
  <c r="AJ112" i="276"/>
  <c r="AJ113" i="276"/>
  <c r="AB114" i="276"/>
  <c r="BP113" i="276"/>
  <c r="BL113" i="276"/>
  <c r="BH113" i="276"/>
  <c r="AZ113" i="276"/>
  <c r="AR113" i="276"/>
  <c r="AB113" i="276"/>
  <c r="BP112" i="276"/>
  <c r="BL112" i="276"/>
  <c r="BH112" i="276"/>
  <c r="AZ112" i="276"/>
  <c r="AR112" i="276"/>
  <c r="AB112" i="276"/>
  <c r="BP111" i="276"/>
  <c r="BL111" i="276"/>
  <c r="BH111" i="276"/>
  <c r="BD111" i="276"/>
  <c r="BD109" i="276"/>
  <c r="BD110" i="276"/>
  <c r="AV111" i="276"/>
  <c r="AN111" i="276"/>
  <c r="BP110" i="276"/>
  <c r="BL110" i="276"/>
  <c r="BH110" i="276"/>
  <c r="BH126" i="276" s="1"/>
  <c r="BH147" i="276" s="1"/>
  <c r="AN110" i="276"/>
  <c r="AN108" i="276"/>
  <c r="AN109" i="276"/>
  <c r="AB110" i="276"/>
  <c r="BP109" i="276"/>
  <c r="BL109" i="276"/>
  <c r="AV109" i="276"/>
  <c r="AZ108" i="276"/>
  <c r="AR108" i="276"/>
  <c r="AB108" i="276"/>
  <c r="BO106" i="276"/>
  <c r="BN106" i="276"/>
  <c r="BM106" i="276"/>
  <c r="BK106" i="276"/>
  <c r="BK95" i="276"/>
  <c r="BK79" i="276"/>
  <c r="BJ106" i="276"/>
  <c r="BI106" i="276"/>
  <c r="BI107" i="276" s="1"/>
  <c r="BG106" i="276"/>
  <c r="BF106" i="276"/>
  <c r="BF95" i="276"/>
  <c r="BF61" i="276"/>
  <c r="BF62" i="276"/>
  <c r="BF79" i="276" s="1"/>
  <c r="BF107" i="276" s="1"/>
  <c r="BF32" i="276"/>
  <c r="BF51" i="276" s="1"/>
  <c r="BF149" i="276" s="1"/>
  <c r="BF15" i="276"/>
  <c r="BE106" i="276"/>
  <c r="BC106" i="276"/>
  <c r="BB106" i="276"/>
  <c r="BA106" i="276"/>
  <c r="BA95" i="276"/>
  <c r="BA79" i="276"/>
  <c r="BA15" i="276"/>
  <c r="BA51" i="276" s="1"/>
  <c r="BA54" i="276"/>
  <c r="BA62" i="276" s="1"/>
  <c r="AY106" i="276"/>
  <c r="AX106" i="276"/>
  <c r="AW106" i="276"/>
  <c r="AU106" i="276"/>
  <c r="AU95" i="276"/>
  <c r="AU79" i="276"/>
  <c r="AU50" i="276"/>
  <c r="AU32" i="276"/>
  <c r="AU15" i="276"/>
  <c r="AT106" i="276"/>
  <c r="AS106" i="276"/>
  <c r="AQ106" i="276"/>
  <c r="AP106" i="276"/>
  <c r="AP95" i="276"/>
  <c r="AP79" i="276"/>
  <c r="AO106" i="276"/>
  <c r="AM106" i="276"/>
  <c r="AL106" i="276"/>
  <c r="AK106" i="276"/>
  <c r="AK95" i="276"/>
  <c r="AK79" i="276"/>
  <c r="AK32" i="276"/>
  <c r="AK15" i="276"/>
  <c r="AI106" i="276"/>
  <c r="AH106" i="276"/>
  <c r="AH107" i="276" s="1"/>
  <c r="AG106" i="276"/>
  <c r="AE106" i="276"/>
  <c r="AE95" i="276"/>
  <c r="AE107" i="276" s="1"/>
  <c r="AE79" i="276"/>
  <c r="AE50" i="276"/>
  <c r="AE32" i="276"/>
  <c r="AE15" i="276"/>
  <c r="AE147" i="276"/>
  <c r="AD106" i="276"/>
  <c r="AC106" i="276"/>
  <c r="AA106" i="276"/>
  <c r="AA107" i="276" s="1"/>
  <c r="Z106" i="276"/>
  <c r="Z95" i="276"/>
  <c r="Z79" i="276"/>
  <c r="Y106" i="276"/>
  <c r="W106" i="276"/>
  <c r="V106" i="276"/>
  <c r="U106" i="276"/>
  <c r="U95" i="276"/>
  <c r="U79" i="276"/>
  <c r="U32" i="276"/>
  <c r="U15" i="276"/>
  <c r="S106" i="276"/>
  <c r="R106" i="276"/>
  <c r="Q106" i="276"/>
  <c r="O106" i="276"/>
  <c r="O95" i="276"/>
  <c r="O79" i="276"/>
  <c r="O50" i="276"/>
  <c r="O32" i="276"/>
  <c r="O15" i="276"/>
  <c r="N106" i="276"/>
  <c r="M106" i="276"/>
  <c r="J106" i="276"/>
  <c r="J95" i="276"/>
  <c r="J79" i="276"/>
  <c r="J50" i="276"/>
  <c r="J15" i="276"/>
  <c r="I106" i="276"/>
  <c r="I107" i="276" s="1"/>
  <c r="H106" i="276"/>
  <c r="G106" i="276"/>
  <c r="F106" i="276"/>
  <c r="F95" i="276"/>
  <c r="F79" i="276"/>
  <c r="F15" i="276"/>
  <c r="F51" i="276"/>
  <c r="E106" i="276"/>
  <c r="BP105" i="276"/>
  <c r="BL105" i="276"/>
  <c r="BH105" i="276"/>
  <c r="BD105" i="276"/>
  <c r="AZ105" i="276"/>
  <c r="AV105" i="276"/>
  <c r="AR105" i="276"/>
  <c r="AN105" i="276"/>
  <c r="AJ105" i="276"/>
  <c r="AF105" i="276"/>
  <c r="AB105" i="276"/>
  <c r="X105" i="276"/>
  <c r="BP104" i="276"/>
  <c r="BL104" i="276"/>
  <c r="BH104" i="276"/>
  <c r="BD104" i="276"/>
  <c r="AZ104" i="276"/>
  <c r="AV104" i="276"/>
  <c r="AR104" i="276"/>
  <c r="AN104" i="276"/>
  <c r="AJ104" i="276"/>
  <c r="AF104" i="276"/>
  <c r="AB104" i="276"/>
  <c r="X104" i="276"/>
  <c r="BP103" i="276"/>
  <c r="BL103" i="276"/>
  <c r="BH103" i="276"/>
  <c r="BD103" i="276"/>
  <c r="AZ103" i="276"/>
  <c r="AV103" i="276"/>
  <c r="AR103" i="276"/>
  <c r="AN103" i="276"/>
  <c r="AJ103" i="276"/>
  <c r="AF103" i="276"/>
  <c r="AB103" i="276"/>
  <c r="X103" i="276"/>
  <c r="BP102" i="276"/>
  <c r="BL102" i="276"/>
  <c r="BH102" i="276"/>
  <c r="BD102" i="276"/>
  <c r="AZ102" i="276"/>
  <c r="AV102" i="276"/>
  <c r="AR102" i="276"/>
  <c r="AR106" i="276" s="1"/>
  <c r="AN102" i="276"/>
  <c r="AJ102" i="276"/>
  <c r="AF102" i="276"/>
  <c r="AB102" i="276"/>
  <c r="X102" i="276"/>
  <c r="BP101" i="276"/>
  <c r="BL101" i="276"/>
  <c r="BH101" i="276"/>
  <c r="BH106" i="276" s="1"/>
  <c r="BH107" i="276" s="1"/>
  <c r="AV101" i="276"/>
  <c r="BP100" i="276"/>
  <c r="BL100" i="276"/>
  <c r="BH100" i="276"/>
  <c r="BD100" i="276"/>
  <c r="AZ100" i="276"/>
  <c r="AV100" i="276"/>
  <c r="AV106" i="276" s="1"/>
  <c r="AR100" i="276"/>
  <c r="AN100" i="276"/>
  <c r="AJ100" i="276"/>
  <c r="AF100" i="276"/>
  <c r="AB100" i="276"/>
  <c r="X100" i="276"/>
  <c r="BP99" i="276"/>
  <c r="BP106" i="276"/>
  <c r="BL99" i="276"/>
  <c r="BH99" i="276"/>
  <c r="BD99" i="276"/>
  <c r="AZ99" i="276"/>
  <c r="AV99" i="276"/>
  <c r="AR99" i="276"/>
  <c r="AN99" i="276"/>
  <c r="AJ99" i="276"/>
  <c r="AF99" i="276"/>
  <c r="AB99" i="276"/>
  <c r="AB96" i="276"/>
  <c r="AB97" i="276"/>
  <c r="X99" i="276"/>
  <c r="BP97" i="276"/>
  <c r="BL97" i="276"/>
  <c r="BL96" i="276"/>
  <c r="BL106" i="276" s="1"/>
  <c r="BH97" i="276"/>
  <c r="BD97" i="276"/>
  <c r="AZ97" i="276"/>
  <c r="AV97" i="276"/>
  <c r="AR97" i="276"/>
  <c r="AN97" i="276"/>
  <c r="AF97" i="276"/>
  <c r="AF106" i="276"/>
  <c r="X97" i="276"/>
  <c r="BP96" i="276"/>
  <c r="BH96" i="276"/>
  <c r="BD96" i="276"/>
  <c r="AZ96" i="276"/>
  <c r="AZ106" i="276" s="1"/>
  <c r="AZ107" i="276" s="1"/>
  <c r="AV96" i="276"/>
  <c r="AR96" i="276"/>
  <c r="AN96" i="276"/>
  <c r="AN106" i="276" s="1"/>
  <c r="AJ96" i="276"/>
  <c r="AJ106" i="276" s="1"/>
  <c r="AF96" i="276"/>
  <c r="X96" i="276"/>
  <c r="T96" i="276"/>
  <c r="T106" i="276" s="1"/>
  <c r="P96" i="276"/>
  <c r="P106" i="276"/>
  <c r="P95" i="276"/>
  <c r="P79" i="276"/>
  <c r="L96" i="276"/>
  <c r="L106" i="276"/>
  <c r="BO95" i="276"/>
  <c r="BO107" i="276" s="1"/>
  <c r="BN95" i="276"/>
  <c r="BM95" i="276"/>
  <c r="BM107" i="276" s="1"/>
  <c r="BJ95" i="276"/>
  <c r="BI95" i="276"/>
  <c r="BG95" i="276"/>
  <c r="BE95" i="276"/>
  <c r="BC95" i="276"/>
  <c r="BC79" i="276"/>
  <c r="BC50" i="276"/>
  <c r="BC32" i="276"/>
  <c r="BC15" i="276"/>
  <c r="BB95" i="276"/>
  <c r="AY95" i="276"/>
  <c r="AX95" i="276"/>
  <c r="AX79" i="276"/>
  <c r="AW95" i="276"/>
  <c r="AT95" i="276"/>
  <c r="AT79" i="276"/>
  <c r="AS95" i="276"/>
  <c r="AQ95" i="276"/>
  <c r="AO95" i="276"/>
  <c r="AO79" i="276"/>
  <c r="AO32" i="276"/>
  <c r="AO15" i="276"/>
  <c r="AM95" i="276"/>
  <c r="AM107" i="276" s="1"/>
  <c r="AL95" i="276"/>
  <c r="AI95" i="276"/>
  <c r="AI79" i="276"/>
  <c r="AI50" i="276"/>
  <c r="AI32" i="276"/>
  <c r="AI15" i="276"/>
  <c r="AH95" i="276"/>
  <c r="AG95" i="276"/>
  <c r="AD95" i="276"/>
  <c r="AD79" i="276"/>
  <c r="AC95" i="276"/>
  <c r="AA95" i="276"/>
  <c r="Y95" i="276"/>
  <c r="Y79" i="276"/>
  <c r="Y32" i="276"/>
  <c r="Y15" i="276"/>
  <c r="W95" i="276"/>
  <c r="V95" i="276"/>
  <c r="T95" i="276"/>
  <c r="T67" i="276"/>
  <c r="T79" i="276" s="1"/>
  <c r="S95" i="276"/>
  <c r="R95" i="276"/>
  <c r="Q95" i="276"/>
  <c r="Q107" i="276" s="1"/>
  <c r="N95" i="276"/>
  <c r="M95" i="276"/>
  <c r="L95" i="276"/>
  <c r="L79" i="276"/>
  <c r="I95" i="276"/>
  <c r="H95" i="276"/>
  <c r="H79" i="276"/>
  <c r="H50" i="276"/>
  <c r="H32" i="276"/>
  <c r="H15" i="276"/>
  <c r="G95" i="276"/>
  <c r="E95" i="276"/>
  <c r="BP92" i="276"/>
  <c r="BL92" i="276"/>
  <c r="BH92" i="276"/>
  <c r="BD92" i="276"/>
  <c r="AZ92" i="276"/>
  <c r="AV92" i="276"/>
  <c r="AR92" i="276"/>
  <c r="AN92" i="276"/>
  <c r="AJ92" i="276"/>
  <c r="AF92" i="276"/>
  <c r="X92" i="276"/>
  <c r="BP91" i="276"/>
  <c r="BL91" i="276"/>
  <c r="BH91" i="276"/>
  <c r="BD91" i="276"/>
  <c r="AZ91" i="276"/>
  <c r="AR91" i="276"/>
  <c r="AN91" i="276"/>
  <c r="AJ91" i="276"/>
  <c r="AF91" i="276"/>
  <c r="AB91" i="276"/>
  <c r="X91" i="276"/>
  <c r="BP90" i="276"/>
  <c r="BL90" i="276"/>
  <c r="BH90" i="276"/>
  <c r="BD90" i="276"/>
  <c r="AZ90" i="276"/>
  <c r="AV90" i="276"/>
  <c r="AR90" i="276"/>
  <c r="AN90" i="276"/>
  <c r="AJ90" i="276"/>
  <c r="AF90" i="276"/>
  <c r="AB90" i="276"/>
  <c r="X90" i="276"/>
  <c r="BP89" i="276"/>
  <c r="BL89" i="276"/>
  <c r="BH89" i="276"/>
  <c r="BD89" i="276"/>
  <c r="AZ89" i="276"/>
  <c r="AV89" i="276"/>
  <c r="AR89" i="276"/>
  <c r="AN89" i="276"/>
  <c r="AJ89" i="276"/>
  <c r="AF89" i="276"/>
  <c r="AB89" i="276"/>
  <c r="X89" i="276"/>
  <c r="BP88" i="276"/>
  <c r="BL88" i="276"/>
  <c r="BH88" i="276"/>
  <c r="BD88" i="276"/>
  <c r="AZ88" i="276"/>
  <c r="AV88" i="276"/>
  <c r="AR88" i="276"/>
  <c r="AN88" i="276"/>
  <c r="AJ88" i="276"/>
  <c r="AF88" i="276"/>
  <c r="AB88" i="276"/>
  <c r="X88" i="276"/>
  <c r="BP85" i="276"/>
  <c r="BL85" i="276"/>
  <c r="BH85" i="276"/>
  <c r="BD85" i="276"/>
  <c r="AZ85" i="276"/>
  <c r="AV85" i="276"/>
  <c r="AR85" i="276"/>
  <c r="AN85" i="276"/>
  <c r="AJ85" i="276"/>
  <c r="AF85" i="276"/>
  <c r="AF95" i="276" s="1"/>
  <c r="AB85" i="276"/>
  <c r="BP84" i="276"/>
  <c r="BL84" i="276"/>
  <c r="BH84" i="276"/>
  <c r="AZ84" i="276"/>
  <c r="AR84" i="276"/>
  <c r="AN84" i="276"/>
  <c r="AJ84" i="276"/>
  <c r="AF84" i="276"/>
  <c r="AB84" i="276"/>
  <c r="X84" i="276"/>
  <c r="BP83" i="276"/>
  <c r="BL83" i="276"/>
  <c r="BH83" i="276"/>
  <c r="AZ83" i="276"/>
  <c r="AZ95" i="276" s="1"/>
  <c r="AV83" i="276"/>
  <c r="AR83" i="276"/>
  <c r="AN83" i="276"/>
  <c r="AJ83" i="276"/>
  <c r="AF83" i="276"/>
  <c r="BP82" i="276"/>
  <c r="BL82" i="276"/>
  <c r="BL95" i="276" s="1"/>
  <c r="BD82" i="276"/>
  <c r="AV82" i="276"/>
  <c r="AR82" i="276"/>
  <c r="AN82" i="276"/>
  <c r="AF82" i="276"/>
  <c r="AB82" i="276"/>
  <c r="X82" i="276"/>
  <c r="BP81" i="276"/>
  <c r="BP95" i="276" s="1"/>
  <c r="BL81" i="276"/>
  <c r="BH81" i="276"/>
  <c r="AN81" i="276"/>
  <c r="AJ81" i="276"/>
  <c r="AF81" i="276"/>
  <c r="AB81" i="276"/>
  <c r="X81" i="276"/>
  <c r="X80" i="276"/>
  <c r="BP80" i="276"/>
  <c r="BL80" i="276"/>
  <c r="BD80" i="276"/>
  <c r="AZ80" i="276"/>
  <c r="AV80" i="276"/>
  <c r="AR80" i="276"/>
  <c r="AR95" i="276" s="1"/>
  <c r="AN80" i="276"/>
  <c r="AJ80" i="276"/>
  <c r="AB80" i="276"/>
  <c r="BO79" i="276"/>
  <c r="BN79" i="276"/>
  <c r="BM79" i="276"/>
  <c r="BJ79" i="276"/>
  <c r="BI79" i="276"/>
  <c r="BB79" i="276"/>
  <c r="BB107" i="276" s="1"/>
  <c r="AY79" i="276"/>
  <c r="AW79" i="276"/>
  <c r="AW107" i="276" s="1"/>
  <c r="AS79" i="276"/>
  <c r="AS107" i="276" s="1"/>
  <c r="AS149" i="276" s="1"/>
  <c r="AQ79" i="276"/>
  <c r="AM79" i="276"/>
  <c r="AL79" i="276"/>
  <c r="AL107" i="276" s="1"/>
  <c r="AH79" i="276"/>
  <c r="AG79" i="276"/>
  <c r="AC79" i="276"/>
  <c r="AC107" i="276"/>
  <c r="AA79" i="276"/>
  <c r="W79" i="276"/>
  <c r="V79" i="276"/>
  <c r="V15" i="276"/>
  <c r="V51" i="276" s="1"/>
  <c r="S79" i="276"/>
  <c r="R79" i="276"/>
  <c r="Q79" i="276"/>
  <c r="N79" i="276"/>
  <c r="M79" i="276"/>
  <c r="I79" i="276"/>
  <c r="G79" i="276"/>
  <c r="G107" i="276" s="1"/>
  <c r="E79" i="276"/>
  <c r="E50" i="276"/>
  <c r="E15" i="276"/>
  <c r="BP77" i="276"/>
  <c r="BL77" i="276"/>
  <c r="BP76" i="276"/>
  <c r="BL76" i="276"/>
  <c r="BL79" i="276" s="1"/>
  <c r="BH76" i="276"/>
  <c r="BD76" i="276"/>
  <c r="BP75" i="276"/>
  <c r="BL75" i="276"/>
  <c r="BH75" i="276"/>
  <c r="BD75" i="276"/>
  <c r="AZ75" i="276"/>
  <c r="AR75" i="276"/>
  <c r="AN75" i="276"/>
  <c r="AJ75" i="276"/>
  <c r="AF75" i="276"/>
  <c r="AB75" i="276"/>
  <c r="AB65" i="276"/>
  <c r="AB66" i="276"/>
  <c r="AB67" i="276"/>
  <c r="AB68" i="276"/>
  <c r="AB71" i="276"/>
  <c r="AB72" i="276"/>
  <c r="AB73" i="276"/>
  <c r="AB74" i="276"/>
  <c r="X75" i="276"/>
  <c r="BP74" i="276"/>
  <c r="BL74" i="276"/>
  <c r="BH74" i="276"/>
  <c r="BD74" i="276"/>
  <c r="AZ74" i="276"/>
  <c r="AV74" i="276"/>
  <c r="AR74" i="276"/>
  <c r="AJ74" i="276"/>
  <c r="AF74" i="276"/>
  <c r="X74" i="276"/>
  <c r="BP73" i="276"/>
  <c r="BL73" i="276"/>
  <c r="BH73" i="276"/>
  <c r="BD73" i="276"/>
  <c r="AZ73" i="276"/>
  <c r="AV73" i="276"/>
  <c r="AR73" i="276"/>
  <c r="AN73" i="276"/>
  <c r="AJ73" i="276"/>
  <c r="AF73" i="276"/>
  <c r="X73" i="276"/>
  <c r="BP72" i="276"/>
  <c r="BL72" i="276"/>
  <c r="BH72" i="276"/>
  <c r="BD72" i="276"/>
  <c r="AZ72" i="276"/>
  <c r="AV72" i="276"/>
  <c r="AR72" i="276"/>
  <c r="AN72" i="276"/>
  <c r="AJ72" i="276"/>
  <c r="AF72" i="276"/>
  <c r="X72" i="276"/>
  <c r="BP71" i="276"/>
  <c r="BL71" i="276"/>
  <c r="BH71" i="276"/>
  <c r="BD71" i="276"/>
  <c r="AZ71" i="276"/>
  <c r="AV71" i="276"/>
  <c r="AR71" i="276"/>
  <c r="AN71" i="276"/>
  <c r="AJ71" i="276"/>
  <c r="AF71" i="276"/>
  <c r="X71" i="276"/>
  <c r="BP70" i="276"/>
  <c r="BL70" i="276"/>
  <c r="BP69" i="276"/>
  <c r="BL69" i="276"/>
  <c r="BH69" i="276"/>
  <c r="BD69" i="276"/>
  <c r="AZ69" i="276"/>
  <c r="AV69" i="276"/>
  <c r="AR69" i="276"/>
  <c r="AN69" i="276"/>
  <c r="AJ69" i="276"/>
  <c r="AF69" i="276"/>
  <c r="BP68" i="276"/>
  <c r="BL68" i="276"/>
  <c r="BH68" i="276"/>
  <c r="BD68" i="276"/>
  <c r="BD79" i="276" s="1"/>
  <c r="AZ68" i="276"/>
  <c r="AV68" i="276"/>
  <c r="AR68" i="276"/>
  <c r="AN68" i="276"/>
  <c r="AJ68" i="276"/>
  <c r="AF68" i="276"/>
  <c r="X68" i="276"/>
  <c r="BP67" i="276"/>
  <c r="BL67" i="276"/>
  <c r="BH67" i="276"/>
  <c r="BD67" i="276"/>
  <c r="AZ67" i="276"/>
  <c r="AV67" i="276"/>
  <c r="AR67" i="276"/>
  <c r="AN67" i="276"/>
  <c r="AJ67" i="276"/>
  <c r="AF67" i="276"/>
  <c r="X67" i="276"/>
  <c r="X65" i="276"/>
  <c r="X66" i="276"/>
  <c r="BP66" i="276"/>
  <c r="BL66" i="276"/>
  <c r="BH66" i="276"/>
  <c r="BH79" i="276"/>
  <c r="BD66" i="276"/>
  <c r="AZ66" i="276"/>
  <c r="AV66" i="276"/>
  <c r="AR66" i="276"/>
  <c r="AN66" i="276"/>
  <c r="AJ66" i="276"/>
  <c r="AF66" i="276"/>
  <c r="BP65" i="276"/>
  <c r="BL65" i="276"/>
  <c r="BH65" i="276"/>
  <c r="BD65" i="276"/>
  <c r="AZ65" i="276"/>
  <c r="AV65" i="276"/>
  <c r="AR65" i="276"/>
  <c r="AN65" i="276"/>
  <c r="AJ65" i="276"/>
  <c r="AF65" i="276"/>
  <c r="BP64" i="276"/>
  <c r="BL64" i="276"/>
  <c r="BH64" i="276"/>
  <c r="BD64" i="276"/>
  <c r="AZ64" i="276"/>
  <c r="AR64" i="276"/>
  <c r="AN64" i="276"/>
  <c r="AJ64" i="276"/>
  <c r="AF64" i="276"/>
  <c r="BO61" i="276"/>
  <c r="BN61" i="276"/>
  <c r="BN62" i="276" s="1"/>
  <c r="BM61" i="276"/>
  <c r="BM62" i="276"/>
  <c r="BK61" i="276"/>
  <c r="BJ61" i="276"/>
  <c r="BI61" i="276"/>
  <c r="BI54" i="276"/>
  <c r="BG61" i="276"/>
  <c r="BP59" i="276"/>
  <c r="BL59" i="276"/>
  <c r="BH59" i="276"/>
  <c r="BH61" i="276" s="1"/>
  <c r="BP58" i="276"/>
  <c r="BP57" i="276"/>
  <c r="BL58" i="276"/>
  <c r="BH58" i="276"/>
  <c r="BL57" i="276"/>
  <c r="BH57" i="276"/>
  <c r="BO56" i="276"/>
  <c r="BK56" i="276"/>
  <c r="BG56" i="276"/>
  <c r="BG50" i="276"/>
  <c r="BG32" i="276"/>
  <c r="BG15" i="276"/>
  <c r="BP55" i="276"/>
  <c r="BP56" i="276" s="1"/>
  <c r="BL55" i="276"/>
  <c r="BL56" i="276"/>
  <c r="BH55" i="276"/>
  <c r="BH56" i="276" s="1"/>
  <c r="BH62" i="276" s="1"/>
  <c r="BO54" i="276"/>
  <c r="BO62" i="276"/>
  <c r="BK54" i="276"/>
  <c r="BK50" i="276"/>
  <c r="BK32" i="276"/>
  <c r="BK15" i="276"/>
  <c r="BJ54" i="276"/>
  <c r="BE54" i="276"/>
  <c r="BE62" i="276"/>
  <c r="BP53" i="276"/>
  <c r="BL53" i="276"/>
  <c r="BH53" i="276"/>
  <c r="BD53" i="276"/>
  <c r="BP52" i="276"/>
  <c r="BP54" i="276" s="1"/>
  <c r="BL52" i="276"/>
  <c r="BL54" i="276" s="1"/>
  <c r="BH52" i="276"/>
  <c r="BD52" i="276"/>
  <c r="BO50" i="276"/>
  <c r="AY50" i="276"/>
  <c r="AQ50" i="276"/>
  <c r="AQ51" i="276" s="1"/>
  <c r="AM50" i="276"/>
  <c r="AM32" i="276"/>
  <c r="AM15" i="276"/>
  <c r="AA50" i="276"/>
  <c r="W50" i="276"/>
  <c r="T50" i="276"/>
  <c r="S50" i="276"/>
  <c r="Q50" i="276"/>
  <c r="Q51" i="276" s="1"/>
  <c r="P50" i="276"/>
  <c r="P32" i="276"/>
  <c r="P15" i="276"/>
  <c r="N50" i="276"/>
  <c r="M50" i="276"/>
  <c r="L50" i="276"/>
  <c r="I50" i="276"/>
  <c r="G50" i="276"/>
  <c r="BP43" i="276"/>
  <c r="BL43" i="276"/>
  <c r="BL33" i="276"/>
  <c r="BL36" i="276"/>
  <c r="BH43" i="276"/>
  <c r="BD43" i="276"/>
  <c r="AZ43" i="276"/>
  <c r="AV43" i="276"/>
  <c r="AV33" i="276"/>
  <c r="AV36" i="276"/>
  <c r="AV16" i="276"/>
  <c r="AV19" i="276"/>
  <c r="AV22" i="276"/>
  <c r="AV23" i="276"/>
  <c r="AV25" i="276"/>
  <c r="AV28" i="276"/>
  <c r="AV6" i="276"/>
  <c r="AV7" i="276"/>
  <c r="AV8" i="276"/>
  <c r="AV11" i="276"/>
  <c r="AV12" i="276"/>
  <c r="AR43" i="276"/>
  <c r="AN43" i="276"/>
  <c r="AJ43" i="276"/>
  <c r="AF43" i="276"/>
  <c r="BP36" i="276"/>
  <c r="BH36" i="276"/>
  <c r="BD36" i="276"/>
  <c r="BD50" i="276" s="1"/>
  <c r="AZ36" i="276"/>
  <c r="AR36" i="276"/>
  <c r="AN36" i="276"/>
  <c r="AN33" i="276"/>
  <c r="AJ36" i="276"/>
  <c r="AF36" i="276"/>
  <c r="AB36" i="276"/>
  <c r="X36" i="276"/>
  <c r="BP33" i="276"/>
  <c r="BP50" i="276" s="1"/>
  <c r="BH33" i="276"/>
  <c r="BH50" i="276" s="1"/>
  <c r="AZ33" i="276"/>
  <c r="AR33" i="276"/>
  <c r="AJ33" i="276"/>
  <c r="AF33" i="276"/>
  <c r="AF50" i="276" s="1"/>
  <c r="AB33" i="276"/>
  <c r="X33" i="276"/>
  <c r="BO32" i="276"/>
  <c r="BO15" i="276"/>
  <c r="BN32" i="276"/>
  <c r="BM32" i="276"/>
  <c r="BE32" i="276"/>
  <c r="AQ32" i="276"/>
  <c r="AG32" i="276"/>
  <c r="AC32" i="276"/>
  <c r="AA32" i="276"/>
  <c r="W32" i="276"/>
  <c r="T32" i="276"/>
  <c r="S32" i="276"/>
  <c r="Q32" i="276"/>
  <c r="L32" i="276"/>
  <c r="I32" i="276"/>
  <c r="G32" i="276"/>
  <c r="BP30" i="276"/>
  <c r="BL30" i="276"/>
  <c r="BH30" i="276"/>
  <c r="AN30" i="276"/>
  <c r="AF30" i="276"/>
  <c r="BP29" i="276"/>
  <c r="BL29" i="276"/>
  <c r="AJ29" i="276"/>
  <c r="AB29" i="276"/>
  <c r="X29" i="276"/>
  <c r="BP28" i="276"/>
  <c r="BL28" i="276"/>
  <c r="BD28" i="276"/>
  <c r="AN28" i="276"/>
  <c r="BP25" i="276"/>
  <c r="BL25" i="276"/>
  <c r="BD25" i="276"/>
  <c r="AR25" i="276"/>
  <c r="AJ25" i="276"/>
  <c r="AJ16" i="276"/>
  <c r="AJ17" i="276"/>
  <c r="AJ21" i="276"/>
  <c r="AB25" i="276"/>
  <c r="BP24" i="276"/>
  <c r="BL24" i="276"/>
  <c r="BH24" i="276"/>
  <c r="BP23" i="276"/>
  <c r="BL23" i="276"/>
  <c r="BH23" i="276"/>
  <c r="BD23" i="276"/>
  <c r="BD32" i="276"/>
  <c r="AZ23" i="276"/>
  <c r="AR23" i="276"/>
  <c r="AN23" i="276"/>
  <c r="AF23" i="276"/>
  <c r="AB23" i="276"/>
  <c r="BP22" i="276"/>
  <c r="BL22" i="276"/>
  <c r="BH22" i="276"/>
  <c r="AN22" i="276"/>
  <c r="AF22" i="276"/>
  <c r="AF16" i="276"/>
  <c r="AF17" i="276"/>
  <c r="BP21" i="276"/>
  <c r="BL21" i="276"/>
  <c r="BP20" i="276"/>
  <c r="BL20" i="276"/>
  <c r="AB20" i="276"/>
  <c r="BP19" i="276"/>
  <c r="BL19" i="276"/>
  <c r="BD19" i="276"/>
  <c r="AN19" i="276"/>
  <c r="BP18" i="276"/>
  <c r="BL18" i="276"/>
  <c r="BH18" i="276"/>
  <c r="AN18" i="276"/>
  <c r="BP17" i="276"/>
  <c r="BL17" i="276"/>
  <c r="BD17" i="276"/>
  <c r="AZ17" i="276"/>
  <c r="AR17" i="276"/>
  <c r="AN17" i="276"/>
  <c r="AB17" i="276"/>
  <c r="BP16" i="276"/>
  <c r="BL16" i="276"/>
  <c r="BH16" i="276"/>
  <c r="BD16" i="276"/>
  <c r="AZ16" i="276"/>
  <c r="AR16" i="276"/>
  <c r="AR6" i="276"/>
  <c r="AR7" i="276"/>
  <c r="AR8" i="276"/>
  <c r="AR11" i="276"/>
  <c r="AR12" i="276"/>
  <c r="AN16" i="276"/>
  <c r="AB16" i="276"/>
  <c r="X16" i="276"/>
  <c r="X32" i="276" s="1"/>
  <c r="BN15" i="276"/>
  <c r="BM15" i="276"/>
  <c r="BM51" i="276"/>
  <c r="BJ15" i="276"/>
  <c r="BJ51" i="276" s="1"/>
  <c r="BJ149" i="276" s="1"/>
  <c r="BI15" i="276"/>
  <c r="BI51" i="276"/>
  <c r="BE15" i="276"/>
  <c r="BE51" i="276" s="1"/>
  <c r="BB15" i="276"/>
  <c r="BB51" i="276"/>
  <c r="AY15" i="276"/>
  <c r="AY51" i="276" s="1"/>
  <c r="AY149" i="276" s="1"/>
  <c r="AW15" i="276"/>
  <c r="AW51" i="276"/>
  <c r="AT15" i="276"/>
  <c r="AT51" i="276" s="1"/>
  <c r="AS15" i="276"/>
  <c r="AS51" i="276"/>
  <c r="AQ15" i="276"/>
  <c r="AP15" i="276"/>
  <c r="AP51" i="276"/>
  <c r="AP147" i="276"/>
  <c r="AL15" i="276"/>
  <c r="AL51" i="276" s="1"/>
  <c r="AH15" i="276"/>
  <c r="AH51" i="276"/>
  <c r="AG15" i="276"/>
  <c r="AD15" i="276"/>
  <c r="AD51" i="276"/>
  <c r="AC15" i="276"/>
  <c r="AA15" i="276"/>
  <c r="Z15" i="276"/>
  <c r="Z51" i="276"/>
  <c r="W15" i="276"/>
  <c r="T15" i="276"/>
  <c r="S15" i="276"/>
  <c r="R15" i="276"/>
  <c r="R51" i="276" s="1"/>
  <c r="Q15" i="276"/>
  <c r="N15" i="276"/>
  <c r="N51" i="276"/>
  <c r="N149" i="276" s="1"/>
  <c r="M15" i="276"/>
  <c r="M51" i="276"/>
  <c r="L15" i="276"/>
  <c r="L51" i="276" s="1"/>
  <c r="I15" i="276"/>
  <c r="G15" i="276"/>
  <c r="BP14" i="276"/>
  <c r="BL14" i="276"/>
  <c r="BP13" i="276"/>
  <c r="BL13" i="276"/>
  <c r="BP12" i="276"/>
  <c r="BL12" i="276"/>
  <c r="AJ12" i="276"/>
  <c r="AF12" i="276"/>
  <c r="AB12" i="276"/>
  <c r="X12" i="276"/>
  <c r="BP11" i="276"/>
  <c r="BL11" i="276"/>
  <c r="BH11" i="276"/>
  <c r="AZ11" i="276"/>
  <c r="AZ6" i="276"/>
  <c r="AZ8" i="276"/>
  <c r="AN11" i="276"/>
  <c r="AJ11" i="276"/>
  <c r="AF11" i="276"/>
  <c r="AB11" i="276"/>
  <c r="X11" i="276"/>
  <c r="BP10" i="276"/>
  <c r="BP15" i="276" s="1"/>
  <c r="BL10" i="276"/>
  <c r="BH10" i="276"/>
  <c r="BP9" i="276"/>
  <c r="BL9" i="276"/>
  <c r="BH9" i="276"/>
  <c r="BP8" i="276"/>
  <c r="BL8" i="276"/>
  <c r="AJ8" i="276"/>
  <c r="AJ6" i="276"/>
  <c r="AJ7" i="276"/>
  <c r="AF8" i="276"/>
  <c r="X8" i="276"/>
  <c r="BP7" i="276"/>
  <c r="BL7" i="276"/>
  <c r="BL6" i="276"/>
  <c r="BH7" i="276"/>
  <c r="BH15" i="276" s="1"/>
  <c r="AN7" i="276"/>
  <c r="AF7" i="276"/>
  <c r="AB7" i="276"/>
  <c r="X7" i="276"/>
  <c r="BP6" i="276"/>
  <c r="BH6" i="276"/>
  <c r="AN6" i="276"/>
  <c r="AN15" i="276" s="1"/>
  <c r="AN51" i="276" s="1"/>
  <c r="AF6" i="276"/>
  <c r="AB6" i="276"/>
  <c r="X6" i="276"/>
  <c r="BP5" i="276"/>
  <c r="W76" i="263"/>
  <c r="X75" i="263"/>
  <c r="X74" i="263"/>
  <c r="W74" i="263"/>
  <c r="AK71" i="263"/>
  <c r="AI71" i="263"/>
  <c r="AG71" i="263"/>
  <c r="AE71" i="263"/>
  <c r="AC71" i="263"/>
  <c r="AA71" i="263"/>
  <c r="AK70" i="263"/>
  <c r="AK72" i="263"/>
  <c r="AJ70" i="263"/>
  <c r="AJ72" i="263"/>
  <c r="AI70" i="263"/>
  <c r="AG70" i="263"/>
  <c r="AG72" i="263"/>
  <c r="AF70" i="263"/>
  <c r="AF72" i="263"/>
  <c r="AE70" i="263"/>
  <c r="AE72" i="263"/>
  <c r="AC70" i="263"/>
  <c r="AC72" i="263"/>
  <c r="AB70" i="263"/>
  <c r="AB72" i="263"/>
  <c r="AA70" i="263"/>
  <c r="AI69" i="263"/>
  <c r="AA69" i="263"/>
  <c r="AA72" i="263"/>
  <c r="E69" i="263"/>
  <c r="D69" i="263"/>
  <c r="AK68" i="263"/>
  <c r="AJ68" i="263"/>
  <c r="AI68" i="263"/>
  <c r="AE68" i="263"/>
  <c r="AH68" i="263"/>
  <c r="AC68" i="263"/>
  <c r="AD68" i="263"/>
  <c r="AB68" i="263"/>
  <c r="AA68" i="263"/>
  <c r="AW67" i="263"/>
  <c r="AV67" i="263"/>
  <c r="AU67" i="263"/>
  <c r="AS67" i="263"/>
  <c r="AR67" i="263"/>
  <c r="AQ67" i="263"/>
  <c r="AO67" i="263"/>
  <c r="AN67" i="263"/>
  <c r="AM67" i="263"/>
  <c r="AH67" i="263"/>
  <c r="AH63" i="263"/>
  <c r="AD67" i="263"/>
  <c r="AW66" i="263"/>
  <c r="AW68" i="263"/>
  <c r="AV66" i="263"/>
  <c r="AV68" i="263"/>
  <c r="AU66" i="263"/>
  <c r="AS66" i="263"/>
  <c r="AR66" i="263"/>
  <c r="AQ66" i="263"/>
  <c r="AO66" i="263"/>
  <c r="AN66" i="263"/>
  <c r="AN68" i="263"/>
  <c r="AM66" i="263"/>
  <c r="AM68" i="263"/>
  <c r="AL66" i="263"/>
  <c r="AH66" i="263"/>
  <c r="AD66" i="263"/>
  <c r="E66" i="263"/>
  <c r="F66" i="263"/>
  <c r="F68" i="263"/>
  <c r="AK64" i="263"/>
  <c r="AJ64" i="263"/>
  <c r="AI64" i="263"/>
  <c r="AG64" i="263"/>
  <c r="AF64" i="263"/>
  <c r="AE64" i="263"/>
  <c r="AC64" i="263"/>
  <c r="AB64" i="263"/>
  <c r="AA64" i="263"/>
  <c r="AW63" i="263"/>
  <c r="AV63" i="263"/>
  <c r="AU63" i="263"/>
  <c r="AU64" i="263"/>
  <c r="AS63" i="263"/>
  <c r="AR63" i="263"/>
  <c r="AQ63" i="263"/>
  <c r="AO63" i="263"/>
  <c r="AN63" i="263"/>
  <c r="AM63" i="263"/>
  <c r="AL63" i="263"/>
  <c r="AD63" i="263"/>
  <c r="E63" i="263"/>
  <c r="D63" i="263"/>
  <c r="AW62" i="263"/>
  <c r="AV62" i="263"/>
  <c r="AU62" i="263"/>
  <c r="AS62" i="263"/>
  <c r="AR62" i="263"/>
  <c r="AQ62" i="263"/>
  <c r="AQ70" i="263"/>
  <c r="AO62" i="263"/>
  <c r="AN62" i="263"/>
  <c r="AN64" i="263"/>
  <c r="AM62" i="263"/>
  <c r="AL62" i="263"/>
  <c r="AH62" i="263"/>
  <c r="AD62" i="263"/>
  <c r="E62" i="263"/>
  <c r="D62" i="263"/>
  <c r="D58" i="263"/>
  <c r="AW61" i="263"/>
  <c r="AV61" i="263"/>
  <c r="AU61" i="263"/>
  <c r="AS61" i="263"/>
  <c r="AS57" i="263"/>
  <c r="AS69" i="263"/>
  <c r="AR61" i="263"/>
  <c r="AQ61" i="263"/>
  <c r="AQ64" i="263"/>
  <c r="AL61" i="263"/>
  <c r="AD61" i="263"/>
  <c r="AK60" i="263"/>
  <c r="AL60" i="263"/>
  <c r="AI60" i="263"/>
  <c r="AG60" i="263"/>
  <c r="AH60" i="263"/>
  <c r="AC60" i="263"/>
  <c r="AA60" i="263"/>
  <c r="AW59" i="263"/>
  <c r="AV59" i="263"/>
  <c r="AU59" i="263"/>
  <c r="AS59" i="263"/>
  <c r="AR59" i="263"/>
  <c r="AQ59" i="263"/>
  <c r="AO59" i="263"/>
  <c r="AN59" i="263"/>
  <c r="AM59" i="263"/>
  <c r="AL59" i="263"/>
  <c r="AL71" i="263"/>
  <c r="AD59" i="263"/>
  <c r="E59" i="263"/>
  <c r="D59" i="263"/>
  <c r="AW58" i="263"/>
  <c r="AV58" i="263"/>
  <c r="AU58" i="263"/>
  <c r="AU60" i="263"/>
  <c r="AS58" i="263"/>
  <c r="AR58" i="263"/>
  <c r="AQ58" i="263"/>
  <c r="AO58" i="263"/>
  <c r="AN58" i="263"/>
  <c r="AM58" i="263"/>
  <c r="AL58" i="263"/>
  <c r="AL70" i="263"/>
  <c r="AH58" i="263"/>
  <c r="AH70" i="263"/>
  <c r="AD58" i="263"/>
  <c r="E58" i="263"/>
  <c r="AW57" i="263"/>
  <c r="AV57" i="263"/>
  <c r="AU57" i="263"/>
  <c r="AR57" i="263"/>
  <c r="AQ57" i="263"/>
  <c r="AO57" i="263"/>
  <c r="AO69" i="263"/>
  <c r="AP69" i="263"/>
  <c r="AN57" i="263"/>
  <c r="AM57" i="263"/>
  <c r="AD57" i="263"/>
  <c r="AD69" i="263"/>
  <c r="AK54" i="263"/>
  <c r="AJ54" i="263"/>
  <c r="AI54" i="263"/>
  <c r="AG54" i="263"/>
  <c r="AF54" i="263"/>
  <c r="AE54" i="263"/>
  <c r="AC54" i="263"/>
  <c r="AB54" i="263"/>
  <c r="AB76" i="263"/>
  <c r="AA54" i="263"/>
  <c r="AK53" i="263"/>
  <c r="AJ53" i="263"/>
  <c r="AI53" i="263"/>
  <c r="AG53" i="263"/>
  <c r="AF53" i="263"/>
  <c r="AE53" i="263"/>
  <c r="AC53" i="263"/>
  <c r="AB53" i="263"/>
  <c r="AA53" i="263"/>
  <c r="AK52" i="263"/>
  <c r="AK74" i="263"/>
  <c r="AJ52" i="263"/>
  <c r="AJ74" i="263"/>
  <c r="AI52" i="263"/>
  <c r="AI74" i="263"/>
  <c r="AG52" i="263"/>
  <c r="AF52" i="263"/>
  <c r="AF74" i="263"/>
  <c r="AE52" i="263"/>
  <c r="AC52" i="263"/>
  <c r="AC55" i="263"/>
  <c r="AB52" i="263"/>
  <c r="AA52" i="263"/>
  <c r="AK51" i="263"/>
  <c r="AJ51" i="263"/>
  <c r="AI51" i="263"/>
  <c r="AG51" i="263"/>
  <c r="AF51" i="263"/>
  <c r="AE51" i="263"/>
  <c r="AC51" i="263"/>
  <c r="AB51" i="263"/>
  <c r="AA51" i="263"/>
  <c r="AW50" i="263"/>
  <c r="AV50" i="263"/>
  <c r="AU50" i="263"/>
  <c r="AS50" i="263"/>
  <c r="AR50" i="263"/>
  <c r="AQ50" i="263"/>
  <c r="AO50" i="263"/>
  <c r="AN50" i="263"/>
  <c r="AN54" i="263"/>
  <c r="AM50" i="263"/>
  <c r="AM54" i="263"/>
  <c r="AL50" i="263"/>
  <c r="AH50" i="263"/>
  <c r="AD50" i="263"/>
  <c r="E50" i="263"/>
  <c r="E54" i="263"/>
  <c r="D50" i="263"/>
  <c r="D54" i="263"/>
  <c r="C50" i="263"/>
  <c r="C54" i="263"/>
  <c r="C76" i="263"/>
  <c r="AW49" i="263"/>
  <c r="AV49" i="263"/>
  <c r="AU49" i="263"/>
  <c r="AS49" i="263"/>
  <c r="AR49" i="263"/>
  <c r="AQ49" i="263"/>
  <c r="AO49" i="263"/>
  <c r="AN49" i="263"/>
  <c r="AN53" i="263"/>
  <c r="AM49" i="263"/>
  <c r="AM53" i="263"/>
  <c r="AL49" i="263"/>
  <c r="AH49" i="263"/>
  <c r="AD49" i="263"/>
  <c r="E49" i="263"/>
  <c r="D49" i="263"/>
  <c r="C49" i="263"/>
  <c r="AW48" i="263"/>
  <c r="AW52" i="263"/>
  <c r="AV48" i="263"/>
  <c r="AV52" i="263"/>
  <c r="AU48" i="263"/>
  <c r="AS48" i="263"/>
  <c r="AR48" i="263"/>
  <c r="AQ48" i="263"/>
  <c r="AQ52" i="263"/>
  <c r="AO48" i="263"/>
  <c r="AN48" i="263"/>
  <c r="AN52" i="263"/>
  <c r="AN35" i="263"/>
  <c r="AM48" i="263"/>
  <c r="AL48" i="263"/>
  <c r="AH48" i="263"/>
  <c r="AD48" i="263"/>
  <c r="E48" i="263"/>
  <c r="D48" i="263"/>
  <c r="D52" i="263"/>
  <c r="C48" i="263"/>
  <c r="AK47" i="263"/>
  <c r="AI47" i="263"/>
  <c r="AG47" i="263"/>
  <c r="AH47" i="263"/>
  <c r="AC47" i="263"/>
  <c r="AB47" i="263"/>
  <c r="AA47" i="263"/>
  <c r="AW46" i="263"/>
  <c r="AV46" i="263"/>
  <c r="AU46" i="263"/>
  <c r="AS46" i="263"/>
  <c r="AS47" i="263"/>
  <c r="AR46" i="263"/>
  <c r="AQ46" i="263"/>
  <c r="AO46" i="263"/>
  <c r="AP46" i="263"/>
  <c r="AL46" i="263"/>
  <c r="AL42" i="263"/>
  <c r="AL54" i="263"/>
  <c r="AH46" i="263"/>
  <c r="AD46" i="263"/>
  <c r="AD54" i="263"/>
  <c r="AW45" i="263"/>
  <c r="AV45" i="263"/>
  <c r="AU45" i="263"/>
  <c r="AS45" i="263"/>
  <c r="AT45" i="263"/>
  <c r="AO45" i="263"/>
  <c r="AP45" i="263"/>
  <c r="AL45" i="263"/>
  <c r="AH45" i="263"/>
  <c r="AD45" i="263"/>
  <c r="E45" i="263"/>
  <c r="C45" i="263"/>
  <c r="AW44" i="263"/>
  <c r="AV44" i="263"/>
  <c r="AU44" i="263"/>
  <c r="AS44" i="263"/>
  <c r="AT44" i="263"/>
  <c r="AO44" i="263"/>
  <c r="AP44" i="263"/>
  <c r="AL44" i="263"/>
  <c r="AH44" i="263"/>
  <c r="AH52" i="263"/>
  <c r="AH74" i="263"/>
  <c r="AD44" i="263"/>
  <c r="AD52" i="263"/>
  <c r="E44" i="263"/>
  <c r="C44" i="263"/>
  <c r="AO43" i="263"/>
  <c r="AN43" i="263"/>
  <c r="AM43" i="263"/>
  <c r="AK43" i="263"/>
  <c r="AJ43" i="263"/>
  <c r="AI43" i="263"/>
  <c r="AG43" i="263"/>
  <c r="AF43" i="263"/>
  <c r="AE43" i="263"/>
  <c r="AC43" i="263"/>
  <c r="AB43" i="263"/>
  <c r="AA43" i="263"/>
  <c r="AW42" i="263"/>
  <c r="AV42" i="263"/>
  <c r="AU42" i="263"/>
  <c r="AS42" i="263"/>
  <c r="AR42" i="263"/>
  <c r="AQ42" i="263"/>
  <c r="AP42" i="263"/>
  <c r="AH42" i="263"/>
  <c r="AW41" i="263"/>
  <c r="AW53" i="263"/>
  <c r="AV41" i="263"/>
  <c r="AV43" i="263"/>
  <c r="AU41" i="263"/>
  <c r="AU53" i="263"/>
  <c r="AS41" i="263"/>
  <c r="AR41" i="263"/>
  <c r="AQ41" i="263"/>
  <c r="AP41" i="263"/>
  <c r="AL41" i="263"/>
  <c r="AH41" i="263"/>
  <c r="AD41" i="263"/>
  <c r="AD53" i="263"/>
  <c r="E41" i="263"/>
  <c r="E43" i="263"/>
  <c r="D41" i="263"/>
  <c r="D43" i="263"/>
  <c r="C41" i="263"/>
  <c r="C43" i="263"/>
  <c r="AI38" i="263"/>
  <c r="AL38" i="263"/>
  <c r="AO37" i="263"/>
  <c r="AN37" i="263"/>
  <c r="AM37" i="263"/>
  <c r="AL37" i="263"/>
  <c r="AO36" i="263"/>
  <c r="AM36" i="263"/>
  <c r="AL36" i="263"/>
  <c r="AO35" i="263"/>
  <c r="AM35" i="263"/>
  <c r="AO34" i="263"/>
  <c r="AN34" i="263"/>
  <c r="AP34" i="263"/>
  <c r="AW33" i="263"/>
  <c r="AV33" i="263"/>
  <c r="AU33" i="263"/>
  <c r="AS33" i="263"/>
  <c r="AR33" i="263"/>
  <c r="AQ33" i="263"/>
  <c r="AP33" i="263"/>
  <c r="AW32" i="263"/>
  <c r="AV32" i="263"/>
  <c r="AU32" i="263"/>
  <c r="AS32" i="263"/>
  <c r="AR32" i="263"/>
  <c r="AQ32" i="263"/>
  <c r="AP32" i="263"/>
  <c r="AW31" i="263"/>
  <c r="AW35" i="263"/>
  <c r="AV31" i="263"/>
  <c r="AV35" i="263"/>
  <c r="AU31" i="263"/>
  <c r="AS31" i="263"/>
  <c r="AS35" i="263"/>
  <c r="AR31" i="263"/>
  <c r="AQ31" i="263"/>
  <c r="AQ35" i="263"/>
  <c r="AP31" i="263"/>
  <c r="AO30" i="263"/>
  <c r="AP30" i="263"/>
  <c r="AW28" i="263"/>
  <c r="AW30" i="263"/>
  <c r="AV28" i="263"/>
  <c r="AV30" i="263"/>
  <c r="AU28" i="263"/>
  <c r="AU30" i="263"/>
  <c r="AQ28" i="263"/>
  <c r="AQ30" i="263"/>
  <c r="AT30" i="263"/>
  <c r="AP28" i="263"/>
  <c r="AM26" i="263"/>
  <c r="AP26" i="263"/>
  <c r="AI26" i="263"/>
  <c r="AL26" i="263"/>
  <c r="AW25" i="263"/>
  <c r="AV25" i="263"/>
  <c r="AU25" i="263"/>
  <c r="AS25" i="263"/>
  <c r="AR25" i="263"/>
  <c r="AQ25" i="263"/>
  <c r="AP25" i="263"/>
  <c r="AL25" i="263"/>
  <c r="AW24" i="263"/>
  <c r="AV24" i="263"/>
  <c r="AV26" i="263"/>
  <c r="AU24" i="263"/>
  <c r="AU26" i="263"/>
  <c r="AS24" i="263"/>
  <c r="AR24" i="263"/>
  <c r="AQ24" i="263"/>
  <c r="AP24" i="263"/>
  <c r="AL24" i="263"/>
  <c r="AK20" i="263"/>
  <c r="AK76" i="263"/>
  <c r="AJ20" i="263"/>
  <c r="AI20" i="263"/>
  <c r="AG20" i="263"/>
  <c r="AF20" i="263"/>
  <c r="AF76" i="263"/>
  <c r="AE20" i="263"/>
  <c r="AE76" i="263"/>
  <c r="AC20" i="263"/>
  <c r="AC76" i="263"/>
  <c r="AA20" i="263"/>
  <c r="Y20" i="263"/>
  <c r="Y76" i="263"/>
  <c r="X20" i="263"/>
  <c r="X76" i="263"/>
  <c r="N20" i="263"/>
  <c r="AK19" i="263"/>
  <c r="AK75" i="263"/>
  <c r="AJ19" i="263"/>
  <c r="AJ75" i="263"/>
  <c r="AI19" i="263"/>
  <c r="AG19" i="263"/>
  <c r="AG75" i="263"/>
  <c r="AF19" i="263"/>
  <c r="AF75" i="263"/>
  <c r="AF77" i="263"/>
  <c r="AE19" i="263"/>
  <c r="AC19" i="263"/>
  <c r="AC75" i="263"/>
  <c r="AA19" i="263"/>
  <c r="AA21" i="263"/>
  <c r="Y19" i="263"/>
  <c r="Y75" i="263"/>
  <c r="W19" i="263"/>
  <c r="W75" i="263"/>
  <c r="W77" i="263"/>
  <c r="N19" i="263"/>
  <c r="AG18" i="263"/>
  <c r="AC18" i="263"/>
  <c r="Y18" i="263"/>
  <c r="N18" i="263"/>
  <c r="AV17" i="263"/>
  <c r="AU17" i="263"/>
  <c r="AK17" i="263"/>
  <c r="AJ17" i="263"/>
  <c r="AI17" i="263"/>
  <c r="AG17" i="263"/>
  <c r="AH17" i="263"/>
  <c r="AC17" i="263"/>
  <c r="AD17" i="263"/>
  <c r="Y17" i="263"/>
  <c r="Z17" i="263"/>
  <c r="AW16" i="263"/>
  <c r="AX16" i="263"/>
  <c r="AS16" i="263"/>
  <c r="AT16" i="263"/>
  <c r="AO16" i="263"/>
  <c r="AP16" i="263"/>
  <c r="AL16" i="263"/>
  <c r="AH16" i="263"/>
  <c r="AD16" i="263"/>
  <c r="Z16" i="263"/>
  <c r="Z8" i="263"/>
  <c r="AW15" i="263"/>
  <c r="AX15" i="263"/>
  <c r="AS15" i="263"/>
  <c r="AO15" i="263"/>
  <c r="AP15" i="263"/>
  <c r="AH15" i="263"/>
  <c r="AD15" i="263"/>
  <c r="Z15" i="263"/>
  <c r="Z7" i="263"/>
  <c r="Z11" i="263"/>
  <c r="AW14" i="263"/>
  <c r="AW17" i="263"/>
  <c r="AX17" i="263"/>
  <c r="AS14" i="263"/>
  <c r="AT14" i="263"/>
  <c r="AO14" i="263"/>
  <c r="AP14" i="263"/>
  <c r="AH14" i="263"/>
  <c r="AH18" i="263"/>
  <c r="AD14" i="263"/>
  <c r="Z14" i="263"/>
  <c r="Z10" i="263"/>
  <c r="AJ13" i="263"/>
  <c r="AL13" i="263"/>
  <c r="AG13" i="263"/>
  <c r="AF13" i="263"/>
  <c r="AC13" i="263"/>
  <c r="AD13" i="263"/>
  <c r="Y13" i="263"/>
  <c r="W13" i="263"/>
  <c r="AW12" i="263"/>
  <c r="AV12" i="263"/>
  <c r="AU12" i="263"/>
  <c r="AS12" i="263"/>
  <c r="AR12" i="263"/>
  <c r="AQ12" i="263"/>
  <c r="AO12" i="263"/>
  <c r="AN12" i="263"/>
  <c r="AM12" i="263"/>
  <c r="AL12" i="263"/>
  <c r="AH12" i="263"/>
  <c r="AH20" i="263"/>
  <c r="AD12" i="263"/>
  <c r="AW11" i="263"/>
  <c r="AV11" i="263"/>
  <c r="AU11" i="263"/>
  <c r="AS11" i="263"/>
  <c r="AS13" i="263"/>
  <c r="AR11" i="263"/>
  <c r="AQ11" i="263"/>
  <c r="AO11" i="263"/>
  <c r="AN11" i="263"/>
  <c r="AM11" i="263"/>
  <c r="AL11" i="263"/>
  <c r="AH11" i="263"/>
  <c r="AH19" i="263"/>
  <c r="AD11" i="263"/>
  <c r="AW10" i="263"/>
  <c r="AV10" i="263"/>
  <c r="AV18" i="263"/>
  <c r="AU10" i="263"/>
  <c r="AU18" i="263"/>
  <c r="AS10" i="263"/>
  <c r="AR10" i="263"/>
  <c r="AQ10" i="263"/>
  <c r="AO10" i="263"/>
  <c r="AN10" i="263"/>
  <c r="AM10" i="263"/>
  <c r="AL10" i="263"/>
  <c r="AL18" i="263"/>
  <c r="AD10" i="263"/>
  <c r="AK9" i="263"/>
  <c r="AJ9" i="263"/>
  <c r="AI9" i="263"/>
  <c r="AG9" i="263"/>
  <c r="AF9" i="263"/>
  <c r="AE9" i="263"/>
  <c r="AC9" i="263"/>
  <c r="AA9" i="263"/>
  <c r="Y9" i="263"/>
  <c r="X9" i="263"/>
  <c r="W9" i="263"/>
  <c r="AW8" i="263"/>
  <c r="AV8" i="263"/>
  <c r="AV9" i="263"/>
  <c r="AU8" i="263"/>
  <c r="AS8" i="263"/>
  <c r="AR8" i="263"/>
  <c r="AQ8" i="263"/>
  <c r="AO8" i="263"/>
  <c r="AN8" i="263"/>
  <c r="AM8" i="263"/>
  <c r="AL8" i="263"/>
  <c r="AD8" i="263"/>
  <c r="AW7" i="263"/>
  <c r="AW19" i="263"/>
  <c r="AV7" i="263"/>
  <c r="AU7" i="263"/>
  <c r="AS7" i="263"/>
  <c r="AR7" i="263"/>
  <c r="AQ7" i="263"/>
  <c r="AQ19" i="263"/>
  <c r="AL7" i="263"/>
  <c r="AL19" i="263"/>
  <c r="AD7" i="263"/>
  <c r="AD19" i="263"/>
  <c r="N6" i="263"/>
  <c r="AY146" i="273"/>
  <c r="AX146" i="273"/>
  <c r="AW146" i="273"/>
  <c r="AU146" i="273"/>
  <c r="AT146" i="273"/>
  <c r="AS146" i="273"/>
  <c r="AQ146" i="273"/>
  <c r="AP146" i="273"/>
  <c r="AO146" i="273"/>
  <c r="AZ144" i="273"/>
  <c r="AV144" i="273"/>
  <c r="AR144" i="273"/>
  <c r="AR142" i="273"/>
  <c r="AR143" i="273"/>
  <c r="AZ143" i="273"/>
  <c r="AV143" i="273"/>
  <c r="AZ142" i="273"/>
  <c r="AZ146" i="273"/>
  <c r="AV142" i="273"/>
  <c r="AY141" i="273"/>
  <c r="AX141" i="273"/>
  <c r="AX147" i="273"/>
  <c r="AW141" i="273"/>
  <c r="AU141" i="273"/>
  <c r="AT141" i="273"/>
  <c r="AS141" i="273"/>
  <c r="AQ141" i="273"/>
  <c r="AP141" i="273"/>
  <c r="AO141" i="273"/>
  <c r="AZ140" i="273"/>
  <c r="AZ141" i="273"/>
  <c r="AV140" i="273"/>
  <c r="AV141" i="273"/>
  <c r="AR140" i="273"/>
  <c r="AR141" i="273"/>
  <c r="AY139" i="273"/>
  <c r="AX139" i="273"/>
  <c r="AW139" i="273"/>
  <c r="AU139" i="273"/>
  <c r="AT139" i="273"/>
  <c r="AS139" i="273"/>
  <c r="AS147" i="273"/>
  <c r="AQ139" i="273"/>
  <c r="AP139" i="273"/>
  <c r="AO139" i="273"/>
  <c r="AO147" i="273"/>
  <c r="AM139" i="273"/>
  <c r="AM147" i="273"/>
  <c r="AL139" i="273"/>
  <c r="AL147" i="273"/>
  <c r="AK139" i="273"/>
  <c r="AK147" i="273"/>
  <c r="AZ138" i="273"/>
  <c r="AV138" i="273"/>
  <c r="AR138" i="273"/>
  <c r="AN138" i="273"/>
  <c r="AZ137" i="273"/>
  <c r="AV137" i="273"/>
  <c r="AV139" i="273"/>
  <c r="AR137" i="273"/>
  <c r="AN137" i="273"/>
  <c r="AY135" i="273"/>
  <c r="AY130" i="273"/>
  <c r="AY115" i="273"/>
  <c r="AX135" i="273"/>
  <c r="AW135" i="273"/>
  <c r="AU135" i="273"/>
  <c r="AT135" i="273"/>
  <c r="AT130" i="273"/>
  <c r="AT115" i="273"/>
  <c r="AS135" i="273"/>
  <c r="AQ135" i="273"/>
  <c r="AQ130" i="273"/>
  <c r="AQ115" i="273"/>
  <c r="AP135" i="273"/>
  <c r="AO135" i="273"/>
  <c r="AO130" i="273"/>
  <c r="AO115" i="273"/>
  <c r="AM135" i="273"/>
  <c r="AL135" i="273"/>
  <c r="AL130" i="273"/>
  <c r="AL115" i="273"/>
  <c r="AK135" i="273"/>
  <c r="AI135" i="273"/>
  <c r="AI130" i="273"/>
  <c r="AI115" i="273"/>
  <c r="AH135" i="273"/>
  <c r="AG135" i="273"/>
  <c r="AG130" i="273"/>
  <c r="AG115" i="273"/>
  <c r="AE135" i="273"/>
  <c r="AD135" i="273"/>
  <c r="AD130" i="273"/>
  <c r="AD115" i="273"/>
  <c r="AC135" i="273"/>
  <c r="AA135" i="273"/>
  <c r="AA130" i="273"/>
  <c r="AA115" i="273"/>
  <c r="Z135" i="273"/>
  <c r="Y135" i="273"/>
  <c r="Y130" i="273"/>
  <c r="Y115" i="273"/>
  <c r="W135" i="273"/>
  <c r="V135" i="273"/>
  <c r="U135" i="273"/>
  <c r="S135" i="273"/>
  <c r="S136" i="273"/>
  <c r="S130" i="273"/>
  <c r="S115" i="273"/>
  <c r="R135" i="273"/>
  <c r="Q135" i="273"/>
  <c r="Q130" i="273"/>
  <c r="Q115" i="273"/>
  <c r="O135" i="273"/>
  <c r="N135" i="273"/>
  <c r="M135" i="273"/>
  <c r="K135" i="273"/>
  <c r="J135" i="273"/>
  <c r="I135" i="273"/>
  <c r="G135" i="273"/>
  <c r="F135" i="273"/>
  <c r="F130" i="273"/>
  <c r="F115" i="273"/>
  <c r="E135" i="273"/>
  <c r="AZ134" i="273"/>
  <c r="AV134" i="273"/>
  <c r="AR134" i="273"/>
  <c r="AN134" i="273"/>
  <c r="AJ134" i="273"/>
  <c r="AF134" i="273"/>
  <c r="AB134" i="273"/>
  <c r="X134" i="273"/>
  <c r="T134" i="273"/>
  <c r="L134" i="273"/>
  <c r="AZ133" i="273"/>
  <c r="AZ135" i="273"/>
  <c r="AV133" i="273"/>
  <c r="AR133" i="273"/>
  <c r="AN133" i="273"/>
  <c r="AF133" i="273"/>
  <c r="AZ132" i="273"/>
  <c r="AV132" i="273"/>
  <c r="AV131" i="273"/>
  <c r="AR132" i="273"/>
  <c r="AN132" i="273"/>
  <c r="AF132" i="273"/>
  <c r="AZ131" i="273"/>
  <c r="AR131" i="273"/>
  <c r="AN131" i="273"/>
  <c r="AJ131" i="273"/>
  <c r="AF131" i="273"/>
  <c r="AB131" i="273"/>
  <c r="AB135" i="273"/>
  <c r="X131" i="273"/>
  <c r="T131" i="273"/>
  <c r="T135" i="273"/>
  <c r="P131" i="273"/>
  <c r="P135" i="273"/>
  <c r="L131" i="273"/>
  <c r="H131" i="273"/>
  <c r="H135" i="273"/>
  <c r="AX130" i="273"/>
  <c r="AX115" i="273"/>
  <c r="AW130" i="273"/>
  <c r="AW136" i="273"/>
  <c r="AU130" i="273"/>
  <c r="AS130" i="273"/>
  <c r="AS115" i="273"/>
  <c r="AS50" i="273"/>
  <c r="AS32" i="273"/>
  <c r="AS15" i="273"/>
  <c r="AS95" i="273"/>
  <c r="AS84" i="273"/>
  <c r="AS68" i="273"/>
  <c r="AP130" i="273"/>
  <c r="AM130" i="273"/>
  <c r="AM115" i="273"/>
  <c r="AK130" i="273"/>
  <c r="AH130" i="273"/>
  <c r="AH115" i="273"/>
  <c r="AE130" i="273"/>
  <c r="AC130" i="273"/>
  <c r="AC136" i="273"/>
  <c r="AC115" i="273"/>
  <c r="Z130" i="273"/>
  <c r="W130" i="273"/>
  <c r="W115" i="273"/>
  <c r="V130" i="273"/>
  <c r="U130" i="273"/>
  <c r="U115" i="273"/>
  <c r="R130" i="273"/>
  <c r="R136" i="273"/>
  <c r="R115" i="273"/>
  <c r="O130" i="273"/>
  <c r="N130" i="273"/>
  <c r="M130" i="273"/>
  <c r="M115" i="273"/>
  <c r="M50" i="273"/>
  <c r="M32" i="273"/>
  <c r="M15" i="273"/>
  <c r="M95" i="273"/>
  <c r="M84" i="273"/>
  <c r="M68" i="273"/>
  <c r="K130" i="273"/>
  <c r="J130" i="273"/>
  <c r="I130" i="273"/>
  <c r="I115" i="273"/>
  <c r="G130" i="273"/>
  <c r="E130" i="273"/>
  <c r="AZ129" i="273"/>
  <c r="AV129" i="273"/>
  <c r="AZ128" i="273"/>
  <c r="AR128" i="273"/>
  <c r="AJ128" i="273"/>
  <c r="AF128" i="273"/>
  <c r="X128" i="273"/>
  <c r="T128" i="273"/>
  <c r="P128" i="273"/>
  <c r="L128" i="273"/>
  <c r="H128" i="273"/>
  <c r="AZ127" i="273"/>
  <c r="AV127" i="273"/>
  <c r="AV116" i="273"/>
  <c r="AV119" i="273"/>
  <c r="AV121" i="273"/>
  <c r="AV122" i="273"/>
  <c r="AV124" i="273"/>
  <c r="AV125" i="273"/>
  <c r="AR127" i="273"/>
  <c r="AN127" i="273"/>
  <c r="AJ127" i="273"/>
  <c r="AF127" i="273"/>
  <c r="AB127" i="273"/>
  <c r="X127" i="273"/>
  <c r="T127" i="273"/>
  <c r="P127" i="273"/>
  <c r="L127" i="273"/>
  <c r="H127" i="273"/>
  <c r="AZ126" i="273"/>
  <c r="AZ125" i="273"/>
  <c r="AR125" i="273"/>
  <c r="AN125" i="273"/>
  <c r="AJ125" i="273"/>
  <c r="AF125" i="273"/>
  <c r="AB125" i="273"/>
  <c r="X125" i="273"/>
  <c r="T125" i="273"/>
  <c r="P125" i="273"/>
  <c r="L125" i="273"/>
  <c r="H125" i="273"/>
  <c r="AZ124" i="273"/>
  <c r="AR124" i="273"/>
  <c r="AN124" i="273"/>
  <c r="AJ124" i="273"/>
  <c r="AJ130" i="273"/>
  <c r="AF124" i="273"/>
  <c r="AB124" i="273"/>
  <c r="X124" i="273"/>
  <c r="T124" i="273"/>
  <c r="T116" i="273"/>
  <c r="T121" i="273"/>
  <c r="T122" i="273"/>
  <c r="P124" i="273"/>
  <c r="L124" i="273"/>
  <c r="H124" i="273"/>
  <c r="AZ123" i="273"/>
  <c r="AR123" i="273"/>
  <c r="AJ123" i="273"/>
  <c r="X123" i="273"/>
  <c r="P123" i="273"/>
  <c r="H123" i="273"/>
  <c r="AZ122" i="273"/>
  <c r="AN122" i="273"/>
  <c r="AN116" i="273"/>
  <c r="AN119" i="273"/>
  <c r="AN121" i="273"/>
  <c r="AJ122" i="273"/>
  <c r="AB122" i="273"/>
  <c r="P122" i="273"/>
  <c r="H122" i="273"/>
  <c r="AZ121" i="273"/>
  <c r="AR121" i="273"/>
  <c r="AJ121" i="273"/>
  <c r="AF121" i="273"/>
  <c r="AB121" i="273"/>
  <c r="X121" i="273"/>
  <c r="P121" i="273"/>
  <c r="L121" i="273"/>
  <c r="AZ119" i="273"/>
  <c r="AF119" i="273"/>
  <c r="AF116" i="273"/>
  <c r="X119" i="273"/>
  <c r="P119" i="273"/>
  <c r="L119" i="273"/>
  <c r="H119" i="273"/>
  <c r="AZ118" i="273"/>
  <c r="AZ117" i="273"/>
  <c r="AB117" i="273"/>
  <c r="L117" i="273"/>
  <c r="AZ116" i="273"/>
  <c r="AJ116" i="273"/>
  <c r="X116" i="273"/>
  <c r="L116" i="273"/>
  <c r="AW115" i="273"/>
  <c r="AU115" i="273"/>
  <c r="AP115" i="273"/>
  <c r="AP136" i="273"/>
  <c r="AK115" i="273"/>
  <c r="AE115" i="273"/>
  <c r="Z115" i="273"/>
  <c r="Z136" i="273"/>
  <c r="V115" i="273"/>
  <c r="V136" i="273"/>
  <c r="O115" i="273"/>
  <c r="N115" i="273"/>
  <c r="N136" i="273"/>
  <c r="K115" i="273"/>
  <c r="J115" i="273"/>
  <c r="J136" i="273"/>
  <c r="G115" i="273"/>
  <c r="E115" i="273"/>
  <c r="E136" i="273"/>
  <c r="AZ112" i="273"/>
  <c r="AV112" i="273"/>
  <c r="AN112" i="273"/>
  <c r="AF112" i="273"/>
  <c r="AB112" i="273"/>
  <c r="X112" i="273"/>
  <c r="P112" i="273"/>
  <c r="AZ111" i="273"/>
  <c r="AV111" i="273"/>
  <c r="AR111" i="273"/>
  <c r="AN111" i="273"/>
  <c r="AF111" i="273"/>
  <c r="AB111" i="273"/>
  <c r="P111" i="273"/>
  <c r="L111" i="273"/>
  <c r="AZ110" i="273"/>
  <c r="AV110" i="273"/>
  <c r="AN110" i="273"/>
  <c r="AF110" i="273"/>
  <c r="AF115" i="273"/>
  <c r="X110" i="273"/>
  <c r="P110" i="273"/>
  <c r="H110" i="273"/>
  <c r="AZ107" i="273"/>
  <c r="AR107" i="273"/>
  <c r="AZ106" i="273"/>
  <c r="AV106" i="273"/>
  <c r="AR106" i="273"/>
  <c r="AN106" i="273"/>
  <c r="AN100" i="273"/>
  <c r="AF106" i="273"/>
  <c r="AB106" i="273"/>
  <c r="T106" i="273"/>
  <c r="P106" i="273"/>
  <c r="L106" i="273"/>
  <c r="AZ105" i="273"/>
  <c r="AR105" i="273"/>
  <c r="AJ105" i="273"/>
  <c r="AB105" i="273"/>
  <c r="T105" i="273"/>
  <c r="L105" i="273"/>
  <c r="AZ104" i="273"/>
  <c r="AR104" i="273"/>
  <c r="AJ104" i="273"/>
  <c r="AB104" i="273"/>
  <c r="T104" i="273"/>
  <c r="L104" i="273"/>
  <c r="AZ103" i="273"/>
  <c r="AR103" i="273"/>
  <c r="AJ103" i="273"/>
  <c r="AB103" i="273"/>
  <c r="T103" i="273"/>
  <c r="T115" i="273"/>
  <c r="L103" i="273"/>
  <c r="AZ102" i="273"/>
  <c r="AR102" i="273"/>
  <c r="AJ102" i="273"/>
  <c r="AB102" i="273"/>
  <c r="T102" i="273"/>
  <c r="L102" i="273"/>
  <c r="AZ101" i="273"/>
  <c r="AR101" i="273"/>
  <c r="AJ101" i="273"/>
  <c r="AJ99" i="273"/>
  <c r="AB101" i="273"/>
  <c r="T101" i="273"/>
  <c r="L101" i="273"/>
  <c r="H101" i="273"/>
  <c r="AZ100" i="273"/>
  <c r="AZ115" i="273"/>
  <c r="AF100" i="273"/>
  <c r="X100" i="273"/>
  <c r="H100" i="273"/>
  <c r="AZ99" i="273"/>
  <c r="X99" i="273"/>
  <c r="L99" i="273"/>
  <c r="AZ98" i="273"/>
  <c r="AV98" i="273"/>
  <c r="P98" i="273"/>
  <c r="AZ97" i="273"/>
  <c r="AR97" i="273"/>
  <c r="AB97" i="273"/>
  <c r="T97" i="273"/>
  <c r="AY95" i="273"/>
  <c r="AX95" i="273"/>
  <c r="AW95" i="273"/>
  <c r="AU95" i="273"/>
  <c r="AT95" i="273"/>
  <c r="AQ95" i="273"/>
  <c r="AP95" i="273"/>
  <c r="AO95" i="273"/>
  <c r="AM95" i="273"/>
  <c r="AL95" i="273"/>
  <c r="AL84" i="273"/>
  <c r="AL68" i="273"/>
  <c r="AK95" i="273"/>
  <c r="AI95" i="273"/>
  <c r="AH95" i="273"/>
  <c r="AG95" i="273"/>
  <c r="AG84" i="273"/>
  <c r="AG68" i="273"/>
  <c r="AE95" i="273"/>
  <c r="AE96" i="273"/>
  <c r="AD95" i="273"/>
  <c r="AC95" i="273"/>
  <c r="AA95" i="273"/>
  <c r="AA84" i="273"/>
  <c r="AA68" i="273"/>
  <c r="Z95" i="273"/>
  <c r="Y95" i="273"/>
  <c r="W95" i="273"/>
  <c r="V95" i="273"/>
  <c r="V84" i="273"/>
  <c r="V68" i="273"/>
  <c r="V50" i="273"/>
  <c r="V32" i="273"/>
  <c r="V15" i="273"/>
  <c r="U95" i="273"/>
  <c r="S95" i="273"/>
  <c r="S96" i="273"/>
  <c r="R95" i="273"/>
  <c r="Q95" i="273"/>
  <c r="Q84" i="273"/>
  <c r="Q68" i="273"/>
  <c r="Q50" i="273"/>
  <c r="Q32" i="273"/>
  <c r="Q15" i="273"/>
  <c r="O95" i="273"/>
  <c r="O96" i="273"/>
  <c r="N95" i="273"/>
  <c r="K95" i="273"/>
  <c r="K84" i="273"/>
  <c r="K68" i="273"/>
  <c r="J95" i="273"/>
  <c r="I95" i="273"/>
  <c r="G95" i="273"/>
  <c r="F95" i="273"/>
  <c r="F84" i="273"/>
  <c r="F68" i="273"/>
  <c r="E95" i="273"/>
  <c r="AZ94" i="273"/>
  <c r="AV94" i="273"/>
  <c r="AR94" i="273"/>
  <c r="AN94" i="273"/>
  <c r="AJ94" i="273"/>
  <c r="AF94" i="273"/>
  <c r="AB94" i="273"/>
  <c r="X94" i="273"/>
  <c r="T94" i="273"/>
  <c r="P94" i="273"/>
  <c r="L94" i="273"/>
  <c r="H94" i="273"/>
  <c r="AZ93" i="273"/>
  <c r="AV93" i="273"/>
  <c r="AR93" i="273"/>
  <c r="AN93" i="273"/>
  <c r="AJ93" i="273"/>
  <c r="AF93" i="273"/>
  <c r="AB93" i="273"/>
  <c r="AZ92" i="273"/>
  <c r="AV92" i="273"/>
  <c r="AR92" i="273"/>
  <c r="AN92" i="273"/>
  <c r="AJ92" i="273"/>
  <c r="AF92" i="273"/>
  <c r="AB92" i="273"/>
  <c r="AZ91" i="273"/>
  <c r="AV91" i="273"/>
  <c r="AR91" i="273"/>
  <c r="AR95" i="273"/>
  <c r="AN91" i="273"/>
  <c r="AJ91" i="273"/>
  <c r="AF91" i="273"/>
  <c r="AB91" i="273"/>
  <c r="X91" i="273"/>
  <c r="T91" i="273"/>
  <c r="T85" i="273"/>
  <c r="T88" i="273"/>
  <c r="T90" i="273"/>
  <c r="P91" i="273"/>
  <c r="L91" i="273"/>
  <c r="H91" i="273"/>
  <c r="AZ90" i="273"/>
  <c r="AR90" i="273"/>
  <c r="AN90" i="273"/>
  <c r="AJ90" i="273"/>
  <c r="AF90" i="273"/>
  <c r="AB90" i="273"/>
  <c r="X90" i="273"/>
  <c r="P90" i="273"/>
  <c r="L90" i="273"/>
  <c r="H90" i="273"/>
  <c r="AZ89" i="273"/>
  <c r="AV89" i="273"/>
  <c r="AR89" i="273"/>
  <c r="AZ88" i="273"/>
  <c r="AR88" i="273"/>
  <c r="AN88" i="273"/>
  <c r="AJ88" i="273"/>
  <c r="AF88" i="273"/>
  <c r="AB88" i="273"/>
  <c r="X88" i="273"/>
  <c r="X95" i="273"/>
  <c r="P88" i="273"/>
  <c r="L88" i="273"/>
  <c r="H88" i="273"/>
  <c r="AZ86" i="273"/>
  <c r="AV86" i="273"/>
  <c r="AR86" i="273"/>
  <c r="AN86" i="273"/>
  <c r="AJ86" i="273"/>
  <c r="AF86" i="273"/>
  <c r="AF95" i="273"/>
  <c r="AB86" i="273"/>
  <c r="X86" i="273"/>
  <c r="P86" i="273"/>
  <c r="L86" i="273"/>
  <c r="L85" i="273"/>
  <c r="H86" i="273"/>
  <c r="AZ85" i="273"/>
  <c r="AV85" i="273"/>
  <c r="AR85" i="273"/>
  <c r="AN85" i="273"/>
  <c r="AJ85" i="273"/>
  <c r="AF85" i="273"/>
  <c r="AB85" i="273"/>
  <c r="X85" i="273"/>
  <c r="P85" i="273"/>
  <c r="H85" i="273"/>
  <c r="AY84" i="273"/>
  <c r="AX84" i="273"/>
  <c r="AX68" i="273"/>
  <c r="AW84" i="273"/>
  <c r="AU84" i="273"/>
  <c r="AT84" i="273"/>
  <c r="AQ84" i="273"/>
  <c r="AP84" i="273"/>
  <c r="AO84" i="273"/>
  <c r="AM84" i="273"/>
  <c r="AK84" i="273"/>
  <c r="AI84" i="273"/>
  <c r="AH84" i="273"/>
  <c r="AH68" i="273"/>
  <c r="AE84" i="273"/>
  <c r="AD84" i="273"/>
  <c r="AC84" i="273"/>
  <c r="Z84" i="273"/>
  <c r="Y84" i="273"/>
  <c r="W84" i="273"/>
  <c r="W68" i="273"/>
  <c r="U84" i="273"/>
  <c r="S84" i="273"/>
  <c r="R84" i="273"/>
  <c r="O84" i="273"/>
  <c r="N84" i="273"/>
  <c r="J84" i="273"/>
  <c r="I84" i="273"/>
  <c r="G84" i="273"/>
  <c r="G68" i="273"/>
  <c r="E84" i="273"/>
  <c r="E96" i="273"/>
  <c r="E149" i="273"/>
  <c r="AZ81" i="273"/>
  <c r="AV81" i="273"/>
  <c r="AZ80" i="273"/>
  <c r="AR80" i="273"/>
  <c r="AN80" i="273"/>
  <c r="AJ80" i="273"/>
  <c r="AF80" i="273"/>
  <c r="AB80" i="273"/>
  <c r="AB84" i="273"/>
  <c r="AZ79" i="273"/>
  <c r="AV79" i="273"/>
  <c r="AR79" i="273"/>
  <c r="AN79" i="273"/>
  <c r="AJ79" i="273"/>
  <c r="AB79" i="273"/>
  <c r="AZ78" i="273"/>
  <c r="AV78" i="273"/>
  <c r="AV77" i="273"/>
  <c r="AR78" i="273"/>
  <c r="AN78" i="273"/>
  <c r="AJ78" i="273"/>
  <c r="AF78" i="273"/>
  <c r="AB78" i="273"/>
  <c r="AZ77" i="273"/>
  <c r="AR77" i="273"/>
  <c r="AJ77" i="273"/>
  <c r="AB77" i="273"/>
  <c r="AZ74" i="273"/>
  <c r="T74" i="273"/>
  <c r="P74" i="273"/>
  <c r="L74" i="273"/>
  <c r="H74" i="273"/>
  <c r="AZ73" i="273"/>
  <c r="AR73" i="273"/>
  <c r="AJ73" i="273"/>
  <c r="AB73" i="273"/>
  <c r="X73" i="273"/>
  <c r="T73" i="273"/>
  <c r="P73" i="273"/>
  <c r="L73" i="273"/>
  <c r="H73" i="273"/>
  <c r="H84" i="273"/>
  <c r="AZ72" i="273"/>
  <c r="AR72" i="273"/>
  <c r="AN72" i="273"/>
  <c r="AJ72" i="273"/>
  <c r="AF72" i="273"/>
  <c r="AB72" i="273"/>
  <c r="X72" i="273"/>
  <c r="T72" i="273"/>
  <c r="P72" i="273"/>
  <c r="H72" i="273"/>
  <c r="AZ71" i="273"/>
  <c r="AN71" i="273"/>
  <c r="AB71" i="273"/>
  <c r="X71" i="273"/>
  <c r="X69" i="273"/>
  <c r="T71" i="273"/>
  <c r="T84" i="273"/>
  <c r="P71" i="273"/>
  <c r="P84" i="273"/>
  <c r="L71" i="273"/>
  <c r="H71" i="273"/>
  <c r="AZ70" i="273"/>
  <c r="AJ70" i="273"/>
  <c r="AZ69" i="273"/>
  <c r="AR69" i="273"/>
  <c r="AN69" i="273"/>
  <c r="AN84" i="273"/>
  <c r="AJ69" i="273"/>
  <c r="AF69" i="273"/>
  <c r="AB69" i="273"/>
  <c r="T69" i="273"/>
  <c r="P69" i="273"/>
  <c r="L69" i="273"/>
  <c r="H69" i="273"/>
  <c r="AY68" i="273"/>
  <c r="AY96" i="273"/>
  <c r="AW68" i="273"/>
  <c r="AU68" i="273"/>
  <c r="AT68" i="273"/>
  <c r="AT96" i="273"/>
  <c r="AQ68" i="273"/>
  <c r="AP68" i="273"/>
  <c r="AO68" i="273"/>
  <c r="AM68" i="273"/>
  <c r="AK68" i="273"/>
  <c r="AK96" i="273"/>
  <c r="AI68" i="273"/>
  <c r="AI96" i="273"/>
  <c r="AE68" i="273"/>
  <c r="AD68" i="273"/>
  <c r="AC68" i="273"/>
  <c r="AC96" i="273"/>
  <c r="Z68" i="273"/>
  <c r="Y68" i="273"/>
  <c r="U68" i="273"/>
  <c r="S68" i="273"/>
  <c r="R68" i="273"/>
  <c r="O68" i="273"/>
  <c r="N68" i="273"/>
  <c r="J68" i="273"/>
  <c r="I68" i="273"/>
  <c r="I96" i="273"/>
  <c r="E68" i="273"/>
  <c r="AZ67" i="273"/>
  <c r="AR67" i="273"/>
  <c r="AR68" i="273"/>
  <c r="AJ67" i="273"/>
  <c r="AJ53" i="273"/>
  <c r="AJ54" i="273"/>
  <c r="AJ55" i="273"/>
  <c r="AJ56" i="273"/>
  <c r="AJ57" i="273"/>
  <c r="AJ60" i="273"/>
  <c r="AJ61" i="273"/>
  <c r="AJ62" i="273"/>
  <c r="AJ63" i="273"/>
  <c r="AJ64" i="273"/>
  <c r="AJ65" i="273"/>
  <c r="AZ66" i="273"/>
  <c r="AZ65" i="273"/>
  <c r="AZ53" i="273"/>
  <c r="AZ54" i="273"/>
  <c r="AZ55" i="273"/>
  <c r="AZ56" i="273"/>
  <c r="AZ57" i="273"/>
  <c r="AZ58" i="273"/>
  <c r="AZ59" i="273"/>
  <c r="AZ60" i="273"/>
  <c r="AZ61" i="273"/>
  <c r="AZ62" i="273"/>
  <c r="AZ63" i="273"/>
  <c r="AZ64" i="273"/>
  <c r="AR65" i="273"/>
  <c r="AN65" i="273"/>
  <c r="AF65" i="273"/>
  <c r="AB65" i="273"/>
  <c r="X65" i="273"/>
  <c r="T65" i="273"/>
  <c r="T68" i="273"/>
  <c r="P65" i="273"/>
  <c r="AV64" i="273"/>
  <c r="AR64" i="273"/>
  <c r="AN64" i="273"/>
  <c r="AB64" i="273"/>
  <c r="AV63" i="273"/>
  <c r="AR63" i="273"/>
  <c r="AN63" i="273"/>
  <c r="AB63" i="273"/>
  <c r="AV62" i="273"/>
  <c r="AR62" i="273"/>
  <c r="AN62" i="273"/>
  <c r="AB62" i="273"/>
  <c r="AV61" i="273"/>
  <c r="AR61" i="273"/>
  <c r="AN61" i="273"/>
  <c r="AB61" i="273"/>
  <c r="AV60" i="273"/>
  <c r="AR60" i="273"/>
  <c r="AN60" i="273"/>
  <c r="AB60" i="273"/>
  <c r="AV59" i="273"/>
  <c r="AV58" i="273"/>
  <c r="AV57" i="273"/>
  <c r="AF57" i="273"/>
  <c r="AB57" i="273"/>
  <c r="X57" i="273"/>
  <c r="T57" i="273"/>
  <c r="P57" i="273"/>
  <c r="L57" i="273"/>
  <c r="H57" i="273"/>
  <c r="AV56" i="273"/>
  <c r="AF56" i="273"/>
  <c r="AB56" i="273"/>
  <c r="X56" i="273"/>
  <c r="T56" i="273"/>
  <c r="P56" i="273"/>
  <c r="L56" i="273"/>
  <c r="H56" i="273"/>
  <c r="AV55" i="273"/>
  <c r="AF55" i="273"/>
  <c r="AB55" i="273"/>
  <c r="X55" i="273"/>
  <c r="T55" i="273"/>
  <c r="P55" i="273"/>
  <c r="L55" i="273"/>
  <c r="H55" i="273"/>
  <c r="AV54" i="273"/>
  <c r="AF54" i="273"/>
  <c r="AF53" i="273"/>
  <c r="AB54" i="273"/>
  <c r="X54" i="273"/>
  <c r="T54" i="273"/>
  <c r="P54" i="273"/>
  <c r="L54" i="273"/>
  <c r="H54" i="273"/>
  <c r="AV53" i="273"/>
  <c r="AB53" i="273"/>
  <c r="X53" i="273"/>
  <c r="T53" i="273"/>
  <c r="P53" i="273"/>
  <c r="L53" i="273"/>
  <c r="H53" i="273"/>
  <c r="AY50" i="273"/>
  <c r="AX50" i="273"/>
  <c r="AW50" i="273"/>
  <c r="AU50" i="273"/>
  <c r="AU32" i="273"/>
  <c r="AU15" i="273"/>
  <c r="AT50" i="273"/>
  <c r="AQ50" i="273"/>
  <c r="AP50" i="273"/>
  <c r="AP32" i="273"/>
  <c r="AP15" i="273"/>
  <c r="AO50" i="273"/>
  <c r="AM50" i="273"/>
  <c r="AM32" i="273"/>
  <c r="AM15" i="273"/>
  <c r="AL50" i="273"/>
  <c r="AK50" i="273"/>
  <c r="AK32" i="273"/>
  <c r="AK15" i="273"/>
  <c r="AI50" i="273"/>
  <c r="AH50" i="273"/>
  <c r="AH32" i="273"/>
  <c r="AH15" i="273"/>
  <c r="AG50" i="273"/>
  <c r="AE50" i="273"/>
  <c r="AE32" i="273"/>
  <c r="AE15" i="273"/>
  <c r="AD50" i="273"/>
  <c r="AC50" i="273"/>
  <c r="AC32" i="273"/>
  <c r="AC15" i="273"/>
  <c r="AA50" i="273"/>
  <c r="Z50" i="273"/>
  <c r="Z32" i="273"/>
  <c r="Z15" i="273"/>
  <c r="Y50" i="273"/>
  <c r="W50" i="273"/>
  <c r="W32" i="273"/>
  <c r="W15" i="273"/>
  <c r="U50" i="273"/>
  <c r="U32" i="273"/>
  <c r="U15" i="273"/>
  <c r="S50" i="273"/>
  <c r="R50" i="273"/>
  <c r="R32" i="273"/>
  <c r="R15" i="273"/>
  <c r="O50" i="273"/>
  <c r="O32" i="273"/>
  <c r="O15" i="273"/>
  <c r="N50" i="273"/>
  <c r="K50" i="273"/>
  <c r="AZ43" i="273"/>
  <c r="AZ33" i="273"/>
  <c r="AZ36" i="273"/>
  <c r="AV43" i="273"/>
  <c r="AR43" i="273"/>
  <c r="AN43" i="273"/>
  <c r="AJ43" i="273"/>
  <c r="AF43" i="273"/>
  <c r="AB43" i="273"/>
  <c r="X43" i="273"/>
  <c r="T43" i="273"/>
  <c r="T33" i="273"/>
  <c r="T36" i="273"/>
  <c r="P43" i="273"/>
  <c r="AV36" i="273"/>
  <c r="AV50" i="273"/>
  <c r="AR36" i="273"/>
  <c r="AR33" i="273"/>
  <c r="AN36" i="273"/>
  <c r="AJ36" i="273"/>
  <c r="AJ33" i="273"/>
  <c r="AF36" i="273"/>
  <c r="AF33" i="273"/>
  <c r="AB36" i="273"/>
  <c r="AB50" i="273"/>
  <c r="X36" i="273"/>
  <c r="P36" i="273"/>
  <c r="P33" i="273"/>
  <c r="L36" i="273"/>
  <c r="AN33" i="273"/>
  <c r="AB33" i="273"/>
  <c r="X33" i="273"/>
  <c r="L33" i="273"/>
  <c r="L50" i="273"/>
  <c r="AY32" i="273"/>
  <c r="AX32" i="273"/>
  <c r="AW32" i="273"/>
  <c r="AW15" i="273"/>
  <c r="AT32" i="273"/>
  <c r="AT15" i="273"/>
  <c r="AQ32" i="273"/>
  <c r="AQ51" i="273"/>
  <c r="AO32" i="273"/>
  <c r="AO51" i="273"/>
  <c r="AO15" i="273"/>
  <c r="AL32" i="273"/>
  <c r="AI32" i="273"/>
  <c r="AG32" i="273"/>
  <c r="AD32" i="273"/>
  <c r="AD15" i="273"/>
  <c r="AA32" i="273"/>
  <c r="AA15" i="273"/>
  <c r="Y32" i="273"/>
  <c r="Y15" i="273"/>
  <c r="S32" i="273"/>
  <c r="S15" i="273"/>
  <c r="N32" i="273"/>
  <c r="N15" i="273"/>
  <c r="K32" i="273"/>
  <c r="K51" i="273"/>
  <c r="AZ30" i="273"/>
  <c r="AR30" i="273"/>
  <c r="AN30" i="273"/>
  <c r="AJ30" i="273"/>
  <c r="X30" i="273"/>
  <c r="P30" i="273"/>
  <c r="AZ29" i="273"/>
  <c r="AV29" i="273"/>
  <c r="AV32" i="273"/>
  <c r="T29" i="273"/>
  <c r="T32" i="273"/>
  <c r="P29" i="273"/>
  <c r="P16" i="273"/>
  <c r="P17" i="273"/>
  <c r="P21" i="273"/>
  <c r="P22" i="273"/>
  <c r="P25" i="273"/>
  <c r="AZ28" i="273"/>
  <c r="AF28" i="273"/>
  <c r="AZ25" i="273"/>
  <c r="AV25" i="273"/>
  <c r="AN25" i="273"/>
  <c r="AF25" i="273"/>
  <c r="AB25" i="273"/>
  <c r="X25" i="273"/>
  <c r="AZ24" i="273"/>
  <c r="AR24" i="273"/>
  <c r="AR32" i="273"/>
  <c r="AZ23" i="273"/>
  <c r="AV23" i="273"/>
  <c r="AR23" i="273"/>
  <c r="AN23" i="273"/>
  <c r="AJ23" i="273"/>
  <c r="AJ16" i="273"/>
  <c r="AJ17" i="273"/>
  <c r="AF23" i="273"/>
  <c r="AF32" i="273"/>
  <c r="AB23" i="273"/>
  <c r="X23" i="273"/>
  <c r="AZ22" i="273"/>
  <c r="AR22" i="273"/>
  <c r="AN22" i="273"/>
  <c r="AF22" i="273"/>
  <c r="X22" i="273"/>
  <c r="AZ21" i="273"/>
  <c r="AV21" i="273"/>
  <c r="T21" i="273"/>
  <c r="AZ20" i="273"/>
  <c r="AZ19" i="273"/>
  <c r="AN19" i="273"/>
  <c r="AF19" i="273"/>
  <c r="L19" i="273"/>
  <c r="AZ18" i="273"/>
  <c r="AN18" i="273"/>
  <c r="AF18" i="273"/>
  <c r="AZ17" i="273"/>
  <c r="AV17" i="273"/>
  <c r="AN17" i="273"/>
  <c r="AB17" i="273"/>
  <c r="L17" i="273"/>
  <c r="AZ16" i="273"/>
  <c r="AV16" i="273"/>
  <c r="AR16" i="273"/>
  <c r="AN16" i="273"/>
  <c r="AF16" i="273"/>
  <c r="AB16" i="273"/>
  <c r="X16" i="273"/>
  <c r="L16" i="273"/>
  <c r="AY15" i="273"/>
  <c r="AX15" i="273"/>
  <c r="AQ15" i="273"/>
  <c r="AL15" i="273"/>
  <c r="AI15" i="273"/>
  <c r="AG15" i="273"/>
  <c r="AZ14" i="273"/>
  <c r="AV14" i="273"/>
  <c r="AZ13" i="273"/>
  <c r="AV13" i="273"/>
  <c r="AZ12" i="273"/>
  <c r="AV12" i="273"/>
  <c r="AJ12" i="273"/>
  <c r="AF12" i="273"/>
  <c r="AB12" i="273"/>
  <c r="T12" i="273"/>
  <c r="P12" i="273"/>
  <c r="AZ11" i="273"/>
  <c r="AV11" i="273"/>
  <c r="AR11" i="273"/>
  <c r="AN11" i="273"/>
  <c r="AF11" i="273"/>
  <c r="AB11" i="273"/>
  <c r="X11" i="273"/>
  <c r="X15" i="273"/>
  <c r="T11" i="273"/>
  <c r="P11" i="273"/>
  <c r="AZ10" i="273"/>
  <c r="AV10" i="273"/>
  <c r="AZ9" i="273"/>
  <c r="AV9" i="273"/>
  <c r="AZ8" i="273"/>
  <c r="AJ8" i="273"/>
  <c r="AJ15" i="273"/>
  <c r="AF8" i="273"/>
  <c r="AB8" i="273"/>
  <c r="T8" i="273"/>
  <c r="P8" i="273"/>
  <c r="AZ7" i="273"/>
  <c r="AV7" i="273"/>
  <c r="AR7" i="273"/>
  <c r="AN7" i="273"/>
  <c r="AF7" i="273"/>
  <c r="AB7" i="273"/>
  <c r="AB15" i="273"/>
  <c r="X7" i="273"/>
  <c r="T7" i="273"/>
  <c r="P7" i="273"/>
  <c r="AZ6" i="273"/>
  <c r="AV6" i="273"/>
  <c r="AR6" i="273"/>
  <c r="AR15" i="273"/>
  <c r="AN6" i="273"/>
  <c r="AJ6" i="273"/>
  <c r="AF6" i="273"/>
  <c r="AB6" i="273"/>
  <c r="X6" i="273"/>
  <c r="T6" i="273"/>
  <c r="P6" i="273"/>
  <c r="AZ5" i="273"/>
  <c r="P5" i="273"/>
  <c r="R36" i="253"/>
  <c r="Q36" i="253"/>
  <c r="P36" i="253"/>
  <c r="O36" i="253"/>
  <c r="N36" i="253"/>
  <c r="M36" i="253"/>
  <c r="L36" i="253"/>
  <c r="K36" i="253"/>
  <c r="J36" i="253"/>
  <c r="I36" i="253"/>
  <c r="H36" i="253"/>
  <c r="R35" i="253"/>
  <c r="Q35" i="253"/>
  <c r="P35" i="253"/>
  <c r="O35" i="253"/>
  <c r="N35" i="253"/>
  <c r="M35" i="253"/>
  <c r="L35" i="253"/>
  <c r="K35" i="253"/>
  <c r="J35" i="253"/>
  <c r="I35" i="253"/>
  <c r="H35" i="253"/>
  <c r="W28" i="253"/>
  <c r="V28" i="253"/>
  <c r="U28" i="253"/>
  <c r="T28" i="253"/>
  <c r="T8" i="253"/>
  <c r="T34" i="253"/>
  <c r="S28" i="253"/>
  <c r="R28" i="253"/>
  <c r="Q28" i="253"/>
  <c r="Q34" i="253"/>
  <c r="P28" i="253"/>
  <c r="O28" i="253"/>
  <c r="N28" i="253"/>
  <c r="M28" i="253"/>
  <c r="L28" i="253"/>
  <c r="K28" i="253"/>
  <c r="J28" i="253"/>
  <c r="I28" i="253"/>
  <c r="I34" i="253"/>
  <c r="H28" i="253"/>
  <c r="W27" i="253"/>
  <c r="V27" i="253"/>
  <c r="U27" i="253"/>
  <c r="T27" i="253"/>
  <c r="S27" i="253"/>
  <c r="R27" i="253"/>
  <c r="Q27" i="253"/>
  <c r="Q33" i="253"/>
  <c r="P27" i="253"/>
  <c r="O27" i="253"/>
  <c r="N27" i="253"/>
  <c r="M27" i="253"/>
  <c r="L27" i="253"/>
  <c r="K27" i="253"/>
  <c r="J27" i="253"/>
  <c r="I27" i="253"/>
  <c r="I33" i="253"/>
  <c r="H27" i="253"/>
  <c r="W26" i="253"/>
  <c r="W29" i="253"/>
  <c r="V26" i="253"/>
  <c r="U26" i="253"/>
  <c r="U29" i="253"/>
  <c r="T26" i="253"/>
  <c r="T29" i="253"/>
  <c r="S26" i="253"/>
  <c r="S29" i="253"/>
  <c r="R26" i="253"/>
  <c r="R29" i="253"/>
  <c r="Q26" i="253"/>
  <c r="Q29" i="253"/>
  <c r="P26" i="253"/>
  <c r="O26" i="253"/>
  <c r="N26" i="253"/>
  <c r="N29" i="253"/>
  <c r="M26" i="253"/>
  <c r="L26" i="253"/>
  <c r="K26" i="253"/>
  <c r="K29" i="253"/>
  <c r="J26" i="253"/>
  <c r="J29" i="253"/>
  <c r="I26" i="253"/>
  <c r="H26" i="253"/>
  <c r="W18" i="253"/>
  <c r="V18" i="253"/>
  <c r="V16" i="253"/>
  <c r="V17" i="253"/>
  <c r="U18" i="253"/>
  <c r="T18" i="253"/>
  <c r="T33" i="253"/>
  <c r="S18" i="253"/>
  <c r="R18" i="253"/>
  <c r="R33" i="253"/>
  <c r="Q18" i="253"/>
  <c r="P18" i="253"/>
  <c r="O18" i="253"/>
  <c r="N18" i="253"/>
  <c r="N33" i="253"/>
  <c r="M18" i="253"/>
  <c r="L18" i="253"/>
  <c r="L33" i="253"/>
  <c r="K18" i="253"/>
  <c r="K33" i="253"/>
  <c r="J18" i="253"/>
  <c r="J33" i="253"/>
  <c r="I18" i="253"/>
  <c r="H18" i="253"/>
  <c r="W17" i="253"/>
  <c r="U17" i="253"/>
  <c r="T17" i="253"/>
  <c r="S17" i="253"/>
  <c r="S32" i="253"/>
  <c r="R17" i="253"/>
  <c r="Q17" i="253"/>
  <c r="P17" i="253"/>
  <c r="O17" i="253"/>
  <c r="N17" i="253"/>
  <c r="M17" i="253"/>
  <c r="L17" i="253"/>
  <c r="K17" i="253"/>
  <c r="K32" i="253"/>
  <c r="J17" i="253"/>
  <c r="I17" i="253"/>
  <c r="H17" i="253"/>
  <c r="W16" i="253"/>
  <c r="U16" i="253"/>
  <c r="U6" i="253"/>
  <c r="T16" i="253"/>
  <c r="S16" i="253"/>
  <c r="S19" i="253"/>
  <c r="R16" i="253"/>
  <c r="R19" i="253"/>
  <c r="Q16" i="253"/>
  <c r="P16" i="253"/>
  <c r="P19" i="253"/>
  <c r="O16" i="253"/>
  <c r="N16" i="253"/>
  <c r="N19" i="253"/>
  <c r="M16" i="253"/>
  <c r="L16" i="253"/>
  <c r="K16" i="253"/>
  <c r="K19" i="253"/>
  <c r="J16" i="253"/>
  <c r="I16" i="253"/>
  <c r="H16" i="253"/>
  <c r="H19" i="253"/>
  <c r="W13" i="253"/>
  <c r="W36" i="253"/>
  <c r="V13" i="253"/>
  <c r="V36" i="253"/>
  <c r="U13" i="253"/>
  <c r="U36" i="253"/>
  <c r="T13" i="253"/>
  <c r="T36" i="253"/>
  <c r="S13" i="253"/>
  <c r="S36" i="253"/>
  <c r="W12" i="253"/>
  <c r="W35" i="253"/>
  <c r="V12" i="253"/>
  <c r="V35" i="253"/>
  <c r="U12" i="253"/>
  <c r="U35" i="253"/>
  <c r="T12" i="253"/>
  <c r="T35" i="253"/>
  <c r="S12" i="253"/>
  <c r="S35" i="253"/>
  <c r="W11" i="253"/>
  <c r="V11" i="253"/>
  <c r="V14" i="253"/>
  <c r="U11" i="253"/>
  <c r="T11" i="253"/>
  <c r="S11" i="253"/>
  <c r="W8" i="253"/>
  <c r="V8" i="253"/>
  <c r="V34" i="253"/>
  <c r="U8" i="253"/>
  <c r="S8" i="253"/>
  <c r="S34" i="253"/>
  <c r="R8" i="253"/>
  <c r="R34" i="253"/>
  <c r="Q8" i="253"/>
  <c r="P8" i="253"/>
  <c r="O8" i="253"/>
  <c r="N8" i="253"/>
  <c r="M8" i="253"/>
  <c r="L8" i="253"/>
  <c r="L34" i="253"/>
  <c r="K8" i="253"/>
  <c r="K34" i="253"/>
  <c r="J8" i="253"/>
  <c r="J34" i="253"/>
  <c r="I8" i="253"/>
  <c r="H8" i="253"/>
  <c r="H34" i="253"/>
  <c r="W7" i="253"/>
  <c r="V7" i="253"/>
  <c r="U7" i="253"/>
  <c r="T7" i="253"/>
  <c r="S7" i="253"/>
  <c r="R7" i="253"/>
  <c r="Q7" i="253"/>
  <c r="P7" i="253"/>
  <c r="P32" i="253"/>
  <c r="O7" i="253"/>
  <c r="O32" i="253"/>
  <c r="N7" i="253"/>
  <c r="M7" i="253"/>
  <c r="L7" i="253"/>
  <c r="L32" i="253"/>
  <c r="K7" i="253"/>
  <c r="J7" i="253"/>
  <c r="J32" i="253"/>
  <c r="I7" i="253"/>
  <c r="I32" i="253"/>
  <c r="H7" i="253"/>
  <c r="W6" i="253"/>
  <c r="V6" i="253"/>
  <c r="T6" i="253"/>
  <c r="S6" i="253"/>
  <c r="R6" i="253"/>
  <c r="Q6" i="253"/>
  <c r="Q9" i="253"/>
  <c r="P6" i="253"/>
  <c r="O6" i="253"/>
  <c r="O31" i="253"/>
  <c r="N6" i="253"/>
  <c r="M6" i="253"/>
  <c r="L6" i="253"/>
  <c r="K6" i="253"/>
  <c r="J6" i="253"/>
  <c r="I6" i="253"/>
  <c r="I31" i="253"/>
  <c r="H6" i="253"/>
  <c r="W93" i="275"/>
  <c r="V93" i="275"/>
  <c r="U93" i="275"/>
  <c r="T93" i="275"/>
  <c r="S93" i="275"/>
  <c r="W88" i="275"/>
  <c r="W84" i="275"/>
  <c r="V88" i="275"/>
  <c r="U88" i="275"/>
  <c r="T88" i="275"/>
  <c r="S88" i="275"/>
  <c r="V84" i="275"/>
  <c r="U84" i="275"/>
  <c r="T84" i="275"/>
  <c r="S84" i="275"/>
  <c r="W78" i="275"/>
  <c r="V78" i="275"/>
  <c r="U78" i="275"/>
  <c r="T78" i="275"/>
  <c r="S78" i="275"/>
  <c r="R78" i="275"/>
  <c r="R73" i="275"/>
  <c r="R64" i="275"/>
  <c r="R79" i="275"/>
  <c r="Q78" i="275"/>
  <c r="Q73" i="275"/>
  <c r="Q64" i="275"/>
  <c r="P78" i="275"/>
  <c r="O78" i="275"/>
  <c r="N78" i="275"/>
  <c r="M78" i="275"/>
  <c r="L78" i="275"/>
  <c r="K78" i="275"/>
  <c r="K79" i="275"/>
  <c r="J78" i="275"/>
  <c r="I78" i="275"/>
  <c r="H78" i="275"/>
  <c r="W73" i="275"/>
  <c r="W64" i="275"/>
  <c r="W79" i="275"/>
  <c r="V73" i="275"/>
  <c r="U73" i="275"/>
  <c r="T73" i="275"/>
  <c r="S73" i="275"/>
  <c r="S79" i="275"/>
  <c r="S64" i="275"/>
  <c r="P73" i="275"/>
  <c r="O73" i="275"/>
  <c r="N73" i="275"/>
  <c r="M73" i="275"/>
  <c r="L73" i="275"/>
  <c r="L79" i="275"/>
  <c r="K73" i="275"/>
  <c r="J73" i="275"/>
  <c r="I73" i="275"/>
  <c r="H73" i="275"/>
  <c r="V64" i="275"/>
  <c r="U64" i="275"/>
  <c r="T64" i="275"/>
  <c r="P64" i="275"/>
  <c r="P79" i="275"/>
  <c r="O64" i="275"/>
  <c r="N64" i="275"/>
  <c r="M64" i="275"/>
  <c r="L64" i="275"/>
  <c r="K64" i="275"/>
  <c r="J64" i="275"/>
  <c r="I64" i="275"/>
  <c r="H64" i="275"/>
  <c r="H79" i="275"/>
  <c r="W56" i="275"/>
  <c r="V56" i="275"/>
  <c r="U56" i="275"/>
  <c r="T56" i="275"/>
  <c r="S56" i="275"/>
  <c r="R56" i="275"/>
  <c r="R49" i="275"/>
  <c r="R36" i="275"/>
  <c r="Q56" i="275"/>
  <c r="Q57" i="275"/>
  <c r="Q49" i="275"/>
  <c r="Q36" i="275"/>
  <c r="P56" i="275"/>
  <c r="O56" i="275"/>
  <c r="N56" i="275"/>
  <c r="M56" i="275"/>
  <c r="L56" i="275"/>
  <c r="K56" i="275"/>
  <c r="J56" i="275"/>
  <c r="I56" i="275"/>
  <c r="H56" i="275"/>
  <c r="W49" i="275"/>
  <c r="W57" i="275"/>
  <c r="W36" i="275"/>
  <c r="V49" i="275"/>
  <c r="U49" i="275"/>
  <c r="T49" i="275"/>
  <c r="T36" i="275"/>
  <c r="S49" i="275"/>
  <c r="S36" i="275"/>
  <c r="P49" i="275"/>
  <c r="P36" i="275"/>
  <c r="O49" i="275"/>
  <c r="N49" i="275"/>
  <c r="N57" i="275"/>
  <c r="N104" i="275"/>
  <c r="M49" i="275"/>
  <c r="L49" i="275"/>
  <c r="L36" i="275"/>
  <c r="K49" i="275"/>
  <c r="J49" i="275"/>
  <c r="I49" i="275"/>
  <c r="H49" i="275"/>
  <c r="V36" i="275"/>
  <c r="V57" i="275"/>
  <c r="U36" i="275"/>
  <c r="O36" i="275"/>
  <c r="N36" i="275"/>
  <c r="M36" i="275"/>
  <c r="K36" i="275"/>
  <c r="J36" i="275"/>
  <c r="I36" i="275"/>
  <c r="H36" i="275"/>
  <c r="H57" i="275"/>
  <c r="K25" i="275"/>
  <c r="K21" i="275"/>
  <c r="K16" i="275"/>
  <c r="W25" i="275"/>
  <c r="W21" i="275"/>
  <c r="W16" i="275"/>
  <c r="V25" i="275"/>
  <c r="V21" i="275"/>
  <c r="V16" i="275"/>
  <c r="U25" i="275"/>
  <c r="T25" i="275"/>
  <c r="S25" i="275"/>
  <c r="S21" i="275"/>
  <c r="S26" i="275"/>
  <c r="S16" i="275"/>
  <c r="R25" i="275"/>
  <c r="Q25" i="275"/>
  <c r="P25" i="275"/>
  <c r="O25" i="275"/>
  <c r="N25" i="275"/>
  <c r="M25" i="275"/>
  <c r="L25" i="275"/>
  <c r="J25" i="275"/>
  <c r="I25" i="275"/>
  <c r="H25" i="275"/>
  <c r="U21" i="275"/>
  <c r="T21" i="275"/>
  <c r="R21" i="275"/>
  <c r="Q21" i="275"/>
  <c r="P21" i="275"/>
  <c r="O21" i="275"/>
  <c r="N21" i="275"/>
  <c r="M21" i="275"/>
  <c r="M26" i="275"/>
  <c r="L21" i="275"/>
  <c r="J21" i="275"/>
  <c r="I21" i="275"/>
  <c r="H21" i="275"/>
  <c r="U16" i="275"/>
  <c r="T16" i="275"/>
  <c r="R16" i="275"/>
  <c r="Q16" i="275"/>
  <c r="P16" i="275"/>
  <c r="O16" i="275"/>
  <c r="N16" i="275"/>
  <c r="M16" i="275"/>
  <c r="L16" i="275"/>
  <c r="J16" i="275"/>
  <c r="I16" i="275"/>
  <c r="H16" i="275"/>
  <c r="D36" i="172"/>
  <c r="D35" i="172"/>
  <c r="N28" i="172"/>
  <c r="M28" i="172"/>
  <c r="L28" i="172"/>
  <c r="K28" i="172"/>
  <c r="J28" i="172"/>
  <c r="I28" i="172"/>
  <c r="H28" i="172"/>
  <c r="G28" i="172"/>
  <c r="F28" i="172"/>
  <c r="E28" i="172"/>
  <c r="D28" i="172"/>
  <c r="N27" i="172"/>
  <c r="M27" i="172"/>
  <c r="L27" i="172"/>
  <c r="K27" i="172"/>
  <c r="J27" i="172"/>
  <c r="I27" i="172"/>
  <c r="H27" i="172"/>
  <c r="G27" i="172"/>
  <c r="F27" i="172"/>
  <c r="E27" i="172"/>
  <c r="D27" i="172"/>
  <c r="N26" i="172"/>
  <c r="M26" i="172"/>
  <c r="L26" i="172"/>
  <c r="K26" i="172"/>
  <c r="J26" i="172"/>
  <c r="I26" i="172"/>
  <c r="H26" i="172"/>
  <c r="G26" i="172"/>
  <c r="F26" i="172"/>
  <c r="E26" i="172"/>
  <c r="D26" i="172"/>
  <c r="N18" i="172"/>
  <c r="M18" i="172"/>
  <c r="L18" i="172"/>
  <c r="K18" i="172"/>
  <c r="J18" i="172"/>
  <c r="J33" i="172"/>
  <c r="I18" i="172"/>
  <c r="H18" i="172"/>
  <c r="H33" i="172"/>
  <c r="G18" i="172"/>
  <c r="F18" i="172"/>
  <c r="F33" i="172"/>
  <c r="E18" i="172"/>
  <c r="D18" i="172"/>
  <c r="N17" i="172"/>
  <c r="M17" i="172"/>
  <c r="L17" i="172"/>
  <c r="K17" i="172"/>
  <c r="J17" i="172"/>
  <c r="I17" i="172"/>
  <c r="H17" i="172"/>
  <c r="G17" i="172"/>
  <c r="F17" i="172"/>
  <c r="F19" i="172"/>
  <c r="E17" i="172"/>
  <c r="D17" i="172"/>
  <c r="N16" i="172"/>
  <c r="M16" i="172"/>
  <c r="L16" i="172"/>
  <c r="K16" i="172"/>
  <c r="J16" i="172"/>
  <c r="I16" i="172"/>
  <c r="H16" i="172"/>
  <c r="H19" i="172"/>
  <c r="G16" i="172"/>
  <c r="F16" i="172"/>
  <c r="E16" i="172"/>
  <c r="D16" i="172"/>
  <c r="N36" i="172"/>
  <c r="M13" i="172"/>
  <c r="M36" i="172"/>
  <c r="L13" i="172"/>
  <c r="L36" i="172"/>
  <c r="K13" i="172"/>
  <c r="K36" i="172"/>
  <c r="J13" i="172"/>
  <c r="J36" i="172"/>
  <c r="I13" i="172"/>
  <c r="I36" i="172"/>
  <c r="H13" i="172"/>
  <c r="H36" i="172"/>
  <c r="G13" i="172"/>
  <c r="G36" i="172"/>
  <c r="F13" i="172"/>
  <c r="F36" i="172"/>
  <c r="E13" i="172"/>
  <c r="E36" i="172"/>
  <c r="N12" i="172"/>
  <c r="N35" i="172"/>
  <c r="M12" i="172"/>
  <c r="M35" i="172"/>
  <c r="L12" i="172"/>
  <c r="L35" i="172"/>
  <c r="K12" i="172"/>
  <c r="K35" i="172"/>
  <c r="J12" i="172"/>
  <c r="J35" i="172"/>
  <c r="I12" i="172"/>
  <c r="I35" i="172"/>
  <c r="H12" i="172"/>
  <c r="H35" i="172"/>
  <c r="G12" i="172"/>
  <c r="G35" i="172"/>
  <c r="F12" i="172"/>
  <c r="E12" i="172"/>
  <c r="E35" i="172"/>
  <c r="N11" i="172"/>
  <c r="M11" i="172"/>
  <c r="L11" i="172"/>
  <c r="K11" i="172"/>
  <c r="J11" i="172"/>
  <c r="J14" i="172"/>
  <c r="I11" i="172"/>
  <c r="H11" i="172"/>
  <c r="H14" i="172"/>
  <c r="G11" i="172"/>
  <c r="F11" i="172"/>
  <c r="E11" i="172"/>
  <c r="N8" i="172"/>
  <c r="M8" i="172"/>
  <c r="M34" i="172"/>
  <c r="L8" i="172"/>
  <c r="K8" i="172"/>
  <c r="K34" i="172"/>
  <c r="J8" i="172"/>
  <c r="J34" i="172"/>
  <c r="I8" i="172"/>
  <c r="H8" i="172"/>
  <c r="G8" i="172"/>
  <c r="G34" i="172"/>
  <c r="F8" i="172"/>
  <c r="F34" i="172"/>
  <c r="E8" i="172"/>
  <c r="E34" i="172"/>
  <c r="D8" i="172"/>
  <c r="N7" i="172"/>
  <c r="M7" i="172"/>
  <c r="M32" i="172"/>
  <c r="L7" i="172"/>
  <c r="K7" i="172"/>
  <c r="J7" i="172"/>
  <c r="I7" i="172"/>
  <c r="H7" i="172"/>
  <c r="G7" i="172"/>
  <c r="F7" i="172"/>
  <c r="E7" i="172"/>
  <c r="D7" i="172"/>
  <c r="D32" i="172"/>
  <c r="N6" i="172"/>
  <c r="M6" i="172"/>
  <c r="L6" i="172"/>
  <c r="K6" i="172"/>
  <c r="J6" i="172"/>
  <c r="I6" i="172"/>
  <c r="H6" i="172"/>
  <c r="G6" i="172"/>
  <c r="G31" i="172"/>
  <c r="F6" i="172"/>
  <c r="E6" i="172"/>
  <c r="D6" i="172"/>
  <c r="N99" i="173"/>
  <c r="M99" i="173"/>
  <c r="L99" i="173"/>
  <c r="K99" i="173"/>
  <c r="J99" i="173"/>
  <c r="I99" i="173"/>
  <c r="I85" i="173"/>
  <c r="I94" i="173"/>
  <c r="I100" i="173"/>
  <c r="H99" i="173"/>
  <c r="G99" i="173"/>
  <c r="G100" i="173"/>
  <c r="F99" i="173"/>
  <c r="E99" i="173"/>
  <c r="D99" i="173"/>
  <c r="N94" i="173"/>
  <c r="M94" i="173"/>
  <c r="L94" i="173"/>
  <c r="K94" i="173"/>
  <c r="J94" i="173"/>
  <c r="J85" i="173"/>
  <c r="H94" i="173"/>
  <c r="G94" i="173"/>
  <c r="F94" i="173"/>
  <c r="E94" i="173"/>
  <c r="D94" i="173"/>
  <c r="N85" i="173"/>
  <c r="N100" i="173"/>
  <c r="M85" i="173"/>
  <c r="L85" i="173"/>
  <c r="K85" i="173"/>
  <c r="H85" i="173"/>
  <c r="G85" i="173"/>
  <c r="F85" i="173"/>
  <c r="E85" i="173"/>
  <c r="D85" i="173"/>
  <c r="D100" i="173"/>
  <c r="N69" i="173"/>
  <c r="M69" i="173"/>
  <c r="L69" i="173"/>
  <c r="K69" i="173"/>
  <c r="J69" i="173"/>
  <c r="I69" i="173"/>
  <c r="H69" i="173"/>
  <c r="G69" i="173"/>
  <c r="F69" i="173"/>
  <c r="E69" i="173"/>
  <c r="D69" i="173"/>
  <c r="D62" i="173"/>
  <c r="D49" i="173"/>
  <c r="N62" i="173"/>
  <c r="M62" i="173"/>
  <c r="L62" i="173"/>
  <c r="L70" i="173"/>
  <c r="K62" i="173"/>
  <c r="J62" i="173"/>
  <c r="I62" i="173"/>
  <c r="H62" i="173"/>
  <c r="G62" i="173"/>
  <c r="F62" i="173"/>
  <c r="E62" i="173"/>
  <c r="N49" i="173"/>
  <c r="M49" i="173"/>
  <c r="M70" i="173"/>
  <c r="L49" i="173"/>
  <c r="K49" i="173"/>
  <c r="J49" i="173"/>
  <c r="I49" i="173"/>
  <c r="H49" i="173"/>
  <c r="G49" i="173"/>
  <c r="F49" i="173"/>
  <c r="E49" i="173"/>
  <c r="M38" i="173"/>
  <c r="L38" i="173"/>
  <c r="K38" i="173"/>
  <c r="J38" i="173"/>
  <c r="I38" i="173"/>
  <c r="H38" i="173"/>
  <c r="H39" i="173"/>
  <c r="G38" i="173"/>
  <c r="F38" i="173"/>
  <c r="E38" i="173"/>
  <c r="D38" i="173"/>
  <c r="N33" i="173"/>
  <c r="M33" i="173"/>
  <c r="M39" i="173"/>
  <c r="L33" i="173"/>
  <c r="K33" i="173"/>
  <c r="K39" i="173"/>
  <c r="J33" i="173"/>
  <c r="I33" i="173"/>
  <c r="H33" i="173"/>
  <c r="G33" i="173"/>
  <c r="F33" i="173"/>
  <c r="E33" i="173"/>
  <c r="D33" i="173"/>
  <c r="N39" i="173"/>
  <c r="E29" i="173"/>
  <c r="D29" i="173"/>
  <c r="N23" i="173"/>
  <c r="M23" i="173"/>
  <c r="L23" i="173"/>
  <c r="K23" i="173"/>
  <c r="J23" i="173"/>
  <c r="I23" i="173"/>
  <c r="H23" i="173"/>
  <c r="G23" i="173"/>
  <c r="F23" i="173"/>
  <c r="E23" i="173"/>
  <c r="D23" i="173"/>
  <c r="N19" i="173"/>
  <c r="M19" i="173"/>
  <c r="M14" i="173"/>
  <c r="L19" i="173"/>
  <c r="K19" i="173"/>
  <c r="J19" i="173"/>
  <c r="I19" i="173"/>
  <c r="H19" i="173"/>
  <c r="G19" i="173"/>
  <c r="F19" i="173"/>
  <c r="D19" i="173"/>
  <c r="D24" i="173"/>
  <c r="N14" i="173"/>
  <c r="L14" i="173"/>
  <c r="K14" i="173"/>
  <c r="J14" i="173"/>
  <c r="I14" i="173"/>
  <c r="H14" i="173"/>
  <c r="G14" i="173"/>
  <c r="F14" i="173"/>
  <c r="E14" i="173"/>
  <c r="D14" i="173"/>
  <c r="AB36" i="297"/>
  <c r="AA36" i="297"/>
  <c r="Y36" i="297"/>
  <c r="X36" i="297"/>
  <c r="V36" i="297"/>
  <c r="U36" i="297"/>
  <c r="S36" i="297"/>
  <c r="R36" i="297"/>
  <c r="P36" i="297"/>
  <c r="O36" i="297"/>
  <c r="M36" i="297"/>
  <c r="L36" i="297"/>
  <c r="K36" i="297"/>
  <c r="J36" i="297"/>
  <c r="I36" i="297"/>
  <c r="H36" i="297"/>
  <c r="G36" i="297"/>
  <c r="F36" i="297"/>
  <c r="E36" i="297"/>
  <c r="D36" i="297"/>
  <c r="C36" i="297"/>
  <c r="AB35" i="297"/>
  <c r="AA35" i="297"/>
  <c r="Y35" i="297"/>
  <c r="X35" i="297"/>
  <c r="X31" i="297"/>
  <c r="X32" i="297"/>
  <c r="X37" i="297"/>
  <c r="X33" i="297"/>
  <c r="X34" i="297"/>
  <c r="V35" i="297"/>
  <c r="U35" i="297"/>
  <c r="S35" i="297"/>
  <c r="R35" i="297"/>
  <c r="P35" i="297"/>
  <c r="O35" i="297"/>
  <c r="M35" i="297"/>
  <c r="L35" i="297"/>
  <c r="K35" i="297"/>
  <c r="J35" i="297"/>
  <c r="I35" i="297"/>
  <c r="H35" i="297"/>
  <c r="G35" i="297"/>
  <c r="F35" i="297"/>
  <c r="E35" i="297"/>
  <c r="D35" i="297"/>
  <c r="C35" i="297"/>
  <c r="AB34" i="297"/>
  <c r="AA34" i="297"/>
  <c r="Y34" i="297"/>
  <c r="V34" i="297"/>
  <c r="U34" i="297"/>
  <c r="S34" i="297"/>
  <c r="R34" i="297"/>
  <c r="P34" i="297"/>
  <c r="P37" i="297"/>
  <c r="O34" i="297"/>
  <c r="M34" i="297"/>
  <c r="L34" i="297"/>
  <c r="J34" i="297"/>
  <c r="I34" i="297"/>
  <c r="G34" i="297"/>
  <c r="F34" i="297"/>
  <c r="D34" i="297"/>
  <c r="C34" i="297"/>
  <c r="AB33" i="297"/>
  <c r="AA33" i="297"/>
  <c r="Y33" i="297"/>
  <c r="V33" i="297"/>
  <c r="U33" i="297"/>
  <c r="S33" i="297"/>
  <c r="R33" i="297"/>
  <c r="R37" i="297"/>
  <c r="P33" i="297"/>
  <c r="O33" i="297"/>
  <c r="M33" i="297"/>
  <c r="L33" i="297"/>
  <c r="J33" i="297"/>
  <c r="I33" i="297"/>
  <c r="G33" i="297"/>
  <c r="F33" i="297"/>
  <c r="D33" i="297"/>
  <c r="C33" i="297"/>
  <c r="AB32" i="297"/>
  <c r="AA32" i="297"/>
  <c r="Y32" i="297"/>
  <c r="V32" i="297"/>
  <c r="U32" i="297"/>
  <c r="S32" i="297"/>
  <c r="R32" i="297"/>
  <c r="P32" i="297"/>
  <c r="O32" i="297"/>
  <c r="M32" i="297"/>
  <c r="M31" i="297"/>
  <c r="L32" i="297"/>
  <c r="J32" i="297"/>
  <c r="I32" i="297"/>
  <c r="G32" i="297"/>
  <c r="F32" i="297"/>
  <c r="D32" i="297"/>
  <c r="D31" i="297"/>
  <c r="C32" i="297"/>
  <c r="AB31" i="297"/>
  <c r="AA31" i="297"/>
  <c r="Y31" i="297"/>
  <c r="Y37" i="297"/>
  <c r="V31" i="297"/>
  <c r="U31" i="297"/>
  <c r="S31" i="297"/>
  <c r="R31" i="297"/>
  <c r="P31" i="297"/>
  <c r="O31" i="297"/>
  <c r="L31" i="297"/>
  <c r="J31" i="297"/>
  <c r="J37" i="297"/>
  <c r="I31" i="297"/>
  <c r="G31" i="297"/>
  <c r="F31" i="297"/>
  <c r="C31" i="297"/>
  <c r="AB29" i="297"/>
  <c r="AA29" i="297"/>
  <c r="Y29" i="297"/>
  <c r="X29" i="297"/>
  <c r="V29" i="297"/>
  <c r="U29" i="297"/>
  <c r="S29" i="297"/>
  <c r="R29" i="297"/>
  <c r="P29" i="297"/>
  <c r="O29" i="297"/>
  <c r="M29" i="297"/>
  <c r="L29" i="297"/>
  <c r="J29" i="297"/>
  <c r="I29" i="297"/>
  <c r="G29" i="297"/>
  <c r="F29" i="297"/>
  <c r="D29" i="297"/>
  <c r="C29" i="297"/>
  <c r="AC28" i="297"/>
  <c r="Z28" i="297"/>
  <c r="W28" i="297"/>
  <c r="W26" i="297"/>
  <c r="W27" i="297"/>
  <c r="T28" i="297"/>
  <c r="Q28" i="297"/>
  <c r="N28" i="297"/>
  <c r="K28" i="297"/>
  <c r="H28" i="297"/>
  <c r="H34" i="297"/>
  <c r="E28" i="297"/>
  <c r="AC27" i="297"/>
  <c r="Z27" i="297"/>
  <c r="T27" i="297"/>
  <c r="T26" i="297"/>
  <c r="Q27" i="297"/>
  <c r="Q33" i="297"/>
  <c r="N27" i="297"/>
  <c r="N26" i="297"/>
  <c r="K27" i="297"/>
  <c r="K26" i="297"/>
  <c r="H27" i="297"/>
  <c r="E27" i="297"/>
  <c r="AC26" i="297"/>
  <c r="Z26" i="297"/>
  <c r="Q26" i="297"/>
  <c r="H26" i="297"/>
  <c r="H32" i="297"/>
  <c r="H37" i="297"/>
  <c r="E26" i="297"/>
  <c r="AB19" i="297"/>
  <c r="AA19" i="297"/>
  <c r="Y19" i="297"/>
  <c r="X19" i="297"/>
  <c r="V19" i="297"/>
  <c r="U19" i="297"/>
  <c r="S19" i="297"/>
  <c r="R19" i="297"/>
  <c r="P19" i="297"/>
  <c r="O19" i="297"/>
  <c r="M19" i="297"/>
  <c r="L19" i="297"/>
  <c r="J19" i="297"/>
  <c r="I19" i="297"/>
  <c r="G19" i="297"/>
  <c r="F19" i="297"/>
  <c r="D19" i="297"/>
  <c r="C19" i="297"/>
  <c r="AC18" i="297"/>
  <c r="Z18" i="297"/>
  <c r="W18" i="297"/>
  <c r="W33" i="297"/>
  <c r="T18" i="297"/>
  <c r="T33" i="297"/>
  <c r="Q18" i="297"/>
  <c r="N18" i="297"/>
  <c r="K18" i="297"/>
  <c r="H18" i="297"/>
  <c r="E18" i="297"/>
  <c r="AC17" i="297"/>
  <c r="AC19" i="297"/>
  <c r="Z17" i="297"/>
  <c r="Z19" i="297"/>
  <c r="W17" i="297"/>
  <c r="T17" i="297"/>
  <c r="Q17" i="297"/>
  <c r="N17" i="297"/>
  <c r="K17" i="297"/>
  <c r="H17" i="297"/>
  <c r="E17" i="297"/>
  <c r="AC16" i="297"/>
  <c r="Z16" i="297"/>
  <c r="W16" i="297"/>
  <c r="T16" i="297"/>
  <c r="Q16" i="297"/>
  <c r="N16" i="297"/>
  <c r="K16" i="297"/>
  <c r="K19" i="297"/>
  <c r="H16" i="297"/>
  <c r="E16" i="297"/>
  <c r="AB14" i="297"/>
  <c r="AA14" i="297"/>
  <c r="Y14" i="297"/>
  <c r="X14" i="297"/>
  <c r="V14" i="297"/>
  <c r="U14" i="297"/>
  <c r="S14" i="297"/>
  <c r="R14" i="297"/>
  <c r="P14" i="297"/>
  <c r="O14" i="297"/>
  <c r="M14" i="297"/>
  <c r="L14" i="297"/>
  <c r="AC13" i="297"/>
  <c r="AC36" i="297"/>
  <c r="Z13" i="297"/>
  <c r="Z36" i="297"/>
  <c r="W13" i="297"/>
  <c r="W36" i="297"/>
  <c r="T13" i="297"/>
  <c r="T36" i="297"/>
  <c r="Q13" i="297"/>
  <c r="Q36" i="297"/>
  <c r="N13" i="297"/>
  <c r="N36" i="297"/>
  <c r="AC12" i="297"/>
  <c r="AC35" i="297"/>
  <c r="Z12" i="297"/>
  <c r="Z35" i="297"/>
  <c r="W12" i="297"/>
  <c r="W35" i="297"/>
  <c r="T12" i="297"/>
  <c r="T35" i="297"/>
  <c r="Q12" i="297"/>
  <c r="Q35" i="297"/>
  <c r="N12" i="297"/>
  <c r="N35" i="297"/>
  <c r="AC11" i="297"/>
  <c r="AC14" i="297"/>
  <c r="Z11" i="297"/>
  <c r="W11" i="297"/>
  <c r="W32" i="297"/>
  <c r="W7" i="297"/>
  <c r="T11" i="297"/>
  <c r="T14" i="297"/>
  <c r="Q11" i="297"/>
  <c r="N11" i="297"/>
  <c r="AB9" i="297"/>
  <c r="AA9" i="297"/>
  <c r="Y9" i="297"/>
  <c r="X9" i="297"/>
  <c r="V9" i="297"/>
  <c r="U9" i="297"/>
  <c r="S9" i="297"/>
  <c r="R9" i="297"/>
  <c r="P9" i="297"/>
  <c r="O9" i="297"/>
  <c r="M9" i="297"/>
  <c r="L9" i="297"/>
  <c r="J9" i="297"/>
  <c r="I9" i="297"/>
  <c r="G9" i="297"/>
  <c r="F9" i="297"/>
  <c r="D9" i="297"/>
  <c r="C9" i="297"/>
  <c r="AC34" i="297"/>
  <c r="Z8" i="297"/>
  <c r="W8" i="297"/>
  <c r="T8" i="297"/>
  <c r="T34" i="297"/>
  <c r="Q8" i="297"/>
  <c r="N8" i="297"/>
  <c r="K8" i="297"/>
  <c r="H8" i="297"/>
  <c r="E8" i="297"/>
  <c r="E34" i="297"/>
  <c r="Z7" i="297"/>
  <c r="Z32" i="297"/>
  <c r="T7" i="297"/>
  <c r="Q7" i="297"/>
  <c r="Q32" i="297"/>
  <c r="N7" i="297"/>
  <c r="K7" i="297"/>
  <c r="H7" i="297"/>
  <c r="E7" i="297"/>
  <c r="AC9" i="297"/>
  <c r="Z6" i="297"/>
  <c r="Z31" i="297"/>
  <c r="W6" i="297"/>
  <c r="T6" i="297"/>
  <c r="Q6" i="297"/>
  <c r="Q31" i="297"/>
  <c r="N6" i="297"/>
  <c r="K6" i="297"/>
  <c r="H6" i="297"/>
  <c r="H31" i="297"/>
  <c r="E6" i="297"/>
  <c r="BI28" i="98"/>
  <c r="BH28" i="98"/>
  <c r="BG28" i="98"/>
  <c r="BE28" i="98"/>
  <c r="BD28" i="98"/>
  <c r="BC28" i="98"/>
  <c r="BB28" i="98"/>
  <c r="BA28" i="98"/>
  <c r="AZ28" i="98"/>
  <c r="AY28" i="98"/>
  <c r="AX28" i="98"/>
  <c r="AW28" i="98"/>
  <c r="AV28" i="98"/>
  <c r="AU28" i="98"/>
  <c r="AT28" i="98"/>
  <c r="AS28" i="98"/>
  <c r="AR28" i="98"/>
  <c r="AQ28" i="98"/>
  <c r="AO28" i="98"/>
  <c r="AN28" i="98"/>
  <c r="AM28" i="98"/>
  <c r="AK28" i="98"/>
  <c r="AJ28" i="98"/>
  <c r="AI28" i="98"/>
  <c r="AG28" i="98"/>
  <c r="AF28" i="98"/>
  <c r="AF29" i="98"/>
  <c r="AE28" i="98"/>
  <c r="AC28" i="98"/>
  <c r="AB28" i="98"/>
  <c r="AA28" i="98"/>
  <c r="Y28" i="98"/>
  <c r="X28" i="98"/>
  <c r="W28" i="98"/>
  <c r="U28" i="98"/>
  <c r="T28" i="98"/>
  <c r="S28" i="98"/>
  <c r="R28" i="98"/>
  <c r="Q28" i="98"/>
  <c r="P28" i="98"/>
  <c r="O28" i="98"/>
  <c r="N28" i="98"/>
  <c r="M28" i="98"/>
  <c r="M34" i="98"/>
  <c r="L28" i="98"/>
  <c r="K28" i="98"/>
  <c r="J28" i="98"/>
  <c r="I28" i="98"/>
  <c r="H28" i="98"/>
  <c r="G28" i="98"/>
  <c r="F28" i="98"/>
  <c r="E28" i="98"/>
  <c r="D28" i="98"/>
  <c r="C28" i="98"/>
  <c r="BI27" i="98"/>
  <c r="BH27" i="98"/>
  <c r="BG27" i="98"/>
  <c r="BE27" i="98"/>
  <c r="BD27" i="98"/>
  <c r="BC27" i="98"/>
  <c r="BA27" i="98"/>
  <c r="AZ27" i="98"/>
  <c r="AY27" i="98"/>
  <c r="AX27" i="98"/>
  <c r="AW27" i="98"/>
  <c r="AV27" i="98"/>
  <c r="AU27" i="98"/>
  <c r="AT27" i="98"/>
  <c r="AS27" i="98"/>
  <c r="AR27" i="98"/>
  <c r="AQ27" i="98"/>
  <c r="AO27" i="98"/>
  <c r="AN27" i="98"/>
  <c r="AM27" i="98"/>
  <c r="AK27" i="98"/>
  <c r="AJ27" i="98"/>
  <c r="AI27" i="98"/>
  <c r="AG27" i="98"/>
  <c r="AF27" i="98"/>
  <c r="AE27" i="98"/>
  <c r="AC27" i="98"/>
  <c r="AB27" i="98"/>
  <c r="AA27" i="98"/>
  <c r="Y27" i="98"/>
  <c r="X27" i="98"/>
  <c r="W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I26" i="98"/>
  <c r="BI32" i="98"/>
  <c r="BI37" i="98"/>
  <c r="BH26" i="98"/>
  <c r="BG26" i="98"/>
  <c r="BE26" i="98"/>
  <c r="BD26" i="98"/>
  <c r="BC26" i="98"/>
  <c r="BA26" i="98"/>
  <c r="BA32" i="98"/>
  <c r="BA37" i="98"/>
  <c r="AZ26" i="98"/>
  <c r="AY26" i="98"/>
  <c r="AX26" i="98"/>
  <c r="AW26" i="98"/>
  <c r="AW29" i="98"/>
  <c r="AV26" i="98"/>
  <c r="AU26" i="98"/>
  <c r="AT26" i="98"/>
  <c r="AS26" i="98"/>
  <c r="AR26" i="98"/>
  <c r="AQ26" i="98"/>
  <c r="AO26" i="98"/>
  <c r="AN26" i="98"/>
  <c r="AM26" i="98"/>
  <c r="AK26" i="98"/>
  <c r="AJ26" i="98"/>
  <c r="AI26" i="98"/>
  <c r="AG26" i="98"/>
  <c r="AF26" i="98"/>
  <c r="AE26" i="98"/>
  <c r="AC26" i="98"/>
  <c r="AB26" i="98"/>
  <c r="AA26" i="98"/>
  <c r="Y26" i="98"/>
  <c r="X26" i="98"/>
  <c r="W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I18" i="98"/>
  <c r="BI33" i="98"/>
  <c r="BH18" i="98"/>
  <c r="BG18" i="98"/>
  <c r="BE18" i="98"/>
  <c r="BD18" i="98"/>
  <c r="BC18" i="98"/>
  <c r="BB18" i="98"/>
  <c r="BA18" i="98"/>
  <c r="AZ18" i="98"/>
  <c r="AY18" i="98"/>
  <c r="AX18" i="98"/>
  <c r="AW18" i="98"/>
  <c r="AV18" i="98"/>
  <c r="AU18" i="98"/>
  <c r="AT18" i="98"/>
  <c r="AS18" i="98"/>
  <c r="AR18" i="98"/>
  <c r="AQ18" i="98"/>
  <c r="AO18" i="98"/>
  <c r="AN18" i="98"/>
  <c r="AM18" i="98"/>
  <c r="AK18" i="98"/>
  <c r="AJ18" i="98"/>
  <c r="AI18" i="98"/>
  <c r="AG18" i="98"/>
  <c r="AF18" i="98"/>
  <c r="AE18" i="98"/>
  <c r="AC18" i="98"/>
  <c r="AB18" i="98"/>
  <c r="AA18" i="98"/>
  <c r="Y18" i="98"/>
  <c r="X18" i="98"/>
  <c r="W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I17" i="98"/>
  <c r="BH17" i="98"/>
  <c r="BG17" i="98"/>
  <c r="BE17" i="98"/>
  <c r="BD17" i="98"/>
  <c r="BC17" i="98"/>
  <c r="BB17" i="98"/>
  <c r="BA17" i="98"/>
  <c r="AZ17" i="98"/>
  <c r="AY17" i="98"/>
  <c r="AX17" i="98"/>
  <c r="AW17" i="98"/>
  <c r="AV17" i="98"/>
  <c r="AU17" i="98"/>
  <c r="AT17" i="98"/>
  <c r="AS17" i="98"/>
  <c r="AR17" i="98"/>
  <c r="AQ17" i="98"/>
  <c r="AO17" i="98"/>
  <c r="AN17" i="98"/>
  <c r="AN19" i="98"/>
  <c r="AM17" i="98"/>
  <c r="AK17" i="98"/>
  <c r="AJ17" i="98"/>
  <c r="AI17" i="98"/>
  <c r="AG17" i="98"/>
  <c r="AF17" i="98"/>
  <c r="AE17" i="98"/>
  <c r="AC17" i="98"/>
  <c r="AB17" i="98"/>
  <c r="AA17" i="98"/>
  <c r="Y17" i="98"/>
  <c r="X17" i="98"/>
  <c r="W17" i="98"/>
  <c r="U17" i="98"/>
  <c r="T17" i="98"/>
  <c r="S17" i="98"/>
  <c r="R17" i="98"/>
  <c r="Q17" i="98"/>
  <c r="P17" i="98"/>
  <c r="O17" i="98"/>
  <c r="N17" i="98"/>
  <c r="M17" i="98"/>
  <c r="L17" i="98"/>
  <c r="K17" i="98"/>
  <c r="J17" i="98"/>
  <c r="I17" i="98"/>
  <c r="H17" i="98"/>
  <c r="G17" i="98"/>
  <c r="F17" i="98"/>
  <c r="E17" i="98"/>
  <c r="D17" i="98"/>
  <c r="C17" i="98"/>
  <c r="BI16" i="98"/>
  <c r="BH16" i="98"/>
  <c r="BG16" i="98"/>
  <c r="BE16" i="98"/>
  <c r="BD16" i="98"/>
  <c r="BC16" i="98"/>
  <c r="BB16" i="98"/>
  <c r="BA16" i="98"/>
  <c r="AZ16" i="98"/>
  <c r="AY16" i="98"/>
  <c r="AX16" i="98"/>
  <c r="AW16" i="98"/>
  <c r="AV16" i="98"/>
  <c r="AU16" i="98"/>
  <c r="AT16" i="98"/>
  <c r="AS16" i="98"/>
  <c r="AR16" i="98"/>
  <c r="AQ16" i="98"/>
  <c r="AO16" i="98"/>
  <c r="AN16" i="98"/>
  <c r="AM16" i="98"/>
  <c r="AK16" i="98"/>
  <c r="AJ16" i="98"/>
  <c r="AI16" i="98"/>
  <c r="AG16" i="98"/>
  <c r="AG6" i="98"/>
  <c r="AG31" i="98"/>
  <c r="AF16" i="98"/>
  <c r="AE16" i="98"/>
  <c r="AC16" i="98"/>
  <c r="AB16" i="98"/>
  <c r="AA16" i="98"/>
  <c r="Y16" i="98"/>
  <c r="X16" i="98"/>
  <c r="W16" i="98"/>
  <c r="U16" i="98"/>
  <c r="T16" i="98"/>
  <c r="S16" i="98"/>
  <c r="R16" i="98"/>
  <c r="Q16" i="98"/>
  <c r="P16" i="98"/>
  <c r="O16" i="98"/>
  <c r="N16" i="98"/>
  <c r="M16" i="98"/>
  <c r="L16" i="98"/>
  <c r="K16" i="98"/>
  <c r="J16" i="98"/>
  <c r="I16" i="98"/>
  <c r="H16" i="98"/>
  <c r="G16" i="98"/>
  <c r="F16" i="98"/>
  <c r="E16" i="98"/>
  <c r="D16" i="98"/>
  <c r="C16" i="98"/>
  <c r="BI13" i="98"/>
  <c r="BI36" i="98"/>
  <c r="BH13" i="98"/>
  <c r="BH36" i="98"/>
  <c r="BG13" i="98"/>
  <c r="BG36" i="98"/>
  <c r="BE13" i="98"/>
  <c r="BE36" i="98"/>
  <c r="BD13" i="98"/>
  <c r="BD36" i="98"/>
  <c r="BC13" i="98"/>
  <c r="BC36" i="98"/>
  <c r="BB13" i="98"/>
  <c r="BB36" i="98"/>
  <c r="BA13" i="98"/>
  <c r="BA36" i="98"/>
  <c r="AZ13" i="98"/>
  <c r="AZ36" i="98"/>
  <c r="AY13" i="98"/>
  <c r="AY36" i="98"/>
  <c r="AX13" i="98"/>
  <c r="AX36" i="98"/>
  <c r="AW13" i="98"/>
  <c r="AW36" i="98"/>
  <c r="AV13" i="98"/>
  <c r="AV36" i="98"/>
  <c r="AU13" i="98"/>
  <c r="AU36" i="98"/>
  <c r="AT13" i="98"/>
  <c r="AT36" i="98"/>
  <c r="AS13" i="98"/>
  <c r="AS36" i="98"/>
  <c r="AR13" i="98"/>
  <c r="AR36" i="98"/>
  <c r="BI12" i="98"/>
  <c r="BI35" i="98"/>
  <c r="BH12" i="98"/>
  <c r="BH35" i="98"/>
  <c r="BG12" i="98"/>
  <c r="BG35" i="98"/>
  <c r="BE12" i="98"/>
  <c r="BE35" i="98"/>
  <c r="BD12" i="98"/>
  <c r="BD35" i="98"/>
  <c r="BC12" i="98"/>
  <c r="BB12" i="98"/>
  <c r="BB35" i="98"/>
  <c r="BA12" i="98"/>
  <c r="BA35" i="98"/>
  <c r="AZ12" i="98"/>
  <c r="AZ35" i="98"/>
  <c r="AY12" i="98"/>
  <c r="AY35" i="98"/>
  <c r="AX12" i="98"/>
  <c r="AX35" i="98"/>
  <c r="AW12" i="98"/>
  <c r="AW35" i="98"/>
  <c r="AV12" i="98"/>
  <c r="AV35" i="98"/>
  <c r="AU12" i="98"/>
  <c r="AU35" i="98"/>
  <c r="AT12" i="98"/>
  <c r="AT35" i="98"/>
  <c r="AS12" i="98"/>
  <c r="AS35" i="98"/>
  <c r="AR12" i="98"/>
  <c r="AR35" i="98"/>
  <c r="BI11" i="98"/>
  <c r="BH11" i="98"/>
  <c r="BG11" i="98"/>
  <c r="BE11" i="98"/>
  <c r="BD11" i="98"/>
  <c r="BC11" i="98"/>
  <c r="BB11" i="98"/>
  <c r="BB14" i="98"/>
  <c r="BA11" i="98"/>
  <c r="AZ11" i="98"/>
  <c r="AY11" i="98"/>
  <c r="AX11" i="98"/>
  <c r="AW11" i="98"/>
  <c r="AV11" i="98"/>
  <c r="AU11" i="98"/>
  <c r="AU14" i="98"/>
  <c r="AT11" i="98"/>
  <c r="AT14" i="98"/>
  <c r="AS11" i="98"/>
  <c r="AR11" i="98"/>
  <c r="BI8" i="98"/>
  <c r="BH8" i="98"/>
  <c r="BG8" i="98"/>
  <c r="BE8" i="98"/>
  <c r="BD8" i="98"/>
  <c r="BC8" i="98"/>
  <c r="BB8" i="98"/>
  <c r="BA8" i="98"/>
  <c r="BA34" i="98"/>
  <c r="AZ8" i="98"/>
  <c r="AY8" i="98"/>
  <c r="AX8" i="98"/>
  <c r="AW8" i="98"/>
  <c r="AV8" i="98"/>
  <c r="AU8" i="98"/>
  <c r="AT8" i="98"/>
  <c r="AS8" i="98"/>
  <c r="AR8" i="98"/>
  <c r="AQ8" i="98"/>
  <c r="AO8" i="98"/>
  <c r="AN8" i="98"/>
  <c r="AM8" i="98"/>
  <c r="AK8" i="98"/>
  <c r="AJ8" i="98"/>
  <c r="AI8" i="98"/>
  <c r="AG8" i="98"/>
  <c r="AF8" i="98"/>
  <c r="AE8" i="98"/>
  <c r="AC8" i="98"/>
  <c r="AB8" i="98"/>
  <c r="AA8" i="98"/>
  <c r="Y8" i="98"/>
  <c r="X8" i="98"/>
  <c r="W8" i="98"/>
  <c r="U8" i="98"/>
  <c r="T8" i="98"/>
  <c r="S8" i="98"/>
  <c r="R8" i="98"/>
  <c r="Q8" i="98"/>
  <c r="Q34" i="98"/>
  <c r="P8" i="98"/>
  <c r="O8" i="98"/>
  <c r="N8" i="98"/>
  <c r="M8" i="98"/>
  <c r="L8" i="98"/>
  <c r="K8" i="98"/>
  <c r="J8" i="98"/>
  <c r="I8" i="98"/>
  <c r="I34" i="98"/>
  <c r="H8" i="98"/>
  <c r="G8" i="98"/>
  <c r="F8" i="98"/>
  <c r="E8" i="98"/>
  <c r="D8" i="98"/>
  <c r="C8" i="98"/>
  <c r="BI7" i="98"/>
  <c r="BH7" i="98"/>
  <c r="BG7" i="98"/>
  <c r="BE7" i="98"/>
  <c r="BD7" i="98"/>
  <c r="BC7" i="98"/>
  <c r="BB7" i="98"/>
  <c r="BA7" i="98"/>
  <c r="AZ7" i="98"/>
  <c r="AY7" i="98"/>
  <c r="AX7" i="98"/>
  <c r="AW7" i="98"/>
  <c r="AV7" i="98"/>
  <c r="AU7" i="98"/>
  <c r="AT7" i="98"/>
  <c r="AS7" i="98"/>
  <c r="AR7" i="98"/>
  <c r="AQ7" i="98"/>
  <c r="AO7" i="98"/>
  <c r="AN7" i="98"/>
  <c r="AM7" i="98"/>
  <c r="AK7" i="98"/>
  <c r="AJ7" i="98"/>
  <c r="AI7" i="98"/>
  <c r="AG7" i="98"/>
  <c r="AF7" i="98"/>
  <c r="AE7" i="98"/>
  <c r="AC7" i="98"/>
  <c r="AB7" i="98"/>
  <c r="AA7" i="98"/>
  <c r="Y7" i="98"/>
  <c r="X7" i="98"/>
  <c r="W7" i="98"/>
  <c r="U7" i="98"/>
  <c r="T7" i="98"/>
  <c r="S7" i="98"/>
  <c r="R7" i="98"/>
  <c r="Q7" i="98"/>
  <c r="P7" i="98"/>
  <c r="O7" i="98"/>
  <c r="N7" i="98"/>
  <c r="M7" i="98"/>
  <c r="L7" i="98"/>
  <c r="K7" i="98"/>
  <c r="J7" i="98"/>
  <c r="I7" i="98"/>
  <c r="H7" i="98"/>
  <c r="G7" i="98"/>
  <c r="F7" i="98"/>
  <c r="E7" i="98"/>
  <c r="D7" i="98"/>
  <c r="C7" i="98"/>
  <c r="BI6" i="98"/>
  <c r="BH6" i="98"/>
  <c r="BG6" i="98"/>
  <c r="BE6" i="98"/>
  <c r="BD6" i="98"/>
  <c r="BC6" i="98"/>
  <c r="BB6" i="98"/>
  <c r="BA6" i="98"/>
  <c r="AZ6" i="98"/>
  <c r="AY6" i="98"/>
  <c r="AX6" i="98"/>
  <c r="AW6" i="98"/>
  <c r="AV6" i="98"/>
  <c r="AU6" i="98"/>
  <c r="AT6" i="98"/>
  <c r="AS6" i="98"/>
  <c r="AR6" i="98"/>
  <c r="AQ6" i="98"/>
  <c r="AO6" i="98"/>
  <c r="AN6" i="98"/>
  <c r="AM6" i="98"/>
  <c r="AK6" i="98"/>
  <c r="AJ6" i="98"/>
  <c r="AI6" i="98"/>
  <c r="AF6" i="98"/>
  <c r="AE6" i="98"/>
  <c r="AC6" i="98"/>
  <c r="AB6" i="98"/>
  <c r="AA6" i="98"/>
  <c r="Y6" i="98"/>
  <c r="X6" i="98"/>
  <c r="W6" i="98"/>
  <c r="U6" i="98"/>
  <c r="T6" i="98"/>
  <c r="S6" i="98"/>
  <c r="R6" i="98"/>
  <c r="R31" i="98"/>
  <c r="Q6" i="98"/>
  <c r="P6" i="98"/>
  <c r="O6" i="98"/>
  <c r="N6" i="98"/>
  <c r="M6" i="98"/>
  <c r="L6" i="98"/>
  <c r="K6" i="98"/>
  <c r="J6" i="98"/>
  <c r="I6" i="98"/>
  <c r="H6" i="98"/>
  <c r="G6" i="98"/>
  <c r="F6" i="98"/>
  <c r="E6" i="98"/>
  <c r="D6" i="98"/>
  <c r="C6" i="98"/>
  <c r="S102" i="274"/>
  <c r="R102" i="274"/>
  <c r="Q102" i="274"/>
  <c r="P102" i="274"/>
  <c r="O102" i="274"/>
  <c r="N102" i="274"/>
  <c r="M102" i="274"/>
  <c r="L102" i="274"/>
  <c r="K102" i="274"/>
  <c r="J102" i="274"/>
  <c r="I102" i="274"/>
  <c r="H102" i="274"/>
  <c r="G102" i="274"/>
  <c r="F102" i="274"/>
  <c r="E102" i="274"/>
  <c r="D102" i="274"/>
  <c r="BN99" i="274"/>
  <c r="BM99" i="274"/>
  <c r="BL99" i="274"/>
  <c r="BJ99" i="274"/>
  <c r="BI99" i="274"/>
  <c r="BI100" i="274"/>
  <c r="BH99" i="274"/>
  <c r="BF99" i="274"/>
  <c r="BE99" i="274"/>
  <c r="BD99" i="274"/>
  <c r="BC99" i="274"/>
  <c r="BB99" i="274"/>
  <c r="BA99" i="274"/>
  <c r="AZ99" i="274"/>
  <c r="AZ94" i="274"/>
  <c r="AZ85" i="274"/>
  <c r="AP99" i="274"/>
  <c r="AO99" i="274"/>
  <c r="AN99" i="274"/>
  <c r="AL99" i="274"/>
  <c r="AK99" i="274"/>
  <c r="AJ99" i="274"/>
  <c r="AJ100" i="274"/>
  <c r="AH99" i="274"/>
  <c r="AG99" i="274"/>
  <c r="AF99" i="274"/>
  <c r="AD99" i="274"/>
  <c r="AC99" i="274"/>
  <c r="AB99" i="274"/>
  <c r="Z99" i="274"/>
  <c r="Y99" i="274"/>
  <c r="Y100" i="274"/>
  <c r="X99" i="274"/>
  <c r="X94" i="274"/>
  <c r="X85" i="274"/>
  <c r="V99" i="274"/>
  <c r="U99" i="274"/>
  <c r="T99" i="274"/>
  <c r="BO98" i="274"/>
  <c r="BK98" i="274"/>
  <c r="BG98" i="274"/>
  <c r="AQ98" i="274"/>
  <c r="AM98" i="274"/>
  <c r="AI98" i="274"/>
  <c r="AE98" i="274"/>
  <c r="AA98" i="274"/>
  <c r="W98" i="274"/>
  <c r="BO97" i="274"/>
  <c r="BK97" i="274"/>
  <c r="BG97" i="274"/>
  <c r="AQ97" i="274"/>
  <c r="AM97" i="274"/>
  <c r="AI97" i="274"/>
  <c r="AE97" i="274"/>
  <c r="AA97" i="274"/>
  <c r="W97" i="274"/>
  <c r="BO96" i="274"/>
  <c r="BK96" i="274"/>
  <c r="BG96" i="274"/>
  <c r="AQ96" i="274"/>
  <c r="AM96" i="274"/>
  <c r="AI96" i="274"/>
  <c r="AE96" i="274"/>
  <c r="AA96" i="274"/>
  <c r="AA99" i="274"/>
  <c r="W96" i="274"/>
  <c r="BO95" i="274"/>
  <c r="BK95" i="274"/>
  <c r="BG95" i="274"/>
  <c r="AQ95" i="274"/>
  <c r="AM95" i="274"/>
  <c r="AI95" i="274"/>
  <c r="AE95" i="274"/>
  <c r="AD28" i="98"/>
  <c r="AA95" i="274"/>
  <c r="W95" i="274"/>
  <c r="BN94" i="274"/>
  <c r="BM94" i="274"/>
  <c r="BL94" i="274"/>
  <c r="BL100" i="274"/>
  <c r="BJ94" i="274"/>
  <c r="BI94" i="274"/>
  <c r="BH94" i="274"/>
  <c r="BH100" i="274"/>
  <c r="BF94" i="274"/>
  <c r="BE94" i="274"/>
  <c r="BD94" i="274"/>
  <c r="BB94" i="274"/>
  <c r="BA94" i="274"/>
  <c r="AP94" i="274"/>
  <c r="AO94" i="274"/>
  <c r="AN94" i="274"/>
  <c r="AN100" i="274"/>
  <c r="AL94" i="274"/>
  <c r="AK94" i="274"/>
  <c r="AJ94" i="274"/>
  <c r="AH94" i="274"/>
  <c r="AG94" i="274"/>
  <c r="AF94" i="274"/>
  <c r="AD94" i="274"/>
  <c r="AC94" i="274"/>
  <c r="AC100" i="274"/>
  <c r="AB94" i="274"/>
  <c r="Z94" i="274"/>
  <c r="Y94" i="274"/>
  <c r="V94" i="274"/>
  <c r="U94" i="274"/>
  <c r="T94" i="274"/>
  <c r="BO93" i="274"/>
  <c r="BK93" i="274"/>
  <c r="BG93" i="274"/>
  <c r="BC93" i="274"/>
  <c r="AQ93" i="274"/>
  <c r="AM93" i="274"/>
  <c r="AI93" i="274"/>
  <c r="AE93" i="274"/>
  <c r="AA93" i="274"/>
  <c r="W93" i="274"/>
  <c r="BO92" i="274"/>
  <c r="BK92" i="274"/>
  <c r="BG92" i="274"/>
  <c r="BC92" i="274"/>
  <c r="AQ92" i="274"/>
  <c r="AM92" i="274"/>
  <c r="AI92" i="274"/>
  <c r="AE92" i="274"/>
  <c r="AA92" i="274"/>
  <c r="W92" i="274"/>
  <c r="BO91" i="274"/>
  <c r="BK91" i="274"/>
  <c r="BG91" i="274"/>
  <c r="BC91" i="274"/>
  <c r="AQ91" i="274"/>
  <c r="AM91" i="274"/>
  <c r="AI91" i="274"/>
  <c r="AE91" i="274"/>
  <c r="AA91" i="274"/>
  <c r="W91" i="274"/>
  <c r="BO90" i="274"/>
  <c r="BK90" i="274"/>
  <c r="BG90" i="274"/>
  <c r="BC90" i="274"/>
  <c r="AQ90" i="274"/>
  <c r="AM90" i="274"/>
  <c r="AI90" i="274"/>
  <c r="AE90" i="274"/>
  <c r="AA90" i="274"/>
  <c r="W90" i="274"/>
  <c r="BO89" i="274"/>
  <c r="BK89" i="274"/>
  <c r="BG89" i="274"/>
  <c r="BC89" i="274"/>
  <c r="AQ89" i="274"/>
  <c r="AM89" i="274"/>
  <c r="AI89" i="274"/>
  <c r="AE89" i="274"/>
  <c r="AA89" i="274"/>
  <c r="W89" i="274"/>
  <c r="BO88" i="274"/>
  <c r="BK88" i="274"/>
  <c r="BG88" i="274"/>
  <c r="BC88" i="274"/>
  <c r="AQ88" i="274"/>
  <c r="AM88" i="274"/>
  <c r="AI88" i="274"/>
  <c r="AE88" i="274"/>
  <c r="AA88" i="274"/>
  <c r="W88" i="274"/>
  <c r="BO87" i="274"/>
  <c r="BK87" i="274"/>
  <c r="BG87" i="274"/>
  <c r="BC87" i="274"/>
  <c r="AQ87" i="274"/>
  <c r="AM87" i="274"/>
  <c r="AI87" i="274"/>
  <c r="AE87" i="274"/>
  <c r="AA87" i="274"/>
  <c r="W87" i="274"/>
  <c r="BO86" i="274"/>
  <c r="BN27" i="98"/>
  <c r="BK86" i="274"/>
  <c r="BG86" i="274"/>
  <c r="BC86" i="274"/>
  <c r="AQ86" i="274"/>
  <c r="AM86" i="274"/>
  <c r="AI86" i="274"/>
  <c r="AE86" i="274"/>
  <c r="AA86" i="274"/>
  <c r="W86" i="274"/>
  <c r="BN85" i="274"/>
  <c r="BM85" i="274"/>
  <c r="BM100" i="274"/>
  <c r="BL85" i="274"/>
  <c r="BJ85" i="274"/>
  <c r="BI85" i="274"/>
  <c r="BH85" i="274"/>
  <c r="BF85" i="274"/>
  <c r="BE85" i="274"/>
  <c r="BD85" i="274"/>
  <c r="BD100" i="274"/>
  <c r="BB85" i="274"/>
  <c r="BA85" i="274"/>
  <c r="AP85" i="274"/>
  <c r="AO85" i="274"/>
  <c r="AN85" i="274"/>
  <c r="AL85" i="274"/>
  <c r="AK85" i="274"/>
  <c r="AJ85" i="274"/>
  <c r="AH85" i="274"/>
  <c r="AG85" i="274"/>
  <c r="AF85" i="274"/>
  <c r="AD85" i="274"/>
  <c r="AC85" i="274"/>
  <c r="AB85" i="274"/>
  <c r="Z85" i="274"/>
  <c r="Y85" i="274"/>
  <c r="V85" i="274"/>
  <c r="U85" i="274"/>
  <c r="T85" i="274"/>
  <c r="BO84" i="274"/>
  <c r="BK84" i="274"/>
  <c r="BG84" i="274"/>
  <c r="BC84" i="274"/>
  <c r="AQ84" i="274"/>
  <c r="AM84" i="274"/>
  <c r="AI84" i="274"/>
  <c r="AE84" i="274"/>
  <c r="AA84" i="274"/>
  <c r="W84" i="274"/>
  <c r="BO83" i="274"/>
  <c r="BK83" i="274"/>
  <c r="BJ26" i="98"/>
  <c r="BG83" i="274"/>
  <c r="BC83" i="274"/>
  <c r="AQ83" i="274"/>
  <c r="AM83" i="274"/>
  <c r="AI83" i="274"/>
  <c r="AE83" i="274"/>
  <c r="AA83" i="274"/>
  <c r="W83" i="274"/>
  <c r="BO82" i="274"/>
  <c r="BK82" i="274"/>
  <c r="BG82" i="274"/>
  <c r="BC82" i="274"/>
  <c r="AQ82" i="274"/>
  <c r="AM82" i="274"/>
  <c r="AI82" i="274"/>
  <c r="AE82" i="274"/>
  <c r="AA82" i="274"/>
  <c r="AA85" i="274"/>
  <c r="W82" i="274"/>
  <c r="BO81" i="274"/>
  <c r="BK81" i="274"/>
  <c r="BG81" i="274"/>
  <c r="BC81" i="274"/>
  <c r="AQ81" i="274"/>
  <c r="AM81" i="274"/>
  <c r="AI81" i="274"/>
  <c r="AE81" i="274"/>
  <c r="AA81" i="274"/>
  <c r="W81" i="274"/>
  <c r="BO80" i="274"/>
  <c r="BK80" i="274"/>
  <c r="BG80" i="274"/>
  <c r="BF26" i="98"/>
  <c r="BC80" i="274"/>
  <c r="AQ80" i="274"/>
  <c r="AQ85" i="274"/>
  <c r="AM80" i="274"/>
  <c r="AI80" i="274"/>
  <c r="AE80" i="274"/>
  <c r="AA80" i="274"/>
  <c r="W80" i="274"/>
  <c r="BO79" i="274"/>
  <c r="BK79" i="274"/>
  <c r="BG79" i="274"/>
  <c r="BC79" i="274"/>
  <c r="AQ79" i="274"/>
  <c r="AM79" i="274"/>
  <c r="AI79" i="274"/>
  <c r="AE79" i="274"/>
  <c r="AA79" i="274"/>
  <c r="W79" i="274"/>
  <c r="BN69" i="274"/>
  <c r="BM69" i="274"/>
  <c r="BL69" i="274"/>
  <c r="BJ69" i="274"/>
  <c r="BI69" i="274"/>
  <c r="BH69" i="274"/>
  <c r="BF69" i="274"/>
  <c r="BE69" i="274"/>
  <c r="BD69" i="274"/>
  <c r="BC69" i="274"/>
  <c r="BB69" i="274"/>
  <c r="BA69" i="274"/>
  <c r="AZ69" i="274"/>
  <c r="AP69" i="274"/>
  <c r="AO69" i="274"/>
  <c r="AN69" i="274"/>
  <c r="AL69" i="274"/>
  <c r="AL70" i="274"/>
  <c r="AK69" i="274"/>
  <c r="AJ69" i="274"/>
  <c r="AH69" i="274"/>
  <c r="AG69" i="274"/>
  <c r="AF69" i="274"/>
  <c r="AD69" i="274"/>
  <c r="AC69" i="274"/>
  <c r="AB69" i="274"/>
  <c r="AB70" i="274"/>
  <c r="Z69" i="274"/>
  <c r="Y69" i="274"/>
  <c r="X69" i="274"/>
  <c r="V69" i="274"/>
  <c r="U69" i="274"/>
  <c r="T69" i="274"/>
  <c r="BO68" i="274"/>
  <c r="BK68" i="274"/>
  <c r="BG68" i="274"/>
  <c r="AQ68" i="274"/>
  <c r="AM68" i="274"/>
  <c r="AI68" i="274"/>
  <c r="AE68" i="274"/>
  <c r="AA68" i="274"/>
  <c r="W68" i="274"/>
  <c r="BO67" i="274"/>
  <c r="BK67" i="274"/>
  <c r="BG67" i="274"/>
  <c r="AQ67" i="274"/>
  <c r="AM67" i="274"/>
  <c r="AI67" i="274"/>
  <c r="AE67" i="274"/>
  <c r="AA67" i="274"/>
  <c r="W67" i="274"/>
  <c r="W69" i="274"/>
  <c r="BO66" i="274"/>
  <c r="BK66" i="274"/>
  <c r="BG66" i="274"/>
  <c r="AQ66" i="274"/>
  <c r="AM66" i="274"/>
  <c r="AI66" i="274"/>
  <c r="AE66" i="274"/>
  <c r="AA66" i="274"/>
  <c r="W66" i="274"/>
  <c r="BO65" i="274"/>
  <c r="BK65" i="274"/>
  <c r="BG65" i="274"/>
  <c r="AQ65" i="274"/>
  <c r="AM65" i="274"/>
  <c r="AI65" i="274"/>
  <c r="AE65" i="274"/>
  <c r="AA65" i="274"/>
  <c r="W65" i="274"/>
  <c r="BO64" i="274"/>
  <c r="BK64" i="274"/>
  <c r="BG64" i="274"/>
  <c r="AQ64" i="274"/>
  <c r="AM64" i="274"/>
  <c r="AI64" i="274"/>
  <c r="AE64" i="274"/>
  <c r="AA64" i="274"/>
  <c r="W64" i="274"/>
  <c r="BO63" i="274"/>
  <c r="BK63" i="274"/>
  <c r="BG63" i="274"/>
  <c r="AQ63" i="274"/>
  <c r="AM63" i="274"/>
  <c r="AI63" i="274"/>
  <c r="AE63" i="274"/>
  <c r="AA63" i="274"/>
  <c r="W63" i="274"/>
  <c r="BN62" i="274"/>
  <c r="BM62" i="274"/>
  <c r="BM70" i="274"/>
  <c r="BM50" i="274"/>
  <c r="BL62" i="274"/>
  <c r="BL70" i="274"/>
  <c r="BJ62" i="274"/>
  <c r="BI62" i="274"/>
  <c r="BH62" i="274"/>
  <c r="BF62" i="274"/>
  <c r="BE62" i="274"/>
  <c r="BD62" i="274"/>
  <c r="BC62" i="274"/>
  <c r="BB62" i="274"/>
  <c r="BB70" i="274"/>
  <c r="BA62" i="274"/>
  <c r="AZ62" i="274"/>
  <c r="AP62" i="274"/>
  <c r="AO62" i="274"/>
  <c r="AN62" i="274"/>
  <c r="AL62" i="274"/>
  <c r="AK62" i="274"/>
  <c r="AJ62" i="274"/>
  <c r="AJ70" i="274"/>
  <c r="AH62" i="274"/>
  <c r="AG62" i="274"/>
  <c r="AF62" i="274"/>
  <c r="AD62" i="274"/>
  <c r="AC62" i="274"/>
  <c r="AB62" i="274"/>
  <c r="Z62" i="274"/>
  <c r="Y62" i="274"/>
  <c r="Y70" i="274"/>
  <c r="X62" i="274"/>
  <c r="V62" i="274"/>
  <c r="U62" i="274"/>
  <c r="T62" i="274"/>
  <c r="BO61" i="274"/>
  <c r="BK61" i="274"/>
  <c r="BG61" i="274"/>
  <c r="AQ61" i="274"/>
  <c r="AM61" i="274"/>
  <c r="AI61" i="274"/>
  <c r="AE61" i="274"/>
  <c r="AA61" i="274"/>
  <c r="W61" i="274"/>
  <c r="BO60" i="274"/>
  <c r="BK60" i="274"/>
  <c r="BG60" i="274"/>
  <c r="AQ60" i="274"/>
  <c r="AM60" i="274"/>
  <c r="AI60" i="274"/>
  <c r="AE60" i="274"/>
  <c r="AA60" i="274"/>
  <c r="W60" i="274"/>
  <c r="BO59" i="274"/>
  <c r="BK59" i="274"/>
  <c r="BG59" i="274"/>
  <c r="AQ59" i="274"/>
  <c r="AM59" i="274"/>
  <c r="AI59" i="274"/>
  <c r="AE59" i="274"/>
  <c r="AA59" i="274"/>
  <c r="W59" i="274"/>
  <c r="BO58" i="274"/>
  <c r="BK58" i="274"/>
  <c r="BG58" i="274"/>
  <c r="AQ58" i="274"/>
  <c r="AM58" i="274"/>
  <c r="AI58" i="274"/>
  <c r="AE58" i="274"/>
  <c r="AA58" i="274"/>
  <c r="W58" i="274"/>
  <c r="BO57" i="274"/>
  <c r="BK57" i="274"/>
  <c r="BG57" i="274"/>
  <c r="AQ57" i="274"/>
  <c r="AM57" i="274"/>
  <c r="AI57" i="274"/>
  <c r="AE57" i="274"/>
  <c r="AA57" i="274"/>
  <c r="W57" i="274"/>
  <c r="BO56" i="274"/>
  <c r="BK56" i="274"/>
  <c r="BG56" i="274"/>
  <c r="AQ56" i="274"/>
  <c r="AM56" i="274"/>
  <c r="AI56" i="274"/>
  <c r="AE56" i="274"/>
  <c r="AA56" i="274"/>
  <c r="W56" i="274"/>
  <c r="BO55" i="274"/>
  <c r="BK55" i="274"/>
  <c r="BG55" i="274"/>
  <c r="AQ55" i="274"/>
  <c r="AM55" i="274"/>
  <c r="AI55" i="274"/>
  <c r="AE55" i="274"/>
  <c r="AA55" i="274"/>
  <c r="W55" i="274"/>
  <c r="BO54" i="274"/>
  <c r="BK54" i="274"/>
  <c r="BG54" i="274"/>
  <c r="AQ54" i="274"/>
  <c r="AM54" i="274"/>
  <c r="AI54" i="274"/>
  <c r="AE54" i="274"/>
  <c r="AA54" i="274"/>
  <c r="W54" i="274"/>
  <c r="BO53" i="274"/>
  <c r="BK53" i="274"/>
  <c r="BG53" i="274"/>
  <c r="AQ53" i="274"/>
  <c r="AM53" i="274"/>
  <c r="AI53" i="274"/>
  <c r="AE53" i="274"/>
  <c r="AA53" i="274"/>
  <c r="W53" i="274"/>
  <c r="BO52" i="274"/>
  <c r="BK52" i="274"/>
  <c r="BG52" i="274"/>
  <c r="AQ52" i="274"/>
  <c r="AM52" i="274"/>
  <c r="AI52" i="274"/>
  <c r="AE52" i="274"/>
  <c r="AA52" i="274"/>
  <c r="W52" i="274"/>
  <c r="BO51" i="274"/>
  <c r="BK51" i="274"/>
  <c r="BK62" i="274"/>
  <c r="BG51" i="274"/>
  <c r="AQ51" i="274"/>
  <c r="AM51" i="274"/>
  <c r="AI51" i="274"/>
  <c r="AE51" i="274"/>
  <c r="AA51" i="274"/>
  <c r="W51" i="274"/>
  <c r="BN50" i="274"/>
  <c r="BL50" i="274"/>
  <c r="BJ50" i="274"/>
  <c r="BI50" i="274"/>
  <c r="BH50" i="274"/>
  <c r="BF50" i="274"/>
  <c r="BE50" i="274"/>
  <c r="BD50" i="274"/>
  <c r="BC50" i="274"/>
  <c r="BB50" i="274"/>
  <c r="BA50" i="274"/>
  <c r="AZ50" i="274"/>
  <c r="AP50" i="274"/>
  <c r="AO50" i="274"/>
  <c r="AN50" i="274"/>
  <c r="AL50" i="274"/>
  <c r="AK50" i="274"/>
  <c r="AK70" i="274"/>
  <c r="AJ50" i="274"/>
  <c r="AH50" i="274"/>
  <c r="AG50" i="274"/>
  <c r="AF50" i="274"/>
  <c r="AD50" i="274"/>
  <c r="AC50" i="274"/>
  <c r="AB50" i="274"/>
  <c r="Z50" i="274"/>
  <c r="Y50" i="274"/>
  <c r="X50" i="274"/>
  <c r="V50" i="274"/>
  <c r="U50" i="274"/>
  <c r="T50" i="274"/>
  <c r="BO49" i="274"/>
  <c r="BK49" i="274"/>
  <c r="BG49" i="274"/>
  <c r="AQ49" i="274"/>
  <c r="AM49" i="274"/>
  <c r="AI49" i="274"/>
  <c r="AE49" i="274"/>
  <c r="AA49" i="274"/>
  <c r="W49" i="274"/>
  <c r="BO48" i="274"/>
  <c r="BK48" i="274"/>
  <c r="BG48" i="274"/>
  <c r="AQ48" i="274"/>
  <c r="AM48" i="274"/>
  <c r="AI48" i="274"/>
  <c r="AE48" i="274"/>
  <c r="AA48" i="274"/>
  <c r="W48" i="274"/>
  <c r="BO47" i="274"/>
  <c r="BK47" i="274"/>
  <c r="BG47" i="274"/>
  <c r="AQ47" i="274"/>
  <c r="AM47" i="274"/>
  <c r="AI47" i="274"/>
  <c r="AE47" i="274"/>
  <c r="AA47" i="274"/>
  <c r="W47" i="274"/>
  <c r="BO46" i="274"/>
  <c r="BK46" i="274"/>
  <c r="BG46" i="274"/>
  <c r="AQ46" i="274"/>
  <c r="AM46" i="274"/>
  <c r="AI46" i="274"/>
  <c r="AE46" i="274"/>
  <c r="AA46" i="274"/>
  <c r="W46" i="274"/>
  <c r="BO45" i="274"/>
  <c r="BK45" i="274"/>
  <c r="BG45" i="274"/>
  <c r="AQ45" i="274"/>
  <c r="AM45" i="274"/>
  <c r="AI45" i="274"/>
  <c r="AE45" i="274"/>
  <c r="AA45" i="274"/>
  <c r="W45" i="274"/>
  <c r="BO44" i="274"/>
  <c r="BK44" i="274"/>
  <c r="BG44" i="274"/>
  <c r="AQ44" i="274"/>
  <c r="AM44" i="274"/>
  <c r="AI44" i="274"/>
  <c r="AE44" i="274"/>
  <c r="AA44" i="274"/>
  <c r="W44" i="274"/>
  <c r="BO43" i="274"/>
  <c r="BK43" i="274"/>
  <c r="BG43" i="274"/>
  <c r="AQ43" i="274"/>
  <c r="AM43" i="274"/>
  <c r="AI43" i="274"/>
  <c r="AE43" i="274"/>
  <c r="AA43" i="274"/>
  <c r="W43" i="274"/>
  <c r="BO42" i="274"/>
  <c r="BK42" i="274"/>
  <c r="BG42" i="274"/>
  <c r="AQ42" i="274"/>
  <c r="AM42" i="274"/>
  <c r="AI42" i="274"/>
  <c r="AE42" i="274"/>
  <c r="AA42" i="274"/>
  <c r="W42" i="274"/>
  <c r="BO41" i="274"/>
  <c r="BK41" i="274"/>
  <c r="BG41" i="274"/>
  <c r="AQ41" i="274"/>
  <c r="AM41" i="274"/>
  <c r="AI41" i="274"/>
  <c r="AE41" i="274"/>
  <c r="AA41" i="274"/>
  <c r="W41" i="274"/>
  <c r="BJ39" i="274"/>
  <c r="BI39" i="274"/>
  <c r="BI40" i="274"/>
  <c r="BH39" i="274"/>
  <c r="BF39" i="274"/>
  <c r="BE39" i="274"/>
  <c r="BD39" i="274"/>
  <c r="BC39" i="274"/>
  <c r="BB39" i="274"/>
  <c r="BA39" i="274"/>
  <c r="AZ39" i="274"/>
  <c r="AZ40" i="274"/>
  <c r="BO37" i="274"/>
  <c r="BK37" i="274"/>
  <c r="BG37" i="274"/>
  <c r="BO36" i="274"/>
  <c r="BK36" i="274"/>
  <c r="BG36" i="274"/>
  <c r="BO35" i="274"/>
  <c r="BK35" i="274"/>
  <c r="BJ13" i="98"/>
  <c r="BJ36" i="98"/>
  <c r="BG35" i="274"/>
  <c r="BN34" i="274"/>
  <c r="BM34" i="274"/>
  <c r="BL34" i="274"/>
  <c r="BJ34" i="274"/>
  <c r="BI34" i="274"/>
  <c r="BH34" i="274"/>
  <c r="BF34" i="274"/>
  <c r="BF40" i="274"/>
  <c r="BE34" i="274"/>
  <c r="BD34" i="274"/>
  <c r="BC34" i="274"/>
  <c r="BB34" i="274"/>
  <c r="BA34" i="274"/>
  <c r="AZ34" i="274"/>
  <c r="BO33" i="274"/>
  <c r="BK33" i="274"/>
  <c r="BJ12" i="98"/>
  <c r="BJ35" i="98"/>
  <c r="BG33" i="274"/>
  <c r="BO32" i="274"/>
  <c r="BK32" i="274"/>
  <c r="BG32" i="274"/>
  <c r="BO31" i="274"/>
  <c r="BK31" i="274"/>
  <c r="BG31" i="274"/>
  <c r="BN30" i="274"/>
  <c r="BN40" i="274"/>
  <c r="BM30" i="274"/>
  <c r="BL30" i="274"/>
  <c r="BJ30" i="274"/>
  <c r="BI30" i="274"/>
  <c r="BH30" i="274"/>
  <c r="BF30" i="274"/>
  <c r="BE30" i="274"/>
  <c r="BD30" i="274"/>
  <c r="BC30" i="274"/>
  <c r="BB30" i="274"/>
  <c r="BA30" i="274"/>
  <c r="AZ30" i="274"/>
  <c r="BO29" i="274"/>
  <c r="BK29" i="274"/>
  <c r="BG29" i="274"/>
  <c r="BO28" i="274"/>
  <c r="BK28" i="274"/>
  <c r="BG28" i="274"/>
  <c r="BO26" i="274"/>
  <c r="BK26" i="274"/>
  <c r="BG26" i="274"/>
  <c r="BN24" i="274"/>
  <c r="BM24" i="274"/>
  <c r="BL24" i="274"/>
  <c r="BL25" i="274"/>
  <c r="BJ24" i="274"/>
  <c r="BI24" i="274"/>
  <c r="BH24" i="274"/>
  <c r="BF24" i="274"/>
  <c r="BE24" i="274"/>
  <c r="BD24" i="274"/>
  <c r="BC24" i="274"/>
  <c r="BB24" i="274"/>
  <c r="BB25" i="274"/>
  <c r="BA24" i="274"/>
  <c r="AZ24" i="274"/>
  <c r="AP24" i="274"/>
  <c r="AO24" i="274"/>
  <c r="AN24" i="274"/>
  <c r="AL24" i="274"/>
  <c r="AK24" i="274"/>
  <c r="AJ24" i="274"/>
  <c r="AJ25" i="274"/>
  <c r="AJ20" i="274"/>
  <c r="AJ15" i="274"/>
  <c r="AH24" i="274"/>
  <c r="AG24" i="274"/>
  <c r="AF24" i="274"/>
  <c r="AD24" i="274"/>
  <c r="AC24" i="274"/>
  <c r="AB24" i="274"/>
  <c r="Z24" i="274"/>
  <c r="Z20" i="274"/>
  <c r="Z15" i="274"/>
  <c r="Y24" i="274"/>
  <c r="X24" i="274"/>
  <c r="V24" i="274"/>
  <c r="U24" i="274"/>
  <c r="T24" i="274"/>
  <c r="BO23" i="274"/>
  <c r="BK23" i="274"/>
  <c r="BG23" i="274"/>
  <c r="AQ23" i="274"/>
  <c r="AM23" i="274"/>
  <c r="AI23" i="274"/>
  <c r="AE23" i="274"/>
  <c r="AE24" i="274"/>
  <c r="AA23" i="274"/>
  <c r="W23" i="274"/>
  <c r="BO22" i="274"/>
  <c r="BK22" i="274"/>
  <c r="BG22" i="274"/>
  <c r="AQ22" i="274"/>
  <c r="AM22" i="274"/>
  <c r="AI22" i="274"/>
  <c r="AH8" i="98"/>
  <c r="AE22" i="274"/>
  <c r="AA22" i="274"/>
  <c r="W22" i="274"/>
  <c r="BO21" i="274"/>
  <c r="BK21" i="274"/>
  <c r="BG21" i="274"/>
  <c r="AQ21" i="274"/>
  <c r="AM21" i="274"/>
  <c r="AM24" i="274"/>
  <c r="AI21" i="274"/>
  <c r="AE21" i="274"/>
  <c r="AA21" i="274"/>
  <c r="W21" i="274"/>
  <c r="BN20" i="274"/>
  <c r="BM20" i="274"/>
  <c r="BL20" i="274"/>
  <c r="BJ20" i="274"/>
  <c r="BJ25" i="274"/>
  <c r="BI20" i="274"/>
  <c r="BH20" i="274"/>
  <c r="BF20" i="274"/>
  <c r="BE20" i="274"/>
  <c r="BD20" i="274"/>
  <c r="BC20" i="274"/>
  <c r="BB20" i="274"/>
  <c r="BA20" i="274"/>
  <c r="BA25" i="274"/>
  <c r="AZ20" i="274"/>
  <c r="AP20" i="274"/>
  <c r="AO20" i="274"/>
  <c r="AN20" i="274"/>
  <c r="AL20" i="274"/>
  <c r="AK20" i="274"/>
  <c r="AH20" i="274"/>
  <c r="AG20" i="274"/>
  <c r="AF20" i="274"/>
  <c r="AF15" i="274"/>
  <c r="AD20" i="274"/>
  <c r="AC20" i="274"/>
  <c r="AB20" i="274"/>
  <c r="Y20" i="274"/>
  <c r="X20" i="274"/>
  <c r="V20" i="274"/>
  <c r="U20" i="274"/>
  <c r="T20" i="274"/>
  <c r="BO19" i="274"/>
  <c r="BK19" i="274"/>
  <c r="BG19" i="274"/>
  <c r="AQ19" i="274"/>
  <c r="AM19" i="274"/>
  <c r="AI19" i="274"/>
  <c r="AE19" i="274"/>
  <c r="AA19" i="274"/>
  <c r="W19" i="274"/>
  <c r="BO18" i="274"/>
  <c r="BK18" i="274"/>
  <c r="BG18" i="274"/>
  <c r="AQ18" i="274"/>
  <c r="AM18" i="274"/>
  <c r="AI18" i="274"/>
  <c r="AE18" i="274"/>
  <c r="AA18" i="274"/>
  <c r="W18" i="274"/>
  <c r="BO17" i="274"/>
  <c r="BK17" i="274"/>
  <c r="BG17" i="274"/>
  <c r="AQ17" i="274"/>
  <c r="AQ20" i="274"/>
  <c r="AM17" i="274"/>
  <c r="AI17" i="274"/>
  <c r="AE17" i="274"/>
  <c r="AA17" i="274"/>
  <c r="W17" i="274"/>
  <c r="BO16" i="274"/>
  <c r="BK16" i="274"/>
  <c r="BG16" i="274"/>
  <c r="AQ16" i="274"/>
  <c r="AM16" i="274"/>
  <c r="AI16" i="274"/>
  <c r="AE16" i="274"/>
  <c r="AA16" i="274"/>
  <c r="W16" i="274"/>
  <c r="BN15" i="274"/>
  <c r="BM15" i="274"/>
  <c r="BM25" i="274"/>
  <c r="BL15" i="274"/>
  <c r="BJ15" i="274"/>
  <c r="BI15" i="274"/>
  <c r="BH15" i="274"/>
  <c r="BF15" i="274"/>
  <c r="BE15" i="274"/>
  <c r="BD15" i="274"/>
  <c r="BC15" i="274"/>
  <c r="BC25" i="274"/>
  <c r="BB15" i="274"/>
  <c r="BA15" i="274"/>
  <c r="AZ15" i="274"/>
  <c r="AP15" i="274"/>
  <c r="AO15" i="274"/>
  <c r="AN15" i="274"/>
  <c r="AL15" i="274"/>
  <c r="AK15" i="274"/>
  <c r="AK25" i="274"/>
  <c r="AH15" i="274"/>
  <c r="AG15" i="274"/>
  <c r="AD15" i="274"/>
  <c r="AC15" i="274"/>
  <c r="AB15" i="274"/>
  <c r="Y15" i="274"/>
  <c r="X15" i="274"/>
  <c r="V15" i="274"/>
  <c r="U15" i="274"/>
  <c r="T15" i="274"/>
  <c r="BO14" i="274"/>
  <c r="BK14" i="274"/>
  <c r="BG14" i="274"/>
  <c r="AQ14" i="274"/>
  <c r="AM14" i="274"/>
  <c r="AI14" i="274"/>
  <c r="AE14" i="274"/>
  <c r="AA14" i="274"/>
  <c r="W14" i="274"/>
  <c r="BO13" i="274"/>
  <c r="BK13" i="274"/>
  <c r="BG13" i="274"/>
  <c r="AQ13" i="274"/>
  <c r="AM13" i="274"/>
  <c r="AI13" i="274"/>
  <c r="AE13" i="274"/>
  <c r="AA13" i="274"/>
  <c r="W13" i="274"/>
  <c r="BO12" i="274"/>
  <c r="BK12" i="274"/>
  <c r="BG12" i="274"/>
  <c r="AQ12" i="274"/>
  <c r="AM12" i="274"/>
  <c r="AI12" i="274"/>
  <c r="AE12" i="274"/>
  <c r="AA12" i="274"/>
  <c r="W12" i="274"/>
  <c r="BO11" i="274"/>
  <c r="BK11" i="274"/>
  <c r="BG11" i="274"/>
  <c r="AQ11" i="274"/>
  <c r="AM11" i="274"/>
  <c r="AI11" i="274"/>
  <c r="AE11" i="274"/>
  <c r="AA11" i="274"/>
  <c r="W11" i="274"/>
  <c r="BO10" i="274"/>
  <c r="BK10" i="274"/>
  <c r="BG10" i="274"/>
  <c r="AQ10" i="274"/>
  <c r="AM10" i="274"/>
  <c r="AI10" i="274"/>
  <c r="AE10" i="274"/>
  <c r="AA10" i="274"/>
  <c r="W10" i="274"/>
  <c r="BO9" i="274"/>
  <c r="BK9" i="274"/>
  <c r="BG9" i="274"/>
  <c r="AQ9" i="274"/>
  <c r="AM9" i="274"/>
  <c r="AI9" i="274"/>
  <c r="AE9" i="274"/>
  <c r="AA9" i="274"/>
  <c r="W9" i="274"/>
  <c r="BO8" i="274"/>
  <c r="BK8" i="274"/>
  <c r="BG8" i="274"/>
  <c r="AQ8" i="274"/>
  <c r="AM8" i="274"/>
  <c r="AI8" i="274"/>
  <c r="AE8" i="274"/>
  <c r="AA8" i="274"/>
  <c r="W8" i="274"/>
  <c r="BO7" i="274"/>
  <c r="BK7" i="274"/>
  <c r="BG7" i="274"/>
  <c r="AQ7" i="274"/>
  <c r="AM7" i="274"/>
  <c r="AI7" i="274"/>
  <c r="AE7" i="274"/>
  <c r="AA7" i="274"/>
  <c r="W7" i="274"/>
  <c r="BO6" i="274"/>
  <c r="BK6" i="274"/>
  <c r="BG6" i="274"/>
  <c r="AQ6" i="274"/>
  <c r="AM6" i="274"/>
  <c r="AI6" i="274"/>
  <c r="AE6" i="274"/>
  <c r="AA6" i="274"/>
  <c r="W6" i="274"/>
  <c r="BO5" i="274"/>
  <c r="BK5" i="274"/>
  <c r="BG5" i="274"/>
  <c r="AQ5" i="274"/>
  <c r="AM5" i="274"/>
  <c r="AI5" i="274"/>
  <c r="AE5" i="274"/>
  <c r="AA5" i="274"/>
  <c r="W5" i="274"/>
  <c r="J37" i="202"/>
  <c r="J36" i="202"/>
  <c r="J35" i="202"/>
  <c r="J34" i="202"/>
  <c r="J33" i="202"/>
  <c r="J32" i="202"/>
  <c r="J30" i="202"/>
  <c r="N29" i="202"/>
  <c r="M29" i="202"/>
  <c r="M35" i="202"/>
  <c r="L29" i="202"/>
  <c r="K29" i="202"/>
  <c r="N28" i="202"/>
  <c r="M28" i="202"/>
  <c r="L28" i="202"/>
  <c r="K28" i="202"/>
  <c r="N27" i="202"/>
  <c r="M27" i="202"/>
  <c r="L27" i="202"/>
  <c r="K27" i="202"/>
  <c r="N24" i="202"/>
  <c r="M24" i="202"/>
  <c r="L24" i="202"/>
  <c r="K24" i="202"/>
  <c r="N23" i="202"/>
  <c r="M23" i="202"/>
  <c r="L23" i="202"/>
  <c r="K23" i="202"/>
  <c r="N22" i="202"/>
  <c r="M22" i="202"/>
  <c r="L22" i="202"/>
  <c r="K22" i="202"/>
  <c r="J20" i="202"/>
  <c r="N19" i="202"/>
  <c r="N34" i="202"/>
  <c r="L19" i="202"/>
  <c r="K19" i="202"/>
  <c r="N18" i="202"/>
  <c r="M18" i="202"/>
  <c r="L18" i="202"/>
  <c r="K18" i="202"/>
  <c r="N17" i="202"/>
  <c r="M17" i="202"/>
  <c r="L16" i="336"/>
  <c r="L17" i="202"/>
  <c r="K17" i="202"/>
  <c r="J15" i="202"/>
  <c r="M14" i="202"/>
  <c r="L14" i="202"/>
  <c r="K14" i="202"/>
  <c r="K15" i="202"/>
  <c r="M13" i="202"/>
  <c r="M36" i="202"/>
  <c r="L13" i="202"/>
  <c r="L36" i="202"/>
  <c r="K13" i="202"/>
  <c r="L12" i="202"/>
  <c r="J10" i="202"/>
  <c r="N9" i="202"/>
  <c r="M9" i="202"/>
  <c r="L9" i="202"/>
  <c r="L35" i="202"/>
  <c r="K9" i="202"/>
  <c r="N8" i="202"/>
  <c r="N10" i="202"/>
  <c r="M8" i="202"/>
  <c r="L8" i="202"/>
  <c r="K8" i="202"/>
  <c r="N7" i="202"/>
  <c r="M7" i="202"/>
  <c r="L7" i="202"/>
  <c r="L10" i="202"/>
  <c r="K7" i="202"/>
  <c r="O101" i="201"/>
  <c r="N101" i="201"/>
  <c r="N96" i="201"/>
  <c r="N87" i="201"/>
  <c r="M101" i="201"/>
  <c r="M96" i="201"/>
  <c r="M87" i="201"/>
  <c r="L101" i="201"/>
  <c r="K101" i="201"/>
  <c r="J101" i="201"/>
  <c r="I101" i="201"/>
  <c r="H101" i="201"/>
  <c r="G101" i="201"/>
  <c r="F101" i="201"/>
  <c r="E101" i="201"/>
  <c r="D101" i="201"/>
  <c r="O96" i="201"/>
  <c r="L96" i="201"/>
  <c r="K96" i="201"/>
  <c r="J96" i="201"/>
  <c r="I96" i="201"/>
  <c r="H96" i="201"/>
  <c r="G96" i="201"/>
  <c r="F96" i="201"/>
  <c r="E96" i="201"/>
  <c r="D96" i="201"/>
  <c r="O87" i="201"/>
  <c r="L87" i="201"/>
  <c r="K87" i="201"/>
  <c r="J87" i="201"/>
  <c r="I87" i="201"/>
  <c r="H87" i="201"/>
  <c r="H102" i="201"/>
  <c r="G87" i="201"/>
  <c r="F87" i="201"/>
  <c r="E87" i="201"/>
  <c r="D87" i="201"/>
  <c r="O76" i="201"/>
  <c r="O80" i="201"/>
  <c r="N76" i="201"/>
  <c r="N80" i="201"/>
  <c r="M76" i="201"/>
  <c r="M80" i="201"/>
  <c r="L76" i="201"/>
  <c r="L80" i="201"/>
  <c r="O69" i="201"/>
  <c r="N69" i="201"/>
  <c r="M69" i="201"/>
  <c r="L69" i="201"/>
  <c r="K69" i="201"/>
  <c r="J69" i="201"/>
  <c r="J70" i="201"/>
  <c r="I69" i="201"/>
  <c r="I70" i="201"/>
  <c r="H69" i="201"/>
  <c r="G69" i="201"/>
  <c r="F69" i="201"/>
  <c r="E69" i="201"/>
  <c r="D69" i="201"/>
  <c r="O62" i="201"/>
  <c r="N62" i="201"/>
  <c r="M62" i="201"/>
  <c r="L62" i="201"/>
  <c r="K62" i="201"/>
  <c r="J62" i="201"/>
  <c r="I62" i="201"/>
  <c r="H62" i="201"/>
  <c r="G62" i="201"/>
  <c r="F62" i="201"/>
  <c r="E62" i="201"/>
  <c r="D62" i="201"/>
  <c r="O50" i="201"/>
  <c r="O14" i="201"/>
  <c r="O19" i="201"/>
  <c r="O23" i="201"/>
  <c r="O38" i="201"/>
  <c r="O33" i="201"/>
  <c r="O29" i="201"/>
  <c r="N50" i="201"/>
  <c r="M50" i="201"/>
  <c r="L50" i="201"/>
  <c r="L14" i="201"/>
  <c r="L19" i="201"/>
  <c r="L24" i="201"/>
  <c r="L23" i="201"/>
  <c r="L38" i="201"/>
  <c r="L33" i="201"/>
  <c r="L29" i="201"/>
  <c r="K50" i="201"/>
  <c r="J50" i="201"/>
  <c r="I50" i="201"/>
  <c r="H50" i="201"/>
  <c r="G50" i="201"/>
  <c r="G14" i="201"/>
  <c r="G19" i="201"/>
  <c r="G23" i="201"/>
  <c r="G38" i="201"/>
  <c r="G33" i="201"/>
  <c r="G29" i="201"/>
  <c r="F50" i="201"/>
  <c r="E50" i="201"/>
  <c r="E14" i="201"/>
  <c r="E19" i="201"/>
  <c r="E23" i="201"/>
  <c r="D50" i="201"/>
  <c r="N38" i="201"/>
  <c r="M38" i="201"/>
  <c r="K38" i="201"/>
  <c r="J38" i="201"/>
  <c r="I38" i="201"/>
  <c r="H38" i="201"/>
  <c r="F38" i="201"/>
  <c r="N33" i="201"/>
  <c r="M33" i="201"/>
  <c r="M29" i="201"/>
  <c r="K33" i="201"/>
  <c r="J33" i="201"/>
  <c r="I33" i="201"/>
  <c r="H33" i="201"/>
  <c r="F33" i="201"/>
  <c r="N29" i="201"/>
  <c r="K29" i="201"/>
  <c r="J29" i="201"/>
  <c r="I29" i="201"/>
  <c r="H29" i="201"/>
  <c r="F29" i="201"/>
  <c r="F39" i="201"/>
  <c r="N23" i="201"/>
  <c r="M23" i="201"/>
  <c r="K23" i="201"/>
  <c r="J23" i="201"/>
  <c r="I23" i="201"/>
  <c r="H23" i="201"/>
  <c r="F23" i="201"/>
  <c r="D23" i="201"/>
  <c r="N19" i="201"/>
  <c r="M19" i="201"/>
  <c r="K19" i="201"/>
  <c r="J19" i="201"/>
  <c r="I19" i="201"/>
  <c r="H19" i="201"/>
  <c r="F19" i="201"/>
  <c r="D19" i="201"/>
  <c r="N14" i="201"/>
  <c r="N24" i="201"/>
  <c r="M14" i="201"/>
  <c r="K14" i="201"/>
  <c r="K24" i="201"/>
  <c r="J14" i="201"/>
  <c r="I14" i="201"/>
  <c r="I24" i="201"/>
  <c r="H14" i="201"/>
  <c r="H24" i="201"/>
  <c r="F14" i="201"/>
  <c r="D14" i="201"/>
  <c r="O36" i="229"/>
  <c r="N36" i="229"/>
  <c r="M36" i="229"/>
  <c r="L36" i="229"/>
  <c r="K36" i="229"/>
  <c r="J36" i="229"/>
  <c r="I36" i="229"/>
  <c r="H36" i="229"/>
  <c r="G36" i="229"/>
  <c r="F36" i="229"/>
  <c r="E36" i="229"/>
  <c r="D36" i="229"/>
  <c r="C36" i="229"/>
  <c r="O35" i="229"/>
  <c r="O37" i="229"/>
  <c r="N35" i="229"/>
  <c r="M35" i="229"/>
  <c r="L35" i="229"/>
  <c r="K35" i="229"/>
  <c r="J35" i="229"/>
  <c r="I35" i="229"/>
  <c r="H35" i="229"/>
  <c r="G35" i="229"/>
  <c r="G37" i="229"/>
  <c r="F35" i="229"/>
  <c r="E35" i="229"/>
  <c r="D35" i="229"/>
  <c r="D31" i="229"/>
  <c r="D32" i="229"/>
  <c r="D33" i="229"/>
  <c r="D34" i="229"/>
  <c r="C35" i="229"/>
  <c r="O34" i="229"/>
  <c r="N34" i="229"/>
  <c r="M34" i="229"/>
  <c r="L34" i="229"/>
  <c r="K34" i="229"/>
  <c r="J34" i="229"/>
  <c r="I34" i="229"/>
  <c r="H34" i="229"/>
  <c r="G34" i="229"/>
  <c r="F34" i="229"/>
  <c r="E34" i="229"/>
  <c r="C34" i="229"/>
  <c r="O33" i="229"/>
  <c r="N33" i="229"/>
  <c r="M33" i="229"/>
  <c r="L33" i="229"/>
  <c r="L37" i="229"/>
  <c r="K33" i="229"/>
  <c r="J33" i="229"/>
  <c r="I33" i="229"/>
  <c r="H33" i="229"/>
  <c r="G33" i="229"/>
  <c r="F33" i="229"/>
  <c r="F31" i="229"/>
  <c r="F32" i="229"/>
  <c r="E33" i="229"/>
  <c r="C33" i="229"/>
  <c r="O32" i="229"/>
  <c r="N32" i="229"/>
  <c r="M32" i="229"/>
  <c r="L32" i="229"/>
  <c r="K32" i="229"/>
  <c r="J32" i="229"/>
  <c r="J37" i="229"/>
  <c r="I32" i="229"/>
  <c r="H32" i="229"/>
  <c r="G32" i="229"/>
  <c r="E32" i="229"/>
  <c r="C32" i="229"/>
  <c r="O31" i="229"/>
  <c r="N31" i="229"/>
  <c r="M31" i="229"/>
  <c r="L31" i="229"/>
  <c r="K31" i="229"/>
  <c r="J31" i="229"/>
  <c r="I31" i="229"/>
  <c r="H31" i="229"/>
  <c r="G31" i="229"/>
  <c r="E31" i="229"/>
  <c r="C31" i="229"/>
  <c r="C37" i="229"/>
  <c r="O29" i="229"/>
  <c r="N29" i="229"/>
  <c r="M29" i="229"/>
  <c r="L29" i="229"/>
  <c r="K29" i="229"/>
  <c r="J29" i="229"/>
  <c r="I29" i="229"/>
  <c r="H29" i="229"/>
  <c r="G29" i="229"/>
  <c r="F29" i="229"/>
  <c r="E29" i="229"/>
  <c r="D29" i="229"/>
  <c r="C29" i="229"/>
  <c r="O24" i="229"/>
  <c r="N24" i="229"/>
  <c r="L24" i="229"/>
  <c r="O19" i="229"/>
  <c r="N19" i="229"/>
  <c r="M19" i="229"/>
  <c r="L19" i="229"/>
  <c r="K19" i="229"/>
  <c r="J19" i="229"/>
  <c r="I19" i="229"/>
  <c r="H19" i="229"/>
  <c r="G19" i="229"/>
  <c r="F19" i="229"/>
  <c r="E19" i="229"/>
  <c r="D19" i="229"/>
  <c r="C19" i="229"/>
  <c r="O14" i="229"/>
  <c r="N14" i="229"/>
  <c r="L14" i="229"/>
  <c r="K14" i="229"/>
  <c r="J14" i="229"/>
  <c r="I14" i="229"/>
  <c r="H14" i="229"/>
  <c r="G14" i="229"/>
  <c r="O9" i="229"/>
  <c r="N9" i="229"/>
  <c r="M9" i="229"/>
  <c r="L9" i="229"/>
  <c r="K9" i="229"/>
  <c r="J9" i="229"/>
  <c r="I9" i="229"/>
  <c r="H9" i="229"/>
  <c r="G9" i="229"/>
  <c r="F9" i="229"/>
  <c r="E9" i="229"/>
  <c r="D9" i="229"/>
  <c r="C9" i="229"/>
  <c r="L77" i="228"/>
  <c r="K77" i="228"/>
  <c r="J77" i="228"/>
  <c r="I77" i="228"/>
  <c r="H77" i="228"/>
  <c r="G77" i="228"/>
  <c r="F77" i="228"/>
  <c r="E77" i="228"/>
  <c r="O36" i="227"/>
  <c r="N36" i="227"/>
  <c r="M36" i="227"/>
  <c r="L36" i="227"/>
  <c r="K36" i="227"/>
  <c r="J36" i="227"/>
  <c r="I36" i="227"/>
  <c r="H36" i="227"/>
  <c r="O35" i="227"/>
  <c r="N35" i="227"/>
  <c r="M35" i="227"/>
  <c r="L35" i="227"/>
  <c r="K35" i="227"/>
  <c r="J35" i="227"/>
  <c r="I35" i="227"/>
  <c r="H35" i="227"/>
  <c r="O34" i="227"/>
  <c r="N34" i="227"/>
  <c r="M34" i="227"/>
  <c r="L34" i="227"/>
  <c r="K34" i="227"/>
  <c r="J34" i="227"/>
  <c r="J37" i="227"/>
  <c r="I34" i="227"/>
  <c r="H34" i="227"/>
  <c r="G34" i="227"/>
  <c r="F34" i="227"/>
  <c r="E34" i="227"/>
  <c r="D34" i="227"/>
  <c r="C34" i="227"/>
  <c r="O33" i="227"/>
  <c r="O37" i="227"/>
  <c r="N33" i="227"/>
  <c r="M33" i="227"/>
  <c r="L33" i="227"/>
  <c r="K33" i="227"/>
  <c r="J33" i="227"/>
  <c r="I33" i="227"/>
  <c r="H33" i="227"/>
  <c r="G33" i="227"/>
  <c r="G37" i="227"/>
  <c r="F33" i="227"/>
  <c r="E33" i="227"/>
  <c r="D33" i="227"/>
  <c r="C33" i="227"/>
  <c r="O32" i="227"/>
  <c r="N32" i="227"/>
  <c r="M32" i="227"/>
  <c r="L32" i="227"/>
  <c r="K32" i="227"/>
  <c r="J32" i="227"/>
  <c r="I32" i="227"/>
  <c r="H32" i="227"/>
  <c r="G32" i="227"/>
  <c r="F32" i="227"/>
  <c r="E32" i="227"/>
  <c r="D32" i="227"/>
  <c r="D37" i="227"/>
  <c r="C32" i="227"/>
  <c r="O31" i="227"/>
  <c r="N31" i="227"/>
  <c r="M31" i="227"/>
  <c r="L31" i="227"/>
  <c r="K31" i="227"/>
  <c r="J31" i="227"/>
  <c r="I31" i="227"/>
  <c r="I37" i="227"/>
  <c r="H31" i="227"/>
  <c r="G31" i="227"/>
  <c r="F31" i="227"/>
  <c r="E31" i="227"/>
  <c r="E37" i="227"/>
  <c r="D31" i="227"/>
  <c r="C31" i="227"/>
  <c r="O29" i="227"/>
  <c r="N29" i="227"/>
  <c r="M29" i="227"/>
  <c r="L29" i="227"/>
  <c r="K29" i="227"/>
  <c r="J29" i="227"/>
  <c r="I29" i="227"/>
  <c r="H29" i="227"/>
  <c r="G29" i="227"/>
  <c r="F29" i="227"/>
  <c r="E29" i="227"/>
  <c r="D29" i="227"/>
  <c r="C29" i="227"/>
  <c r="O24" i="227"/>
  <c r="N24" i="227"/>
  <c r="M24" i="227"/>
  <c r="L24" i="227"/>
  <c r="O19" i="227"/>
  <c r="N19" i="227"/>
  <c r="M19" i="227"/>
  <c r="L19" i="227"/>
  <c r="K19" i="227"/>
  <c r="J19" i="227"/>
  <c r="I19" i="227"/>
  <c r="H19" i="227"/>
  <c r="G19" i="227"/>
  <c r="F19" i="227"/>
  <c r="E19" i="227"/>
  <c r="D19" i="227"/>
  <c r="C19" i="227"/>
  <c r="O14" i="227"/>
  <c r="N14" i="227"/>
  <c r="M14" i="227"/>
  <c r="L14" i="227"/>
  <c r="K14" i="227"/>
  <c r="J14" i="227"/>
  <c r="I14" i="227"/>
  <c r="H14" i="227"/>
  <c r="G14" i="227"/>
  <c r="O9" i="227"/>
  <c r="N9" i="227"/>
  <c r="M9" i="227"/>
  <c r="L9" i="227"/>
  <c r="K9" i="227"/>
  <c r="J9" i="227"/>
  <c r="I9" i="227"/>
  <c r="H9" i="227"/>
  <c r="G9" i="227"/>
  <c r="F9" i="227"/>
  <c r="E9" i="227"/>
  <c r="D9" i="227"/>
  <c r="C9" i="227"/>
  <c r="L77" i="226"/>
  <c r="K77" i="226"/>
  <c r="J77" i="226"/>
  <c r="I77" i="226"/>
  <c r="H77" i="226"/>
  <c r="G77" i="226"/>
  <c r="F77" i="226"/>
  <c r="E77" i="226"/>
  <c r="W37" i="194"/>
  <c r="V37" i="194"/>
  <c r="U37" i="194"/>
  <c r="Q37" i="194"/>
  <c r="P37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Z36" i="194"/>
  <c r="Y36" i="194"/>
  <c r="X36" i="194"/>
  <c r="Z35" i="194"/>
  <c r="Y35" i="194"/>
  <c r="X35" i="194"/>
  <c r="Z34" i="194"/>
  <c r="Y34" i="194"/>
  <c r="X34" i="194"/>
  <c r="Z33" i="194"/>
  <c r="Y33" i="194"/>
  <c r="Y37" i="194"/>
  <c r="X33" i="194"/>
  <c r="Z32" i="194"/>
  <c r="Y32" i="194"/>
  <c r="X32" i="194"/>
  <c r="Z31" i="194"/>
  <c r="Y31" i="194"/>
  <c r="X31" i="194"/>
  <c r="Z29" i="194"/>
  <c r="Y29" i="194"/>
  <c r="X29" i="194"/>
  <c r="AL28" i="194"/>
  <c r="AK28" i="194"/>
  <c r="AK34" i="194"/>
  <c r="AJ28" i="194"/>
  <c r="AI28" i="194"/>
  <c r="AH28" i="194"/>
  <c r="AG28" i="194"/>
  <c r="AF28" i="194"/>
  <c r="AE28" i="194"/>
  <c r="AD28" i="194"/>
  <c r="AD8" i="194"/>
  <c r="AD34" i="194"/>
  <c r="AC28" i="194"/>
  <c r="AB28" i="194"/>
  <c r="AA28" i="194"/>
  <c r="AA8" i="194"/>
  <c r="AA34" i="194"/>
  <c r="AL27" i="194"/>
  <c r="AK27" i="194"/>
  <c r="AJ27" i="194"/>
  <c r="AI27" i="194"/>
  <c r="AH27" i="194"/>
  <c r="AH26" i="194"/>
  <c r="AG27" i="194"/>
  <c r="AF27" i="194"/>
  <c r="AE27" i="194"/>
  <c r="AD27" i="194"/>
  <c r="AC27" i="194"/>
  <c r="AB27" i="194"/>
  <c r="AB29" i="194"/>
  <c r="AA27" i="194"/>
  <c r="AL26" i="194"/>
  <c r="AK26" i="194"/>
  <c r="AJ26" i="194"/>
  <c r="AI26" i="194"/>
  <c r="AG26" i="194"/>
  <c r="AF26" i="194"/>
  <c r="AE26" i="194"/>
  <c r="AE29" i="194"/>
  <c r="AD26" i="194"/>
  <c r="AC26" i="194"/>
  <c r="AB26" i="194"/>
  <c r="AA26" i="194"/>
  <c r="AL23" i="194"/>
  <c r="AK23" i="194"/>
  <c r="AJ23" i="194"/>
  <c r="AI23" i="194"/>
  <c r="AH23" i="194"/>
  <c r="AG23" i="194"/>
  <c r="AF23" i="194"/>
  <c r="AE23" i="194"/>
  <c r="AE18" i="194"/>
  <c r="AD23" i="194"/>
  <c r="AC23" i="194"/>
  <c r="AB23" i="194"/>
  <c r="AA23" i="194"/>
  <c r="AL22" i="194"/>
  <c r="AK22" i="194"/>
  <c r="AJ22" i="194"/>
  <c r="AI22" i="194"/>
  <c r="AH22" i="194"/>
  <c r="AG22" i="194"/>
  <c r="AF22" i="194"/>
  <c r="AF32" i="194"/>
  <c r="AE22" i="194"/>
  <c r="AD22" i="194"/>
  <c r="AC22" i="194"/>
  <c r="AB22" i="194"/>
  <c r="AA22" i="194"/>
  <c r="AL21" i="194"/>
  <c r="AL24" i="194"/>
  <c r="AK21" i="194"/>
  <c r="AK24" i="194"/>
  <c r="AJ21" i="194"/>
  <c r="AJ31" i="194"/>
  <c r="AI21" i="194"/>
  <c r="AH21" i="194"/>
  <c r="AG21" i="194"/>
  <c r="AF21" i="194"/>
  <c r="AE21" i="194"/>
  <c r="AD21" i="194"/>
  <c r="AD24" i="194"/>
  <c r="AC21" i="194"/>
  <c r="AC24" i="194"/>
  <c r="AB21" i="194"/>
  <c r="AB31" i="194"/>
  <c r="AA21" i="194"/>
  <c r="Z19" i="194"/>
  <c r="Y19" i="194"/>
  <c r="X19" i="194"/>
  <c r="AL18" i="194"/>
  <c r="AK18" i="194"/>
  <c r="AJ18" i="194"/>
  <c r="AI18" i="194"/>
  <c r="AI33" i="194"/>
  <c r="AH18" i="194"/>
  <c r="AG18" i="194"/>
  <c r="AF18" i="194"/>
  <c r="AD18" i="194"/>
  <c r="AC18" i="194"/>
  <c r="AB18" i="194"/>
  <c r="AA18" i="194"/>
  <c r="AA33" i="194"/>
  <c r="AL17" i="194"/>
  <c r="AK17" i="194"/>
  <c r="AJ17" i="194"/>
  <c r="AI17" i="194"/>
  <c r="AH17" i="194"/>
  <c r="AG17" i="194"/>
  <c r="AF17" i="194"/>
  <c r="AE17" i="194"/>
  <c r="AE32" i="194"/>
  <c r="AD17" i="194"/>
  <c r="AC17" i="194"/>
  <c r="AB17" i="194"/>
  <c r="AA17" i="194"/>
  <c r="AL16" i="194"/>
  <c r="AK16" i="194"/>
  <c r="AJ16" i="194"/>
  <c r="AI16" i="194"/>
  <c r="AI31" i="194"/>
  <c r="AH16" i="194"/>
  <c r="AG16" i="194"/>
  <c r="AG19" i="194"/>
  <c r="AF16" i="194"/>
  <c r="AE16" i="194"/>
  <c r="AD16" i="194"/>
  <c r="AC16" i="194"/>
  <c r="AB16" i="194"/>
  <c r="AA16" i="194"/>
  <c r="AA19" i="194"/>
  <c r="Z14" i="194"/>
  <c r="Y14" i="194"/>
  <c r="X14" i="194"/>
  <c r="AL13" i="194"/>
  <c r="AL36" i="194"/>
  <c r="AK13" i="194"/>
  <c r="AK36" i="194"/>
  <c r="AJ13" i="194"/>
  <c r="AJ36" i="194"/>
  <c r="AI13" i="194"/>
  <c r="AI36" i="194"/>
  <c r="AH13" i="194"/>
  <c r="AH36" i="194"/>
  <c r="AG13" i="194"/>
  <c r="AG36" i="194"/>
  <c r="AF13" i="194"/>
  <c r="AF36" i="194"/>
  <c r="AE13" i="194"/>
  <c r="AE36" i="194"/>
  <c r="AD13" i="194"/>
  <c r="AD36" i="194"/>
  <c r="AC13" i="194"/>
  <c r="AC36" i="194"/>
  <c r="AB13" i="194"/>
  <c r="AA13" i="194"/>
  <c r="AA36" i="194"/>
  <c r="AL12" i="194"/>
  <c r="AL35" i="194"/>
  <c r="AK12" i="194"/>
  <c r="AK35" i="194"/>
  <c r="AJ12" i="194"/>
  <c r="AJ35" i="194"/>
  <c r="AI12" i="194"/>
  <c r="AI35" i="194"/>
  <c r="AH12" i="194"/>
  <c r="AG12" i="194"/>
  <c r="AG35" i="194"/>
  <c r="AF12" i="194"/>
  <c r="AF35" i="194"/>
  <c r="AE12" i="194"/>
  <c r="AE35" i="194"/>
  <c r="AD12" i="194"/>
  <c r="AD35" i="194"/>
  <c r="AC12" i="194"/>
  <c r="AC35" i="194"/>
  <c r="AB12" i="194"/>
  <c r="AB35" i="194"/>
  <c r="AA12" i="194"/>
  <c r="AA35" i="194"/>
  <c r="AL11" i="194"/>
  <c r="AK11" i="194"/>
  <c r="AJ11" i="194"/>
  <c r="AI11" i="194"/>
  <c r="AH11" i="194"/>
  <c r="AH32" i="194"/>
  <c r="AG11" i="194"/>
  <c r="AF11" i="194"/>
  <c r="AE11" i="194"/>
  <c r="AD11" i="194"/>
  <c r="AC11" i="194"/>
  <c r="AB11" i="194"/>
  <c r="AA11" i="194"/>
  <c r="AA14" i="194"/>
  <c r="Z9" i="194"/>
  <c r="Y9" i="194"/>
  <c r="X9" i="194"/>
  <c r="AL8" i="194"/>
  <c r="AK8" i="194"/>
  <c r="AJ8" i="194"/>
  <c r="AI8" i="194"/>
  <c r="AI6" i="194"/>
  <c r="AI7" i="194"/>
  <c r="AI32" i="194"/>
  <c r="AH8" i="194"/>
  <c r="AG8" i="194"/>
  <c r="AF8" i="194"/>
  <c r="AF34" i="194"/>
  <c r="AE8" i="194"/>
  <c r="AC8" i="194"/>
  <c r="AB8" i="194"/>
  <c r="AB34" i="194"/>
  <c r="AL7" i="194"/>
  <c r="AK7" i="194"/>
  <c r="AK32" i="194"/>
  <c r="AJ7" i="194"/>
  <c r="AH7" i="194"/>
  <c r="AG7" i="194"/>
  <c r="AF7" i="194"/>
  <c r="AE7" i="194"/>
  <c r="AD7" i="194"/>
  <c r="AC7" i="194"/>
  <c r="AB7" i="194"/>
  <c r="AB9" i="194"/>
  <c r="AA7" i="194"/>
  <c r="AL6" i="194"/>
  <c r="AK6" i="194"/>
  <c r="AJ6" i="194"/>
  <c r="AH6" i="194"/>
  <c r="AG6" i="194"/>
  <c r="AF6" i="194"/>
  <c r="AF9" i="194"/>
  <c r="AE6" i="194"/>
  <c r="AE31" i="194"/>
  <c r="AD6" i="194"/>
  <c r="AC6" i="194"/>
  <c r="AB6" i="194"/>
  <c r="AA6" i="194"/>
  <c r="AM102" i="193"/>
  <c r="AL102" i="193"/>
  <c r="AK102" i="193"/>
  <c r="AJ102" i="193"/>
  <c r="AI102" i="193"/>
  <c r="AH102" i="193"/>
  <c r="AG102" i="193"/>
  <c r="AF102" i="193"/>
  <c r="AE102" i="193"/>
  <c r="AD102" i="193"/>
  <c r="AC102" i="193"/>
  <c r="AB102" i="193"/>
  <c r="AA102" i="193"/>
  <c r="Z102" i="193"/>
  <c r="Y102" i="193"/>
  <c r="X102" i="193"/>
  <c r="W102" i="193"/>
  <c r="V102" i="193"/>
  <c r="U102" i="193"/>
  <c r="T102" i="193"/>
  <c r="S102" i="193"/>
  <c r="R102" i="193"/>
  <c r="Q102" i="193"/>
  <c r="P102" i="193"/>
  <c r="O102" i="193"/>
  <c r="N102" i="193"/>
  <c r="M102" i="193"/>
  <c r="L102" i="193"/>
  <c r="K102" i="193"/>
  <c r="J102" i="193"/>
  <c r="I102" i="193"/>
  <c r="H102" i="193"/>
  <c r="G102" i="193"/>
  <c r="F102" i="193"/>
  <c r="E102" i="193"/>
  <c r="D102" i="193"/>
  <c r="AM97" i="193"/>
  <c r="AM103" i="193"/>
  <c r="AL97" i="193"/>
  <c r="AK97" i="193"/>
  <c r="AJ97" i="193"/>
  <c r="AI97" i="193"/>
  <c r="AH97" i="193"/>
  <c r="AG97" i="193"/>
  <c r="AF97" i="193"/>
  <c r="AE97" i="193"/>
  <c r="AE103" i="193"/>
  <c r="AD97" i="193"/>
  <c r="AC97" i="193"/>
  <c r="AB97" i="193"/>
  <c r="AA97" i="193"/>
  <c r="Z97" i="193"/>
  <c r="Y97" i="193"/>
  <c r="X97" i="193"/>
  <c r="W97" i="193"/>
  <c r="W103" i="193"/>
  <c r="V97" i="193"/>
  <c r="U97" i="193"/>
  <c r="T97" i="193"/>
  <c r="S97" i="193"/>
  <c r="R97" i="193"/>
  <c r="Q97" i="193"/>
  <c r="P97" i="193"/>
  <c r="O97" i="193"/>
  <c r="O103" i="193"/>
  <c r="N97" i="193"/>
  <c r="M97" i="193"/>
  <c r="L97" i="193"/>
  <c r="K97" i="193"/>
  <c r="J97" i="193"/>
  <c r="I97" i="193"/>
  <c r="H97" i="193"/>
  <c r="G97" i="193"/>
  <c r="G103" i="193"/>
  <c r="F97" i="193"/>
  <c r="E97" i="193"/>
  <c r="D97" i="193"/>
  <c r="AM88" i="193"/>
  <c r="AL88" i="193"/>
  <c r="AK88" i="193"/>
  <c r="AJ88" i="193"/>
  <c r="AI88" i="193"/>
  <c r="AH88" i="193"/>
  <c r="AG88" i="193"/>
  <c r="AF88" i="193"/>
  <c r="AE88" i="193"/>
  <c r="AD88" i="193"/>
  <c r="AC88" i="193"/>
  <c r="AB88" i="193"/>
  <c r="AA88" i="193"/>
  <c r="Z88" i="193"/>
  <c r="Y88" i="193"/>
  <c r="X88" i="193"/>
  <c r="W88" i="193"/>
  <c r="V88" i="193"/>
  <c r="U88" i="193"/>
  <c r="T88" i="193"/>
  <c r="S88" i="193"/>
  <c r="R88" i="193"/>
  <c r="Q88" i="193"/>
  <c r="P88" i="193"/>
  <c r="O88" i="193"/>
  <c r="N88" i="193"/>
  <c r="M88" i="193"/>
  <c r="L88" i="193"/>
  <c r="K88" i="193"/>
  <c r="J88" i="193"/>
  <c r="I88" i="193"/>
  <c r="H88" i="193"/>
  <c r="G88" i="193"/>
  <c r="F88" i="193"/>
  <c r="E88" i="193"/>
  <c r="D88" i="193"/>
  <c r="AM24" i="193"/>
  <c r="AM20" i="193"/>
  <c r="AM15" i="193"/>
  <c r="AM39" i="193"/>
  <c r="AM34" i="193"/>
  <c r="AM30" i="193"/>
  <c r="AM70" i="193"/>
  <c r="AM63" i="193"/>
  <c r="AM51" i="193"/>
  <c r="AI24" i="193"/>
  <c r="AI20" i="193"/>
  <c r="AI15" i="193"/>
  <c r="AI25" i="193"/>
  <c r="AI39" i="193"/>
  <c r="AI34" i="193"/>
  <c r="AI30" i="193"/>
  <c r="AI40" i="193"/>
  <c r="AI70" i="193"/>
  <c r="AI63" i="193"/>
  <c r="AI51" i="193"/>
  <c r="AI71" i="193"/>
  <c r="AG24" i="193"/>
  <c r="AG20" i="193"/>
  <c r="AG15" i="193"/>
  <c r="AG39" i="193"/>
  <c r="AG34" i="193"/>
  <c r="AG30" i="193"/>
  <c r="AG70" i="193"/>
  <c r="AG63" i="193"/>
  <c r="AG51" i="193"/>
  <c r="AC24" i="193"/>
  <c r="AC20" i="193"/>
  <c r="AC15" i="193"/>
  <c r="AC39" i="193"/>
  <c r="AC34" i="193"/>
  <c r="AC30" i="193"/>
  <c r="AC70" i="193"/>
  <c r="AC63" i="193"/>
  <c r="AC51" i="193"/>
  <c r="AC103" i="193"/>
  <c r="AL70" i="193"/>
  <c r="AK70" i="193"/>
  <c r="AJ70" i="193"/>
  <c r="AH70" i="193"/>
  <c r="AF70" i="193"/>
  <c r="AE70" i="193"/>
  <c r="AD70" i="193"/>
  <c r="AB70" i="193"/>
  <c r="AA70" i="193"/>
  <c r="Z70" i="193"/>
  <c r="Y70" i="193"/>
  <c r="X70" i="193"/>
  <c r="W70" i="193"/>
  <c r="V70" i="193"/>
  <c r="U70" i="193"/>
  <c r="T70" i="193"/>
  <c r="S70" i="193"/>
  <c r="R70" i="193"/>
  <c r="Q70" i="193"/>
  <c r="P70" i="193"/>
  <c r="O70" i="193"/>
  <c r="N70" i="193"/>
  <c r="M70" i="193"/>
  <c r="L70" i="193"/>
  <c r="K70" i="193"/>
  <c r="J70" i="193"/>
  <c r="I70" i="193"/>
  <c r="H70" i="193"/>
  <c r="G70" i="193"/>
  <c r="F70" i="193"/>
  <c r="E70" i="193"/>
  <c r="D70" i="193"/>
  <c r="AL63" i="193"/>
  <c r="AK63" i="193"/>
  <c r="AJ63" i="193"/>
  <c r="AH63" i="193"/>
  <c r="AF63" i="193"/>
  <c r="AE63" i="193"/>
  <c r="AD63" i="193"/>
  <c r="AB63" i="193"/>
  <c r="AA63" i="193"/>
  <c r="Z63" i="193"/>
  <c r="Y63" i="193"/>
  <c r="X63" i="193"/>
  <c r="W63" i="193"/>
  <c r="V63" i="193"/>
  <c r="U63" i="193"/>
  <c r="T63" i="193"/>
  <c r="S63" i="193"/>
  <c r="R63" i="193"/>
  <c r="Q63" i="193"/>
  <c r="P63" i="193"/>
  <c r="O63" i="193"/>
  <c r="N63" i="193"/>
  <c r="M63" i="193"/>
  <c r="L63" i="193"/>
  <c r="K63" i="193"/>
  <c r="J63" i="193"/>
  <c r="I63" i="193"/>
  <c r="H63" i="193"/>
  <c r="G63" i="193"/>
  <c r="F63" i="193"/>
  <c r="E63" i="193"/>
  <c r="D63" i="193"/>
  <c r="AL51" i="193"/>
  <c r="AK51" i="193"/>
  <c r="AJ51" i="193"/>
  <c r="AH51" i="193"/>
  <c r="AF51" i="193"/>
  <c r="AE51" i="193"/>
  <c r="AD51" i="193"/>
  <c r="AB51" i="193"/>
  <c r="AA51" i="193"/>
  <c r="Z51" i="193"/>
  <c r="Y51" i="193"/>
  <c r="X51" i="193"/>
  <c r="W51" i="193"/>
  <c r="V51" i="193"/>
  <c r="U51" i="193"/>
  <c r="T51" i="193"/>
  <c r="S51" i="193"/>
  <c r="R51" i="193"/>
  <c r="Q51" i="193"/>
  <c r="P51" i="193"/>
  <c r="O51" i="193"/>
  <c r="N51" i="193"/>
  <c r="M51" i="193"/>
  <c r="L51" i="193"/>
  <c r="K51" i="193"/>
  <c r="J51" i="193"/>
  <c r="I51" i="193"/>
  <c r="H51" i="193"/>
  <c r="G51" i="193"/>
  <c r="F51" i="193"/>
  <c r="E51" i="193"/>
  <c r="D51" i="193"/>
  <c r="AL39" i="193"/>
  <c r="AK39" i="193"/>
  <c r="AJ39" i="193"/>
  <c r="AH39" i="193"/>
  <c r="AF39" i="193"/>
  <c r="AE39" i="193"/>
  <c r="AD39" i="193"/>
  <c r="AB39" i="193"/>
  <c r="AA39" i="193"/>
  <c r="Z39" i="193"/>
  <c r="Y39" i="193"/>
  <c r="X39" i="193"/>
  <c r="W39" i="193"/>
  <c r="V39" i="193"/>
  <c r="U39" i="193"/>
  <c r="T39" i="193"/>
  <c r="S39" i="193"/>
  <c r="R39" i="193"/>
  <c r="Q39" i="193"/>
  <c r="P39" i="193"/>
  <c r="O39" i="193"/>
  <c r="N39" i="193"/>
  <c r="M39" i="193"/>
  <c r="L39" i="193"/>
  <c r="AL34" i="193"/>
  <c r="AK34" i="193"/>
  <c r="AJ34" i="193"/>
  <c r="AH34" i="193"/>
  <c r="AF34" i="193"/>
  <c r="AE34" i="193"/>
  <c r="AD34" i="193"/>
  <c r="AB34" i="193"/>
  <c r="AA34" i="193"/>
  <c r="Z34" i="193"/>
  <c r="Y34" i="193"/>
  <c r="X34" i="193"/>
  <c r="W34" i="193"/>
  <c r="V34" i="193"/>
  <c r="U34" i="193"/>
  <c r="T34" i="193"/>
  <c r="S34" i="193"/>
  <c r="R34" i="193"/>
  <c r="Q34" i="193"/>
  <c r="P34" i="193"/>
  <c r="O34" i="193"/>
  <c r="N34" i="193"/>
  <c r="M34" i="193"/>
  <c r="L34" i="193"/>
  <c r="AL30" i="193"/>
  <c r="AK30" i="193"/>
  <c r="AJ30" i="193"/>
  <c r="AH30" i="193"/>
  <c r="AF30" i="193"/>
  <c r="AE30" i="193"/>
  <c r="AD30" i="193"/>
  <c r="AB30" i="193"/>
  <c r="AA30" i="193"/>
  <c r="Z30" i="193"/>
  <c r="Y30" i="193"/>
  <c r="X30" i="193"/>
  <c r="W30" i="193"/>
  <c r="V30" i="193"/>
  <c r="U30" i="193"/>
  <c r="T30" i="193"/>
  <c r="S30" i="193"/>
  <c r="R30" i="193"/>
  <c r="Q30" i="193"/>
  <c r="P30" i="193"/>
  <c r="O30" i="193"/>
  <c r="N30" i="193"/>
  <c r="M30" i="193"/>
  <c r="L30" i="193"/>
  <c r="AL24" i="193"/>
  <c r="AK24" i="193"/>
  <c r="AJ24" i="193"/>
  <c r="AH24" i="193"/>
  <c r="AF24" i="193"/>
  <c r="AE24" i="193"/>
  <c r="AD24" i="193"/>
  <c r="AD25" i="193"/>
  <c r="AB24" i="193"/>
  <c r="AA24" i="193"/>
  <c r="Z24" i="193"/>
  <c r="Y24" i="193"/>
  <c r="X24" i="193"/>
  <c r="W24" i="193"/>
  <c r="V24" i="193"/>
  <c r="U24" i="193"/>
  <c r="U25" i="193"/>
  <c r="T24" i="193"/>
  <c r="S24" i="193"/>
  <c r="R24" i="193"/>
  <c r="Q24" i="193"/>
  <c r="P24" i="193"/>
  <c r="O24" i="193"/>
  <c r="N24" i="193"/>
  <c r="M24" i="193"/>
  <c r="M25" i="193"/>
  <c r="L24" i="193"/>
  <c r="K24" i="193"/>
  <c r="J24" i="193"/>
  <c r="I24" i="193"/>
  <c r="I20" i="193"/>
  <c r="I15" i="193"/>
  <c r="H24" i="193"/>
  <c r="G24" i="193"/>
  <c r="G25" i="193"/>
  <c r="G105" i="193"/>
  <c r="F24" i="193"/>
  <c r="E24" i="193"/>
  <c r="D24" i="193"/>
  <c r="AL20" i="193"/>
  <c r="AK20" i="193"/>
  <c r="AJ20" i="193"/>
  <c r="AH20" i="193"/>
  <c r="AF20" i="193"/>
  <c r="AF25" i="193"/>
  <c r="AE20" i="193"/>
  <c r="AD20" i="193"/>
  <c r="AB20" i="193"/>
  <c r="AA20" i="193"/>
  <c r="Z20" i="193"/>
  <c r="Y20" i="193"/>
  <c r="X20" i="193"/>
  <c r="W20" i="193"/>
  <c r="W25" i="193"/>
  <c r="V20" i="193"/>
  <c r="U20" i="193"/>
  <c r="T20" i="193"/>
  <c r="S20" i="193"/>
  <c r="R20" i="193"/>
  <c r="Q20" i="193"/>
  <c r="P20" i="193"/>
  <c r="O20" i="193"/>
  <c r="O25" i="193"/>
  <c r="N20" i="193"/>
  <c r="M20" i="193"/>
  <c r="L20" i="193"/>
  <c r="K20" i="193"/>
  <c r="J20" i="193"/>
  <c r="H20" i="193"/>
  <c r="G20" i="193"/>
  <c r="F20" i="193"/>
  <c r="F25" i="193"/>
  <c r="E20" i="193"/>
  <c r="D20" i="193"/>
  <c r="AL15" i="193"/>
  <c r="AK15" i="193"/>
  <c r="AJ15" i="193"/>
  <c r="AH15" i="193"/>
  <c r="AF15" i="193"/>
  <c r="AE15" i="193"/>
  <c r="AE25" i="193"/>
  <c r="AD15" i="193"/>
  <c r="AB15" i="193"/>
  <c r="AA15" i="193"/>
  <c r="Z15" i="193"/>
  <c r="Y15" i="193"/>
  <c r="X15" i="193"/>
  <c r="W15" i="193"/>
  <c r="V15" i="193"/>
  <c r="U15" i="193"/>
  <c r="T15" i="193"/>
  <c r="S15" i="193"/>
  <c r="R15" i="193"/>
  <c r="Q15" i="193"/>
  <c r="P15" i="193"/>
  <c r="O15" i="193"/>
  <c r="N15" i="193"/>
  <c r="M15" i="193"/>
  <c r="L15" i="193"/>
  <c r="K15" i="193"/>
  <c r="J15" i="193"/>
  <c r="H15" i="193"/>
  <c r="G15" i="193"/>
  <c r="F15" i="193"/>
  <c r="E15" i="193"/>
  <c r="E25" i="193"/>
  <c r="D15" i="193"/>
  <c r="N14" i="304"/>
  <c r="M14" i="304"/>
  <c r="L14" i="304"/>
  <c r="K14" i="304"/>
  <c r="J14" i="304"/>
  <c r="I14" i="304"/>
  <c r="H14" i="304"/>
  <c r="G14" i="304"/>
  <c r="F14" i="304"/>
  <c r="E14" i="304"/>
  <c r="N13" i="304"/>
  <c r="M13" i="304"/>
  <c r="L13" i="304"/>
  <c r="K13" i="304"/>
  <c r="J13" i="304"/>
  <c r="I13" i="304"/>
  <c r="H13" i="304"/>
  <c r="G13" i="304"/>
  <c r="F13" i="304"/>
  <c r="E13" i="304"/>
  <c r="N12" i="304"/>
  <c r="M12" i="304"/>
  <c r="L12" i="304"/>
  <c r="K12" i="304"/>
  <c r="J12" i="304"/>
  <c r="I12" i="304"/>
  <c r="H12" i="304"/>
  <c r="G12" i="304"/>
  <c r="F12" i="304"/>
  <c r="E12" i="304"/>
  <c r="N11" i="304"/>
  <c r="M11" i="304"/>
  <c r="L11" i="304"/>
  <c r="K11" i="304"/>
  <c r="J11" i="304"/>
  <c r="I11" i="304"/>
  <c r="H11" i="304"/>
  <c r="G11" i="304"/>
  <c r="F11" i="304"/>
  <c r="E11" i="304"/>
  <c r="N10" i="304"/>
  <c r="M10" i="304"/>
  <c r="L10" i="304"/>
  <c r="K10" i="304"/>
  <c r="J10" i="304"/>
  <c r="I10" i="304"/>
  <c r="H10" i="304"/>
  <c r="G10" i="304"/>
  <c r="F10" i="304"/>
  <c r="E10" i="304"/>
  <c r="N9" i="304"/>
  <c r="M9" i="304"/>
  <c r="L9" i="304"/>
  <c r="K9" i="304"/>
  <c r="J9" i="304"/>
  <c r="I9" i="304"/>
  <c r="H9" i="304"/>
  <c r="G9" i="304"/>
  <c r="F9" i="304"/>
  <c r="E9" i="304"/>
  <c r="N8" i="304"/>
  <c r="M8" i="304"/>
  <c r="L8" i="304"/>
  <c r="K8" i="304"/>
  <c r="J8" i="304"/>
  <c r="I8" i="304"/>
  <c r="H8" i="304"/>
  <c r="G8" i="304"/>
  <c r="F8" i="304"/>
  <c r="E8" i="304"/>
  <c r="N7" i="304"/>
  <c r="M7" i="304"/>
  <c r="L7" i="304"/>
  <c r="K7" i="304"/>
  <c r="J7" i="304"/>
  <c r="I7" i="304"/>
  <c r="H7" i="304"/>
  <c r="G7" i="304"/>
  <c r="F7" i="304"/>
  <c r="E7" i="304"/>
  <c r="Z6" i="304"/>
  <c r="N5" i="304"/>
  <c r="Y6" i="304"/>
  <c r="M17" i="304"/>
  <c r="X6" i="304"/>
  <c r="L18" i="304"/>
  <c r="W6" i="304"/>
  <c r="K18" i="304"/>
  <c r="V6" i="304"/>
  <c r="J19" i="304"/>
  <c r="U6" i="304"/>
  <c r="T6" i="304"/>
  <c r="S6" i="304"/>
  <c r="G18" i="304"/>
  <c r="R6" i="304"/>
  <c r="F19" i="304"/>
  <c r="Q6" i="304"/>
  <c r="E16" i="304"/>
  <c r="M5" i="304"/>
  <c r="I4" i="304"/>
  <c r="AB36" i="241"/>
  <c r="AC36" i="241"/>
  <c r="Z36" i="241"/>
  <c r="AB35" i="241"/>
  <c r="AC35" i="241"/>
  <c r="Z35" i="241"/>
  <c r="AB34" i="241"/>
  <c r="AA34" i="241"/>
  <c r="X34" i="241"/>
  <c r="Z34" i="241"/>
  <c r="AB33" i="241"/>
  <c r="AA33" i="241"/>
  <c r="X33" i="241"/>
  <c r="Z33" i="241"/>
  <c r="AB32" i="241"/>
  <c r="AA32" i="241"/>
  <c r="X32" i="241"/>
  <c r="AB31" i="241"/>
  <c r="AA31" i="241"/>
  <c r="X31" i="241"/>
  <c r="Z31" i="241"/>
  <c r="AB29" i="241"/>
  <c r="AA29" i="241"/>
  <c r="X29" i="241"/>
  <c r="Z29" i="241"/>
  <c r="AK28" i="241"/>
  <c r="AJ28" i="241"/>
  <c r="AJ8" i="241"/>
  <c r="AJ34" i="241"/>
  <c r="AL34" i="241"/>
  <c r="AH28" i="241"/>
  <c r="AG28" i="241"/>
  <c r="AE28" i="241"/>
  <c r="AF28" i="241"/>
  <c r="AD28" i="241"/>
  <c r="AC28" i="241"/>
  <c r="Z28" i="241"/>
  <c r="AK27" i="241"/>
  <c r="AJ27" i="241"/>
  <c r="AL27" i="241"/>
  <c r="AH27" i="241"/>
  <c r="AG27" i="241"/>
  <c r="AE27" i="241"/>
  <c r="AD27" i="241"/>
  <c r="AC27" i="241"/>
  <c r="Z27" i="241"/>
  <c r="AK26" i="241"/>
  <c r="AJ26" i="241"/>
  <c r="AJ29" i="241"/>
  <c r="AH26" i="241"/>
  <c r="AH29" i="241"/>
  <c r="AG26" i="241"/>
  <c r="AE26" i="241"/>
  <c r="AE29" i="241"/>
  <c r="AD26" i="241"/>
  <c r="AC26" i="241"/>
  <c r="Z26" i="241"/>
  <c r="AB24" i="241"/>
  <c r="AA24" i="241"/>
  <c r="AK23" i="241"/>
  <c r="AJ23" i="241"/>
  <c r="AH23" i="241"/>
  <c r="AG23" i="241"/>
  <c r="AE23" i="241"/>
  <c r="AF23" i="241"/>
  <c r="AC23" i="241"/>
  <c r="AK22" i="241"/>
  <c r="AJ22" i="241"/>
  <c r="AL22" i="241"/>
  <c r="AH22" i="241"/>
  <c r="AG22" i="241"/>
  <c r="AE22" i="241"/>
  <c r="AF22" i="241"/>
  <c r="AC22" i="241"/>
  <c r="AK21" i="241"/>
  <c r="AL21" i="241"/>
  <c r="AJ21" i="241"/>
  <c r="AH21" i="241"/>
  <c r="AG21" i="241"/>
  <c r="AI21" i="241"/>
  <c r="AE21" i="241"/>
  <c r="AC21" i="241"/>
  <c r="AB19" i="241"/>
  <c r="AA19" i="241"/>
  <c r="Y19" i="241"/>
  <c r="X19" i="241"/>
  <c r="AK18" i="241"/>
  <c r="AJ18" i="241"/>
  <c r="AL18" i="241"/>
  <c r="AH18" i="241"/>
  <c r="AG18" i="241"/>
  <c r="AE18" i="241"/>
  <c r="AE33" i="241"/>
  <c r="AD18" i="241"/>
  <c r="AC18" i="241"/>
  <c r="Z18" i="241"/>
  <c r="AK17" i="241"/>
  <c r="AJ17" i="241"/>
  <c r="AL17" i="241"/>
  <c r="AH17" i="241"/>
  <c r="AG17" i="241"/>
  <c r="AE17" i="241"/>
  <c r="AF17" i="241"/>
  <c r="AD17" i="241"/>
  <c r="AC17" i="241"/>
  <c r="Z17" i="241"/>
  <c r="AK16" i="241"/>
  <c r="AK6" i="241"/>
  <c r="AL6" i="241"/>
  <c r="AJ16" i="241"/>
  <c r="AH16" i="241"/>
  <c r="AH19" i="241"/>
  <c r="AG16" i="241"/>
  <c r="AE16" i="241"/>
  <c r="AD16" i="241"/>
  <c r="AC16" i="241"/>
  <c r="Z16" i="241"/>
  <c r="Z19" i="241"/>
  <c r="AB14" i="241"/>
  <c r="AC14" i="241"/>
  <c r="Y14" i="241"/>
  <c r="Z14" i="241"/>
  <c r="AK13" i="241"/>
  <c r="AK36" i="241"/>
  <c r="AL36" i="241"/>
  <c r="AH13" i="241"/>
  <c r="AI13" i="241"/>
  <c r="AE13" i="241"/>
  <c r="AE36" i="241"/>
  <c r="AF36" i="241"/>
  <c r="AC13" i="241"/>
  <c r="Z13" i="241"/>
  <c r="AK12" i="241"/>
  <c r="AK35" i="241"/>
  <c r="AL35" i="241"/>
  <c r="AH12" i="241"/>
  <c r="AH35" i="241"/>
  <c r="AI35" i="241"/>
  <c r="AE12" i="241"/>
  <c r="AE35" i="241"/>
  <c r="AF35" i="241"/>
  <c r="AC12" i="241"/>
  <c r="Z12" i="241"/>
  <c r="AK11" i="241"/>
  <c r="AH11" i="241"/>
  <c r="AI11" i="241"/>
  <c r="AE11" i="241"/>
  <c r="AF11" i="241"/>
  <c r="AC11" i="241"/>
  <c r="Z11" i="241"/>
  <c r="AB9" i="241"/>
  <c r="AA9" i="241"/>
  <c r="X9" i="241"/>
  <c r="Z9" i="241"/>
  <c r="AK8" i="241"/>
  <c r="AH8" i="241"/>
  <c r="AG8" i="241"/>
  <c r="AI8" i="241"/>
  <c r="AE8" i="241"/>
  <c r="AD8" i="241"/>
  <c r="AC8" i="241"/>
  <c r="Z8" i="241"/>
  <c r="AK7" i="241"/>
  <c r="AJ7" i="241"/>
  <c r="AH7" i="241"/>
  <c r="AH32" i="241"/>
  <c r="AG7" i="241"/>
  <c r="AG9" i="241"/>
  <c r="AE7" i="241"/>
  <c r="AD7" i="241"/>
  <c r="AC7" i="241"/>
  <c r="Z7" i="241"/>
  <c r="AJ6" i="241"/>
  <c r="AH6" i="241"/>
  <c r="AG6" i="241"/>
  <c r="AE6" i="241"/>
  <c r="AE31" i="241"/>
  <c r="AF31" i="241"/>
  <c r="AD6" i="241"/>
  <c r="AC6" i="241"/>
  <c r="Z6" i="241"/>
  <c r="AL92" i="240"/>
  <c r="AK92" i="240"/>
  <c r="AI92" i="240"/>
  <c r="AH92" i="240"/>
  <c r="AF92" i="240"/>
  <c r="AF87" i="240"/>
  <c r="AF83" i="240"/>
  <c r="AE92" i="240"/>
  <c r="AC92" i="240"/>
  <c r="AB92" i="240"/>
  <c r="Z92" i="240"/>
  <c r="Y92" i="240"/>
  <c r="X92" i="240"/>
  <c r="W92" i="240"/>
  <c r="V92" i="240"/>
  <c r="U92" i="240"/>
  <c r="U93" i="240"/>
  <c r="T92" i="240"/>
  <c r="S92" i="240"/>
  <c r="R92" i="240"/>
  <c r="Q92" i="240"/>
  <c r="P92" i="240"/>
  <c r="O92" i="240"/>
  <c r="N92" i="240"/>
  <c r="M92" i="240"/>
  <c r="M93" i="240"/>
  <c r="L92" i="240"/>
  <c r="K92" i="240"/>
  <c r="AM91" i="240"/>
  <c r="AJ91" i="240"/>
  <c r="AG91" i="240"/>
  <c r="AG92" i="240"/>
  <c r="AD91" i="240"/>
  <c r="AA91" i="240"/>
  <c r="AM90" i="240"/>
  <c r="AJ90" i="240"/>
  <c r="AG90" i="240"/>
  <c r="AD90" i="240"/>
  <c r="AA90" i="240"/>
  <c r="AM89" i="240"/>
  <c r="AJ89" i="240"/>
  <c r="AG89" i="240"/>
  <c r="AD89" i="240"/>
  <c r="AA89" i="240"/>
  <c r="AM88" i="240"/>
  <c r="AJ88" i="240"/>
  <c r="AG88" i="240"/>
  <c r="AD88" i="240"/>
  <c r="AA88" i="240"/>
  <c r="AL87" i="240"/>
  <c r="AK87" i="240"/>
  <c r="AI87" i="240"/>
  <c r="AH87" i="240"/>
  <c r="AE87" i="240"/>
  <c r="AE83" i="240"/>
  <c r="AC87" i="240"/>
  <c r="AB87" i="240"/>
  <c r="Z87" i="240"/>
  <c r="Y87" i="240"/>
  <c r="Y83" i="240"/>
  <c r="X87" i="240"/>
  <c r="W87" i="240"/>
  <c r="V87" i="240"/>
  <c r="U87" i="240"/>
  <c r="T87" i="240"/>
  <c r="S87" i="240"/>
  <c r="R87" i="240"/>
  <c r="R93" i="240"/>
  <c r="Q87" i="240"/>
  <c r="P87" i="240"/>
  <c r="O87" i="240"/>
  <c r="N87" i="240"/>
  <c r="M87" i="240"/>
  <c r="L87" i="240"/>
  <c r="K87" i="240"/>
  <c r="AM86" i="240"/>
  <c r="AJ86" i="240"/>
  <c r="AG86" i="240"/>
  <c r="AD86" i="240"/>
  <c r="AA86" i="240"/>
  <c r="AM85" i="240"/>
  <c r="AM84" i="240"/>
  <c r="AJ85" i="240"/>
  <c r="AG85" i="240"/>
  <c r="AD85" i="240"/>
  <c r="AA85" i="240"/>
  <c r="AJ84" i="240"/>
  <c r="AJ87" i="240"/>
  <c r="AG84" i="240"/>
  <c r="AD84" i="240"/>
  <c r="AD87" i="240"/>
  <c r="AA84" i="240"/>
  <c r="AL83" i="240"/>
  <c r="AK83" i="240"/>
  <c r="AJ11" i="241"/>
  <c r="AL11" i="241"/>
  <c r="AI83" i="240"/>
  <c r="AH83" i="240"/>
  <c r="AC83" i="240"/>
  <c r="AB83" i="240"/>
  <c r="Z83" i="240"/>
  <c r="X83" i="240"/>
  <c r="W83" i="240"/>
  <c r="W93" i="240"/>
  <c r="V83" i="240"/>
  <c r="U83" i="240"/>
  <c r="T83" i="240"/>
  <c r="S83" i="240"/>
  <c r="R83" i="240"/>
  <c r="Q83" i="240"/>
  <c r="P83" i="240"/>
  <c r="O83" i="240"/>
  <c r="O93" i="240"/>
  <c r="N83" i="240"/>
  <c r="M83" i="240"/>
  <c r="L83" i="240"/>
  <c r="L93" i="240"/>
  <c r="K83" i="240"/>
  <c r="AM82" i="240"/>
  <c r="AJ82" i="240"/>
  <c r="AG82" i="240"/>
  <c r="AD82" i="240"/>
  <c r="AA82" i="240"/>
  <c r="AM81" i="240"/>
  <c r="AJ81" i="240"/>
  <c r="AG81" i="240"/>
  <c r="AD81" i="240"/>
  <c r="AA81" i="240"/>
  <c r="AM80" i="240"/>
  <c r="AJ80" i="240"/>
  <c r="AJ83" i="240"/>
  <c r="AG80" i="240"/>
  <c r="AG83" i="240"/>
  <c r="AD80" i="240"/>
  <c r="AD79" i="240"/>
  <c r="AA80" i="240"/>
  <c r="AM79" i="240"/>
  <c r="AM83" i="240"/>
  <c r="AJ79" i="240"/>
  <c r="AG79" i="240"/>
  <c r="AA79" i="240"/>
  <c r="AL77" i="240"/>
  <c r="AK77" i="240"/>
  <c r="AI77" i="240"/>
  <c r="AH77" i="240"/>
  <c r="AF77" i="240"/>
  <c r="AE77" i="240"/>
  <c r="AC77" i="240"/>
  <c r="AC78" i="240"/>
  <c r="AB77" i="240"/>
  <c r="Z77" i="240"/>
  <c r="Z72" i="240"/>
  <c r="Z63" i="240"/>
  <c r="Y77" i="240"/>
  <c r="X77" i="240"/>
  <c r="W77" i="240"/>
  <c r="V77" i="240"/>
  <c r="V78" i="240"/>
  <c r="U77" i="240"/>
  <c r="T77" i="240"/>
  <c r="S77" i="240"/>
  <c r="R77" i="240"/>
  <c r="Q77" i="240"/>
  <c r="P77" i="240"/>
  <c r="O77" i="240"/>
  <c r="N77" i="240"/>
  <c r="N78" i="240"/>
  <c r="M77" i="240"/>
  <c r="L77" i="240"/>
  <c r="K77" i="240"/>
  <c r="J77" i="240"/>
  <c r="I77" i="240"/>
  <c r="H77" i="240"/>
  <c r="G77" i="240"/>
  <c r="F77" i="240"/>
  <c r="F78" i="240"/>
  <c r="E77" i="240"/>
  <c r="D77" i="240"/>
  <c r="AM76" i="240"/>
  <c r="AJ76" i="240"/>
  <c r="AG76" i="240"/>
  <c r="AD76" i="240"/>
  <c r="AA76" i="240"/>
  <c r="AM75" i="240"/>
  <c r="AM77" i="240"/>
  <c r="AJ75" i="240"/>
  <c r="AG75" i="240"/>
  <c r="AG77" i="240"/>
  <c r="AD75" i="240"/>
  <c r="AA75" i="240"/>
  <c r="AA73" i="240"/>
  <c r="AA74" i="240"/>
  <c r="AM74" i="240"/>
  <c r="AJ74" i="240"/>
  <c r="AG74" i="240"/>
  <c r="AD74" i="240"/>
  <c r="AD77" i="240"/>
  <c r="AM73" i="240"/>
  <c r="AJ73" i="240"/>
  <c r="AG73" i="240"/>
  <c r="AD73" i="240"/>
  <c r="AL72" i="240"/>
  <c r="AK72" i="240"/>
  <c r="AK78" i="240"/>
  <c r="AI72" i="240"/>
  <c r="AH72" i="240"/>
  <c r="AF72" i="240"/>
  <c r="AE72" i="240"/>
  <c r="AC72" i="240"/>
  <c r="AB72" i="240"/>
  <c r="Y72" i="240"/>
  <c r="Y63" i="240"/>
  <c r="X72" i="240"/>
  <c r="W72" i="240"/>
  <c r="V72" i="240"/>
  <c r="U72" i="240"/>
  <c r="T72" i="240"/>
  <c r="S72" i="240"/>
  <c r="R72" i="240"/>
  <c r="Q72" i="240"/>
  <c r="Q78" i="240"/>
  <c r="P72" i="240"/>
  <c r="O72" i="240"/>
  <c r="N72" i="240"/>
  <c r="M72" i="240"/>
  <c r="L72" i="240"/>
  <c r="L78" i="240"/>
  <c r="K72" i="240"/>
  <c r="J72" i="240"/>
  <c r="I72" i="240"/>
  <c r="I78" i="240"/>
  <c r="H72" i="240"/>
  <c r="G72" i="240"/>
  <c r="F72" i="240"/>
  <c r="E72" i="240"/>
  <c r="D72" i="240"/>
  <c r="AM71" i="240"/>
  <c r="AJ71" i="240"/>
  <c r="AG71" i="240"/>
  <c r="AD71" i="240"/>
  <c r="AA71" i="240"/>
  <c r="AM70" i="240"/>
  <c r="AJ70" i="240"/>
  <c r="AG70" i="240"/>
  <c r="AD70" i="240"/>
  <c r="AA70" i="240"/>
  <c r="AM69" i="240"/>
  <c r="AJ69" i="240"/>
  <c r="AG69" i="240"/>
  <c r="AD69" i="240"/>
  <c r="AA69" i="240"/>
  <c r="AM68" i="240"/>
  <c r="AJ68" i="240"/>
  <c r="AG68" i="240"/>
  <c r="AD68" i="240"/>
  <c r="AA68" i="240"/>
  <c r="AM67" i="240"/>
  <c r="AJ67" i="240"/>
  <c r="AJ64" i="240"/>
  <c r="AJ65" i="240"/>
  <c r="AJ66" i="240"/>
  <c r="AJ57" i="240"/>
  <c r="AJ58" i="240"/>
  <c r="AJ59" i="240"/>
  <c r="AJ60" i="240"/>
  <c r="AJ61" i="240"/>
  <c r="AJ62" i="240"/>
  <c r="AG67" i="240"/>
  <c r="AD67" i="240"/>
  <c r="AA67" i="240"/>
  <c r="AM66" i="240"/>
  <c r="AM64" i="240"/>
  <c r="AM65" i="240"/>
  <c r="AM57" i="240"/>
  <c r="AM58" i="240"/>
  <c r="AM59" i="240"/>
  <c r="AM60" i="240"/>
  <c r="AM61" i="240"/>
  <c r="AM62" i="240"/>
  <c r="AG66" i="240"/>
  <c r="AD66" i="240"/>
  <c r="AD72" i="240"/>
  <c r="AA66" i="240"/>
  <c r="AG65" i="240"/>
  <c r="AD65" i="240"/>
  <c r="AA65" i="240"/>
  <c r="AG64" i="240"/>
  <c r="AG72" i="240"/>
  <c r="AD64" i="240"/>
  <c r="AA64" i="240"/>
  <c r="AL63" i="240"/>
  <c r="AK63" i="240"/>
  <c r="AI63" i="240"/>
  <c r="AH63" i="240"/>
  <c r="AF63" i="240"/>
  <c r="AE63" i="240"/>
  <c r="AC63" i="240"/>
  <c r="AB63" i="240"/>
  <c r="X63" i="240"/>
  <c r="W63" i="240"/>
  <c r="V63" i="240"/>
  <c r="U63" i="240"/>
  <c r="T63" i="240"/>
  <c r="S63" i="240"/>
  <c r="S78" i="240"/>
  <c r="R63" i="240"/>
  <c r="Q63" i="240"/>
  <c r="P63" i="240"/>
  <c r="O63" i="240"/>
  <c r="N63" i="240"/>
  <c r="M63" i="240"/>
  <c r="L63" i="240"/>
  <c r="K63" i="240"/>
  <c r="K78" i="240"/>
  <c r="J63" i="240"/>
  <c r="I63" i="240"/>
  <c r="H63" i="240"/>
  <c r="G63" i="240"/>
  <c r="F63" i="240"/>
  <c r="E63" i="240"/>
  <c r="D63" i="240"/>
  <c r="AG62" i="240"/>
  <c r="AD62" i="240"/>
  <c r="AA62" i="240"/>
  <c r="AG61" i="240"/>
  <c r="AD61" i="240"/>
  <c r="AA61" i="240"/>
  <c r="AG60" i="240"/>
  <c r="AD60" i="240"/>
  <c r="AA60" i="240"/>
  <c r="AG59" i="240"/>
  <c r="AD59" i="240"/>
  <c r="AA59" i="240"/>
  <c r="AG58" i="240"/>
  <c r="AD58" i="240"/>
  <c r="AA58" i="240"/>
  <c r="AG57" i="240"/>
  <c r="AD57" i="240"/>
  <c r="AD63" i="240"/>
  <c r="AA57" i="240"/>
  <c r="AL55" i="240"/>
  <c r="AK55" i="240"/>
  <c r="AI55" i="240"/>
  <c r="AH55" i="240"/>
  <c r="AF55" i="240"/>
  <c r="AE55" i="240"/>
  <c r="AC55" i="240"/>
  <c r="AB55" i="240"/>
  <c r="Z55" i="240"/>
  <c r="Y55" i="240"/>
  <c r="X55" i="240"/>
  <c r="W55" i="240"/>
  <c r="V55" i="240"/>
  <c r="U55" i="240"/>
  <c r="T55" i="240"/>
  <c r="T56" i="240"/>
  <c r="S55" i="240"/>
  <c r="R55" i="240"/>
  <c r="Q55" i="240"/>
  <c r="P55" i="240"/>
  <c r="O55" i="240"/>
  <c r="N55" i="240"/>
  <c r="M55" i="240"/>
  <c r="L55" i="240"/>
  <c r="K55" i="240"/>
  <c r="J55" i="240"/>
  <c r="I55" i="240"/>
  <c r="H55" i="240"/>
  <c r="G55" i="240"/>
  <c r="F55" i="240"/>
  <c r="E55" i="240"/>
  <c r="D55" i="240"/>
  <c r="D56" i="240"/>
  <c r="AM54" i="240"/>
  <c r="AJ54" i="240"/>
  <c r="AG54" i="240"/>
  <c r="AD54" i="240"/>
  <c r="AA54" i="240"/>
  <c r="AM53" i="240"/>
  <c r="AJ53" i="240"/>
  <c r="AG53" i="240"/>
  <c r="AD53" i="240"/>
  <c r="AA53" i="240"/>
  <c r="AM52" i="240"/>
  <c r="AJ52" i="240"/>
  <c r="AG52" i="240"/>
  <c r="AD52" i="240"/>
  <c r="AA52" i="240"/>
  <c r="AM51" i="240"/>
  <c r="AM49" i="240"/>
  <c r="AM50" i="240"/>
  <c r="AJ51" i="240"/>
  <c r="AG51" i="240"/>
  <c r="AD51" i="240"/>
  <c r="AA51" i="240"/>
  <c r="AJ50" i="240"/>
  <c r="AG50" i="240"/>
  <c r="AD50" i="240"/>
  <c r="AA50" i="240"/>
  <c r="AJ49" i="240"/>
  <c r="AG49" i="240"/>
  <c r="AD49" i="240"/>
  <c r="AA49" i="240"/>
  <c r="AL48" i="240"/>
  <c r="AL36" i="240"/>
  <c r="AK48" i="240"/>
  <c r="AI48" i="240"/>
  <c r="AH48" i="240"/>
  <c r="AF48" i="240"/>
  <c r="AE48" i="240"/>
  <c r="AC48" i="240"/>
  <c r="AB48" i="240"/>
  <c r="Z48" i="240"/>
  <c r="Z56" i="240"/>
  <c r="Y48" i="240"/>
  <c r="X48" i="240"/>
  <c r="W48" i="240"/>
  <c r="V48" i="240"/>
  <c r="U48" i="240"/>
  <c r="T48" i="240"/>
  <c r="S48" i="240"/>
  <c r="R48" i="240"/>
  <c r="R56" i="240"/>
  <c r="Q48" i="240"/>
  <c r="P48" i="240"/>
  <c r="O48" i="240"/>
  <c r="N48" i="240"/>
  <c r="M48" i="240"/>
  <c r="L48" i="240"/>
  <c r="K48" i="240"/>
  <c r="J48" i="240"/>
  <c r="J56" i="240"/>
  <c r="I48" i="240"/>
  <c r="H48" i="240"/>
  <c r="G48" i="240"/>
  <c r="F48" i="240"/>
  <c r="E48" i="240"/>
  <c r="D48" i="240"/>
  <c r="AM47" i="240"/>
  <c r="AJ47" i="240"/>
  <c r="AG47" i="240"/>
  <c r="AD47" i="240"/>
  <c r="AA47" i="240"/>
  <c r="AM46" i="240"/>
  <c r="AJ46" i="240"/>
  <c r="AG46" i="240"/>
  <c r="AD46" i="240"/>
  <c r="AA46" i="240"/>
  <c r="AM45" i="240"/>
  <c r="AJ45" i="240"/>
  <c r="AG45" i="240"/>
  <c r="AD45" i="240"/>
  <c r="AA45" i="240"/>
  <c r="AM44" i="240"/>
  <c r="AJ44" i="240"/>
  <c r="AG44" i="240"/>
  <c r="AG48" i="240"/>
  <c r="AD44" i="240"/>
  <c r="AA44" i="240"/>
  <c r="AM43" i="240"/>
  <c r="AJ43" i="240"/>
  <c r="AG43" i="240"/>
  <c r="AD43" i="240"/>
  <c r="AA43" i="240"/>
  <c r="AM42" i="240"/>
  <c r="AJ42" i="240"/>
  <c r="AG42" i="240"/>
  <c r="AD42" i="240"/>
  <c r="AA42" i="240"/>
  <c r="AM41" i="240"/>
  <c r="AJ41" i="240"/>
  <c r="AG41" i="240"/>
  <c r="AD41" i="240"/>
  <c r="AA41" i="240"/>
  <c r="AM40" i="240"/>
  <c r="AJ40" i="240"/>
  <c r="AG40" i="240"/>
  <c r="AD40" i="240"/>
  <c r="AA40" i="240"/>
  <c r="AM39" i="240"/>
  <c r="AJ39" i="240"/>
  <c r="AG39" i="240"/>
  <c r="AD39" i="240"/>
  <c r="AA39" i="240"/>
  <c r="AM38" i="240"/>
  <c r="AJ38" i="240"/>
  <c r="AG38" i="240"/>
  <c r="AD38" i="240"/>
  <c r="AD37" i="240"/>
  <c r="AA38" i="240"/>
  <c r="AM37" i="240"/>
  <c r="AJ37" i="240"/>
  <c r="AG37" i="240"/>
  <c r="AA37" i="240"/>
  <c r="AK36" i="240"/>
  <c r="AI36" i="240"/>
  <c r="AH36" i="240"/>
  <c r="AH56" i="240"/>
  <c r="AF36" i="240"/>
  <c r="AE36" i="240"/>
  <c r="AC36" i="240"/>
  <c r="AC24" i="240"/>
  <c r="AC20" i="240"/>
  <c r="AC15" i="240"/>
  <c r="AB36" i="240"/>
  <c r="AB56" i="240"/>
  <c r="Z36" i="240"/>
  <c r="Y36" i="240"/>
  <c r="X36" i="240"/>
  <c r="W36" i="240"/>
  <c r="V36" i="240"/>
  <c r="U36" i="240"/>
  <c r="T36" i="240"/>
  <c r="S36" i="240"/>
  <c r="S56" i="240"/>
  <c r="R36" i="240"/>
  <c r="Q36" i="240"/>
  <c r="P36" i="240"/>
  <c r="O36" i="240"/>
  <c r="N36" i="240"/>
  <c r="M36" i="240"/>
  <c r="L36" i="240"/>
  <c r="L24" i="240"/>
  <c r="L25" i="240"/>
  <c r="L20" i="240"/>
  <c r="L15" i="240"/>
  <c r="K36" i="240"/>
  <c r="J36" i="240"/>
  <c r="I36" i="240"/>
  <c r="H36" i="240"/>
  <c r="G36" i="240"/>
  <c r="G56" i="240"/>
  <c r="G105" i="240"/>
  <c r="F36" i="240"/>
  <c r="E36" i="240"/>
  <c r="D36" i="240"/>
  <c r="AM34" i="240"/>
  <c r="AJ34" i="240"/>
  <c r="AG34" i="240"/>
  <c r="AD34" i="240"/>
  <c r="AA34" i="240"/>
  <c r="AM33" i="240"/>
  <c r="AJ33" i="240"/>
  <c r="AG33" i="240"/>
  <c r="AD33" i="240"/>
  <c r="AA33" i="240"/>
  <c r="AM32" i="240"/>
  <c r="AJ32" i="240"/>
  <c r="AG32" i="240"/>
  <c r="AD32" i="240"/>
  <c r="AA32" i="240"/>
  <c r="AM31" i="240"/>
  <c r="AJ31" i="240"/>
  <c r="AG31" i="240"/>
  <c r="AD31" i="240"/>
  <c r="AA31" i="240"/>
  <c r="AM30" i="240"/>
  <c r="AJ30" i="240"/>
  <c r="AG30" i="240"/>
  <c r="AD30" i="240"/>
  <c r="AA30" i="240"/>
  <c r="AM29" i="240"/>
  <c r="AJ29" i="240"/>
  <c r="AG29" i="240"/>
  <c r="AD29" i="240"/>
  <c r="AA29" i="240"/>
  <c r="AM28" i="240"/>
  <c r="AM26" i="240"/>
  <c r="AM27" i="240"/>
  <c r="AJ28" i="240"/>
  <c r="AG28" i="240"/>
  <c r="AD28" i="240"/>
  <c r="AA28" i="240"/>
  <c r="AJ27" i="240"/>
  <c r="AG27" i="240"/>
  <c r="AD27" i="240"/>
  <c r="AA27" i="240"/>
  <c r="AJ26" i="240"/>
  <c r="AG26" i="240"/>
  <c r="AD26" i="240"/>
  <c r="AA26" i="240"/>
  <c r="AL24" i="240"/>
  <c r="AK24" i="240"/>
  <c r="AI24" i="240"/>
  <c r="AH24" i="240"/>
  <c r="AF24" i="240"/>
  <c r="AE24" i="240"/>
  <c r="AB24" i="240"/>
  <c r="Z24" i="240"/>
  <c r="Y24" i="240"/>
  <c r="X24" i="240"/>
  <c r="W24" i="240"/>
  <c r="V24" i="240"/>
  <c r="U24" i="240"/>
  <c r="T24" i="240"/>
  <c r="S24" i="240"/>
  <c r="R24" i="240"/>
  <c r="Q24" i="240"/>
  <c r="P24" i="240"/>
  <c r="O24" i="240"/>
  <c r="N24" i="240"/>
  <c r="M24" i="240"/>
  <c r="K24" i="240"/>
  <c r="J24" i="240"/>
  <c r="I24" i="240"/>
  <c r="I25" i="240"/>
  <c r="H24" i="240"/>
  <c r="G24" i="240"/>
  <c r="F24" i="240"/>
  <c r="E24" i="240"/>
  <c r="D24" i="240"/>
  <c r="AM23" i="240"/>
  <c r="AJ23" i="240"/>
  <c r="AG23" i="240"/>
  <c r="AG21" i="240"/>
  <c r="AG22" i="240"/>
  <c r="AD23" i="240"/>
  <c r="AA23" i="240"/>
  <c r="AM22" i="240"/>
  <c r="AJ22" i="240"/>
  <c r="AD22" i="240"/>
  <c r="AA22" i="240"/>
  <c r="AM21" i="240"/>
  <c r="AJ21" i="240"/>
  <c r="AD21" i="240"/>
  <c r="AA21" i="240"/>
  <c r="AL20" i="240"/>
  <c r="AK20" i="240"/>
  <c r="AI20" i="240"/>
  <c r="AI25" i="240"/>
  <c r="AH20" i="240"/>
  <c r="AF20" i="240"/>
  <c r="AE20" i="240"/>
  <c r="AB20" i="240"/>
  <c r="Z20" i="240"/>
  <c r="Y20" i="240"/>
  <c r="X20" i="240"/>
  <c r="W20" i="240"/>
  <c r="V20" i="240"/>
  <c r="U20" i="240"/>
  <c r="T20" i="240"/>
  <c r="S20" i="240"/>
  <c r="R20" i="240"/>
  <c r="Q20" i="240"/>
  <c r="P20" i="240"/>
  <c r="O20" i="240"/>
  <c r="O25" i="240"/>
  <c r="N20" i="240"/>
  <c r="N15" i="240"/>
  <c r="N25" i="240"/>
  <c r="M20" i="240"/>
  <c r="K20" i="240"/>
  <c r="J20" i="240"/>
  <c r="I20" i="240"/>
  <c r="H20" i="240"/>
  <c r="G20" i="240"/>
  <c r="F20" i="240"/>
  <c r="E20" i="240"/>
  <c r="D20" i="240"/>
  <c r="AM19" i="240"/>
  <c r="AM20" i="240"/>
  <c r="AJ19" i="240"/>
  <c r="AG19" i="240"/>
  <c r="AD19" i="240"/>
  <c r="AA19" i="240"/>
  <c r="AM18" i="240"/>
  <c r="AJ18" i="240"/>
  <c r="AG18" i="240"/>
  <c r="AD18" i="240"/>
  <c r="AA18" i="240"/>
  <c r="AM17" i="240"/>
  <c r="AJ17" i="240"/>
  <c r="AG17" i="240"/>
  <c r="AD17" i="240"/>
  <c r="AA17" i="240"/>
  <c r="AM16" i="240"/>
  <c r="AJ16" i="240"/>
  <c r="AG16" i="240"/>
  <c r="AG20" i="240"/>
  <c r="AD16" i="240"/>
  <c r="AA16" i="240"/>
  <c r="AL15" i="240"/>
  <c r="AK15" i="240"/>
  <c r="AI15" i="240"/>
  <c r="AH15" i="240"/>
  <c r="AF15" i="240"/>
  <c r="AE15" i="240"/>
  <c r="AB15" i="240"/>
  <c r="Z15" i="240"/>
  <c r="Y15" i="240"/>
  <c r="X15" i="240"/>
  <c r="W15" i="240"/>
  <c r="V15" i="240"/>
  <c r="U15" i="240"/>
  <c r="T15" i="240"/>
  <c r="S15" i="240"/>
  <c r="R15" i="240"/>
  <c r="Q15" i="240"/>
  <c r="P15" i="240"/>
  <c r="O15" i="240"/>
  <c r="M15" i="240"/>
  <c r="K15" i="240"/>
  <c r="J15" i="240"/>
  <c r="I15" i="240"/>
  <c r="H15" i="240"/>
  <c r="G15" i="240"/>
  <c r="F15" i="240"/>
  <c r="E15" i="240"/>
  <c r="D15" i="240"/>
  <c r="AM14" i="240"/>
  <c r="AJ14" i="240"/>
  <c r="AG14" i="240"/>
  <c r="AD14" i="240"/>
  <c r="AA14" i="240"/>
  <c r="AM13" i="240"/>
  <c r="AJ13" i="240"/>
  <c r="AG13" i="240"/>
  <c r="AD13" i="240"/>
  <c r="AA13" i="240"/>
  <c r="AM12" i="240"/>
  <c r="AJ12" i="240"/>
  <c r="AG12" i="240"/>
  <c r="AD12" i="240"/>
  <c r="AA12" i="240"/>
  <c r="AM11" i="240"/>
  <c r="AJ11" i="240"/>
  <c r="AG11" i="240"/>
  <c r="AD11" i="240"/>
  <c r="AA11" i="240"/>
  <c r="AM10" i="240"/>
  <c r="AJ10" i="240"/>
  <c r="AG10" i="240"/>
  <c r="AD10" i="240"/>
  <c r="AA10" i="240"/>
  <c r="AM9" i="240"/>
  <c r="AJ9" i="240"/>
  <c r="AG9" i="240"/>
  <c r="AG5" i="240"/>
  <c r="AG6" i="240"/>
  <c r="AG7" i="240"/>
  <c r="AG8" i="240"/>
  <c r="AD9" i="240"/>
  <c r="AA9" i="240"/>
  <c r="AM8" i="240"/>
  <c r="AJ8" i="240"/>
  <c r="AD8" i="240"/>
  <c r="AA8" i="240"/>
  <c r="AM7" i="240"/>
  <c r="AM5" i="240"/>
  <c r="AM6" i="240"/>
  <c r="AM24" i="240"/>
  <c r="AJ7" i="240"/>
  <c r="AD7" i="240"/>
  <c r="AA7" i="240"/>
  <c r="AA5" i="240"/>
  <c r="AA6" i="240"/>
  <c r="AJ6" i="240"/>
  <c r="AD6" i="240"/>
  <c r="AD5" i="240"/>
  <c r="AJ5" i="240"/>
  <c r="J13" i="303"/>
  <c r="I13" i="303"/>
  <c r="H13" i="303"/>
  <c r="G13" i="303"/>
  <c r="F13" i="303"/>
  <c r="E13" i="303"/>
  <c r="J12" i="303"/>
  <c r="I12" i="303"/>
  <c r="H12" i="303"/>
  <c r="G12" i="303"/>
  <c r="F12" i="303"/>
  <c r="E12" i="303"/>
  <c r="J11" i="303"/>
  <c r="I11" i="303"/>
  <c r="H11" i="303"/>
  <c r="G11" i="303"/>
  <c r="F11" i="303"/>
  <c r="E11" i="303"/>
  <c r="J9" i="303"/>
  <c r="H9" i="303"/>
  <c r="G9" i="303"/>
  <c r="F9" i="303"/>
  <c r="E9" i="303"/>
  <c r="J8" i="303"/>
  <c r="H8" i="303"/>
  <c r="G8" i="303"/>
  <c r="F8" i="303"/>
  <c r="E8" i="303"/>
  <c r="J7" i="303"/>
  <c r="I7" i="303"/>
  <c r="H7" i="303"/>
  <c r="G7" i="303"/>
  <c r="F7" i="303"/>
  <c r="E7" i="303"/>
  <c r="AG5" i="303"/>
  <c r="AG6" i="303"/>
  <c r="N5" i="303"/>
  <c r="N6" i="303"/>
  <c r="AF5" i="303"/>
  <c r="M10" i="303"/>
  <c r="AE5" i="303"/>
  <c r="L14" i="303"/>
  <c r="AD5" i="303"/>
  <c r="AD6" i="303"/>
  <c r="K5" i="303"/>
  <c r="K6" i="303"/>
  <c r="AC5" i="303"/>
  <c r="AC6" i="303"/>
  <c r="J4" i="303"/>
  <c r="AB5" i="303"/>
  <c r="I10" i="303"/>
  <c r="AA5" i="303"/>
  <c r="H14" i="303"/>
  <c r="Z5" i="303"/>
  <c r="Z6" i="303"/>
  <c r="Y5" i="303"/>
  <c r="Y6" i="303"/>
  <c r="X5" i="303"/>
  <c r="E10" i="303"/>
  <c r="W5" i="303"/>
  <c r="W4" i="303"/>
  <c r="AB36" i="239"/>
  <c r="AC36" i="239"/>
  <c r="Z36" i="239"/>
  <c r="AB35" i="239"/>
  <c r="AC35" i="239"/>
  <c r="Z35" i="239"/>
  <c r="AB34" i="239"/>
  <c r="AA34" i="239"/>
  <c r="X34" i="239"/>
  <c r="Z34" i="239"/>
  <c r="AB33" i="239"/>
  <c r="AA33" i="239"/>
  <c r="X33" i="239"/>
  <c r="Z33" i="239"/>
  <c r="AB32" i="239"/>
  <c r="AA32" i="239"/>
  <c r="AC32" i="239"/>
  <c r="X32" i="239"/>
  <c r="Z32" i="239"/>
  <c r="AB31" i="239"/>
  <c r="AA31" i="239"/>
  <c r="X31" i="239"/>
  <c r="AB29" i="239"/>
  <c r="AC29" i="239"/>
  <c r="X29" i="239"/>
  <c r="Z29" i="239"/>
  <c r="AK28" i="239"/>
  <c r="AL28" i="239"/>
  <c r="AJ28" i="239"/>
  <c r="AH28" i="239"/>
  <c r="AG28" i="239"/>
  <c r="AE28" i="239"/>
  <c r="AD28" i="239"/>
  <c r="AC28" i="239"/>
  <c r="Z28" i="239"/>
  <c r="AK27" i="239"/>
  <c r="AJ27" i="239"/>
  <c r="AH27" i="239"/>
  <c r="AG27" i="239"/>
  <c r="AE27" i="239"/>
  <c r="AD27" i="239"/>
  <c r="AC27" i="239"/>
  <c r="Z27" i="239"/>
  <c r="AK26" i="239"/>
  <c r="AJ26" i="239"/>
  <c r="AH26" i="239"/>
  <c r="AG26" i="239"/>
  <c r="AG29" i="239"/>
  <c r="AE26" i="239"/>
  <c r="AD26" i="239"/>
  <c r="AC26" i="239"/>
  <c r="Z26" i="239"/>
  <c r="AB24" i="239"/>
  <c r="AC24" i="239"/>
  <c r="AK23" i="239"/>
  <c r="AJ23" i="239"/>
  <c r="AH23" i="239"/>
  <c r="AH33" i="239"/>
  <c r="AG23" i="239"/>
  <c r="AE23" i="239"/>
  <c r="AD23" i="239"/>
  <c r="AC23" i="239"/>
  <c r="AJ22" i="239"/>
  <c r="AG22" i="239"/>
  <c r="AE22" i="239"/>
  <c r="AD22" i="239"/>
  <c r="AC22" i="239"/>
  <c r="AK21" i="239"/>
  <c r="AJ21" i="239"/>
  <c r="AH21" i="239"/>
  <c r="AG21" i="239"/>
  <c r="AE21" i="239"/>
  <c r="AD21" i="239"/>
  <c r="AC21" i="239"/>
  <c r="AB19" i="239"/>
  <c r="AC19" i="239"/>
  <c r="X19" i="239"/>
  <c r="Z19" i="239"/>
  <c r="V19" i="239"/>
  <c r="U19" i="239"/>
  <c r="S19" i="239"/>
  <c r="R19" i="239"/>
  <c r="P19" i="239"/>
  <c r="O19" i="239"/>
  <c r="M19" i="239"/>
  <c r="L19" i="239"/>
  <c r="J19" i="239"/>
  <c r="I19" i="239"/>
  <c r="G19" i="239"/>
  <c r="F19" i="239"/>
  <c r="D19" i="239"/>
  <c r="C19" i="239"/>
  <c r="AK18" i="239"/>
  <c r="AJ18" i="239"/>
  <c r="AH18" i="239"/>
  <c r="AG18" i="239"/>
  <c r="AI18" i="239"/>
  <c r="AE18" i="239"/>
  <c r="AD18" i="239"/>
  <c r="AC18" i="239"/>
  <c r="Z18" i="239"/>
  <c r="W18" i="239"/>
  <c r="T18" i="239"/>
  <c r="T16" i="239"/>
  <c r="T17" i="239"/>
  <c r="Q18" i="239"/>
  <c r="N18" i="239"/>
  <c r="K18" i="239"/>
  <c r="H18" i="239"/>
  <c r="H16" i="239"/>
  <c r="H19" i="239"/>
  <c r="H17" i="239"/>
  <c r="E18" i="239"/>
  <c r="AK17" i="239"/>
  <c r="AJ17" i="239"/>
  <c r="AH17" i="239"/>
  <c r="AG17" i="239"/>
  <c r="AE17" i="239"/>
  <c r="AD17" i="239"/>
  <c r="AC17" i="239"/>
  <c r="Z17" i="239"/>
  <c r="W17" i="239"/>
  <c r="Q17" i="239"/>
  <c r="N17" i="239"/>
  <c r="K17" i="239"/>
  <c r="E17" i="239"/>
  <c r="AK16" i="239"/>
  <c r="AJ16" i="239"/>
  <c r="AH16" i="239"/>
  <c r="AG16" i="239"/>
  <c r="AG19" i="239"/>
  <c r="AE16" i="239"/>
  <c r="AD16" i="239"/>
  <c r="AC16" i="239"/>
  <c r="Z16" i="239"/>
  <c r="W16" i="239"/>
  <c r="W19" i="239"/>
  <c r="Q16" i="239"/>
  <c r="Q19" i="239"/>
  <c r="N16" i="239"/>
  <c r="K16" i="239"/>
  <c r="K19" i="239"/>
  <c r="E16" i="239"/>
  <c r="E19" i="239"/>
  <c r="AB14" i="239"/>
  <c r="AC14" i="239"/>
  <c r="AK13" i="239"/>
  <c r="AK36" i="239"/>
  <c r="AJ13" i="239"/>
  <c r="AJ36" i="239"/>
  <c r="AH13" i="239"/>
  <c r="AH36" i="239"/>
  <c r="AG13" i="239"/>
  <c r="AG36" i="239"/>
  <c r="AE13" i="239"/>
  <c r="AE36" i="239"/>
  <c r="AD13" i="239"/>
  <c r="AD36" i="239"/>
  <c r="AF36" i="239"/>
  <c r="AC13" i="239"/>
  <c r="Z13" i="239"/>
  <c r="Z14" i="239"/>
  <c r="AK12" i="239"/>
  <c r="AK35" i="239"/>
  <c r="AJ12" i="239"/>
  <c r="AJ35" i="239"/>
  <c r="AH12" i="239"/>
  <c r="AH35" i="239"/>
  <c r="AG12" i="239"/>
  <c r="AE12" i="239"/>
  <c r="AE35" i="239"/>
  <c r="AD12" i="239"/>
  <c r="AD35" i="239"/>
  <c r="AC12" i="239"/>
  <c r="Z12" i="239"/>
  <c r="AK11" i="239"/>
  <c r="AJ11" i="239"/>
  <c r="AH11" i="239"/>
  <c r="AG11" i="239"/>
  <c r="AE11" i="239"/>
  <c r="AD11" i="239"/>
  <c r="AC11" i="239"/>
  <c r="Z11" i="239"/>
  <c r="AB9" i="239"/>
  <c r="AC9" i="239"/>
  <c r="AA9" i="239"/>
  <c r="X9" i="239"/>
  <c r="Z9" i="239"/>
  <c r="V9" i="239"/>
  <c r="U9" i="239"/>
  <c r="S9" i="239"/>
  <c r="R9" i="239"/>
  <c r="P9" i="239"/>
  <c r="O9" i="239"/>
  <c r="M9" i="239"/>
  <c r="L9" i="239"/>
  <c r="J9" i="239"/>
  <c r="I9" i="239"/>
  <c r="G9" i="239"/>
  <c r="F9" i="239"/>
  <c r="D9" i="239"/>
  <c r="C9" i="239"/>
  <c r="AK8" i="239"/>
  <c r="AJ8" i="239"/>
  <c r="AH8" i="239"/>
  <c r="AG8" i="239"/>
  <c r="AE8" i="239"/>
  <c r="AD8" i="239"/>
  <c r="AF8" i="239"/>
  <c r="AC8" i="239"/>
  <c r="Z8" i="239"/>
  <c r="W8" i="239"/>
  <c r="T8" i="239"/>
  <c r="Q8" i="239"/>
  <c r="N8" i="239"/>
  <c r="K8" i="239"/>
  <c r="H8" i="239"/>
  <c r="E8" i="239"/>
  <c r="AK7" i="239"/>
  <c r="AJ7" i="239"/>
  <c r="AH7" i="239"/>
  <c r="AG7" i="239"/>
  <c r="AE7" i="239"/>
  <c r="AD7" i="239"/>
  <c r="AC7" i="239"/>
  <c r="Z7" i="239"/>
  <c r="W7" i="239"/>
  <c r="T7" i="239"/>
  <c r="Q7" i="239"/>
  <c r="N7" i="239"/>
  <c r="K7" i="239"/>
  <c r="H7" i="239"/>
  <c r="E7" i="239"/>
  <c r="AK6" i="239"/>
  <c r="AJ6" i="239"/>
  <c r="AJ9" i="239"/>
  <c r="AH6" i="239"/>
  <c r="AG6" i="239"/>
  <c r="AE6" i="239"/>
  <c r="AD6" i="239"/>
  <c r="AD9" i="239"/>
  <c r="AC6" i="239"/>
  <c r="Z6" i="239"/>
  <c r="W6" i="239"/>
  <c r="W9" i="239"/>
  <c r="T6" i="239"/>
  <c r="Q6" i="239"/>
  <c r="N6" i="239"/>
  <c r="K6" i="239"/>
  <c r="K9" i="239"/>
  <c r="H6" i="239"/>
  <c r="E6" i="239"/>
  <c r="AL92" i="238"/>
  <c r="AL87" i="238"/>
  <c r="AL83" i="238"/>
  <c r="AK92" i="238"/>
  <c r="AI92" i="238"/>
  <c r="AH92" i="238"/>
  <c r="AF92" i="238"/>
  <c r="AE92" i="238"/>
  <c r="AC92" i="238"/>
  <c r="AB92" i="238"/>
  <c r="Z92" i="238"/>
  <c r="Y92" i="238"/>
  <c r="W92" i="238"/>
  <c r="V92" i="238"/>
  <c r="T92" i="238"/>
  <c r="T87" i="238"/>
  <c r="T83" i="238"/>
  <c r="S92" i="238"/>
  <c r="Q92" i="238"/>
  <c r="P92" i="238"/>
  <c r="N92" i="238"/>
  <c r="N87" i="238"/>
  <c r="N83" i="238"/>
  <c r="M92" i="238"/>
  <c r="K92" i="238"/>
  <c r="J92" i="238"/>
  <c r="AM91" i="238"/>
  <c r="AJ91" i="238"/>
  <c r="AG91" i="238"/>
  <c r="AD91" i="238"/>
  <c r="AA91" i="238"/>
  <c r="X91" i="238"/>
  <c r="U91" i="238"/>
  <c r="R91" i="238"/>
  <c r="O91" i="238"/>
  <c r="L91" i="238"/>
  <c r="AM90" i="238"/>
  <c r="AJ90" i="238"/>
  <c r="AG90" i="238"/>
  <c r="AD90" i="238"/>
  <c r="AA90" i="238"/>
  <c r="X90" i="238"/>
  <c r="U90" i="238"/>
  <c r="R90" i="238"/>
  <c r="O90" i="238"/>
  <c r="L90" i="238"/>
  <c r="AM89" i="238"/>
  <c r="AM88" i="238"/>
  <c r="AM92" i="238"/>
  <c r="AJ89" i="238"/>
  <c r="AG89" i="238"/>
  <c r="AD89" i="238"/>
  <c r="AA89" i="238"/>
  <c r="X89" i="238"/>
  <c r="U89" i="238"/>
  <c r="R89" i="238"/>
  <c r="O89" i="238"/>
  <c r="L89" i="238"/>
  <c r="AJ88" i="238"/>
  <c r="AG88" i="238"/>
  <c r="AD88" i="238"/>
  <c r="AA88" i="238"/>
  <c r="X88" i="238"/>
  <c r="U88" i="238"/>
  <c r="R88" i="238"/>
  <c r="O88" i="238"/>
  <c r="L88" i="238"/>
  <c r="AK87" i="238"/>
  <c r="AI87" i="238"/>
  <c r="AH87" i="238"/>
  <c r="AF87" i="238"/>
  <c r="AE87" i="238"/>
  <c r="AE83" i="238"/>
  <c r="AC87" i="238"/>
  <c r="AB87" i="238"/>
  <c r="Z87" i="238"/>
  <c r="Y87" i="238"/>
  <c r="W87" i="238"/>
  <c r="V87" i="238"/>
  <c r="S87" i="238"/>
  <c r="Q87" i="238"/>
  <c r="P87" i="238"/>
  <c r="M87" i="238"/>
  <c r="K87" i="238"/>
  <c r="J87" i="238"/>
  <c r="AM86" i="238"/>
  <c r="AJ86" i="238"/>
  <c r="AG86" i="238"/>
  <c r="AD86" i="238"/>
  <c r="AA86" i="238"/>
  <c r="X86" i="238"/>
  <c r="U86" i="238"/>
  <c r="R86" i="238"/>
  <c r="O86" i="238"/>
  <c r="L86" i="238"/>
  <c r="AM85" i="238"/>
  <c r="AJ85" i="238"/>
  <c r="AG85" i="238"/>
  <c r="AD85" i="238"/>
  <c r="AA85" i="238"/>
  <c r="X85" i="238"/>
  <c r="U85" i="238"/>
  <c r="R85" i="238"/>
  <c r="O85" i="238"/>
  <c r="L85" i="238"/>
  <c r="AM84" i="238"/>
  <c r="AM87" i="238"/>
  <c r="AJ84" i="238"/>
  <c r="AG84" i="238"/>
  <c r="AD84" i="238"/>
  <c r="AA84" i="238"/>
  <c r="X84" i="238"/>
  <c r="X87" i="238"/>
  <c r="U84" i="238"/>
  <c r="R84" i="238"/>
  <c r="O84" i="238"/>
  <c r="L84" i="238"/>
  <c r="AK83" i="238"/>
  <c r="AI83" i="238"/>
  <c r="AI93" i="238"/>
  <c r="AH83" i="238"/>
  <c r="AF83" i="238"/>
  <c r="AC83" i="238"/>
  <c r="AB83" i="238"/>
  <c r="AB93" i="238"/>
  <c r="Z83" i="238"/>
  <c r="Y83" i="238"/>
  <c r="W83" i="238"/>
  <c r="W93" i="238"/>
  <c r="V83" i="238"/>
  <c r="S83" i="238"/>
  <c r="Q83" i="238"/>
  <c r="P83" i="238"/>
  <c r="M83" i="238"/>
  <c r="K83" i="238"/>
  <c r="J83" i="238"/>
  <c r="AM82" i="238"/>
  <c r="AJ82" i="238"/>
  <c r="AG82" i="238"/>
  <c r="AD82" i="238"/>
  <c r="AA82" i="238"/>
  <c r="X82" i="238"/>
  <c r="U82" i="238"/>
  <c r="R82" i="238"/>
  <c r="O82" i="238"/>
  <c r="L82" i="238"/>
  <c r="AM81" i="238"/>
  <c r="AM79" i="238"/>
  <c r="AM83" i="238"/>
  <c r="AJ81" i="238"/>
  <c r="AG81" i="238"/>
  <c r="AD81" i="238"/>
  <c r="AA81" i="238"/>
  <c r="X81" i="238"/>
  <c r="U81" i="238"/>
  <c r="R81" i="238"/>
  <c r="O81" i="238"/>
  <c r="L81" i="238"/>
  <c r="AG80" i="238"/>
  <c r="AD80" i="238"/>
  <c r="AA80" i="238"/>
  <c r="AA79" i="238"/>
  <c r="X80" i="238"/>
  <c r="U80" i="238"/>
  <c r="R80" i="238"/>
  <c r="O80" i="238"/>
  <c r="L80" i="238"/>
  <c r="AJ79" i="238"/>
  <c r="AG79" i="238"/>
  <c r="AG83" i="238"/>
  <c r="AD79" i="238"/>
  <c r="X79" i="238"/>
  <c r="U79" i="238"/>
  <c r="R79" i="238"/>
  <c r="O79" i="238"/>
  <c r="L79" i="238"/>
  <c r="L83" i="238"/>
  <c r="AL77" i="238"/>
  <c r="AK77" i="238"/>
  <c r="AI77" i="238"/>
  <c r="AH77" i="238"/>
  <c r="AF77" i="238"/>
  <c r="AE77" i="238"/>
  <c r="AC77" i="238"/>
  <c r="AB77" i="238"/>
  <c r="Z77" i="238"/>
  <c r="Y77" i="238"/>
  <c r="Y72" i="238"/>
  <c r="Y63" i="238"/>
  <c r="X77" i="238"/>
  <c r="W77" i="238"/>
  <c r="V77" i="238"/>
  <c r="U77" i="238"/>
  <c r="U72" i="238"/>
  <c r="U63" i="238"/>
  <c r="T77" i="238"/>
  <c r="S77" i="238"/>
  <c r="R77" i="238"/>
  <c r="Q77" i="238"/>
  <c r="P77" i="238"/>
  <c r="O77" i="238"/>
  <c r="N77" i="238"/>
  <c r="M77" i="238"/>
  <c r="M72" i="238"/>
  <c r="M63" i="238"/>
  <c r="L77" i="238"/>
  <c r="K77" i="238"/>
  <c r="J77" i="238"/>
  <c r="I77" i="238"/>
  <c r="H77" i="238"/>
  <c r="H72" i="238"/>
  <c r="H63" i="238"/>
  <c r="G77" i="238"/>
  <c r="F77" i="238"/>
  <c r="F78" i="238"/>
  <c r="E77" i="238"/>
  <c r="E72" i="238"/>
  <c r="E63" i="238"/>
  <c r="E78" i="238"/>
  <c r="D77" i="238"/>
  <c r="AM76" i="238"/>
  <c r="AJ76" i="238"/>
  <c r="AG76" i="238"/>
  <c r="AD76" i="238"/>
  <c r="AA76" i="238"/>
  <c r="AM75" i="238"/>
  <c r="AJ75" i="238"/>
  <c r="AG75" i="238"/>
  <c r="AD75" i="238"/>
  <c r="AA75" i="238"/>
  <c r="AM74" i="238"/>
  <c r="AM73" i="238"/>
  <c r="AJ74" i="238"/>
  <c r="AG74" i="238"/>
  <c r="AD74" i="238"/>
  <c r="AA74" i="238"/>
  <c r="AJ73" i="238"/>
  <c r="AG73" i="238"/>
  <c r="AD73" i="238"/>
  <c r="AA73" i="238"/>
  <c r="AL72" i="238"/>
  <c r="AK72" i="238"/>
  <c r="AI72" i="238"/>
  <c r="AH72" i="238"/>
  <c r="AF72" i="238"/>
  <c r="AF63" i="238"/>
  <c r="AE72" i="238"/>
  <c r="AC72" i="238"/>
  <c r="AC78" i="238"/>
  <c r="AB72" i="238"/>
  <c r="AB63" i="238"/>
  <c r="AB78" i="238"/>
  <c r="Z72" i="238"/>
  <c r="X72" i="238"/>
  <c r="W72" i="238"/>
  <c r="W63" i="238"/>
  <c r="W78" i="238"/>
  <c r="V72" i="238"/>
  <c r="T72" i="238"/>
  <c r="S72" i="238"/>
  <c r="S63" i="238"/>
  <c r="R72" i="238"/>
  <c r="Q72" i="238"/>
  <c r="P72" i="238"/>
  <c r="O72" i="238"/>
  <c r="N72" i="238"/>
  <c r="N78" i="238"/>
  <c r="L72" i="238"/>
  <c r="K72" i="238"/>
  <c r="J72" i="238"/>
  <c r="I72" i="238"/>
  <c r="G72" i="238"/>
  <c r="G63" i="238"/>
  <c r="F72" i="238"/>
  <c r="D72" i="238"/>
  <c r="AM71" i="238"/>
  <c r="AJ71" i="238"/>
  <c r="AG71" i="238"/>
  <c r="AD71" i="238"/>
  <c r="AA71" i="238"/>
  <c r="AM70" i="238"/>
  <c r="AJ70" i="238"/>
  <c r="AG70" i="238"/>
  <c r="AD70" i="238"/>
  <c r="AA70" i="238"/>
  <c r="AM69" i="238"/>
  <c r="AJ69" i="238"/>
  <c r="AG69" i="238"/>
  <c r="AD69" i="238"/>
  <c r="AA69" i="238"/>
  <c r="AM68" i="238"/>
  <c r="AJ68" i="238"/>
  <c r="AG68" i="238"/>
  <c r="AD68" i="238"/>
  <c r="AA68" i="238"/>
  <c r="AM67" i="238"/>
  <c r="AJ67" i="238"/>
  <c r="AG67" i="238"/>
  <c r="AD67" i="238"/>
  <c r="AA67" i="238"/>
  <c r="AM66" i="238"/>
  <c r="AJ66" i="238"/>
  <c r="AG66" i="238"/>
  <c r="AD66" i="238"/>
  <c r="AA66" i="238"/>
  <c r="AM65" i="238"/>
  <c r="AJ65" i="238"/>
  <c r="AG65" i="238"/>
  <c r="AD65" i="238"/>
  <c r="AA65" i="238"/>
  <c r="AM64" i="238"/>
  <c r="AJ64" i="238"/>
  <c r="AG64" i="238"/>
  <c r="AD64" i="238"/>
  <c r="AA64" i="238"/>
  <c r="AL63" i="238"/>
  <c r="AK63" i="238"/>
  <c r="AI63" i="238"/>
  <c r="AH63" i="238"/>
  <c r="AE63" i="238"/>
  <c r="AC63" i="238"/>
  <c r="Z63" i="238"/>
  <c r="Z78" i="238"/>
  <c r="X63" i="238"/>
  <c r="V63" i="238"/>
  <c r="T63" i="238"/>
  <c r="R63" i="238"/>
  <c r="Q63" i="238"/>
  <c r="P63" i="238"/>
  <c r="O63" i="238"/>
  <c r="N63" i="238"/>
  <c r="L63" i="238"/>
  <c r="K63" i="238"/>
  <c r="J63" i="238"/>
  <c r="J78" i="238"/>
  <c r="I63" i="238"/>
  <c r="F63" i="238"/>
  <c r="D63" i="238"/>
  <c r="AM62" i="238"/>
  <c r="AJ62" i="238"/>
  <c r="AG62" i="238"/>
  <c r="AD62" i="238"/>
  <c r="AA62" i="238"/>
  <c r="AM61" i="238"/>
  <c r="AJ61" i="238"/>
  <c r="AG61" i="238"/>
  <c r="AD61" i="238"/>
  <c r="AA61" i="238"/>
  <c r="AM60" i="238"/>
  <c r="AJ60" i="238"/>
  <c r="AG60" i="238"/>
  <c r="AD60" i="238"/>
  <c r="AA60" i="238"/>
  <c r="AM59" i="238"/>
  <c r="AJ59" i="238"/>
  <c r="AG59" i="238"/>
  <c r="AD59" i="238"/>
  <c r="AA59" i="238"/>
  <c r="AM58" i="238"/>
  <c r="AJ58" i="238"/>
  <c r="AG58" i="238"/>
  <c r="AD58" i="238"/>
  <c r="AA58" i="238"/>
  <c r="AM57" i="238"/>
  <c r="AJ57" i="238"/>
  <c r="AG57" i="238"/>
  <c r="AD57" i="238"/>
  <c r="AA57" i="238"/>
  <c r="AA63" i="238"/>
  <c r="AL55" i="238"/>
  <c r="AK55" i="238"/>
  <c r="AI55" i="238"/>
  <c r="AH55" i="238"/>
  <c r="AF55" i="238"/>
  <c r="AE55" i="238"/>
  <c r="AE36" i="238"/>
  <c r="AE56" i="238"/>
  <c r="AE48" i="238"/>
  <c r="AC55" i="238"/>
  <c r="AB55" i="238"/>
  <c r="Z55" i="238"/>
  <c r="Y55" i="238"/>
  <c r="Y36" i="238"/>
  <c r="Y48" i="238"/>
  <c r="X55" i="238"/>
  <c r="W55" i="238"/>
  <c r="V55" i="238"/>
  <c r="U55" i="238"/>
  <c r="U36" i="238"/>
  <c r="U48" i="238"/>
  <c r="T55" i="238"/>
  <c r="S55" i="238"/>
  <c r="R55" i="238"/>
  <c r="Q55" i="238"/>
  <c r="Q36" i="238"/>
  <c r="Q56" i="238"/>
  <c r="Q48" i="238"/>
  <c r="P55" i="238"/>
  <c r="O55" i="238"/>
  <c r="N55" i="238"/>
  <c r="M55" i="238"/>
  <c r="L55" i="238"/>
  <c r="K55" i="238"/>
  <c r="J55" i="238"/>
  <c r="I55" i="238"/>
  <c r="I36" i="238"/>
  <c r="I48" i="238"/>
  <c r="H55" i="238"/>
  <c r="G55" i="238"/>
  <c r="F55" i="238"/>
  <c r="E55" i="238"/>
  <c r="D55" i="238"/>
  <c r="AM54" i="238"/>
  <c r="AJ54" i="238"/>
  <c r="AG54" i="238"/>
  <c r="AD54" i="238"/>
  <c r="AA54" i="238"/>
  <c r="AM53" i="238"/>
  <c r="AJ53" i="238"/>
  <c r="AG53" i="238"/>
  <c r="AD53" i="238"/>
  <c r="AA53" i="238"/>
  <c r="AM52" i="238"/>
  <c r="AJ52" i="238"/>
  <c r="AG52" i="238"/>
  <c r="AD52" i="238"/>
  <c r="AA52" i="238"/>
  <c r="AM51" i="238"/>
  <c r="AJ51" i="238"/>
  <c r="AG51" i="238"/>
  <c r="AD51" i="238"/>
  <c r="AA51" i="238"/>
  <c r="AM50" i="238"/>
  <c r="AJ50" i="238"/>
  <c r="AG50" i="238"/>
  <c r="AD50" i="238"/>
  <c r="AA50" i="238"/>
  <c r="AM49" i="238"/>
  <c r="AJ49" i="238"/>
  <c r="AG49" i="238"/>
  <c r="AD49" i="238"/>
  <c r="AA49" i="238"/>
  <c r="AL48" i="238"/>
  <c r="AL36" i="238"/>
  <c r="AK48" i="238"/>
  <c r="AI48" i="238"/>
  <c r="AH48" i="238"/>
  <c r="AH56" i="238"/>
  <c r="AF48" i="238"/>
  <c r="AC48" i="238"/>
  <c r="AB48" i="238"/>
  <c r="Z48" i="238"/>
  <c r="Z36" i="238"/>
  <c r="X48" i="238"/>
  <c r="W48" i="238"/>
  <c r="V48" i="238"/>
  <c r="T48" i="238"/>
  <c r="S48" i="238"/>
  <c r="R48" i="238"/>
  <c r="P48" i="238"/>
  <c r="O48" i="238"/>
  <c r="N48" i="238"/>
  <c r="N36" i="238"/>
  <c r="N56" i="238"/>
  <c r="M48" i="238"/>
  <c r="L48" i="238"/>
  <c r="K48" i="238"/>
  <c r="J48" i="238"/>
  <c r="J36" i="238"/>
  <c r="H48" i="238"/>
  <c r="G48" i="238"/>
  <c r="F48" i="238"/>
  <c r="F36" i="238"/>
  <c r="F56" i="238"/>
  <c r="E48" i="238"/>
  <c r="D48" i="238"/>
  <c r="AM47" i="238"/>
  <c r="AJ47" i="238"/>
  <c r="AG47" i="238"/>
  <c r="AD47" i="238"/>
  <c r="AA47" i="238"/>
  <c r="AM46" i="238"/>
  <c r="AJ46" i="238"/>
  <c r="AG46" i="238"/>
  <c r="AD46" i="238"/>
  <c r="AA46" i="238"/>
  <c r="AM45" i="238"/>
  <c r="AJ45" i="238"/>
  <c r="AG45" i="238"/>
  <c r="AD45" i="238"/>
  <c r="AA45" i="238"/>
  <c r="AM44" i="238"/>
  <c r="AJ44" i="238"/>
  <c r="AG44" i="238"/>
  <c r="AD44" i="238"/>
  <c r="AA44" i="238"/>
  <c r="AM43" i="238"/>
  <c r="AJ43" i="238"/>
  <c r="AG43" i="238"/>
  <c r="AD43" i="238"/>
  <c r="AA43" i="238"/>
  <c r="AM42" i="238"/>
  <c r="AJ42" i="238"/>
  <c r="AG42" i="238"/>
  <c r="AD42" i="238"/>
  <c r="AA42" i="238"/>
  <c r="AM41" i="238"/>
  <c r="AJ41" i="238"/>
  <c r="AG41" i="238"/>
  <c r="AD41" i="238"/>
  <c r="AA41" i="238"/>
  <c r="AM40" i="238"/>
  <c r="AJ40" i="238"/>
  <c r="AG40" i="238"/>
  <c r="AD40" i="238"/>
  <c r="AA40" i="238"/>
  <c r="AM39" i="238"/>
  <c r="AJ39" i="238"/>
  <c r="AG39" i="238"/>
  <c r="AD39" i="238"/>
  <c r="AA39" i="238"/>
  <c r="AM38" i="238"/>
  <c r="AJ38" i="238"/>
  <c r="AG38" i="238"/>
  <c r="AD38" i="238"/>
  <c r="AA38" i="238"/>
  <c r="AM37" i="238"/>
  <c r="AJ37" i="238"/>
  <c r="AG37" i="238"/>
  <c r="AD37" i="238"/>
  <c r="AA37" i="238"/>
  <c r="AK36" i="238"/>
  <c r="AI36" i="238"/>
  <c r="AH36" i="238"/>
  <c r="AF36" i="238"/>
  <c r="AC36" i="238"/>
  <c r="AB36" i="238"/>
  <c r="X36" i="238"/>
  <c r="X56" i="238"/>
  <c r="W36" i="238"/>
  <c r="W56" i="238"/>
  <c r="V36" i="238"/>
  <c r="T36" i="238"/>
  <c r="S36" i="238"/>
  <c r="S56" i="238"/>
  <c r="R36" i="238"/>
  <c r="R56" i="238"/>
  <c r="P36" i="238"/>
  <c r="P56" i="238"/>
  <c r="O36" i="238"/>
  <c r="M36" i="238"/>
  <c r="L36" i="238"/>
  <c r="L56" i="238"/>
  <c r="K36" i="238"/>
  <c r="K56" i="238"/>
  <c r="H36" i="238"/>
  <c r="G36" i="238"/>
  <c r="E36" i="238"/>
  <c r="D36" i="238"/>
  <c r="AM34" i="238"/>
  <c r="AJ34" i="238"/>
  <c r="AG34" i="238"/>
  <c r="AD34" i="238"/>
  <c r="AA34" i="238"/>
  <c r="AM33" i="238"/>
  <c r="AJ33" i="238"/>
  <c r="AG33" i="238"/>
  <c r="AD33" i="238"/>
  <c r="AA33" i="238"/>
  <c r="AM32" i="238"/>
  <c r="AJ32" i="238"/>
  <c r="AG32" i="238"/>
  <c r="AD32" i="238"/>
  <c r="AA32" i="238"/>
  <c r="AM31" i="238"/>
  <c r="AJ31" i="238"/>
  <c r="AG31" i="238"/>
  <c r="AD31" i="238"/>
  <c r="AA31" i="238"/>
  <c r="AM30" i="238"/>
  <c r="AJ30" i="238"/>
  <c r="AG30" i="238"/>
  <c r="AD30" i="238"/>
  <c r="AA30" i="238"/>
  <c r="AM29" i="238"/>
  <c r="AJ29" i="238"/>
  <c r="AG29" i="238"/>
  <c r="AD29" i="238"/>
  <c r="AD26" i="238"/>
  <c r="AD27" i="238"/>
  <c r="AD28" i="238"/>
  <c r="AA29" i="238"/>
  <c r="AM28" i="238"/>
  <c r="AJ28" i="238"/>
  <c r="AG28" i="238"/>
  <c r="AG26" i="238"/>
  <c r="AG27" i="238"/>
  <c r="AA28" i="238"/>
  <c r="AM27" i="238"/>
  <c r="AJ27" i="238"/>
  <c r="AJ26" i="238"/>
  <c r="AA27" i="238"/>
  <c r="AM26" i="238"/>
  <c r="AA26" i="238"/>
  <c r="AL24" i="238"/>
  <c r="AK24" i="238"/>
  <c r="AK20" i="238"/>
  <c r="AK15" i="238"/>
  <c r="AI24" i="238"/>
  <c r="AH24" i="238"/>
  <c r="AF24" i="238"/>
  <c r="AE24" i="238"/>
  <c r="AC24" i="238"/>
  <c r="AB24" i="238"/>
  <c r="AB20" i="238"/>
  <c r="AB15" i="238"/>
  <c r="Z24" i="238"/>
  <c r="Y24" i="238"/>
  <c r="X24" i="238"/>
  <c r="W24" i="238"/>
  <c r="W20" i="238"/>
  <c r="W15" i="238"/>
  <c r="V24" i="238"/>
  <c r="U24" i="238"/>
  <c r="T24" i="238"/>
  <c r="S24" i="238"/>
  <c r="S25" i="238"/>
  <c r="S20" i="238"/>
  <c r="S15" i="238"/>
  <c r="R24" i="238"/>
  <c r="Q24" i="238"/>
  <c r="Q20" i="238"/>
  <c r="Q15" i="238"/>
  <c r="P24" i="238"/>
  <c r="O24" i="238"/>
  <c r="O25" i="238"/>
  <c r="O20" i="238"/>
  <c r="O15" i="238"/>
  <c r="N24" i="238"/>
  <c r="M24" i="238"/>
  <c r="L24" i="238"/>
  <c r="K24" i="238"/>
  <c r="K20" i="238"/>
  <c r="K15" i="238"/>
  <c r="J24" i="238"/>
  <c r="I24" i="238"/>
  <c r="H24" i="238"/>
  <c r="G24" i="238"/>
  <c r="G25" i="238"/>
  <c r="G20" i="238"/>
  <c r="G15" i="238"/>
  <c r="F24" i="238"/>
  <c r="E24" i="238"/>
  <c r="D24" i="238"/>
  <c r="AM23" i="238"/>
  <c r="AJ23" i="238"/>
  <c r="AG23" i="238"/>
  <c r="AD23" i="238"/>
  <c r="AA23" i="238"/>
  <c r="AM22" i="238"/>
  <c r="AJ22" i="238"/>
  <c r="AG22" i="238"/>
  <c r="AD22" i="238"/>
  <c r="AD21" i="238"/>
  <c r="AD16" i="238"/>
  <c r="AD17" i="238"/>
  <c r="AD18" i="238"/>
  <c r="AD19" i="238"/>
  <c r="AD5" i="238"/>
  <c r="AD6" i="238"/>
  <c r="AD7" i="238"/>
  <c r="AD8" i="238"/>
  <c r="AD9" i="238"/>
  <c r="AD10" i="238"/>
  <c r="AD11" i="238"/>
  <c r="AD12" i="238"/>
  <c r="AD13" i="238"/>
  <c r="AD14" i="238"/>
  <c r="AA22" i="238"/>
  <c r="AM21" i="238"/>
  <c r="AJ21" i="238"/>
  <c r="AG21" i="238"/>
  <c r="AA21" i="238"/>
  <c r="AL20" i="238"/>
  <c r="AI20" i="238"/>
  <c r="AH20" i="238"/>
  <c r="AF20" i="238"/>
  <c r="AE20" i="238"/>
  <c r="AC20" i="238"/>
  <c r="Z20" i="238"/>
  <c r="Y20" i="238"/>
  <c r="X20" i="238"/>
  <c r="V20" i="238"/>
  <c r="U20" i="238"/>
  <c r="T20" i="238"/>
  <c r="R20" i="238"/>
  <c r="P20" i="238"/>
  <c r="N20" i="238"/>
  <c r="N25" i="238"/>
  <c r="M20" i="238"/>
  <c r="L20" i="238"/>
  <c r="J20" i="238"/>
  <c r="I20" i="238"/>
  <c r="H20" i="238"/>
  <c r="F20" i="238"/>
  <c r="E20" i="238"/>
  <c r="D20" i="238"/>
  <c r="AM19" i="238"/>
  <c r="AJ19" i="238"/>
  <c r="AG19" i="238"/>
  <c r="AA19" i="238"/>
  <c r="AM18" i="238"/>
  <c r="AJ18" i="238"/>
  <c r="AJ16" i="238"/>
  <c r="AJ17" i="238"/>
  <c r="AG18" i="238"/>
  <c r="AA18" i="238"/>
  <c r="AM17" i="238"/>
  <c r="AG17" i="238"/>
  <c r="AA17" i="238"/>
  <c r="AA16" i="238"/>
  <c r="AM16" i="238"/>
  <c r="AG16" i="238"/>
  <c r="AG20" i="238"/>
  <c r="AL15" i="238"/>
  <c r="AI15" i="238"/>
  <c r="AH15" i="238"/>
  <c r="AF15" i="238"/>
  <c r="AE15" i="238"/>
  <c r="AC15" i="238"/>
  <c r="Z15" i="238"/>
  <c r="Y15" i="238"/>
  <c r="X15" i="238"/>
  <c r="V15" i="238"/>
  <c r="U15" i="238"/>
  <c r="T15" i="238"/>
  <c r="R15" i="238"/>
  <c r="P15" i="238"/>
  <c r="N15" i="238"/>
  <c r="M15" i="238"/>
  <c r="L15" i="238"/>
  <c r="L25" i="238"/>
  <c r="J15" i="238"/>
  <c r="I15" i="238"/>
  <c r="H15" i="238"/>
  <c r="F15" i="238"/>
  <c r="E15" i="238"/>
  <c r="D15" i="238"/>
  <c r="AM14" i="238"/>
  <c r="AJ14" i="238"/>
  <c r="AG14" i="238"/>
  <c r="AA14" i="238"/>
  <c r="AM13" i="238"/>
  <c r="AJ13" i="238"/>
  <c r="AG13" i="238"/>
  <c r="AA13" i="238"/>
  <c r="AM12" i="238"/>
  <c r="AJ12" i="238"/>
  <c r="AG12" i="238"/>
  <c r="AA12" i="238"/>
  <c r="AM11" i="238"/>
  <c r="AJ11" i="238"/>
  <c r="AG11" i="238"/>
  <c r="AA11" i="238"/>
  <c r="AM10" i="238"/>
  <c r="AJ10" i="238"/>
  <c r="AG10" i="238"/>
  <c r="AA10" i="238"/>
  <c r="AM9" i="238"/>
  <c r="AJ9" i="238"/>
  <c r="AG9" i="238"/>
  <c r="AG5" i="238"/>
  <c r="AG6" i="238"/>
  <c r="AG7" i="238"/>
  <c r="AG8" i="238"/>
  <c r="AA9" i="238"/>
  <c r="AM8" i="238"/>
  <c r="AJ8" i="238"/>
  <c r="AA8" i="238"/>
  <c r="AM7" i="238"/>
  <c r="AJ7" i="238"/>
  <c r="AA7" i="238"/>
  <c r="AM6" i="238"/>
  <c r="AJ6" i="238"/>
  <c r="AA6" i="238"/>
  <c r="AM5" i="238"/>
  <c r="AJ5" i="238"/>
  <c r="AA5" i="238"/>
  <c r="AB36" i="296"/>
  <c r="AA36" i="296"/>
  <c r="V36" i="296"/>
  <c r="W36" i="296"/>
  <c r="U36" i="296"/>
  <c r="S36" i="296"/>
  <c r="R36" i="296"/>
  <c r="P36" i="296"/>
  <c r="O36" i="296"/>
  <c r="AB35" i="296"/>
  <c r="AC35" i="296"/>
  <c r="AA35" i="296"/>
  <c r="V35" i="296"/>
  <c r="U35" i="296"/>
  <c r="S35" i="296"/>
  <c r="R35" i="296"/>
  <c r="P35" i="296"/>
  <c r="O35" i="296"/>
  <c r="AB34" i="296"/>
  <c r="AA34" i="296"/>
  <c r="V34" i="296"/>
  <c r="U34" i="296"/>
  <c r="S34" i="296"/>
  <c r="R34" i="296"/>
  <c r="P34" i="296"/>
  <c r="O34" i="296"/>
  <c r="Q34" i="296"/>
  <c r="AB33" i="296"/>
  <c r="AA33" i="296"/>
  <c r="V33" i="296"/>
  <c r="U33" i="296"/>
  <c r="W33" i="296"/>
  <c r="S33" i="296"/>
  <c r="R33" i="296"/>
  <c r="P33" i="296"/>
  <c r="O33" i="296"/>
  <c r="Q33" i="296"/>
  <c r="AB32" i="296"/>
  <c r="AA32" i="296"/>
  <c r="AC32" i="296"/>
  <c r="V32" i="296"/>
  <c r="U32" i="296"/>
  <c r="W32" i="296"/>
  <c r="S32" i="296"/>
  <c r="R32" i="296"/>
  <c r="P32" i="296"/>
  <c r="O32" i="296"/>
  <c r="Q32" i="296"/>
  <c r="AB31" i="296"/>
  <c r="AA31" i="296"/>
  <c r="V31" i="296"/>
  <c r="U31" i="296"/>
  <c r="S31" i="296"/>
  <c r="R31" i="296"/>
  <c r="P31" i="296"/>
  <c r="O31" i="296"/>
  <c r="Q31" i="296"/>
  <c r="AB29" i="296"/>
  <c r="AA29" i="296"/>
  <c r="V29" i="296"/>
  <c r="U29" i="296"/>
  <c r="S29" i="296"/>
  <c r="R29" i="296"/>
  <c r="P29" i="296"/>
  <c r="O29" i="296"/>
  <c r="Q29" i="296"/>
  <c r="AC28" i="296"/>
  <c r="W28" i="296"/>
  <c r="T28" i="296"/>
  <c r="Q28" i="296"/>
  <c r="AC27" i="296"/>
  <c r="Y29" i="296"/>
  <c r="W27" i="296"/>
  <c r="T27" i="296"/>
  <c r="Q27" i="296"/>
  <c r="AC26" i="296"/>
  <c r="W26" i="296"/>
  <c r="T26" i="296"/>
  <c r="Q26" i="296"/>
  <c r="AB24" i="296"/>
  <c r="AC24" i="296"/>
  <c r="AA24" i="296"/>
  <c r="V24" i="296"/>
  <c r="W24" i="296"/>
  <c r="U24" i="296"/>
  <c r="S24" i="296"/>
  <c r="T24" i="296"/>
  <c r="R24" i="296"/>
  <c r="AC23" i="296"/>
  <c r="Z23" i="296"/>
  <c r="W23" i="296"/>
  <c r="T23" i="296"/>
  <c r="AC22" i="296"/>
  <c r="W22" i="296"/>
  <c r="T22" i="296"/>
  <c r="AC21" i="296"/>
  <c r="W21" i="296"/>
  <c r="T21" i="296"/>
  <c r="AB19" i="296"/>
  <c r="AA19" i="296"/>
  <c r="V19" i="296"/>
  <c r="W19" i="296"/>
  <c r="U19" i="296"/>
  <c r="S19" i="296"/>
  <c r="R19" i="296"/>
  <c r="P19" i="296"/>
  <c r="O19" i="296"/>
  <c r="AC18" i="296"/>
  <c r="W18" i="296"/>
  <c r="T18" i="296"/>
  <c r="Q18" i="296"/>
  <c r="AC17" i="296"/>
  <c r="W17" i="296"/>
  <c r="T17" i="296"/>
  <c r="Q17" i="296"/>
  <c r="AC16" i="296"/>
  <c r="X31" i="296"/>
  <c r="W16" i="296"/>
  <c r="T16" i="296"/>
  <c r="Q16" i="296"/>
  <c r="AB14" i="296"/>
  <c r="AA14" i="296"/>
  <c r="V14" i="296"/>
  <c r="W14" i="296"/>
  <c r="U14" i="296"/>
  <c r="S14" i="296"/>
  <c r="R14" i="296"/>
  <c r="P14" i="296"/>
  <c r="O14" i="296"/>
  <c r="AC13" i="296"/>
  <c r="Y36" i="296"/>
  <c r="X36" i="296"/>
  <c r="W13" i="296"/>
  <c r="T13" i="296"/>
  <c r="Q13" i="296"/>
  <c r="AC12" i="296"/>
  <c r="Y35" i="296"/>
  <c r="W12" i="296"/>
  <c r="T12" i="296"/>
  <c r="Q12" i="296"/>
  <c r="AC11" i="296"/>
  <c r="Z11" i="296"/>
  <c r="W11" i="296"/>
  <c r="T11" i="296"/>
  <c r="Q11" i="296"/>
  <c r="AB9" i="296"/>
  <c r="AA9" i="296"/>
  <c r="V9" i="296"/>
  <c r="U9" i="296"/>
  <c r="S9" i="296"/>
  <c r="R9" i="296"/>
  <c r="T9" i="296"/>
  <c r="P9" i="296"/>
  <c r="O9" i="296"/>
  <c r="AC8" i="296"/>
  <c r="W8" i="296"/>
  <c r="T8" i="296"/>
  <c r="Q8" i="296"/>
  <c r="AC7" i="296"/>
  <c r="X9" i="296"/>
  <c r="W7" i="296"/>
  <c r="T7" i="296"/>
  <c r="Q7" i="296"/>
  <c r="AC6" i="296"/>
  <c r="W6" i="296"/>
  <c r="T6" i="296"/>
  <c r="Q6" i="296"/>
  <c r="Y37" i="237"/>
  <c r="W37" i="237"/>
  <c r="V37" i="237"/>
  <c r="U37" i="237"/>
  <c r="T37" i="237"/>
  <c r="S37" i="237"/>
  <c r="R37" i="237"/>
  <c r="Q37" i="237"/>
  <c r="P37" i="237"/>
  <c r="O37" i="237"/>
  <c r="N37" i="237"/>
  <c r="M37" i="237"/>
  <c r="L37" i="237"/>
  <c r="K37" i="237"/>
  <c r="J37" i="237"/>
  <c r="I37" i="237"/>
  <c r="H37" i="237"/>
  <c r="G37" i="237"/>
  <c r="F37" i="237"/>
  <c r="E37" i="237"/>
  <c r="D37" i="237"/>
  <c r="C37" i="237"/>
  <c r="AB36" i="237"/>
  <c r="AC36" i="237"/>
  <c r="Z36" i="237"/>
  <c r="AB35" i="237"/>
  <c r="AC35" i="237"/>
  <c r="Z35" i="237"/>
  <c r="AB34" i="237"/>
  <c r="AB31" i="237"/>
  <c r="AB32" i="237"/>
  <c r="AB33" i="237"/>
  <c r="AA34" i="237"/>
  <c r="X34" i="237"/>
  <c r="Z34" i="237"/>
  <c r="AA33" i="237"/>
  <c r="X33" i="237"/>
  <c r="Z33" i="237"/>
  <c r="AA32" i="237"/>
  <c r="X32" i="237"/>
  <c r="AA31" i="237"/>
  <c r="X31" i="237"/>
  <c r="Z31" i="237"/>
  <c r="AA29" i="237"/>
  <c r="AC29" i="237"/>
  <c r="X29" i="237"/>
  <c r="Z29" i="237"/>
  <c r="AK28" i="237"/>
  <c r="AJ28" i="237"/>
  <c r="AH28" i="237"/>
  <c r="AG28" i="237"/>
  <c r="AG8" i="237"/>
  <c r="AG34" i="237"/>
  <c r="AE28" i="237"/>
  <c r="AD28" i="237"/>
  <c r="AC28" i="237"/>
  <c r="Z28" i="237"/>
  <c r="AK27" i="237"/>
  <c r="AJ27" i="237"/>
  <c r="AH27" i="237"/>
  <c r="AG27" i="237"/>
  <c r="AE27" i="237"/>
  <c r="AE29" i="237"/>
  <c r="AD27" i="237"/>
  <c r="AC27" i="237"/>
  <c r="Z27" i="237"/>
  <c r="AK26" i="237"/>
  <c r="AJ26" i="237"/>
  <c r="AH26" i="237"/>
  <c r="AG26" i="237"/>
  <c r="AI26" i="237"/>
  <c r="AE26" i="237"/>
  <c r="AD26" i="237"/>
  <c r="AC26" i="237"/>
  <c r="Z26" i="237"/>
  <c r="AA24" i="237"/>
  <c r="AC24" i="237"/>
  <c r="AK23" i="237"/>
  <c r="AJ23" i="237"/>
  <c r="AL23" i="237"/>
  <c r="AH23" i="237"/>
  <c r="AI23" i="237"/>
  <c r="AG23" i="237"/>
  <c r="AE23" i="237"/>
  <c r="AD23" i="237"/>
  <c r="AC23" i="237"/>
  <c r="AE22" i="237"/>
  <c r="AD22" i="237"/>
  <c r="AC22" i="237"/>
  <c r="AK21" i="237"/>
  <c r="AJ21" i="237"/>
  <c r="AH21" i="237"/>
  <c r="AG21" i="237"/>
  <c r="AG22" i="237"/>
  <c r="AE21" i="237"/>
  <c r="AD21" i="237"/>
  <c r="AC21" i="237"/>
  <c r="AA19" i="237"/>
  <c r="AC19" i="237"/>
  <c r="X19" i="237"/>
  <c r="Z19" i="237"/>
  <c r="AK18" i="237"/>
  <c r="AJ18" i="237"/>
  <c r="AH18" i="237"/>
  <c r="AG18" i="237"/>
  <c r="AE18" i="237"/>
  <c r="AD18" i="237"/>
  <c r="AC18" i="237"/>
  <c r="Z18" i="237"/>
  <c r="AK17" i="237"/>
  <c r="AJ17" i="237"/>
  <c r="AH17" i="237"/>
  <c r="AI17" i="237"/>
  <c r="AG17" i="237"/>
  <c r="AE17" i="237"/>
  <c r="AE7" i="237"/>
  <c r="AE11" i="237"/>
  <c r="AD17" i="237"/>
  <c r="AD16" i="237"/>
  <c r="AD19" i="237"/>
  <c r="AC17" i="237"/>
  <c r="Z17" i="237"/>
  <c r="AK16" i="237"/>
  <c r="AJ16" i="237"/>
  <c r="AL16" i="237"/>
  <c r="AH16" i="237"/>
  <c r="AG16" i="237"/>
  <c r="AI16" i="237"/>
  <c r="AE16" i="237"/>
  <c r="AC16" i="237"/>
  <c r="Z16" i="237"/>
  <c r="AK13" i="237"/>
  <c r="AK36" i="237"/>
  <c r="AJ13" i="237"/>
  <c r="AJ36" i="237"/>
  <c r="AH13" i="237"/>
  <c r="AH36" i="237"/>
  <c r="AG13" i="237"/>
  <c r="AG36" i="237"/>
  <c r="AE13" i="237"/>
  <c r="AE36" i="237"/>
  <c r="AD13" i="237"/>
  <c r="AD36" i="237"/>
  <c r="AK12" i="237"/>
  <c r="AK35" i="237"/>
  <c r="AJ12" i="237"/>
  <c r="AJ35" i="237"/>
  <c r="AH12" i="237"/>
  <c r="AH35" i="237"/>
  <c r="AG12" i="237"/>
  <c r="AG35" i="237"/>
  <c r="AE12" i="237"/>
  <c r="AD12" i="237"/>
  <c r="AD35" i="237"/>
  <c r="AK11" i="237"/>
  <c r="AJ11" i="237"/>
  <c r="AH11" i="237"/>
  <c r="AG11" i="237"/>
  <c r="AD11" i="237"/>
  <c r="AA9" i="237"/>
  <c r="AC9" i="237"/>
  <c r="X9" i="237"/>
  <c r="Z9" i="237"/>
  <c r="AK8" i="237"/>
  <c r="AJ8" i="237"/>
  <c r="AJ34" i="237"/>
  <c r="AH8" i="237"/>
  <c r="AI8" i="237"/>
  <c r="AE8" i="237"/>
  <c r="AD8" i="237"/>
  <c r="AC8" i="237"/>
  <c r="Z8" i="237"/>
  <c r="AK7" i="237"/>
  <c r="AJ7" i="237"/>
  <c r="AH7" i="237"/>
  <c r="AG7" i="237"/>
  <c r="AD7" i="237"/>
  <c r="AD32" i="237"/>
  <c r="AC7" i="237"/>
  <c r="Z7" i="237"/>
  <c r="AK6" i="237"/>
  <c r="AJ6" i="237"/>
  <c r="AH6" i="237"/>
  <c r="AG6" i="237"/>
  <c r="AE6" i="237"/>
  <c r="AE9" i="237"/>
  <c r="AD6" i="237"/>
  <c r="AC6" i="237"/>
  <c r="Z6" i="237"/>
  <c r="AJ22" i="237"/>
  <c r="AH22" i="237"/>
  <c r="AK93" i="236"/>
  <c r="AI93" i="236"/>
  <c r="AH93" i="236"/>
  <c r="AH94" i="236"/>
  <c r="AF93" i="236"/>
  <c r="AE93" i="236"/>
  <c r="AC93" i="236"/>
  <c r="AB93" i="236"/>
  <c r="Z93" i="236"/>
  <c r="Y93" i="236"/>
  <c r="X93" i="236"/>
  <c r="W93" i="236"/>
  <c r="V93" i="236"/>
  <c r="U93" i="236"/>
  <c r="T93" i="236"/>
  <c r="S93" i="236"/>
  <c r="R93" i="236"/>
  <c r="Q93" i="236"/>
  <c r="P93" i="236"/>
  <c r="O93" i="236"/>
  <c r="N93" i="236"/>
  <c r="M93" i="236"/>
  <c r="L93" i="236"/>
  <c r="K93" i="236"/>
  <c r="AM92" i="236"/>
  <c r="AJ92" i="236"/>
  <c r="AG92" i="236"/>
  <c r="AD92" i="236"/>
  <c r="AA92" i="236"/>
  <c r="AM91" i="236"/>
  <c r="AJ91" i="236"/>
  <c r="AG91" i="236"/>
  <c r="AD91" i="236"/>
  <c r="AA91" i="236"/>
  <c r="AM90" i="236"/>
  <c r="AJ90" i="236"/>
  <c r="AJ93" i="236"/>
  <c r="AG90" i="236"/>
  <c r="AD90" i="236"/>
  <c r="AA90" i="236"/>
  <c r="AM89" i="236"/>
  <c r="AJ89" i="236"/>
  <c r="AG89" i="236"/>
  <c r="AD89" i="236"/>
  <c r="AA89" i="236"/>
  <c r="AK88" i="236"/>
  <c r="AI88" i="236"/>
  <c r="AH88" i="236"/>
  <c r="AF88" i="236"/>
  <c r="AE88" i="236"/>
  <c r="AE94" i="236"/>
  <c r="AE84" i="236"/>
  <c r="AC88" i="236"/>
  <c r="AB88" i="236"/>
  <c r="AB94" i="236"/>
  <c r="Z88" i="236"/>
  <c r="Z84" i="236"/>
  <c r="Y88" i="236"/>
  <c r="Y84" i="236"/>
  <c r="X88" i="236"/>
  <c r="W88" i="236"/>
  <c r="V88" i="236"/>
  <c r="U88" i="236"/>
  <c r="T88" i="236"/>
  <c r="S88" i="236"/>
  <c r="S84" i="236"/>
  <c r="R88" i="236"/>
  <c r="Q88" i="236"/>
  <c r="P88" i="236"/>
  <c r="O88" i="236"/>
  <c r="O84" i="236"/>
  <c r="N88" i="236"/>
  <c r="M88" i="236"/>
  <c r="M84" i="236"/>
  <c r="M94" i="236"/>
  <c r="L88" i="236"/>
  <c r="L84" i="236"/>
  <c r="K88" i="236"/>
  <c r="AM87" i="236"/>
  <c r="AJ87" i="236"/>
  <c r="AJ88" i="236"/>
  <c r="AG87" i="236"/>
  <c r="AD87" i="236"/>
  <c r="AA87" i="236"/>
  <c r="AM86" i="236"/>
  <c r="AJ86" i="236"/>
  <c r="AG86" i="236"/>
  <c r="AD86" i="236"/>
  <c r="AA86" i="236"/>
  <c r="AM85" i="236"/>
  <c r="AM88" i="236"/>
  <c r="AJ85" i="236"/>
  <c r="AG85" i="236"/>
  <c r="AD85" i="236"/>
  <c r="AA85" i="236"/>
  <c r="AL84" i="236"/>
  <c r="AL94" i="236"/>
  <c r="AK84" i="236"/>
  <c r="AI84" i="236"/>
  <c r="AI94" i="236"/>
  <c r="AH84" i="236"/>
  <c r="AF84" i="236"/>
  <c r="AC84" i="236"/>
  <c r="AB84" i="236"/>
  <c r="X84" i="236"/>
  <c r="W84" i="236"/>
  <c r="V84" i="236"/>
  <c r="V94" i="236"/>
  <c r="U84" i="236"/>
  <c r="T84" i="236"/>
  <c r="R84" i="236"/>
  <c r="Q84" i="236"/>
  <c r="P84" i="236"/>
  <c r="N84" i="236"/>
  <c r="N94" i="236"/>
  <c r="K84" i="236"/>
  <c r="AM83" i="236"/>
  <c r="AJ83" i="236"/>
  <c r="AJ84" i="236"/>
  <c r="AG83" i="236"/>
  <c r="AD83" i="236"/>
  <c r="AA83" i="236"/>
  <c r="AM82" i="236"/>
  <c r="AJ82" i="236"/>
  <c r="AG82" i="236"/>
  <c r="AD82" i="236"/>
  <c r="AA82" i="236"/>
  <c r="AA80" i="236"/>
  <c r="AA81" i="236"/>
  <c r="AM80" i="236"/>
  <c r="AJ80" i="236"/>
  <c r="AG80" i="236"/>
  <c r="AD80" i="236"/>
  <c r="AL78" i="236"/>
  <c r="AL73" i="236"/>
  <c r="AL64" i="236"/>
  <c r="AK78" i="236"/>
  <c r="AI78" i="236"/>
  <c r="AH78" i="236"/>
  <c r="AF78" i="236"/>
  <c r="AF73" i="236"/>
  <c r="AF64" i="236"/>
  <c r="AE78" i="236"/>
  <c r="AC78" i="236"/>
  <c r="AB78" i="236"/>
  <c r="AB73" i="236"/>
  <c r="AB64" i="236"/>
  <c r="Z78" i="236"/>
  <c r="Y78" i="236"/>
  <c r="X78" i="236"/>
  <c r="W78" i="236"/>
  <c r="V78" i="236"/>
  <c r="U78" i="236"/>
  <c r="T78" i="236"/>
  <c r="S78" i="236"/>
  <c r="S73" i="236"/>
  <c r="S64" i="236"/>
  <c r="S79" i="236"/>
  <c r="R78" i="236"/>
  <c r="R73" i="236"/>
  <c r="R64" i="236"/>
  <c r="R79" i="236"/>
  <c r="Q78" i="236"/>
  <c r="P78" i="236"/>
  <c r="O78" i="236"/>
  <c r="O73" i="236"/>
  <c r="O79" i="236"/>
  <c r="O64" i="236"/>
  <c r="N78" i="236"/>
  <c r="M78" i="236"/>
  <c r="L78" i="236"/>
  <c r="K78" i="236"/>
  <c r="J78" i="236"/>
  <c r="J73" i="236"/>
  <c r="J64" i="236"/>
  <c r="I78" i="236"/>
  <c r="H78" i="236"/>
  <c r="G78" i="236"/>
  <c r="F78" i="236"/>
  <c r="F73" i="236"/>
  <c r="F64" i="236"/>
  <c r="E78" i="236"/>
  <c r="D78" i="236"/>
  <c r="AM77" i="236"/>
  <c r="AJ77" i="236"/>
  <c r="AG77" i="236"/>
  <c r="AD77" i="236"/>
  <c r="AA77" i="236"/>
  <c r="AM76" i="236"/>
  <c r="AJ76" i="236"/>
  <c r="AG76" i="236"/>
  <c r="AD76" i="236"/>
  <c r="AA76" i="236"/>
  <c r="AM75" i="236"/>
  <c r="AJ75" i="236"/>
  <c r="AG75" i="236"/>
  <c r="AD75" i="236"/>
  <c r="AA75" i="236"/>
  <c r="AM74" i="236"/>
  <c r="AM78" i="236"/>
  <c r="AJ74" i="236"/>
  <c r="AG74" i="236"/>
  <c r="AD74" i="236"/>
  <c r="AA74" i="236"/>
  <c r="AK73" i="236"/>
  <c r="AK64" i="236"/>
  <c r="AI73" i="236"/>
  <c r="AI64" i="236"/>
  <c r="AH73" i="236"/>
  <c r="AE73" i="236"/>
  <c r="AC73" i="236"/>
  <c r="AC64" i="236"/>
  <c r="Z73" i="236"/>
  <c r="Y73" i="236"/>
  <c r="X73" i="236"/>
  <c r="X64" i="236"/>
  <c r="X79" i="236"/>
  <c r="W73" i="236"/>
  <c r="V73" i="236"/>
  <c r="U73" i="236"/>
  <c r="U64" i="236"/>
  <c r="T73" i="236"/>
  <c r="Q73" i="236"/>
  <c r="P73" i="236"/>
  <c r="N73" i="236"/>
  <c r="N79" i="236"/>
  <c r="M73" i="236"/>
  <c r="M79" i="236"/>
  <c r="M64" i="236"/>
  <c r="L73" i="236"/>
  <c r="K73" i="236"/>
  <c r="I73" i="236"/>
  <c r="I64" i="236"/>
  <c r="I56" i="236"/>
  <c r="I49" i="236"/>
  <c r="I37" i="236"/>
  <c r="I25" i="236"/>
  <c r="I21" i="236"/>
  <c r="I16" i="236"/>
  <c r="I26" i="236"/>
  <c r="H73" i="236"/>
  <c r="H64" i="236"/>
  <c r="G73" i="236"/>
  <c r="E73" i="236"/>
  <c r="D73" i="236"/>
  <c r="D64" i="236"/>
  <c r="AM72" i="236"/>
  <c r="AJ72" i="236"/>
  <c r="AG72" i="236"/>
  <c r="AD72" i="236"/>
  <c r="AA72" i="236"/>
  <c r="AM71" i="236"/>
  <c r="AJ71" i="236"/>
  <c r="AG71" i="236"/>
  <c r="AD71" i="236"/>
  <c r="AA71" i="236"/>
  <c r="AM70" i="236"/>
  <c r="AJ70" i="236"/>
  <c r="AG70" i="236"/>
  <c r="AD70" i="236"/>
  <c r="AA70" i="236"/>
  <c r="AM69" i="236"/>
  <c r="AJ69" i="236"/>
  <c r="AG69" i="236"/>
  <c r="AD69" i="236"/>
  <c r="AA69" i="236"/>
  <c r="AM68" i="236"/>
  <c r="AJ68" i="236"/>
  <c r="AG68" i="236"/>
  <c r="AG65" i="236"/>
  <c r="AG66" i="236"/>
  <c r="AG67" i="236"/>
  <c r="AD68" i="236"/>
  <c r="AA68" i="236"/>
  <c r="AM67" i="236"/>
  <c r="AJ67" i="236"/>
  <c r="AD67" i="236"/>
  <c r="AA67" i="236"/>
  <c r="AM66" i="236"/>
  <c r="AJ66" i="236"/>
  <c r="AD66" i="236"/>
  <c r="AA66" i="236"/>
  <c r="AM65" i="236"/>
  <c r="AJ65" i="236"/>
  <c r="AD65" i="236"/>
  <c r="AA65" i="236"/>
  <c r="AH64" i="236"/>
  <c r="AE64" i="236"/>
  <c r="Z64" i="236"/>
  <c r="Y64" i="236"/>
  <c r="Y79" i="236"/>
  <c r="W64" i="236"/>
  <c r="V64" i="236"/>
  <c r="T64" i="236"/>
  <c r="Q64" i="236"/>
  <c r="P64" i="236"/>
  <c r="N64" i="236"/>
  <c r="L64" i="236"/>
  <c r="K64" i="236"/>
  <c r="G64" i="236"/>
  <c r="E64" i="236"/>
  <c r="AM63" i="236"/>
  <c r="AJ63" i="236"/>
  <c r="AG63" i="236"/>
  <c r="AD63" i="236"/>
  <c r="AA63" i="236"/>
  <c r="AM62" i="236"/>
  <c r="AJ62" i="236"/>
  <c r="AG62" i="236"/>
  <c r="AD62" i="236"/>
  <c r="AA62" i="236"/>
  <c r="AM61" i="236"/>
  <c r="AJ61" i="236"/>
  <c r="AG61" i="236"/>
  <c r="AD61" i="236"/>
  <c r="AA61" i="236"/>
  <c r="AM60" i="236"/>
  <c r="AJ60" i="236"/>
  <c r="AG60" i="236"/>
  <c r="AD60" i="236"/>
  <c r="AA60" i="236"/>
  <c r="AM59" i="236"/>
  <c r="AJ59" i="236"/>
  <c r="AG59" i="236"/>
  <c r="AD59" i="236"/>
  <c r="AA59" i="236"/>
  <c r="AM58" i="236"/>
  <c r="AJ58" i="236"/>
  <c r="AG58" i="236"/>
  <c r="AD58" i="236"/>
  <c r="AA58" i="236"/>
  <c r="AL56" i="236"/>
  <c r="AK56" i="236"/>
  <c r="AI56" i="236"/>
  <c r="AH56" i="236"/>
  <c r="AF56" i="236"/>
  <c r="AE56" i="236"/>
  <c r="AC56" i="236"/>
  <c r="AB56" i="236"/>
  <c r="Z56" i="236"/>
  <c r="Y56" i="236"/>
  <c r="Y57" i="236"/>
  <c r="X56" i="236"/>
  <c r="W56" i="236"/>
  <c r="V56" i="236"/>
  <c r="U56" i="236"/>
  <c r="U49" i="236"/>
  <c r="U57" i="236"/>
  <c r="U37" i="236"/>
  <c r="T56" i="236"/>
  <c r="S56" i="236"/>
  <c r="S57" i="236"/>
  <c r="R56" i="236"/>
  <c r="Q56" i="236"/>
  <c r="P56" i="236"/>
  <c r="O56" i="236"/>
  <c r="N56" i="236"/>
  <c r="M56" i="236"/>
  <c r="L56" i="236"/>
  <c r="K56" i="236"/>
  <c r="J56" i="236"/>
  <c r="H56" i="236"/>
  <c r="G56" i="236"/>
  <c r="F56" i="236"/>
  <c r="E56" i="236"/>
  <c r="D56" i="236"/>
  <c r="AM55" i="236"/>
  <c r="AJ55" i="236"/>
  <c r="AG55" i="236"/>
  <c r="AD55" i="236"/>
  <c r="AA55" i="236"/>
  <c r="AM54" i="236"/>
  <c r="AJ54" i="236"/>
  <c r="AG54" i="236"/>
  <c r="AD54" i="236"/>
  <c r="AA54" i="236"/>
  <c r="AM53" i="236"/>
  <c r="AJ53" i="236"/>
  <c r="AG53" i="236"/>
  <c r="AD53" i="236"/>
  <c r="AA53" i="236"/>
  <c r="AM52" i="236"/>
  <c r="AJ52" i="236"/>
  <c r="AG52" i="236"/>
  <c r="AD52" i="236"/>
  <c r="AA52" i="236"/>
  <c r="AM51" i="236"/>
  <c r="AJ51" i="236"/>
  <c r="AG51" i="236"/>
  <c r="AD51" i="236"/>
  <c r="AA51" i="236"/>
  <c r="AM50" i="236"/>
  <c r="AJ50" i="236"/>
  <c r="AG50" i="236"/>
  <c r="AD50" i="236"/>
  <c r="AD56" i="236"/>
  <c r="AA50" i="236"/>
  <c r="AL49" i="236"/>
  <c r="AK49" i="236"/>
  <c r="AI49" i="236"/>
  <c r="AH49" i="236"/>
  <c r="AH57" i="236"/>
  <c r="AF49" i="236"/>
  <c r="AE49" i="236"/>
  <c r="AC49" i="236"/>
  <c r="AB49" i="236"/>
  <c r="Z49" i="236"/>
  <c r="Y49" i="236"/>
  <c r="X49" i="236"/>
  <c r="W49" i="236"/>
  <c r="W57" i="236"/>
  <c r="V49" i="236"/>
  <c r="T49" i="236"/>
  <c r="S49" i="236"/>
  <c r="R49" i="236"/>
  <c r="Q49" i="236"/>
  <c r="P49" i="236"/>
  <c r="O49" i="236"/>
  <c r="N49" i="236"/>
  <c r="N57" i="236"/>
  <c r="M49" i="236"/>
  <c r="L49" i="236"/>
  <c r="K49" i="236"/>
  <c r="J49" i="236"/>
  <c r="H49" i="236"/>
  <c r="G49" i="236"/>
  <c r="F49" i="236"/>
  <c r="E49" i="236"/>
  <c r="D49" i="236"/>
  <c r="AM48" i="236"/>
  <c r="AJ48" i="236"/>
  <c r="AG48" i="236"/>
  <c r="AD48" i="236"/>
  <c r="AA48" i="236"/>
  <c r="AM47" i="236"/>
  <c r="AJ47" i="236"/>
  <c r="AG47" i="236"/>
  <c r="AD47" i="236"/>
  <c r="AA47" i="236"/>
  <c r="AM46" i="236"/>
  <c r="AJ46" i="236"/>
  <c r="AG46" i="236"/>
  <c r="AD46" i="236"/>
  <c r="AA46" i="236"/>
  <c r="AM45" i="236"/>
  <c r="AJ45" i="236"/>
  <c r="AG45" i="236"/>
  <c r="AD45" i="236"/>
  <c r="AA45" i="236"/>
  <c r="AM44" i="236"/>
  <c r="AJ44" i="236"/>
  <c r="AG44" i="236"/>
  <c r="AD44" i="236"/>
  <c r="AA44" i="236"/>
  <c r="AM43" i="236"/>
  <c r="AJ43" i="236"/>
  <c r="AG43" i="236"/>
  <c r="AD43" i="236"/>
  <c r="AA43" i="236"/>
  <c r="AM42" i="236"/>
  <c r="AJ42" i="236"/>
  <c r="AG42" i="236"/>
  <c r="AD42" i="236"/>
  <c r="AA42" i="236"/>
  <c r="AM41" i="236"/>
  <c r="AJ41" i="236"/>
  <c r="AG41" i="236"/>
  <c r="AD41" i="236"/>
  <c r="AA41" i="236"/>
  <c r="AA38" i="236"/>
  <c r="AA39" i="236"/>
  <c r="AA40" i="236"/>
  <c r="AM40" i="236"/>
  <c r="AJ40" i="236"/>
  <c r="AG40" i="236"/>
  <c r="AD40" i="236"/>
  <c r="AM39" i="236"/>
  <c r="AJ39" i="236"/>
  <c r="AG39" i="236"/>
  <c r="AD39" i="236"/>
  <c r="AM38" i="236"/>
  <c r="AJ38" i="236"/>
  <c r="AG38" i="236"/>
  <c r="AD38" i="236"/>
  <c r="AL37" i="236"/>
  <c r="AK37" i="236"/>
  <c r="AI37" i="236"/>
  <c r="AH37" i="236"/>
  <c r="AF37" i="236"/>
  <c r="AE37" i="236"/>
  <c r="AC37" i="236"/>
  <c r="AB37" i="236"/>
  <c r="AB57" i="236"/>
  <c r="Z37" i="236"/>
  <c r="Y37" i="236"/>
  <c r="X37" i="236"/>
  <c r="W37" i="236"/>
  <c r="V37" i="236"/>
  <c r="T37" i="236"/>
  <c r="S37" i="236"/>
  <c r="R37" i="236"/>
  <c r="Q37" i="236"/>
  <c r="P37" i="236"/>
  <c r="O37" i="236"/>
  <c r="N37" i="236"/>
  <c r="M37" i="236"/>
  <c r="L37" i="236"/>
  <c r="K37" i="236"/>
  <c r="J37" i="236"/>
  <c r="J57" i="236"/>
  <c r="H37" i="236"/>
  <c r="G37" i="236"/>
  <c r="F37" i="236"/>
  <c r="E37" i="236"/>
  <c r="D37" i="236"/>
  <c r="AM35" i="236"/>
  <c r="AJ35" i="236"/>
  <c r="AG35" i="236"/>
  <c r="AD35" i="236"/>
  <c r="AA35" i="236"/>
  <c r="AM34" i="236"/>
  <c r="AJ34" i="236"/>
  <c r="AG34" i="236"/>
  <c r="AD34" i="236"/>
  <c r="AA34" i="236"/>
  <c r="AM33" i="236"/>
  <c r="AJ33" i="236"/>
  <c r="AG33" i="236"/>
  <c r="AD33" i="236"/>
  <c r="AA33" i="236"/>
  <c r="AM32" i="236"/>
  <c r="AJ32" i="236"/>
  <c r="AG32" i="236"/>
  <c r="AD32" i="236"/>
  <c r="AA32" i="236"/>
  <c r="AM31" i="236"/>
  <c r="AJ31" i="236"/>
  <c r="AG31" i="236"/>
  <c r="AD31" i="236"/>
  <c r="AA31" i="236"/>
  <c r="AM30" i="236"/>
  <c r="AJ30" i="236"/>
  <c r="AG30" i="236"/>
  <c r="AD30" i="236"/>
  <c r="AA30" i="236"/>
  <c r="AM29" i="236"/>
  <c r="AJ29" i="236"/>
  <c r="AG29" i="236"/>
  <c r="AD29" i="236"/>
  <c r="AA29" i="236"/>
  <c r="AM28" i="236"/>
  <c r="AM27" i="236"/>
  <c r="AJ28" i="236"/>
  <c r="AG28" i="236"/>
  <c r="AD28" i="236"/>
  <c r="AA28" i="236"/>
  <c r="AA27" i="236"/>
  <c r="AJ27" i="236"/>
  <c r="AG27" i="236"/>
  <c r="AD27" i="236"/>
  <c r="AL25" i="236"/>
  <c r="AK25" i="236"/>
  <c r="AK21" i="236"/>
  <c r="AK16" i="236"/>
  <c r="AI25" i="236"/>
  <c r="AH25" i="236"/>
  <c r="AF25" i="236"/>
  <c r="AE25" i="236"/>
  <c r="AE21" i="236"/>
  <c r="AE16" i="236"/>
  <c r="AC25" i="236"/>
  <c r="AB25" i="236"/>
  <c r="Z25" i="236"/>
  <c r="Z21" i="236"/>
  <c r="Z16" i="236"/>
  <c r="Y25" i="236"/>
  <c r="Y21" i="236"/>
  <c r="Y16" i="236"/>
  <c r="Y26" i="236"/>
  <c r="X25" i="236"/>
  <c r="W25" i="236"/>
  <c r="V25" i="236"/>
  <c r="V21" i="236"/>
  <c r="V16" i="236"/>
  <c r="U25" i="236"/>
  <c r="U21" i="236"/>
  <c r="U16" i="236"/>
  <c r="T25" i="236"/>
  <c r="S25" i="236"/>
  <c r="R25" i="236"/>
  <c r="Q25" i="236"/>
  <c r="Q21" i="236"/>
  <c r="Q16" i="236"/>
  <c r="P25" i="236"/>
  <c r="O25" i="236"/>
  <c r="N25" i="236"/>
  <c r="M25" i="236"/>
  <c r="M21" i="236"/>
  <c r="M16" i="236"/>
  <c r="L25" i="236"/>
  <c r="K25" i="236"/>
  <c r="J25" i="236"/>
  <c r="J21" i="236"/>
  <c r="J16" i="236"/>
  <c r="H25" i="236"/>
  <c r="G25" i="236"/>
  <c r="F25" i="236"/>
  <c r="F21" i="236"/>
  <c r="F16" i="236"/>
  <c r="E25" i="236"/>
  <c r="D25" i="236"/>
  <c r="AM24" i="236"/>
  <c r="AJ24" i="236"/>
  <c r="AG24" i="236"/>
  <c r="AD24" i="236"/>
  <c r="AA24" i="236"/>
  <c r="AM23" i="236"/>
  <c r="AJ23" i="236"/>
  <c r="AG23" i="236"/>
  <c r="AD23" i="236"/>
  <c r="AA23" i="236"/>
  <c r="AA22" i="236"/>
  <c r="AM22" i="236"/>
  <c r="AJ22" i="236"/>
  <c r="AJ25" i="236"/>
  <c r="AG22" i="236"/>
  <c r="AD22" i="236"/>
  <c r="AL21" i="236"/>
  <c r="AI21" i="236"/>
  <c r="AH21" i="236"/>
  <c r="AH16" i="236"/>
  <c r="AF21" i="236"/>
  <c r="AF26" i="236"/>
  <c r="AC21" i="236"/>
  <c r="AB21" i="236"/>
  <c r="AB16" i="236"/>
  <c r="X21" i="236"/>
  <c r="W21" i="236"/>
  <c r="T21" i="236"/>
  <c r="S21" i="236"/>
  <c r="S16" i="236"/>
  <c r="S26" i="236"/>
  <c r="R21" i="236"/>
  <c r="P21" i="236"/>
  <c r="P16" i="236"/>
  <c r="P26" i="236"/>
  <c r="O21" i="236"/>
  <c r="O16" i="236"/>
  <c r="N21" i="236"/>
  <c r="L21" i="236"/>
  <c r="K21" i="236"/>
  <c r="H21" i="236"/>
  <c r="G21" i="236"/>
  <c r="E21" i="236"/>
  <c r="D21" i="236"/>
  <c r="AM20" i="236"/>
  <c r="AM17" i="236"/>
  <c r="AM18" i="236"/>
  <c r="AM19" i="236"/>
  <c r="AJ20" i="236"/>
  <c r="AG20" i="236"/>
  <c r="AD20" i="236"/>
  <c r="AA20" i="236"/>
  <c r="AJ19" i="236"/>
  <c r="AG19" i="236"/>
  <c r="AD19" i="236"/>
  <c r="AA19" i="236"/>
  <c r="AA17" i="236"/>
  <c r="AA18" i="236"/>
  <c r="AJ18" i="236"/>
  <c r="AG18" i="236"/>
  <c r="AD18" i="236"/>
  <c r="AD17" i="236"/>
  <c r="AD21" i="236"/>
  <c r="AJ17" i="236"/>
  <c r="AJ21" i="236"/>
  <c r="AG17" i="236"/>
  <c r="AL16" i="236"/>
  <c r="AI16" i="236"/>
  <c r="AF16" i="236"/>
  <c r="AC16" i="236"/>
  <c r="X16" i="236"/>
  <c r="W16" i="236"/>
  <c r="T16" i="236"/>
  <c r="T26" i="236"/>
  <c r="R16" i="236"/>
  <c r="N16" i="236"/>
  <c r="L16" i="236"/>
  <c r="K16" i="236"/>
  <c r="H16" i="236"/>
  <c r="G16" i="236"/>
  <c r="E16" i="236"/>
  <c r="D16" i="236"/>
  <c r="D26" i="236"/>
  <c r="AM15" i="236"/>
  <c r="AJ15" i="236"/>
  <c r="AG15" i="236"/>
  <c r="AD15" i="236"/>
  <c r="AA15" i="236"/>
  <c r="AM14" i="236"/>
  <c r="AJ14" i="236"/>
  <c r="AG14" i="236"/>
  <c r="AD14" i="236"/>
  <c r="AA14" i="236"/>
  <c r="AM13" i="236"/>
  <c r="AJ13" i="236"/>
  <c r="AG13" i="236"/>
  <c r="AD13" i="236"/>
  <c r="AA13" i="236"/>
  <c r="AM12" i="236"/>
  <c r="AJ12" i="236"/>
  <c r="AG12" i="236"/>
  <c r="AD12" i="236"/>
  <c r="AA12" i="236"/>
  <c r="AM11" i="236"/>
  <c r="AJ11" i="236"/>
  <c r="AG11" i="236"/>
  <c r="AD11" i="236"/>
  <c r="AA11" i="236"/>
  <c r="AM10" i="236"/>
  <c r="AM6" i="236"/>
  <c r="AM7" i="236"/>
  <c r="AM8" i="236"/>
  <c r="AM9" i="236"/>
  <c r="AJ10" i="236"/>
  <c r="AG10" i="236"/>
  <c r="AD10" i="236"/>
  <c r="AA10" i="236"/>
  <c r="AA6" i="236"/>
  <c r="AA7" i="236"/>
  <c r="AA8" i="236"/>
  <c r="AA9" i="236"/>
  <c r="AJ9" i="236"/>
  <c r="AG9" i="236"/>
  <c r="AD9" i="236"/>
  <c r="AD6" i="236"/>
  <c r="AD7" i="236"/>
  <c r="AD8" i="236"/>
  <c r="AJ8" i="236"/>
  <c r="AG8" i="236"/>
  <c r="AG6" i="236"/>
  <c r="AG7" i="236"/>
  <c r="AJ7" i="236"/>
  <c r="AJ6" i="236"/>
  <c r="AB146" i="276"/>
  <c r="L135" i="273"/>
  <c r="AC9" i="296"/>
  <c r="W34" i="296"/>
  <c r="Q35" i="296"/>
  <c r="BA31" i="242"/>
  <c r="AQ107" i="276"/>
  <c r="F156" i="287"/>
  <c r="C180" i="287"/>
  <c r="F130" i="287"/>
  <c r="E180" i="287"/>
  <c r="E27" i="294"/>
  <c r="C28" i="294"/>
  <c r="F30" i="294"/>
  <c r="D31" i="294"/>
  <c r="L31" i="294"/>
  <c r="D26" i="294"/>
  <c r="L26" i="294"/>
  <c r="E31" i="294"/>
  <c r="E26" i="294"/>
  <c r="C27" i="294"/>
  <c r="K27" i="294"/>
  <c r="K28" i="294"/>
  <c r="D30" i="294"/>
  <c r="L30" i="294"/>
  <c r="F25" i="294"/>
  <c r="F26" i="294"/>
  <c r="D27" i="294"/>
  <c r="L27" i="294"/>
  <c r="F29" i="294"/>
  <c r="E30" i="294"/>
  <c r="C31" i="294"/>
  <c r="P30" i="47"/>
  <c r="X20" i="47"/>
  <c r="X30" i="47"/>
  <c r="X41" i="47"/>
  <c r="AG9" i="234"/>
  <c r="AK14" i="234"/>
  <c r="AS19" i="234"/>
  <c r="AW29" i="234"/>
  <c r="AG19" i="234"/>
  <c r="AW19" i="234"/>
  <c r="AO33" i="234"/>
  <c r="AO32" i="234"/>
  <c r="AP37" i="234"/>
  <c r="AQ37" i="234"/>
  <c r="AS31" i="234"/>
  <c r="AR37" i="234"/>
  <c r="AO9" i="234"/>
  <c r="AO19" i="234"/>
  <c r="AG33" i="234"/>
  <c r="AG29" i="234"/>
  <c r="AS33" i="234"/>
  <c r="AO29" i="234"/>
  <c r="AM37" i="234"/>
  <c r="AI37" i="234"/>
  <c r="I8" i="243"/>
  <c r="N36" i="243"/>
  <c r="I18" i="243"/>
  <c r="I28" i="243"/>
  <c r="BE29" i="242"/>
  <c r="BF21" i="281"/>
  <c r="AP29" i="242"/>
  <c r="BJ29" i="242"/>
  <c r="BJ37" i="281"/>
  <c r="AZ14" i="242"/>
  <c r="BE24" i="242"/>
  <c r="AP14" i="242"/>
  <c r="BJ14" i="242"/>
  <c r="BE14" i="242"/>
  <c r="AZ29" i="242"/>
  <c r="AY31" i="242"/>
  <c r="BE44" i="281"/>
  <c r="AU14" i="242"/>
  <c r="AO31" i="242"/>
  <c r="AQ31" i="242"/>
  <c r="BG31" i="242"/>
  <c r="BE19" i="242"/>
  <c r="AP19" i="242"/>
  <c r="AX31" i="242"/>
  <c r="BJ8" i="281"/>
  <c r="L27" i="292"/>
  <c r="E27" i="291"/>
  <c r="E28" i="291"/>
  <c r="D25" i="291"/>
  <c r="H25" i="291"/>
  <c r="D26" i="291"/>
  <c r="H26" i="291"/>
  <c r="F26" i="291"/>
  <c r="D27" i="291"/>
  <c r="H27" i="291"/>
  <c r="E25" i="291"/>
  <c r="K30" i="291"/>
  <c r="K37" i="291"/>
  <c r="N30" i="291"/>
  <c r="N34" i="291"/>
  <c r="AF9" i="295"/>
  <c r="AC29" i="295"/>
  <c r="W33" i="295"/>
  <c r="AC33" i="295"/>
  <c r="T34" i="295"/>
  <c r="W35" i="295"/>
  <c r="S75" i="295"/>
  <c r="Q71" i="295"/>
  <c r="W71" i="295"/>
  <c r="AC71" i="295"/>
  <c r="W72" i="295"/>
  <c r="AC72" i="295"/>
  <c r="Z95" i="295"/>
  <c r="AF130" i="295"/>
  <c r="AF131" i="295"/>
  <c r="Z100" i="295"/>
  <c r="Z145" i="295"/>
  <c r="AF136" i="295"/>
  <c r="AC19" i="295"/>
  <c r="T29" i="295"/>
  <c r="AF47" i="295"/>
  <c r="N52" i="295"/>
  <c r="N71" i="295"/>
  <c r="Z73" i="295"/>
  <c r="Z85" i="295"/>
  <c r="AF85" i="295"/>
  <c r="U37" i="295"/>
  <c r="E95" i="295"/>
  <c r="T14" i="295"/>
  <c r="AC14" i="295"/>
  <c r="W24" i="295"/>
  <c r="Z29" i="295"/>
  <c r="T32" i="295"/>
  <c r="Z35" i="295"/>
  <c r="AF36" i="295"/>
  <c r="H47" i="295"/>
  <c r="T47" i="295"/>
  <c r="AC121" i="295"/>
  <c r="AC52" i="295"/>
  <c r="K69" i="295"/>
  <c r="P75" i="295"/>
  <c r="W69" i="295"/>
  <c r="Z69" i="295"/>
  <c r="E70" i="295"/>
  <c r="W70" i="295"/>
  <c r="AE75" i="295"/>
  <c r="V75" i="295"/>
  <c r="H72" i="295"/>
  <c r="T72" i="295"/>
  <c r="T73" i="295"/>
  <c r="Z74" i="295"/>
  <c r="H85" i="295"/>
  <c r="T85" i="295"/>
  <c r="H102" i="295"/>
  <c r="T102" i="295"/>
  <c r="T95" i="295"/>
  <c r="AC95" i="295"/>
  <c r="N105" i="295"/>
  <c r="W100" i="295"/>
  <c r="AF145" i="295"/>
  <c r="AB133" i="295"/>
  <c r="W19" i="295"/>
  <c r="E69" i="295"/>
  <c r="E67" i="295"/>
  <c r="AC67" i="295"/>
  <c r="AF73" i="295"/>
  <c r="Q74" i="295"/>
  <c r="AF90" i="295"/>
  <c r="N100" i="295"/>
  <c r="AA108" i="295"/>
  <c r="AE118" i="295"/>
  <c r="C118" i="295"/>
  <c r="I128" i="295"/>
  <c r="AF127" i="295"/>
  <c r="Z9" i="295"/>
  <c r="AF14" i="295"/>
  <c r="T24" i="295"/>
  <c r="AF24" i="295"/>
  <c r="AF33" i="295"/>
  <c r="W36" i="295"/>
  <c r="AC47" i="295"/>
  <c r="T52" i="295"/>
  <c r="Z52" i="295"/>
  <c r="W73" i="295"/>
  <c r="W74" i="295"/>
  <c r="N102" i="295"/>
  <c r="H103" i="295"/>
  <c r="AF103" i="295"/>
  <c r="I118" i="295"/>
  <c r="AC145" i="295"/>
  <c r="AF122" i="295"/>
  <c r="AC116" i="295"/>
  <c r="E71" i="295"/>
  <c r="I108" i="295"/>
  <c r="S108" i="295"/>
  <c r="Y138" i="295"/>
  <c r="C37" i="271"/>
  <c r="E37" i="271"/>
  <c r="I156" i="266"/>
  <c r="I52" i="266"/>
  <c r="G145" i="266"/>
  <c r="J99" i="267"/>
  <c r="J140" i="267"/>
  <c r="O151" i="267"/>
  <c r="G140" i="267"/>
  <c r="P151" i="267"/>
  <c r="I99" i="267"/>
  <c r="E99" i="267"/>
  <c r="E52" i="267"/>
  <c r="E140" i="267"/>
  <c r="M99" i="267"/>
  <c r="I140" i="267"/>
  <c r="M140" i="267"/>
  <c r="G99" i="267"/>
  <c r="O99" i="267"/>
  <c r="AL36" i="284"/>
  <c r="AI37" i="284"/>
  <c r="AK9" i="284"/>
  <c r="AX13" i="277"/>
  <c r="AZ77" i="277"/>
  <c r="BB52" i="277"/>
  <c r="AZ72" i="277"/>
  <c r="BB43" i="277"/>
  <c r="BB53" i="277"/>
  <c r="AY55" i="277"/>
  <c r="AF77" i="277"/>
  <c r="BB47" i="277"/>
  <c r="AZ55" i="277"/>
  <c r="AT70" i="277"/>
  <c r="AT75" i="277"/>
  <c r="AX75" i="277"/>
  <c r="BB51" i="277"/>
  <c r="AT60" i="277"/>
  <c r="AT64" i="277"/>
  <c r="BA72" i="277"/>
  <c r="AT9" i="277"/>
  <c r="AT20" i="277"/>
  <c r="AS21" i="277"/>
  <c r="AQ21" i="277"/>
  <c r="AT51" i="277"/>
  <c r="AQ72" i="277"/>
  <c r="AG51" i="276"/>
  <c r="W107" i="276"/>
  <c r="N107" i="276"/>
  <c r="AG107" i="276"/>
  <c r="AG149" i="276" s="1"/>
  <c r="AB50" i="276"/>
  <c r="M107" i="276"/>
  <c r="AF141" i="276"/>
  <c r="P147" i="276"/>
  <c r="BL146" i="276"/>
  <c r="BH146" i="276"/>
  <c r="BC68" i="277"/>
  <c r="AM147" i="276"/>
  <c r="AD60" i="263"/>
  <c r="AO38" i="263"/>
  <c r="Z9" i="263"/>
  <c r="Z13" i="263"/>
  <c r="AH13" i="263"/>
  <c r="AL43" i="263"/>
  <c r="AH54" i="263"/>
  <c r="AG55" i="263"/>
  <c r="AD64" i="263"/>
  <c r="AD43" i="263"/>
  <c r="AH43" i="263"/>
  <c r="AL69" i="263"/>
  <c r="AL68" i="263"/>
  <c r="F41" i="263"/>
  <c r="F43" i="263"/>
  <c r="O79" i="275"/>
  <c r="S33" i="253"/>
  <c r="W33" i="253"/>
  <c r="L26" i="275"/>
  <c r="T26" i="275"/>
  <c r="I57" i="275"/>
  <c r="M57" i="275"/>
  <c r="U57" i="275"/>
  <c r="T79" i="275"/>
  <c r="I26" i="275"/>
  <c r="U26" i="275"/>
  <c r="J57" i="275"/>
  <c r="J104" i="275"/>
  <c r="I79" i="275"/>
  <c r="M79" i="275"/>
  <c r="P29" i="253"/>
  <c r="J26" i="275"/>
  <c r="R26" i="275"/>
  <c r="K57" i="275"/>
  <c r="J79" i="275"/>
  <c r="N79" i="275"/>
  <c r="V79" i="275"/>
  <c r="E24" i="173"/>
  <c r="L24" i="173"/>
  <c r="D39" i="173"/>
  <c r="L39" i="173"/>
  <c r="K70" i="173"/>
  <c r="H100" i="173"/>
  <c r="I39" i="173"/>
  <c r="F39" i="173"/>
  <c r="F70" i="173"/>
  <c r="K32" i="172"/>
  <c r="G39" i="173"/>
  <c r="J70" i="173"/>
  <c r="K24" i="173"/>
  <c r="F100" i="173"/>
  <c r="I24" i="173"/>
  <c r="H24" i="173"/>
  <c r="K100" i="173"/>
  <c r="G19" i="172"/>
  <c r="I33" i="172"/>
  <c r="F29" i="172"/>
  <c r="L32" i="172"/>
  <c r="T32" i="297"/>
  <c r="H9" i="297"/>
  <c r="Z14" i="297"/>
  <c r="W19" i="297"/>
  <c r="E33" i="297"/>
  <c r="AC33" i="297"/>
  <c r="H33" i="297"/>
  <c r="E29" i="297"/>
  <c r="Q29" i="297"/>
  <c r="AC29" i="297"/>
  <c r="G37" i="297"/>
  <c r="F33" i="98"/>
  <c r="N33" i="98"/>
  <c r="W33" i="98"/>
  <c r="AG33" i="98"/>
  <c r="AR33" i="98"/>
  <c r="AZ33" i="98"/>
  <c r="D32" i="98"/>
  <c r="L32" i="98"/>
  <c r="T32" i="98"/>
  <c r="AJ32" i="98"/>
  <c r="O19" i="98"/>
  <c r="N29" i="98"/>
  <c r="E19" i="98"/>
  <c r="U19" i="98"/>
  <c r="F19" i="98"/>
  <c r="AV19" i="98"/>
  <c r="AT31" i="98"/>
  <c r="BB31" i="98"/>
  <c r="AA32" i="98"/>
  <c r="X25" i="274"/>
  <c r="U70" i="274"/>
  <c r="AP70" i="274"/>
  <c r="AP102" i="274"/>
  <c r="BA70" i="274"/>
  <c r="BJ70" i="274"/>
  <c r="AB100" i="274"/>
  <c r="AP100" i="274"/>
  <c r="BB26" i="98"/>
  <c r="BB32" i="98"/>
  <c r="BB37" i="98"/>
  <c r="K34" i="300"/>
  <c r="Z8" i="98"/>
  <c r="AB25" i="274"/>
  <c r="AG70" i="274"/>
  <c r="AI99" i="274"/>
  <c r="BF28" i="98"/>
  <c r="AP28" i="98"/>
  <c r="AC70" i="274"/>
  <c r="AH70" i="274"/>
  <c r="BH70" i="274"/>
  <c r="AD26" i="98"/>
  <c r="AL28" i="98"/>
  <c r="AH28" i="98"/>
  <c r="BG99" i="274"/>
  <c r="Y25" i="274"/>
  <c r="X70" i="274"/>
  <c r="T70" i="274"/>
  <c r="AO70" i="274"/>
  <c r="AZ70" i="274"/>
  <c r="Z100" i="274"/>
  <c r="N39" i="201"/>
  <c r="D70" i="201"/>
  <c r="K39" i="201"/>
  <c r="L25" i="202"/>
  <c r="K36" i="202"/>
  <c r="M37" i="202"/>
  <c r="N37" i="229"/>
  <c r="C37" i="227"/>
  <c r="X37" i="194"/>
  <c r="H25" i="193"/>
  <c r="P40" i="193"/>
  <c r="X40" i="193"/>
  <c r="I103" i="193"/>
  <c r="Q103" i="193"/>
  <c r="Y103" i="193"/>
  <c r="Y40" i="193"/>
  <c r="Q40" i="193"/>
  <c r="I71" i="193"/>
  <c r="J103" i="193"/>
  <c r="R103" i="193"/>
  <c r="AH103" i="193"/>
  <c r="N25" i="193"/>
  <c r="R25" i="193"/>
  <c r="AH25" i="193"/>
  <c r="R71" i="193"/>
  <c r="W40" i="193"/>
  <c r="G71" i="193"/>
  <c r="O71" i="193"/>
  <c r="T103" i="193"/>
  <c r="AF103" i="193"/>
  <c r="Q25" i="193"/>
  <c r="Y25" i="193"/>
  <c r="H71" i="193"/>
  <c r="P71" i="193"/>
  <c r="X71" i="193"/>
  <c r="AF71" i="193"/>
  <c r="AK33" i="194"/>
  <c r="V25" i="193"/>
  <c r="AL25" i="193"/>
  <c r="J25" i="193"/>
  <c r="Z25" i="193"/>
  <c r="Z40" i="193"/>
  <c r="AH40" i="193"/>
  <c r="R40" i="193"/>
  <c r="AL40" i="193"/>
  <c r="Q71" i="193"/>
  <c r="Y71" i="193"/>
  <c r="Z103" i="193"/>
  <c r="O40" i="193"/>
  <c r="O105" i="193"/>
  <c r="AE40" i="193"/>
  <c r="Z71" i="193"/>
  <c r="J71" i="193"/>
  <c r="V71" i="193"/>
  <c r="AL71" i="193"/>
  <c r="AA103" i="193"/>
  <c r="AK19" i="194"/>
  <c r="P25" i="193"/>
  <c r="X25" i="193"/>
  <c r="AF40" i="193"/>
  <c r="W71" i="193"/>
  <c r="AE71" i="193"/>
  <c r="D103" i="193"/>
  <c r="AB103" i="193"/>
  <c r="AJ103" i="193"/>
  <c r="J4" i="304"/>
  <c r="G5" i="304"/>
  <c r="F16" i="304"/>
  <c r="F17" i="304"/>
  <c r="K19" i="304"/>
  <c r="G16" i="304"/>
  <c r="G17" i="304"/>
  <c r="N17" i="304"/>
  <c r="G19" i="304"/>
  <c r="N20" i="304"/>
  <c r="G15" i="304"/>
  <c r="H16" i="304"/>
  <c r="J18" i="304"/>
  <c r="N21" i="304"/>
  <c r="F5" i="304"/>
  <c r="N16" i="304"/>
  <c r="K17" i="304"/>
  <c r="AC32" i="241"/>
  <c r="AC31" i="241"/>
  <c r="AC34" i="241"/>
  <c r="AI26" i="241"/>
  <c r="AI12" i="241"/>
  <c r="AC19" i="241"/>
  <c r="AC24" i="241"/>
  <c r="AF25" i="240"/>
  <c r="AB25" i="240"/>
  <c r="AB78" i="240"/>
  <c r="AB93" i="240"/>
  <c r="T78" i="240"/>
  <c r="E25" i="240"/>
  <c r="U25" i="240"/>
  <c r="G25" i="240"/>
  <c r="W25" i="240"/>
  <c r="M56" i="240"/>
  <c r="Y56" i="240"/>
  <c r="AI56" i="240"/>
  <c r="AE78" i="240"/>
  <c r="AJ92" i="240"/>
  <c r="Q56" i="240"/>
  <c r="AK56" i="240"/>
  <c r="AK25" i="240"/>
  <c r="J78" i="240"/>
  <c r="R78" i="240"/>
  <c r="M25" i="240"/>
  <c r="AE25" i="240"/>
  <c r="N56" i="240"/>
  <c r="AH78" i="240"/>
  <c r="P93" i="240"/>
  <c r="D25" i="240"/>
  <c r="T25" i="240"/>
  <c r="E56" i="240"/>
  <c r="I56" i="240"/>
  <c r="U56" i="240"/>
  <c r="AL78" i="240"/>
  <c r="AI93" i="240"/>
  <c r="AL25" i="240"/>
  <c r="F56" i="240"/>
  <c r="V56" i="240"/>
  <c r="D78" i="240"/>
  <c r="H78" i="240"/>
  <c r="X78" i="240"/>
  <c r="E78" i="240"/>
  <c r="M78" i="240"/>
  <c r="U78" i="240"/>
  <c r="T93" i="240"/>
  <c r="AI27" i="241"/>
  <c r="AJ20" i="240"/>
  <c r="K25" i="240"/>
  <c r="AJ24" i="240"/>
  <c r="X25" i="240"/>
  <c r="AH25" i="240"/>
  <c r="AH93" i="240"/>
  <c r="AL93" i="240"/>
  <c r="AF7" i="241"/>
  <c r="AG29" i="241"/>
  <c r="AC34" i="239"/>
  <c r="AC31" i="239"/>
  <c r="H9" i="239"/>
  <c r="T9" i="239"/>
  <c r="V25" i="238"/>
  <c r="Q93" i="238"/>
  <c r="AE25" i="238"/>
  <c r="AH25" i="238"/>
  <c r="V93" i="238"/>
  <c r="AC56" i="238"/>
  <c r="AI56" i="238"/>
  <c r="G56" i="238"/>
  <c r="AH78" i="238"/>
  <c r="AF93" i="238"/>
  <c r="Z93" i="238"/>
  <c r="J25" i="238"/>
  <c r="R25" i="238"/>
  <c r="Z25" i="238"/>
  <c r="E56" i="238"/>
  <c r="Q78" i="238"/>
  <c r="F25" i="238"/>
  <c r="AL25" i="238"/>
  <c r="AJ24" i="238"/>
  <c r="AC14" i="296"/>
  <c r="Q19" i="296"/>
  <c r="Q36" i="296"/>
  <c r="W9" i="296"/>
  <c r="W35" i="296"/>
  <c r="AC29" i="296"/>
  <c r="W31" i="296"/>
  <c r="V37" i="296"/>
  <c r="Q9" i="296"/>
  <c r="T19" i="296"/>
  <c r="AC31" i="296"/>
  <c r="AF27" i="237"/>
  <c r="E26" i="236"/>
  <c r="K57" i="236"/>
  <c r="AL57" i="236"/>
  <c r="G79" i="236"/>
  <c r="K79" i="236"/>
  <c r="W79" i="236"/>
  <c r="AH79" i="236"/>
  <c r="T94" i="236"/>
  <c r="AH19" i="237"/>
  <c r="H26" i="236"/>
  <c r="AC26" i="236"/>
  <c r="N26" i="236"/>
  <c r="R26" i="236"/>
  <c r="AL26" i="236"/>
  <c r="P57" i="236"/>
  <c r="AI57" i="236"/>
  <c r="T79" i="236"/>
  <c r="AF22" i="237"/>
  <c r="AC57" i="236"/>
  <c r="L79" i="236"/>
  <c r="X26" i="236"/>
  <c r="M57" i="236"/>
  <c r="AD78" i="236"/>
  <c r="AF26" i="237"/>
  <c r="D57" i="236"/>
  <c r="H57" i="236"/>
  <c r="L57" i="236"/>
  <c r="T57" i="236"/>
  <c r="X57" i="236"/>
  <c r="AM84" i="236"/>
  <c r="Q94" i="236"/>
  <c r="AK94" i="236"/>
  <c r="AL13" i="237"/>
  <c r="AI26" i="236"/>
  <c r="F57" i="236"/>
  <c r="V57" i="236"/>
  <c r="AE57" i="236"/>
  <c r="AE79" i="236"/>
  <c r="AF94" i="236"/>
  <c r="AF57" i="236"/>
  <c r="Z79" i="236"/>
  <c r="AH29" i="237"/>
  <c r="AC94" i="236"/>
  <c r="AE35" i="237"/>
  <c r="AJ21" i="263"/>
  <c r="AD51" i="263"/>
  <c r="AH51" i="263"/>
  <c r="AE55" i="263"/>
  <c r="AF55" i="263"/>
  <c r="AD71" i="263"/>
  <c r="AA75" i="263"/>
  <c r="AE74" i="263"/>
  <c r="AD9" i="263"/>
  <c r="AE21" i="263"/>
  <c r="AK21" i="263"/>
  <c r="AJ76" i="263"/>
  <c r="AI55" i="263"/>
  <c r="AA76" i="263"/>
  <c r="X77" i="263"/>
  <c r="AP36" i="263"/>
  <c r="AK55" i="263"/>
  <c r="AL64" i="263"/>
  <c r="AF21" i="263"/>
  <c r="AA55" i="263"/>
  <c r="AE75" i="263"/>
  <c r="AG51" i="273"/>
  <c r="AQ96" i="273"/>
  <c r="K136" i="273"/>
  <c r="AB32" i="273"/>
  <c r="J24" i="173"/>
  <c r="AC31" i="237"/>
  <c r="K93" i="240"/>
  <c r="S93" i="240"/>
  <c r="K102" i="201"/>
  <c r="AK29" i="239"/>
  <c r="X25" i="238"/>
  <c r="I78" i="238"/>
  <c r="G78" i="240"/>
  <c r="W78" i="240"/>
  <c r="AD29" i="241"/>
  <c r="S40" i="193"/>
  <c r="AA40" i="193"/>
  <c r="AP26" i="98"/>
  <c r="O57" i="275"/>
  <c r="V25" i="240"/>
  <c r="AH36" i="241"/>
  <c r="AI36" i="241"/>
  <c r="D71" i="193"/>
  <c r="L71" i="193"/>
  <c r="T71" i="193"/>
  <c r="AB71" i="193"/>
  <c r="AJ71" i="193"/>
  <c r="AD70" i="263"/>
  <c r="AQ55" i="277"/>
  <c r="AQ77" i="277"/>
  <c r="AT43" i="277"/>
  <c r="K56" i="240"/>
  <c r="BK30" i="274"/>
  <c r="S37" i="296"/>
  <c r="AF78" i="240"/>
  <c r="V79" i="236"/>
  <c r="AK22" i="237"/>
  <c r="AK32" i="237"/>
  <c r="R37" i="296"/>
  <c r="K25" i="193"/>
  <c r="S25" i="193"/>
  <c r="AA25" i="193"/>
  <c r="AD8" i="98"/>
  <c r="L31" i="253"/>
  <c r="T31" i="253"/>
  <c r="T9" i="253"/>
  <c r="AC19" i="296"/>
  <c r="J93" i="238"/>
  <c r="F25" i="240"/>
  <c r="I17" i="304"/>
  <c r="I19" i="304"/>
  <c r="I5" i="304"/>
  <c r="I6" i="304"/>
  <c r="I16" i="304"/>
  <c r="I15" i="304"/>
  <c r="AK25" i="193"/>
  <c r="F71" i="193"/>
  <c r="N71" i="193"/>
  <c r="K33" i="202"/>
  <c r="L34" i="202"/>
  <c r="AD25" i="274"/>
  <c r="W34" i="297"/>
  <c r="E70" i="173"/>
  <c r="AI75" i="263"/>
  <c r="AI21" i="263"/>
  <c r="AP43" i="263"/>
  <c r="AD55" i="263"/>
  <c r="Q59" i="248"/>
  <c r="O61" i="248"/>
  <c r="O23" i="248"/>
  <c r="G57" i="236"/>
  <c r="O57" i="236"/>
  <c r="P79" i="236"/>
  <c r="AD88" i="236"/>
  <c r="P94" i="236"/>
  <c r="X94" i="236"/>
  <c r="T32" i="296"/>
  <c r="AC33" i="296"/>
  <c r="AM20" i="238"/>
  <c r="AL78" i="238"/>
  <c r="AG35" i="239"/>
  <c r="R105" i="193"/>
  <c r="H103" i="193"/>
  <c r="H105" i="193"/>
  <c r="P103" i="193"/>
  <c r="X103" i="193"/>
  <c r="X105" i="193"/>
  <c r="M34" i="202"/>
  <c r="AL8" i="98"/>
  <c r="BE100" i="274"/>
  <c r="K33" i="297"/>
  <c r="I104" i="275"/>
  <c r="Y74" i="263"/>
  <c r="Y21" i="263"/>
  <c r="AL72" i="263"/>
  <c r="V93" i="240"/>
  <c r="V40" i="193"/>
  <c r="AR26" i="263"/>
  <c r="Q57" i="236"/>
  <c r="R94" i="236"/>
  <c r="AE14" i="239"/>
  <c r="Q25" i="240"/>
  <c r="Y25" i="240"/>
  <c r="AE56" i="240"/>
  <c r="P78" i="240"/>
  <c r="Z32" i="241"/>
  <c r="X37" i="241"/>
  <c r="Z37" i="241"/>
  <c r="L16" i="304"/>
  <c r="L5" i="304"/>
  <c r="L19" i="304"/>
  <c r="L15" i="304"/>
  <c r="L4" i="304"/>
  <c r="L6" i="304"/>
  <c r="L17" i="304"/>
  <c r="AD100" i="274"/>
  <c r="T100" i="274"/>
  <c r="AC74" i="263"/>
  <c r="AC21" i="263"/>
  <c r="BJ16" i="277"/>
  <c r="Y23" i="248"/>
  <c r="G23" i="248"/>
  <c r="G62" i="248"/>
  <c r="AI25" i="238"/>
  <c r="O78" i="240"/>
  <c r="AP25" i="274"/>
  <c r="R57" i="236"/>
  <c r="AM93" i="236"/>
  <c r="K94" i="236"/>
  <c r="P37" i="296"/>
  <c r="O56" i="240"/>
  <c r="W56" i="240"/>
  <c r="AF56" i="240"/>
  <c r="AI78" i="240"/>
  <c r="E19" i="304"/>
  <c r="E15" i="304"/>
  <c r="E4" i="304"/>
  <c r="E18" i="304"/>
  <c r="E17" i="304"/>
  <c r="M19" i="304"/>
  <c r="M15" i="304"/>
  <c r="M4" i="304"/>
  <c r="M6" i="304"/>
  <c r="M18" i="304"/>
  <c r="AH71" i="193"/>
  <c r="AH105" i="193"/>
  <c r="L30" i="202"/>
  <c r="AI85" i="274"/>
  <c r="AJ55" i="263"/>
  <c r="E105" i="240"/>
  <c r="N93" i="240"/>
  <c r="N40" i="193"/>
  <c r="H70" i="201"/>
  <c r="N19" i="297"/>
  <c r="N31" i="297"/>
  <c r="P26" i="275"/>
  <c r="K99" i="267"/>
  <c r="L26" i="236"/>
  <c r="Z57" i="236"/>
  <c r="AL26" i="237"/>
  <c r="Z32" i="237"/>
  <c r="X37" i="237"/>
  <c r="Y32" i="296"/>
  <c r="T29" i="296"/>
  <c r="AF25" i="238"/>
  <c r="AH93" i="238"/>
  <c r="Q9" i="239"/>
  <c r="S25" i="240"/>
  <c r="H56" i="240"/>
  <c r="P56" i="240"/>
  <c r="X56" i="240"/>
  <c r="AF13" i="241"/>
  <c r="AI17" i="241"/>
  <c r="M16" i="304"/>
  <c r="I18" i="304"/>
  <c r="J105" i="193"/>
  <c r="L103" i="193"/>
  <c r="AL31" i="194"/>
  <c r="L32" i="202"/>
  <c r="W24" i="274"/>
  <c r="V8" i="98"/>
  <c r="BO24" i="274"/>
  <c r="BA40" i="274"/>
  <c r="BJ40" i="274"/>
  <c r="BE70" i="274"/>
  <c r="AC32" i="297"/>
  <c r="AL53" i="263"/>
  <c r="AD47" i="263"/>
  <c r="AH64" i="263"/>
  <c r="AB86" i="168"/>
  <c r="F23" i="26"/>
  <c r="F59" i="26"/>
  <c r="F62" i="26"/>
  <c r="U23" i="26"/>
  <c r="U59" i="26"/>
  <c r="L60" i="26"/>
  <c r="L62" i="26"/>
  <c r="L23" i="26"/>
  <c r="K71" i="193"/>
  <c r="S71" i="193"/>
  <c r="AA71" i="193"/>
  <c r="AN25" i="274"/>
  <c r="AA24" i="274"/>
  <c r="BN100" i="274"/>
  <c r="AK100" i="274"/>
  <c r="I33" i="98"/>
  <c r="Q33" i="98"/>
  <c r="W31" i="297"/>
  <c r="W37" i="297"/>
  <c r="N33" i="297"/>
  <c r="AI51" i="273"/>
  <c r="AL9" i="263"/>
  <c r="N21" i="263"/>
  <c r="AL51" i="263"/>
  <c r="I43" i="277"/>
  <c r="AW55" i="277"/>
  <c r="AX47" i="277"/>
  <c r="AC11" i="124"/>
  <c r="AC33" i="124"/>
  <c r="I30" i="291"/>
  <c r="X32" i="296"/>
  <c r="Z32" i="296"/>
  <c r="AA37" i="296"/>
  <c r="J25" i="240"/>
  <c r="J105" i="240"/>
  <c r="Z25" i="240"/>
  <c r="D25" i="193"/>
  <c r="D105" i="193"/>
  <c r="L25" i="193"/>
  <c r="T25" i="193"/>
  <c r="AB25" i="193"/>
  <c r="AJ25" i="193"/>
  <c r="M71" i="193"/>
  <c r="AK71" i="193"/>
  <c r="T25" i="274"/>
  <c r="T102" i="274"/>
  <c r="AC25" i="274"/>
  <c r="AC102" i="274"/>
  <c r="AL25" i="274"/>
  <c r="AM99" i="274"/>
  <c r="BF100" i="274"/>
  <c r="E31" i="297"/>
  <c r="T9" i="297"/>
  <c r="AP35" i="263"/>
  <c r="Q147" i="276"/>
  <c r="J17" i="304"/>
  <c r="J16" i="304"/>
  <c r="J5" i="304"/>
  <c r="J6" i="304"/>
  <c r="J15" i="304"/>
  <c r="L40" i="193"/>
  <c r="T40" i="193"/>
  <c r="AB40" i="193"/>
  <c r="AJ40" i="193"/>
  <c r="E103" i="193"/>
  <c r="M103" i="193"/>
  <c r="U103" i="193"/>
  <c r="AK103" i="193"/>
  <c r="Z37" i="194"/>
  <c r="I37" i="229"/>
  <c r="AO25" i="274"/>
  <c r="BH25" i="274"/>
  <c r="AI69" i="274"/>
  <c r="AE85" i="274"/>
  <c r="V100" i="274"/>
  <c r="AO100" i="274"/>
  <c r="AE32" i="98"/>
  <c r="AO32" i="98"/>
  <c r="H70" i="173"/>
  <c r="E14" i="172"/>
  <c r="M14" i="172"/>
  <c r="E29" i="172"/>
  <c r="M29" i="172"/>
  <c r="N26" i="275"/>
  <c r="O33" i="253"/>
  <c r="P31" i="253"/>
  <c r="AM96" i="273"/>
  <c r="AG74" i="263"/>
  <c r="AG21" i="263"/>
  <c r="W21" i="263"/>
  <c r="AB55" i="263"/>
  <c r="AB74" i="263"/>
  <c r="AW72" i="277"/>
  <c r="AX60" i="277"/>
  <c r="AJ44" i="27"/>
  <c r="AJ31" i="27"/>
  <c r="O68" i="27"/>
  <c r="O46" i="27"/>
  <c r="W46" i="27"/>
  <c r="W68" i="27"/>
  <c r="AJ46" i="27"/>
  <c r="Z93" i="240"/>
  <c r="K16" i="304"/>
  <c r="K5" i="304"/>
  <c r="K15" i="304"/>
  <c r="AK40" i="193"/>
  <c r="F103" i="193"/>
  <c r="N103" i="193"/>
  <c r="V103" i="193"/>
  <c r="V105" i="193"/>
  <c r="AD103" i="193"/>
  <c r="AL103" i="193"/>
  <c r="AH35" i="194"/>
  <c r="AZ25" i="274"/>
  <c r="BI25" i="274"/>
  <c r="AW34" i="98"/>
  <c r="BE34" i="98"/>
  <c r="AR19" i="98"/>
  <c r="BD29" i="98"/>
  <c r="H19" i="297"/>
  <c r="O26" i="275"/>
  <c r="U94" i="275"/>
  <c r="H32" i="253"/>
  <c r="P34" i="253"/>
  <c r="H33" i="253"/>
  <c r="P33" i="253"/>
  <c r="AK136" i="273"/>
  <c r="F69" i="263"/>
  <c r="BH20" i="277"/>
  <c r="BH9" i="277"/>
  <c r="BH21" i="277" s="1"/>
  <c r="K92" i="247"/>
  <c r="S92" i="247"/>
  <c r="AA92" i="247"/>
  <c r="F18" i="304"/>
  <c r="N18" i="304"/>
  <c r="BJ7" i="98"/>
  <c r="BD25" i="274"/>
  <c r="BE40" i="274"/>
  <c r="BO39" i="274"/>
  <c r="BN13" i="98"/>
  <c r="BN36" i="98"/>
  <c r="BD70" i="274"/>
  <c r="AB33" i="98"/>
  <c r="AK33" i="98"/>
  <c r="K19" i="172"/>
  <c r="E33" i="172"/>
  <c r="M33" i="172"/>
  <c r="J29" i="172"/>
  <c r="AH53" i="263"/>
  <c r="BH54" i="276"/>
  <c r="AV126" i="276"/>
  <c r="AW21" i="277"/>
  <c r="AW77" i="277"/>
  <c r="E59" i="248"/>
  <c r="E23" i="248"/>
  <c r="M23" i="248"/>
  <c r="AI34" i="284"/>
  <c r="L68" i="27"/>
  <c r="L71" i="27"/>
  <c r="L26" i="27"/>
  <c r="T68" i="27"/>
  <c r="T26" i="27"/>
  <c r="AF24" i="27"/>
  <c r="AC69" i="27"/>
  <c r="BE25" i="274"/>
  <c r="BN25" i="274"/>
  <c r="AG100" i="274"/>
  <c r="W32" i="98"/>
  <c r="AO19" i="98"/>
  <c r="AU33" i="98"/>
  <c r="I29" i="98"/>
  <c r="Q29" i="98"/>
  <c r="I70" i="173"/>
  <c r="N34" i="253"/>
  <c r="AD18" i="263"/>
  <c r="X50" i="276"/>
  <c r="AA51" i="276"/>
  <c r="AX9" i="277"/>
  <c r="AX21" i="277"/>
  <c r="F4" i="304"/>
  <c r="F6" i="304"/>
  <c r="N4" i="304"/>
  <c r="F15" i="304"/>
  <c r="N15" i="304"/>
  <c r="BJ8" i="98"/>
  <c r="BF25" i="274"/>
  <c r="BH40" i="274"/>
  <c r="BK34" i="274"/>
  <c r="AN70" i="274"/>
  <c r="BF70" i="274"/>
  <c r="AM94" i="274"/>
  <c r="BB100" i="274"/>
  <c r="AR14" i="98"/>
  <c r="AZ14" i="98"/>
  <c r="BI14" i="98"/>
  <c r="E33" i="98"/>
  <c r="M33" i="98"/>
  <c r="U33" i="98"/>
  <c r="AM33" i="98"/>
  <c r="Z28" i="98"/>
  <c r="Z34" i="98"/>
  <c r="Z33" i="297"/>
  <c r="E39" i="173"/>
  <c r="E100" i="173"/>
  <c r="W34" i="253"/>
  <c r="AL51" i="273"/>
  <c r="L68" i="273"/>
  <c r="AD75" i="263"/>
  <c r="AH9" i="263"/>
  <c r="AL17" i="263"/>
  <c r="AL52" i="263"/>
  <c r="AL74" i="263"/>
  <c r="AY147" i="276"/>
  <c r="BB9" i="277"/>
  <c r="BB21" i="277"/>
  <c r="AX74" i="277"/>
  <c r="AT17" i="277"/>
  <c r="AT21" i="277"/>
  <c r="BH68" i="277"/>
  <c r="AC40" i="26"/>
  <c r="AC62" i="26"/>
  <c r="AC59" i="26"/>
  <c r="J68" i="27"/>
  <c r="J46" i="27"/>
  <c r="R46" i="27"/>
  <c r="R68" i="27"/>
  <c r="AD68" i="27"/>
  <c r="AD71" i="27"/>
  <c r="AD46" i="27"/>
  <c r="K46" i="27"/>
  <c r="K69" i="27"/>
  <c r="AE46" i="27"/>
  <c r="AE69" i="27"/>
  <c r="AE71" i="27"/>
  <c r="AX31" i="98"/>
  <c r="AF32" i="98"/>
  <c r="AQ32" i="98"/>
  <c r="E34" i="98"/>
  <c r="U34" i="98"/>
  <c r="AC34" i="98"/>
  <c r="AK34" i="98"/>
  <c r="AS34" i="98"/>
  <c r="AV14" i="98"/>
  <c r="BD14" i="98"/>
  <c r="Y19" i="98"/>
  <c r="AJ19" i="98"/>
  <c r="AT19" i="98"/>
  <c r="BB19" i="98"/>
  <c r="AF33" i="98"/>
  <c r="AV33" i="98"/>
  <c r="BD33" i="98"/>
  <c r="J29" i="98"/>
  <c r="Z26" i="98"/>
  <c r="AH26" i="98"/>
  <c r="AX29" i="98"/>
  <c r="I9" i="172"/>
  <c r="I14" i="172"/>
  <c r="J19" i="172"/>
  <c r="D33" i="172"/>
  <c r="L33" i="172"/>
  <c r="I29" i="172"/>
  <c r="K9" i="253"/>
  <c r="AN38" i="263"/>
  <c r="R107" i="276"/>
  <c r="AX147" i="276"/>
  <c r="BN147" i="276"/>
  <c r="BA76" i="277"/>
  <c r="BA77" i="277"/>
  <c r="BA55" i="277"/>
  <c r="AU72" i="277"/>
  <c r="AX64" i="277"/>
  <c r="AF86" i="168"/>
  <c r="AB23" i="26"/>
  <c r="AE28" i="26"/>
  <c r="AE37" i="26"/>
  <c r="N31" i="98"/>
  <c r="J33" i="98"/>
  <c r="R33" i="98"/>
  <c r="F24" i="173"/>
  <c r="K31" i="172"/>
  <c r="H32" i="172"/>
  <c r="K14" i="172"/>
  <c r="D19" i="172"/>
  <c r="L19" i="172"/>
  <c r="K29" i="172"/>
  <c r="X21" i="263"/>
  <c r="BN107" i="276"/>
  <c r="AT74" i="277"/>
  <c r="BG37" i="277"/>
  <c r="BB60" i="277"/>
  <c r="BB69" i="277"/>
  <c r="BB74" i="277"/>
  <c r="AY74" i="277"/>
  <c r="AY72" i="277"/>
  <c r="AS72" i="277"/>
  <c r="AS77" i="277"/>
  <c r="T92" i="247"/>
  <c r="AJ18" i="284"/>
  <c r="AH30" i="284"/>
  <c r="I68" i="27"/>
  <c r="I71" i="27"/>
  <c r="I26" i="27"/>
  <c r="Q71" i="27"/>
  <c r="AF23" i="27"/>
  <c r="AC68" i="27"/>
  <c r="AC26" i="27"/>
  <c r="H32" i="98"/>
  <c r="P32" i="98"/>
  <c r="Y32" i="98"/>
  <c r="AT32" i="98"/>
  <c r="X34" i="98"/>
  <c r="AF34" i="98"/>
  <c r="AN34" i="98"/>
  <c r="AY14" i="98"/>
  <c r="BH14" i="98"/>
  <c r="AW19" i="98"/>
  <c r="S33" i="98"/>
  <c r="AA33" i="98"/>
  <c r="AQ33" i="98"/>
  <c r="AY33" i="98"/>
  <c r="BH33" i="98"/>
  <c r="E29" i="98"/>
  <c r="M29" i="98"/>
  <c r="U29" i="98"/>
  <c r="AC29" i="98"/>
  <c r="AK29" i="98"/>
  <c r="AS29" i="98"/>
  <c r="BA29" i="98"/>
  <c r="Q14" i="297"/>
  <c r="G24" i="173"/>
  <c r="D9" i="172"/>
  <c r="L9" i="172"/>
  <c r="L14" i="172"/>
  <c r="E19" i="172"/>
  <c r="M19" i="172"/>
  <c r="G33" i="172"/>
  <c r="D29" i="172"/>
  <c r="L29" i="172"/>
  <c r="N9" i="253"/>
  <c r="AV77" i="277"/>
  <c r="AF44" i="27"/>
  <c r="AF69" i="27"/>
  <c r="AF31" i="27"/>
  <c r="AS74" i="277"/>
  <c r="AS75" i="277"/>
  <c r="P43" i="277"/>
  <c r="G71" i="277"/>
  <c r="AX68" i="277"/>
  <c r="X77" i="277"/>
  <c r="M92" i="247"/>
  <c r="H59" i="248"/>
  <c r="P59" i="248"/>
  <c r="V60" i="248"/>
  <c r="F61" i="248"/>
  <c r="N61" i="248"/>
  <c r="Y61" i="248"/>
  <c r="AL9" i="284"/>
  <c r="W40" i="26"/>
  <c r="E9" i="277"/>
  <c r="O59" i="26"/>
  <c r="O60" i="26"/>
  <c r="O23" i="26"/>
  <c r="F140" i="267"/>
  <c r="N140" i="267"/>
  <c r="AW75" i="277"/>
  <c r="AQ76" i="277"/>
  <c r="AY76" i="277"/>
  <c r="AU55" i="277"/>
  <c r="AU77" i="277"/>
  <c r="AT71" i="277"/>
  <c r="AT76" i="277"/>
  <c r="H92" i="247"/>
  <c r="P92" i="247"/>
  <c r="X92" i="247"/>
  <c r="W21" i="284"/>
  <c r="H60" i="26"/>
  <c r="H62" i="26"/>
  <c r="Q70" i="295"/>
  <c r="K23" i="248"/>
  <c r="K57" i="248"/>
  <c r="V59" i="248"/>
  <c r="F60" i="248"/>
  <c r="N60" i="248"/>
  <c r="Y60" i="248"/>
  <c r="I61" i="248"/>
  <c r="Q61" i="248"/>
  <c r="J57" i="248"/>
  <c r="R57" i="248"/>
  <c r="J61" i="248"/>
  <c r="AE32" i="26"/>
  <c r="R40" i="26"/>
  <c r="AD59" i="26"/>
  <c r="AD40" i="26"/>
  <c r="AD62" i="26"/>
  <c r="AF25" i="27"/>
  <c r="AF45" i="27"/>
  <c r="AF43" i="27"/>
  <c r="AF68" i="27"/>
  <c r="AC70" i="27"/>
  <c r="P46" i="27"/>
  <c r="Q140" i="295"/>
  <c r="K116" i="295"/>
  <c r="K70" i="295"/>
  <c r="E72" i="295"/>
  <c r="E117" i="295"/>
  <c r="K47" i="295"/>
  <c r="O138" i="295"/>
  <c r="Q67" i="295"/>
  <c r="O141" i="295"/>
  <c r="O118" i="295"/>
  <c r="V23" i="248"/>
  <c r="D23" i="248"/>
  <c r="D62" i="248"/>
  <c r="L23" i="248"/>
  <c r="AH34" i="284"/>
  <c r="M23" i="26"/>
  <c r="M59" i="26"/>
  <c r="AE60" i="26"/>
  <c r="AE23" i="26"/>
  <c r="X26" i="27"/>
  <c r="AG26" i="27"/>
  <c r="AJ25" i="27"/>
  <c r="F59" i="248"/>
  <c r="N59" i="248"/>
  <c r="Y59" i="248"/>
  <c r="I60" i="248"/>
  <c r="Q60" i="248"/>
  <c r="E40" i="248"/>
  <c r="M40" i="248"/>
  <c r="E57" i="248"/>
  <c r="M57" i="248"/>
  <c r="AE11" i="26"/>
  <c r="Q59" i="26"/>
  <c r="AJ36" i="27"/>
  <c r="Z77" i="277"/>
  <c r="AH77" i="277"/>
  <c r="E61" i="248"/>
  <c r="M61" i="248"/>
  <c r="X61" i="248"/>
  <c r="X40" i="248"/>
  <c r="X57" i="248"/>
  <c r="F40" i="248"/>
  <c r="F57" i="248"/>
  <c r="N40" i="248"/>
  <c r="N57" i="248"/>
  <c r="D59" i="248"/>
  <c r="AI36" i="284"/>
  <c r="U60" i="26"/>
  <c r="Q61" i="26"/>
  <c r="Q62" i="26"/>
  <c r="F40" i="26"/>
  <c r="O40" i="26"/>
  <c r="R57" i="26"/>
  <c r="P69" i="27"/>
  <c r="P71" i="27"/>
  <c r="P26" i="27"/>
  <c r="K140" i="267"/>
  <c r="H23" i="248"/>
  <c r="P23" i="248"/>
  <c r="R59" i="26"/>
  <c r="R62" i="26"/>
  <c r="J60" i="26"/>
  <c r="J62" i="26"/>
  <c r="J23" i="26"/>
  <c r="AE39" i="26"/>
  <c r="AE61" i="26"/>
  <c r="T40" i="26"/>
  <c r="AB40" i="26"/>
  <c r="K60" i="26"/>
  <c r="K62" i="26"/>
  <c r="AI69" i="27"/>
  <c r="AI71" i="27"/>
  <c r="AI46" i="27"/>
  <c r="AC117" i="295"/>
  <c r="K121" i="295"/>
  <c r="K144" i="295"/>
  <c r="K73" i="295"/>
  <c r="K122" i="295"/>
  <c r="K145" i="295"/>
  <c r="K74" i="295"/>
  <c r="W116" i="295"/>
  <c r="BA12" i="281"/>
  <c r="AF9" i="284"/>
  <c r="D59" i="26"/>
  <c r="D62" i="26"/>
  <c r="D23" i="26"/>
  <c r="Q57" i="26"/>
  <c r="V60" i="26"/>
  <c r="V62" i="26"/>
  <c r="S68" i="27"/>
  <c r="S26" i="27"/>
  <c r="X69" i="27"/>
  <c r="X71" i="27"/>
  <c r="AF36" i="27"/>
  <c r="W26" i="27"/>
  <c r="O140" i="267"/>
  <c r="Z103" i="295"/>
  <c r="Z120" i="295"/>
  <c r="N103" i="295"/>
  <c r="N126" i="295"/>
  <c r="U144" i="295"/>
  <c r="W144" i="295"/>
  <c r="AE26" i="284"/>
  <c r="AD60" i="26"/>
  <c r="T57" i="26"/>
  <c r="N68" i="27"/>
  <c r="N71" i="27"/>
  <c r="N26" i="27"/>
  <c r="V68" i="27"/>
  <c r="V71" i="27"/>
  <c r="V26" i="27"/>
  <c r="M26" i="27"/>
  <c r="I46" i="27"/>
  <c r="Q46" i="27"/>
  <c r="W133" i="295"/>
  <c r="E85" i="295"/>
  <c r="K120" i="295"/>
  <c r="K123" i="295"/>
  <c r="O70" i="27"/>
  <c r="W70" i="27"/>
  <c r="W71" i="27"/>
  <c r="K52" i="267"/>
  <c r="T136" i="295"/>
  <c r="D144" i="295"/>
  <c r="D123" i="295"/>
  <c r="AC55" i="279"/>
  <c r="H104" i="266"/>
  <c r="Y103" i="270"/>
  <c r="AF70" i="295"/>
  <c r="N151" i="267"/>
  <c r="AC115" i="295"/>
  <c r="T135" i="295"/>
  <c r="W31" i="295"/>
  <c r="U75" i="295"/>
  <c r="J140" i="295"/>
  <c r="J118" i="295"/>
  <c r="AA133" i="295"/>
  <c r="AC133" i="295"/>
  <c r="AW74" i="279"/>
  <c r="AG76" i="279"/>
  <c r="AA37" i="295"/>
  <c r="C75" i="295"/>
  <c r="M75" i="295"/>
  <c r="AC90" i="295"/>
  <c r="M141" i="295"/>
  <c r="Z143" i="295"/>
  <c r="O133" i="295"/>
  <c r="X133" i="295"/>
  <c r="AF74" i="279"/>
  <c r="AR74" i="279"/>
  <c r="BA74" i="279"/>
  <c r="AT75" i="279"/>
  <c r="I31" i="124"/>
  <c r="AC120" i="295"/>
  <c r="E47" i="295"/>
  <c r="H100" i="295"/>
  <c r="AA118" i="295"/>
  <c r="S118" i="295"/>
  <c r="F144" i="295"/>
  <c r="F123" i="295"/>
  <c r="Z142" i="295"/>
  <c r="G25" i="291"/>
  <c r="G16" i="291"/>
  <c r="C16" i="291"/>
  <c r="BA39" i="281"/>
  <c r="BE33" i="281"/>
  <c r="M52" i="267"/>
  <c r="M153" i="267"/>
  <c r="N11" i="124"/>
  <c r="AH34" i="124"/>
  <c r="I16" i="124"/>
  <c r="I37" i="124"/>
  <c r="I75" i="295"/>
  <c r="W106" i="295"/>
  <c r="G140" i="295"/>
  <c r="AA123" i="295"/>
  <c r="AC123" i="295"/>
  <c r="O142" i="295"/>
  <c r="O140" i="295"/>
  <c r="AH46" i="27"/>
  <c r="F52" i="267"/>
  <c r="N52" i="267"/>
  <c r="U37" i="271"/>
  <c r="AC21" i="124"/>
  <c r="N35" i="124"/>
  <c r="AC24" i="295"/>
  <c r="R37" i="295"/>
  <c r="E57" i="295"/>
  <c r="H136" i="295"/>
  <c r="H142" i="295"/>
  <c r="H67" i="295"/>
  <c r="L108" i="295"/>
  <c r="AI76" i="279"/>
  <c r="N16" i="124"/>
  <c r="AH26" i="124"/>
  <c r="V39" i="124"/>
  <c r="Z133" i="295"/>
  <c r="AD37" i="295"/>
  <c r="K102" i="295"/>
  <c r="AC103" i="295"/>
  <c r="N104" i="295"/>
  <c r="R140" i="295"/>
  <c r="R118" i="295"/>
  <c r="T118" i="295"/>
  <c r="Z127" i="295"/>
  <c r="E136" i="295"/>
  <c r="E142" i="295"/>
  <c r="F37" i="271"/>
  <c r="AG39" i="124"/>
  <c r="Z122" i="295"/>
  <c r="Q128" i="295"/>
  <c r="Z71" i="295"/>
  <c r="AC100" i="295"/>
  <c r="U118" i="295"/>
  <c r="AD128" i="295"/>
  <c r="AF125" i="295"/>
  <c r="R128" i="295"/>
  <c r="K127" i="295"/>
  <c r="K142" i="295"/>
  <c r="M30" i="291"/>
  <c r="M34" i="291"/>
  <c r="D50" i="302"/>
  <c r="Z74" i="279"/>
  <c r="Y55" i="279"/>
  <c r="AB24" i="271"/>
  <c r="AC103" i="270"/>
  <c r="K39" i="124"/>
  <c r="Y39" i="124"/>
  <c r="W115" i="295"/>
  <c r="AC122" i="295"/>
  <c r="Z135" i="295"/>
  <c r="Z137" i="295"/>
  <c r="X37" i="295"/>
  <c r="H71" i="295"/>
  <c r="K57" i="295"/>
  <c r="N136" i="295"/>
  <c r="N142" i="295"/>
  <c r="H137" i="295"/>
  <c r="AB75" i="295"/>
  <c r="H105" i="295"/>
  <c r="AF105" i="295"/>
  <c r="H95" i="295"/>
  <c r="R108" i="295"/>
  <c r="T108" i="295"/>
  <c r="S123" i="295"/>
  <c r="Y123" i="295"/>
  <c r="BI48" i="281"/>
  <c r="BJ42" i="281"/>
  <c r="AW75" i="279"/>
  <c r="F52" i="266"/>
  <c r="I33" i="124"/>
  <c r="AC34" i="124"/>
  <c r="AC39" i="124"/>
  <c r="AC16" i="124"/>
  <c r="L39" i="124"/>
  <c r="Z39" i="124"/>
  <c r="Z31" i="295"/>
  <c r="N140" i="295"/>
  <c r="H116" i="295"/>
  <c r="H70" i="295"/>
  <c r="N57" i="295"/>
  <c r="N73" i="295"/>
  <c r="N85" i="295"/>
  <c r="D118" i="295"/>
  <c r="C141" i="295"/>
  <c r="L141" i="295"/>
  <c r="L146" i="295"/>
  <c r="V141" i="295"/>
  <c r="AD143" i="295"/>
  <c r="AF117" i="295"/>
  <c r="F51" i="279"/>
  <c r="AV55" i="279"/>
  <c r="G104" i="266"/>
  <c r="N33" i="124"/>
  <c r="N39" i="124"/>
  <c r="Z144" i="295"/>
  <c r="T145" i="295"/>
  <c r="D140" i="295"/>
  <c r="G74" i="302"/>
  <c r="O74" i="302"/>
  <c r="W74" i="302"/>
  <c r="N122" i="302"/>
  <c r="V122" i="302"/>
  <c r="S38" i="279"/>
  <c r="AL55" i="279"/>
  <c r="E52" i="266"/>
  <c r="Z103" i="270"/>
  <c r="Z125" i="295"/>
  <c r="T127" i="295"/>
  <c r="N137" i="295"/>
  <c r="N143" i="295"/>
  <c r="D138" i="295"/>
  <c r="L138" i="295"/>
  <c r="N69" i="295"/>
  <c r="AD140" i="295"/>
  <c r="X141" i="295"/>
  <c r="AF116" i="295"/>
  <c r="L118" i="295"/>
  <c r="AB118" i="295"/>
  <c r="AC118" i="295"/>
  <c r="AE123" i="295"/>
  <c r="V142" i="295"/>
  <c r="W142" i="295"/>
  <c r="E30" i="291"/>
  <c r="L50" i="302"/>
  <c r="T50" i="302"/>
  <c r="U76" i="279"/>
  <c r="AK76" i="279"/>
  <c r="AX54" i="279"/>
  <c r="Z22" i="271"/>
  <c r="AA103" i="270"/>
  <c r="O123" i="295"/>
  <c r="X123" i="295"/>
  <c r="Z123" i="295"/>
  <c r="F16" i="291"/>
  <c r="H31" i="294"/>
  <c r="H27" i="294"/>
  <c r="H30" i="294"/>
  <c r="H26" i="294"/>
  <c r="H28" i="294"/>
  <c r="H25" i="294"/>
  <c r="H29" i="294"/>
  <c r="E145" i="266"/>
  <c r="AA22" i="271"/>
  <c r="AA24" i="271"/>
  <c r="AB103" i="270"/>
  <c r="H135" i="295"/>
  <c r="F138" i="295"/>
  <c r="X140" i="295"/>
  <c r="AF115" i="295"/>
  <c r="R141" i="295"/>
  <c r="F118" i="295"/>
  <c r="V118" i="295"/>
  <c r="W118" i="295"/>
  <c r="AD118" i="295"/>
  <c r="AF118" i="295"/>
  <c r="P123" i="295"/>
  <c r="AE133" i="295"/>
  <c r="AF132" i="295"/>
  <c r="C30" i="291"/>
  <c r="C35" i="291"/>
  <c r="P74" i="302"/>
  <c r="BC21" i="281"/>
  <c r="BF39" i="281"/>
  <c r="BH38" i="281"/>
  <c r="E16" i="291"/>
  <c r="D28" i="291"/>
  <c r="D30" i="291"/>
  <c r="BE6" i="281"/>
  <c r="BB39" i="281"/>
  <c r="AF37" i="234"/>
  <c r="G31" i="294"/>
  <c r="G27" i="294"/>
  <c r="G28" i="294"/>
  <c r="G25" i="294"/>
  <c r="G30" i="294"/>
  <c r="G26" i="294"/>
  <c r="AF135" i="295"/>
  <c r="F30" i="291"/>
  <c r="F35" i="291"/>
  <c r="H74" i="302"/>
  <c r="X74" i="302"/>
  <c r="V98" i="302"/>
  <c r="BG21" i="281"/>
  <c r="J30" i="294"/>
  <c r="J26" i="294"/>
  <c r="J29" i="294"/>
  <c r="J25" i="294"/>
  <c r="J27" i="294"/>
  <c r="J28" i="294"/>
  <c r="J31" i="294"/>
  <c r="K36" i="291"/>
  <c r="L26" i="292"/>
  <c r="AL31" i="242"/>
  <c r="AP9" i="242"/>
  <c r="AU9" i="242"/>
  <c r="BD31" i="242"/>
  <c r="BB48" i="281"/>
  <c r="C50" i="302"/>
  <c r="K50" i="302"/>
  <c r="S50" i="302"/>
  <c r="AU29" i="242"/>
  <c r="BJ24" i="281"/>
  <c r="AU37" i="234"/>
  <c r="J30" i="291"/>
  <c r="J35" i="291"/>
  <c r="J26" i="292"/>
  <c r="N27" i="292"/>
  <c r="J28" i="292"/>
  <c r="N29" i="292"/>
  <c r="J30" i="292"/>
  <c r="N31" i="292"/>
  <c r="G26" i="302"/>
  <c r="O26" i="302"/>
  <c r="W26" i="302"/>
  <c r="O98" i="302"/>
  <c r="W98" i="302"/>
  <c r="AA97" i="302"/>
  <c r="H122" i="302"/>
  <c r="P122" i="302"/>
  <c r="X122" i="302"/>
  <c r="AN31" i="242"/>
  <c r="AV31" i="242"/>
  <c r="AZ9" i="242"/>
  <c r="BJ17" i="281"/>
  <c r="BB30" i="281"/>
  <c r="E36" i="243"/>
  <c r="AK29" i="234"/>
  <c r="H27" i="292"/>
  <c r="Z122" i="302"/>
  <c r="BE9" i="242"/>
  <c r="BE31" i="242"/>
  <c r="BH31" i="242"/>
  <c r="G36" i="243"/>
  <c r="AS29" i="234"/>
  <c r="J74" i="302"/>
  <c r="R74" i="302"/>
  <c r="Z74" i="302"/>
  <c r="AG14" i="234"/>
  <c r="AG32" i="234"/>
  <c r="AG37" i="234"/>
  <c r="AS35" i="234"/>
  <c r="AS14" i="234"/>
  <c r="N26" i="292"/>
  <c r="J27" i="292"/>
  <c r="N28" i="292"/>
  <c r="J29" i="292"/>
  <c r="N30" i="292"/>
  <c r="C26" i="302"/>
  <c r="K26" i="302"/>
  <c r="S26" i="302"/>
  <c r="AA113" i="302"/>
  <c r="AR31" i="242"/>
  <c r="BJ19" i="242"/>
  <c r="AU19" i="242"/>
  <c r="BH12" i="281"/>
  <c r="AO37" i="234"/>
  <c r="AK19" i="234"/>
  <c r="AK33" i="234"/>
  <c r="BA30" i="281"/>
  <c r="BA48" i="281"/>
  <c r="AK34" i="234"/>
  <c r="AK37" i="234"/>
  <c r="AK9" i="234"/>
  <c r="AO14" i="234"/>
  <c r="AE37" i="234"/>
  <c r="AN37" i="234"/>
  <c r="K29" i="294"/>
  <c r="K25" i="294"/>
  <c r="K26" i="294"/>
  <c r="K30" i="294"/>
  <c r="BC30" i="281"/>
  <c r="BG39" i="281"/>
  <c r="I30" i="243"/>
  <c r="AW14" i="234"/>
  <c r="AH37" i="234"/>
  <c r="J36" i="243"/>
  <c r="AK32" i="234"/>
  <c r="BJ6" i="281"/>
  <c r="BJ44" i="281"/>
  <c r="BF48" i="281"/>
  <c r="C36" i="243"/>
  <c r="K36" i="243"/>
  <c r="AW33" i="234"/>
  <c r="AW37" i="234"/>
  <c r="H20" i="47"/>
  <c r="H30" i="47"/>
  <c r="P41" i="47"/>
  <c r="E25" i="294"/>
  <c r="E32" i="294"/>
  <c r="C26" i="294"/>
  <c r="E29" i="294"/>
  <c r="C30" i="294"/>
  <c r="F268" i="287"/>
  <c r="F27" i="294"/>
  <c r="D28" i="294"/>
  <c r="D25" i="294"/>
  <c r="L28" i="294"/>
  <c r="F31" i="294"/>
  <c r="C25" i="294"/>
  <c r="L25" i="294"/>
  <c r="F260" i="287"/>
  <c r="AI15" i="274"/>
  <c r="BF8" i="98"/>
  <c r="BF34" i="98"/>
  <c r="Z7" i="98"/>
  <c r="AH7" i="98"/>
  <c r="AH6" i="98"/>
  <c r="AE50" i="274"/>
  <c r="AH27" i="98"/>
  <c r="BF27" i="98"/>
  <c r="AA94" i="274"/>
  <c r="AA100" i="274"/>
  <c r="F9" i="172"/>
  <c r="I145" i="266"/>
  <c r="O32" i="282"/>
  <c r="BA21" i="279"/>
  <c r="Z21" i="279"/>
  <c r="AT21" i="279"/>
  <c r="AQ21" i="279"/>
  <c r="AC22" i="271"/>
  <c r="AC24" i="271"/>
  <c r="AD103" i="270"/>
  <c r="N70" i="173"/>
  <c r="K56" i="270"/>
  <c r="AA56" i="270"/>
  <c r="S56" i="270"/>
  <c r="U56" i="270"/>
  <c r="E78" i="270"/>
  <c r="M56" i="270"/>
  <c r="Q78" i="270"/>
  <c r="V93" i="270"/>
  <c r="Z78" i="270"/>
  <c r="G25" i="270"/>
  <c r="O25" i="270"/>
  <c r="W25" i="270"/>
  <c r="E56" i="270"/>
  <c r="I56" i="270"/>
  <c r="O93" i="270"/>
  <c r="AB56" i="270"/>
  <c r="AC11" i="271"/>
  <c r="L32" i="293"/>
  <c r="L37" i="293"/>
  <c r="F32" i="293"/>
  <c r="F37" i="293"/>
  <c r="D32" i="293"/>
  <c r="D37" i="293"/>
  <c r="H32" i="293"/>
  <c r="K32" i="98"/>
  <c r="AC32" i="98"/>
  <c r="AW32" i="98"/>
  <c r="C34" i="98"/>
  <c r="G34" i="98"/>
  <c r="K34" i="98"/>
  <c r="O34" i="98"/>
  <c r="S34" i="98"/>
  <c r="W34" i="98"/>
  <c r="W37" i="98"/>
  <c r="W31" i="98"/>
  <c r="AA34" i="98"/>
  <c r="AI34" i="98"/>
  <c r="AM34" i="98"/>
  <c r="AQ34" i="98"/>
  <c r="AU34" i="98"/>
  <c r="AY34" i="98"/>
  <c r="BC34" i="98"/>
  <c r="X29" i="98"/>
  <c r="AN29" i="98"/>
  <c r="E32" i="98"/>
  <c r="I32" i="98"/>
  <c r="M32" i="98"/>
  <c r="Q32" i="98"/>
  <c r="U32" i="98"/>
  <c r="AK32" i="98"/>
  <c r="AU32" i="98"/>
  <c r="AY32" i="98"/>
  <c r="BH32" i="98"/>
  <c r="AE19" i="98"/>
  <c r="X33" i="98"/>
  <c r="X31" i="98"/>
  <c r="X32" i="98"/>
  <c r="BG29" i="98"/>
  <c r="AG32" i="98"/>
  <c r="AS14" i="98"/>
  <c r="AW14" i="98"/>
  <c r="BA14" i="98"/>
  <c r="BE14" i="98"/>
  <c r="AQ19" i="98"/>
  <c r="BH19" i="98"/>
  <c r="AW33" i="98"/>
  <c r="AW37" i="98"/>
  <c r="C29" i="98"/>
  <c r="G29" i="98"/>
  <c r="K29" i="98"/>
  <c r="O29" i="98"/>
  <c r="S29" i="98"/>
  <c r="W29" i="98"/>
  <c r="AA29" i="98"/>
  <c r="AI29" i="98"/>
  <c r="AM29" i="98"/>
  <c r="AQ29" i="98"/>
  <c r="AU29" i="98"/>
  <c r="AY29" i="98"/>
  <c r="BC29" i="98"/>
  <c r="BG14" i="98"/>
  <c r="F32" i="172"/>
  <c r="BI70" i="279"/>
  <c r="J52" i="266"/>
  <c r="W29" i="233"/>
  <c r="T14" i="233"/>
  <c r="E26" i="233"/>
  <c r="G84" i="268"/>
  <c r="E33" i="299" s="1"/>
  <c r="K20" i="268"/>
  <c r="K54" i="268"/>
  <c r="M78" i="268"/>
  <c r="M79" i="268"/>
  <c r="M80" i="268"/>
  <c r="M81" i="268"/>
  <c r="J37" i="268"/>
  <c r="N68" i="268"/>
  <c r="N217" i="268" s="1"/>
  <c r="J78" i="268"/>
  <c r="J79" i="268"/>
  <c r="E20" i="268"/>
  <c r="K37" i="268"/>
  <c r="I54" i="268"/>
  <c r="K78" i="268"/>
  <c r="K79" i="268"/>
  <c r="K80" i="268"/>
  <c r="K81" i="268"/>
  <c r="M82" i="268"/>
  <c r="W14" i="253"/>
  <c r="W32" i="253"/>
  <c r="W31" i="253"/>
  <c r="W9" i="253"/>
  <c r="Z22" i="296"/>
  <c r="Z28" i="296"/>
  <c r="X34" i="296"/>
  <c r="E32" i="172"/>
  <c r="F102" i="173"/>
  <c r="M9" i="172"/>
  <c r="J9" i="172"/>
  <c r="E9" i="172"/>
  <c r="G9" i="172"/>
  <c r="K9" i="172"/>
  <c r="D31" i="172"/>
  <c r="H31" i="172"/>
  <c r="L31" i="172"/>
  <c r="E31" i="172"/>
  <c r="I31" i="172"/>
  <c r="M31" i="172"/>
  <c r="F31" i="172"/>
  <c r="J31" i="172"/>
  <c r="N14" i="172"/>
  <c r="N32" i="172"/>
  <c r="N34" i="172"/>
  <c r="N31" i="172"/>
  <c r="N29" i="172"/>
  <c r="N19" i="172"/>
  <c r="N24" i="173"/>
  <c r="N9" i="172"/>
  <c r="AB37" i="297"/>
  <c r="AA37" i="297"/>
  <c r="AC31" i="297"/>
  <c r="AC37" i="297"/>
  <c r="BF11" i="98"/>
  <c r="BG30" i="274"/>
  <c r="BF13" i="98"/>
  <c r="BF36" i="98"/>
  <c r="BG39" i="274"/>
  <c r="Z27" i="98"/>
  <c r="Z29" i="98"/>
  <c r="AP27" i="98"/>
  <c r="AD6" i="98"/>
  <c r="BF6" i="98"/>
  <c r="W50" i="274"/>
  <c r="C31" i="98"/>
  <c r="G31" i="98"/>
  <c r="K31" i="98"/>
  <c r="O31" i="98"/>
  <c r="S31" i="98"/>
  <c r="AA9" i="98"/>
  <c r="AE31" i="98"/>
  <c r="AI31" i="98"/>
  <c r="AM31" i="98"/>
  <c r="AQ9" i="98"/>
  <c r="AU31" i="98"/>
  <c r="AU37" i="98"/>
  <c r="AU9" i="98"/>
  <c r="AY9" i="98"/>
  <c r="BC31" i="98"/>
  <c r="BC9" i="98"/>
  <c r="BG31" i="98"/>
  <c r="R9" i="98"/>
  <c r="BG20" i="274"/>
  <c r="AP17" i="98"/>
  <c r="AI94" i="274"/>
  <c r="AI100" i="274"/>
  <c r="AQ94" i="274"/>
  <c r="BG94" i="274"/>
  <c r="D31" i="98"/>
  <c r="H31" i="98"/>
  <c r="H9" i="98"/>
  <c r="L31" i="98"/>
  <c r="P31" i="98"/>
  <c r="P9" i="98"/>
  <c r="T31" i="98"/>
  <c r="AF9" i="98"/>
  <c r="AF31" i="98"/>
  <c r="AF37" i="98"/>
  <c r="AJ31" i="98"/>
  <c r="AN31" i="98"/>
  <c r="AV31" i="98"/>
  <c r="BD31" i="98"/>
  <c r="BH9" i="98"/>
  <c r="BB9" i="98"/>
  <c r="AD17" i="98"/>
  <c r="AE62" i="274"/>
  <c r="BG62" i="274"/>
  <c r="AL27" i="98"/>
  <c r="E9" i="98"/>
  <c r="I9" i="98"/>
  <c r="M9" i="98"/>
  <c r="Q9" i="98"/>
  <c r="U9" i="98"/>
  <c r="Y31" i="98"/>
  <c r="Y9" i="98"/>
  <c r="AC31" i="98"/>
  <c r="AG9" i="98"/>
  <c r="AK9" i="98"/>
  <c r="AO31" i="98"/>
  <c r="AO33" i="98"/>
  <c r="AO34" i="98"/>
  <c r="AO9" i="98"/>
  <c r="AS31" i="98"/>
  <c r="AW31" i="98"/>
  <c r="AW9" i="98"/>
  <c r="BA31" i="98"/>
  <c r="BE31" i="98"/>
  <c r="BE9" i="98"/>
  <c r="BC32" i="98"/>
  <c r="BO34" i="274"/>
  <c r="BO30" i="274"/>
  <c r="BO99" i="274"/>
  <c r="BO94" i="274"/>
  <c r="BO85" i="274"/>
  <c r="BO50" i="274"/>
  <c r="BO20" i="274"/>
  <c r="BO15" i="274"/>
  <c r="BO69" i="274"/>
  <c r="BO70" i="274"/>
  <c r="BO62" i="274"/>
  <c r="F5" i="303"/>
  <c r="F4" i="303"/>
  <c r="F6" i="303"/>
  <c r="J5" i="303"/>
  <c r="W6" i="303"/>
  <c r="AA6" i="303"/>
  <c r="H4" i="303"/>
  <c r="AE6" i="303"/>
  <c r="L5" i="303"/>
  <c r="L6" i="303"/>
  <c r="F10" i="303"/>
  <c r="J10" i="303"/>
  <c r="N10" i="303"/>
  <c r="E14" i="303"/>
  <c r="I14" i="303"/>
  <c r="M14" i="303"/>
  <c r="X6" i="303"/>
  <c r="E5" i="303"/>
  <c r="AB6" i="303"/>
  <c r="AF6" i="303"/>
  <c r="M5" i="303"/>
  <c r="M6" i="303"/>
  <c r="K10" i="303"/>
  <c r="F14" i="303"/>
  <c r="J14" i="303"/>
  <c r="N14" i="303"/>
  <c r="D10" i="303"/>
  <c r="H10" i="303"/>
  <c r="L10" i="303"/>
  <c r="K14" i="303"/>
  <c r="X33" i="296"/>
  <c r="Z6" i="296"/>
  <c r="Y34" i="296"/>
  <c r="Z34" i="296"/>
  <c r="Y19" i="296"/>
  <c r="X24" i="296"/>
  <c r="Y24" i="296"/>
  <c r="Z24" i="296"/>
  <c r="Y31" i="296"/>
  <c r="X29" i="296"/>
  <c r="Z29" i="296"/>
  <c r="X14" i="296"/>
  <c r="Y33" i="296"/>
  <c r="Z8" i="296"/>
  <c r="Y9" i="296"/>
  <c r="Z9" i="296"/>
  <c r="Z18" i="296"/>
  <c r="Z26" i="296"/>
  <c r="X35" i="296"/>
  <c r="Z35" i="296"/>
  <c r="Z7" i="296"/>
  <c r="Z17" i="296"/>
  <c r="Z21" i="296"/>
  <c r="AP31" i="242"/>
  <c r="BC20" i="281"/>
  <c r="BE45" i="281"/>
  <c r="F33" i="291"/>
  <c r="H30" i="291"/>
  <c r="H36" i="291"/>
  <c r="E34" i="291"/>
  <c r="K35" i="291"/>
  <c r="K38" i="291"/>
  <c r="K33" i="291"/>
  <c r="F38" i="291"/>
  <c r="F36" i="291"/>
  <c r="F37" i="291"/>
  <c r="K34" i="291"/>
  <c r="G153" i="267"/>
  <c r="O104" i="275"/>
  <c r="M104" i="275"/>
  <c r="AH34" i="98"/>
  <c r="AB102" i="274"/>
  <c r="AO102" i="274"/>
  <c r="Y102" i="274"/>
  <c r="Y105" i="193"/>
  <c r="Q105" i="193"/>
  <c r="O105" i="240"/>
  <c r="U105" i="240"/>
  <c r="D105" i="240"/>
  <c r="I33" i="291"/>
  <c r="I38" i="291"/>
  <c r="K153" i="267"/>
  <c r="AD74" i="263"/>
  <c r="I34" i="291"/>
  <c r="I35" i="291"/>
  <c r="I36" i="291"/>
  <c r="I37" i="291"/>
  <c r="AN102" i="274"/>
  <c r="F105" i="240"/>
  <c r="F34" i="291"/>
  <c r="C37" i="291"/>
  <c r="AC71" i="27"/>
  <c r="S105" i="240"/>
  <c r="AA105" i="193"/>
  <c r="F105" i="193"/>
  <c r="J38" i="291"/>
  <c r="H138" i="295"/>
  <c r="AY77" i="277"/>
  <c r="M62" i="248"/>
  <c r="O71" i="27"/>
  <c r="AX72" i="277"/>
  <c r="BH102" i="274"/>
  <c r="AB105" i="193"/>
  <c r="U62" i="26"/>
  <c r="AK105" i="193"/>
  <c r="BE102" i="274"/>
  <c r="Y24" i="271"/>
  <c r="BI16" i="281"/>
  <c r="C34" i="291"/>
  <c r="AF26" i="27"/>
  <c r="AL55" i="263"/>
  <c r="AJ105" i="193"/>
  <c r="AF46" i="27"/>
  <c r="AE40" i="26"/>
  <c r="AE62" i="26"/>
  <c r="AH55" i="263"/>
  <c r="T105" i="193"/>
  <c r="V105" i="240"/>
  <c r="C33" i="291"/>
  <c r="C38" i="291"/>
  <c r="C36" i="291"/>
  <c r="I39" i="124"/>
  <c r="BG25" i="281"/>
  <c r="X24" i="271"/>
  <c r="AE59" i="26"/>
  <c r="BF102" i="274"/>
  <c r="E62" i="248"/>
  <c r="L105" i="193"/>
  <c r="H40" i="293"/>
  <c r="H35" i="293"/>
  <c r="H38" i="293"/>
  <c r="H39" i="293"/>
  <c r="H36" i="293"/>
  <c r="H37" i="293"/>
  <c r="I5" i="303"/>
  <c r="I4" i="303"/>
  <c r="H35" i="291"/>
  <c r="AO26" i="336"/>
  <c r="H26" i="336" s="1"/>
  <c r="AO24" i="336"/>
  <c r="Y6" i="336"/>
  <c r="D6" i="336"/>
  <c r="BM28" i="336"/>
  <c r="N28" i="336" s="1"/>
  <c r="AO12" i="336"/>
  <c r="H89" i="336" s="1"/>
  <c r="AO7" i="336"/>
  <c r="H84" i="336" s="1"/>
  <c r="AC6" i="336"/>
  <c r="E6" i="336" s="1"/>
  <c r="Y27" i="336"/>
  <c r="D165" i="336" s="1"/>
  <c r="F170" i="287"/>
  <c r="F134" i="287"/>
  <c r="F139" i="287"/>
  <c r="F144" i="287"/>
  <c r="F147" i="287"/>
  <c r="E153" i="287"/>
  <c r="F160" i="287"/>
  <c r="D180" i="287"/>
  <c r="F165" i="287"/>
  <c r="F174" i="287"/>
  <c r="F238" i="287"/>
  <c r="F246" i="287"/>
  <c r="F253" i="287"/>
  <c r="F276" i="287"/>
  <c r="F284" i="287"/>
  <c r="D153" i="287"/>
  <c r="D125" i="287"/>
  <c r="E125" i="287"/>
  <c r="C125" i="287"/>
  <c r="C153" i="287"/>
  <c r="F100" i="287"/>
  <c r="F104" i="287"/>
  <c r="F109" i="287"/>
  <c r="P37" i="227"/>
  <c r="F6" i="326"/>
  <c r="U26" i="233"/>
  <c r="H29" i="253"/>
  <c r="L29" i="253"/>
  <c r="U9" i="253"/>
  <c r="T32" i="253"/>
  <c r="U32" i="253"/>
  <c r="M9" i="253"/>
  <c r="T94" i="275"/>
  <c r="N32" i="253"/>
  <c r="X14" i="253"/>
  <c r="O9" i="253"/>
  <c r="H9" i="253"/>
  <c r="J31" i="253"/>
  <c r="S9" i="253"/>
  <c r="V31" i="253"/>
  <c r="L9" i="253"/>
  <c r="R31" i="253"/>
  <c r="O34" i="253"/>
  <c r="R32" i="253"/>
  <c r="M34" i="253"/>
  <c r="U34" i="253"/>
  <c r="N31" i="253"/>
  <c r="S14" i="253"/>
  <c r="S94" i="275"/>
  <c r="P9" i="253"/>
  <c r="M33" i="253"/>
  <c r="U33" i="253"/>
  <c r="M29" i="253"/>
  <c r="V94" i="275"/>
  <c r="R9" i="253"/>
  <c r="J19" i="253"/>
  <c r="H31" i="253"/>
  <c r="H37" i="253"/>
  <c r="M19" i="253"/>
  <c r="U19" i="253"/>
  <c r="I19" i="253"/>
  <c r="Q19" i="253"/>
  <c r="X9" i="253"/>
  <c r="M32" i="253"/>
  <c r="U14" i="253"/>
  <c r="O19" i="253"/>
  <c r="X19" i="253"/>
  <c r="H9" i="172"/>
  <c r="I19" i="172"/>
  <c r="G14" i="172"/>
  <c r="K34" i="297"/>
  <c r="W9" i="297"/>
  <c r="Z9" i="297"/>
  <c r="T31" i="297"/>
  <c r="T37" i="297"/>
  <c r="E9" i="297"/>
  <c r="W14" i="297"/>
  <c r="K31" i="297"/>
  <c r="Q19" i="297"/>
  <c r="Q9" i="297"/>
  <c r="F29" i="98"/>
  <c r="R29" i="98"/>
  <c r="AB29" i="98"/>
  <c r="AG29" i="98"/>
  <c r="AR29" i="98"/>
  <c r="AV29" i="98"/>
  <c r="AZ29" i="98"/>
  <c r="BE29" i="98"/>
  <c r="D19" i="98"/>
  <c r="H19" i="98"/>
  <c r="L19" i="98"/>
  <c r="P19" i="98"/>
  <c r="T19" i="98"/>
  <c r="AX19" i="98"/>
  <c r="BG19" i="98"/>
  <c r="O33" i="98"/>
  <c r="AN33" i="98"/>
  <c r="BG33" i="98"/>
  <c r="N9" i="98"/>
  <c r="AF19" i="98"/>
  <c r="AD34" i="98"/>
  <c r="AI24" i="274"/>
  <c r="AI20" i="274"/>
  <c r="BD40" i="274"/>
  <c r="BD102" i="274"/>
  <c r="BK39" i="274"/>
  <c r="BK40" i="274"/>
  <c r="AF70" i="274"/>
  <c r="BN70" i="274"/>
  <c r="BN102" i="274"/>
  <c r="W9" i="98"/>
  <c r="AM9" i="98"/>
  <c r="BE32" i="98"/>
  <c r="BE37" i="98"/>
  <c r="AU19" i="98"/>
  <c r="AU99" i="274"/>
  <c r="AX40" i="274"/>
  <c r="AP8" i="98"/>
  <c r="AU94" i="274"/>
  <c r="BC40" i="274"/>
  <c r="AV9" i="98"/>
  <c r="BD9" i="98"/>
  <c r="AP6" i="98"/>
  <c r="AP9" i="98"/>
  <c r="AE15" i="274"/>
  <c r="AE25" i="274"/>
  <c r="AE20" i="274"/>
  <c r="BG15" i="274"/>
  <c r="AP7" i="98"/>
  <c r="V7" i="98"/>
  <c r="AL7" i="98"/>
  <c r="BG24" i="274"/>
  <c r="BG25" i="274"/>
  <c r="BG34" i="274"/>
  <c r="BG40" i="274"/>
  <c r="BG69" i="274"/>
  <c r="BG70" i="274"/>
  <c r="BG50" i="274"/>
  <c r="AD16" i="98"/>
  <c r="AD31" i="98"/>
  <c r="V16" i="98"/>
  <c r="BJ16" i="98"/>
  <c r="BJ19" i="98"/>
  <c r="BJ6" i="98"/>
  <c r="BJ17" i="98"/>
  <c r="BJ11" i="98"/>
  <c r="BJ14" i="98"/>
  <c r="BJ18" i="98"/>
  <c r="AQ62" i="274"/>
  <c r="BF17" i="98"/>
  <c r="AH18" i="98"/>
  <c r="AH33" i="98"/>
  <c r="BK69" i="274"/>
  <c r="BK70" i="274"/>
  <c r="AE69" i="274"/>
  <c r="AE70" i="274"/>
  <c r="AQ69" i="274"/>
  <c r="K9" i="98"/>
  <c r="AC9" i="98"/>
  <c r="D9" i="98"/>
  <c r="L9" i="98"/>
  <c r="T9" i="98"/>
  <c r="AJ9" i="98"/>
  <c r="AT9" i="98"/>
  <c r="AX9" i="98"/>
  <c r="BG32" i="98"/>
  <c r="E31" i="98"/>
  <c r="E37" i="98"/>
  <c r="U31" i="98"/>
  <c r="U37" i="98"/>
  <c r="AQ31" i="98"/>
  <c r="AQ37" i="98"/>
  <c r="BC19" i="98"/>
  <c r="BH31" i="98"/>
  <c r="J19" i="98"/>
  <c r="R19" i="98"/>
  <c r="W19" i="98"/>
  <c r="AB19" i="98"/>
  <c r="AG19" i="98"/>
  <c r="BD19" i="98"/>
  <c r="S19" i="98"/>
  <c r="X19" i="98"/>
  <c r="H33" i="98"/>
  <c r="P33" i="98"/>
  <c r="AE29" i="98"/>
  <c r="AJ29" i="98"/>
  <c r="BC33" i="98"/>
  <c r="BH29" i="98"/>
  <c r="AV34" i="98"/>
  <c r="BD34" i="98"/>
  <c r="AA15" i="274"/>
  <c r="Z6" i="98"/>
  <c r="W15" i="274"/>
  <c r="W20" i="274"/>
  <c r="W25" i="274"/>
  <c r="V6" i="98"/>
  <c r="AM15" i="274"/>
  <c r="AL6" i="98"/>
  <c r="AL31" i="98"/>
  <c r="BJ9" i="98"/>
  <c r="BK15" i="274"/>
  <c r="BF12" i="98"/>
  <c r="BF16" i="98"/>
  <c r="BF31" i="98"/>
  <c r="Z16" i="98"/>
  <c r="AA50" i="274"/>
  <c r="AP16" i="98"/>
  <c r="AQ50" i="274"/>
  <c r="AQ70" i="274"/>
  <c r="AM50" i="274"/>
  <c r="AL16" i="98"/>
  <c r="AH16" i="98"/>
  <c r="AH31" i="98"/>
  <c r="AI50" i="274"/>
  <c r="Z17" i="98"/>
  <c r="Z32" i="98"/>
  <c r="AA62" i="274"/>
  <c r="W62" i="274"/>
  <c r="W70" i="274"/>
  <c r="V17" i="98"/>
  <c r="V19" i="98"/>
  <c r="AL17" i="98"/>
  <c r="AM62" i="274"/>
  <c r="AI62" i="274"/>
  <c r="AH17" i="98"/>
  <c r="BF18" i="98"/>
  <c r="BF33" i="98"/>
  <c r="Z18" i="98"/>
  <c r="AA69" i="274"/>
  <c r="AA70" i="274"/>
  <c r="AL18" i="98"/>
  <c r="AL33" i="98"/>
  <c r="AM69" i="274"/>
  <c r="W94" i="274"/>
  <c r="V27" i="98"/>
  <c r="V26" i="98"/>
  <c r="AE94" i="274"/>
  <c r="AE100" i="274"/>
  <c r="AD27" i="98"/>
  <c r="AD29" i="98"/>
  <c r="F31" i="98"/>
  <c r="F32" i="98"/>
  <c r="F34" i="98"/>
  <c r="F9" i="98"/>
  <c r="J31" i="98"/>
  <c r="J9" i="98"/>
  <c r="AB9" i="98"/>
  <c r="AB31" i="98"/>
  <c r="AR9" i="98"/>
  <c r="AR31" i="98"/>
  <c r="AZ31" i="98"/>
  <c r="AZ37" i="98"/>
  <c r="AZ9" i="98"/>
  <c r="BI31" i="98"/>
  <c r="BI9" i="98"/>
  <c r="C32" i="98"/>
  <c r="C33" i="98"/>
  <c r="C9" i="98"/>
  <c r="G9" i="98"/>
  <c r="G32" i="98"/>
  <c r="O32" i="98"/>
  <c r="O9" i="98"/>
  <c r="S32" i="98"/>
  <c r="S37" i="98"/>
  <c r="S9" i="98"/>
  <c r="X9" i="98"/>
  <c r="AI32" i="98"/>
  <c r="AI9" i="98"/>
  <c r="AN32" i="98"/>
  <c r="AN37" i="98"/>
  <c r="AN9" i="98"/>
  <c r="AS9" i="98"/>
  <c r="AS32" i="98"/>
  <c r="BA9" i="98"/>
  <c r="AE9" i="98"/>
  <c r="AE34" i="98"/>
  <c r="BG34" i="98"/>
  <c r="BG9" i="98"/>
  <c r="AX32" i="98"/>
  <c r="AX14" i="98"/>
  <c r="I19" i="98"/>
  <c r="I31" i="98"/>
  <c r="I37" i="98"/>
  <c r="M31" i="98"/>
  <c r="M37" i="98"/>
  <c r="M19" i="98"/>
  <c r="Q19" i="98"/>
  <c r="Q31" i="98"/>
  <c r="Q37" i="98"/>
  <c r="AA31" i="98"/>
  <c r="AA37" i="98"/>
  <c r="AA19" i="98"/>
  <c r="AK31" i="98"/>
  <c r="AK37" i="98"/>
  <c r="AK19" i="98"/>
  <c r="AY19" i="98"/>
  <c r="AY31" i="98"/>
  <c r="AY37" i="98"/>
  <c r="N19" i="98"/>
  <c r="N32" i="98"/>
  <c r="AM32" i="98"/>
  <c r="AM37" i="98"/>
  <c r="AM19" i="98"/>
  <c r="AR32" i="98"/>
  <c r="AV32" i="98"/>
  <c r="AV37" i="98"/>
  <c r="AZ19" i="98"/>
  <c r="AZ32" i="98"/>
  <c r="BI19" i="98"/>
  <c r="C19" i="98"/>
  <c r="G33" i="98"/>
  <c r="G19" i="98"/>
  <c r="K19" i="98"/>
  <c r="K33" i="98"/>
  <c r="K37" i="98"/>
  <c r="AC33" i="98"/>
  <c r="AC37" i="98"/>
  <c r="AC19" i="98"/>
  <c r="AI33" i="98"/>
  <c r="AI19" i="98"/>
  <c r="AS19" i="98"/>
  <c r="AS33" i="98"/>
  <c r="BA33" i="98"/>
  <c r="BA19" i="98"/>
  <c r="BE19" i="98"/>
  <c r="BE33" i="98"/>
  <c r="BI34" i="98"/>
  <c r="D33" i="98"/>
  <c r="D37" i="98"/>
  <c r="L33" i="98"/>
  <c r="L37" i="98"/>
  <c r="T33" i="98"/>
  <c r="Y33" i="98"/>
  <c r="AE33" i="98"/>
  <c r="AJ33" i="98"/>
  <c r="AT33" i="98"/>
  <c r="AX33" i="98"/>
  <c r="J34" i="98"/>
  <c r="N34" i="98"/>
  <c r="N37" i="98"/>
  <c r="R34" i="98"/>
  <c r="AB34" i="98"/>
  <c r="AG34" i="98"/>
  <c r="AG37" i="98"/>
  <c r="AR34" i="98"/>
  <c r="AZ34" i="98"/>
  <c r="D29" i="98"/>
  <c r="H29" i="98"/>
  <c r="L29" i="98"/>
  <c r="P29" i="98"/>
  <c r="T29" i="98"/>
  <c r="Y29" i="98"/>
  <c r="AO29" i="98"/>
  <c r="AT29" i="98"/>
  <c r="AQ15" i="274"/>
  <c r="AD7" i="98"/>
  <c r="AD9" i="98"/>
  <c r="BF7" i="98"/>
  <c r="AA20" i="274"/>
  <c r="AA25" i="274"/>
  <c r="AM20" i="274"/>
  <c r="BK50" i="274"/>
  <c r="AP18" i="98"/>
  <c r="AP33" i="98"/>
  <c r="V18" i="98"/>
  <c r="V33" i="98"/>
  <c r="J32" i="98"/>
  <c r="J37" i="98"/>
  <c r="R32" i="98"/>
  <c r="AB32" i="98"/>
  <c r="BD32" i="98"/>
  <c r="BS69" i="274"/>
  <c r="D34" i="98"/>
  <c r="L34" i="98"/>
  <c r="T34" i="98"/>
  <c r="Y34" i="98"/>
  <c r="AJ34" i="98"/>
  <c r="AT34" i="98"/>
  <c r="AX34" i="98"/>
  <c r="BB34" i="98"/>
  <c r="BF9" i="98"/>
  <c r="AH29" i="98"/>
  <c r="AD18" i="98"/>
  <c r="AD19" i="98"/>
  <c r="AP34" i="98"/>
  <c r="BL40" i="274"/>
  <c r="BL102" i="274"/>
  <c r="BI70" i="274"/>
  <c r="BI102" i="274"/>
  <c r="BC85" i="274"/>
  <c r="BC100" i="274"/>
  <c r="BC102" i="274"/>
  <c r="BC70" i="274"/>
  <c r="AF100" i="274"/>
  <c r="AH100" i="274"/>
  <c r="BA100" i="274"/>
  <c r="BA102" i="274"/>
  <c r="AE99" i="274"/>
  <c r="U100" i="274"/>
  <c r="AU20" i="274"/>
  <c r="AT25" i="274"/>
  <c r="AU25" i="274"/>
  <c r="AS100" i="274"/>
  <c r="AT100" i="274"/>
  <c r="AY15" i="274"/>
  <c r="AV25" i="274"/>
  <c r="AX25" i="274"/>
  <c r="AY62" i="274"/>
  <c r="BS94" i="274"/>
  <c r="AJ102" i="274"/>
  <c r="BK20" i="274"/>
  <c r="AQ24" i="274"/>
  <c r="AG25" i="274"/>
  <c r="AG102" i="274"/>
  <c r="AM85" i="274"/>
  <c r="AM100" i="274"/>
  <c r="AQ99" i="274"/>
  <c r="AQ100" i="274"/>
  <c r="AL100" i="274"/>
  <c r="AL102" i="274"/>
  <c r="AW70" i="274"/>
  <c r="AV70" i="274"/>
  <c r="AH25" i="274"/>
  <c r="AH102" i="274"/>
  <c r="AD70" i="274"/>
  <c r="AD102" i="274"/>
  <c r="BJ100" i="274"/>
  <c r="BJ102" i="274"/>
  <c r="AU24" i="274"/>
  <c r="AS40" i="274"/>
  <c r="AU40" i="274"/>
  <c r="AU69" i="274"/>
  <c r="AW100" i="274"/>
  <c r="BS50" i="274"/>
  <c r="BK24" i="274"/>
  <c r="BK25" i="274"/>
  <c r="V70" i="274"/>
  <c r="Z70" i="274"/>
  <c r="AU50" i="274"/>
  <c r="AS70" i="274"/>
  <c r="AU85" i="274"/>
  <c r="AW25" i="274"/>
  <c r="AY34" i="274"/>
  <c r="AX70" i="274"/>
  <c r="AR25" i="274"/>
  <c r="AV100" i="274"/>
  <c r="BS15" i="274"/>
  <c r="BS24" i="274"/>
  <c r="BR40" i="274"/>
  <c r="BS39" i="274"/>
  <c r="BR13" i="98"/>
  <c r="AR70" i="274"/>
  <c r="BR70" i="274"/>
  <c r="BS62" i="274"/>
  <c r="BS70" i="274"/>
  <c r="BS85" i="274"/>
  <c r="BS100" i="274"/>
  <c r="BQ70" i="274"/>
  <c r="BQ40" i="274"/>
  <c r="BS30" i="274"/>
  <c r="BS40" i="274"/>
  <c r="G101" i="308"/>
  <c r="Z31" i="296"/>
  <c r="Z13" i="296"/>
  <c r="Y14" i="296"/>
  <c r="Z14" i="296"/>
  <c r="Z27" i="296"/>
  <c r="Z16" i="296"/>
  <c r="X19" i="296"/>
  <c r="Z19" i="296"/>
  <c r="Z12" i="296"/>
  <c r="F17" i="328"/>
  <c r="G17" i="328"/>
  <c r="G39" i="323"/>
  <c r="C29" i="312"/>
  <c r="E24" i="311"/>
  <c r="F101" i="308"/>
  <c r="CC30" i="123"/>
  <c r="CC35" i="123"/>
  <c r="BZ38" i="123"/>
  <c r="CC33" i="123"/>
  <c r="CC32" i="123"/>
  <c r="CA38" i="123"/>
  <c r="CC15" i="123"/>
  <c r="N37" i="253"/>
  <c r="R37" i="253"/>
  <c r="AT37" i="98"/>
  <c r="AM25" i="274"/>
  <c r="BG37" i="98"/>
  <c r="AI70" i="274"/>
  <c r="Y37" i="98"/>
  <c r="AR37" i="98"/>
  <c r="AP19" i="98"/>
  <c r="AJ37" i="98"/>
  <c r="BF19" i="98"/>
  <c r="V31" i="98"/>
  <c r="AD32" i="98"/>
  <c r="V9" i="98"/>
  <c r="AI37" i="98"/>
  <c r="AL19" i="98"/>
  <c r="Z31" i="98"/>
  <c r="Z9" i="98"/>
  <c r="BF35" i="98"/>
  <c r="BF14" i="98"/>
  <c r="AX102" i="274"/>
  <c r="E29" i="312"/>
  <c r="Z33" i="296"/>
  <c r="X37" i="296"/>
  <c r="X146" i="295"/>
  <c r="AP29" i="98"/>
  <c r="D36" i="293"/>
  <c r="E37" i="291"/>
  <c r="E33" i="291"/>
  <c r="E35" i="291"/>
  <c r="E36" i="291"/>
  <c r="E38" i="291"/>
  <c r="H141" i="295"/>
  <c r="D4" i="303"/>
  <c r="D5" i="303"/>
  <c r="BI7" i="281"/>
  <c r="AU31" i="242"/>
  <c r="Z33" i="98"/>
  <c r="Z19" i="98"/>
  <c r="AP32" i="98"/>
  <c r="F39" i="291"/>
  <c r="Z24" i="271"/>
  <c r="Z32" i="271"/>
  <c r="Z37" i="271"/>
  <c r="AC34" i="237"/>
  <c r="U37" i="296"/>
  <c r="L36" i="293"/>
  <c r="BN28" i="98"/>
  <c r="R23" i="248"/>
  <c r="R62" i="248"/>
  <c r="S59" i="26"/>
  <c r="S62" i="26"/>
  <c r="U40" i="26"/>
  <c r="E40" i="26"/>
  <c r="S57" i="26"/>
  <c r="G4" i="304"/>
  <c r="G6" i="304"/>
  <c r="V33" i="253"/>
  <c r="J23" i="248"/>
  <c r="J62" i="248"/>
  <c r="G62" i="26"/>
  <c r="T23" i="26"/>
  <c r="G23" i="26"/>
  <c r="V40" i="26"/>
  <c r="M61" i="26"/>
  <c r="M62" i="26"/>
  <c r="I60" i="26"/>
  <c r="I62" i="26"/>
  <c r="AB37" i="239"/>
  <c r="AB37" i="241"/>
  <c r="BN6" i="98"/>
  <c r="BN7" i="98"/>
  <c r="BN11" i="98"/>
  <c r="BN8" i="98"/>
  <c r="BN12" i="98"/>
  <c r="P40" i="26"/>
  <c r="K26" i="27"/>
  <c r="Q26" i="27"/>
  <c r="G28" i="291"/>
  <c r="AH33" i="124"/>
  <c r="AH39" i="124"/>
  <c r="L30" i="291"/>
  <c r="U68" i="27"/>
  <c r="U71" i="27"/>
  <c r="BJ19" i="281"/>
  <c r="P20" i="47"/>
  <c r="BK14" i="98"/>
  <c r="BK36" i="98"/>
  <c r="X20" i="306"/>
  <c r="P10" i="47"/>
  <c r="BL14" i="98"/>
  <c r="BL36" i="98"/>
  <c r="AI144" i="295"/>
  <c r="BK34" i="281"/>
  <c r="BK38" i="281"/>
  <c r="AJ20" i="123"/>
  <c r="K32" i="123"/>
  <c r="AO10" i="123"/>
  <c r="BN30" i="123"/>
  <c r="AP124" i="337"/>
  <c r="BR6" i="98"/>
  <c r="BR8" i="98"/>
  <c r="BP14" i="98"/>
  <c r="BP36" i="98"/>
  <c r="O28" i="292"/>
  <c r="BK39" i="281"/>
  <c r="AT36" i="123"/>
  <c r="AH84" i="337"/>
  <c r="AP84" i="337"/>
  <c r="AL114" i="337"/>
  <c r="AT114" i="337"/>
  <c r="BA36" i="234"/>
  <c r="BR7" i="98"/>
  <c r="BQ36" i="98"/>
  <c r="BQ14" i="98"/>
  <c r="BR18" i="98"/>
  <c r="BA96" i="273"/>
  <c r="BB79" i="337"/>
  <c r="O29" i="292"/>
  <c r="BL32" i="98"/>
  <c r="BL9" i="98"/>
  <c r="O26" i="292"/>
  <c r="O30" i="292"/>
  <c r="X32" i="253"/>
  <c r="BA34" i="234"/>
  <c r="AX37" i="234"/>
  <c r="BB119" i="337"/>
  <c r="O27" i="292"/>
  <c r="M169" i="268"/>
  <c r="D16" i="312"/>
  <c r="C17" i="326"/>
  <c r="D69" i="323"/>
  <c r="C8" i="328"/>
  <c r="C34" i="328"/>
  <c r="C7" i="342"/>
  <c r="G22" i="342"/>
  <c r="BO14" i="98"/>
  <c r="J172" i="268"/>
  <c r="I169" i="268"/>
  <c r="I234" i="268" s="1"/>
  <c r="I90" i="319"/>
  <c r="F74" i="318"/>
  <c r="D18" i="326"/>
  <c r="D23" i="326"/>
  <c r="C6" i="329"/>
  <c r="F15" i="325"/>
  <c r="D23" i="329"/>
  <c r="E77" i="325"/>
  <c r="D28" i="329"/>
  <c r="E99" i="325"/>
  <c r="L159" i="336"/>
  <c r="H74" i="319"/>
  <c r="J74" i="319"/>
  <c r="H75" i="319"/>
  <c r="J75" i="319"/>
  <c r="H76" i="319"/>
  <c r="J76" i="319"/>
  <c r="G13" i="312"/>
  <c r="G41" i="312" s="1"/>
  <c r="AE13" i="271"/>
  <c r="AE36" i="271" s="1"/>
  <c r="F27" i="328"/>
  <c r="F65" i="309"/>
  <c r="D8" i="326"/>
  <c r="C27" i="328"/>
  <c r="D77" i="327"/>
  <c r="C9" i="342"/>
  <c r="D79" i="339"/>
  <c r="G29" i="342"/>
  <c r="AE28" i="271"/>
  <c r="AF78" i="270"/>
  <c r="D18" i="342"/>
  <c r="BQ31" i="98"/>
  <c r="BQ33" i="98"/>
  <c r="F24" i="342"/>
  <c r="BO32" i="98"/>
  <c r="BP33" i="98"/>
  <c r="BM14" i="98"/>
  <c r="F78" i="339"/>
  <c r="E29" i="342"/>
  <c r="BO31" i="98"/>
  <c r="BP32" i="98"/>
  <c r="O23" i="172"/>
  <c r="O24" i="172"/>
  <c r="O32" i="172"/>
  <c r="BS78" i="274"/>
  <c r="BL33" i="98"/>
  <c r="BO23" i="98"/>
  <c r="BO24" i="98"/>
  <c r="G29" i="344"/>
  <c r="Y29" i="344"/>
  <c r="BK9" i="98"/>
  <c r="BM32" i="98"/>
  <c r="BM37" i="98"/>
  <c r="BR78" i="274"/>
  <c r="BR102" i="274"/>
  <c r="V29" i="344"/>
  <c r="BQ78" i="274"/>
  <c r="BQ102" i="274"/>
  <c r="BP9" i="98"/>
  <c r="I29" i="344"/>
  <c r="O6" i="344"/>
  <c r="I8" i="344"/>
  <c r="O8" i="344"/>
  <c r="I10" i="344"/>
  <c r="I11" i="344"/>
  <c r="O11" i="344"/>
  <c r="O13" i="344"/>
  <c r="I15" i="344"/>
  <c r="O15" i="344"/>
  <c r="I17" i="344"/>
  <c r="O17" i="344"/>
  <c r="I19" i="344"/>
  <c r="O19" i="344"/>
  <c r="I25" i="344"/>
  <c r="H52" i="47"/>
  <c r="L207" i="268"/>
  <c r="M190" i="268"/>
  <c r="I190" i="268"/>
  <c r="E24" i="341"/>
  <c r="BG20" i="281"/>
  <c r="AS37" i="234"/>
  <c r="E99" i="330"/>
  <c r="D77" i="330"/>
  <c r="D73" i="324"/>
  <c r="BO33" i="98"/>
  <c r="BO37" i="98"/>
  <c r="BL14" i="336"/>
  <c r="BM14" i="336" s="1"/>
  <c r="BB136" i="337"/>
  <c r="BL31" i="336"/>
  <c r="AQ14" i="336"/>
  <c r="AS14" i="336" s="1"/>
  <c r="BN9" i="98"/>
  <c r="E13" i="312"/>
  <c r="BD9" i="336"/>
  <c r="AV9" i="336"/>
  <c r="L36" i="291"/>
  <c r="BB101" i="337"/>
  <c r="BK31" i="336"/>
  <c r="BM31" i="336" s="1"/>
  <c r="BK9" i="336"/>
  <c r="AY14" i="336"/>
  <c r="AZ19" i="336"/>
  <c r="I23" i="330"/>
  <c r="I24" i="330"/>
  <c r="H8" i="331"/>
  <c r="F42" i="327"/>
  <c r="E16" i="328"/>
  <c r="F18" i="331"/>
  <c r="I75" i="288"/>
  <c r="J69" i="288"/>
  <c r="H38" i="288"/>
  <c r="D28" i="340"/>
  <c r="E26" i="340"/>
  <c r="E41" i="314"/>
  <c r="I16" i="339"/>
  <c r="H7" i="342"/>
  <c r="I73" i="339"/>
  <c r="H28" i="342"/>
  <c r="E102" i="339"/>
  <c r="I83" i="339"/>
  <c r="H12" i="342"/>
  <c r="F87" i="339"/>
  <c r="E13" i="342"/>
  <c r="E36" i="342"/>
  <c r="C28" i="342"/>
  <c r="I93" i="339"/>
  <c r="H14" i="342"/>
  <c r="H37" i="342"/>
  <c r="F83" i="339"/>
  <c r="E12" i="342"/>
  <c r="F64" i="339"/>
  <c r="E27" i="342"/>
  <c r="D19" i="342"/>
  <c r="E94" i="339"/>
  <c r="C24" i="342"/>
  <c r="F93" i="339"/>
  <c r="H94" i="339"/>
  <c r="F9" i="342"/>
  <c r="F35" i="342"/>
  <c r="D17" i="342"/>
  <c r="D20" i="342"/>
  <c r="I56" i="339"/>
  <c r="H19" i="342"/>
  <c r="D29" i="342"/>
  <c r="G14" i="342"/>
  <c r="G37" i="342"/>
  <c r="D14" i="342"/>
  <c r="D37" i="342"/>
  <c r="D24" i="342"/>
  <c r="G28" i="342"/>
  <c r="F36" i="339"/>
  <c r="E17" i="342"/>
  <c r="F28" i="311"/>
  <c r="F25" i="308"/>
  <c r="I36" i="243"/>
  <c r="X115" i="273"/>
  <c r="AQ147" i="273"/>
  <c r="AW147" i="273"/>
  <c r="BA136" i="273"/>
  <c r="BB51" i="273"/>
  <c r="AR139" i="273"/>
  <c r="BC51" i="273"/>
  <c r="BB96" i="273"/>
  <c r="BB136" i="273"/>
  <c r="BB149" i="273"/>
  <c r="AF84" i="273"/>
  <c r="L84" i="273"/>
  <c r="Y96" i="273"/>
  <c r="AO96" i="273"/>
  <c r="AB95" i="273"/>
  <c r="AN95" i="273"/>
  <c r="H115" i="273"/>
  <c r="AT147" i="273"/>
  <c r="AY147" i="273"/>
  <c r="AR53" i="263"/>
  <c r="E51" i="263"/>
  <c r="AR51" i="263"/>
  <c r="AT49" i="263"/>
  <c r="F59" i="263"/>
  <c r="E68" i="263"/>
  <c r="AT66" i="263"/>
  <c r="AZ95" i="273"/>
  <c r="AB130" i="273"/>
  <c r="J96" i="273"/>
  <c r="J149" i="273"/>
  <c r="U96" i="273"/>
  <c r="Z96" i="273"/>
  <c r="X135" i="273"/>
  <c r="P68" i="273"/>
  <c r="BG69" i="277"/>
  <c r="BH70" i="277"/>
  <c r="BH72" i="277" s="1"/>
  <c r="BF32" i="277"/>
  <c r="BE79" i="276"/>
  <c r="AB95" i="276"/>
  <c r="BE43" i="277"/>
  <c r="Q64" i="277"/>
  <c r="BK69" i="277"/>
  <c r="BJ66" i="277"/>
  <c r="AJ26" i="284"/>
  <c r="AG20" i="284"/>
  <c r="AK26" i="284"/>
  <c r="AG13" i="284"/>
  <c r="AL19" i="284"/>
  <c r="AE17" i="284"/>
  <c r="AH36" i="284"/>
  <c r="G55" i="324"/>
  <c r="H55" i="324"/>
  <c r="O35" i="292"/>
  <c r="C30" i="292"/>
  <c r="M26" i="292"/>
  <c r="M27" i="292"/>
  <c r="K28" i="292"/>
  <c r="G26" i="292"/>
  <c r="G27" i="292"/>
  <c r="G28" i="292"/>
  <c r="G29" i="292"/>
  <c r="G31" i="292"/>
  <c r="K31" i="292"/>
  <c r="K30" i="292"/>
  <c r="K35" i="292"/>
  <c r="H29" i="292"/>
  <c r="H30" i="292"/>
  <c r="L28" i="292"/>
  <c r="H26" i="292"/>
  <c r="L30" i="292"/>
  <c r="H28" i="292"/>
  <c r="L31" i="292"/>
  <c r="C27" i="292"/>
  <c r="C35" i="292"/>
  <c r="C26" i="292"/>
  <c r="C28" i="292"/>
  <c r="C29" i="292"/>
  <c r="I29" i="292"/>
  <c r="M28" i="292"/>
  <c r="I26" i="292"/>
  <c r="I28" i="292"/>
  <c r="I27" i="292"/>
  <c r="M30" i="292"/>
  <c r="K26" i="292"/>
  <c r="M31" i="292"/>
  <c r="K27" i="292"/>
  <c r="I30" i="292"/>
  <c r="D83" i="336"/>
  <c r="AI145" i="295"/>
  <c r="AS52" i="263"/>
  <c r="AM52" i="263"/>
  <c r="AO17" i="263"/>
  <c r="AP17" i="263"/>
  <c r="AT28" i="263"/>
  <c r="AZ68" i="263"/>
  <c r="BB46" i="263"/>
  <c r="AT12" i="263"/>
  <c r="AS53" i="263"/>
  <c r="AR43" i="263"/>
  <c r="AQ53" i="263"/>
  <c r="AS18" i="263"/>
  <c r="AX14" i="263"/>
  <c r="AM19" i="263"/>
  <c r="AP11" i="263"/>
  <c r="AZ54" i="263"/>
  <c r="AQ26" i="263"/>
  <c r="AS17" i="263"/>
  <c r="AT17" i="263"/>
  <c r="AT15" i="263"/>
  <c r="AS19" i="263"/>
  <c r="AQ43" i="263"/>
  <c r="AT42" i="263"/>
  <c r="AX57" i="263"/>
  <c r="BB32" i="263"/>
  <c r="AO9" i="263"/>
  <c r="AR34" i="263"/>
  <c r="AR35" i="263"/>
  <c r="AS43" i="263"/>
  <c r="AT41" i="263"/>
  <c r="AX62" i="263"/>
  <c r="AU69" i="263"/>
  <c r="AT8" i="263"/>
  <c r="D74" i="263"/>
  <c r="AV69" i="263"/>
  <c r="AY52" i="263"/>
  <c r="BB50" i="263"/>
  <c r="BA70" i="263"/>
  <c r="AU35" i="263"/>
  <c r="AT32" i="263"/>
  <c r="AQ36" i="263"/>
  <c r="AS54" i="263"/>
  <c r="AR52" i="263"/>
  <c r="BF14" i="277"/>
  <c r="D43" i="277"/>
  <c r="P9" i="277"/>
  <c r="BI20" i="277"/>
  <c r="BE9" i="277"/>
  <c r="C43" i="277"/>
  <c r="F43" i="277" s="1"/>
  <c r="O51" i="277"/>
  <c r="N12" i="277"/>
  <c r="BG26" i="277"/>
  <c r="BJ31" i="277"/>
  <c r="BJ35" i="277" s="1"/>
  <c r="H68" i="277"/>
  <c r="BN66" i="277"/>
  <c r="BG35" i="277"/>
  <c r="BG36" i="277"/>
  <c r="BF48" i="277"/>
  <c r="BR24" i="277"/>
  <c r="L71" i="277"/>
  <c r="BO35" i="277"/>
  <c r="Q9" i="277"/>
  <c r="I52" i="277"/>
  <c r="BG53" i="277"/>
  <c r="BC47" i="277"/>
  <c r="BR7" i="277"/>
  <c r="BO19" i="277"/>
  <c r="BR46" i="277"/>
  <c r="BL52" i="277"/>
  <c r="BD70" i="277"/>
  <c r="BD72" i="277"/>
  <c r="BD64" i="277"/>
  <c r="BF63" i="277"/>
  <c r="BF71" i="277" s="1"/>
  <c r="BG47" i="277"/>
  <c r="BG9" i="277"/>
  <c r="BG21" i="277"/>
  <c r="O43" i="277"/>
  <c r="H69" i="277"/>
  <c r="H60" i="277"/>
  <c r="BP20" i="277"/>
  <c r="BC37" i="277"/>
  <c r="D51" i="277"/>
  <c r="D52" i="277"/>
  <c r="G64" i="277"/>
  <c r="G69" i="277"/>
  <c r="M70" i="277"/>
  <c r="M68" i="277"/>
  <c r="BQ37" i="277"/>
  <c r="BR33" i="277"/>
  <c r="BP47" i="277"/>
  <c r="BO52" i="277"/>
  <c r="BP68" i="277"/>
  <c r="BM68" i="277"/>
  <c r="BM70" i="277"/>
  <c r="BI68" i="277"/>
  <c r="AH9" i="284"/>
  <c r="AL17" i="284"/>
  <c r="AH26" i="284"/>
  <c r="AM9" i="284"/>
  <c r="AO20" i="284"/>
  <c r="AM13" i="284"/>
  <c r="AO17" i="284"/>
  <c r="AN17" i="284"/>
  <c r="AG9" i="284"/>
  <c r="AF26" i="284"/>
  <c r="AI17" i="284"/>
  <c r="O153" i="267"/>
  <c r="M32" i="202"/>
  <c r="L37" i="202"/>
  <c r="O34" i="202"/>
  <c r="L20" i="202"/>
  <c r="K20" i="202"/>
  <c r="O15" i="202"/>
  <c r="O37" i="202"/>
  <c r="M10" i="202"/>
  <c r="AC9" i="194"/>
  <c r="AF14" i="194"/>
  <c r="AL32" i="194"/>
  <c r="AJ14" i="194"/>
  <c r="AB14" i="194"/>
  <c r="AC14" i="194"/>
  <c r="AN19" i="194"/>
  <c r="AO33" i="194"/>
  <c r="AJ9" i="194"/>
  <c r="AE34" i="194"/>
  <c r="AH34" i="194"/>
  <c r="AH19" i="194"/>
  <c r="AC33" i="194"/>
  <c r="AG33" i="194"/>
  <c r="AM33" i="194"/>
  <c r="AO29" i="194"/>
  <c r="AK19" i="241"/>
  <c r="AH14" i="241"/>
  <c r="AI14" i="241"/>
  <c r="AD24" i="240"/>
  <c r="AD9" i="241"/>
  <c r="AF8" i="241"/>
  <c r="AL26" i="241"/>
  <c r="AL28" i="241"/>
  <c r="AI6" i="241"/>
  <c r="AH9" i="241"/>
  <c r="AK33" i="241"/>
  <c r="AI29" i="241"/>
  <c r="AI7" i="241"/>
  <c r="AF18" i="241"/>
  <c r="AI28" i="241"/>
  <c r="G74" i="284"/>
  <c r="J72" i="284"/>
  <c r="J76" i="284"/>
  <c r="Z74" i="284"/>
  <c r="V75" i="284"/>
  <c r="J74" i="284"/>
  <c r="N74" i="284"/>
  <c r="AA75" i="284"/>
  <c r="H76" i="284"/>
  <c r="O74" i="284"/>
  <c r="AN36" i="284"/>
  <c r="AN38" i="284"/>
  <c r="AO9" i="284"/>
  <c r="AI13" i="239"/>
  <c r="AI26" i="239"/>
  <c r="AI27" i="239"/>
  <c r="AM29" i="239"/>
  <c r="AG14" i="239"/>
  <c r="AF16" i="239"/>
  <c r="AO27" i="239"/>
  <c r="AO22" i="237"/>
  <c r="AL22" i="237"/>
  <c r="AE19" i="237"/>
  <c r="AK19" i="237"/>
  <c r="AJ19" i="237"/>
  <c r="AF18" i="237"/>
  <c r="AO6" i="237"/>
  <c r="AM29" i="237"/>
  <c r="AG29" i="237"/>
  <c r="AI18" i="237"/>
  <c r="AM35" i="237"/>
  <c r="AO35" i="237"/>
  <c r="AE31" i="237"/>
  <c r="AF33" i="194"/>
  <c r="AJ33" i="194"/>
  <c r="AN24" i="194"/>
  <c r="AO34" i="194"/>
  <c r="AE14" i="194"/>
  <c r="AI14" i="194"/>
  <c r="AB36" i="194"/>
  <c r="AH33" i="194"/>
  <c r="AL33" i="194"/>
  <c r="AD29" i="194"/>
  <c r="AC34" i="194"/>
  <c r="AG34" i="194"/>
  <c r="AM29" i="194"/>
  <c r="AL34" i="194"/>
  <c r="AA32" i="194"/>
  <c r="AC31" i="194"/>
  <c r="AD33" i="194"/>
  <c r="AM31" i="194"/>
  <c r="AM24" i="194"/>
  <c r="AN33" i="194"/>
  <c r="AI24" i="194"/>
  <c r="AK14" i="194"/>
  <c r="AL19" i="194"/>
  <c r="AD19" i="194"/>
  <c r="AC29" i="194"/>
  <c r="AG29" i="194"/>
  <c r="AO14" i="194"/>
  <c r="AC19" i="194"/>
  <c r="AJ32" i="194"/>
  <c r="AG32" i="194"/>
  <c r="AO9" i="194"/>
  <c r="AD31" i="194"/>
  <c r="AD37" i="194"/>
  <c r="AG31" i="194"/>
  <c r="AC32" i="194"/>
  <c r="AH9" i="194"/>
  <c r="AD32" i="194"/>
  <c r="AN9" i="194"/>
  <c r="AG14" i="194"/>
  <c r="AL9" i="194"/>
  <c r="AL7" i="241"/>
  <c r="AD32" i="241"/>
  <c r="AI22" i="241"/>
  <c r="AD20" i="240"/>
  <c r="AA24" i="240"/>
  <c r="AA55" i="240"/>
  <c r="AD55" i="240"/>
  <c r="AA92" i="240"/>
  <c r="AK34" i="241"/>
  <c r="AK32" i="241"/>
  <c r="AG33" i="241"/>
  <c r="AN33" i="241"/>
  <c r="AD33" i="241"/>
  <c r="AL16" i="241"/>
  <c r="AA87" i="240"/>
  <c r="AO13" i="241"/>
  <c r="AN19" i="241"/>
  <c r="AL23" i="241"/>
  <c r="AF27" i="241"/>
  <c r="AF12" i="241"/>
  <c r="AD36" i="240"/>
  <c r="AD19" i="241"/>
  <c r="AD34" i="241"/>
  <c r="AO8" i="241"/>
  <c r="AF16" i="241"/>
  <c r="AJ31" i="241"/>
  <c r="AK29" i="241"/>
  <c r="AI18" i="241"/>
  <c r="AO18" i="241"/>
  <c r="AN29" i="241"/>
  <c r="AN24" i="241"/>
  <c r="AF21" i="241"/>
  <c r="AH34" i="241"/>
  <c r="AN14" i="241"/>
  <c r="AO14" i="241"/>
  <c r="AO27" i="241"/>
  <c r="AD31" i="241"/>
  <c r="AG24" i="239"/>
  <c r="X92" i="238"/>
  <c r="AM93" i="238"/>
  <c r="AH14" i="239"/>
  <c r="AI14" i="239"/>
  <c r="AK78" i="238"/>
  <c r="F105" i="238"/>
  <c r="AM33" i="239"/>
  <c r="L78" i="238"/>
  <c r="P78" i="238"/>
  <c r="T78" i="238"/>
  <c r="X78" i="238"/>
  <c r="AI78" i="238"/>
  <c r="AI17" i="239"/>
  <c r="AD34" i="239"/>
  <c r="E25" i="238"/>
  <c r="E105" i="238"/>
  <c r="I25" i="238"/>
  <c r="M25" i="238"/>
  <c r="U25" i="238"/>
  <c r="Y25" i="238"/>
  <c r="AA24" i="238"/>
  <c r="AE9" i="239"/>
  <c r="AH9" i="239"/>
  <c r="AK19" i="239"/>
  <c r="U87" i="238"/>
  <c r="O87" i="238"/>
  <c r="X83" i="238"/>
  <c r="AL17" i="239"/>
  <c r="AJ15" i="238"/>
  <c r="AA77" i="238"/>
  <c r="L92" i="238"/>
  <c r="AD19" i="239"/>
  <c r="AJ19" i="239"/>
  <c r="AN34" i="239"/>
  <c r="AF35" i="239"/>
  <c r="AA48" i="238"/>
  <c r="AG55" i="238"/>
  <c r="AG63" i="238"/>
  <c r="AJ63" i="238"/>
  <c r="O92" i="238"/>
  <c r="AL13" i="239"/>
  <c r="R83" i="238"/>
  <c r="AF22" i="239"/>
  <c r="AF23" i="239"/>
  <c r="AP63" i="238"/>
  <c r="AN93" i="238"/>
  <c r="R78" i="238"/>
  <c r="V78" i="238"/>
  <c r="D78" i="238"/>
  <c r="M93" i="238"/>
  <c r="S93" i="238"/>
  <c r="Y93" i="238"/>
  <c r="AK93" i="238"/>
  <c r="AK22" i="239"/>
  <c r="AL22" i="239"/>
  <c r="AL16" i="239"/>
  <c r="AO23" i="239"/>
  <c r="AN33" i="239"/>
  <c r="AO56" i="238"/>
  <c r="K78" i="238"/>
  <c r="AF26" i="239"/>
  <c r="AF27" i="239"/>
  <c r="AM31" i="239"/>
  <c r="V56" i="238"/>
  <c r="AK56" i="238"/>
  <c r="AH22" i="239"/>
  <c r="AE24" i="239"/>
  <c r="AF21" i="239"/>
  <c r="AJ24" i="239"/>
  <c r="AL23" i="239"/>
  <c r="O78" i="238"/>
  <c r="D25" i="238"/>
  <c r="M56" i="238"/>
  <c r="AF56" i="238"/>
  <c r="AG32" i="239"/>
  <c r="AI7" i="239"/>
  <c r="AH34" i="239"/>
  <c r="AD32" i="239"/>
  <c r="AF11" i="239"/>
  <c r="AL11" i="239"/>
  <c r="AK14" i="239"/>
  <c r="AH19" i="239"/>
  <c r="AL21" i="239"/>
  <c r="AP83" i="238"/>
  <c r="AP93" i="238"/>
  <c r="AP87" i="238"/>
  <c r="AP92" i="238"/>
  <c r="AO6" i="239"/>
  <c r="AO36" i="239"/>
  <c r="AO21" i="239"/>
  <c r="AO78" i="238"/>
  <c r="AF6" i="239"/>
  <c r="AF18" i="239"/>
  <c r="AD29" i="239"/>
  <c r="AI28" i="239"/>
  <c r="AO93" i="238"/>
  <c r="AI12" i="239"/>
  <c r="AL26" i="239"/>
  <c r="AD33" i="239"/>
  <c r="AJ34" i="239"/>
  <c r="AP72" i="238"/>
  <c r="AP77" i="238"/>
  <c r="AN78" i="238"/>
  <c r="AO11" i="239"/>
  <c r="AE31" i="239"/>
  <c r="AL18" i="239"/>
  <c r="AH29" i="239"/>
  <c r="AI16" i="239"/>
  <c r="AN31" i="239"/>
  <c r="AN29" i="239"/>
  <c r="AO29" i="239"/>
  <c r="AI6" i="239"/>
  <c r="AK31" i="239"/>
  <c r="AJ32" i="239"/>
  <c r="AJ33" i="239"/>
  <c r="AD24" i="239"/>
  <c r="AF12" i="239"/>
  <c r="AO13" i="239"/>
  <c r="AN22" i="239"/>
  <c r="AO22" i="239"/>
  <c r="AM14" i="239"/>
  <c r="AJ29" i="239"/>
  <c r="AD14" i="239"/>
  <c r="AF14" i="239"/>
  <c r="AL8" i="239"/>
  <c r="AI22" i="237"/>
  <c r="AI24" i="237"/>
  <c r="AJ31" i="237"/>
  <c r="AI21" i="237"/>
  <c r="AF6" i="237"/>
  <c r="AF13" i="237"/>
  <c r="AI35" i="237"/>
  <c r="AD24" i="237"/>
  <c r="AF23" i="237"/>
  <c r="AL6" i="237"/>
  <c r="AL8" i="237"/>
  <c r="AJ49" i="236"/>
  <c r="AG49" i="236"/>
  <c r="AM56" i="236"/>
  <c r="AA78" i="236"/>
  <c r="AJ73" i="236"/>
  <c r="AG84" i="236"/>
  <c r="AG88" i="236"/>
  <c r="AL11" i="237"/>
  <c r="AI12" i="237"/>
  <c r="AH31" i="237"/>
  <c r="AG19" i="237"/>
  <c r="AI36" i="237"/>
  <c r="AF21" i="237"/>
  <c r="AD31" i="237"/>
  <c r="AK31" i="237"/>
  <c r="AF7" i="237"/>
  <c r="AG33" i="237"/>
  <c r="AG31" i="237"/>
  <c r="AI31" i="237"/>
  <c r="AF17" i="237"/>
  <c r="AD33" i="237"/>
  <c r="AD34" i="237"/>
  <c r="AL17" i="237"/>
  <c r="AD73" i="236"/>
  <c r="AD29" i="237"/>
  <c r="AJ29" i="237"/>
  <c r="AN19" i="237"/>
  <c r="AG32" i="237"/>
  <c r="AG37" i="237"/>
  <c r="AF16" i="237"/>
  <c r="AI28" i="237"/>
  <c r="AL18" i="237"/>
  <c r="AH14" i="237"/>
  <c r="AF36" i="237"/>
  <c r="AK29" i="237"/>
  <c r="AO18" i="237"/>
  <c r="AE24" i="237"/>
  <c r="AM94" i="236"/>
  <c r="AF28" i="237"/>
  <c r="AF29" i="237"/>
  <c r="AM34" i="237"/>
  <c r="T106" i="236"/>
  <c r="AI27" i="237"/>
  <c r="N106" i="236"/>
  <c r="AE33" i="237"/>
  <c r="AM33" i="237"/>
  <c r="AO106" i="236"/>
  <c r="R106" i="236"/>
  <c r="X106" i="236"/>
  <c r="P106" i="236"/>
  <c r="AK34" i="237"/>
  <c r="AO8" i="237"/>
  <c r="G26" i="236"/>
  <c r="G106" i="236"/>
  <c r="K26" i="236"/>
  <c r="K106" i="236"/>
  <c r="AD9" i="237"/>
  <c r="AJ9" i="237"/>
  <c r="AO7" i="237"/>
  <c r="AJ32" i="237"/>
  <c r="N32" i="282"/>
  <c r="D31" i="314"/>
  <c r="D41" i="314"/>
  <c r="K82" i="314"/>
  <c r="F27" i="282"/>
  <c r="F32" i="282"/>
  <c r="H25" i="314"/>
  <c r="L82" i="314"/>
  <c r="L100" i="314"/>
  <c r="L73" i="314"/>
  <c r="H73" i="314"/>
  <c r="I73" i="314"/>
  <c r="G41" i="314"/>
  <c r="L29" i="282"/>
  <c r="J100" i="314"/>
  <c r="D73" i="314"/>
  <c r="L87" i="314"/>
  <c r="L101" i="314"/>
  <c r="J27" i="282"/>
  <c r="J19" i="282"/>
  <c r="K100" i="314"/>
  <c r="M73" i="314"/>
  <c r="I28" i="282"/>
  <c r="D100" i="314"/>
  <c r="E100" i="314"/>
  <c r="L26" i="282"/>
  <c r="K26" i="282"/>
  <c r="G27" i="282"/>
  <c r="G32" i="282"/>
  <c r="I15" i="314"/>
  <c r="D25" i="314"/>
  <c r="H100" i="314"/>
  <c r="H101" i="314"/>
  <c r="E73" i="314"/>
  <c r="E101" i="314"/>
  <c r="G73" i="314"/>
  <c r="J82" i="314"/>
  <c r="K19" i="282"/>
  <c r="I24" i="314"/>
  <c r="I35" i="314"/>
  <c r="C29" i="282"/>
  <c r="L9" i="282"/>
  <c r="I14" i="282"/>
  <c r="F15" i="314"/>
  <c r="F19" i="314"/>
  <c r="F24" i="314"/>
  <c r="F28" i="314"/>
  <c r="I19" i="282"/>
  <c r="C27" i="282"/>
  <c r="K29" i="282"/>
  <c r="L28" i="282"/>
  <c r="E27" i="282"/>
  <c r="I27" i="282"/>
  <c r="I32" i="282"/>
  <c r="J28" i="282"/>
  <c r="H54" i="314"/>
  <c r="D54" i="314"/>
  <c r="F100" i="314"/>
  <c r="M100" i="314"/>
  <c r="G100" i="314"/>
  <c r="F73" i="314"/>
  <c r="M82" i="314"/>
  <c r="M101" i="314"/>
  <c r="K14" i="282"/>
  <c r="E24" i="282"/>
  <c r="G9" i="282"/>
  <c r="J9" i="282"/>
  <c r="L27" i="282"/>
  <c r="L32" i="282"/>
  <c r="I24" i="282"/>
  <c r="E9" i="282"/>
  <c r="K73" i="314"/>
  <c r="K101" i="314"/>
  <c r="K87" i="314"/>
  <c r="F9" i="282"/>
  <c r="M32" i="282"/>
  <c r="E25" i="314"/>
  <c r="I9" i="282"/>
  <c r="H9" i="282"/>
  <c r="D9" i="282"/>
  <c r="K27" i="282"/>
  <c r="K32" i="282"/>
  <c r="L19" i="282"/>
  <c r="C24" i="282"/>
  <c r="J24" i="282"/>
  <c r="F24" i="282"/>
  <c r="K28" i="282"/>
  <c r="L24" i="282"/>
  <c r="H27" i="282"/>
  <c r="D24" i="282"/>
  <c r="E31" i="314"/>
  <c r="I100" i="314"/>
  <c r="J73" i="314"/>
  <c r="C9" i="282"/>
  <c r="L14" i="282"/>
  <c r="H24" i="282"/>
  <c r="D26" i="282"/>
  <c r="J14" i="282"/>
  <c r="H26" i="282"/>
  <c r="J29" i="282"/>
  <c r="D27" i="282"/>
  <c r="D32" i="282"/>
  <c r="K9" i="282"/>
  <c r="G24" i="282"/>
  <c r="K24" i="282"/>
  <c r="E14" i="342"/>
  <c r="E37" i="342"/>
  <c r="AL19" i="237"/>
  <c r="AO9" i="237"/>
  <c r="V105" i="238"/>
  <c r="AI22" i="239"/>
  <c r="AN24" i="239"/>
  <c r="G101" i="314"/>
  <c r="L19" i="327"/>
  <c r="K38" i="327"/>
  <c r="I29" i="330"/>
  <c r="H12" i="331"/>
  <c r="H25" i="330"/>
  <c r="I12" i="331"/>
  <c r="I35" i="331"/>
  <c r="G12" i="331"/>
  <c r="G35" i="331"/>
  <c r="F24" i="325"/>
  <c r="L29" i="325"/>
  <c r="K25" i="325"/>
  <c r="G25" i="325"/>
  <c r="E39" i="325"/>
  <c r="L24" i="325"/>
  <c r="F38" i="325"/>
  <c r="J7" i="329"/>
  <c r="D69" i="325"/>
  <c r="G6" i="329"/>
  <c r="E25" i="325"/>
  <c r="D11" i="329"/>
  <c r="I36" i="339"/>
  <c r="H17" i="342"/>
  <c r="D26" i="339"/>
  <c r="I25" i="339"/>
  <c r="H9" i="342"/>
  <c r="F17" i="342"/>
  <c r="M17" i="342"/>
  <c r="L18" i="342"/>
  <c r="I19" i="342"/>
  <c r="M57" i="339"/>
  <c r="J57" i="339"/>
  <c r="L49" i="339"/>
  <c r="K18" i="342"/>
  <c r="I49" i="339"/>
  <c r="H18" i="342"/>
  <c r="F56" i="339"/>
  <c r="E19" i="342"/>
  <c r="H26" i="339"/>
  <c r="L25" i="339"/>
  <c r="K9" i="342"/>
  <c r="K26" i="339"/>
  <c r="L36" i="339"/>
  <c r="K17" i="342"/>
  <c r="K57" i="339"/>
  <c r="L16" i="339"/>
  <c r="K7" i="342"/>
  <c r="L21" i="339"/>
  <c r="K8" i="342"/>
  <c r="H57" i="339"/>
  <c r="I21" i="339"/>
  <c r="H8" i="342"/>
  <c r="G26" i="339"/>
  <c r="I26" i="339"/>
  <c r="O21" i="339"/>
  <c r="N8" i="342"/>
  <c r="I39" i="309"/>
  <c r="H18" i="312" s="1"/>
  <c r="G59" i="309"/>
  <c r="I32" i="312"/>
  <c r="D59" i="309"/>
  <c r="F58" i="309"/>
  <c r="E33" i="312" s="1"/>
  <c r="J32" i="312"/>
  <c r="H59" i="309"/>
  <c r="D25" i="308"/>
  <c r="D18" i="311"/>
  <c r="F18" i="311"/>
  <c r="D55" i="308"/>
  <c r="F77" i="308"/>
  <c r="D11" i="311"/>
  <c r="D14" i="311"/>
  <c r="I91" i="308"/>
  <c r="H91" i="308"/>
  <c r="F91" i="308"/>
  <c r="E28" i="311"/>
  <c r="C18" i="311"/>
  <c r="I55" i="308"/>
  <c r="F8" i="311"/>
  <c r="AB25" i="270"/>
  <c r="AH8" i="271"/>
  <c r="AE56" i="270"/>
  <c r="AF27" i="271"/>
  <c r="F78" i="270"/>
  <c r="J78" i="270"/>
  <c r="N78" i="270"/>
  <c r="V78" i="270"/>
  <c r="AC26" i="271"/>
  <c r="W93" i="270"/>
  <c r="Q93" i="270"/>
  <c r="AA11" i="271"/>
  <c r="AG28" i="271"/>
  <c r="AD18" i="271"/>
  <c r="AC6" i="271"/>
  <c r="K156" i="266"/>
  <c r="J156" i="266"/>
  <c r="V16" i="233"/>
  <c r="G19" i="233"/>
  <c r="G16" i="266"/>
  <c r="G52" i="266"/>
  <c r="G158" i="266"/>
  <c r="AB9" i="233"/>
  <c r="H9" i="233"/>
  <c r="M9" i="233"/>
  <c r="C19" i="233"/>
  <c r="M19" i="233"/>
  <c r="D28" i="233"/>
  <c r="K24" i="233"/>
  <c r="F23" i="233"/>
  <c r="V23" i="233"/>
  <c r="W9" i="233"/>
  <c r="Z8" i="233"/>
  <c r="AB29" i="233"/>
  <c r="W27" i="233"/>
  <c r="X29" i="233"/>
  <c r="S27" i="233"/>
  <c r="I19" i="233"/>
  <c r="L24" i="233"/>
  <c r="Z23" i="233"/>
  <c r="G28" i="233"/>
  <c r="D24" i="233"/>
  <c r="Y24" i="233"/>
  <c r="D9" i="233"/>
  <c r="K27" i="233"/>
  <c r="L29" i="233"/>
  <c r="L28" i="233"/>
  <c r="I29" i="233"/>
  <c r="Z12" i="233"/>
  <c r="W19" i="233"/>
  <c r="V21" i="233"/>
  <c r="F22" i="233"/>
  <c r="R22" i="233"/>
  <c r="Z16" i="233"/>
  <c r="Y19" i="233"/>
  <c r="AD11" i="233"/>
  <c r="AD21" i="233"/>
  <c r="W26" i="233"/>
  <c r="Q29" i="233"/>
  <c r="Q26" i="233"/>
  <c r="I27" i="233"/>
  <c r="T19" i="233"/>
  <c r="R18" i="233"/>
  <c r="Z7" i="233"/>
  <c r="V13" i="233"/>
  <c r="P29" i="233"/>
  <c r="J16" i="233"/>
  <c r="R16" i="233"/>
  <c r="AB27" i="233"/>
  <c r="AD8" i="233"/>
  <c r="C27" i="233"/>
  <c r="S24" i="233"/>
  <c r="M29" i="233"/>
  <c r="N16" i="233"/>
  <c r="K19" i="233"/>
  <c r="S19" i="233"/>
  <c r="AC14" i="233"/>
  <c r="I28" i="233"/>
  <c r="D27" i="233"/>
  <c r="V7" i="233"/>
  <c r="Q19" i="233"/>
  <c r="E24" i="233"/>
  <c r="R21" i="233"/>
  <c r="U24" i="233"/>
  <c r="AB14" i="233"/>
  <c r="AB28" i="233"/>
  <c r="H26" i="233"/>
  <c r="O24" i="233"/>
  <c r="S9" i="233"/>
  <c r="T9" i="233"/>
  <c r="J6" i="233"/>
  <c r="P26" i="233"/>
  <c r="H29" i="233"/>
  <c r="Q9" i="233"/>
  <c r="Y29" i="233"/>
  <c r="Z29" i="233"/>
  <c r="F16" i="233"/>
  <c r="N17" i="233"/>
  <c r="V17" i="233"/>
  <c r="P24" i="233"/>
  <c r="M28" i="233"/>
  <c r="Z17" i="233"/>
  <c r="AB24" i="233"/>
  <c r="AA27" i="233"/>
  <c r="AD27" i="233"/>
  <c r="AB26" i="233"/>
  <c r="AA29" i="233"/>
  <c r="AC29" i="233"/>
  <c r="K9" i="233"/>
  <c r="O28" i="233"/>
  <c r="I9" i="233"/>
  <c r="T27" i="233"/>
  <c r="N7" i="233"/>
  <c r="N8" i="233"/>
  <c r="X14" i="233"/>
  <c r="J17" i="233"/>
  <c r="M27" i="233"/>
  <c r="N22" i="233"/>
  <c r="J23" i="233"/>
  <c r="R23" i="233"/>
  <c r="AA9" i="233"/>
  <c r="O29" i="233"/>
  <c r="V6" i="233"/>
  <c r="H27" i="233"/>
  <c r="G9" i="233"/>
  <c r="U9" i="233"/>
  <c r="J18" i="233"/>
  <c r="N21" i="233"/>
  <c r="Q28" i="233"/>
  <c r="Z21" i="233"/>
  <c r="X19" i="233"/>
  <c r="H19" i="233"/>
  <c r="U19" i="233"/>
  <c r="F8" i="233"/>
  <c r="U28" i="233"/>
  <c r="T26" i="233"/>
  <c r="K28" i="233"/>
  <c r="C24" i="233"/>
  <c r="S14" i="233"/>
  <c r="Z13" i="233"/>
  <c r="Y9" i="233"/>
  <c r="J7" i="233"/>
  <c r="V18" i="233"/>
  <c r="M24" i="233"/>
  <c r="F21" i="233"/>
  <c r="F24" i="233"/>
  <c r="C28" i="233"/>
  <c r="U29" i="233"/>
  <c r="L19" i="233"/>
  <c r="N18" i="233"/>
  <c r="AB19" i="233"/>
  <c r="AD6" i="233"/>
  <c r="AD18" i="233"/>
  <c r="AC31" i="233"/>
  <c r="I24" i="233"/>
  <c r="V8" i="233"/>
  <c r="V9" i="233"/>
  <c r="U27" i="233"/>
  <c r="F7" i="233"/>
  <c r="F27" i="233"/>
  <c r="S28" i="233"/>
  <c r="W14" i="233"/>
  <c r="X28" i="233"/>
  <c r="G29" i="233"/>
  <c r="J8" i="233"/>
  <c r="L27" i="233"/>
  <c r="AC9" i="233"/>
  <c r="AD23" i="233"/>
  <c r="X24" i="233"/>
  <c r="X27" i="233"/>
  <c r="AC24" i="233"/>
  <c r="T74" i="279"/>
  <c r="AB21" i="279"/>
  <c r="AJ74" i="279"/>
  <c r="AJ77" i="279"/>
  <c r="AR21" i="279"/>
  <c r="AE21" i="279"/>
  <c r="AK21" i="279"/>
  <c r="AD38" i="279"/>
  <c r="V74" i="279"/>
  <c r="AL74" i="279"/>
  <c r="X75" i="279"/>
  <c r="AR38" i="279"/>
  <c r="AX36" i="279"/>
  <c r="BB43" i="279"/>
  <c r="AX47" i="279"/>
  <c r="BB47" i="279"/>
  <c r="N51" i="279"/>
  <c r="AF21" i="279"/>
  <c r="W21" i="279"/>
  <c r="AQ74" i="279"/>
  <c r="V76" i="279"/>
  <c r="Z76" i="279"/>
  <c r="AH76" i="279"/>
  <c r="AL76" i="279"/>
  <c r="BA38" i="279"/>
  <c r="BB36" i="279"/>
  <c r="AR55" i="279"/>
  <c r="AL21" i="279"/>
  <c r="Y38" i="279"/>
  <c r="AC38" i="279"/>
  <c r="AG75" i="279"/>
  <c r="W38" i="279"/>
  <c r="AA38" i="279"/>
  <c r="S74" i="279"/>
  <c r="S77" i="279"/>
  <c r="AD74" i="279"/>
  <c r="AD77" i="279"/>
  <c r="AU21" i="279"/>
  <c r="AL38" i="279"/>
  <c r="T75" i="279"/>
  <c r="T77" i="279"/>
  <c r="AB55" i="279"/>
  <c r="AJ55" i="279"/>
  <c r="AV75" i="279"/>
  <c r="BA55" i="279"/>
  <c r="V55" i="279"/>
  <c r="AT55" i="279"/>
  <c r="AY76" i="279"/>
  <c r="AW21" i="279"/>
  <c r="AX26" i="279"/>
  <c r="AX34" i="279"/>
  <c r="AA21" i="279"/>
  <c r="X21" i="279"/>
  <c r="AY55" i="279"/>
  <c r="BB53" i="279"/>
  <c r="T55" i="279"/>
  <c r="W74" i="279"/>
  <c r="AZ74" i="279"/>
  <c r="BA75" i="279"/>
  <c r="AC21" i="279"/>
  <c r="BB34" i="279"/>
  <c r="AH38" i="279"/>
  <c r="J51" i="279"/>
  <c r="AX51" i="279"/>
  <c r="Z55" i="279"/>
  <c r="BJ71" i="279"/>
  <c r="AW77" i="279"/>
  <c r="AX18" i="279"/>
  <c r="AB75" i="279"/>
  <c r="AX9" i="279"/>
  <c r="AX13" i="279"/>
  <c r="AX17" i="279"/>
  <c r="AS74" i="279"/>
  <c r="AS77" i="279"/>
  <c r="V21" i="279"/>
  <c r="AF75" i="279"/>
  <c r="AF77" i="279"/>
  <c r="AY21" i="279"/>
  <c r="V38" i="279"/>
  <c r="Z75" i="279"/>
  <c r="Z77" i="279"/>
  <c r="AH75" i="279"/>
  <c r="AT38" i="279"/>
  <c r="T76" i="279"/>
  <c r="X38" i="279"/>
  <c r="AF38" i="279"/>
  <c r="AJ38" i="279"/>
  <c r="AV76" i="279"/>
  <c r="AV77" i="279"/>
  <c r="BB37" i="279"/>
  <c r="BB76" i="279"/>
  <c r="AX43" i="279"/>
  <c r="X74" i="279"/>
  <c r="AX52" i="279"/>
  <c r="U75" i="279"/>
  <c r="AC75" i="279"/>
  <c r="AK75" i="279"/>
  <c r="AK77" i="279"/>
  <c r="AS55" i="279"/>
  <c r="AW55" i="279"/>
  <c r="AX55" i="279"/>
  <c r="S55" i="279"/>
  <c r="W76" i="279"/>
  <c r="AA76" i="279"/>
  <c r="AE76" i="279"/>
  <c r="AE77" i="279"/>
  <c r="AQ76" i="279"/>
  <c r="AQ77" i="279"/>
  <c r="AZ55" i="279"/>
  <c r="AV21" i="279"/>
  <c r="AG38" i="279"/>
  <c r="AT77" i="279"/>
  <c r="I34" i="300"/>
  <c r="Y77" i="279"/>
  <c r="AR75" i="279"/>
  <c r="AR77" i="279"/>
  <c r="AX20" i="279"/>
  <c r="AZ21" i="279"/>
  <c r="AK38" i="279"/>
  <c r="AU74" i="279"/>
  <c r="AU77" i="279"/>
  <c r="AY74" i="279"/>
  <c r="U74" i="279"/>
  <c r="AF55" i="279"/>
  <c r="AI74" i="279"/>
  <c r="AI77" i="279"/>
  <c r="AJ21" i="279"/>
  <c r="T21" i="279"/>
  <c r="AI21" i="279"/>
  <c r="S21" i="279"/>
  <c r="AD21" i="279"/>
  <c r="BB20" i="279"/>
  <c r="AX35" i="279"/>
  <c r="BB19" i="279"/>
  <c r="AS21" i="279"/>
  <c r="Y21" i="279"/>
  <c r="AE55" i="279"/>
  <c r="AC76" i="279"/>
  <c r="AC77" i="279"/>
  <c r="AD55" i="279"/>
  <c r="BB54" i="279"/>
  <c r="AZ76" i="279"/>
  <c r="AH74" i="279"/>
  <c r="AU76" i="279"/>
  <c r="AK55" i="279"/>
  <c r="AB74" i="279"/>
  <c r="AG74" i="279"/>
  <c r="AG77" i="279"/>
  <c r="V75" i="279"/>
  <c r="AA75" i="279"/>
  <c r="AA77" i="279"/>
  <c r="AL75" i="279"/>
  <c r="AU75" i="279"/>
  <c r="AY75" i="279"/>
  <c r="X55" i="279"/>
  <c r="AI55" i="279"/>
  <c r="AU38" i="279"/>
  <c r="AX38" i="279"/>
  <c r="AX37" i="279"/>
  <c r="AX53" i="279"/>
  <c r="U55" i="279"/>
  <c r="BA76" i="279"/>
  <c r="BB35" i="279"/>
  <c r="AV38" i="279"/>
  <c r="AY38" i="279"/>
  <c r="BB38" i="279"/>
  <c r="M127" i="278"/>
  <c r="W127" i="278"/>
  <c r="Q89" i="278"/>
  <c r="J47" i="278"/>
  <c r="BM47" i="278"/>
  <c r="K89" i="278"/>
  <c r="AG89" i="278"/>
  <c r="BR127" i="278"/>
  <c r="BS89" i="278"/>
  <c r="BP34" i="279"/>
  <c r="BP54" i="279"/>
  <c r="BP51" i="279"/>
  <c r="AE47" i="278"/>
  <c r="BL31" i="278"/>
  <c r="L31" i="278"/>
  <c r="X46" i="278"/>
  <c r="V89" i="278"/>
  <c r="BP130" i="278"/>
  <c r="BQ64" i="279"/>
  <c r="I127" i="278"/>
  <c r="BN40" i="279"/>
  <c r="P46" i="278"/>
  <c r="BL46" i="278"/>
  <c r="N127" i="278"/>
  <c r="N139" i="278"/>
  <c r="AD127" i="278"/>
  <c r="AO127" i="278"/>
  <c r="AY127" i="278"/>
  <c r="BJ127" i="278"/>
  <c r="BB127" i="278"/>
  <c r="BM127" i="278"/>
  <c r="C52" i="279"/>
  <c r="H52" i="279"/>
  <c r="BE52" i="279"/>
  <c r="BK52" i="279"/>
  <c r="BG19" i="279"/>
  <c r="C26" i="279"/>
  <c r="M26" i="279"/>
  <c r="BE26" i="279"/>
  <c r="G35" i="279"/>
  <c r="Q35" i="279"/>
  <c r="E54" i="279"/>
  <c r="P54" i="279"/>
  <c r="BC54" i="279"/>
  <c r="BH54" i="279"/>
  <c r="BG51" i="279"/>
  <c r="BL51" i="279"/>
  <c r="BK9" i="279"/>
  <c r="BR31" i="279"/>
  <c r="BQ35" i="279"/>
  <c r="E20" i="279"/>
  <c r="P20" i="279"/>
  <c r="BH20" i="279"/>
  <c r="D53" i="279"/>
  <c r="O53" i="279"/>
  <c r="BM52" i="279"/>
  <c r="AR77" i="278"/>
  <c r="AB77" i="278"/>
  <c r="K19" i="279"/>
  <c r="BD126" i="278"/>
  <c r="T121" i="278"/>
  <c r="Q30" i="279"/>
  <c r="AJ31" i="278"/>
  <c r="N47" i="278"/>
  <c r="Y47" i="278"/>
  <c r="T46" i="278"/>
  <c r="U47" i="278"/>
  <c r="BK47" i="278"/>
  <c r="P17" i="278"/>
  <c r="O9" i="279"/>
  <c r="BD46" i="278"/>
  <c r="P19" i="279"/>
  <c r="BC19" i="279"/>
  <c r="H18" i="279"/>
  <c r="BF11" i="279"/>
  <c r="L17" i="279"/>
  <c r="BD17" i="279"/>
  <c r="BD34" i="279"/>
  <c r="BL53" i="279"/>
  <c r="G30" i="279"/>
  <c r="R11" i="279"/>
  <c r="BJ11" i="279"/>
  <c r="BN50" i="279"/>
  <c r="BN44" i="279"/>
  <c r="BJ42" i="279"/>
  <c r="C17" i="279"/>
  <c r="N15" i="279"/>
  <c r="F16" i="279"/>
  <c r="K36" i="279"/>
  <c r="BC36" i="279"/>
  <c r="L37" i="279"/>
  <c r="BI37" i="279"/>
  <c r="BL35" i="279"/>
  <c r="BC35" i="279"/>
  <c r="L34" i="279"/>
  <c r="C54" i="279"/>
  <c r="L52" i="279"/>
  <c r="BA47" i="278"/>
  <c r="AZ88" i="278"/>
  <c r="BL88" i="278"/>
  <c r="AT89" i="278"/>
  <c r="K26" i="279"/>
  <c r="F15" i="279"/>
  <c r="AJ17" i="278"/>
  <c r="AJ47" i="278"/>
  <c r="AB17" i="278"/>
  <c r="BL17" i="278"/>
  <c r="BL47" i="278"/>
  <c r="AF31" i="278"/>
  <c r="X31" i="278"/>
  <c r="BH88" i="278"/>
  <c r="AR121" i="278"/>
  <c r="H121" i="278"/>
  <c r="AN121" i="278"/>
  <c r="U127" i="278"/>
  <c r="AP127" i="278"/>
  <c r="BA127" i="278"/>
  <c r="C19" i="279"/>
  <c r="BE19" i="279"/>
  <c r="N14" i="279"/>
  <c r="BF14" i="279"/>
  <c r="M17" i="279"/>
  <c r="BE17" i="279"/>
  <c r="N25" i="279"/>
  <c r="AI89" i="278"/>
  <c r="BH60" i="279"/>
  <c r="L26" i="279"/>
  <c r="BC26" i="279"/>
  <c r="BP77" i="278"/>
  <c r="AP89" i="278"/>
  <c r="O19" i="279"/>
  <c r="BE51" i="279"/>
  <c r="BR89" i="278"/>
  <c r="BF7" i="279"/>
  <c r="AF17" i="278"/>
  <c r="AF47" i="278"/>
  <c r="V127" i="278"/>
  <c r="AA127" i="278"/>
  <c r="AL127" i="278"/>
  <c r="AQ127" i="278"/>
  <c r="BG127" i="278"/>
  <c r="BP126" i="278"/>
  <c r="AH127" i="278"/>
  <c r="BC127" i="278"/>
  <c r="D17" i="279"/>
  <c r="O17" i="279"/>
  <c r="BN31" i="279"/>
  <c r="N33" i="279"/>
  <c r="AO89" i="278"/>
  <c r="BN127" i="278"/>
  <c r="E127" i="278"/>
  <c r="BL36" i="279"/>
  <c r="BN24" i="279"/>
  <c r="H35" i="279"/>
  <c r="H30" i="279"/>
  <c r="BE35" i="279"/>
  <c r="BT130" i="278"/>
  <c r="O47" i="278"/>
  <c r="AI47" i="278"/>
  <c r="K52" i="279"/>
  <c r="BL69" i="279"/>
  <c r="BL68" i="279"/>
  <c r="BN65" i="279"/>
  <c r="L62" i="278"/>
  <c r="T62" i="278"/>
  <c r="T89" i="278"/>
  <c r="AN62" i="278"/>
  <c r="BL62" i="278"/>
  <c r="AS127" i="278"/>
  <c r="BK127" i="278"/>
  <c r="L121" i="278"/>
  <c r="AF121" i="278"/>
  <c r="K127" i="278"/>
  <c r="Q127" i="278"/>
  <c r="AG127" i="278"/>
  <c r="AW127" i="278"/>
  <c r="BH51" i="279"/>
  <c r="AZ46" i="278"/>
  <c r="AF46" i="278"/>
  <c r="AV46" i="278"/>
  <c r="H46" i="278"/>
  <c r="BN47" i="278"/>
  <c r="AE127" i="278"/>
  <c r="BR47" i="278"/>
  <c r="BQ47" i="278"/>
  <c r="BQ89" i="278"/>
  <c r="BA89" i="278"/>
  <c r="BJ89" i="278"/>
  <c r="AZ77" i="278"/>
  <c r="I89" i="278"/>
  <c r="N89" i="278"/>
  <c r="S89" i="278"/>
  <c r="Y89" i="278"/>
  <c r="AD89" i="278"/>
  <c r="AY89" i="278"/>
  <c r="BE89" i="278"/>
  <c r="AS89" i="278"/>
  <c r="BC89" i="278"/>
  <c r="BG52" i="279"/>
  <c r="N41" i="279"/>
  <c r="BL9" i="279"/>
  <c r="BR11" i="279"/>
  <c r="BQ60" i="279"/>
  <c r="AH89" i="278"/>
  <c r="AS47" i="278"/>
  <c r="AS139" i="278"/>
  <c r="BE43" i="279"/>
  <c r="G52" i="279"/>
  <c r="N44" i="279"/>
  <c r="BF44" i="279"/>
  <c r="M53" i="279"/>
  <c r="AF62" i="278"/>
  <c r="R8" i="279"/>
  <c r="D18" i="279"/>
  <c r="N11" i="279"/>
  <c r="L19" i="279"/>
  <c r="BF15" i="279"/>
  <c r="BJ15" i="279"/>
  <c r="D26" i="279"/>
  <c r="BG26" i="279"/>
  <c r="BJ27" i="279"/>
  <c r="J29" i="279"/>
  <c r="BM34" i="279"/>
  <c r="N46" i="279"/>
  <c r="BM60" i="279"/>
  <c r="BN7" i="279"/>
  <c r="BQ13" i="279"/>
  <c r="BQ34" i="279"/>
  <c r="H9" i="279"/>
  <c r="BN27" i="279"/>
  <c r="BJ50" i="279"/>
  <c r="BM54" i="279"/>
  <c r="J6" i="279"/>
  <c r="BL26" i="279"/>
  <c r="K17" i="279"/>
  <c r="N16" i="279"/>
  <c r="BF16" i="279"/>
  <c r="L53" i="279"/>
  <c r="R49" i="279"/>
  <c r="BH69" i="279"/>
  <c r="BJ69" i="279"/>
  <c r="BQ70" i="279"/>
  <c r="BI30" i="279"/>
  <c r="BH68" i="279"/>
  <c r="BL60" i="279"/>
  <c r="K34" i="279"/>
  <c r="J27" i="279"/>
  <c r="BN29" i="279"/>
  <c r="J31" i="279"/>
  <c r="BD52" i="279"/>
  <c r="R42" i="279"/>
  <c r="BK51" i="279"/>
  <c r="BP26" i="279"/>
  <c r="BR67" i="279"/>
  <c r="BF40" i="279"/>
  <c r="BL43" i="279"/>
  <c r="BL52" i="279"/>
  <c r="K47" i="279"/>
  <c r="BM47" i="279"/>
  <c r="G54" i="279"/>
  <c r="Q54" i="279"/>
  <c r="BQ71" i="279"/>
  <c r="BD37" i="279"/>
  <c r="BF25" i="279"/>
  <c r="I30" i="279"/>
  <c r="K37" i="279"/>
  <c r="BH30" i="279"/>
  <c r="BG70" i="279"/>
  <c r="BJ70" i="279"/>
  <c r="BG60" i="279"/>
  <c r="J28" i="279"/>
  <c r="BJ58" i="279"/>
  <c r="BJ60" i="279"/>
  <c r="F25" i="279"/>
  <c r="K53" i="279"/>
  <c r="BI51" i="279"/>
  <c r="BJ49" i="279"/>
  <c r="BJ51" i="279"/>
  <c r="BP36" i="279"/>
  <c r="BR46" i="279"/>
  <c r="BQ47" i="279"/>
  <c r="BP71" i="279"/>
  <c r="BI72" i="279"/>
  <c r="BN28" i="279"/>
  <c r="BL30" i="279"/>
  <c r="P37" i="279"/>
  <c r="P30" i="279"/>
  <c r="O34" i="279"/>
  <c r="R27" i="279"/>
  <c r="BK35" i="279"/>
  <c r="J10" i="279"/>
  <c r="H13" i="279"/>
  <c r="BD18" i="279"/>
  <c r="BD13" i="279"/>
  <c r="I18" i="279"/>
  <c r="BG17" i="279"/>
  <c r="BL17" i="279"/>
  <c r="BL18" i="279"/>
  <c r="I52" i="279"/>
  <c r="O52" i="279"/>
  <c r="O43" i="279"/>
  <c r="P53" i="279"/>
  <c r="P43" i="279"/>
  <c r="R41" i="279"/>
  <c r="BF41" i="279"/>
  <c r="BH53" i="279"/>
  <c r="E53" i="279"/>
  <c r="F45" i="279"/>
  <c r="BF46" i="279"/>
  <c r="BR65" i="279"/>
  <c r="BR68" i="279"/>
  <c r="BP69" i="279"/>
  <c r="BR69" i="279"/>
  <c r="BP68" i="279"/>
  <c r="BQ18" i="279"/>
  <c r="BQ17" i="279"/>
  <c r="BO71" i="279"/>
  <c r="E30" i="279"/>
  <c r="I35" i="279"/>
  <c r="D54" i="279"/>
  <c r="F42" i="279"/>
  <c r="BK30" i="279"/>
  <c r="BE34" i="279"/>
  <c r="BF31" i="279"/>
  <c r="BC34" i="279"/>
  <c r="BF33" i="279"/>
  <c r="F41" i="279"/>
  <c r="C43" i="279"/>
  <c r="BN42" i="279"/>
  <c r="BK54" i="279"/>
  <c r="L47" i="279"/>
  <c r="BC47" i="279"/>
  <c r="BM9" i="279"/>
  <c r="BP31" i="278"/>
  <c r="BP13" i="279"/>
  <c r="BP35" i="279"/>
  <c r="BP43" i="279"/>
  <c r="BQ20" i="279"/>
  <c r="BR12" i="279"/>
  <c r="J12" i="279"/>
  <c r="BF12" i="279"/>
  <c r="BC17" i="279"/>
  <c r="BN14" i="279"/>
  <c r="BD19" i="279"/>
  <c r="N24" i="279"/>
  <c r="BC52" i="279"/>
  <c r="BD47" i="279"/>
  <c r="BQ68" i="279"/>
  <c r="O26" i="279"/>
  <c r="BE47" i="279"/>
  <c r="C47" i="279"/>
  <c r="BJ64" i="279"/>
  <c r="G13" i="279"/>
  <c r="F32" i="279"/>
  <c r="N32" i="279"/>
  <c r="I34" i="279"/>
  <c r="BL34" i="279"/>
  <c r="M54" i="279"/>
  <c r="BI54" i="279"/>
  <c r="BR29" i="279"/>
  <c r="K18" i="279"/>
  <c r="C34" i="279"/>
  <c r="N45" i="279"/>
  <c r="M47" i="279"/>
  <c r="BF45" i="279"/>
  <c r="BE53" i="279"/>
  <c r="F46" i="279"/>
  <c r="D47" i="279"/>
  <c r="O54" i="279"/>
  <c r="R46" i="279"/>
  <c r="O47" i="279"/>
  <c r="BG47" i="279"/>
  <c r="BJ46" i="279"/>
  <c r="BM64" i="279"/>
  <c r="BN62" i="279"/>
  <c r="BN64" i="279"/>
  <c r="BL19" i="279"/>
  <c r="BL13" i="279"/>
  <c r="BH37" i="279"/>
  <c r="BM37" i="279"/>
  <c r="C35" i="279"/>
  <c r="F27" i="279"/>
  <c r="N31" i="279"/>
  <c r="M34" i="279"/>
  <c r="M35" i="279"/>
  <c r="BI35" i="279"/>
  <c r="H36" i="279"/>
  <c r="BF32" i="279"/>
  <c r="BK36" i="279"/>
  <c r="BN32" i="279"/>
  <c r="F33" i="279"/>
  <c r="I37" i="279"/>
  <c r="BJ33" i="279"/>
  <c r="D43" i="279"/>
  <c r="D52" i="279"/>
  <c r="M43" i="279"/>
  <c r="M52" i="279"/>
  <c r="N40" i="279"/>
  <c r="BG53" i="279"/>
  <c r="BG43" i="279"/>
  <c r="BJ41" i="279"/>
  <c r="J42" i="279"/>
  <c r="BL37" i="279"/>
  <c r="D19" i="279"/>
  <c r="D9" i="279"/>
  <c r="M19" i="279"/>
  <c r="N7" i="279"/>
  <c r="G20" i="279"/>
  <c r="BC20" i="279"/>
  <c r="BM19" i="279"/>
  <c r="R16" i="279"/>
  <c r="Q20" i="279"/>
  <c r="BI20" i="279"/>
  <c r="BI76" i="279"/>
  <c r="BJ16" i="279"/>
  <c r="BF24" i="279"/>
  <c r="BD26" i="279"/>
  <c r="BM17" i="279"/>
  <c r="J8" i="279"/>
  <c r="BN33" i="279"/>
  <c r="BR10" i="279"/>
  <c r="BO18" i="279"/>
  <c r="BO35" i="279"/>
  <c r="BR32" i="279"/>
  <c r="BO43" i="279"/>
  <c r="BR40" i="279"/>
  <c r="BR42" i="279"/>
  <c r="BO53" i="279"/>
  <c r="BO9" i="279"/>
  <c r="BO26" i="279"/>
  <c r="BG20" i="279"/>
  <c r="BG9" i="279"/>
  <c r="BJ8" i="279"/>
  <c r="BC18" i="279"/>
  <c r="BM36" i="279"/>
  <c r="BM26" i="279"/>
  <c r="BM70" i="279"/>
  <c r="BN11" i="279"/>
  <c r="C13" i="279"/>
  <c r="F11" i="279"/>
  <c r="D36" i="279"/>
  <c r="R28" i="279"/>
  <c r="O36" i="279"/>
  <c r="BG36" i="279"/>
  <c r="BJ28" i="279"/>
  <c r="BC37" i="279"/>
  <c r="BF29" i="279"/>
  <c r="C53" i="279"/>
  <c r="BQ52" i="279"/>
  <c r="BQ43" i="279"/>
  <c r="I26" i="279"/>
  <c r="I36" i="279"/>
  <c r="E37" i="279"/>
  <c r="BG54" i="279"/>
  <c r="BV78" i="274"/>
  <c r="BU24" i="98"/>
  <c r="BU78" i="274"/>
  <c r="BS33" i="98"/>
  <c r="BT24" i="98"/>
  <c r="BT31" i="98"/>
  <c r="BS21" i="98"/>
  <c r="BS13" i="98"/>
  <c r="BV40" i="274"/>
  <c r="BW39" i="274"/>
  <c r="BV13" i="98"/>
  <c r="BV36" i="98"/>
  <c r="BW30" i="274"/>
  <c r="BU34" i="98"/>
  <c r="BV26" i="98"/>
  <c r="BV28" i="98"/>
  <c r="BT32" i="98"/>
  <c r="BW85" i="274"/>
  <c r="BV27" i="98"/>
  <c r="BU29" i="98"/>
  <c r="BV18" i="98"/>
  <c r="BV16" i="98"/>
  <c r="BW69" i="274"/>
  <c r="BT33" i="98"/>
  <c r="BW50" i="274"/>
  <c r="BV17" i="98"/>
  <c r="BU14" i="98"/>
  <c r="BW78" i="274"/>
  <c r="BV23" i="98"/>
  <c r="BV24" i="98"/>
  <c r="BU32" i="98"/>
  <c r="BV6" i="98"/>
  <c r="BU35" i="98"/>
  <c r="BU31" i="98"/>
  <c r="BV12" i="98"/>
  <c r="BV35" i="98"/>
  <c r="BW99" i="274"/>
  <c r="BW15" i="274"/>
  <c r="BW20" i="274"/>
  <c r="BV7" i="98"/>
  <c r="BS9" i="98"/>
  <c r="BU9" i="98"/>
  <c r="V19" i="233"/>
  <c r="N28" i="233"/>
  <c r="V27" i="233"/>
  <c r="BA77" i="279"/>
  <c r="W77" i="279"/>
  <c r="X77" i="279"/>
  <c r="U77" i="279"/>
  <c r="AZ77" i="279"/>
  <c r="AX74" i="279"/>
  <c r="BB55" i="279"/>
  <c r="AB77" i="279"/>
  <c r="AX76" i="279"/>
  <c r="AY77" i="279"/>
  <c r="BB21" i="279"/>
  <c r="BB75" i="279"/>
  <c r="BL38" i="279"/>
  <c r="BV33" i="98"/>
  <c r="BS31" i="98"/>
  <c r="BS14" i="98"/>
  <c r="BS36" i="98"/>
  <c r="BV14" i="98"/>
  <c r="V37" i="253"/>
  <c r="I9" i="253"/>
  <c r="K31" i="253"/>
  <c r="S31" i="253"/>
  <c r="J9" i="253"/>
  <c r="I29" i="253"/>
  <c r="Q31" i="253"/>
  <c r="Q37" i="253"/>
  <c r="V32" i="253"/>
  <c r="T14" i="253"/>
  <c r="Q32" i="253"/>
  <c r="M31" i="253"/>
  <c r="M37" i="253"/>
  <c r="V19" i="253"/>
  <c r="W19" i="253"/>
  <c r="I37" i="253"/>
  <c r="N27" i="294"/>
  <c r="AK6" i="336"/>
  <c r="G6" i="336" s="1"/>
  <c r="AO8" i="336"/>
  <c r="AS13" i="336"/>
  <c r="I90" i="336" s="1"/>
  <c r="AC22" i="336"/>
  <c r="AC17" i="336"/>
  <c r="E94" i="336" s="1"/>
  <c r="AC12" i="336"/>
  <c r="E89" i="336" s="1"/>
  <c r="AC7" i="336"/>
  <c r="E84" i="336" s="1"/>
  <c r="AG23" i="336"/>
  <c r="AG18" i="336"/>
  <c r="F95" i="336" s="1"/>
  <c r="AK14" i="336"/>
  <c r="G14" i="336" s="1"/>
  <c r="U7" i="336"/>
  <c r="C84" i="336" s="1"/>
  <c r="Y17" i="336"/>
  <c r="D17" i="336" s="1"/>
  <c r="Y12" i="336"/>
  <c r="D12" i="336" s="1"/>
  <c r="Y7" i="336"/>
  <c r="D7" i="336" s="1"/>
  <c r="H8" i="336"/>
  <c r="H85" i="336"/>
  <c r="E150" i="336"/>
  <c r="D94" i="336"/>
  <c r="BI7" i="336"/>
  <c r="M7" i="336" s="1"/>
  <c r="D149" i="336"/>
  <c r="AC128" i="295"/>
  <c r="W140" i="295"/>
  <c r="V146" i="295"/>
  <c r="T143" i="295"/>
  <c r="AC141" i="295"/>
  <c r="N145" i="295"/>
  <c r="N123" i="295"/>
  <c r="E118" i="295"/>
  <c r="J141" i="295"/>
  <c r="E135" i="295"/>
  <c r="AF143" i="295"/>
  <c r="Z33" i="295"/>
  <c r="I123" i="295"/>
  <c r="AA140" i="295"/>
  <c r="AC37" i="295"/>
  <c r="E75" i="295"/>
  <c r="W34" i="295"/>
  <c r="AE37" i="295"/>
  <c r="T122" i="295"/>
  <c r="T123" i="295"/>
  <c r="AF32" i="295"/>
  <c r="Q116" i="295"/>
  <c r="K125" i="295"/>
  <c r="E126" i="295"/>
  <c r="E141" i="295"/>
  <c r="Z67" i="295"/>
  <c r="AF69" i="295"/>
  <c r="Q73" i="295"/>
  <c r="AC85" i="295"/>
  <c r="C140" i="295"/>
  <c r="AB141" i="295"/>
  <c r="AB146" i="295"/>
  <c r="D128" i="295"/>
  <c r="L128" i="295"/>
  <c r="AD142" i="295"/>
  <c r="AF142" i="295"/>
  <c r="V138" i="295"/>
  <c r="AI70" i="295"/>
  <c r="Z140" i="295"/>
  <c r="W141" i="295"/>
  <c r="T69" i="295"/>
  <c r="H123" i="295"/>
  <c r="P133" i="295"/>
  <c r="L75" i="295"/>
  <c r="G118" i="295"/>
  <c r="K85" i="295"/>
  <c r="AC32" i="295"/>
  <c r="S37" i="295"/>
  <c r="T37" i="295"/>
  <c r="E102" i="295"/>
  <c r="AC102" i="295"/>
  <c r="W103" i="295"/>
  <c r="AD141" i="295"/>
  <c r="AE143" i="295"/>
  <c r="AE128" i="295"/>
  <c r="AF128" i="295"/>
  <c r="V133" i="295"/>
  <c r="H57" i="295"/>
  <c r="K105" i="295"/>
  <c r="AF37" i="295"/>
  <c r="N108" i="295"/>
  <c r="U123" i="295"/>
  <c r="K118" i="295"/>
  <c r="T116" i="295"/>
  <c r="AC9" i="295"/>
  <c r="AC125" i="295"/>
  <c r="W127" i="295"/>
  <c r="E115" i="295"/>
  <c r="E140" i="295"/>
  <c r="F140" i="295"/>
  <c r="U141" i="295"/>
  <c r="U146" i="295"/>
  <c r="W143" i="295"/>
  <c r="C123" i="295"/>
  <c r="J123" i="295"/>
  <c r="V123" i="295"/>
  <c r="U128" i="295"/>
  <c r="F142" i="295"/>
  <c r="R142" i="295"/>
  <c r="T142" i="295"/>
  <c r="AI117" i="295"/>
  <c r="AI9" i="295"/>
  <c r="M140" i="295"/>
  <c r="Y118" i="295"/>
  <c r="Q117" i="295"/>
  <c r="Q143" i="295"/>
  <c r="K135" i="295"/>
  <c r="G138" i="295"/>
  <c r="X75" i="295"/>
  <c r="G108" i="295"/>
  <c r="S140" i="295"/>
  <c r="AE140" i="295"/>
  <c r="AE146" i="295"/>
  <c r="V143" i="295"/>
  <c r="L123" i="295"/>
  <c r="AG37" i="295"/>
  <c r="H69" i="295"/>
  <c r="AF140" i="295"/>
  <c r="AF120" i="295"/>
  <c r="C146" i="295"/>
  <c r="H143" i="295"/>
  <c r="Z136" i="295"/>
  <c r="K137" i="295"/>
  <c r="K143" i="295"/>
  <c r="G146" i="295"/>
  <c r="AF121" i="295"/>
  <c r="K67" i="295"/>
  <c r="K138" i="295"/>
  <c r="T115" i="295"/>
  <c r="AC127" i="295"/>
  <c r="Z105" i="295"/>
  <c r="H104" i="295"/>
  <c r="H108" i="295"/>
  <c r="AB128" i="295"/>
  <c r="I142" i="295"/>
  <c r="I146" i="295"/>
  <c r="AD133" i="295"/>
  <c r="AF133" i="295"/>
  <c r="AH138" i="295"/>
  <c r="AI138" i="295"/>
  <c r="AI125" i="295"/>
  <c r="AL72" i="295"/>
  <c r="AL75" i="295"/>
  <c r="N141" i="295"/>
  <c r="Q135" i="295"/>
  <c r="J138" i="295"/>
  <c r="K103" i="295"/>
  <c r="Y141" i="295"/>
  <c r="Z141" i="295"/>
  <c r="AI103" i="295"/>
  <c r="AH108" i="295"/>
  <c r="T141" i="295"/>
  <c r="N75" i="295"/>
  <c r="W75" i="295"/>
  <c r="W47" i="295"/>
  <c r="W52" i="295"/>
  <c r="Q69" i="295"/>
  <c r="V108" i="295"/>
  <c r="W108" i="295"/>
  <c r="AI143" i="295"/>
  <c r="AI14" i="295"/>
  <c r="AH37" i="295"/>
  <c r="AI47" i="295"/>
  <c r="AI57" i="295"/>
  <c r="AI74" i="295"/>
  <c r="AI131" i="295"/>
  <c r="T138" i="295"/>
  <c r="Q141" i="295"/>
  <c r="Q146" i="295"/>
  <c r="W136" i="295"/>
  <c r="W138" i="295"/>
  <c r="AK140" i="295"/>
  <c r="AG128" i="295"/>
  <c r="AI128" i="295"/>
  <c r="AI120" i="295"/>
  <c r="AL120" i="295"/>
  <c r="N128" i="295"/>
  <c r="W126" i="295"/>
  <c r="W135" i="295"/>
  <c r="N74" i="295"/>
  <c r="AI116" i="295"/>
  <c r="AK145" i="295"/>
  <c r="AG123" i="295"/>
  <c r="AL117" i="295"/>
  <c r="AI141" i="295"/>
  <c r="AW24" i="337"/>
  <c r="AX21" i="337"/>
  <c r="BF22" i="337"/>
  <c r="BB24" i="337"/>
  <c r="BB66" i="337"/>
  <c r="BB16" i="337"/>
  <c r="BC19" i="337"/>
  <c r="BF13" i="337"/>
  <c r="F161" i="336"/>
  <c r="D89" i="336"/>
  <c r="BQ6" i="336"/>
  <c r="O83" i="336" s="1"/>
  <c r="AS21" i="336"/>
  <c r="BI22" i="336"/>
  <c r="M22" i="336" s="1"/>
  <c r="AO6" i="336"/>
  <c r="BM34" i="277"/>
  <c r="BJ45" i="277"/>
  <c r="M64" i="277"/>
  <c r="I53" i="277"/>
  <c r="BM53" i="277"/>
  <c r="E69" i="277"/>
  <c r="K64" i="277"/>
  <c r="BK71" i="277"/>
  <c r="K17" i="277"/>
  <c r="L60" i="277"/>
  <c r="BL70" i="277"/>
  <c r="E64" i="277"/>
  <c r="BT64" i="277"/>
  <c r="O9" i="277"/>
  <c r="BF66" i="277"/>
  <c r="BF68" i="277" s="1"/>
  <c r="BJ26" i="277"/>
  <c r="C54" i="277"/>
  <c r="F44" i="277"/>
  <c r="BG20" i="277"/>
  <c r="D9" i="277"/>
  <c r="BH37" i="277"/>
  <c r="BH38" i="277" s="1"/>
  <c r="BJ38" i="277" s="1"/>
  <c r="L20" i="277"/>
  <c r="BL43" i="277"/>
  <c r="E52" i="277"/>
  <c r="E53" i="277"/>
  <c r="I51" i="277"/>
  <c r="O69" i="277"/>
  <c r="BL69" i="277"/>
  <c r="H70" i="277"/>
  <c r="BL64" i="277"/>
  <c r="BR63" i="277"/>
  <c r="BN45" i="277"/>
  <c r="C9" i="277"/>
  <c r="F9" i="277" s="1"/>
  <c r="F8" i="277"/>
  <c r="J48" i="277"/>
  <c r="BN62" i="277"/>
  <c r="R67" i="277"/>
  <c r="BO51" i="277"/>
  <c r="BQ69" i="277"/>
  <c r="BP34" i="277"/>
  <c r="BJ25" i="277"/>
  <c r="BQ36" i="277"/>
  <c r="BR42" i="277"/>
  <c r="BQ68" i="277"/>
  <c r="BN44" i="277"/>
  <c r="BI18" i="277"/>
  <c r="H19" i="277"/>
  <c r="L51" i="277"/>
  <c r="P68" i="277"/>
  <c r="BK68" i="277"/>
  <c r="I54" i="277"/>
  <c r="BN63" i="277"/>
  <c r="M60" i="277"/>
  <c r="BF28" i="277"/>
  <c r="BJ107" i="276"/>
  <c r="BL126" i="276"/>
  <c r="BP126" i="276"/>
  <c r="AV141" i="276"/>
  <c r="AA147" i="276"/>
  <c r="BC147" i="276"/>
  <c r="BC9" i="277"/>
  <c r="BF8" i="277"/>
  <c r="BN11" i="277"/>
  <c r="J14" i="277"/>
  <c r="F15" i="277"/>
  <c r="N42" i="277"/>
  <c r="N44" i="277"/>
  <c r="J46" i="277"/>
  <c r="R49" i="277"/>
  <c r="F57" i="277"/>
  <c r="R57" i="277"/>
  <c r="N58" i="277"/>
  <c r="BN59" i="277"/>
  <c r="BJ67" i="277"/>
  <c r="BR45" i="277"/>
  <c r="BP69" i="277"/>
  <c r="BR51" i="276"/>
  <c r="BR15" i="277"/>
  <c r="BU34" i="277"/>
  <c r="BE36" i="277"/>
  <c r="BG51" i="277"/>
  <c r="BI17" i="277"/>
  <c r="BJ17" i="277" s="1"/>
  <c r="AY107" i="276"/>
  <c r="AJ95" i="276"/>
  <c r="BH95" i="276"/>
  <c r="AN95" i="276"/>
  <c r="S107" i="276"/>
  <c r="BQ34" i="277"/>
  <c r="AB15" i="276"/>
  <c r="AF15" i="276"/>
  <c r="AZ32" i="276"/>
  <c r="AN32" i="276"/>
  <c r="I51" i="276"/>
  <c r="S51" i="276"/>
  <c r="AN79" i="276"/>
  <c r="AZ79" i="276"/>
  <c r="AF79" i="276"/>
  <c r="BO47" i="277"/>
  <c r="BU147" i="276"/>
  <c r="R9" i="277"/>
  <c r="BJ46" i="277"/>
  <c r="BB147" i="276"/>
  <c r="G18" i="277"/>
  <c r="Q18" i="277"/>
  <c r="L13" i="277"/>
  <c r="M17" i="277"/>
  <c r="BI34" i="277"/>
  <c r="F50" i="277"/>
  <c r="K47" i="277"/>
  <c r="BJ62" i="276"/>
  <c r="I13" i="277"/>
  <c r="BI53" i="277"/>
  <c r="BN50" i="277"/>
  <c r="J58" i="277"/>
  <c r="N59" i="277"/>
  <c r="J66" i="277"/>
  <c r="BW62" i="276"/>
  <c r="K53" i="277"/>
  <c r="BH54" i="277"/>
  <c r="BO69" i="277"/>
  <c r="BQ71" i="277"/>
  <c r="BS69" i="277"/>
  <c r="BO17" i="277"/>
  <c r="BT47" i="277"/>
  <c r="BK37" i="277"/>
  <c r="D60" i="277"/>
  <c r="O60" i="277"/>
  <c r="R60" i="277" s="1"/>
  <c r="D69" i="277"/>
  <c r="J62" i="277"/>
  <c r="D68" i="277"/>
  <c r="BU71" i="277"/>
  <c r="F58" i="277"/>
  <c r="AZ71" i="263"/>
  <c r="AP7" i="263"/>
  <c r="AQ69" i="263"/>
  <c r="AQ74" i="263"/>
  <c r="AT61" i="263"/>
  <c r="AW43" i="263"/>
  <c r="AM20" i="263"/>
  <c r="AY9" i="263"/>
  <c r="AZ26" i="263"/>
  <c r="AY36" i="263"/>
  <c r="AZ20" i="263"/>
  <c r="F62" i="263"/>
  <c r="AS20" i="263"/>
  <c r="BA54" i="263"/>
  <c r="BB59" i="263"/>
  <c r="BB67" i="263"/>
  <c r="AP47" i="263"/>
  <c r="F49" i="263"/>
  <c r="AT50" i="263"/>
  <c r="E52" i="263"/>
  <c r="E74" i="263"/>
  <c r="AS51" i="263"/>
  <c r="E60" i="263"/>
  <c r="AM13" i="263"/>
  <c r="AO64" i="263"/>
  <c r="AV64" i="263"/>
  <c r="AS68" i="263"/>
  <c r="BD68" i="263"/>
  <c r="AM21" i="263"/>
  <c r="AW9" i="263"/>
  <c r="AU19" i="263"/>
  <c r="AW36" i="263"/>
  <c r="AO54" i="263"/>
  <c r="AO60" i="263"/>
  <c r="E70" i="263"/>
  <c r="AY43" i="263"/>
  <c r="AY47" i="263"/>
  <c r="AZ51" i="263"/>
  <c r="AY64" i="263"/>
  <c r="AN19" i="263"/>
  <c r="AN21" i="263"/>
  <c r="BH32" i="273"/>
  <c r="AT24" i="263"/>
  <c r="AX35" i="263"/>
  <c r="AR64" i="263"/>
  <c r="BA26" i="263"/>
  <c r="BB26" i="263"/>
  <c r="AM9" i="263"/>
  <c r="AT7" i="263"/>
  <c r="AN9" i="263"/>
  <c r="AP9" i="263"/>
  <c r="AX11" i="263"/>
  <c r="AP12" i="263"/>
  <c r="AX46" i="263"/>
  <c r="C51" i="263"/>
  <c r="F54" i="263"/>
  <c r="AT57" i="263"/>
  <c r="AZ19" i="263"/>
  <c r="AZ47" i="263"/>
  <c r="BB48" i="263"/>
  <c r="BB52" i="263"/>
  <c r="BB24" i="263"/>
  <c r="BA18" i="263"/>
  <c r="AW34" i="263"/>
  <c r="AN70" i="263"/>
  <c r="AN72" i="263"/>
  <c r="BB66" i="263"/>
  <c r="AU13" i="263"/>
  <c r="AT25" i="263"/>
  <c r="AU54" i="263"/>
  <c r="AR70" i="263"/>
  <c r="AV71" i="263"/>
  <c r="AZ34" i="263"/>
  <c r="AQ9" i="263"/>
  <c r="AX31" i="263"/>
  <c r="AP59" i="263"/>
  <c r="AT67" i="263"/>
  <c r="AT53" i="263"/>
  <c r="X32" i="273"/>
  <c r="AH136" i="273"/>
  <c r="AH96" i="273"/>
  <c r="AU147" i="273"/>
  <c r="AC51" i="273"/>
  <c r="P50" i="273"/>
  <c r="AN68" i="273"/>
  <c r="AN96" i="273"/>
  <c r="AZ139" i="273"/>
  <c r="AZ147" i="273"/>
  <c r="AQ13" i="263"/>
  <c r="AN135" i="273"/>
  <c r="AN139" i="273"/>
  <c r="AN147" i="273"/>
  <c r="L32" i="273"/>
  <c r="L51" i="273"/>
  <c r="AZ130" i="273"/>
  <c r="AN15" i="273"/>
  <c r="AY51" i="273"/>
  <c r="AX51" i="273"/>
  <c r="AW96" i="273"/>
  <c r="AJ84" i="273"/>
  <c r="AP96" i="273"/>
  <c r="H95" i="273"/>
  <c r="AV95" i="273"/>
  <c r="P95" i="273"/>
  <c r="P96" i="273"/>
  <c r="R96" i="273"/>
  <c r="AD96" i="273"/>
  <c r="AU96" i="273"/>
  <c r="P115" i="273"/>
  <c r="I136" i="273"/>
  <c r="BA52" i="263"/>
  <c r="AW47" i="263"/>
  <c r="BD130" i="273"/>
  <c r="AF135" i="273"/>
  <c r="P130" i="273"/>
  <c r="X130" i="273"/>
  <c r="AR115" i="273"/>
  <c r="P69" i="277"/>
  <c r="R69" i="277" s="1"/>
  <c r="C60" i="277"/>
  <c r="BM43" i="277"/>
  <c r="F61" i="277"/>
  <c r="BP37" i="277"/>
  <c r="N61" i="277"/>
  <c r="M69" i="277"/>
  <c r="M72" i="277" s="1"/>
  <c r="N41" i="277"/>
  <c r="J11" i="277"/>
  <c r="O68" i="277"/>
  <c r="BC54" i="277"/>
  <c r="C69" i="277"/>
  <c r="K70" i="277"/>
  <c r="W51" i="276"/>
  <c r="U51" i="276"/>
  <c r="J147" i="276"/>
  <c r="BP9" i="277"/>
  <c r="BR49" i="277"/>
  <c r="BP17" i="277"/>
  <c r="BV63" i="277"/>
  <c r="H17" i="277"/>
  <c r="L47" i="277"/>
  <c r="BE20" i="277"/>
  <c r="BH52" i="277"/>
  <c r="C20" i="277"/>
  <c r="C76" i="277" s="1"/>
  <c r="E107" i="276"/>
  <c r="BU36" i="277"/>
  <c r="BS43" i="277"/>
  <c r="BU51" i="277"/>
  <c r="BS64" i="277"/>
  <c r="BE13" i="277"/>
  <c r="BR61" i="277"/>
  <c r="I47" i="277"/>
  <c r="F67" i="277"/>
  <c r="L9" i="277"/>
  <c r="L54" i="277"/>
  <c r="BL13" i="277"/>
  <c r="F16" i="277"/>
  <c r="G52" i="277"/>
  <c r="P60" i="277"/>
  <c r="BK70" i="277"/>
  <c r="BF10" i="277"/>
  <c r="BF18" i="277" s="1"/>
  <c r="BP19" i="277"/>
  <c r="BI30" i="277"/>
  <c r="BJ30" i="277" s="1"/>
  <c r="AQ147" i="276"/>
  <c r="BF33" i="277"/>
  <c r="K54" i="277"/>
  <c r="K55" i="277" s="1"/>
  <c r="BE107" i="276"/>
  <c r="BN51" i="276"/>
  <c r="BN149" i="276" s="1"/>
  <c r="BQ107" i="276"/>
  <c r="BO53" i="277"/>
  <c r="AR146" i="276"/>
  <c r="BS147" i="276"/>
  <c r="C18" i="277"/>
  <c r="O20" i="277"/>
  <c r="BD53" i="277"/>
  <c r="O54" i="277"/>
  <c r="BM47" i="277"/>
  <c r="BB61" i="263"/>
  <c r="AU47" i="263"/>
  <c r="AT63" i="263"/>
  <c r="AX8" i="263"/>
  <c r="L115" i="273"/>
  <c r="AZ136" i="273"/>
  <c r="BA71" i="263"/>
  <c r="AZ18" i="263"/>
  <c r="AW69" i="263"/>
  <c r="AX69" i="263"/>
  <c r="D64" i="263"/>
  <c r="AU70" i="263"/>
  <c r="AO71" i="263"/>
  <c r="AV68" i="273"/>
  <c r="AZ84" i="273"/>
  <c r="AB115" i="273"/>
  <c r="AB136" i="273"/>
  <c r="BD147" i="273"/>
  <c r="BA51" i="263"/>
  <c r="F44" i="263"/>
  <c r="AS9" i="263"/>
  <c r="AS34" i="263"/>
  <c r="AP67" i="263"/>
  <c r="AZ43" i="263"/>
  <c r="AP147" i="273"/>
  <c r="AX25" i="263"/>
  <c r="F45" i="263"/>
  <c r="F47" i="263"/>
  <c r="BA19" i="263"/>
  <c r="BB41" i="263"/>
  <c r="BB45" i="263"/>
  <c r="BB47" i="263"/>
  <c r="BD50" i="273"/>
  <c r="AX61" i="263"/>
  <c r="AZ13" i="263"/>
  <c r="BB7" i="263"/>
  <c r="AZ17" i="263"/>
  <c r="AJ32" i="273"/>
  <c r="N51" i="273"/>
  <c r="AL96" i="273"/>
  <c r="AY136" i="273"/>
  <c r="BA51" i="273"/>
  <c r="BA149" i="273"/>
  <c r="BB25" i="263"/>
  <c r="BB31" i="263"/>
  <c r="E53" i="263"/>
  <c r="E55" i="263"/>
  <c r="AX44" i="263"/>
  <c r="AJ50" i="273"/>
  <c r="AJ51" i="273"/>
  <c r="Q51" i="273"/>
  <c r="AJ115" i="273"/>
  <c r="BF96" i="273"/>
  <c r="BE147" i="273"/>
  <c r="BH146" i="273"/>
  <c r="BA34" i="263"/>
  <c r="AS36" i="263"/>
  <c r="BB57" i="263"/>
  <c r="AT48" i="263"/>
  <c r="AT52" i="263"/>
  <c r="BA64" i="263"/>
  <c r="X136" i="273"/>
  <c r="BC96" i="273"/>
  <c r="BC149" i="273"/>
  <c r="AS26" i="263"/>
  <c r="AT26" i="263"/>
  <c r="AX7" i="263"/>
  <c r="AX19" i="263"/>
  <c r="AU43" i="263"/>
  <c r="BB14" i="263"/>
  <c r="BB18" i="263"/>
  <c r="AV15" i="273"/>
  <c r="AV51" i="273"/>
  <c r="AW51" i="273"/>
  <c r="AW149" i="273"/>
  <c r="W51" i="273"/>
  <c r="AM51" i="273"/>
  <c r="G136" i="273"/>
  <c r="BB63" i="263"/>
  <c r="N96" i="273"/>
  <c r="V96" i="273"/>
  <c r="AW18" i="263"/>
  <c r="AT31" i="263"/>
  <c r="AW20" i="263"/>
  <c r="AB51" i="273"/>
  <c r="D71" i="263"/>
  <c r="D76" i="263"/>
  <c r="F76" i="263"/>
  <c r="AK51" i="273"/>
  <c r="AK149" i="273"/>
  <c r="AF68" i="273"/>
  <c r="AF96" i="273"/>
  <c r="AN130" i="273"/>
  <c r="BH95" i="273"/>
  <c r="AX48" i="263"/>
  <c r="AX10" i="263"/>
  <c r="AT11" i="263"/>
  <c r="AX32" i="263"/>
  <c r="AX33" i="263"/>
  <c r="AX42" i="263"/>
  <c r="AX45" i="263"/>
  <c r="AX47" i="263"/>
  <c r="AX49" i="263"/>
  <c r="AP57" i="263"/>
  <c r="AT58" i="263"/>
  <c r="AX59" i="263"/>
  <c r="AV37" i="263"/>
  <c r="AZ15" i="273"/>
  <c r="T15" i="273"/>
  <c r="AR84" i="273"/>
  <c r="AV20" i="263"/>
  <c r="AR54" i="263"/>
  <c r="AR55" i="263"/>
  <c r="AW51" i="263"/>
  <c r="F58" i="263"/>
  <c r="F60" i="263"/>
  <c r="AB68" i="273"/>
  <c r="AB96" i="273"/>
  <c r="BD15" i="273"/>
  <c r="BD51" i="273"/>
  <c r="BD32" i="273"/>
  <c r="BD68" i="273"/>
  <c r="BD84" i="273"/>
  <c r="AX52" i="263"/>
  <c r="E71" i="263"/>
  <c r="E76" i="263"/>
  <c r="AS71" i="263"/>
  <c r="AT71" i="263"/>
  <c r="BA60" i="263"/>
  <c r="AQ34" i="263"/>
  <c r="BD38" i="277"/>
  <c r="BM52" i="277"/>
  <c r="BN52" i="277" s="1"/>
  <c r="L53" i="277"/>
  <c r="D70" i="277"/>
  <c r="O70" i="277"/>
  <c r="C19" i="277"/>
  <c r="Q20" i="277"/>
  <c r="R20" i="277" s="1"/>
  <c r="BF42" i="263"/>
  <c r="BB8" i="263"/>
  <c r="AP62" i="263"/>
  <c r="AX28" i="263"/>
  <c r="AX30" i="263"/>
  <c r="AY20" i="263"/>
  <c r="AW13" i="263"/>
  <c r="AV34" i="263"/>
  <c r="AU9" i="263"/>
  <c r="AX9" i="263"/>
  <c r="AU52" i="263"/>
  <c r="BD64" i="263"/>
  <c r="BC68" i="263"/>
  <c r="AM51" i="263"/>
  <c r="AW37" i="263"/>
  <c r="AY70" i="263"/>
  <c r="AX41" i="263"/>
  <c r="AY53" i="263"/>
  <c r="AU34" i="263"/>
  <c r="AT10" i="263"/>
  <c r="AT18" i="263"/>
  <c r="AO20" i="263"/>
  <c r="AM60" i="263"/>
  <c r="AP60" i="263"/>
  <c r="AQ71" i="263"/>
  <c r="BA13" i="263"/>
  <c r="AY34" i="263"/>
  <c r="BA47" i="263"/>
  <c r="AV70" i="263"/>
  <c r="AV53" i="263"/>
  <c r="AU37" i="263"/>
  <c r="AY68" i="263"/>
  <c r="AU36" i="263"/>
  <c r="F63" i="263"/>
  <c r="F64" i="263"/>
  <c r="AU51" i="263"/>
  <c r="AP10" i="263"/>
  <c r="AP18" i="263"/>
  <c r="AT46" i="263"/>
  <c r="AT47" i="263"/>
  <c r="AV51" i="263"/>
  <c r="BA53" i="263"/>
  <c r="BA75" i="263"/>
  <c r="AR13" i="263"/>
  <c r="AR19" i="263"/>
  <c r="AR21" i="263"/>
  <c r="AX66" i="263"/>
  <c r="AU20" i="263"/>
  <c r="AP50" i="263"/>
  <c r="AP54" i="263"/>
  <c r="E64" i="263"/>
  <c r="AZ37" i="263"/>
  <c r="AZ76" i="263"/>
  <c r="BB11" i="263"/>
  <c r="AX12" i="263"/>
  <c r="AX24" i="263"/>
  <c r="AX50" i="263"/>
  <c r="AX54" i="263"/>
  <c r="AP19" i="263"/>
  <c r="AP49" i="263"/>
  <c r="AP53" i="263"/>
  <c r="AX58" i="263"/>
  <c r="AS70" i="263"/>
  <c r="AM64" i="263"/>
  <c r="AP64" i="263"/>
  <c r="AW71" i="263"/>
  <c r="AP66" i="263"/>
  <c r="AU71" i="263"/>
  <c r="AY13" i="263"/>
  <c r="AY54" i="263"/>
  <c r="BE20" i="263"/>
  <c r="AR68" i="263"/>
  <c r="AZ52" i="263"/>
  <c r="AZ74" i="263"/>
  <c r="BE34" i="263"/>
  <c r="BF10" i="263"/>
  <c r="BE17" i="263"/>
  <c r="BF41" i="263"/>
  <c r="BD51" i="263"/>
  <c r="BF61" i="263"/>
  <c r="BO54" i="277"/>
  <c r="E68" i="277"/>
  <c r="L52" i="277"/>
  <c r="BO70" i="277"/>
  <c r="BQ53" i="277"/>
  <c r="BJ7" i="277"/>
  <c r="J59" i="277"/>
  <c r="BP54" i="277"/>
  <c r="BK36" i="277"/>
  <c r="BL37" i="277"/>
  <c r="H9" i="277"/>
  <c r="BK18" i="277"/>
  <c r="J8" i="277"/>
  <c r="BL20" i="277"/>
  <c r="N11" i="277"/>
  <c r="BF11" i="277"/>
  <c r="BM13" i="277"/>
  <c r="D17" i="277"/>
  <c r="BN14" i="277"/>
  <c r="BN25" i="277"/>
  <c r="F45" i="277"/>
  <c r="BF46" i="277"/>
  <c r="N48" i="277"/>
  <c r="N49" i="277"/>
  <c r="R62" i="277"/>
  <c r="R43" i="277"/>
  <c r="BR58" i="277"/>
  <c r="BI36" i="277"/>
  <c r="O17" i="277"/>
  <c r="Q53" i="277"/>
  <c r="BJ32" i="277"/>
  <c r="BO64" i="277"/>
  <c r="BI37" i="277"/>
  <c r="BI38" i="277"/>
  <c r="D64" i="277"/>
  <c r="F64" i="277" s="1"/>
  <c r="BN48" i="277"/>
  <c r="F12" i="277"/>
  <c r="BM51" i="277"/>
  <c r="BK60" i="277"/>
  <c r="C17" i="277"/>
  <c r="BR10" i="277"/>
  <c r="BD34" i="277"/>
  <c r="BM54" i="277"/>
  <c r="R6" i="277"/>
  <c r="O64" i="277"/>
  <c r="BC19" i="277"/>
  <c r="BD47" i="277"/>
  <c r="BF47" i="277"/>
  <c r="E51" i="277"/>
  <c r="BI54" i="277"/>
  <c r="D71" i="277"/>
  <c r="BP18" i="277"/>
  <c r="BP70" i="277"/>
  <c r="BN58" i="277"/>
  <c r="BN70" i="277" s="1"/>
  <c r="BC51" i="277"/>
  <c r="Q52" i="277"/>
  <c r="BH43" i="277"/>
  <c r="G9" i="277"/>
  <c r="BR66" i="277"/>
  <c r="Q47" i="277"/>
  <c r="R47" i="277" s="1"/>
  <c r="AF32" i="276"/>
  <c r="BQ147" i="276"/>
  <c r="AI107" i="276"/>
  <c r="BP146" i="276"/>
  <c r="C53" i="263"/>
  <c r="AZ70" i="263"/>
  <c r="AZ72" i="263"/>
  <c r="BB9" i="263"/>
  <c r="AX18" i="263"/>
  <c r="AS37" i="263"/>
  <c r="AS38" i="263"/>
  <c r="AT36" i="263"/>
  <c r="AO52" i="263"/>
  <c r="E72" i="263"/>
  <c r="AY17" i="263"/>
  <c r="F63" i="277"/>
  <c r="AR50" i="276"/>
  <c r="AO51" i="276"/>
  <c r="H147" i="276"/>
  <c r="AZ50" i="276"/>
  <c r="H107" i="276"/>
  <c r="Y107" i="276"/>
  <c r="BC107" i="276"/>
  <c r="AN146" i="276"/>
  <c r="BQ13" i="277"/>
  <c r="BU51" i="276"/>
  <c r="T51" i="276"/>
  <c r="BT61" i="276"/>
  <c r="BR147" i="276"/>
  <c r="BV51" i="276"/>
  <c r="BX61" i="276"/>
  <c r="J51" i="276"/>
  <c r="S147" i="276"/>
  <c r="BU107" i="276"/>
  <c r="BD106" i="276"/>
  <c r="J107" i="276"/>
  <c r="BG51" i="276"/>
  <c r="V107" i="276"/>
  <c r="AU107" i="276"/>
  <c r="AU149" i="276" s="1"/>
  <c r="BF147" i="276"/>
  <c r="BK147" i="276"/>
  <c r="AO147" i="276"/>
  <c r="C21" i="277"/>
  <c r="O18" i="277"/>
  <c r="E20" i="277"/>
  <c r="P20" i="277"/>
  <c r="AQ72" i="263"/>
  <c r="BA20" i="263"/>
  <c r="AY51" i="263"/>
  <c r="AU68" i="263"/>
  <c r="AX68" i="263"/>
  <c r="AM70" i="263"/>
  <c r="AQ51" i="263"/>
  <c r="AY71" i="263"/>
  <c r="P15" i="273"/>
  <c r="AZ32" i="273"/>
  <c r="AR96" i="273"/>
  <c r="AQ20" i="263"/>
  <c r="AQ21" i="263"/>
  <c r="AR37" i="263"/>
  <c r="AW54" i="263"/>
  <c r="D53" i="263"/>
  <c r="D55" i="263"/>
  <c r="D60" i="263"/>
  <c r="AY19" i="263"/>
  <c r="AT59" i="263"/>
  <c r="AQ37" i="263"/>
  <c r="AQ38" i="263"/>
  <c r="BB62" i="263"/>
  <c r="AQ54" i="263"/>
  <c r="AQ55" i="263"/>
  <c r="BB42" i="263"/>
  <c r="BB54" i="263"/>
  <c r="BB15" i="263"/>
  <c r="AT33" i="263"/>
  <c r="AO47" i="263"/>
  <c r="AO68" i="263"/>
  <c r="AP68" i="263"/>
  <c r="F48" i="263"/>
  <c r="AP8" i="263"/>
  <c r="AP20" i="263"/>
  <c r="AR9" i="263"/>
  <c r="AP58" i="263"/>
  <c r="AX67" i="263"/>
  <c r="AO70" i="263"/>
  <c r="BB33" i="263"/>
  <c r="AN51" i="263"/>
  <c r="AS64" i="263"/>
  <c r="AX63" i="263"/>
  <c r="AW70" i="263"/>
  <c r="AO53" i="263"/>
  <c r="AW60" i="263"/>
  <c r="AX60" i="263"/>
  <c r="AT62" i="263"/>
  <c r="AV13" i="263"/>
  <c r="AV21" i="263"/>
  <c r="AV19" i="263"/>
  <c r="C47" i="263"/>
  <c r="C52" i="263"/>
  <c r="BB28" i="263"/>
  <c r="BB30" i="263"/>
  <c r="AO13" i="263"/>
  <c r="AP13" i="263"/>
  <c r="AP48" i="263"/>
  <c r="AP52" i="263"/>
  <c r="F50" i="263"/>
  <c r="AS60" i="263"/>
  <c r="AM71" i="263"/>
  <c r="AP71" i="263"/>
  <c r="AV74" i="263"/>
  <c r="BB12" i="263"/>
  <c r="BB68" i="263"/>
  <c r="AO51" i="263"/>
  <c r="BA38" i="263"/>
  <c r="AV47" i="263"/>
  <c r="AW64" i="263"/>
  <c r="AX64" i="263"/>
  <c r="AQ60" i="263"/>
  <c r="AP63" i="263"/>
  <c r="AZ36" i="263"/>
  <c r="AV54" i="263"/>
  <c r="BA43" i="263"/>
  <c r="AZ64" i="263"/>
  <c r="D51" i="263"/>
  <c r="BD70" i="263"/>
  <c r="AT43" i="263"/>
  <c r="BD52" i="263"/>
  <c r="BD74" i="263"/>
  <c r="BD47" i="263"/>
  <c r="BE69" i="263"/>
  <c r="BD43" i="263"/>
  <c r="BF14" i="263"/>
  <c r="BF18" i="263"/>
  <c r="AY37" i="263"/>
  <c r="AY38" i="263"/>
  <c r="BE18" i="263"/>
  <c r="AQ75" i="263"/>
  <c r="BE43" i="263"/>
  <c r="BF49" i="263"/>
  <c r="BE54" i="263"/>
  <c r="AO18" i="263"/>
  <c r="AY74" i="263"/>
  <c r="BB35" i="263"/>
  <c r="E47" i="263"/>
  <c r="BD36" i="263"/>
  <c r="BD38" i="263"/>
  <c r="BE71" i="263"/>
  <c r="AT20" i="263"/>
  <c r="AW26" i="263"/>
  <c r="AX26" i="263"/>
  <c r="BF60" i="263"/>
  <c r="H18" i="277"/>
  <c r="H74" i="277" s="1"/>
  <c r="O53" i="277"/>
  <c r="BM37" i="277"/>
  <c r="J10" i="277"/>
  <c r="J7" i="277"/>
  <c r="BE19" i="277"/>
  <c r="BK9" i="277"/>
  <c r="C52" i="277"/>
  <c r="F52" i="277"/>
  <c r="BD18" i="277"/>
  <c r="D53" i="277"/>
  <c r="M19" i="277"/>
  <c r="P70" i="277"/>
  <c r="D18" i="277"/>
  <c r="D74" i="277"/>
  <c r="F74" i="277" s="1"/>
  <c r="K19" i="277"/>
  <c r="K13" i="277"/>
  <c r="BQ47" i="277"/>
  <c r="BR47" i="277"/>
  <c r="BP51" i="277"/>
  <c r="BE51" i="277"/>
  <c r="BV48" i="277"/>
  <c r="BV57" i="277"/>
  <c r="BV69" i="277" s="1"/>
  <c r="BT36" i="277"/>
  <c r="E47" i="277"/>
  <c r="P54" i="277"/>
  <c r="M52" i="277"/>
  <c r="K20" i="277"/>
  <c r="BP64" i="277"/>
  <c r="BQ20" i="277"/>
  <c r="BE38" i="277"/>
  <c r="F51" i="277"/>
  <c r="C53" i="277"/>
  <c r="G54" i="277"/>
  <c r="Q54" i="277"/>
  <c r="BK54" i="277"/>
  <c r="N57" i="277"/>
  <c r="BI64" i="277"/>
  <c r="K68" i="277"/>
  <c r="BS20" i="277"/>
  <c r="N54" i="277"/>
  <c r="J6" i="277"/>
  <c r="BN7" i="277"/>
  <c r="F11" i="277"/>
  <c r="O19" i="277"/>
  <c r="H13" i="277"/>
  <c r="J13" i="277" s="1"/>
  <c r="E17" i="277"/>
  <c r="P17" i="277"/>
  <c r="N15" i="277"/>
  <c r="G17" i="277"/>
  <c r="Q17" i="277"/>
  <c r="BN16" i="277"/>
  <c r="BM36" i="277"/>
  <c r="BU26" i="277"/>
  <c r="BP38" i="277"/>
  <c r="N7" i="277"/>
  <c r="P47" i="277"/>
  <c r="F48" i="277"/>
  <c r="P18" i="277"/>
  <c r="BN42" i="277"/>
  <c r="R50" i="277"/>
  <c r="N67" i="277"/>
  <c r="BR41" i="277"/>
  <c r="BP71" i="277"/>
  <c r="BP72" i="277"/>
  <c r="K18" i="277"/>
  <c r="BN24" i="277"/>
  <c r="BN6" i="277"/>
  <c r="BN18" i="277" s="1"/>
  <c r="F49" i="277"/>
  <c r="BL60" i="277"/>
  <c r="I18" i="277"/>
  <c r="D19" i="277"/>
  <c r="BD51" i="277"/>
  <c r="BF51" i="277"/>
  <c r="L19" i="277"/>
  <c r="N19" i="277" s="1"/>
  <c r="BK51" i="277"/>
  <c r="BR48" i="277"/>
  <c r="BP52" i="277"/>
  <c r="BL19" i="277"/>
  <c r="BR16" i="277"/>
  <c r="R46" i="277"/>
  <c r="L69" i="277"/>
  <c r="J42" i="277"/>
  <c r="J50" i="277"/>
  <c r="BR57" i="277"/>
  <c r="BR25" i="277"/>
  <c r="BR37" i="277"/>
  <c r="BR11" i="277"/>
  <c r="BR19" i="277"/>
  <c r="BQ60" i="277"/>
  <c r="R16" i="277"/>
  <c r="BM9" i="277"/>
  <c r="K60" i="277"/>
  <c r="N60" i="277"/>
  <c r="F62" i="277"/>
  <c r="F14" i="277"/>
  <c r="G51" i="277"/>
  <c r="E70" i="277"/>
  <c r="BF31" i="277"/>
  <c r="BF35" i="277"/>
  <c r="BE34" i="277"/>
  <c r="BF34" i="277"/>
  <c r="BG64" i="277"/>
  <c r="G68" i="277"/>
  <c r="BE53" i="277"/>
  <c r="BS54" i="277"/>
  <c r="BJ68" i="277"/>
  <c r="BJ72" i="277" s="1"/>
  <c r="BO43" i="277"/>
  <c r="K71" i="277"/>
  <c r="N71" i="277"/>
  <c r="BL9" i="277"/>
  <c r="BL21" i="277"/>
  <c r="BJ53" i="277"/>
  <c r="BM18" i="277"/>
  <c r="BJ63" i="277"/>
  <c r="BR59" i="277"/>
  <c r="BK34" i="277"/>
  <c r="J41" i="277"/>
  <c r="O47" i="277"/>
  <c r="BJ62" i="277"/>
  <c r="BJ70" i="277"/>
  <c r="BM26" i="277"/>
  <c r="BN26" i="277"/>
  <c r="BI69" i="277"/>
  <c r="M53" i="277"/>
  <c r="N53" i="277" s="1"/>
  <c r="BO26" i="277"/>
  <c r="BR26" i="277"/>
  <c r="G70" i="277"/>
  <c r="J70" i="277" s="1"/>
  <c r="BI43" i="277"/>
  <c r="BI71" i="277"/>
  <c r="BO60" i="277"/>
  <c r="BN8" i="277"/>
  <c r="R11" i="277"/>
  <c r="P64" i="277"/>
  <c r="R64" i="277"/>
  <c r="BG71" i="277"/>
  <c r="R58" i="277"/>
  <c r="I9" i="277"/>
  <c r="BJ41" i="277"/>
  <c r="BR31" i="277"/>
  <c r="BR35" i="277" s="1"/>
  <c r="P71" i="277"/>
  <c r="E54" i="277"/>
  <c r="R66" i="277"/>
  <c r="BF45" i="277"/>
  <c r="H20" i="277"/>
  <c r="R14" i="277"/>
  <c r="N10" i="277"/>
  <c r="J44" i="277"/>
  <c r="H47" i="277"/>
  <c r="BI60" i="277"/>
  <c r="G20" i="277"/>
  <c r="E71" i="277"/>
  <c r="F71" i="277" s="1"/>
  <c r="K9" i="277"/>
  <c r="N9" i="277"/>
  <c r="BI19" i="277"/>
  <c r="BI75" i="277" s="1"/>
  <c r="BJ75" i="277" s="1"/>
  <c r="Q71" i="277"/>
  <c r="Q72" i="277"/>
  <c r="BR8" i="277"/>
  <c r="J12" i="277"/>
  <c r="D13" i="277"/>
  <c r="BN33" i="277"/>
  <c r="BI13" i="277"/>
  <c r="BJ13" i="277" s="1"/>
  <c r="BJ21" i="277" s="1"/>
  <c r="BH75" i="277"/>
  <c r="BE74" i="277"/>
  <c r="E18" i="277"/>
  <c r="H43" i="277"/>
  <c r="J43" i="277"/>
  <c r="BT19" i="277"/>
  <c r="BV31" i="277"/>
  <c r="BV35" i="277"/>
  <c r="BT9" i="277"/>
  <c r="BT18" i="277"/>
  <c r="BT74" i="277" s="1"/>
  <c r="BU149" i="276"/>
  <c r="BV58" i="277"/>
  <c r="BF37" i="277"/>
  <c r="BG34" i="277"/>
  <c r="I108" i="319"/>
  <c r="D94" i="319"/>
  <c r="G92" i="319"/>
  <c r="E189" i="319"/>
  <c r="D125" i="319"/>
  <c r="I91" i="319"/>
  <c r="H39" i="319"/>
  <c r="J39" i="319"/>
  <c r="L210" i="318"/>
  <c r="L125" i="318"/>
  <c r="M148" i="318"/>
  <c r="N148" i="318"/>
  <c r="M157" i="318"/>
  <c r="N157" i="318"/>
  <c r="H222" i="318"/>
  <c r="M110" i="318"/>
  <c r="N110" i="318"/>
  <c r="M119" i="318"/>
  <c r="N119" i="318"/>
  <c r="L144" i="318"/>
  <c r="M146" i="318"/>
  <c r="N146" i="318"/>
  <c r="M180" i="318"/>
  <c r="N180" i="318"/>
  <c r="M189" i="318"/>
  <c r="N189" i="318"/>
  <c r="M207" i="318"/>
  <c r="M40" i="318"/>
  <c r="N40" i="318"/>
  <c r="F106" i="318"/>
  <c r="L121" i="318"/>
  <c r="F116" i="318"/>
  <c r="M58" i="318"/>
  <c r="N58" i="318"/>
  <c r="AN9" i="284"/>
  <c r="AM36" i="284"/>
  <c r="AJ37" i="284"/>
  <c r="AP34" i="284"/>
  <c r="AO26" i="284"/>
  <c r="I52" i="284"/>
  <c r="P76" i="284"/>
  <c r="I153" i="267"/>
  <c r="Q99" i="267"/>
  <c r="R99" i="267"/>
  <c r="Q52" i="267"/>
  <c r="R153" i="267"/>
  <c r="Q16" i="268"/>
  <c r="K25" i="202"/>
  <c r="N20" i="202"/>
  <c r="L93" i="336"/>
  <c r="M25" i="202"/>
  <c r="F70" i="201"/>
  <c r="N70" i="201"/>
  <c r="I102" i="201"/>
  <c r="G102" i="201"/>
  <c r="L70" i="201"/>
  <c r="M20" i="202"/>
  <c r="M30" i="202"/>
  <c r="K30" i="202"/>
  <c r="P24" i="201"/>
  <c r="P104" i="201"/>
  <c r="N36" i="202"/>
  <c r="I39" i="201"/>
  <c r="I104" i="201"/>
  <c r="O24" i="201"/>
  <c r="G39" i="201"/>
  <c r="M70" i="201"/>
  <c r="K10" i="202"/>
  <c r="H39" i="201"/>
  <c r="H104" i="201"/>
  <c r="K37" i="202"/>
  <c r="O35" i="202"/>
  <c r="G70" i="201"/>
  <c r="F102" i="201"/>
  <c r="P39" i="201"/>
  <c r="M39" i="201"/>
  <c r="D102" i="201"/>
  <c r="J102" i="201"/>
  <c r="G24" i="201"/>
  <c r="O10" i="202"/>
  <c r="O25" i="202"/>
  <c r="N33" i="202"/>
  <c r="N35" i="202"/>
  <c r="O33" i="202"/>
  <c r="N25" i="202"/>
  <c r="N30" i="202"/>
  <c r="K32" i="202"/>
  <c r="K35" i="202"/>
  <c r="M15" i="202"/>
  <c r="Q24" i="201"/>
  <c r="P15" i="202"/>
  <c r="Q39" i="201"/>
  <c r="Q102" i="201"/>
  <c r="AL14" i="194"/>
  <c r="AF24" i="194"/>
  <c r="AA29" i="194"/>
  <c r="AJ29" i="194"/>
  <c r="AQ14" i="194"/>
  <c r="AR33" i="194"/>
  <c r="AA31" i="194"/>
  <c r="AA37" i="194"/>
  <c r="AN29" i="194"/>
  <c r="AD14" i="194"/>
  <c r="AI19" i="194"/>
  <c r="AO31" i="194"/>
  <c r="AO37" i="194"/>
  <c r="AK31" i="194"/>
  <c r="AK37" i="194"/>
  <c r="AG24" i="194"/>
  <c r="AK29" i="194"/>
  <c r="AQ9" i="194"/>
  <c r="AN14" i="194"/>
  <c r="AL29" i="194"/>
  <c r="AB32" i="194"/>
  <c r="AD9" i="194"/>
  <c r="AH14" i="194"/>
  <c r="AB33" i="194"/>
  <c r="AQ19" i="194"/>
  <c r="AR29" i="194"/>
  <c r="AE9" i="194"/>
  <c r="AM32" i="194"/>
  <c r="AM37" i="194"/>
  <c r="AM9" i="194"/>
  <c r="AK9" i="194"/>
  <c r="AH31" i="194"/>
  <c r="AN31" i="194"/>
  <c r="AN37" i="194"/>
  <c r="AK103" i="240"/>
  <c r="AE14" i="241"/>
  <c r="AF14" i="241"/>
  <c r="AK9" i="241"/>
  <c r="AO23" i="241"/>
  <c r="AL8" i="241"/>
  <c r="AL12" i="241"/>
  <c r="AG32" i="241"/>
  <c r="AI32" i="241"/>
  <c r="AO7" i="241"/>
  <c r="AR17" i="241"/>
  <c r="AR33" i="241"/>
  <c r="AD37" i="241"/>
  <c r="AJ33" i="241"/>
  <c r="AE9" i="241"/>
  <c r="AR26" i="241"/>
  <c r="AI34" i="241"/>
  <c r="AG24" i="241"/>
  <c r="AI24" i="241"/>
  <c r="AL29" i="241"/>
  <c r="AG34" i="241"/>
  <c r="AJ15" i="240"/>
  <c r="AJ25" i="240"/>
  <c r="AJ36" i="240"/>
  <c r="AG36" i="240"/>
  <c r="AA36" i="240"/>
  <c r="AJ48" i="240"/>
  <c r="AA48" i="240"/>
  <c r="AM48" i="240"/>
  <c r="AG55" i="240"/>
  <c r="AA63" i="240"/>
  <c r="AG63" i="240"/>
  <c r="AA72" i="240"/>
  <c r="AA83" i="240"/>
  <c r="AA93" i="240"/>
  <c r="AD92" i="240"/>
  <c r="AG31" i="241"/>
  <c r="AF33" i="241"/>
  <c r="AF29" i="241"/>
  <c r="AE32" i="241"/>
  <c r="AP15" i="240"/>
  <c r="AP25" i="240"/>
  <c r="AP36" i="240"/>
  <c r="AP55" i="240"/>
  <c r="AM19" i="241"/>
  <c r="AM24" i="239"/>
  <c r="AP78" i="238"/>
  <c r="U83" i="238"/>
  <c r="AD92" i="238"/>
  <c r="AG9" i="239"/>
  <c r="AP55" i="238"/>
  <c r="AS63" i="238"/>
  <c r="AP19" i="239"/>
  <c r="AI35" i="239"/>
  <c r="AO8" i="239"/>
  <c r="AD87" i="238"/>
  <c r="AG92" i="238"/>
  <c r="AL36" i="239"/>
  <c r="AL19" i="239"/>
  <c r="AQ24" i="239"/>
  <c r="AJ33" i="237"/>
  <c r="AJ37" i="237"/>
  <c r="AJ24" i="237"/>
  <c r="AD84" i="236"/>
  <c r="AO27" i="237"/>
  <c r="AO16" i="237"/>
  <c r="AJ64" i="236"/>
  <c r="AQ29" i="237"/>
  <c r="AO23" i="237"/>
  <c r="AP32" i="237"/>
  <c r="AR32" i="237"/>
  <c r="AE14" i="237"/>
  <c r="AE34" i="237"/>
  <c r="AS49" i="236"/>
  <c r="K149" i="283"/>
  <c r="S149" i="283"/>
  <c r="AA149" i="283"/>
  <c r="AI149" i="283"/>
  <c r="AQ149" i="283"/>
  <c r="N149" i="283"/>
  <c r="AN149" i="283"/>
  <c r="AS149" i="283"/>
  <c r="F149" i="283"/>
  <c r="V149" i="283"/>
  <c r="AL149" i="283"/>
  <c r="AT149" i="283"/>
  <c r="AJ149" i="283"/>
  <c r="AP149" i="283"/>
  <c r="AD9" i="284"/>
  <c r="AO37" i="284"/>
  <c r="AI38" i="284"/>
  <c r="G75" i="284"/>
  <c r="M54" i="284"/>
  <c r="E54" i="284"/>
  <c r="AG51" i="284"/>
  <c r="AE9" i="284"/>
  <c r="AM68" i="284"/>
  <c r="AB43" i="284"/>
  <c r="AQ17" i="284"/>
  <c r="AI19" i="284"/>
  <c r="AK17" i="284"/>
  <c r="AF34" i="284"/>
  <c r="AN20" i="284"/>
  <c r="AN76" i="284"/>
  <c r="Q54" i="284"/>
  <c r="I54" i="284"/>
  <c r="J53" i="284"/>
  <c r="J75" i="284"/>
  <c r="J77" i="284"/>
  <c r="N53" i="284"/>
  <c r="F53" i="284"/>
  <c r="AQ71" i="284"/>
  <c r="AG72" i="284"/>
  <c r="AO68" i="284"/>
  <c r="Z47" i="284"/>
  <c r="X47" i="284"/>
  <c r="X55" i="284"/>
  <c r="W151" i="283"/>
  <c r="U151" i="283"/>
  <c r="K109" i="283"/>
  <c r="Q109" i="283"/>
  <c r="AA109" i="283"/>
  <c r="AQ109" i="283"/>
  <c r="AE47" i="284"/>
  <c r="M151" i="283"/>
  <c r="AS151" i="283"/>
  <c r="R109" i="283"/>
  <c r="AO13" i="284"/>
  <c r="AN13" i="284"/>
  <c r="AG71" i="284"/>
  <c r="AA55" i="284"/>
  <c r="Z55" i="284"/>
  <c r="P74" i="284"/>
  <c r="H74" i="284"/>
  <c r="AK53" i="284"/>
  <c r="AC53" i="284"/>
  <c r="U53" i="284"/>
  <c r="M53" i="284"/>
  <c r="E53" i="284"/>
  <c r="Y52" i="284"/>
  <c r="Q52" i="284"/>
  <c r="Q74" i="284"/>
  <c r="W75" i="284"/>
  <c r="AL69" i="284"/>
  <c r="AL74" i="284"/>
  <c r="AO71" i="284"/>
  <c r="AB71" i="284"/>
  <c r="L71" i="284"/>
  <c r="L76" i="284"/>
  <c r="D71" i="284"/>
  <c r="D76" i="284"/>
  <c r="AL64" i="284"/>
  <c r="X64" i="284"/>
  <c r="AC69" i="284"/>
  <c r="U69" i="284"/>
  <c r="M69" i="284"/>
  <c r="E69" i="284"/>
  <c r="AC71" i="284"/>
  <c r="U71" i="284"/>
  <c r="M71" i="284"/>
  <c r="E71" i="284"/>
  <c r="Y68" i="284"/>
  <c r="Q70" i="284"/>
  <c r="I70" i="284"/>
  <c r="AR9" i="284"/>
  <c r="AQ13" i="284"/>
  <c r="AR26" i="284"/>
  <c r="AQ34" i="284"/>
  <c r="AO70" i="284"/>
  <c r="AF19" i="284"/>
  <c r="Z76" i="284"/>
  <c r="AN34" i="284"/>
  <c r="AQ60" i="284"/>
  <c r="AM47" i="284"/>
  <c r="AB70" i="284"/>
  <c r="AB75" i="284"/>
  <c r="Z72" i="284"/>
  <c r="AM43" i="284"/>
  <c r="X53" i="284"/>
  <c r="P53" i="284"/>
  <c r="P55" i="284"/>
  <c r="H53" i="284"/>
  <c r="AC47" i="284"/>
  <c r="U47" i="284"/>
  <c r="AB52" i="284"/>
  <c r="AB74" i="284"/>
  <c r="L52" i="284"/>
  <c r="D52" i="284"/>
  <c r="D55" i="284"/>
  <c r="AF69" i="284"/>
  <c r="AH20" i="284"/>
  <c r="AH76" i="284"/>
  <c r="AI13" i="284"/>
  <c r="AH19" i="284"/>
  <c r="AK34" i="284"/>
  <c r="X76" i="284"/>
  <c r="Z77" i="284"/>
  <c r="X52" i="284"/>
  <c r="X74" i="284"/>
  <c r="Z53" i="284"/>
  <c r="Z75" i="284"/>
  <c r="W74" i="284"/>
  <c r="AO64" i="284"/>
  <c r="AF68" i="284"/>
  <c r="X70" i="284"/>
  <c r="P70" i="284"/>
  <c r="P72" i="284"/>
  <c r="H70" i="284"/>
  <c r="H72" i="284"/>
  <c r="AR20" i="284"/>
  <c r="AR18" i="284"/>
  <c r="AR34" i="284"/>
  <c r="AH17" i="284"/>
  <c r="AB64" i="284"/>
  <c r="AC68" i="284"/>
  <c r="Y70" i="284"/>
  <c r="AM18" i="284"/>
  <c r="AQ43" i="284"/>
  <c r="AD52" i="284"/>
  <c r="AN60" i="284"/>
  <c r="AA69" i="284"/>
  <c r="AA74" i="284"/>
  <c r="K69" i="284"/>
  <c r="C70" i="284"/>
  <c r="AK71" i="284"/>
  <c r="AA71" i="284"/>
  <c r="K71" i="284"/>
  <c r="K76" i="284"/>
  <c r="AR68" i="284"/>
  <c r="AK70" i="284"/>
  <c r="Y54" i="284"/>
  <c r="AM38" i="284"/>
  <c r="AQ20" i="284"/>
  <c r="V72" i="284"/>
  <c r="AL70" i="284"/>
  <c r="Y60" i="284"/>
  <c r="Y72" i="284"/>
  <c r="C71" i="284"/>
  <c r="C76" i="284"/>
  <c r="AF71" i="284"/>
  <c r="Q71" i="284"/>
  <c r="Q76" i="284"/>
  <c r="I71" i="284"/>
  <c r="I76" i="284"/>
  <c r="AP70" i="284"/>
  <c r="AI60" i="284"/>
  <c r="AC70" i="284"/>
  <c r="AC75" i="284"/>
  <c r="U70" i="284"/>
  <c r="M70" i="284"/>
  <c r="M75" i="284"/>
  <c r="E70" i="284"/>
  <c r="E75" i="284"/>
  <c r="U68" i="284"/>
  <c r="L75" i="284"/>
  <c r="W76" i="284"/>
  <c r="O76" i="284"/>
  <c r="AF43" i="284"/>
  <c r="M76" i="284"/>
  <c r="E76" i="284"/>
  <c r="AD47" i="284"/>
  <c r="V47" i="284"/>
  <c r="V55" i="284"/>
  <c r="AM51" i="284"/>
  <c r="AM55" i="284"/>
  <c r="AO53" i="284"/>
  <c r="Y53" i="284"/>
  <c r="Q53" i="284"/>
  <c r="I53" i="284"/>
  <c r="I75" i="284"/>
  <c r="AP51" i="284"/>
  <c r="AJ52" i="284"/>
  <c r="AC52" i="284"/>
  <c r="AC74" i="284"/>
  <c r="U52" i="284"/>
  <c r="M52" i="284"/>
  <c r="M74" i="284"/>
  <c r="E52" i="284"/>
  <c r="E74" i="284"/>
  <c r="AQ19" i="284"/>
  <c r="AE35" i="284"/>
  <c r="AE38" i="284"/>
  <c r="AL20" i="284"/>
  <c r="AL38" i="284"/>
  <c r="O75" i="284"/>
  <c r="O72" i="284"/>
  <c r="AM53" i="284"/>
  <c r="AE53" i="284"/>
  <c r="AP69" i="284"/>
  <c r="AH13" i="284"/>
  <c r="AH21" i="284"/>
  <c r="AG26" i="284"/>
  <c r="AK19" i="284"/>
  <c r="AA54" i="284"/>
  <c r="W72" i="284"/>
  <c r="D75" i="284"/>
  <c r="AM54" i="284"/>
  <c r="AR37" i="284"/>
  <c r="AF36" i="284"/>
  <c r="V74" i="284"/>
  <c r="AB76" i="284"/>
  <c r="G72" i="284"/>
  <c r="AJ43" i="284"/>
  <c r="N72" i="284"/>
  <c r="N76" i="284"/>
  <c r="F72" i="284"/>
  <c r="F76" i="284"/>
  <c r="E72" i="284"/>
  <c r="G76" i="284"/>
  <c r="G77" i="284"/>
  <c r="G55" i="284"/>
  <c r="X75" i="284"/>
  <c r="H75" i="284"/>
  <c r="H77" i="284"/>
  <c r="H55" i="284"/>
  <c r="N75" i="284"/>
  <c r="N55" i="284"/>
  <c r="F55" i="284"/>
  <c r="F75" i="284"/>
  <c r="L55" i="284"/>
  <c r="L74" i="284"/>
  <c r="D74" i="284"/>
  <c r="Q75" i="284"/>
  <c r="AJ19" i="284"/>
  <c r="AF18" i="284"/>
  <c r="W43" i="284"/>
  <c r="W55" i="284"/>
  <c r="U51" i="284"/>
  <c r="U55" i="284"/>
  <c r="AC51" i="284"/>
  <c r="AC55" i="284"/>
  <c r="U54" i="284"/>
  <c r="C72" i="284"/>
  <c r="V71" i="284"/>
  <c r="AO18" i="284"/>
  <c r="AD53" i="284"/>
  <c r="AF64" i="284"/>
  <c r="AN43" i="284"/>
  <c r="AN69" i="284"/>
  <c r="AI21" i="284"/>
  <c r="C75" i="284"/>
  <c r="C55" i="284"/>
  <c r="AJ34" i="284"/>
  <c r="AD13" i="284"/>
  <c r="AD21" i="284"/>
  <c r="AJ20" i="284"/>
  <c r="AC54" i="284"/>
  <c r="AC76" i="284"/>
  <c r="AB60" i="284"/>
  <c r="AB72" i="284"/>
  <c r="X68" i="284"/>
  <c r="X72" i="284"/>
  <c r="AR13" i="284"/>
  <c r="AP64" i="284"/>
  <c r="AD19" i="284"/>
  <c r="AC64" i="284"/>
  <c r="AC72" i="284"/>
  <c r="Y69" i="284"/>
  <c r="Y74" i="284"/>
  <c r="Y71" i="284"/>
  <c r="Y76" i="284"/>
  <c r="AR17" i="284"/>
  <c r="AL47" i="284"/>
  <c r="AG53" i="284"/>
  <c r="AK68" i="284"/>
  <c r="AK72" i="284"/>
  <c r="Y51" i="284"/>
  <c r="Y55" i="284"/>
  <c r="AR70" i="284"/>
  <c r="AL26" i="284"/>
  <c r="AE20" i="284"/>
  <c r="AE76" i="284"/>
  <c r="O55" i="284"/>
  <c r="U64" i="284"/>
  <c r="AA68" i="284"/>
  <c r="AA72" i="284"/>
  <c r="AF70" i="284"/>
  <c r="AD26" i="284"/>
  <c r="AJ17" i="284"/>
  <c r="AB47" i="284"/>
  <c r="AB55" i="284"/>
  <c r="AP36" i="284"/>
  <c r="AP52" i="284"/>
  <c r="K55" i="284"/>
  <c r="AE13" i="284"/>
  <c r="AE21" i="284"/>
  <c r="I74" i="284"/>
  <c r="AJ51" i="284"/>
  <c r="AG17" i="284"/>
  <c r="AG21" i="284"/>
  <c r="AH38" i="284"/>
  <c r="AK43" i="284"/>
  <c r="AN52" i="284"/>
  <c r="AE18" i="284"/>
  <c r="AE74" i="284"/>
  <c r="AD38" i="284"/>
  <c r="AM26" i="284"/>
  <c r="AK13" i="284"/>
  <c r="AK21" i="284"/>
  <c r="AN53" i="284"/>
  <c r="AF51" i="284"/>
  <c r="AI51" i="284"/>
  <c r="AO21" i="284"/>
  <c r="AH64" i="284"/>
  <c r="AR60" i="284"/>
  <c r="AR72" i="284"/>
  <c r="AE68" i="284"/>
  <c r="AO60" i="284"/>
  <c r="AO72" i="284"/>
  <c r="AR52" i="284"/>
  <c r="AG54" i="284"/>
  <c r="AP47" i="284"/>
  <c r="AM52" i="284"/>
  <c r="AP17" i="284"/>
  <c r="AQ38" i="284"/>
  <c r="D77" i="284"/>
  <c r="AR38" i="284"/>
  <c r="AD70" i="284"/>
  <c r="AI69" i="284"/>
  <c r="AP20" i="284"/>
  <c r="BL107" i="276"/>
  <c r="BT52" i="277"/>
  <c r="BR69" i="277"/>
  <c r="BD74" i="277"/>
  <c r="BF74" i="277" s="1"/>
  <c r="BN68" i="277"/>
  <c r="M51" i="277"/>
  <c r="BF49" i="277"/>
  <c r="BE64" i="277"/>
  <c r="BR60" i="277"/>
  <c r="BJ9" i="277"/>
  <c r="BJ59" i="277"/>
  <c r="BS35" i="277"/>
  <c r="Q51" i="277"/>
  <c r="BV45" i="277"/>
  <c r="BG74" i="277"/>
  <c r="O52" i="277"/>
  <c r="Q60" i="277"/>
  <c r="G60" i="277"/>
  <c r="BX79" i="276"/>
  <c r="BX107" i="276" s="1"/>
  <c r="I60" i="277"/>
  <c r="BL72" i="277"/>
  <c r="BX106" i="276"/>
  <c r="BN71" i="277"/>
  <c r="BV46" i="277"/>
  <c r="BI76" i="277"/>
  <c r="BQ38" i="277"/>
  <c r="BX50" i="276"/>
  <c r="I55" i="277"/>
  <c r="BX95" i="276"/>
  <c r="BX32" i="276"/>
  <c r="BX51" i="276" s="1"/>
  <c r="Q74" i="277"/>
  <c r="L55" i="277"/>
  <c r="BV42" i="277"/>
  <c r="I75" i="277"/>
  <c r="BK72" i="277"/>
  <c r="BV41" i="277"/>
  <c r="BV11" i="277"/>
  <c r="N43" i="277"/>
  <c r="BV59" i="277"/>
  <c r="BV71" i="277" s="1"/>
  <c r="BJ36" i="277"/>
  <c r="BS19" i="277"/>
  <c r="BU64" i="277"/>
  <c r="BV64" i="277"/>
  <c r="BV6" i="277"/>
  <c r="R68" i="277"/>
  <c r="BJ42" i="277"/>
  <c r="BT71" i="277"/>
  <c r="N47" i="277"/>
  <c r="BG38" i="277"/>
  <c r="BV24" i="277"/>
  <c r="AI29" i="194"/>
  <c r="AP32" i="194"/>
  <c r="AK24" i="241"/>
  <c r="AQ31" i="241"/>
  <c r="AP24" i="241"/>
  <c r="AH24" i="241"/>
  <c r="AK31" i="241"/>
  <c r="AL31" i="241"/>
  <c r="AM103" i="240"/>
  <c r="AG78" i="240"/>
  <c r="AG37" i="241"/>
  <c r="AG56" i="240"/>
  <c r="AA56" i="240"/>
  <c r="AO6" i="241"/>
  <c r="AP34" i="241"/>
  <c r="AR6" i="241"/>
  <c r="AS55" i="240"/>
  <c r="AS63" i="240"/>
  <c r="AP9" i="241"/>
  <c r="AR29" i="241"/>
  <c r="AM34" i="241"/>
  <c r="AO34" i="241"/>
  <c r="AL33" i="241"/>
  <c r="AE34" i="241"/>
  <c r="AF34" i="241"/>
  <c r="AM31" i="241"/>
  <c r="AO31" i="241"/>
  <c r="AO16" i="241"/>
  <c r="AO19" i="241"/>
  <c r="AD48" i="240"/>
  <c r="AQ14" i="241"/>
  <c r="AI23" i="241"/>
  <c r="AN9" i="241"/>
  <c r="AH33" i="241"/>
  <c r="AI33" i="241"/>
  <c r="AS15" i="240"/>
  <c r="AS48" i="240"/>
  <c r="AS72" i="240"/>
  <c r="AS78" i="240"/>
  <c r="AD78" i="240"/>
  <c r="AE24" i="241"/>
  <c r="AF24" i="241"/>
  <c r="AD56" i="240"/>
  <c r="AI9" i="241"/>
  <c r="AJ32" i="241"/>
  <c r="AJ37" i="241"/>
  <c r="AH31" i="241"/>
  <c r="AI31" i="241"/>
  <c r="AI37" i="241"/>
  <c r="AP48" i="240"/>
  <c r="AM29" i="241"/>
  <c r="AO29" i="241"/>
  <c r="AM32" i="241"/>
  <c r="AO32" i="241"/>
  <c r="BM55" i="277"/>
  <c r="J52" i="277"/>
  <c r="R70" i="277"/>
  <c r="AM74" i="263"/>
  <c r="AM55" i="263"/>
  <c r="D101" i="314"/>
  <c r="AS55" i="263"/>
  <c r="AS75" i="263"/>
  <c r="BV29" i="98"/>
  <c r="BV32" i="98"/>
  <c r="J9" i="233"/>
  <c r="J29" i="233"/>
  <c r="AD29" i="233"/>
  <c r="BM75" i="277"/>
  <c r="BR9" i="98"/>
  <c r="U32" i="233"/>
  <c r="AS21" i="263"/>
  <c r="AS74" i="263"/>
  <c r="C75" i="263"/>
  <c r="AH77" i="279"/>
  <c r="M76" i="277"/>
  <c r="AT35" i="263"/>
  <c r="AR38" i="263"/>
  <c r="AN76" i="263"/>
  <c r="AN55" i="263"/>
  <c r="L76" i="277"/>
  <c r="N20" i="277"/>
  <c r="AX21" i="279"/>
  <c r="BO55" i="277"/>
  <c r="AN21" i="284"/>
  <c r="G74" i="277"/>
  <c r="AF24" i="239"/>
  <c r="AG37" i="194"/>
  <c r="AL37" i="194"/>
  <c r="AP56" i="240"/>
  <c r="BA139" i="278"/>
  <c r="AF9" i="241"/>
  <c r="AB37" i="194"/>
  <c r="AK32" i="239"/>
  <c r="I101" i="314"/>
  <c r="F101" i="314"/>
  <c r="W77" i="284"/>
  <c r="AH37" i="194"/>
  <c r="D72" i="277"/>
  <c r="AL77" i="279"/>
  <c r="AK24" i="239"/>
  <c r="AL24" i="239"/>
  <c r="AC37" i="194"/>
  <c r="AF31" i="237"/>
  <c r="AO33" i="241"/>
  <c r="AF19" i="237"/>
  <c r="BR36" i="98"/>
  <c r="BR14" i="98"/>
  <c r="F34" i="311"/>
  <c r="AF24" i="237"/>
  <c r="AO33" i="239"/>
  <c r="F69" i="277"/>
  <c r="L34" i="291"/>
  <c r="L39" i="291"/>
  <c r="L35" i="291"/>
  <c r="L37" i="291"/>
  <c r="L38" i="291"/>
  <c r="L33" i="291"/>
  <c r="BN35" i="98"/>
  <c r="BN14" i="98"/>
  <c r="V32" i="98"/>
  <c r="V37" i="98"/>
  <c r="AS102" i="274"/>
  <c r="BD37" i="98"/>
  <c r="J36" i="291"/>
  <c r="L38" i="293"/>
  <c r="H75" i="295"/>
  <c r="M146" i="295"/>
  <c r="K75" i="295"/>
  <c r="AF70" i="27"/>
  <c r="AC34" i="296"/>
  <c r="AB37" i="296"/>
  <c r="J6" i="303"/>
  <c r="J39" i="201"/>
  <c r="Q79" i="275"/>
  <c r="AC33" i="237"/>
  <c r="AA37" i="237"/>
  <c r="Z31" i="239"/>
  <c r="X37" i="239"/>
  <c r="Z37" i="239"/>
  <c r="AC33" i="239"/>
  <c r="AA37" i="239"/>
  <c r="AK93" i="240"/>
  <c r="AL13" i="241"/>
  <c r="AK14" i="241"/>
  <c r="AG19" i="241"/>
  <c r="AI19" i="241"/>
  <c r="AI16" i="241"/>
  <c r="AA37" i="241"/>
  <c r="AC33" i="241"/>
  <c r="BC94" i="274"/>
  <c r="BB27" i="98"/>
  <c r="BJ27" i="98"/>
  <c r="BK94" i="274"/>
  <c r="V28" i="98"/>
  <c r="V34" i="98"/>
  <c r="W99" i="274"/>
  <c r="BJ28" i="98"/>
  <c r="BK99" i="274"/>
  <c r="E19" i="297"/>
  <c r="E32" i="297"/>
  <c r="G29" i="172"/>
  <c r="G32" i="172"/>
  <c r="H26" i="275"/>
  <c r="H104" i="275"/>
  <c r="Q26" i="275"/>
  <c r="M46" i="27"/>
  <c r="M68" i="27"/>
  <c r="M71" i="27"/>
  <c r="BL37" i="98"/>
  <c r="BN34" i="98"/>
  <c r="AH19" i="98"/>
  <c r="C37" i="98"/>
  <c r="AE102" i="274"/>
  <c r="AP31" i="98"/>
  <c r="J33" i="291"/>
  <c r="Y37" i="296"/>
  <c r="BO100" i="274"/>
  <c r="F36" i="293"/>
  <c r="G102" i="173"/>
  <c r="O37" i="296"/>
  <c r="AF19" i="194"/>
  <c r="AF31" i="194"/>
  <c r="AF37" i="194"/>
  <c r="F35" i="172"/>
  <c r="F14" i="172"/>
  <c r="I59" i="248"/>
  <c r="I23" i="248"/>
  <c r="I62" i="248"/>
  <c r="AF107" i="276"/>
  <c r="D6" i="303"/>
  <c r="AX37" i="98"/>
  <c r="G37" i="98"/>
  <c r="AS37" i="98"/>
  <c r="V29" i="98"/>
  <c r="AI25" i="274"/>
  <c r="AI102" i="274"/>
  <c r="K37" i="297"/>
  <c r="J37" i="253"/>
  <c r="I6" i="303"/>
  <c r="H140" i="295"/>
  <c r="AD146" i="295"/>
  <c r="AF146" i="295"/>
  <c r="I39" i="291"/>
  <c r="M36" i="291"/>
  <c r="BO40" i="274"/>
  <c r="L35" i="293"/>
  <c r="J32" i="294"/>
  <c r="C39" i="291"/>
  <c r="K141" i="295"/>
  <c r="Z37" i="98"/>
  <c r="D34" i="300"/>
  <c r="AJ14" i="241"/>
  <c r="AL14" i="241"/>
  <c r="U94" i="236"/>
  <c r="AJ94" i="236"/>
  <c r="P93" i="238"/>
  <c r="AC93" i="238"/>
  <c r="V25" i="274"/>
  <c r="V102" i="274"/>
  <c r="K32" i="297"/>
  <c r="K9" i="297"/>
  <c r="N34" i="297"/>
  <c r="N9" i="297"/>
  <c r="N32" i="297"/>
  <c r="N14" i="297"/>
  <c r="J100" i="173"/>
  <c r="H146" i="295"/>
  <c r="AY25" i="274"/>
  <c r="M35" i="291"/>
  <c r="AL34" i="98"/>
  <c r="E79" i="236"/>
  <c r="AE105" i="193"/>
  <c r="K103" i="193"/>
  <c r="K105" i="193"/>
  <c r="S103" i="193"/>
  <c r="S105" i="193"/>
  <c r="AI103" i="193"/>
  <c r="L33" i="202"/>
  <c r="L38" i="202"/>
  <c r="L15" i="202"/>
  <c r="AM38" i="263"/>
  <c r="AP38" i="263"/>
  <c r="AP37" i="263"/>
  <c r="O33" i="172"/>
  <c r="E39" i="291"/>
  <c r="O37" i="98"/>
  <c r="W100" i="274"/>
  <c r="W102" i="274"/>
  <c r="AH32" i="98"/>
  <c r="F153" i="287"/>
  <c r="H41" i="293"/>
  <c r="M33" i="291"/>
  <c r="J37" i="291"/>
  <c r="BO25" i="274"/>
  <c r="AO37" i="98"/>
  <c r="O62" i="26"/>
  <c r="AG24" i="240"/>
  <c r="K70" i="201"/>
  <c r="K104" i="201"/>
  <c r="G70" i="173"/>
  <c r="F37" i="98"/>
  <c r="AM70" i="274"/>
  <c r="AH37" i="98"/>
  <c r="M38" i="291"/>
  <c r="L40" i="293"/>
  <c r="R25" i="240"/>
  <c r="R105" i="240"/>
  <c r="U79" i="275"/>
  <c r="U104" i="275"/>
  <c r="AV102" i="274"/>
  <c r="AQ25" i="274"/>
  <c r="AQ102" i="274"/>
  <c r="T37" i="98"/>
  <c r="AB37" i="98"/>
  <c r="AA102" i="274"/>
  <c r="AE37" i="98"/>
  <c r="H37" i="98"/>
  <c r="J34" i="291"/>
  <c r="L39" i="293"/>
  <c r="AF141" i="295"/>
  <c r="H25" i="240"/>
  <c r="H18" i="304"/>
  <c r="H4" i="304"/>
  <c r="H19" i="304"/>
  <c r="H5" i="304"/>
  <c r="H15" i="304"/>
  <c r="H17" i="304"/>
  <c r="M40" i="193"/>
  <c r="M105" i="193"/>
  <c r="U40" i="193"/>
  <c r="U105" i="193"/>
  <c r="AD40" i="193"/>
  <c r="AD105" i="193"/>
  <c r="E71" i="193"/>
  <c r="E105" i="193"/>
  <c r="U71" i="193"/>
  <c r="AD71" i="193"/>
  <c r="AL29" i="239"/>
  <c r="K105" i="240"/>
  <c r="T105" i="240"/>
  <c r="BF51" i="281"/>
  <c r="Q26" i="236"/>
  <c r="AL79" i="236"/>
  <c r="AL106" i="236"/>
  <c r="Z94" i="236"/>
  <c r="AI11" i="237"/>
  <c r="AL35" i="237"/>
  <c r="AL36" i="237"/>
  <c r="AH33" i="237"/>
  <c r="AK33" i="237"/>
  <c r="AL28" i="237"/>
  <c r="AC36" i="296"/>
  <c r="AJ87" i="238"/>
  <c r="AJ92" i="238"/>
  <c r="R92" i="238"/>
  <c r="AK9" i="239"/>
  <c r="AL9" i="239"/>
  <c r="AH32" i="239"/>
  <c r="AI36" i="239"/>
  <c r="Y93" i="240"/>
  <c r="AC9" i="241"/>
  <c r="AE19" i="241"/>
  <c r="AF19" i="241"/>
  <c r="AF26" i="241"/>
  <c r="AC29" i="241"/>
  <c r="AC25" i="193"/>
  <c r="AM25" i="193"/>
  <c r="AE19" i="194"/>
  <c r="AE24" i="194"/>
  <c r="I37" i="297"/>
  <c r="V37" i="297"/>
  <c r="M100" i="173"/>
  <c r="I34" i="172"/>
  <c r="V9" i="253"/>
  <c r="BC71" i="277"/>
  <c r="K60" i="248"/>
  <c r="AG37" i="284"/>
  <c r="AG38" i="284"/>
  <c r="AE49" i="26"/>
  <c r="L32" i="294"/>
  <c r="C32" i="294"/>
  <c r="AG16" i="236"/>
  <c r="W26" i="236"/>
  <c r="W106" i="236"/>
  <c r="AG25" i="236"/>
  <c r="AD37" i="236"/>
  <c r="AG37" i="236"/>
  <c r="AA56" i="236"/>
  <c r="AJ56" i="236"/>
  <c r="AG64" i="236"/>
  <c r="AA64" i="236"/>
  <c r="AM73" i="236"/>
  <c r="AA73" i="236"/>
  <c r="AD93" i="236"/>
  <c r="AD94" i="236"/>
  <c r="AG93" i="236"/>
  <c r="AG94" i="236"/>
  <c r="AG9" i="237"/>
  <c r="AI7" i="237"/>
  <c r="AL34" i="237"/>
  <c r="D56" i="238"/>
  <c r="D105" i="238"/>
  <c r="O56" i="238"/>
  <c r="AB56" i="238"/>
  <c r="AG48" i="238"/>
  <c r="AJ48" i="238"/>
  <c r="AM55" i="238"/>
  <c r="I56" i="238"/>
  <c r="I105" i="238"/>
  <c r="U56" i="238"/>
  <c r="AM63" i="238"/>
  <c r="AD72" i="238"/>
  <c r="AM72" i="238"/>
  <c r="AG72" i="238"/>
  <c r="AD77" i="238"/>
  <c r="AG77" i="238"/>
  <c r="Y78" i="238"/>
  <c r="O83" i="238"/>
  <c r="R87" i="238"/>
  <c r="T93" i="238"/>
  <c r="E9" i="239"/>
  <c r="AF17" i="239"/>
  <c r="AE33" i="239"/>
  <c r="AF33" i="239"/>
  <c r="AE34" i="239"/>
  <c r="AF34" i="239"/>
  <c r="L56" i="240"/>
  <c r="L105" i="240"/>
  <c r="AJ63" i="240"/>
  <c r="X93" i="240"/>
  <c r="AC71" i="193"/>
  <c r="E37" i="229"/>
  <c r="BN17" i="98"/>
  <c r="W85" i="274"/>
  <c r="H34" i="98"/>
  <c r="P34" i="98"/>
  <c r="P37" i="98"/>
  <c r="Q34" i="297"/>
  <c r="Q37" i="297"/>
  <c r="L37" i="297"/>
  <c r="K33" i="172"/>
  <c r="H29" i="172"/>
  <c r="W61" i="26"/>
  <c r="N105" i="193"/>
  <c r="H102" i="173"/>
  <c r="X105" i="240"/>
  <c r="Y62" i="248"/>
  <c r="AH105" i="240"/>
  <c r="AM21" i="236"/>
  <c r="I79" i="236"/>
  <c r="F79" i="236"/>
  <c r="W94" i="236"/>
  <c r="T34" i="296"/>
  <c r="AA15" i="238"/>
  <c r="W25" i="238"/>
  <c r="W105" i="238"/>
  <c r="N93" i="238"/>
  <c r="N105" i="238"/>
  <c r="AL35" i="239"/>
  <c r="AC25" i="240"/>
  <c r="AF93" i="240"/>
  <c r="K4" i="304"/>
  <c r="K6" i="304"/>
  <c r="I25" i="193"/>
  <c r="AA24" i="194"/>
  <c r="AH24" i="194"/>
  <c r="AH29" i="194"/>
  <c r="L39" i="201"/>
  <c r="BN16" i="98"/>
  <c r="BN31" i="98"/>
  <c r="BN26" i="98"/>
  <c r="BN29" i="98"/>
  <c r="Z29" i="297"/>
  <c r="O37" i="297"/>
  <c r="D34" i="172"/>
  <c r="L34" i="172"/>
  <c r="R57" i="275"/>
  <c r="R104" i="275"/>
  <c r="N105" i="240"/>
  <c r="AF35" i="237"/>
  <c r="AK24" i="237"/>
  <c r="AE32" i="239"/>
  <c r="AF32" i="239"/>
  <c r="AI9" i="239"/>
  <c r="AM63" i="240"/>
  <c r="AM87" i="240"/>
  <c r="AG9" i="194"/>
  <c r="AB24" i="194"/>
  <c r="L37" i="227"/>
  <c r="H37" i="229"/>
  <c r="K40" i="248"/>
  <c r="K62" i="248"/>
  <c r="BJ34" i="98"/>
  <c r="AK102" i="274"/>
  <c r="H105" i="240"/>
  <c r="AC37" i="239"/>
  <c r="AK105" i="240"/>
  <c r="Z105" i="193"/>
  <c r="W105" i="193"/>
  <c r="N36" i="291"/>
  <c r="O26" i="236"/>
  <c r="AK26" i="236"/>
  <c r="L94" i="236"/>
  <c r="L106" i="236"/>
  <c r="AK9" i="237"/>
  <c r="AB37" i="237"/>
  <c r="T35" i="296"/>
  <c r="H56" i="238"/>
  <c r="AA87" i="238"/>
  <c r="AM15" i="240"/>
  <c r="AJ72" i="240"/>
  <c r="AJ77" i="240"/>
  <c r="AC40" i="193"/>
  <c r="AB19" i="194"/>
  <c r="AJ19" i="194"/>
  <c r="AJ24" i="194"/>
  <c r="M37" i="227"/>
  <c r="O39" i="201"/>
  <c r="Z34" i="297"/>
  <c r="T29" i="297"/>
  <c r="C37" i="297"/>
  <c r="D37" i="297"/>
  <c r="I32" i="172"/>
  <c r="N33" i="172"/>
  <c r="E51" i="276"/>
  <c r="L40" i="248"/>
  <c r="AG34" i="284"/>
  <c r="I102" i="173"/>
  <c r="Q37" i="296"/>
  <c r="N35" i="291"/>
  <c r="AD16" i="236"/>
  <c r="AD25" i="236"/>
  <c r="AD26" i="236"/>
  <c r="AJ37" i="236"/>
  <c r="AD49" i="236"/>
  <c r="AM49" i="236"/>
  <c r="AG56" i="236"/>
  <c r="AG57" i="236"/>
  <c r="AD64" i="236"/>
  <c r="AD79" i="236"/>
  <c r="AM64" i="236"/>
  <c r="AG78" i="236"/>
  <c r="AA88" i="236"/>
  <c r="AA93" i="236"/>
  <c r="AM36" i="238"/>
  <c r="T56" i="238"/>
  <c r="AD48" i="238"/>
  <c r="AM48" i="238"/>
  <c r="AM56" i="238"/>
  <c r="AA55" i="238"/>
  <c r="AJ55" i="238"/>
  <c r="AD55" i="238"/>
  <c r="AD63" i="238"/>
  <c r="AA72" i="238"/>
  <c r="AA78" i="238"/>
  <c r="AJ72" i="238"/>
  <c r="U78" i="238"/>
  <c r="N9" i="239"/>
  <c r="AI19" i="239"/>
  <c r="AH31" i="239"/>
  <c r="AK33" i="239"/>
  <c r="AL33" i="239"/>
  <c r="AG15" i="240"/>
  <c r="AC56" i="240"/>
  <c r="AJ24" i="241"/>
  <c r="AA9" i="194"/>
  <c r="AJ34" i="194"/>
  <c r="AJ37" i="194"/>
  <c r="AF29" i="194"/>
  <c r="K34" i="202"/>
  <c r="F37" i="297"/>
  <c r="S37" i="297"/>
  <c r="J32" i="172"/>
  <c r="S57" i="275"/>
  <c r="AG136" i="273"/>
  <c r="Z18" i="263"/>
  <c r="Z74" i="263"/>
  <c r="AL105" i="193"/>
  <c r="AF51" i="276"/>
  <c r="J153" i="267"/>
  <c r="N37" i="291"/>
  <c r="AK57" i="236"/>
  <c r="Q79" i="236"/>
  <c r="Q106" i="236"/>
  <c r="AF8" i="237"/>
  <c r="AF9" i="237"/>
  <c r="AM15" i="238"/>
  <c r="K93" i="238"/>
  <c r="AG87" i="238"/>
  <c r="N19" i="239"/>
  <c r="T19" i="239"/>
  <c r="AM72" i="240"/>
  <c r="AM78" i="240"/>
  <c r="AM92" i="240"/>
  <c r="AJ9" i="241"/>
  <c r="AL9" i="241"/>
  <c r="M33" i="202"/>
  <c r="M38" i="202"/>
  <c r="BH34" i="98"/>
  <c r="K29" i="297"/>
  <c r="W29" i="297"/>
  <c r="U37" i="297"/>
  <c r="L100" i="173"/>
  <c r="H34" i="172"/>
  <c r="K26" i="275"/>
  <c r="AI76" i="263"/>
  <c r="AI77" i="263"/>
  <c r="X59" i="248"/>
  <c r="T19" i="253"/>
  <c r="AA51" i="273"/>
  <c r="X68" i="273"/>
  <c r="AR135" i="273"/>
  <c r="F136" i="273"/>
  <c r="Z19" i="263"/>
  <c r="AR69" i="263"/>
  <c r="AT69" i="263"/>
  <c r="AI72" i="263"/>
  <c r="AJ15" i="276"/>
  <c r="AJ50" i="276"/>
  <c r="AM51" i="276"/>
  <c r="AM149" i="276"/>
  <c r="BL61" i="276"/>
  <c r="BL62" i="276" s="1"/>
  <c r="AX107" i="276"/>
  <c r="AX149" i="276"/>
  <c r="AN126" i="276"/>
  <c r="AN147" i="276" s="1"/>
  <c r="BD126" i="276"/>
  <c r="AR141" i="276"/>
  <c r="BL141" i="276"/>
  <c r="BL147" i="276" s="1"/>
  <c r="W147" i="276"/>
  <c r="W149" i="276"/>
  <c r="E60" i="277"/>
  <c r="F60" i="277" s="1"/>
  <c r="V92" i="247"/>
  <c r="Z92" i="247"/>
  <c r="X23" i="248"/>
  <c r="X62" i="248"/>
  <c r="AA23" i="248"/>
  <c r="L61" i="248"/>
  <c r="Y21" i="284"/>
  <c r="AF90" i="169"/>
  <c r="S69" i="27"/>
  <c r="S71" i="27"/>
  <c r="S46" i="27"/>
  <c r="T66" i="27"/>
  <c r="P52" i="267"/>
  <c r="P99" i="267"/>
  <c r="X11" i="124"/>
  <c r="T33" i="295"/>
  <c r="Q133" i="295"/>
  <c r="X98" i="302"/>
  <c r="BE10" i="281"/>
  <c r="BE11" i="281"/>
  <c r="BI21" i="281"/>
  <c r="I41" i="293"/>
  <c r="L182" i="318"/>
  <c r="AD51" i="273"/>
  <c r="Z51" i="273"/>
  <c r="Z149" i="273"/>
  <c r="AE136" i="273"/>
  <c r="AS96" i="273"/>
  <c r="AQ136" i="273"/>
  <c r="AQ149" i="273"/>
  <c r="AG76" i="263"/>
  <c r="BL15" i="276"/>
  <c r="AN50" i="276"/>
  <c r="AO107" i="276"/>
  <c r="AO149" i="276" s="1"/>
  <c r="L107" i="276"/>
  <c r="AB106" i="276"/>
  <c r="F107" i="276"/>
  <c r="F149" i="276" s="1"/>
  <c r="O107" i="276"/>
  <c r="AJ141" i="276"/>
  <c r="K147" i="276"/>
  <c r="O13" i="277"/>
  <c r="I92" i="247"/>
  <c r="O57" i="248"/>
  <c r="O62" i="248"/>
  <c r="AC21" i="284"/>
  <c r="AE45" i="26"/>
  <c r="R69" i="27"/>
  <c r="R71" i="27"/>
  <c r="K66" i="27"/>
  <c r="H52" i="267"/>
  <c r="P26" i="302"/>
  <c r="BJ24" i="242"/>
  <c r="E24" i="312"/>
  <c r="F24" i="311"/>
  <c r="M186" i="318"/>
  <c r="N186" i="318"/>
  <c r="M204" i="318"/>
  <c r="I33" i="306"/>
  <c r="R25" i="306"/>
  <c r="L15" i="306"/>
  <c r="I20" i="306"/>
  <c r="AU15" i="274"/>
  <c r="U31" i="253"/>
  <c r="U37" i="253"/>
  <c r="U51" i="273"/>
  <c r="AV84" i="273"/>
  <c r="AV96" i="273"/>
  <c r="T95" i="273"/>
  <c r="T96" i="273"/>
  <c r="F96" i="273"/>
  <c r="M136" i="273"/>
  <c r="AX136" i="273"/>
  <c r="BE54" i="277"/>
  <c r="BE76" i="277" s="1"/>
  <c r="AG77" i="277"/>
  <c r="K59" i="248"/>
  <c r="Z57" i="248"/>
  <c r="Z62" i="248"/>
  <c r="AI20" i="284"/>
  <c r="AJ36" i="284"/>
  <c r="H40" i="26"/>
  <c r="K70" i="27"/>
  <c r="K71" i="27"/>
  <c r="N21" i="124"/>
  <c r="P32" i="282"/>
  <c r="Z32" i="295"/>
  <c r="Z36" i="295"/>
  <c r="AC70" i="295"/>
  <c r="P108" i="295"/>
  <c r="Q108" i="295"/>
  <c r="AE108" i="295"/>
  <c r="BC31" i="242"/>
  <c r="R36" i="306"/>
  <c r="U25" i="306"/>
  <c r="BB9" i="337"/>
  <c r="AN50" i="273"/>
  <c r="T50" i="273"/>
  <c r="T51" i="273"/>
  <c r="AL47" i="263"/>
  <c r="AQ68" i="263"/>
  <c r="AT68" i="263"/>
  <c r="BP61" i="276"/>
  <c r="BP62" i="276" s="1"/>
  <c r="AD107" i="276"/>
  <c r="AD149" i="276"/>
  <c r="AU147" i="276"/>
  <c r="AZ146" i="276"/>
  <c r="BE17" i="277"/>
  <c r="J92" i="247"/>
  <c r="H57" i="248"/>
  <c r="H62" i="248"/>
  <c r="AL34" i="284"/>
  <c r="AC38" i="284"/>
  <c r="T70" i="27"/>
  <c r="T71" i="27"/>
  <c r="W66" i="27"/>
  <c r="J52" i="267"/>
  <c r="P140" i="267"/>
  <c r="AL47" i="278"/>
  <c r="AW47" i="278"/>
  <c r="BG47" i="278"/>
  <c r="F104" i="266"/>
  <c r="F158" i="266"/>
  <c r="X21" i="124"/>
  <c r="R50" i="302"/>
  <c r="M156" i="318"/>
  <c r="N156" i="318"/>
  <c r="M171" i="318"/>
  <c r="N171" i="318"/>
  <c r="X33" i="306"/>
  <c r="P38" i="306"/>
  <c r="F30" i="306"/>
  <c r="I29" i="323"/>
  <c r="H11" i="326"/>
  <c r="P30" i="123"/>
  <c r="S51" i="273"/>
  <c r="S149" i="273"/>
  <c r="R51" i="273"/>
  <c r="R149" i="273"/>
  <c r="H68" i="273"/>
  <c r="H96" i="273"/>
  <c r="AV115" i="273"/>
  <c r="AV135" i="273"/>
  <c r="AN74" i="263"/>
  <c r="AV32" i="276"/>
  <c r="BK107" i="276"/>
  <c r="AJ126" i="276"/>
  <c r="K107" i="276"/>
  <c r="H60" i="248"/>
  <c r="V57" i="248"/>
  <c r="V62" i="248"/>
  <c r="AA57" i="248"/>
  <c r="AG19" i="284"/>
  <c r="AF13" i="284"/>
  <c r="AF21" i="284"/>
  <c r="AJ90" i="169"/>
  <c r="N66" i="27"/>
  <c r="BB13" i="279"/>
  <c r="BB17" i="279"/>
  <c r="H52" i="266"/>
  <c r="AF52" i="295"/>
  <c r="T67" i="295"/>
  <c r="T103" i="295"/>
  <c r="K104" i="295"/>
  <c r="K108" i="295"/>
  <c r="R133" i="295"/>
  <c r="AA57" i="302"/>
  <c r="BD21" i="281"/>
  <c r="J32" i="293"/>
  <c r="V29" i="253"/>
  <c r="AF15" i="273"/>
  <c r="AC149" i="273"/>
  <c r="AU136" i="273"/>
  <c r="AT136" i="273"/>
  <c r="AR146" i="273"/>
  <c r="AR147" i="273"/>
  <c r="BD54" i="276"/>
  <c r="BD62" i="276"/>
  <c r="Y51" i="276"/>
  <c r="AT107" i="276"/>
  <c r="AX76" i="277"/>
  <c r="AW74" i="277"/>
  <c r="AX43" i="277"/>
  <c r="AX55" i="277"/>
  <c r="AX77" i="277"/>
  <c r="BB54" i="277"/>
  <c r="BB76" i="277"/>
  <c r="G92" i="247"/>
  <c r="Y92" i="247"/>
  <c r="J40" i="26"/>
  <c r="J69" i="27"/>
  <c r="AF41" i="27"/>
  <c r="T31" i="278"/>
  <c r="BB26" i="279"/>
  <c r="F141" i="295"/>
  <c r="R26" i="302"/>
  <c r="AA37" i="302"/>
  <c r="BH21" i="281"/>
  <c r="O33" i="306"/>
  <c r="U32" i="306"/>
  <c r="R30" i="306"/>
  <c r="I30" i="306"/>
  <c r="F114" i="287"/>
  <c r="L19" i="253"/>
  <c r="O29" i="253"/>
  <c r="I149" i="273"/>
  <c r="W96" i="273"/>
  <c r="V51" i="273"/>
  <c r="V149" i="273"/>
  <c r="O136" i="273"/>
  <c r="Z20" i="263"/>
  <c r="Z76" i="263"/>
  <c r="X79" i="276"/>
  <c r="BC51" i="276"/>
  <c r="BC149" i="276" s="1"/>
  <c r="AF126" i="276"/>
  <c r="AF147" i="276"/>
  <c r="AN141" i="276"/>
  <c r="BB70" i="277"/>
  <c r="BB75" i="277"/>
  <c r="BB77" i="277"/>
  <c r="AT68" i="277"/>
  <c r="AT72" i="277"/>
  <c r="AC77" i="277"/>
  <c r="AK77" i="277"/>
  <c r="Y77" i="277"/>
  <c r="Z60" i="248"/>
  <c r="X21" i="284"/>
  <c r="AF37" i="284"/>
  <c r="J55" i="284"/>
  <c r="T59" i="26"/>
  <c r="T62" i="26"/>
  <c r="W57" i="26"/>
  <c r="AC46" i="27"/>
  <c r="BB9" i="279"/>
  <c r="G39" i="124"/>
  <c r="Z19" i="295"/>
  <c r="AC57" i="295"/>
  <c r="J75" i="295"/>
  <c r="AC74" i="295"/>
  <c r="AF95" i="295"/>
  <c r="Q100" i="295"/>
  <c r="Q138" i="295"/>
  <c r="F22" i="326"/>
  <c r="E104" i="266"/>
  <c r="E158" i="266"/>
  <c r="V37" i="271"/>
  <c r="AF126" i="295"/>
  <c r="AA33" i="302"/>
  <c r="N50" i="302"/>
  <c r="BG48" i="281"/>
  <c r="W24" i="233"/>
  <c r="C260" i="285"/>
  <c r="F290" i="285"/>
  <c r="L347" i="285"/>
  <c r="X103" i="270"/>
  <c r="G55" i="308"/>
  <c r="M115" i="318"/>
  <c r="N115" i="318"/>
  <c r="M151" i="318"/>
  <c r="N151" i="318"/>
  <c r="M169" i="318"/>
  <c r="N169" i="318"/>
  <c r="E193" i="318"/>
  <c r="X30" i="306"/>
  <c r="I37" i="306"/>
  <c r="O35" i="306"/>
  <c r="AO105" i="240"/>
  <c r="O24" i="344"/>
  <c r="O25" i="344"/>
  <c r="O20" i="344"/>
  <c r="O26" i="344"/>
  <c r="O14" i="344"/>
  <c r="O12" i="344"/>
  <c r="O23" i="344"/>
  <c r="O16" i="344"/>
  <c r="O18" i="344"/>
  <c r="O7" i="344"/>
  <c r="O29" i="344"/>
  <c r="AB29" i="344"/>
  <c r="X10" i="344"/>
  <c r="X18" i="344"/>
  <c r="X26" i="344"/>
  <c r="X14" i="344"/>
  <c r="X11" i="344"/>
  <c r="X19" i="344"/>
  <c r="X27" i="344"/>
  <c r="X22" i="344"/>
  <c r="X12" i="344"/>
  <c r="X20" i="344"/>
  <c r="X6" i="344"/>
  <c r="X13" i="344"/>
  <c r="X21" i="344"/>
  <c r="X7" i="344"/>
  <c r="X15" i="344"/>
  <c r="X23" i="344"/>
  <c r="X25" i="344"/>
  <c r="X8" i="344"/>
  <c r="X29" i="344" s="1"/>
  <c r="X16" i="344"/>
  <c r="X24" i="344"/>
  <c r="X17" i="344"/>
  <c r="AO30" i="123"/>
  <c r="F37" i="123"/>
  <c r="AP89" i="337"/>
  <c r="AY19" i="336"/>
  <c r="AD14" i="337"/>
  <c r="AI101" i="337"/>
  <c r="AR136" i="337"/>
  <c r="AF36" i="296"/>
  <c r="AP24" i="238"/>
  <c r="AO18" i="239"/>
  <c r="BR16" i="98"/>
  <c r="BR31" i="98"/>
  <c r="O32" i="202"/>
  <c r="BA69" i="263"/>
  <c r="AZ9" i="337"/>
  <c r="AZ31" i="337"/>
  <c r="AN26" i="284"/>
  <c r="J161" i="268"/>
  <c r="L161" i="268"/>
  <c r="L231" i="268" s="1"/>
  <c r="O22" i="344"/>
  <c r="AD10" i="306"/>
  <c r="AD32" i="306"/>
  <c r="BD36" i="123"/>
  <c r="BX15" i="123"/>
  <c r="AV29" i="337"/>
  <c r="AT84" i="337"/>
  <c r="BC14" i="336"/>
  <c r="AP79" i="337"/>
  <c r="AN24" i="237"/>
  <c r="AO35" i="239"/>
  <c r="AA34" i="306"/>
  <c r="BR28" i="98"/>
  <c r="BR34" i="98"/>
  <c r="BB14" i="337"/>
  <c r="AI34" i="295"/>
  <c r="AM19" i="284"/>
  <c r="G172" i="268"/>
  <c r="L169" i="268"/>
  <c r="L234" i="268" s="1"/>
  <c r="H92" i="319"/>
  <c r="J92" i="319"/>
  <c r="D77" i="308"/>
  <c r="D24" i="311"/>
  <c r="D20" i="309"/>
  <c r="E99" i="323"/>
  <c r="O35" i="172"/>
  <c r="O37" i="172"/>
  <c r="O14" i="172"/>
  <c r="O10" i="344"/>
  <c r="AP19" i="241"/>
  <c r="AR16" i="241"/>
  <c r="AP31" i="241"/>
  <c r="AQ24" i="241"/>
  <c r="AR22" i="241"/>
  <c r="AY85" i="274"/>
  <c r="AJ35" i="123"/>
  <c r="BX32" i="123"/>
  <c r="AX7" i="337"/>
  <c r="AX8" i="337"/>
  <c r="AX23" i="337"/>
  <c r="Z29" i="337"/>
  <c r="AU29" i="337"/>
  <c r="AP37" i="236"/>
  <c r="AP64" i="236"/>
  <c r="AO28" i="237"/>
  <c r="AP15" i="238"/>
  <c r="AM32" i="239"/>
  <c r="AP83" i="240"/>
  <c r="AP93" i="240"/>
  <c r="AN25" i="193"/>
  <c r="AM14" i="194"/>
  <c r="AG142" i="295"/>
  <c r="AI142" i="295"/>
  <c r="AH118" i="295"/>
  <c r="AI118" i="295"/>
  <c r="AN18" i="284"/>
  <c r="AN74" i="284"/>
  <c r="BN39" i="281"/>
  <c r="I161" i="268"/>
  <c r="I231" i="268" s="1"/>
  <c r="M78" i="318"/>
  <c r="N78" i="318"/>
  <c r="M81" i="318"/>
  <c r="N81" i="318"/>
  <c r="CC20" i="123"/>
  <c r="E101" i="308"/>
  <c r="F84" i="325"/>
  <c r="O21" i="344"/>
  <c r="AQ79" i="236"/>
  <c r="AR11" i="239"/>
  <c r="AP14" i="239"/>
  <c r="AP32" i="239"/>
  <c r="AP33" i="239"/>
  <c r="AR33" i="239"/>
  <c r="AP24" i="239"/>
  <c r="AQ105" i="240"/>
  <c r="AQ9" i="241"/>
  <c r="AR7" i="241"/>
  <c r="AQ32" i="241"/>
  <c r="F6" i="329"/>
  <c r="AU34" i="274"/>
  <c r="AJ32" i="123"/>
  <c r="AN38" i="123"/>
  <c r="Z14" i="337"/>
  <c r="AO22" i="241"/>
  <c r="AO25" i="193"/>
  <c r="AO19" i="284"/>
  <c r="AO36" i="284"/>
  <c r="AO38" i="284"/>
  <c r="BO10" i="281"/>
  <c r="BO24" i="281"/>
  <c r="BO28" i="281"/>
  <c r="BM48" i="281"/>
  <c r="X31" i="253"/>
  <c r="E77" i="308"/>
  <c r="P29" i="344"/>
  <c r="AS16" i="236"/>
  <c r="AS26" i="236"/>
  <c r="AR105" i="193"/>
  <c r="AT119" i="337"/>
  <c r="BD14" i="336"/>
  <c r="AX27" i="337"/>
  <c r="AD37" i="296"/>
  <c r="AO34" i="239"/>
  <c r="BR27" i="98"/>
  <c r="BR33" i="98"/>
  <c r="BT146" i="276"/>
  <c r="BA29" i="337"/>
  <c r="BA31" i="337"/>
  <c r="AG133" i="295"/>
  <c r="AI133" i="295"/>
  <c r="AI105" i="295"/>
  <c r="AI90" i="295"/>
  <c r="AG140" i="295"/>
  <c r="BM31" i="242"/>
  <c r="BN31" i="242"/>
  <c r="BO29" i="242"/>
  <c r="BL30" i="281"/>
  <c r="BL48" i="281"/>
  <c r="E161" i="268"/>
  <c r="G170" i="268"/>
  <c r="E171" i="268"/>
  <c r="K170" i="268"/>
  <c r="K226" i="268" s="1"/>
  <c r="D77" i="323"/>
  <c r="F19" i="327"/>
  <c r="F8" i="341"/>
  <c r="G21" i="331"/>
  <c r="H77" i="330"/>
  <c r="AQ24" i="237"/>
  <c r="AR23" i="237"/>
  <c r="S151" i="283"/>
  <c r="AA151" i="283"/>
  <c r="AY39" i="274"/>
  <c r="U32" i="123"/>
  <c r="AY15" i="123"/>
  <c r="AI31" i="337"/>
  <c r="AX49" i="337"/>
  <c r="AM14" i="237"/>
  <c r="AM19" i="237"/>
  <c r="AN29" i="237"/>
  <c r="AA15" i="306"/>
  <c r="AO17" i="239"/>
  <c r="AM24" i="241"/>
  <c r="AO24" i="241"/>
  <c r="BD115" i="273"/>
  <c r="BD136" i="273"/>
  <c r="AM20" i="284"/>
  <c r="AM34" i="284"/>
  <c r="BL31" i="242"/>
  <c r="C94" i="319"/>
  <c r="AE24" i="271"/>
  <c r="E57" i="339"/>
  <c r="J29" i="344"/>
  <c r="I18" i="344"/>
  <c r="I21" i="344"/>
  <c r="I13" i="344"/>
  <c r="I14" i="344"/>
  <c r="AS79" i="236"/>
  <c r="AW40" i="274"/>
  <c r="AY40" i="274"/>
  <c r="AO35" i="123"/>
  <c r="AT7" i="337"/>
  <c r="AT8" i="337"/>
  <c r="AT17" i="337"/>
  <c r="AT18" i="337"/>
  <c r="AT54" i="337"/>
  <c r="AL84" i="337"/>
  <c r="AU14" i="336"/>
  <c r="AP16" i="236"/>
  <c r="AP84" i="236"/>
  <c r="AP94" i="236"/>
  <c r="AP36" i="238"/>
  <c r="AP56" i="238"/>
  <c r="AP48" i="238"/>
  <c r="AN19" i="239"/>
  <c r="AN93" i="240"/>
  <c r="AP71" i="193"/>
  <c r="AP105" i="193"/>
  <c r="BP70" i="274"/>
  <c r="BP102" i="274"/>
  <c r="O30" i="202"/>
  <c r="AY60" i="263"/>
  <c r="BT15" i="276"/>
  <c r="BT51" i="276" s="1"/>
  <c r="BB19" i="337"/>
  <c r="AH123" i="295"/>
  <c r="AI122" i="295"/>
  <c r="AI100" i="295"/>
  <c r="M30" i="294"/>
  <c r="AM17" i="284"/>
  <c r="AM21" i="284"/>
  <c r="BO19" i="242"/>
  <c r="G77" i="319"/>
  <c r="M76" i="318"/>
  <c r="N76" i="318"/>
  <c r="M83" i="318"/>
  <c r="N83" i="318"/>
  <c r="AF103" i="270"/>
  <c r="G57" i="339"/>
  <c r="I57" i="339"/>
  <c r="O19" i="172"/>
  <c r="AS25" i="240"/>
  <c r="AS105" i="193"/>
  <c r="AT151" i="283"/>
  <c r="AQ64" i="284"/>
  <c r="AQ70" i="284"/>
  <c r="AJ70" i="284"/>
  <c r="AJ64" i="284"/>
  <c r="BF136" i="273"/>
  <c r="BF7" i="263"/>
  <c r="BE9" i="263"/>
  <c r="BF9" i="263"/>
  <c r="BE19" i="263"/>
  <c r="BF11" i="263"/>
  <c r="BD19" i="263"/>
  <c r="BF15" i="263"/>
  <c r="BC17" i="263"/>
  <c r="BE36" i="263"/>
  <c r="BF24" i="263"/>
  <c r="BC54" i="263"/>
  <c r="BF54" i="263"/>
  <c r="BC43" i="263"/>
  <c r="BE53" i="263"/>
  <c r="BE55" i="263"/>
  <c r="BE47" i="263"/>
  <c r="BF62" i="263"/>
  <c r="BC64" i="263"/>
  <c r="BF66" i="263"/>
  <c r="BE70" i="263"/>
  <c r="BC34" i="263"/>
  <c r="BC37" i="263"/>
  <c r="BC38" i="263"/>
  <c r="BF33" i="263"/>
  <c r="BO18" i="336"/>
  <c r="BF89" i="337"/>
  <c r="BO19" i="336"/>
  <c r="L28" i="342"/>
  <c r="M79" i="339"/>
  <c r="BK32" i="98"/>
  <c r="BM29" i="98"/>
  <c r="O78" i="173"/>
  <c r="AJ100" i="236"/>
  <c r="AS55" i="238"/>
  <c r="AQ14" i="239"/>
  <c r="AR14" i="239"/>
  <c r="AQ19" i="239"/>
  <c r="AR19" i="239"/>
  <c r="AR23" i="239"/>
  <c r="AP14" i="194"/>
  <c r="AR103" i="240"/>
  <c r="AR105" i="240"/>
  <c r="AF103" i="240"/>
  <c r="L51" i="283"/>
  <c r="I149" i="283"/>
  <c r="I151" i="283"/>
  <c r="AM71" i="284"/>
  <c r="AK54" i="284"/>
  <c r="AD64" i="284"/>
  <c r="AH69" i="284"/>
  <c r="AH74" i="284"/>
  <c r="AH60" i="284"/>
  <c r="AP26" i="284"/>
  <c r="AP37" i="284"/>
  <c r="AP38" i="284"/>
  <c r="BF68" i="263"/>
  <c r="BS39" i="281"/>
  <c r="BX17" i="278"/>
  <c r="F37" i="287"/>
  <c r="BP20" i="279"/>
  <c r="AD16" i="233"/>
  <c r="U12" i="344"/>
  <c r="U20" i="344"/>
  <c r="U6" i="344"/>
  <c r="U8" i="344"/>
  <c r="U16" i="344"/>
  <c r="U13" i="344"/>
  <c r="U29" i="344" s="1"/>
  <c r="U21" i="344"/>
  <c r="U24" i="344"/>
  <c r="U27" i="344"/>
  <c r="U14" i="344"/>
  <c r="U22" i="344"/>
  <c r="U19" i="344"/>
  <c r="U7" i="344"/>
  <c r="U15" i="344"/>
  <c r="U23" i="344"/>
  <c r="U17" i="344"/>
  <c r="U25" i="344"/>
  <c r="U10" i="344"/>
  <c r="U18" i="344"/>
  <c r="U26" i="344"/>
  <c r="U11" i="344"/>
  <c r="P25" i="314"/>
  <c r="AR28" i="237"/>
  <c r="AR18" i="239"/>
  <c r="AQ104" i="236"/>
  <c r="AQ106" i="236"/>
  <c r="AI103" i="238"/>
  <c r="AI105" i="238"/>
  <c r="AP9" i="194"/>
  <c r="AQ32" i="194"/>
  <c r="AQ37" i="194"/>
  <c r="AP24" i="194"/>
  <c r="AQ34" i="241"/>
  <c r="AR34" i="241"/>
  <c r="BX54" i="276"/>
  <c r="BX62" i="276" s="1"/>
  <c r="R51" i="283"/>
  <c r="AM62" i="283"/>
  <c r="AM151" i="283"/>
  <c r="AH109" i="283"/>
  <c r="E149" i="283"/>
  <c r="E151" i="283"/>
  <c r="AC149" i="283"/>
  <c r="AJ54" i="284"/>
  <c r="AJ47" i="284"/>
  <c r="AK47" i="284"/>
  <c r="AD54" i="284"/>
  <c r="AD51" i="284"/>
  <c r="AD55" i="284"/>
  <c r="AO51" i="284"/>
  <c r="AO52" i="284"/>
  <c r="BU19" i="277"/>
  <c r="BU17" i="277"/>
  <c r="BS26" i="277"/>
  <c r="BV26" i="277"/>
  <c r="BS37" i="277"/>
  <c r="BV32" i="277"/>
  <c r="BS34" i="277"/>
  <c r="BV49" i="277"/>
  <c r="BT51" i="277"/>
  <c r="BV51" i="277" s="1"/>
  <c r="BS70" i="277"/>
  <c r="BS60" i="277"/>
  <c r="BT68" i="277"/>
  <c r="BT70" i="277"/>
  <c r="BV66" i="277"/>
  <c r="BT43" i="277"/>
  <c r="BV43" i="277" s="1"/>
  <c r="BD34" i="263"/>
  <c r="BF58" i="263"/>
  <c r="P28" i="292"/>
  <c r="P27" i="292"/>
  <c r="P26" i="292"/>
  <c r="H34" i="292"/>
  <c r="H32" i="292"/>
  <c r="H33" i="292"/>
  <c r="AH27" i="271"/>
  <c r="I8" i="342"/>
  <c r="J26" i="339"/>
  <c r="BT14" i="98"/>
  <c r="AH16" i="233"/>
  <c r="BL29" i="98"/>
  <c r="J87" i="314"/>
  <c r="J101" i="314"/>
  <c r="BA32" i="234"/>
  <c r="R32" i="282"/>
  <c r="AR22" i="237"/>
  <c r="AR24" i="237"/>
  <c r="AS15" i="238"/>
  <c r="AQ105" i="238"/>
  <c r="AR32" i="194"/>
  <c r="AR37" i="194"/>
  <c r="AL53" i="284"/>
  <c r="AL75" i="284"/>
  <c r="AL43" i="284"/>
  <c r="AN64" i="284"/>
  <c r="AN70" i="284"/>
  <c r="AM69" i="284"/>
  <c r="AM64" i="284"/>
  <c r="AM72" i="284"/>
  <c r="AI68" i="284"/>
  <c r="AI72" i="284"/>
  <c r="AI71" i="284"/>
  <c r="Q201" i="268"/>
  <c r="Q50" i="268"/>
  <c r="BV8" i="277"/>
  <c r="BU9" i="277"/>
  <c r="BT20" i="277"/>
  <c r="BT13" i="277"/>
  <c r="BT21" i="277" s="1"/>
  <c r="BV12" i="277"/>
  <c r="BH115" i="273"/>
  <c r="BF12" i="263"/>
  <c r="BD20" i="263"/>
  <c r="BC20" i="263"/>
  <c r="BF16" i="263"/>
  <c r="BF25" i="263"/>
  <c r="BE37" i="263"/>
  <c r="BC47" i="263"/>
  <c r="BF44" i="263"/>
  <c r="BE51" i="263"/>
  <c r="BF50" i="263"/>
  <c r="BF59" i="263"/>
  <c r="BD71" i="263"/>
  <c r="BD72" i="263"/>
  <c r="BF63" i="263"/>
  <c r="BC71" i="263"/>
  <c r="BH68" i="273"/>
  <c r="BH96" i="273"/>
  <c r="I45" i="319"/>
  <c r="H45" i="319"/>
  <c r="J45" i="319"/>
  <c r="J28" i="329"/>
  <c r="K99" i="325"/>
  <c r="E65" i="287"/>
  <c r="BK31" i="98"/>
  <c r="BK37" i="98"/>
  <c r="BO19" i="98"/>
  <c r="BA24" i="234"/>
  <c r="BA33" i="234"/>
  <c r="AR13" i="237"/>
  <c r="AS37" i="236"/>
  <c r="AS56" i="236"/>
  <c r="AR6" i="237"/>
  <c r="AP31" i="237"/>
  <c r="AR31" i="237"/>
  <c r="AQ32" i="239"/>
  <c r="AN104" i="236"/>
  <c r="AB103" i="238"/>
  <c r="AR24" i="241"/>
  <c r="AB103" i="240"/>
  <c r="AB105" i="240"/>
  <c r="AJ99" i="240"/>
  <c r="AE103" i="240"/>
  <c r="H51" i="283"/>
  <c r="AI62" i="283"/>
  <c r="L109" i="283"/>
  <c r="T109" i="283"/>
  <c r="T151" i="283"/>
  <c r="AB109" i="283"/>
  <c r="AJ109" i="283"/>
  <c r="Q149" i="283"/>
  <c r="Q151" i="283"/>
  <c r="AN51" i="284"/>
  <c r="AF53" i="284"/>
  <c r="AK52" i="284"/>
  <c r="AK74" i="284"/>
  <c r="AJ71" i="284"/>
  <c r="AJ60" i="284"/>
  <c r="AH70" i="284"/>
  <c r="AD69" i="284"/>
  <c r="AD74" i="284"/>
  <c r="AD60" i="284"/>
  <c r="AP71" i="284"/>
  <c r="AP76" i="284"/>
  <c r="AP60" i="284"/>
  <c r="BV7" i="277"/>
  <c r="BE26" i="263"/>
  <c r="BF26" i="263"/>
  <c r="BC52" i="263"/>
  <c r="BC19" i="263"/>
  <c r="BE24" i="337"/>
  <c r="BF21" i="337"/>
  <c r="W25" i="314"/>
  <c r="J16" i="331"/>
  <c r="BP19" i="98"/>
  <c r="BO29" i="98"/>
  <c r="O24" i="173"/>
  <c r="O102" i="173"/>
  <c r="O39" i="173"/>
  <c r="AP24" i="237"/>
  <c r="AI33" i="296"/>
  <c r="AI104" i="236"/>
  <c r="AD104" i="236"/>
  <c r="AS48" i="238"/>
  <c r="AS72" i="238"/>
  <c r="AS78" i="238"/>
  <c r="AQ9" i="239"/>
  <c r="AR24" i="239"/>
  <c r="AQ29" i="239"/>
  <c r="AH103" i="238"/>
  <c r="AH105" i="238"/>
  <c r="AR7" i="239"/>
  <c r="AL103" i="240"/>
  <c r="K51" i="283"/>
  <c r="K151" i="283"/>
  <c r="AO47" i="284"/>
  <c r="AO54" i="284"/>
  <c r="AO76" i="284"/>
  <c r="AH47" i="284"/>
  <c r="AH55" i="284"/>
  <c r="AH53" i="284"/>
  <c r="AQ47" i="284"/>
  <c r="AQ52" i="284"/>
  <c r="AQ74" i="284"/>
  <c r="AG47" i="284"/>
  <c r="AG55" i="284"/>
  <c r="AG52" i="284"/>
  <c r="AG74" i="284"/>
  <c r="AR51" i="284"/>
  <c r="AR53" i="284"/>
  <c r="AR75" i="284"/>
  <c r="AF52" i="284"/>
  <c r="AF47" i="284"/>
  <c r="AF55" i="284"/>
  <c r="BV14" i="277"/>
  <c r="BS17" i="277"/>
  <c r="BS21" i="277" s="1"/>
  <c r="BS18" i="277"/>
  <c r="BS30" i="277"/>
  <c r="BS36" i="277"/>
  <c r="BV28" i="277"/>
  <c r="BT34" i="277"/>
  <c r="BV33" i="277"/>
  <c r="BV44" i="277"/>
  <c r="BS52" i="277"/>
  <c r="BV62" i="277"/>
  <c r="BU70" i="277"/>
  <c r="BC70" i="263"/>
  <c r="BG149" i="273"/>
  <c r="BF67" i="263"/>
  <c r="AJ142" i="295"/>
  <c r="AL127" i="295"/>
  <c r="C63" i="319"/>
  <c r="BS12" i="281"/>
  <c r="I26" i="340"/>
  <c r="BU100" i="274"/>
  <c r="BV25" i="274"/>
  <c r="AH12" i="233"/>
  <c r="AF30" i="233"/>
  <c r="AH30" i="233"/>
  <c r="AJ99" i="238"/>
  <c r="AN103" i="240"/>
  <c r="AH51" i="283"/>
  <c r="AH151" i="283"/>
  <c r="AP109" i="283"/>
  <c r="AL60" i="284"/>
  <c r="AL72" i="284"/>
  <c r="AR54" i="284"/>
  <c r="AR76" i="284"/>
  <c r="AI53" i="284"/>
  <c r="AI43" i="284"/>
  <c r="AI55" i="284"/>
  <c r="BU18" i="277"/>
  <c r="BU13" i="277"/>
  <c r="BF69" i="263"/>
  <c r="BF32" i="263"/>
  <c r="AJ123" i="295"/>
  <c r="BU20" i="279"/>
  <c r="BU9" i="279"/>
  <c r="BQ32" i="98"/>
  <c r="BQ37" i="98"/>
  <c r="X24" i="253"/>
  <c r="AB104" i="236"/>
  <c r="AD25" i="306"/>
  <c r="AD103" i="240"/>
  <c r="AR28" i="241"/>
  <c r="AJ51" i="283"/>
  <c r="V109" i="283"/>
  <c r="AI52" i="284"/>
  <c r="AE43" i="284"/>
  <c r="AE55" i="284"/>
  <c r="AE60" i="284"/>
  <c r="AE72" i="284"/>
  <c r="AP13" i="284"/>
  <c r="AP21" i="284"/>
  <c r="BS71" i="277"/>
  <c r="P35" i="202"/>
  <c r="M32" i="292"/>
  <c r="M35" i="292"/>
  <c r="E63" i="319"/>
  <c r="M23" i="342"/>
  <c r="N102" i="339"/>
  <c r="I27" i="331"/>
  <c r="BV62" i="279"/>
  <c r="BV64" i="279"/>
  <c r="BS64" i="279"/>
  <c r="AH6" i="233"/>
  <c r="AE26" i="233"/>
  <c r="AR43" i="284"/>
  <c r="AK51" i="284"/>
  <c r="AL71" i="284"/>
  <c r="BT37" i="277"/>
  <c r="BU53" i="277"/>
  <c r="BF8" i="263"/>
  <c r="BF46" i="263"/>
  <c r="P30" i="291"/>
  <c r="BF12" i="337"/>
  <c r="BF17" i="337"/>
  <c r="BF19" i="337"/>
  <c r="BF44" i="337"/>
  <c r="BF59" i="337"/>
  <c r="BC66" i="337"/>
  <c r="BC101" i="337"/>
  <c r="BF134" i="337"/>
  <c r="BP29" i="336"/>
  <c r="BQ29" i="336" s="1"/>
  <c r="P10" i="202"/>
  <c r="N30" i="294"/>
  <c r="H61" i="319"/>
  <c r="J61" i="319"/>
  <c r="Y19" i="253"/>
  <c r="AI9" i="297"/>
  <c r="D65" i="287"/>
  <c r="BV10" i="277"/>
  <c r="BV16" i="277"/>
  <c r="BV20" i="277" s="1"/>
  <c r="BV67" i="277"/>
  <c r="BH50" i="273"/>
  <c r="BH130" i="273"/>
  <c r="BH135" i="273"/>
  <c r="AJ128" i="295"/>
  <c r="N29" i="294"/>
  <c r="G51" i="319"/>
  <c r="P36" i="243"/>
  <c r="L22" i="324"/>
  <c r="Y94" i="275"/>
  <c r="P39" i="173"/>
  <c r="BV16" i="279"/>
  <c r="AH17" i="233"/>
  <c r="F47" i="287"/>
  <c r="F53" i="287"/>
  <c r="AP53" i="284"/>
  <c r="AD71" i="284"/>
  <c r="AM70" i="284"/>
  <c r="AJ68" i="284"/>
  <c r="AS36" i="240"/>
  <c r="AS56" i="240"/>
  <c r="AK138" i="295"/>
  <c r="AL138" i="295"/>
  <c r="E16" i="292"/>
  <c r="BE19" i="234"/>
  <c r="BE33" i="234"/>
  <c r="G46" i="319"/>
  <c r="H46" i="319"/>
  <c r="J46" i="319"/>
  <c r="BS31" i="242"/>
  <c r="L38" i="325"/>
  <c r="AI31" i="297"/>
  <c r="AN47" i="284"/>
  <c r="AQ68" i="284"/>
  <c r="BC18" i="263"/>
  <c r="BF18" i="337"/>
  <c r="BF54" i="337"/>
  <c r="L37" i="327"/>
  <c r="K11" i="328"/>
  <c r="BU19" i="98"/>
  <c r="AH8" i="233"/>
  <c r="AE70" i="284"/>
  <c r="AP72" i="284"/>
  <c r="BV15" i="277"/>
  <c r="BH15" i="273"/>
  <c r="BF51" i="273"/>
  <c r="BF149" i="273"/>
  <c r="BE136" i="273"/>
  <c r="BE149" i="273"/>
  <c r="BC136" i="337"/>
  <c r="BT9" i="242"/>
  <c r="BQ39" i="281"/>
  <c r="K24" i="312"/>
  <c r="K55" i="324"/>
  <c r="P100" i="173"/>
  <c r="BU53" i="279"/>
  <c r="L156" i="266"/>
  <c r="AF29" i="233"/>
  <c r="AL54" i="284"/>
  <c r="AJ69" i="284"/>
  <c r="AJ74" i="284"/>
  <c r="BU69" i="277"/>
  <c r="AL9" i="295"/>
  <c r="AK143" i="295"/>
  <c r="BQ16" i="336"/>
  <c r="O93" i="336" s="1"/>
  <c r="L29" i="330"/>
  <c r="K12" i="331"/>
  <c r="K35" i="331"/>
  <c r="J73" i="324"/>
  <c r="Y26" i="275"/>
  <c r="P78" i="173"/>
  <c r="P9" i="172"/>
  <c r="BU25" i="274"/>
  <c r="BS36" i="279"/>
  <c r="BS43" i="279"/>
  <c r="AG93" i="238"/>
  <c r="AH37" i="239"/>
  <c r="AI32" i="239"/>
  <c r="AD78" i="238"/>
  <c r="AG78" i="238"/>
  <c r="AM37" i="239"/>
  <c r="AL32" i="239"/>
  <c r="AN32" i="239"/>
  <c r="AO32" i="239"/>
  <c r="AN14" i="239"/>
  <c r="AO14" i="239"/>
  <c r="AN9" i="239"/>
  <c r="AL12" i="239"/>
  <c r="AI29" i="239"/>
  <c r="AF28" i="239"/>
  <c r="AE19" i="239"/>
  <c r="AF19" i="239"/>
  <c r="AI11" i="239"/>
  <c r="AI8" i="239"/>
  <c r="AH24" i="239"/>
  <c r="AI24" i="239"/>
  <c r="AJ31" i="239"/>
  <c r="AG33" i="239"/>
  <c r="AI33" i="239"/>
  <c r="AR36" i="239"/>
  <c r="AP9" i="239"/>
  <c r="AR9" i="239"/>
  <c r="AR29" i="239"/>
  <c r="AQ31" i="239"/>
  <c r="AQ37" i="239"/>
  <c r="AM19" i="239"/>
  <c r="AO19" i="239"/>
  <c r="AL27" i="239"/>
  <c r="AF13" i="239"/>
  <c r="AK34" i="239"/>
  <c r="AL34" i="239"/>
  <c r="AG31" i="239"/>
  <c r="AI31" i="239"/>
  <c r="AJ14" i="239"/>
  <c r="AL14" i="239"/>
  <c r="AG34" i="239"/>
  <c r="AM9" i="239"/>
  <c r="AE29" i="239"/>
  <c r="AF29" i="239"/>
  <c r="AO7" i="239"/>
  <c r="AD31" i="239"/>
  <c r="AD37" i="239"/>
  <c r="AI21" i="239"/>
  <c r="AG15" i="238"/>
  <c r="L87" i="238"/>
  <c r="L93" i="238"/>
  <c r="L105" i="238"/>
  <c r="AR17" i="239"/>
  <c r="AR21" i="239"/>
  <c r="AL6" i="239"/>
  <c r="O93" i="238"/>
  <c r="O105" i="238"/>
  <c r="X93" i="238"/>
  <c r="AG24" i="238"/>
  <c r="AG25" i="238"/>
  <c r="AA36" i="238"/>
  <c r="AA56" i="238"/>
  <c r="AD83" i="238"/>
  <c r="AA83" i="238"/>
  <c r="U92" i="238"/>
  <c r="U93" i="238"/>
  <c r="U105" i="238"/>
  <c r="AF7" i="239"/>
  <c r="AI23" i="239"/>
  <c r="AO12" i="239"/>
  <c r="AO26" i="239"/>
  <c r="AS57" i="236"/>
  <c r="AK37" i="237"/>
  <c r="AM79" i="236"/>
  <c r="AH34" i="237"/>
  <c r="AI34" i="237"/>
  <c r="AO17" i="237"/>
  <c r="AL12" i="237"/>
  <c r="AL14" i="237"/>
  <c r="AO21" i="237"/>
  <c r="AO24" i="237"/>
  <c r="AF33" i="237"/>
  <c r="AI33" i="237"/>
  <c r="AF11" i="237"/>
  <c r="AJ14" i="237"/>
  <c r="AL31" i="237"/>
  <c r="AM32" i="237"/>
  <c r="AO32" i="237"/>
  <c r="AF12" i="237"/>
  <c r="AA37" i="236"/>
  <c r="AM37" i="236"/>
  <c r="AL7" i="237"/>
  <c r="AL9" i="237"/>
  <c r="AE32" i="237"/>
  <c r="AO11" i="237"/>
  <c r="AP19" i="237"/>
  <c r="AQ33" i="237"/>
  <c r="AR33" i="237"/>
  <c r="AR8" i="237"/>
  <c r="AR9" i="237"/>
  <c r="AQ14" i="237"/>
  <c r="AR17" i="237"/>
  <c r="AR19" i="237"/>
  <c r="AR34" i="237"/>
  <c r="AH9" i="237"/>
  <c r="AI29" i="237"/>
  <c r="AO34" i="237"/>
  <c r="AD14" i="237"/>
  <c r="AN31" i="237"/>
  <c r="AH24" i="237"/>
  <c r="AG14" i="237"/>
  <c r="AI6" i="237"/>
  <c r="AI9" i="237"/>
  <c r="AA84" i="236"/>
  <c r="AA94" i="236"/>
  <c r="AO12" i="237"/>
  <c r="AR12" i="237"/>
  <c r="AR14" i="237"/>
  <c r="AQ9" i="237"/>
  <c r="AF34" i="237"/>
  <c r="AM57" i="236"/>
  <c r="AL32" i="237"/>
  <c r="AI13" i="237"/>
  <c r="AO13" i="237"/>
  <c r="AH32" i="237"/>
  <c r="AI32" i="237"/>
  <c r="AG73" i="236"/>
  <c r="AK14" i="237"/>
  <c r="AP49" i="236"/>
  <c r="AN9" i="237"/>
  <c r="AO26" i="237"/>
  <c r="AO29" i="237"/>
  <c r="AN33" i="237"/>
  <c r="AO33" i="237"/>
  <c r="AR27" i="237"/>
  <c r="AR29" i="237"/>
  <c r="N69" i="268"/>
  <c r="P67" i="268"/>
  <c r="P83" i="268" s="1"/>
  <c r="Q70" i="268"/>
  <c r="Q219" i="268" s="1"/>
  <c r="Q46" i="268"/>
  <c r="Q59" i="268"/>
  <c r="E4" i="303"/>
  <c r="E6" i="303"/>
  <c r="G14" i="303"/>
  <c r="G10" i="303"/>
  <c r="I38" i="288"/>
  <c r="G49" i="288"/>
  <c r="J70" i="288"/>
  <c r="H61" i="288"/>
  <c r="J57" i="288"/>
  <c r="J58" i="288"/>
  <c r="J71" i="288"/>
  <c r="J74" i="288"/>
  <c r="J48" i="288"/>
  <c r="I49" i="288"/>
  <c r="J44" i="288"/>
  <c r="J55" i="288"/>
  <c r="D24" i="288"/>
  <c r="G61" i="288"/>
  <c r="G75" i="288"/>
  <c r="J32" i="288"/>
  <c r="J18" i="288"/>
  <c r="J21" i="288"/>
  <c r="J59" i="288"/>
  <c r="J47" i="288"/>
  <c r="J60" i="288"/>
  <c r="J46" i="288"/>
  <c r="J33" i="288"/>
  <c r="J34" i="288"/>
  <c r="J35" i="288"/>
  <c r="J36" i="288"/>
  <c r="J37" i="288"/>
  <c r="H49" i="288"/>
  <c r="J45" i="288"/>
  <c r="J73" i="288"/>
  <c r="D38" i="288"/>
  <c r="J22" i="288"/>
  <c r="E39" i="293"/>
  <c r="E37" i="293"/>
  <c r="E40" i="293"/>
  <c r="E35" i="293"/>
  <c r="J36" i="293"/>
  <c r="J35" i="293"/>
  <c r="J40" i="293"/>
  <c r="J37" i="293"/>
  <c r="J38" i="293"/>
  <c r="J39" i="293"/>
  <c r="K37" i="293"/>
  <c r="K36" i="293"/>
  <c r="K35" i="293"/>
  <c r="K40" i="293"/>
  <c r="K38" i="293"/>
  <c r="K39" i="293"/>
  <c r="E38" i="293"/>
  <c r="C39" i="293"/>
  <c r="C38" i="293"/>
  <c r="L41" i="293"/>
  <c r="D38" i="293"/>
  <c r="D39" i="293"/>
  <c r="D40" i="293"/>
  <c r="E36" i="293"/>
  <c r="D35" i="293"/>
  <c r="F40" i="293"/>
  <c r="F39" i="293"/>
  <c r="G32" i="293"/>
  <c r="G37" i="293"/>
  <c r="F38" i="293"/>
  <c r="F35" i="293"/>
  <c r="N32" i="293"/>
  <c r="N38" i="293"/>
  <c r="F32" i="294"/>
  <c r="G32" i="294"/>
  <c r="BG45" i="281"/>
  <c r="BI45" i="281"/>
  <c r="BD11" i="281"/>
  <c r="BA11" i="281"/>
  <c r="BB11" i="281"/>
  <c r="BG16" i="281"/>
  <c r="BJ21" i="281"/>
  <c r="BG22" i="281"/>
  <c r="BF16" i="281"/>
  <c r="BH45" i="281"/>
  <c r="BH20" i="281"/>
  <c r="BI20" i="281"/>
  <c r="BG7" i="281"/>
  <c r="BF7" i="281"/>
  <c r="BH7" i="281"/>
  <c r="BG18" i="281"/>
  <c r="BI18" i="281"/>
  <c r="BH18" i="281"/>
  <c r="BH9" i="281"/>
  <c r="BA34" i="281"/>
  <c r="BC34" i="281"/>
  <c r="BF9" i="281"/>
  <c r="BI9" i="281"/>
  <c r="BD45" i="281"/>
  <c r="BB45" i="281"/>
  <c r="BA45" i="281"/>
  <c r="BF38" i="281"/>
  <c r="BG38" i="281"/>
  <c r="BI38" i="281"/>
  <c r="BL25" i="281"/>
  <c r="BM25" i="281"/>
  <c r="BN25" i="281"/>
  <c r="BK29" i="281"/>
  <c r="BM29" i="281"/>
  <c r="BL29" i="281"/>
  <c r="BN29" i="281"/>
  <c r="BB34" i="281"/>
  <c r="BB7" i="281"/>
  <c r="BE7" i="281"/>
  <c r="BA7" i="281"/>
  <c r="BI25" i="281"/>
  <c r="BF25" i="281"/>
  <c r="BG43" i="281"/>
  <c r="BI43" i="281"/>
  <c r="BD7" i="281"/>
  <c r="BC11" i="281"/>
  <c r="BF18" i="281"/>
  <c r="BJ18" i="281"/>
  <c r="BB20" i="281"/>
  <c r="BE20" i="281"/>
  <c r="BF20" i="281"/>
  <c r="BA25" i="281"/>
  <c r="BD39" i="281"/>
  <c r="BD34" i="281"/>
  <c r="BH43" i="281"/>
  <c r="BC45" i="281"/>
  <c r="BK11" i="281"/>
  <c r="BM51" i="281"/>
  <c r="BO15" i="281"/>
  <c r="BK16" i="281"/>
  <c r="BM38" i="281"/>
  <c r="BF43" i="281"/>
  <c r="BH16" i="281"/>
  <c r="BD20" i="281"/>
  <c r="BE46" i="281"/>
  <c r="BD48" i="281"/>
  <c r="BE24" i="281"/>
  <c r="BJ33" i="281"/>
  <c r="BI34" i="281"/>
  <c r="BO44" i="281"/>
  <c r="BK45" i="281"/>
  <c r="BN21" i="281"/>
  <c r="BN38" i="281"/>
  <c r="BS16" i="281"/>
  <c r="BQ48" i="281"/>
  <c r="BN51" i="281"/>
  <c r="BL12" i="281"/>
  <c r="BO6" i="281"/>
  <c r="BL7" i="281"/>
  <c r="BK12" i="281"/>
  <c r="BO8" i="281"/>
  <c r="BO17" i="281"/>
  <c r="BK18" i="281"/>
  <c r="BO19" i="281"/>
  <c r="BK20" i="281"/>
  <c r="BK25" i="281"/>
  <c r="BK30" i="281"/>
  <c r="BM34" i="281"/>
  <c r="BL34" i="281"/>
  <c r="BO34" i="281"/>
  <c r="BK48" i="281"/>
  <c r="BO42" i="281"/>
  <c r="BN34" i="281"/>
  <c r="BA20" i="281"/>
  <c r="BI39" i="281"/>
  <c r="BE42" i="281"/>
  <c r="BD43" i="281"/>
  <c r="BD12" i="281"/>
  <c r="BE35" i="281"/>
  <c r="BA21" i="281"/>
  <c r="BA51" i="281"/>
  <c r="BC7" i="281"/>
  <c r="BC12" i="281"/>
  <c r="BE8" i="281"/>
  <c r="BB9" i="281"/>
  <c r="BB12" i="281"/>
  <c r="BG9" i="281"/>
  <c r="BJ10" i="281"/>
  <c r="BG11" i="281"/>
  <c r="BE15" i="281"/>
  <c r="BB21" i="281"/>
  <c r="BD30" i="281"/>
  <c r="BH25" i="281"/>
  <c r="BC27" i="281"/>
  <c r="BE26" i="281"/>
  <c r="BJ26" i="281"/>
  <c r="BJ30" i="281"/>
  <c r="BE28" i="281"/>
  <c r="BJ28" i="281"/>
  <c r="BH29" i="281"/>
  <c r="BJ35" i="281"/>
  <c r="BH36" i="281"/>
  <c r="BE37" i="281"/>
  <c r="BD38" i="281"/>
  <c r="BC38" i="281"/>
  <c r="BC43" i="281"/>
  <c r="BC48" i="281"/>
  <c r="BH48" i="281"/>
  <c r="BH51" i="281"/>
  <c r="BB47" i="281"/>
  <c r="BJ46" i="281"/>
  <c r="BG47" i="281"/>
  <c r="BL21" i="281"/>
  <c r="BL16" i="281"/>
  <c r="BG12" i="281"/>
  <c r="BO26" i="281"/>
  <c r="BO46" i="281"/>
  <c r="BR21" i="281"/>
  <c r="BT35" i="281"/>
  <c r="BR36" i="281"/>
  <c r="BP48" i="281"/>
  <c r="BT8" i="281"/>
  <c r="BP9" i="281"/>
  <c r="BS21" i="281"/>
  <c r="BT26" i="281"/>
  <c r="BQ27" i="281"/>
  <c r="H32" i="282"/>
  <c r="C32" i="282"/>
  <c r="E32" i="282"/>
  <c r="BV19" i="98"/>
  <c r="BN69" i="279"/>
  <c r="AD37" i="237"/>
  <c r="AO24" i="239"/>
  <c r="AO31" i="239"/>
  <c r="AO19" i="237"/>
  <c r="AA79" i="236"/>
  <c r="AJ57" i="236"/>
  <c r="AI34" i="239"/>
  <c r="AD93" i="238"/>
  <c r="X105" i="238"/>
  <c r="AL32" i="241"/>
  <c r="AF32" i="241"/>
  <c r="AF37" i="241"/>
  <c r="V77" i="279"/>
  <c r="AN37" i="241"/>
  <c r="AH37" i="241"/>
  <c r="AE37" i="241"/>
  <c r="AF9" i="239"/>
  <c r="AI19" i="237"/>
  <c r="BV31" i="98"/>
  <c r="F29" i="233"/>
  <c r="AM37" i="241"/>
  <c r="AL33" i="237"/>
  <c r="AD57" i="236"/>
  <c r="AD106" i="236"/>
  <c r="AF31" i="239"/>
  <c r="AF37" i="239"/>
  <c r="BG75" i="277"/>
  <c r="AY100" i="274"/>
  <c r="BS25" i="274"/>
  <c r="BS102" i="274"/>
  <c r="F180" i="287"/>
  <c r="H151" i="336"/>
  <c r="H33" i="291"/>
  <c r="H34" i="291"/>
  <c r="H39" i="291"/>
  <c r="H5" i="303"/>
  <c r="W37" i="253"/>
  <c r="C40" i="293"/>
  <c r="AH9" i="98"/>
  <c r="D32" i="294"/>
  <c r="BF45" i="281"/>
  <c r="BJ45" i="281"/>
  <c r="BI29" i="281"/>
  <c r="H32" i="294"/>
  <c r="Z138" i="295"/>
  <c r="AB62" i="26"/>
  <c r="N62" i="248"/>
  <c r="W105" i="240"/>
  <c r="I105" i="240"/>
  <c r="AD72" i="263"/>
  <c r="M105" i="240"/>
  <c r="L102" i="173"/>
  <c r="S149" i="276"/>
  <c r="E153" i="267"/>
  <c r="N38" i="291"/>
  <c r="N33" i="291"/>
  <c r="BP37" i="98"/>
  <c r="AM102" i="274"/>
  <c r="BJ16" i="281"/>
  <c r="H6" i="303"/>
  <c r="BO102" i="274"/>
  <c r="M39" i="291"/>
  <c r="BN32" i="98"/>
  <c r="AY70" i="274"/>
  <c r="AL9" i="98"/>
  <c r="AD33" i="98"/>
  <c r="AD37" i="98"/>
  <c r="E34" i="300"/>
  <c r="R37" i="98"/>
  <c r="H37" i="291"/>
  <c r="J39" i="291"/>
  <c r="C37" i="293"/>
  <c r="X37" i="98"/>
  <c r="K32" i="294"/>
  <c r="BI36" i="281"/>
  <c r="M37" i="291"/>
  <c r="Z128" i="295"/>
  <c r="E102" i="173"/>
  <c r="AC37" i="296"/>
  <c r="W37" i="296"/>
  <c r="I105" i="193"/>
  <c r="AF105" i="193"/>
  <c r="P136" i="273"/>
  <c r="AP37" i="98"/>
  <c r="H34" i="300"/>
  <c r="BJ31" i="98"/>
  <c r="H38" i="291"/>
  <c r="C35" i="293"/>
  <c r="N146" i="295"/>
  <c r="AF71" i="27"/>
  <c r="P105" i="193"/>
  <c r="K39" i="291"/>
  <c r="AJ16" i="236"/>
  <c r="AJ26" i="236"/>
  <c r="AM25" i="236"/>
  <c r="F26" i="236"/>
  <c r="F106" i="236"/>
  <c r="H79" i="236"/>
  <c r="H106" i="236"/>
  <c r="AF79" i="236"/>
  <c r="AF106" i="236"/>
  <c r="Z37" i="237"/>
  <c r="Q14" i="296"/>
  <c r="T31" i="296"/>
  <c r="AJ20" i="238"/>
  <c r="AJ25" i="238"/>
  <c r="P25" i="238"/>
  <c r="P105" i="238"/>
  <c r="AC25" i="238"/>
  <c r="AC105" i="238"/>
  <c r="AD15" i="238"/>
  <c r="AK25" i="238"/>
  <c r="AK105" i="238"/>
  <c r="AJ36" i="238"/>
  <c r="AJ56" i="238"/>
  <c r="AD36" i="238"/>
  <c r="AD56" i="238"/>
  <c r="J56" i="238"/>
  <c r="J105" i="238"/>
  <c r="Y56" i="238"/>
  <c r="Y105" i="238"/>
  <c r="AM77" i="238"/>
  <c r="AM78" i="238"/>
  <c r="H78" i="238"/>
  <c r="AE93" i="238"/>
  <c r="D14" i="303"/>
  <c r="Z78" i="240"/>
  <c r="Z105" i="240"/>
  <c r="AJ93" i="240"/>
  <c r="Q93" i="240"/>
  <c r="Q105" i="240"/>
  <c r="AE93" i="240"/>
  <c r="AE105" i="240"/>
  <c r="AJ19" i="241"/>
  <c r="AL19" i="241"/>
  <c r="AC37" i="241"/>
  <c r="N6" i="304"/>
  <c r="AG71" i="193"/>
  <c r="AG103" i="193"/>
  <c r="AI9" i="194"/>
  <c r="F37" i="227"/>
  <c r="D37" i="229"/>
  <c r="J24" i="201"/>
  <c r="E24" i="201"/>
  <c r="E102" i="201"/>
  <c r="O102" i="201"/>
  <c r="M102" i="201"/>
  <c r="J38" i="202"/>
  <c r="U25" i="274"/>
  <c r="U102" i="274"/>
  <c r="BM40" i="274"/>
  <c r="BM102" i="274"/>
  <c r="X100" i="274"/>
  <c r="X102" i="274"/>
  <c r="BH37" i="98"/>
  <c r="Z37" i="297"/>
  <c r="T19" i="297"/>
  <c r="K102" i="173"/>
  <c r="N102" i="173"/>
  <c r="I37" i="172"/>
  <c r="V26" i="275"/>
  <c r="V104" i="275"/>
  <c r="AN32" i="273"/>
  <c r="AN51" i="273"/>
  <c r="AT51" i="273"/>
  <c r="AT149" i="273"/>
  <c r="AR50" i="273"/>
  <c r="AR51" i="273"/>
  <c r="AP51" i="273"/>
  <c r="L95" i="273"/>
  <c r="L96" i="273"/>
  <c r="Q96" i="273"/>
  <c r="AA96" i="273"/>
  <c r="AN115" i="273"/>
  <c r="AN136" i="273"/>
  <c r="T130" i="273"/>
  <c r="T136" i="273"/>
  <c r="M96" i="273"/>
  <c r="AS136" i="273"/>
  <c r="AJ135" i="273"/>
  <c r="Q136" i="273"/>
  <c r="AI136" i="273"/>
  <c r="AI149" i="273"/>
  <c r="AO136" i="273"/>
  <c r="AO149" i="273"/>
  <c r="AV146" i="273"/>
  <c r="AV147" i="273"/>
  <c r="AC77" i="263"/>
  <c r="AG77" i="263"/>
  <c r="AV36" i="263"/>
  <c r="D70" i="263"/>
  <c r="AH71" i="263"/>
  <c r="AZ15" i="276"/>
  <c r="AZ51" i="276" s="1"/>
  <c r="AJ32" i="276"/>
  <c r="BL50" i="276"/>
  <c r="P51" i="276"/>
  <c r="BK51" i="276"/>
  <c r="BG62" i="276"/>
  <c r="BG79" i="276"/>
  <c r="BG107" i="276" s="1"/>
  <c r="AJ79" i="276"/>
  <c r="AJ107" i="276"/>
  <c r="AV79" i="276"/>
  <c r="X95" i="276"/>
  <c r="P107" i="276"/>
  <c r="P149" i="276" s="1"/>
  <c r="U107" i="276"/>
  <c r="U149" i="276" s="1"/>
  <c r="Z107" i="276"/>
  <c r="Z149" i="276"/>
  <c r="AP107" i="276"/>
  <c r="AP149" i="276" s="1"/>
  <c r="L147" i="276"/>
  <c r="L149" i="276"/>
  <c r="AT47" i="277"/>
  <c r="AT55" i="277"/>
  <c r="AT77" i="277"/>
  <c r="BB64" i="277"/>
  <c r="BB72" i="277"/>
  <c r="AA62" i="248"/>
  <c r="Z59" i="248"/>
  <c r="M60" i="248"/>
  <c r="AA38" i="284"/>
  <c r="AM16" i="236"/>
  <c r="AG21" i="236"/>
  <c r="AG26" i="236"/>
  <c r="AA21" i="236"/>
  <c r="AA25" i="236"/>
  <c r="J26" i="236"/>
  <c r="V26" i="236"/>
  <c r="V106" i="236"/>
  <c r="U79" i="236"/>
  <c r="AK79" i="236"/>
  <c r="AK106" i="236"/>
  <c r="AJ78" i="236"/>
  <c r="AJ79" i="236"/>
  <c r="AB79" i="236"/>
  <c r="AL21" i="237"/>
  <c r="AL24" i="237"/>
  <c r="AL27" i="237"/>
  <c r="AL29" i="237"/>
  <c r="Z36" i="296"/>
  <c r="Z37" i="296"/>
  <c r="T33" i="296"/>
  <c r="AA20" i="238"/>
  <c r="AA25" i="238"/>
  <c r="AM24" i="238"/>
  <c r="AM25" i="238"/>
  <c r="AD24" i="238"/>
  <c r="K25" i="238"/>
  <c r="K105" i="238"/>
  <c r="AB25" i="238"/>
  <c r="AG36" i="238"/>
  <c r="AG56" i="238"/>
  <c r="AE78" i="238"/>
  <c r="G78" i="238"/>
  <c r="G105" i="238"/>
  <c r="AL7" i="239"/>
  <c r="AD15" i="240"/>
  <c r="AD25" i="240"/>
  <c r="AA15" i="240"/>
  <c r="AA20" i="240"/>
  <c r="AM36" i="240"/>
  <c r="AM55" i="240"/>
  <c r="AA77" i="240"/>
  <c r="AA78" i="240"/>
  <c r="Y78" i="240"/>
  <c r="Y105" i="240"/>
  <c r="AI105" i="193"/>
  <c r="AI34" i="194"/>
  <c r="AI37" i="194"/>
  <c r="N37" i="227"/>
  <c r="H37" i="227"/>
  <c r="M37" i="229"/>
  <c r="F37" i="229"/>
  <c r="L102" i="201"/>
  <c r="AL26" i="98"/>
  <c r="AZ100" i="274"/>
  <c r="AZ102" i="274"/>
  <c r="BC14" i="98"/>
  <c r="H29" i="297"/>
  <c r="M37" i="297"/>
  <c r="D70" i="173"/>
  <c r="D102" i="173"/>
  <c r="J37" i="172"/>
  <c r="G37" i="172"/>
  <c r="L57" i="275"/>
  <c r="L104" i="275"/>
  <c r="W94" i="275"/>
  <c r="AV130" i="273"/>
  <c r="AV136" i="273"/>
  <c r="AR15" i="276"/>
  <c r="AV15" i="276"/>
  <c r="X126" i="276"/>
  <c r="AI147" i="276"/>
  <c r="AI149" i="276" s="1"/>
  <c r="F92" i="247"/>
  <c r="W57" i="248"/>
  <c r="W62" i="248"/>
  <c r="V21" i="284"/>
  <c r="V77" i="284"/>
  <c r="AQ149" i="276"/>
  <c r="AA16" i="236"/>
  <c r="AB26" i="236"/>
  <c r="AH26" i="236"/>
  <c r="AH106" i="236"/>
  <c r="M26" i="236"/>
  <c r="M106" i="236"/>
  <c r="U26" i="236"/>
  <c r="AE26" i="236"/>
  <c r="AE106" i="236"/>
  <c r="H25" i="238"/>
  <c r="H105" i="238"/>
  <c r="S78" i="238"/>
  <c r="S105" i="238"/>
  <c r="P25" i="240"/>
  <c r="P105" i="240"/>
  <c r="AJ78" i="240"/>
  <c r="AM93" i="240"/>
  <c r="AC93" i="240"/>
  <c r="AC105" i="240"/>
  <c r="AG25" i="193"/>
  <c r="AM40" i="193"/>
  <c r="G104" i="201"/>
  <c r="O70" i="201"/>
  <c r="O104" i="201"/>
  <c r="H37" i="172"/>
  <c r="L37" i="172"/>
  <c r="K104" i="275"/>
  <c r="S104" i="275"/>
  <c r="O37" i="253"/>
  <c r="S37" i="253"/>
  <c r="L37" i="253"/>
  <c r="P37" i="253"/>
  <c r="P32" i="273"/>
  <c r="AH51" i="273"/>
  <c r="AH149" i="273"/>
  <c r="AJ68" i="273"/>
  <c r="X84" i="273"/>
  <c r="X96" i="273"/>
  <c r="AJ95" i="273"/>
  <c r="L130" i="273"/>
  <c r="L136" i="273"/>
  <c r="H130" i="273"/>
  <c r="H136" i="273"/>
  <c r="AF130" i="273"/>
  <c r="AF136" i="273"/>
  <c r="W136" i="273"/>
  <c r="W149" i="273"/>
  <c r="AA136" i="273"/>
  <c r="AD20" i="263"/>
  <c r="Y77" i="263"/>
  <c r="AJ77" i="263"/>
  <c r="AE77" i="263"/>
  <c r="X15" i="276"/>
  <c r="X51" i="276"/>
  <c r="BB149" i="276"/>
  <c r="AV50" i="276"/>
  <c r="BK62" i="276"/>
  <c r="V149" i="276"/>
  <c r="AI51" i="276"/>
  <c r="AE51" i="276"/>
  <c r="AE149" i="276" s="1"/>
  <c r="AK107" i="276"/>
  <c r="AU51" i="276"/>
  <c r="BA107" i="276"/>
  <c r="AZ141" i="276"/>
  <c r="AZ147" i="276" s="1"/>
  <c r="BD141" i="276"/>
  <c r="BD147" i="276" s="1"/>
  <c r="AL147" i="276"/>
  <c r="AL149" i="276"/>
  <c r="Y147" i="276"/>
  <c r="Y149" i="276"/>
  <c r="AL77" i="277"/>
  <c r="E92" i="247"/>
  <c r="N92" i="247"/>
  <c r="R92" i="247"/>
  <c r="L57" i="248"/>
  <c r="L62" i="248"/>
  <c r="P57" i="248"/>
  <c r="P62" i="248"/>
  <c r="AL13" i="284"/>
  <c r="AL21" i="284"/>
  <c r="AB21" i="284"/>
  <c r="Z26" i="236"/>
  <c r="Z106" i="236"/>
  <c r="AA49" i="236"/>
  <c r="AA57" i="236"/>
  <c r="E57" i="236"/>
  <c r="E106" i="236"/>
  <c r="D79" i="236"/>
  <c r="D106" i="236"/>
  <c r="I57" i="236"/>
  <c r="AC79" i="236"/>
  <c r="AC106" i="236"/>
  <c r="AI79" i="236"/>
  <c r="J79" i="236"/>
  <c r="J106" i="236"/>
  <c r="Y94" i="236"/>
  <c r="Y106" i="236"/>
  <c r="O94" i="236"/>
  <c r="O106" i="236"/>
  <c r="S94" i="236"/>
  <c r="S106" i="236"/>
  <c r="AG24" i="237"/>
  <c r="AC32" i="237"/>
  <c r="AC37" i="237"/>
  <c r="T14" i="296"/>
  <c r="W29" i="296"/>
  <c r="T36" i="296"/>
  <c r="AD20" i="238"/>
  <c r="Q25" i="238"/>
  <c r="Q105" i="238"/>
  <c r="T25" i="238"/>
  <c r="T105" i="238"/>
  <c r="Z56" i="238"/>
  <c r="Z105" i="238"/>
  <c r="AL56" i="238"/>
  <c r="AF78" i="238"/>
  <c r="AF105" i="238"/>
  <c r="AJ77" i="238"/>
  <c r="AJ78" i="238"/>
  <c r="M78" i="238"/>
  <c r="M105" i="238"/>
  <c r="AJ83" i="238"/>
  <c r="AJ93" i="238"/>
  <c r="AA92" i="238"/>
  <c r="AL93" i="238"/>
  <c r="AL56" i="240"/>
  <c r="AL105" i="240"/>
  <c r="AJ55" i="240"/>
  <c r="AJ56" i="240"/>
  <c r="AD83" i="240"/>
  <c r="AD93" i="240"/>
  <c r="AG87" i="240"/>
  <c r="AG93" i="240"/>
  <c r="AF6" i="241"/>
  <c r="E5" i="304"/>
  <c r="E6" i="304"/>
  <c r="AG40" i="193"/>
  <c r="AM71" i="193"/>
  <c r="AE33" i="194"/>
  <c r="AE37" i="194"/>
  <c r="K37" i="229"/>
  <c r="D24" i="201"/>
  <c r="M24" i="201"/>
  <c r="F24" i="201"/>
  <c r="E70" i="201"/>
  <c r="N102" i="201"/>
  <c r="N32" i="202"/>
  <c r="N38" i="202"/>
  <c r="AF25" i="274"/>
  <c r="AF102" i="274"/>
  <c r="Z25" i="274"/>
  <c r="Z102" i="274"/>
  <c r="BB40" i="274"/>
  <c r="BB102" i="274"/>
  <c r="BN18" i="98"/>
  <c r="BN33" i="98"/>
  <c r="E37" i="297"/>
  <c r="N29" i="297"/>
  <c r="M24" i="173"/>
  <c r="M102" i="173"/>
  <c r="J39" i="173"/>
  <c r="J102" i="173"/>
  <c r="E37" i="172"/>
  <c r="M37" i="172"/>
  <c r="W26" i="275"/>
  <c r="P57" i="275"/>
  <c r="P104" i="275"/>
  <c r="T57" i="275"/>
  <c r="T104" i="275"/>
  <c r="K37" i="253"/>
  <c r="Y51" i="273"/>
  <c r="X50" i="273"/>
  <c r="X51" i="273"/>
  <c r="AF50" i="273"/>
  <c r="AZ50" i="273"/>
  <c r="O51" i="273"/>
  <c r="O149" i="273"/>
  <c r="AE51" i="273"/>
  <c r="AE149" i="273"/>
  <c r="AU51" i="273"/>
  <c r="AZ68" i="273"/>
  <c r="AZ96" i="273"/>
  <c r="G96" i="273"/>
  <c r="G149" i="273"/>
  <c r="AX96" i="273"/>
  <c r="AX149" i="273"/>
  <c r="K96" i="273"/>
  <c r="K149" i="273"/>
  <c r="AG96" i="273"/>
  <c r="AG149" i="273"/>
  <c r="AR130" i="273"/>
  <c r="AR136" i="273"/>
  <c r="M51" i="273"/>
  <c r="M149" i="273"/>
  <c r="U136" i="273"/>
  <c r="U149" i="273"/>
  <c r="AM136" i="273"/>
  <c r="AS51" i="273"/>
  <c r="Y136" i="273"/>
  <c r="AD136" i="273"/>
  <c r="AD149" i="273"/>
  <c r="AL136" i="273"/>
  <c r="AL149" i="273"/>
  <c r="AL20" i="263"/>
  <c r="AL76" i="263"/>
  <c r="AK77" i="263"/>
  <c r="AA74" i="263"/>
  <c r="AA77" i="263"/>
  <c r="AB75" i="263"/>
  <c r="AB77" i="263"/>
  <c r="AT149" i="276"/>
  <c r="AB32" i="276"/>
  <c r="AB51" i="276" s="1"/>
  <c r="AR32" i="276"/>
  <c r="BO51" i="276"/>
  <c r="BI62" i="276"/>
  <c r="BI149" i="276" s="1"/>
  <c r="AB79" i="276"/>
  <c r="AB107" i="276"/>
  <c r="H51" i="276"/>
  <c r="X106" i="276"/>
  <c r="X107" i="276"/>
  <c r="O51" i="276"/>
  <c r="O149" i="276" s="1"/>
  <c r="AK51" i="276"/>
  <c r="AZ126" i="276"/>
  <c r="AB141" i="276"/>
  <c r="K51" i="276"/>
  <c r="BD54" i="277"/>
  <c r="BN46" i="277"/>
  <c r="K69" i="277"/>
  <c r="N69" i="277" s="1"/>
  <c r="O92" i="247"/>
  <c r="D92" i="247"/>
  <c r="Q92" i="247"/>
  <c r="F23" i="248"/>
  <c r="F62" i="248"/>
  <c r="AJ13" i="284"/>
  <c r="AJ21" i="284"/>
  <c r="AA21" i="284"/>
  <c r="AI18" i="284"/>
  <c r="AK20" i="284"/>
  <c r="AK76" i="284"/>
  <c r="U21" i="284"/>
  <c r="AI26" i="284"/>
  <c r="AK36" i="284"/>
  <c r="V76" i="284"/>
  <c r="AJ41" i="27"/>
  <c r="R66" i="27"/>
  <c r="L52" i="267"/>
  <c r="H140" i="267"/>
  <c r="H153" i="267"/>
  <c r="J104" i="266"/>
  <c r="J158" i="266"/>
  <c r="X31" i="124"/>
  <c r="N31" i="124"/>
  <c r="T19" i="295"/>
  <c r="AF19" i="295"/>
  <c r="Q47" i="295"/>
  <c r="D75" i="295"/>
  <c r="Y75" i="295"/>
  <c r="AC105" i="295"/>
  <c r="M123" i="295"/>
  <c r="M128" i="295"/>
  <c r="D142" i="295"/>
  <c r="D146" i="295"/>
  <c r="J142" i="295"/>
  <c r="J146" i="295"/>
  <c r="P142" i="295"/>
  <c r="P146" i="295"/>
  <c r="G27" i="291"/>
  <c r="L26" i="302"/>
  <c r="Z26" i="302"/>
  <c r="AA21" i="302"/>
  <c r="AA49" i="302"/>
  <c r="Q74" i="302"/>
  <c r="AA69" i="302"/>
  <c r="AA73" i="302"/>
  <c r="R98" i="302"/>
  <c r="L122" i="302"/>
  <c r="AA109" i="302"/>
  <c r="AT31" i="242"/>
  <c r="BE17" i="281"/>
  <c r="G135" i="319"/>
  <c r="H135" i="319"/>
  <c r="I135" i="319"/>
  <c r="X34" i="306"/>
  <c r="X25" i="306"/>
  <c r="U36" i="306"/>
  <c r="L36" i="306"/>
  <c r="F36" i="306"/>
  <c r="F35" i="306"/>
  <c r="O32" i="306"/>
  <c r="O38" i="306"/>
  <c r="R15" i="306"/>
  <c r="L30" i="306"/>
  <c r="AU39" i="274"/>
  <c r="U72" i="284"/>
  <c r="W23" i="26"/>
  <c r="AE53" i="26"/>
  <c r="V57" i="26"/>
  <c r="J26" i="27"/>
  <c r="O66" i="27"/>
  <c r="L99" i="267"/>
  <c r="L6" i="233"/>
  <c r="I104" i="266"/>
  <c r="I158" i="266"/>
  <c r="H145" i="266"/>
  <c r="H158" i="266"/>
  <c r="Z25" i="270"/>
  <c r="X16" i="124"/>
  <c r="W39" i="124"/>
  <c r="AB39" i="124"/>
  <c r="T9" i="295"/>
  <c r="Z14" i="295"/>
  <c r="Z24" i="295"/>
  <c r="AF29" i="295"/>
  <c r="AF67" i="295"/>
  <c r="AC69" i="295"/>
  <c r="AC73" i="295"/>
  <c r="T74" i="295"/>
  <c r="N95" i="295"/>
  <c r="D108" i="295"/>
  <c r="X118" i="295"/>
  <c r="Z118" i="295"/>
  <c r="AC143" i="295"/>
  <c r="G128" i="295"/>
  <c r="S128" i="295"/>
  <c r="AA9" i="302"/>
  <c r="D26" i="302"/>
  <c r="V26" i="302"/>
  <c r="AA25" i="302"/>
  <c r="AA45" i="302"/>
  <c r="N74" i="302"/>
  <c r="J98" i="302"/>
  <c r="AA85" i="302"/>
  <c r="AA89" i="302"/>
  <c r="BJ9" i="242"/>
  <c r="BJ31" i="242"/>
  <c r="AZ19" i="242"/>
  <c r="AZ31" i="242"/>
  <c r="L401" i="285"/>
  <c r="Y37" i="271"/>
  <c r="AD24" i="271"/>
  <c r="K160" i="318"/>
  <c r="V38" i="306"/>
  <c r="I15" i="306"/>
  <c r="BD15" i="276"/>
  <c r="BD51" i="276"/>
  <c r="I76" i="323"/>
  <c r="H23" i="326"/>
  <c r="AT70" i="274"/>
  <c r="AU70" i="274"/>
  <c r="W62" i="26"/>
  <c r="P62" i="26"/>
  <c r="BB18" i="279"/>
  <c r="BB74" i="279"/>
  <c r="BB77" i="279"/>
  <c r="W23" i="271"/>
  <c r="G118" i="319"/>
  <c r="I34" i="306"/>
  <c r="U33" i="306"/>
  <c r="F33" i="306"/>
  <c r="R32" i="306"/>
  <c r="AY94" i="274"/>
  <c r="AB90" i="169"/>
  <c r="AJ24" i="27"/>
  <c r="AJ26" i="27"/>
  <c r="J70" i="27"/>
  <c r="J71" i="27"/>
  <c r="AX19" i="279"/>
  <c r="AX75" i="279"/>
  <c r="AX77" i="279"/>
  <c r="J34" i="300"/>
  <c r="I78" i="270"/>
  <c r="M78" i="270"/>
  <c r="U78" i="270"/>
  <c r="AE39" i="124"/>
  <c r="F39" i="124"/>
  <c r="W32" i="295"/>
  <c r="Z34" i="295"/>
  <c r="AF34" i="295"/>
  <c r="T36" i="295"/>
  <c r="N47" i="295"/>
  <c r="Q52" i="295"/>
  <c r="Z57" i="295"/>
  <c r="N67" i="295"/>
  <c r="N138" i="295"/>
  <c r="W67" i="295"/>
  <c r="T70" i="295"/>
  <c r="T71" i="295"/>
  <c r="E105" i="295"/>
  <c r="W85" i="295"/>
  <c r="Z90" i="295"/>
  <c r="W95" i="295"/>
  <c r="E100" i="295"/>
  <c r="E138" i="295"/>
  <c r="T100" i="295"/>
  <c r="AC144" i="295"/>
  <c r="P128" i="295"/>
  <c r="V128" i="295"/>
  <c r="U133" i="295"/>
  <c r="AB138" i="295"/>
  <c r="AC138" i="295"/>
  <c r="AF137" i="295"/>
  <c r="F26" i="302"/>
  <c r="T26" i="302"/>
  <c r="AA17" i="302"/>
  <c r="Z50" i="302"/>
  <c r="AA81" i="302"/>
  <c r="AA98" i="302"/>
  <c r="N98" i="302"/>
  <c r="T98" i="302"/>
  <c r="AA93" i="302"/>
  <c r="AA105" i="302"/>
  <c r="AA122" i="302"/>
  <c r="H41" i="47"/>
  <c r="M212" i="318"/>
  <c r="M214" i="318"/>
  <c r="H209" i="319"/>
  <c r="G86" i="288"/>
  <c r="X35" i="306"/>
  <c r="I36" i="306"/>
  <c r="H38" i="306"/>
  <c r="U20" i="306"/>
  <c r="U15" i="306"/>
  <c r="O10" i="306"/>
  <c r="L20" i="306"/>
  <c r="I10" i="306"/>
  <c r="AR100" i="274"/>
  <c r="AR102" i="274"/>
  <c r="F30" i="123"/>
  <c r="K34" i="123"/>
  <c r="U34" i="123"/>
  <c r="Z30" i="123"/>
  <c r="AE35" i="123"/>
  <c r="AL38" i="123"/>
  <c r="R38" i="123"/>
  <c r="AH38" i="123"/>
  <c r="AC38" i="123"/>
  <c r="X38" i="123"/>
  <c r="AX24" i="337"/>
  <c r="AO31" i="337"/>
  <c r="AD19" i="337"/>
  <c r="AT26" i="337"/>
  <c r="AT29" i="337"/>
  <c r="AX44" i="337"/>
  <c r="AL134" i="337"/>
  <c r="AV29" i="336"/>
  <c r="AM9" i="237"/>
  <c r="AN26" i="236"/>
  <c r="AN71" i="193"/>
  <c r="BT141" i="276"/>
  <c r="BT147" i="276" s="1"/>
  <c r="AI35" i="295"/>
  <c r="AI72" i="295"/>
  <c r="O30" i="291"/>
  <c r="O35" i="291"/>
  <c r="M32" i="294"/>
  <c r="AO34" i="284"/>
  <c r="Q140" i="267"/>
  <c r="H70" i="319"/>
  <c r="J70" i="319"/>
  <c r="D95" i="318"/>
  <c r="CC10" i="123"/>
  <c r="C20" i="320"/>
  <c r="AF31" i="297"/>
  <c r="X57" i="275"/>
  <c r="X102" i="275"/>
  <c r="J26" i="282"/>
  <c r="J32" i="282"/>
  <c r="K104" i="266"/>
  <c r="I22" i="344"/>
  <c r="M29" i="344"/>
  <c r="P38" i="291"/>
  <c r="P35" i="291"/>
  <c r="AJ10" i="123"/>
  <c r="AV38" i="123"/>
  <c r="AX17" i="337"/>
  <c r="AX18" i="337"/>
  <c r="AG31" i="337"/>
  <c r="AL44" i="337"/>
  <c r="AP59" i="337"/>
  <c r="AT64" i="337"/>
  <c r="AJ66" i="337"/>
  <c r="AU66" i="337"/>
  <c r="AS101" i="337"/>
  <c r="AP56" i="236"/>
  <c r="AP57" i="236"/>
  <c r="AP78" i="236"/>
  <c r="BQ17" i="277"/>
  <c r="BR17" i="277" s="1"/>
  <c r="BO14" i="242"/>
  <c r="BO35" i="281"/>
  <c r="M73" i="318"/>
  <c r="N73" i="318"/>
  <c r="F89" i="318"/>
  <c r="Z35" i="123"/>
  <c r="AO15" i="123"/>
  <c r="BI20" i="123"/>
  <c r="BS34" i="123"/>
  <c r="BO38" i="123"/>
  <c r="AD9" i="337"/>
  <c r="AN101" i="337"/>
  <c r="AK136" i="337"/>
  <c r="AN94" i="236"/>
  <c r="AN79" i="236"/>
  <c r="AM9" i="241"/>
  <c r="AO9" i="241"/>
  <c r="AO105" i="193"/>
  <c r="BR17" i="98"/>
  <c r="BR19" i="98"/>
  <c r="N15" i="202"/>
  <c r="O20" i="202"/>
  <c r="BT62" i="276"/>
  <c r="AI140" i="295"/>
  <c r="AI36" i="295"/>
  <c r="AI71" i="295"/>
  <c r="X33" i="253"/>
  <c r="I7" i="344"/>
  <c r="I9" i="344"/>
  <c r="I23" i="344"/>
  <c r="BF35" i="263"/>
  <c r="BF53" i="263"/>
  <c r="Z33" i="123"/>
  <c r="BD20" i="123"/>
  <c r="BI32" i="123"/>
  <c r="BN20" i="123"/>
  <c r="BL38" i="123"/>
  <c r="AU31" i="337"/>
  <c r="AX11" i="337"/>
  <c r="AT12" i="337"/>
  <c r="AX16" i="337"/>
  <c r="AX19" i="337"/>
  <c r="AD29" i="337"/>
  <c r="AP44" i="337"/>
  <c r="AP66" i="337"/>
  <c r="AL54" i="337"/>
  <c r="AK66" i="337"/>
  <c r="AV66" i="337"/>
  <c r="AX59" i="337"/>
  <c r="AT59" i="337"/>
  <c r="AL64" i="337"/>
  <c r="AK101" i="337"/>
  <c r="AV101" i="337"/>
  <c r="AX114" i="337"/>
  <c r="AW136" i="337"/>
  <c r="AP25" i="236"/>
  <c r="AP26" i="236"/>
  <c r="AP73" i="236"/>
  <c r="AM31" i="237"/>
  <c r="AN57" i="236"/>
  <c r="AP63" i="240"/>
  <c r="AP78" i="240"/>
  <c r="AP105" i="240"/>
  <c r="AO17" i="241"/>
  <c r="AN40" i="193"/>
  <c r="BR26" i="98"/>
  <c r="BR29" i="98"/>
  <c r="AG146" i="295"/>
  <c r="AI146" i="295"/>
  <c r="AD79" i="337"/>
  <c r="I80" i="319"/>
  <c r="M72" i="318"/>
  <c r="N72" i="318"/>
  <c r="E55" i="308"/>
  <c r="E91" i="308"/>
  <c r="H24" i="312"/>
  <c r="D25" i="325"/>
  <c r="F76" i="330"/>
  <c r="E22" i="331"/>
  <c r="AG25" i="270"/>
  <c r="AF36" i="297"/>
  <c r="K52" i="266"/>
  <c r="K158" i="266"/>
  <c r="K145" i="266"/>
  <c r="I26" i="344"/>
  <c r="I12" i="344"/>
  <c r="N40" i="293"/>
  <c r="N36" i="293"/>
  <c r="N37" i="293"/>
  <c r="N35" i="293"/>
  <c r="AG103" i="238"/>
  <c r="AD103" i="238"/>
  <c r="AR9" i="241"/>
  <c r="AQ19" i="241"/>
  <c r="AI151" i="283"/>
  <c r="AF51" i="283"/>
  <c r="AN51" i="283"/>
  <c r="AJ62" i="283"/>
  <c r="AJ151" i="283"/>
  <c r="L151" i="283"/>
  <c r="AF109" i="283"/>
  <c r="J109" i="283"/>
  <c r="J151" i="283"/>
  <c r="AD109" i="283"/>
  <c r="AD151" i="283"/>
  <c r="Y149" i="283"/>
  <c r="Y151" i="283"/>
  <c r="AQ51" i="284"/>
  <c r="AI70" i="284"/>
  <c r="AI75" i="284"/>
  <c r="BV25" i="277"/>
  <c r="BV37" i="277"/>
  <c r="AJ141" i="295"/>
  <c r="BF119" i="337"/>
  <c r="BP14" i="336"/>
  <c r="BP12" i="336"/>
  <c r="BF79" i="337"/>
  <c r="BO7" i="336"/>
  <c r="BQ7" i="336" s="1"/>
  <c r="O84" i="336" s="1"/>
  <c r="D16" i="292"/>
  <c r="I60" i="319"/>
  <c r="H60" i="319"/>
  <c r="J60" i="319"/>
  <c r="AS104" i="236"/>
  <c r="AD38" i="306"/>
  <c r="AP37" i="194"/>
  <c r="AS92" i="240"/>
  <c r="AS93" i="240"/>
  <c r="AS36" i="238"/>
  <c r="AS56" i="238"/>
  <c r="AP74" i="284"/>
  <c r="V151" i="283"/>
  <c r="AB151" i="283"/>
  <c r="AR151" i="283"/>
  <c r="F109" i="283"/>
  <c r="F151" i="283"/>
  <c r="H109" i="283"/>
  <c r="H151" i="283"/>
  <c r="Z109" i="283"/>
  <c r="Z151" i="283"/>
  <c r="BT17" i="277"/>
  <c r="BT54" i="277"/>
  <c r="BV61" i="277"/>
  <c r="BD13" i="263"/>
  <c r="BF31" i="263"/>
  <c r="BF45" i="263"/>
  <c r="BF28" i="263"/>
  <c r="BF30" i="263"/>
  <c r="P33" i="291"/>
  <c r="AJ37" i="295"/>
  <c r="AJ140" i="295"/>
  <c r="AL140" i="295"/>
  <c r="AJ118" i="295"/>
  <c r="BF6" i="337"/>
  <c r="BE9" i="337"/>
  <c r="BF8" i="337"/>
  <c r="BC9" i="337"/>
  <c r="BC31" i="337"/>
  <c r="BD14" i="337"/>
  <c r="BF11" i="337"/>
  <c r="BF14" i="337"/>
  <c r="BD24" i="337"/>
  <c r="BF23" i="337"/>
  <c r="BF24" i="337"/>
  <c r="BF26" i="337"/>
  <c r="BF29" i="337"/>
  <c r="BE29" i="337"/>
  <c r="P30" i="202"/>
  <c r="P25" i="202"/>
  <c r="P20" i="202"/>
  <c r="I34" i="292"/>
  <c r="I32" i="292"/>
  <c r="F16" i="292"/>
  <c r="I40" i="319"/>
  <c r="H40" i="319"/>
  <c r="J40" i="319"/>
  <c r="BR9" i="281"/>
  <c r="AI103" i="270"/>
  <c r="AH24" i="271"/>
  <c r="I17" i="331"/>
  <c r="J69" i="330"/>
  <c r="I21" i="331"/>
  <c r="P54" i="314"/>
  <c r="P56" i="314"/>
  <c r="AR106" i="236"/>
  <c r="AP100" i="236"/>
  <c r="AP104" i="236"/>
  <c r="AM100" i="236"/>
  <c r="AN103" i="238"/>
  <c r="AN105" i="238"/>
  <c r="AL103" i="238"/>
  <c r="AR19" i="241"/>
  <c r="AG103" i="240"/>
  <c r="AR21" i="241"/>
  <c r="AR23" i="241"/>
  <c r="R151" i="283"/>
  <c r="AE151" i="283"/>
  <c r="X109" i="283"/>
  <c r="X151" i="283"/>
  <c r="AP151" i="283"/>
  <c r="BF43" i="263"/>
  <c r="AK118" i="295"/>
  <c r="AL116" i="295"/>
  <c r="AK141" i="295"/>
  <c r="N39" i="293"/>
  <c r="P33" i="292"/>
  <c r="P32" i="292"/>
  <c r="L34" i="292"/>
  <c r="L33" i="292"/>
  <c r="L35" i="292"/>
  <c r="BB37" i="234"/>
  <c r="BE31" i="234"/>
  <c r="BP30" i="281"/>
  <c r="BT24" i="281"/>
  <c r="BS25" i="281"/>
  <c r="J27" i="342"/>
  <c r="L64" i="339"/>
  <c r="K27" i="342"/>
  <c r="J29" i="342"/>
  <c r="L78" i="339"/>
  <c r="K29" i="342"/>
  <c r="K35" i="342"/>
  <c r="L23" i="342"/>
  <c r="AS25" i="238"/>
  <c r="AI37" i="296"/>
  <c r="AS103" i="238"/>
  <c r="AR105" i="238"/>
  <c r="AO103" i="238"/>
  <c r="AO105" i="238"/>
  <c r="AI103" i="240"/>
  <c r="AI105" i="240"/>
  <c r="O151" i="283"/>
  <c r="AK151" i="283"/>
  <c r="AQ151" i="283"/>
  <c r="P51" i="283"/>
  <c r="AC151" i="283"/>
  <c r="AG62" i="283"/>
  <c r="AN62" i="283"/>
  <c r="P109" i="283"/>
  <c r="N109" i="283"/>
  <c r="N151" i="283"/>
  <c r="AL109" i="283"/>
  <c r="AL151" i="283"/>
  <c r="AN109" i="283"/>
  <c r="AG149" i="283"/>
  <c r="AP43" i="284"/>
  <c r="AP55" i="284"/>
  <c r="AR69" i="284"/>
  <c r="AR74" i="284"/>
  <c r="AN68" i="284"/>
  <c r="AN72" i="284"/>
  <c r="BU37" i="277"/>
  <c r="BU76" i="277"/>
  <c r="BV50" i="277"/>
  <c r="BH147" i="273"/>
  <c r="AK37" i="295"/>
  <c r="AL123" i="295"/>
  <c r="AL125" i="295"/>
  <c r="P36" i="202"/>
  <c r="P33" i="202"/>
  <c r="I43" i="319"/>
  <c r="H43" i="319"/>
  <c r="J43" i="319"/>
  <c r="BQ16" i="281"/>
  <c r="BP16" i="281"/>
  <c r="BT6" i="281"/>
  <c r="BR7" i="281"/>
  <c r="BQ12" i="281"/>
  <c r="BU60" i="279"/>
  <c r="BU71" i="279"/>
  <c r="AL145" i="295"/>
  <c r="AK128" i="295"/>
  <c r="AK133" i="295"/>
  <c r="AJ143" i="295"/>
  <c r="AL143" i="295"/>
  <c r="BF124" i="337"/>
  <c r="BP19" i="336"/>
  <c r="BQ19" i="336" s="1"/>
  <c r="O96" i="336" s="1"/>
  <c r="P34" i="202"/>
  <c r="M40" i="293"/>
  <c r="M32" i="293"/>
  <c r="M35" i="293"/>
  <c r="N34" i="292"/>
  <c r="N35" i="292"/>
  <c r="J33" i="292"/>
  <c r="J35" i="292"/>
  <c r="BE36" i="234"/>
  <c r="G41" i="319"/>
  <c r="I41" i="319"/>
  <c r="BT17" i="281"/>
  <c r="BP18" i="281"/>
  <c r="BS30" i="281"/>
  <c r="BS48" i="281"/>
  <c r="BP39" i="281"/>
  <c r="I77" i="308"/>
  <c r="G24" i="311"/>
  <c r="W54" i="314"/>
  <c r="L20" i="325"/>
  <c r="F58" i="287"/>
  <c r="BE35" i="234"/>
  <c r="F63" i="319"/>
  <c r="C62" i="318"/>
  <c r="BT19" i="281"/>
  <c r="BT21" i="281"/>
  <c r="AG24" i="271"/>
  <c r="L17" i="342"/>
  <c r="O36" i="339"/>
  <c r="N17" i="342"/>
  <c r="I11" i="329"/>
  <c r="BV70" i="274"/>
  <c r="BV102" i="274"/>
  <c r="AE9" i="233"/>
  <c r="AE27" i="233"/>
  <c r="AH18" i="233"/>
  <c r="AF28" i="233"/>
  <c r="AL67" i="295"/>
  <c r="AL70" i="295"/>
  <c r="AL90" i="295"/>
  <c r="AL126" i="295"/>
  <c r="AL130" i="295"/>
  <c r="BP27" i="336"/>
  <c r="BF114" i="337"/>
  <c r="N28" i="294"/>
  <c r="BE34" i="234"/>
  <c r="D63" i="319"/>
  <c r="L46" i="318"/>
  <c r="L60" i="318"/>
  <c r="BP31" i="242"/>
  <c r="BQ31" i="242"/>
  <c r="BT19" i="242"/>
  <c r="BT31" i="242"/>
  <c r="BR31" i="242"/>
  <c r="BT29" i="242"/>
  <c r="BP21" i="281"/>
  <c r="BP51" i="281"/>
  <c r="BR30" i="281"/>
  <c r="BT28" i="281"/>
  <c r="BT10" i="281"/>
  <c r="BT37" i="281"/>
  <c r="BT46" i="281"/>
  <c r="H24" i="311"/>
  <c r="AH78" i="270"/>
  <c r="Q37" i="227"/>
  <c r="J20" i="288"/>
  <c r="H24" i="288"/>
  <c r="I27" i="329"/>
  <c r="J11" i="329"/>
  <c r="J17" i="328"/>
  <c r="AH7" i="233"/>
  <c r="AH23" i="233"/>
  <c r="G28" i="340"/>
  <c r="Y57" i="275"/>
  <c r="Y79" i="275"/>
  <c r="BT35" i="98"/>
  <c r="AI24" i="297"/>
  <c r="AI36" i="297"/>
  <c r="P24" i="173"/>
  <c r="AH9" i="233"/>
  <c r="O83" i="339"/>
  <c r="N12" i="342"/>
  <c r="Q37" i="229"/>
  <c r="BT25" i="274"/>
  <c r="BS19" i="98"/>
  <c r="BT9" i="98"/>
  <c r="AI19" i="297"/>
  <c r="BW89" i="278"/>
  <c r="BV89" i="278"/>
  <c r="X35" i="314"/>
  <c r="X41" i="314"/>
  <c r="I24" i="288"/>
  <c r="BU40" i="274"/>
  <c r="BW34" i="274"/>
  <c r="BW40" i="274"/>
  <c r="BW24" i="274"/>
  <c r="BW25" i="274"/>
  <c r="AI33" i="297"/>
  <c r="P31" i="172"/>
  <c r="BU70" i="274"/>
  <c r="BT100" i="274"/>
  <c r="L52" i="266"/>
  <c r="P52" i="47"/>
  <c r="M82" i="318"/>
  <c r="N82" i="318"/>
  <c r="L93" i="318"/>
  <c r="M39" i="318"/>
  <c r="N39" i="318"/>
  <c r="F111" i="318"/>
  <c r="L116" i="318"/>
  <c r="F121" i="318"/>
  <c r="L139" i="318"/>
  <c r="H193" i="318"/>
  <c r="M181" i="318"/>
  <c r="N181" i="318"/>
  <c r="L205" i="318"/>
  <c r="M205" i="318"/>
  <c r="D244" i="318"/>
  <c r="F242" i="318"/>
  <c r="E95" i="318"/>
  <c r="L89" i="318"/>
  <c r="M89" i="318"/>
  <c r="N89" i="318"/>
  <c r="M105" i="318"/>
  <c r="N105" i="318"/>
  <c r="M109" i="318"/>
  <c r="N109" i="318"/>
  <c r="I127" i="318"/>
  <c r="M123" i="318"/>
  <c r="N123" i="318"/>
  <c r="M136" i="318"/>
  <c r="N136" i="318"/>
  <c r="M138" i="318"/>
  <c r="N138" i="318"/>
  <c r="E160" i="318"/>
  <c r="M143" i="318"/>
  <c r="N143" i="318"/>
  <c r="M152" i="318"/>
  <c r="N152" i="318"/>
  <c r="C193" i="318"/>
  <c r="E222" i="318"/>
  <c r="K222" i="318"/>
  <c r="F232" i="318"/>
  <c r="E244" i="318"/>
  <c r="M44" i="318"/>
  <c r="N44" i="318"/>
  <c r="I62" i="318"/>
  <c r="L56" i="318"/>
  <c r="F84" i="318"/>
  <c r="F125" i="318"/>
  <c r="M125" i="318"/>
  <c r="N125" i="318"/>
  <c r="M190" i="318"/>
  <c r="N190" i="318"/>
  <c r="J222" i="318"/>
  <c r="J95" i="318"/>
  <c r="F79" i="318"/>
  <c r="F51" i="318"/>
  <c r="F60" i="318"/>
  <c r="M60" i="318"/>
  <c r="N60" i="318"/>
  <c r="F177" i="318"/>
  <c r="M177" i="318"/>
  <c r="N177" i="318"/>
  <c r="M114" i="318"/>
  <c r="N114" i="318"/>
  <c r="F144" i="318"/>
  <c r="M144" i="318"/>
  <c r="N144" i="318"/>
  <c r="M184" i="318"/>
  <c r="N184" i="318"/>
  <c r="K95" i="318"/>
  <c r="M88" i="318"/>
  <c r="N88" i="318"/>
  <c r="M49" i="318"/>
  <c r="N49" i="318"/>
  <c r="H62" i="318"/>
  <c r="M103" i="318"/>
  <c r="N103" i="318"/>
  <c r="J127" i="318"/>
  <c r="C127" i="318"/>
  <c r="M116" i="318"/>
  <c r="N116" i="318"/>
  <c r="H127" i="318"/>
  <c r="J160" i="318"/>
  <c r="M147" i="318"/>
  <c r="N147" i="318"/>
  <c r="I160" i="318"/>
  <c r="F158" i="318"/>
  <c r="L158" i="318"/>
  <c r="L172" i="318"/>
  <c r="D193" i="318"/>
  <c r="J193" i="318"/>
  <c r="H95" i="318"/>
  <c r="I95" i="318"/>
  <c r="M93" i="318"/>
  <c r="N93" i="318"/>
  <c r="L41" i="318"/>
  <c r="M220" i="318"/>
  <c r="D160" i="318"/>
  <c r="L84" i="318"/>
  <c r="M118" i="318"/>
  <c r="N118" i="318"/>
  <c r="M202" i="318"/>
  <c r="E127" i="318"/>
  <c r="D127" i="318"/>
  <c r="F210" i="318"/>
  <c r="M210" i="318"/>
  <c r="M87" i="318"/>
  <c r="N87" i="318"/>
  <c r="L51" i="318"/>
  <c r="L79" i="318"/>
  <c r="L111" i="318"/>
  <c r="L191" i="318"/>
  <c r="M179" i="318"/>
  <c r="N179" i="318"/>
  <c r="F154" i="318"/>
  <c r="F149" i="318"/>
  <c r="M149" i="318"/>
  <c r="N149" i="318"/>
  <c r="M141" i="318"/>
  <c r="N141" i="318"/>
  <c r="I222" i="318"/>
  <c r="M77" i="318"/>
  <c r="N77" i="318"/>
  <c r="M91" i="318"/>
  <c r="N91" i="318"/>
  <c r="L74" i="318"/>
  <c r="E62" i="318"/>
  <c r="M45" i="318"/>
  <c r="N45" i="318"/>
  <c r="M50" i="318"/>
  <c r="N50" i="318"/>
  <c r="L106" i="318"/>
  <c r="L154" i="318"/>
  <c r="M121" i="318"/>
  <c r="N121" i="318"/>
  <c r="K127" i="318"/>
  <c r="M120" i="318"/>
  <c r="N120" i="318"/>
  <c r="K62" i="318"/>
  <c r="M113" i="318"/>
  <c r="N113" i="318"/>
  <c r="M217" i="318"/>
  <c r="C244" i="318"/>
  <c r="M174" i="318"/>
  <c r="N174" i="318"/>
  <c r="M124" i="318"/>
  <c r="N124" i="318"/>
  <c r="C160" i="318"/>
  <c r="M170" i="318"/>
  <c r="N170" i="318"/>
  <c r="I193" i="318"/>
  <c r="F182" i="318"/>
  <c r="M182" i="318"/>
  <c r="N182" i="318"/>
  <c r="K193" i="318"/>
  <c r="F191" i="318"/>
  <c r="M203" i="318"/>
  <c r="M208" i="318"/>
  <c r="C95" i="318"/>
  <c r="M53" i="318"/>
  <c r="N53" i="318"/>
  <c r="F56" i="318"/>
  <c r="M56" i="318"/>
  <c r="N56" i="318"/>
  <c r="D62" i="318"/>
  <c r="J62" i="318"/>
  <c r="M59" i="318"/>
  <c r="N59" i="318"/>
  <c r="BN37" i="98"/>
  <c r="AU100" i="274"/>
  <c r="D37" i="172"/>
  <c r="T37" i="253"/>
  <c r="D19" i="311"/>
  <c r="D34" i="291"/>
  <c r="D38" i="291"/>
  <c r="D36" i="291"/>
  <c r="D33" i="291"/>
  <c r="D37" i="291"/>
  <c r="D35" i="291"/>
  <c r="F37" i="172"/>
  <c r="AL77" i="263"/>
  <c r="AD25" i="238"/>
  <c r="G5" i="303"/>
  <c r="G4" i="303"/>
  <c r="AM25" i="240"/>
  <c r="N37" i="172"/>
  <c r="Z75" i="263"/>
  <c r="Z77" i="263"/>
  <c r="Z21" i="263"/>
  <c r="I106" i="236"/>
  <c r="AG105" i="193"/>
  <c r="K37" i="172"/>
  <c r="AL75" i="263"/>
  <c r="AL21" i="263"/>
  <c r="AD21" i="263"/>
  <c r="AD76" i="263"/>
  <c r="AD77" i="263"/>
  <c r="AH75" i="263"/>
  <c r="AH21" i="263"/>
  <c r="C36" i="293"/>
  <c r="C41" i="293"/>
  <c r="BG29" i="281"/>
  <c r="BG36" i="281"/>
  <c r="E143" i="295"/>
  <c r="E146" i="295"/>
  <c r="BC35" i="98"/>
  <c r="BC37" i="98"/>
  <c r="K149" i="276"/>
  <c r="L153" i="267"/>
  <c r="BF29" i="281"/>
  <c r="BF36" i="281"/>
  <c r="N19" i="304"/>
  <c r="X37" i="271"/>
  <c r="T107" i="276"/>
  <c r="T149" i="276"/>
  <c r="AH71" i="27"/>
  <c r="AA74" i="302"/>
  <c r="AG68" i="27"/>
  <c r="AG71" i="27"/>
  <c r="X33" i="124"/>
  <c r="X39" i="124"/>
  <c r="AH16" i="124"/>
  <c r="H108" i="319"/>
  <c r="J108" i="319"/>
  <c r="H160" i="318"/>
  <c r="D157" i="319"/>
  <c r="J56" i="288"/>
  <c r="I61" i="288"/>
  <c r="X15" i="306"/>
  <c r="X32" i="306"/>
  <c r="X38" i="306"/>
  <c r="W38" i="306"/>
  <c r="I32" i="306"/>
  <c r="I38" i="306"/>
  <c r="F139" i="318"/>
  <c r="M137" i="318"/>
  <c r="N137" i="318"/>
  <c r="M185" i="318"/>
  <c r="N185" i="318"/>
  <c r="L187" i="318"/>
  <c r="D222" i="318"/>
  <c r="F237" i="318"/>
  <c r="F244" i="318"/>
  <c r="J72" i="288"/>
  <c r="H75" i="288"/>
  <c r="T38" i="306"/>
  <c r="C189" i="319"/>
  <c r="F38" i="306"/>
  <c r="R38" i="306"/>
  <c r="F172" i="318"/>
  <c r="L215" i="318"/>
  <c r="M213" i="318"/>
  <c r="U37" i="306"/>
  <c r="U38" i="306"/>
  <c r="S38" i="306"/>
  <c r="L37" i="306"/>
  <c r="L38" i="306"/>
  <c r="AQ9" i="337"/>
  <c r="AT6" i="337"/>
  <c r="AT9" i="337"/>
  <c r="AX6" i="337"/>
  <c r="AX9" i="337"/>
  <c r="AV9" i="337"/>
  <c r="AP31" i="337"/>
  <c r="AX79" i="337"/>
  <c r="BG6" i="336"/>
  <c r="BI6" i="336" s="1"/>
  <c r="BH9" i="336"/>
  <c r="AX89" i="337"/>
  <c r="BG19" i="336"/>
  <c r="BG16" i="336"/>
  <c r="BH27" i="336"/>
  <c r="AX134" i="337"/>
  <c r="BH29" i="336"/>
  <c r="H103" i="319"/>
  <c r="J103" i="319"/>
  <c r="G113" i="319"/>
  <c r="D189" i="319"/>
  <c r="G199" i="319"/>
  <c r="G204" i="319"/>
  <c r="H204" i="319"/>
  <c r="G219" i="319"/>
  <c r="F236" i="319"/>
  <c r="X10" i="306"/>
  <c r="H77" i="325"/>
  <c r="H99" i="325"/>
  <c r="AT30" i="123"/>
  <c r="AE20" i="123"/>
  <c r="K33" i="123"/>
  <c r="P10" i="123"/>
  <c r="BI10" i="123"/>
  <c r="G38" i="123"/>
  <c r="AB31" i="337"/>
  <c r="Z31" i="337"/>
  <c r="AT22" i="337"/>
  <c r="AT44" i="337"/>
  <c r="AT66" i="337"/>
  <c r="AL66" i="337"/>
  <c r="AQ101" i="337"/>
  <c r="AV16" i="336"/>
  <c r="AL124" i="337"/>
  <c r="BH16" i="336"/>
  <c r="AX124" i="337"/>
  <c r="BH19" i="336"/>
  <c r="AZ27" i="336"/>
  <c r="BA27" i="336" s="1"/>
  <c r="AP134" i="337"/>
  <c r="AZ29" i="336"/>
  <c r="BA29" i="336" s="1"/>
  <c r="AA38" i="306"/>
  <c r="AN105" i="193"/>
  <c r="BB31" i="337"/>
  <c r="I118" i="319"/>
  <c r="C125" i="319"/>
  <c r="C157" i="319"/>
  <c r="D221" i="319"/>
  <c r="G99" i="325"/>
  <c r="U20" i="123"/>
  <c r="AT24" i="337"/>
  <c r="AS29" i="337"/>
  <c r="AS31" i="337"/>
  <c r="AV14" i="337"/>
  <c r="AX12" i="337"/>
  <c r="AX14" i="337"/>
  <c r="AR14" i="337"/>
  <c r="AR31" i="337"/>
  <c r="AT13" i="337"/>
  <c r="AT14" i="337"/>
  <c r="AQ19" i="337"/>
  <c r="AT16" i="337"/>
  <c r="AT19" i="337"/>
  <c r="AV19" i="337"/>
  <c r="AQ7" i="336"/>
  <c r="AS7" i="336" s="1"/>
  <c r="AH79" i="337"/>
  <c r="AZ6" i="336"/>
  <c r="BA6" i="336" s="1"/>
  <c r="AP114" i="337"/>
  <c r="AN136" i="337"/>
  <c r="AU17" i="336"/>
  <c r="AW17" i="336" s="1"/>
  <c r="AL89" i="337"/>
  <c r="AL99" i="337"/>
  <c r="AU29" i="336"/>
  <c r="AW29" i="336" s="1"/>
  <c r="J106" i="336" s="1"/>
  <c r="AU27" i="336"/>
  <c r="AW27" i="336" s="1"/>
  <c r="BO31" i="242"/>
  <c r="AM9" i="336"/>
  <c r="F157" i="319"/>
  <c r="G167" i="319"/>
  <c r="N38" i="306"/>
  <c r="AL24" i="337"/>
  <c r="AL31" i="337"/>
  <c r="AW29" i="337"/>
  <c r="AW31" i="337"/>
  <c r="AX26" i="337"/>
  <c r="AX29" i="337"/>
  <c r="BC7" i="336"/>
  <c r="AT79" i="337"/>
  <c r="BG13" i="336"/>
  <c r="AX84" i="337"/>
  <c r="BG14" i="336"/>
  <c r="AD89" i="337"/>
  <c r="AM19" i="336"/>
  <c r="AO19" i="336" s="1"/>
  <c r="AM18" i="336"/>
  <c r="AO18" i="336" s="1"/>
  <c r="AJ136" i="337"/>
  <c r="AP119" i="337"/>
  <c r="AZ14" i="336"/>
  <c r="BA14" i="336" s="1"/>
  <c r="AZ11" i="336"/>
  <c r="BA11" i="336" s="1"/>
  <c r="AT134" i="337"/>
  <c r="AX99" i="337"/>
  <c r="BG29" i="336"/>
  <c r="AI108" i="295"/>
  <c r="O36" i="291"/>
  <c r="O38" i="291"/>
  <c r="O34" i="291"/>
  <c r="O37" i="291"/>
  <c r="O33" i="291"/>
  <c r="AM11" i="336"/>
  <c r="AO11" i="336" s="1"/>
  <c r="BD26" i="336"/>
  <c r="AF31" i="296"/>
  <c r="AF37" i="296"/>
  <c r="AR35" i="237"/>
  <c r="AQ37" i="237"/>
  <c r="AM103" i="238"/>
  <c r="AP32" i="241"/>
  <c r="AR11" i="241"/>
  <c r="AP14" i="241"/>
  <c r="AR14" i="241"/>
  <c r="AP37" i="237"/>
  <c r="AR36" i="237"/>
  <c r="AM104" i="236"/>
  <c r="AJ104" i="236"/>
  <c r="AP103" i="238"/>
  <c r="AJ103" i="240"/>
  <c r="AJ105" i="240"/>
  <c r="D35" i="342"/>
  <c r="BP24" i="98"/>
  <c r="AM24" i="237"/>
  <c r="H69" i="319"/>
  <c r="J69" i="319"/>
  <c r="H71" i="319"/>
  <c r="J71" i="319"/>
  <c r="E94" i="319"/>
  <c r="G72" i="319"/>
  <c r="H72" i="319"/>
  <c r="J72" i="319"/>
  <c r="AF24" i="271"/>
  <c r="AG104" i="236"/>
  <c r="AR34" i="239"/>
  <c r="AP37" i="239"/>
  <c r="AR35" i="239"/>
  <c r="AJ103" i="238"/>
  <c r="AQ37" i="241"/>
  <c r="AR31" i="241"/>
  <c r="I79" i="319"/>
  <c r="I81" i="319"/>
  <c r="M71" i="318"/>
  <c r="N71" i="318"/>
  <c r="M38" i="293"/>
  <c r="M39" i="293"/>
  <c r="M36" i="293"/>
  <c r="M37" i="293"/>
  <c r="F6" i="331"/>
  <c r="BT38" i="277"/>
  <c r="BV38" i="277" s="1"/>
  <c r="F94" i="319"/>
  <c r="BV30" i="277"/>
  <c r="AL108" i="295"/>
  <c r="BP9" i="336"/>
  <c r="BF136" i="337"/>
  <c r="BP31" i="336"/>
  <c r="I82" i="319"/>
  <c r="I87" i="319"/>
  <c r="BF101" i="337"/>
  <c r="BO31" i="336"/>
  <c r="BQ31" i="336" s="1"/>
  <c r="O108" i="336" s="1"/>
  <c r="BO9" i="336"/>
  <c r="BT53" i="277"/>
  <c r="P36" i="291"/>
  <c r="AJ133" i="295"/>
  <c r="N26" i="294"/>
  <c r="G32" i="292"/>
  <c r="BE32" i="234"/>
  <c r="BE37" i="234"/>
  <c r="M43" i="318"/>
  <c r="N43" i="318"/>
  <c r="F46" i="318"/>
  <c r="BS36" i="281"/>
  <c r="BP36" i="281"/>
  <c r="BQ36" i="281"/>
  <c r="BP22" i="281"/>
  <c r="BR29" i="281"/>
  <c r="BP29" i="281"/>
  <c r="BS29" i="281"/>
  <c r="BS11" i="281"/>
  <c r="BQ11" i="281"/>
  <c r="BP11" i="281"/>
  <c r="BQ38" i="281"/>
  <c r="BP38" i="281"/>
  <c r="BS38" i="281"/>
  <c r="BS47" i="281"/>
  <c r="BQ47" i="281"/>
  <c r="BP47" i="281"/>
  <c r="P37" i="291"/>
  <c r="P34" i="292"/>
  <c r="P35" i="292"/>
  <c r="BD37" i="234"/>
  <c r="H50" i="319"/>
  <c r="J50" i="319"/>
  <c r="H44" i="319"/>
  <c r="J44" i="319"/>
  <c r="H38" i="319"/>
  <c r="J38" i="319"/>
  <c r="G56" i="319"/>
  <c r="M54" i="318"/>
  <c r="N54" i="318"/>
  <c r="BS22" i="281"/>
  <c r="P34" i="291"/>
  <c r="P39" i="291"/>
  <c r="AK142" i="295"/>
  <c r="G33" i="292"/>
  <c r="H49" i="319"/>
  <c r="J49" i="319"/>
  <c r="I46" i="319"/>
  <c r="BQ18" i="281"/>
  <c r="BR18" i="281"/>
  <c r="BS18" i="281"/>
  <c r="M38" i="318"/>
  <c r="N38" i="318"/>
  <c r="F41" i="318"/>
  <c r="BR22" i="281"/>
  <c r="BS20" i="281"/>
  <c r="BP20" i="281"/>
  <c r="BR20" i="281"/>
  <c r="BR27" i="281"/>
  <c r="BS27" i="281"/>
  <c r="BT30" i="281"/>
  <c r="BP31" i="281"/>
  <c r="BP27" i="281"/>
  <c r="BS9" i="281"/>
  <c r="BR25" i="281"/>
  <c r="BR47" i="281"/>
  <c r="BQ21" i="281"/>
  <c r="BQ20" i="281"/>
  <c r="BQ30" i="281"/>
  <c r="BQ29" i="281"/>
  <c r="BT33" i="281"/>
  <c r="BT42" i="281"/>
  <c r="H101" i="308"/>
  <c r="L93" i="339"/>
  <c r="S16" i="282"/>
  <c r="S19" i="282"/>
  <c r="BQ9" i="281"/>
  <c r="BT12" i="281"/>
  <c r="BT44" i="281"/>
  <c r="BR11" i="281"/>
  <c r="BR16" i="281"/>
  <c r="BT16" i="281"/>
  <c r="BQ7" i="281"/>
  <c r="BR48" i="281"/>
  <c r="BP7" i="281"/>
  <c r="I25" i="308"/>
  <c r="AH103" i="270"/>
  <c r="O73" i="339"/>
  <c r="N28" i="342"/>
  <c r="O64" i="339"/>
  <c r="N27" i="342"/>
  <c r="N26" i="339"/>
  <c r="O78" i="339"/>
  <c r="N29" i="342"/>
  <c r="I27" i="342"/>
  <c r="J79" i="339"/>
  <c r="BR38" i="281"/>
  <c r="M27" i="342"/>
  <c r="M18" i="342"/>
  <c r="O49" i="339"/>
  <c r="N18" i="342"/>
  <c r="O87" i="339"/>
  <c r="X15" i="314"/>
  <c r="S8" i="282"/>
  <c r="S29" i="282"/>
  <c r="BW62" i="274"/>
  <c r="BW70" i="274"/>
  <c r="AG37" i="297"/>
  <c r="AI32" i="297"/>
  <c r="BV59" i="279"/>
  <c r="BS71" i="279"/>
  <c r="BV46" i="279"/>
  <c r="BS54" i="279"/>
  <c r="BS47" i="279"/>
  <c r="BT29" i="98"/>
  <c r="BT34" i="98"/>
  <c r="BT37" i="98"/>
  <c r="P34" i="172"/>
  <c r="P29" i="172"/>
  <c r="BU47" i="279"/>
  <c r="BS70" i="279"/>
  <c r="BS60" i="279"/>
  <c r="AG29" i="233"/>
  <c r="I11" i="328"/>
  <c r="Y33" i="253"/>
  <c r="Y29" i="253"/>
  <c r="BT78" i="274"/>
  <c r="BT102" i="274"/>
  <c r="BU33" i="98"/>
  <c r="BU37" i="98"/>
  <c r="BV8" i="98"/>
  <c r="AI37" i="297"/>
  <c r="BU68" i="279"/>
  <c r="BV8" i="279"/>
  <c r="BT20" i="279"/>
  <c r="BS20" i="279"/>
  <c r="BV12" i="279"/>
  <c r="BS13" i="279"/>
  <c r="BV24" i="279"/>
  <c r="BS26" i="279"/>
  <c r="BV27" i="279"/>
  <c r="BU30" i="279"/>
  <c r="BU35" i="279"/>
  <c r="BT34" i="279"/>
  <c r="BV31" i="279"/>
  <c r="BT35" i="279"/>
  <c r="BS52" i="279"/>
  <c r="BV40" i="279"/>
  <c r="BV42" i="279"/>
  <c r="BU43" i="279"/>
  <c r="BU54" i="279"/>
  <c r="BT54" i="279"/>
  <c r="BT51" i="279"/>
  <c r="BV50" i="279"/>
  <c r="AE31" i="233"/>
  <c r="AE14" i="233"/>
  <c r="F42" i="287"/>
  <c r="F65" i="287"/>
  <c r="C65" i="287"/>
  <c r="Y102" i="275"/>
  <c r="Y104" i="275"/>
  <c r="Y22" i="253"/>
  <c r="Y32" i="253"/>
  <c r="Y36" i="253"/>
  <c r="Y9" i="253"/>
  <c r="Y31" i="253"/>
  <c r="BW94" i="274"/>
  <c r="BW100" i="274"/>
  <c r="P102" i="173"/>
  <c r="P36" i="172"/>
  <c r="P14" i="172"/>
  <c r="P22" i="172"/>
  <c r="P32" i="172"/>
  <c r="BV45" i="279"/>
  <c r="BU64" i="279"/>
  <c r="BU70" i="279"/>
  <c r="AG9" i="233"/>
  <c r="AG26" i="233"/>
  <c r="L158" i="266"/>
  <c r="AE19" i="233"/>
  <c r="AE28" i="233"/>
  <c r="AG24" i="233"/>
  <c r="AG28" i="233"/>
  <c r="AH22" i="233"/>
  <c r="BS22" i="98"/>
  <c r="BS32" i="98"/>
  <c r="BS37" i="98"/>
  <c r="H167" i="319"/>
  <c r="I167" i="319"/>
  <c r="G189" i="319"/>
  <c r="H189" i="319"/>
  <c r="I189" i="319"/>
  <c r="I51" i="319"/>
  <c r="G63" i="319"/>
  <c r="H63" i="319"/>
  <c r="J63" i="319"/>
  <c r="H51" i="319"/>
  <c r="J51" i="319"/>
  <c r="I56" i="319"/>
  <c r="I113" i="319"/>
  <c r="H113" i="319"/>
  <c r="J113" i="319"/>
  <c r="G125" i="319"/>
  <c r="H125" i="319"/>
  <c r="J125" i="319"/>
  <c r="H199" i="319"/>
  <c r="G221" i="319"/>
  <c r="H221" i="319"/>
  <c r="I92" i="319"/>
  <c r="I89" i="319"/>
  <c r="I121" i="319"/>
  <c r="D248" i="319"/>
  <c r="F248" i="319"/>
  <c r="F221" i="319"/>
  <c r="H82" i="319"/>
  <c r="J82" i="319"/>
  <c r="I61" i="319"/>
  <c r="G94" i="319"/>
  <c r="G157" i="319"/>
  <c r="H157" i="319"/>
  <c r="I157" i="319"/>
  <c r="E221" i="319"/>
  <c r="H123" i="319"/>
  <c r="J123" i="319"/>
  <c r="H41" i="319"/>
  <c r="J41" i="319"/>
  <c r="I112" i="319"/>
  <c r="I106" i="319"/>
  <c r="I100" i="319"/>
  <c r="X37" i="253"/>
  <c r="E12" i="336"/>
  <c r="D160" i="336"/>
  <c r="F18" i="336"/>
  <c r="AI37" i="295"/>
  <c r="K140" i="295"/>
  <c r="K146" i="295"/>
  <c r="K128" i="295"/>
  <c r="AC140" i="295"/>
  <c r="AA146" i="295"/>
  <c r="AC146" i="295"/>
  <c r="E108" i="295"/>
  <c r="AI123" i="295"/>
  <c r="Q118" i="295"/>
  <c r="R146" i="295"/>
  <c r="E128" i="295"/>
  <c r="W128" i="295"/>
  <c r="F146" i="295"/>
  <c r="S146" i="295"/>
  <c r="T140" i="295"/>
  <c r="Z75" i="295"/>
  <c r="W146" i="295"/>
  <c r="W123" i="295"/>
  <c r="Y146" i="295"/>
  <c r="Z146" i="295"/>
  <c r="AL128" i="295"/>
  <c r="AL133" i="295"/>
  <c r="AJ146" i="295"/>
  <c r="BF66" i="337"/>
  <c r="H6" i="336"/>
  <c r="H83" i="336"/>
  <c r="H149" i="336"/>
  <c r="J149" i="276"/>
  <c r="C55" i="277"/>
  <c r="H21" i="277"/>
  <c r="C74" i="277"/>
  <c r="F53" i="277"/>
  <c r="R18" i="277"/>
  <c r="BP21" i="277"/>
  <c r="AN75" i="263"/>
  <c r="BB19" i="263"/>
  <c r="AX20" i="263"/>
  <c r="AX21" i="263"/>
  <c r="AU76" i="263"/>
  <c r="AT34" i="263"/>
  <c r="AO76" i="263"/>
  <c r="AT19" i="263"/>
  <c r="AT21" i="263"/>
  <c r="BE72" i="263"/>
  <c r="AN77" i="263"/>
  <c r="AT64" i="263"/>
  <c r="AO21" i="263"/>
  <c r="F71" i="263"/>
  <c r="AO72" i="263"/>
  <c r="AW38" i="263"/>
  <c r="AZ51" i="273"/>
  <c r="AZ55" i="263"/>
  <c r="AS72" i="263"/>
  <c r="AU55" i="263"/>
  <c r="BB17" i="263"/>
  <c r="E75" i="263"/>
  <c r="E77" i="263"/>
  <c r="AW72" i="263"/>
  <c r="AU21" i="263"/>
  <c r="AW74" i="263"/>
  <c r="BB51" i="263"/>
  <c r="AX53" i="263"/>
  <c r="AX55" i="263"/>
  <c r="AV72" i="263"/>
  <c r="AS76" i="263"/>
  <c r="AS77" i="263"/>
  <c r="AW21" i="263"/>
  <c r="AW75" i="263"/>
  <c r="AP55" i="263"/>
  <c r="AR75" i="263"/>
  <c r="AT75" i="263"/>
  <c r="AY149" i="273"/>
  <c r="BH136" i="273"/>
  <c r="BA55" i="263"/>
  <c r="AU149" i="273"/>
  <c r="L149" i="273"/>
  <c r="BD75" i="263"/>
  <c r="AU72" i="263"/>
  <c r="BH51" i="273"/>
  <c r="BH149" i="273"/>
  <c r="BA76" i="263"/>
  <c r="AT51" i="263"/>
  <c r="AB149" i="273"/>
  <c r="AN149" i="273"/>
  <c r="AT70" i="263"/>
  <c r="AT72" i="263"/>
  <c r="AX34" i="263"/>
  <c r="P72" i="277"/>
  <c r="BN37" i="277"/>
  <c r="O21" i="277"/>
  <c r="K75" i="277"/>
  <c r="O75" i="277"/>
  <c r="AR51" i="276"/>
  <c r="G72" i="277"/>
  <c r="J9" i="277"/>
  <c r="BE149" i="276"/>
  <c r="AK149" i="276"/>
  <c r="BA149" i="276"/>
  <c r="P76" i="277"/>
  <c r="BP147" i="276"/>
  <c r="Q55" i="277"/>
  <c r="H149" i="276"/>
  <c r="F17" i="277"/>
  <c r="BE74" i="263"/>
  <c r="AX37" i="263"/>
  <c r="BB53" i="263"/>
  <c r="BB55" i="263"/>
  <c r="AX51" i="263"/>
  <c r="AZ21" i="263"/>
  <c r="AS149" i="273"/>
  <c r="P51" i="273"/>
  <c r="P149" i="273"/>
  <c r="Q149" i="273"/>
  <c r="BF51" i="263"/>
  <c r="BF36" i="263"/>
  <c r="AV76" i="263"/>
  <c r="AM149" i="273"/>
  <c r="AJ136" i="273"/>
  <c r="AP149" i="273"/>
  <c r="BF64" i="263"/>
  <c r="BF17" i="263"/>
  <c r="AP51" i="263"/>
  <c r="BB20" i="263"/>
  <c r="BB21" i="263"/>
  <c r="N149" i="273"/>
  <c r="BD55" i="263"/>
  <c r="AT9" i="263"/>
  <c r="BB34" i="263"/>
  <c r="AX43" i="263"/>
  <c r="BE76" i="263"/>
  <c r="BB64" i="263"/>
  <c r="BD96" i="273"/>
  <c r="BD149" i="273"/>
  <c r="BB60" i="263"/>
  <c r="F149" i="273"/>
  <c r="AF51" i="273"/>
  <c r="AF149" i="273"/>
  <c r="AU38" i="263"/>
  <c r="BB13" i="263"/>
  <c r="AY72" i="263"/>
  <c r="AX13" i="263"/>
  <c r="AY75" i="263"/>
  <c r="BB71" i="263"/>
  <c r="AX71" i="263"/>
  <c r="AU75" i="263"/>
  <c r="AY55" i="263"/>
  <c r="F53" i="263"/>
  <c r="N52" i="277"/>
  <c r="BE38" i="263"/>
  <c r="BF38" i="263"/>
  <c r="AT54" i="263"/>
  <c r="AT55" i="263"/>
  <c r="AP21" i="263"/>
  <c r="AU74" i="263"/>
  <c r="BA21" i="263"/>
  <c r="BB43" i="263"/>
  <c r="AT13" i="263"/>
  <c r="C55" i="263"/>
  <c r="AW76" i="263"/>
  <c r="AV55" i="263"/>
  <c r="AT37" i="263"/>
  <c r="AO55" i="263"/>
  <c r="AX70" i="263"/>
  <c r="AM76" i="263"/>
  <c r="AP76" i="263"/>
  <c r="AT38" i="263"/>
  <c r="AW55" i="263"/>
  <c r="AO75" i="263"/>
  <c r="BC74" i="263"/>
  <c r="AT60" i="263"/>
  <c r="BB70" i="263"/>
  <c r="F51" i="263"/>
  <c r="BM38" i="277"/>
  <c r="AJ51" i="276"/>
  <c r="AJ149" i="276" s="1"/>
  <c r="BN9" i="277"/>
  <c r="BN54" i="277"/>
  <c r="G76" i="277"/>
  <c r="BV60" i="277"/>
  <c r="BV72" i="277" s="1"/>
  <c r="AR76" i="263"/>
  <c r="BF47" i="263"/>
  <c r="AQ76" i="263"/>
  <c r="AQ77" i="263"/>
  <c r="AZ75" i="263"/>
  <c r="AZ77" i="263"/>
  <c r="AZ38" i="263"/>
  <c r="BB38" i="263"/>
  <c r="BB36" i="263"/>
  <c r="BC76" i="263"/>
  <c r="C74" i="263"/>
  <c r="F74" i="263"/>
  <c r="F52" i="263"/>
  <c r="AM72" i="263"/>
  <c r="AP70" i="263"/>
  <c r="AP72" i="263"/>
  <c r="AM75" i="263"/>
  <c r="AY21" i="263"/>
  <c r="BB37" i="263"/>
  <c r="AY76" i="263"/>
  <c r="BB76" i="263"/>
  <c r="AJ96" i="273"/>
  <c r="AJ149" i="273"/>
  <c r="BF70" i="263"/>
  <c r="BC21" i="263"/>
  <c r="AO74" i="263"/>
  <c r="R54" i="277"/>
  <c r="J18" i="277"/>
  <c r="J54" i="277"/>
  <c r="E76" i="277"/>
  <c r="D21" i="277"/>
  <c r="BJ64" i="277"/>
  <c r="K21" i="277"/>
  <c r="BG72" i="277"/>
  <c r="R17" i="277"/>
  <c r="BU75" i="277"/>
  <c r="BI21" i="277"/>
  <c r="E72" i="277"/>
  <c r="E55" i="277"/>
  <c r="BP76" i="277"/>
  <c r="D75" i="277"/>
  <c r="Q76" i="277"/>
  <c r="K76" i="277"/>
  <c r="N76" i="277"/>
  <c r="BV70" i="277"/>
  <c r="F18" i="277"/>
  <c r="E74" i="277"/>
  <c r="BT72" i="277"/>
  <c r="BI72" i="277"/>
  <c r="BP74" i="277"/>
  <c r="J60" i="277"/>
  <c r="M46" i="318"/>
  <c r="N46" i="318"/>
  <c r="M79" i="318"/>
  <c r="N79" i="318"/>
  <c r="M51" i="318"/>
  <c r="N51" i="318"/>
  <c r="F95" i="318"/>
  <c r="E55" i="284"/>
  <c r="I55" i="284"/>
  <c r="Q153" i="267"/>
  <c r="N104" i="201"/>
  <c r="D104" i="201"/>
  <c r="Q104" i="201"/>
  <c r="M104" i="201"/>
  <c r="L104" i="201"/>
  <c r="O38" i="202"/>
  <c r="F104" i="201"/>
  <c r="P38" i="202"/>
  <c r="J104" i="201"/>
  <c r="K38" i="202"/>
  <c r="AL24" i="241"/>
  <c r="AS105" i="238"/>
  <c r="AB105" i="238"/>
  <c r="AI106" i="236"/>
  <c r="AI37" i="237"/>
  <c r="AO14" i="237"/>
  <c r="AI14" i="237"/>
  <c r="AS106" i="236"/>
  <c r="AL37" i="237"/>
  <c r="AG79" i="236"/>
  <c r="AG151" i="283"/>
  <c r="N77" i="284"/>
  <c r="AQ76" i="284"/>
  <c r="AQ21" i="284"/>
  <c r="AF72" i="284"/>
  <c r="K72" i="284"/>
  <c r="Q55" i="284"/>
  <c r="L77" i="284"/>
  <c r="P75" i="284"/>
  <c r="P77" i="284"/>
  <c r="Q72" i="284"/>
  <c r="D72" i="284"/>
  <c r="C77" i="284"/>
  <c r="AB77" i="284"/>
  <c r="AQ75" i="284"/>
  <c r="AR21" i="284"/>
  <c r="M72" i="284"/>
  <c r="U74" i="284"/>
  <c r="U76" i="284"/>
  <c r="AC77" i="284"/>
  <c r="I77" i="284"/>
  <c r="AE75" i="284"/>
  <c r="AE77" i="284"/>
  <c r="AF75" i="284"/>
  <c r="U75" i="284"/>
  <c r="L72" i="284"/>
  <c r="AP75" i="284"/>
  <c r="AP77" i="284"/>
  <c r="X77" i="284"/>
  <c r="M77" i="284"/>
  <c r="O77" i="284"/>
  <c r="AN75" i="284"/>
  <c r="AN77" i="284"/>
  <c r="Y75" i="284"/>
  <c r="K74" i="284"/>
  <c r="K77" i="284"/>
  <c r="I72" i="284"/>
  <c r="AQ55" i="284"/>
  <c r="M55" i="284"/>
  <c r="AO74" i="284"/>
  <c r="AG75" i="284"/>
  <c r="AA76" i="284"/>
  <c r="AA77" i="284"/>
  <c r="AI74" i="284"/>
  <c r="F77" i="284"/>
  <c r="AH72" i="284"/>
  <c r="AD75" i="284"/>
  <c r="AM74" i="284"/>
  <c r="AF74" i="284"/>
  <c r="E77" i="284"/>
  <c r="Y77" i="284"/>
  <c r="AL55" i="284"/>
  <c r="AJ55" i="284"/>
  <c r="Q77" i="284"/>
  <c r="AN55" i="284"/>
  <c r="AO55" i="284"/>
  <c r="AD72" i="284"/>
  <c r="AL76" i="284"/>
  <c r="AL77" i="284"/>
  <c r="AM76" i="284"/>
  <c r="AJ72" i="284"/>
  <c r="BJ60" i="277"/>
  <c r="BJ71" i="277"/>
  <c r="BU72" i="277"/>
  <c r="BV36" i="277"/>
  <c r="O55" i="277"/>
  <c r="O74" i="277"/>
  <c r="BT76" i="277"/>
  <c r="BV76" i="277" s="1"/>
  <c r="BV68" i="277"/>
  <c r="BV19" i="277"/>
  <c r="BU21" i="277"/>
  <c r="AO37" i="241"/>
  <c r="AF105" i="240"/>
  <c r="AK37" i="241"/>
  <c r="AL37" i="241"/>
  <c r="AA25" i="240"/>
  <c r="AA105" i="240"/>
  <c r="AG25" i="240"/>
  <c r="BT18" i="281"/>
  <c r="AE105" i="238"/>
  <c r="BJ20" i="281"/>
  <c r="E41" i="293"/>
  <c r="BC72" i="263"/>
  <c r="BF71" i="263"/>
  <c r="BA37" i="234"/>
  <c r="BB69" i="263"/>
  <c r="BA74" i="263"/>
  <c r="BA72" i="263"/>
  <c r="BF17" i="277"/>
  <c r="BE21" i="277"/>
  <c r="P153" i="267"/>
  <c r="H6" i="304"/>
  <c r="AG76" i="284"/>
  <c r="AR74" i="263"/>
  <c r="AS105" i="240"/>
  <c r="X149" i="273"/>
  <c r="AV51" i="276"/>
  <c r="AM56" i="240"/>
  <c r="AM105" i="240"/>
  <c r="K41" i="293"/>
  <c r="E29" i="292"/>
  <c r="E33" i="292"/>
  <c r="E27" i="292"/>
  <c r="E28" i="292"/>
  <c r="E34" i="292"/>
  <c r="E31" i="292"/>
  <c r="E32" i="292"/>
  <c r="E30" i="292"/>
  <c r="E26" i="292"/>
  <c r="AH75" i="284"/>
  <c r="AH77" i="284"/>
  <c r="BV13" i="277"/>
  <c r="BV21" i="277" s="1"/>
  <c r="BS72" i="277"/>
  <c r="AJ76" i="284"/>
  <c r="BF37" i="263"/>
  <c r="AP25" i="238"/>
  <c r="AY9" i="336"/>
  <c r="AP101" i="337"/>
  <c r="AY31" i="336"/>
  <c r="AJ38" i="284"/>
  <c r="AJ75" i="284"/>
  <c r="BJ33" i="98"/>
  <c r="AP105" i="238"/>
  <c r="BS7" i="281"/>
  <c r="Y149" i="273"/>
  <c r="N39" i="291"/>
  <c r="BO29" i="281"/>
  <c r="AN37" i="239"/>
  <c r="AR55" i="284"/>
  <c r="BC75" i="263"/>
  <c r="BF34" i="263"/>
  <c r="BE75" i="263"/>
  <c r="BE21" i="263"/>
  <c r="AQ72" i="284"/>
  <c r="BM11" i="281"/>
  <c r="BN11" i="281"/>
  <c r="BL11" i="281"/>
  <c r="BO11" i="281"/>
  <c r="AR32" i="239"/>
  <c r="AM75" i="284"/>
  <c r="AI76" i="284"/>
  <c r="BB33" i="98"/>
  <c r="H149" i="273"/>
  <c r="C34" i="300"/>
  <c r="BS75" i="277"/>
  <c r="BV75" i="277" s="1"/>
  <c r="BS38" i="277"/>
  <c r="BF52" i="263"/>
  <c r="BF55" i="263"/>
  <c r="BC55" i="263"/>
  <c r="BC76" i="277"/>
  <c r="Q104" i="275"/>
  <c r="F34" i="300"/>
  <c r="BU38" i="277"/>
  <c r="BV34" i="277"/>
  <c r="BF19" i="263"/>
  <c r="AC105" i="193"/>
  <c r="BB55" i="277"/>
  <c r="N37" i="297"/>
  <c r="BR31" i="281"/>
  <c r="G35" i="292"/>
  <c r="F127" i="318"/>
  <c r="AL118" i="295"/>
  <c r="AG105" i="240"/>
  <c r="AM105" i="193"/>
  <c r="AV149" i="273"/>
  <c r="BJ43" i="281"/>
  <c r="BV18" i="277"/>
  <c r="BF20" i="263"/>
  <c r="BS74" i="277"/>
  <c r="BS77" i="277" s="1"/>
  <c r="BD76" i="263"/>
  <c r="H35" i="292"/>
  <c r="AO75" i="284"/>
  <c r="R93" i="238"/>
  <c r="R105" i="238"/>
  <c r="AR72" i="263"/>
  <c r="AW102" i="274"/>
  <c r="AY102" i="274"/>
  <c r="T149" i="273"/>
  <c r="J41" i="293"/>
  <c r="BS55" i="277"/>
  <c r="BS76" i="277"/>
  <c r="AD76" i="284"/>
  <c r="AD77" i="284"/>
  <c r="BV9" i="277"/>
  <c r="H77" i="319"/>
  <c r="J77" i="319"/>
  <c r="I77" i="319"/>
  <c r="AF38" i="284"/>
  <c r="AF76" i="284"/>
  <c r="AF149" i="276"/>
  <c r="H6" i="329"/>
  <c r="AE37" i="239"/>
  <c r="BS51" i="281"/>
  <c r="AR77" i="284"/>
  <c r="BO25" i="281"/>
  <c r="AK55" i="284"/>
  <c r="AN105" i="240"/>
  <c r="AJ147" i="276"/>
  <c r="AD105" i="238"/>
  <c r="AO37" i="239"/>
  <c r="AG37" i="239"/>
  <c r="AA93" i="238"/>
  <c r="AO9" i="239"/>
  <c r="AR31" i="239"/>
  <c r="AI37" i="239"/>
  <c r="AJ37" i="239"/>
  <c r="AL31" i="239"/>
  <c r="AL37" i="239"/>
  <c r="AK37" i="239"/>
  <c r="AM37" i="237"/>
  <c r="AH37" i="237"/>
  <c r="AN37" i="237"/>
  <c r="AE37" i="237"/>
  <c r="AF32" i="237"/>
  <c r="AF37" i="237"/>
  <c r="AF14" i="237"/>
  <c r="G6" i="303"/>
  <c r="D41" i="293"/>
  <c r="G39" i="293"/>
  <c r="G40" i="293"/>
  <c r="G35" i="293"/>
  <c r="G41" i="293"/>
  <c r="G38" i="293"/>
  <c r="G36" i="293"/>
  <c r="F41" i="293"/>
  <c r="N32" i="294"/>
  <c r="BG31" i="281"/>
  <c r="BH31" i="281"/>
  <c r="BF31" i="281"/>
  <c r="BI31" i="281"/>
  <c r="BQ25" i="281"/>
  <c r="BL27" i="281"/>
  <c r="BN27" i="281"/>
  <c r="BM27" i="281"/>
  <c r="BO30" i="281"/>
  <c r="BF47" i="281"/>
  <c r="BI47" i="281"/>
  <c r="BE27" i="281"/>
  <c r="BA27" i="281"/>
  <c r="BB27" i="281"/>
  <c r="BI11" i="281"/>
  <c r="BF11" i="281"/>
  <c r="BE9" i="281"/>
  <c r="BD9" i="281"/>
  <c r="BA9" i="281"/>
  <c r="BC9" i="281"/>
  <c r="BE12" i="281"/>
  <c r="BC36" i="281"/>
  <c r="BA36" i="281"/>
  <c r="BB36" i="281"/>
  <c r="BA43" i="281"/>
  <c r="BE43" i="281"/>
  <c r="BE48" i="281"/>
  <c r="BD49" i="281"/>
  <c r="BB43" i="281"/>
  <c r="BL18" i="281"/>
  <c r="BM18" i="281"/>
  <c r="BO18" i="281"/>
  <c r="BN18" i="281"/>
  <c r="BM7" i="281"/>
  <c r="BK7" i="281"/>
  <c r="BO12" i="281"/>
  <c r="BL13" i="281"/>
  <c r="BN7" i="281"/>
  <c r="BN45" i="281"/>
  <c r="BM45" i="281"/>
  <c r="BL45" i="281"/>
  <c r="BD27" i="281"/>
  <c r="BJ38" i="281"/>
  <c r="BE34" i="281"/>
  <c r="BJ12" i="281"/>
  <c r="BG13" i="281"/>
  <c r="BJ48" i="281"/>
  <c r="BG51" i="281"/>
  <c r="BD16" i="281"/>
  <c r="BE16" i="281"/>
  <c r="BA16" i="281"/>
  <c r="BC51" i="281"/>
  <c r="BC13" i="281"/>
  <c r="BN9" i="281"/>
  <c r="BM9" i="281"/>
  <c r="BL9" i="281"/>
  <c r="BL51" i="281"/>
  <c r="BH34" i="281"/>
  <c r="BG34" i="281"/>
  <c r="BF34" i="281"/>
  <c r="BJ39" i="281"/>
  <c r="BD47" i="281"/>
  <c r="BA47" i="281"/>
  <c r="BE47" i="281"/>
  <c r="BO38" i="281"/>
  <c r="BO45" i="281"/>
  <c r="BK9" i="281"/>
  <c r="BJ9" i="281"/>
  <c r="BA29" i="281"/>
  <c r="BB29" i="281"/>
  <c r="BE29" i="281"/>
  <c r="BC29" i="281"/>
  <c r="BD29" i="281"/>
  <c r="BB16" i="281"/>
  <c r="BB13" i="281"/>
  <c r="BB51" i="281"/>
  <c r="BI40" i="281"/>
  <c r="BI51" i="281"/>
  <c r="BN43" i="281"/>
  <c r="BM43" i="281"/>
  <c r="BL43" i="281"/>
  <c r="BO48" i="281"/>
  <c r="BK43" i="281"/>
  <c r="BK27" i="281"/>
  <c r="BL20" i="281"/>
  <c r="BM20" i="281"/>
  <c r="BN20" i="281"/>
  <c r="BK51" i="281"/>
  <c r="BN22" i="281"/>
  <c r="BM16" i="281"/>
  <c r="BO21" i="281"/>
  <c r="BL22" i="281"/>
  <c r="BH47" i="281"/>
  <c r="BC16" i="281"/>
  <c r="BJ25" i="281"/>
  <c r="BJ22" i="281"/>
  <c r="BI22" i="281"/>
  <c r="BF22" i="281"/>
  <c r="BH22" i="281"/>
  <c r="BT9" i="281"/>
  <c r="BQ31" i="281"/>
  <c r="BT25" i="281"/>
  <c r="BJ36" i="281"/>
  <c r="BP25" i="281"/>
  <c r="BK47" i="281"/>
  <c r="BL47" i="281"/>
  <c r="BN47" i="281"/>
  <c r="BM47" i="281"/>
  <c r="BH49" i="281"/>
  <c r="BB38" i="281"/>
  <c r="BA38" i="281"/>
  <c r="BE38" i="281"/>
  <c r="BG27" i="281"/>
  <c r="BF27" i="281"/>
  <c r="BH27" i="281"/>
  <c r="BD51" i="281"/>
  <c r="BD13" i="281"/>
  <c r="BK31" i="281"/>
  <c r="BN16" i="281"/>
  <c r="BD25" i="281"/>
  <c r="BC25" i="281"/>
  <c r="BE30" i="281"/>
  <c r="BB25" i="281"/>
  <c r="BE25" i="281"/>
  <c r="BD36" i="281"/>
  <c r="BI27" i="281"/>
  <c r="BH11" i="281"/>
  <c r="BE39" i="281"/>
  <c r="BJ7" i="281"/>
  <c r="BC47" i="281"/>
  <c r="AR149" i="273"/>
  <c r="AD105" i="240"/>
  <c r="BT7" i="281"/>
  <c r="K11" i="329"/>
  <c r="I35" i="292"/>
  <c r="BF13" i="263"/>
  <c r="BD21" i="263"/>
  <c r="BV17" i="277"/>
  <c r="D32" i="292"/>
  <c r="D33" i="292"/>
  <c r="D34" i="292"/>
  <c r="D28" i="292"/>
  <c r="D31" i="292"/>
  <c r="D26" i="292"/>
  <c r="D29" i="292"/>
  <c r="D30" i="292"/>
  <c r="D27" i="292"/>
  <c r="AF151" i="283"/>
  <c r="N41" i="293"/>
  <c r="X104" i="275"/>
  <c r="AD31" i="337"/>
  <c r="W33" i="271"/>
  <c r="W37" i="271"/>
  <c r="W24" i="271"/>
  <c r="AA50" i="302"/>
  <c r="AA26" i="302"/>
  <c r="AV38" i="263"/>
  <c r="AV75" i="263"/>
  <c r="AX36" i="263"/>
  <c r="AA149" i="273"/>
  <c r="T37" i="296"/>
  <c r="AO31" i="237"/>
  <c r="AO37" i="237"/>
  <c r="AJ105" i="238"/>
  <c r="AG106" i="236"/>
  <c r="AJ106" i="236"/>
  <c r="AD101" i="337"/>
  <c r="AM31" i="336"/>
  <c r="AO31" i="336" s="1"/>
  <c r="D39" i="291"/>
  <c r="BV54" i="277"/>
  <c r="AF37" i="297"/>
  <c r="L26" i="233"/>
  <c r="L32" i="233"/>
  <c r="N6" i="233"/>
  <c r="L9" i="233"/>
  <c r="AK75" i="284"/>
  <c r="AK77" i="284"/>
  <c r="AK38" i="284"/>
  <c r="W104" i="275"/>
  <c r="AG105" i="238"/>
  <c r="AA26" i="236"/>
  <c r="BK149" i="276"/>
  <c r="E104" i="201"/>
  <c r="BQ21" i="277"/>
  <c r="AT102" i="274"/>
  <c r="AU102" i="274"/>
  <c r="BW102" i="274"/>
  <c r="I72" i="319"/>
  <c r="AM105" i="238"/>
  <c r="BE31" i="337"/>
  <c r="AL37" i="295"/>
  <c r="AL141" i="295"/>
  <c r="BO39" i="281"/>
  <c r="BL36" i="281"/>
  <c r="BM36" i="281"/>
  <c r="BN36" i="281"/>
  <c r="BK36" i="281"/>
  <c r="AX66" i="337"/>
  <c r="BD18" i="281"/>
  <c r="BA18" i="281"/>
  <c r="BE21" i="281"/>
  <c r="BC18" i="281"/>
  <c r="BE18" i="281"/>
  <c r="BB18" i="281"/>
  <c r="G36" i="291"/>
  <c r="G30" i="291"/>
  <c r="BD55" i="277"/>
  <c r="BD76" i="277"/>
  <c r="BF76" i="277" s="1"/>
  <c r="AZ149" i="273"/>
  <c r="AL105" i="238"/>
  <c r="AL29" i="98"/>
  <c r="AL32" i="98"/>
  <c r="AL37" i="98"/>
  <c r="G34" i="300"/>
  <c r="AA105" i="238"/>
  <c r="U106" i="236"/>
  <c r="AH72" i="263"/>
  <c r="AH76" i="263"/>
  <c r="AH77" i="263"/>
  <c r="AM26" i="236"/>
  <c r="AM106" i="236"/>
  <c r="BN19" i="98"/>
  <c r="BR32" i="98"/>
  <c r="BR37" i="98"/>
  <c r="P37" i="172"/>
  <c r="BU102" i="274"/>
  <c r="P151" i="283"/>
  <c r="F31" i="292"/>
  <c r="F26" i="292"/>
  <c r="F33" i="292"/>
  <c r="F32" i="292"/>
  <c r="F30" i="292"/>
  <c r="F27" i="292"/>
  <c r="F34" i="292"/>
  <c r="F29" i="292"/>
  <c r="F28" i="292"/>
  <c r="BD31" i="337"/>
  <c r="BF9" i="337"/>
  <c r="BF31" i="337"/>
  <c r="AN151" i="283"/>
  <c r="AN106" i="236"/>
  <c r="AP79" i="236"/>
  <c r="AP106" i="236"/>
  <c r="U77" i="284"/>
  <c r="AB106" i="236"/>
  <c r="D75" i="263"/>
  <c r="D72" i="263"/>
  <c r="F70" i="263"/>
  <c r="F72" i="263"/>
  <c r="AA106" i="236"/>
  <c r="M111" i="318"/>
  <c r="N111" i="318"/>
  <c r="M154" i="318"/>
  <c r="N154" i="318"/>
  <c r="M84" i="318"/>
  <c r="N84" i="318"/>
  <c r="F222" i="318"/>
  <c r="M158" i="318"/>
  <c r="N158" i="318"/>
  <c r="L62" i="318"/>
  <c r="F62" i="318"/>
  <c r="L160" i="318"/>
  <c r="L127" i="318"/>
  <c r="M106" i="318"/>
  <c r="N106" i="318"/>
  <c r="L95" i="318"/>
  <c r="M74" i="318"/>
  <c r="N74" i="318"/>
  <c r="M191" i="318"/>
  <c r="N191" i="318"/>
  <c r="AH28" i="233"/>
  <c r="Y37" i="253"/>
  <c r="BV35" i="279"/>
  <c r="Y24" i="253"/>
  <c r="N13" i="342"/>
  <c r="BS45" i="281"/>
  <c r="BP45" i="281"/>
  <c r="BQ45" i="281"/>
  <c r="BR45" i="281"/>
  <c r="BS43" i="281"/>
  <c r="BQ43" i="281"/>
  <c r="BR43" i="281"/>
  <c r="BT48" i="281"/>
  <c r="BT27" i="281"/>
  <c r="BR51" i="281"/>
  <c r="M41" i="318"/>
  <c r="N41" i="318"/>
  <c r="BT11" i="281"/>
  <c r="BT29" i="281"/>
  <c r="O39" i="291"/>
  <c r="AU19" i="336"/>
  <c r="AL101" i="337"/>
  <c r="AU31" i="336"/>
  <c r="AX136" i="337"/>
  <c r="BH31" i="336"/>
  <c r="AQ31" i="337"/>
  <c r="M215" i="318"/>
  <c r="L222" i="318"/>
  <c r="BJ29" i="281"/>
  <c r="I63" i="319"/>
  <c r="BV34" i="98"/>
  <c r="BV37" i="98"/>
  <c r="BV9" i="98"/>
  <c r="BQ13" i="281"/>
  <c r="BP13" i="281"/>
  <c r="BS13" i="281"/>
  <c r="BR13" i="281"/>
  <c r="K14" i="342"/>
  <c r="K37" i="342"/>
  <c r="BS34" i="281"/>
  <c r="BP34" i="281"/>
  <c r="BR34" i="281"/>
  <c r="BQ34" i="281"/>
  <c r="BT39" i="281"/>
  <c r="BT51" i="281"/>
  <c r="BQ51" i="281"/>
  <c r="BQ22" i="281"/>
  <c r="BT20" i="281"/>
  <c r="BP43" i="281"/>
  <c r="BS31" i="281"/>
  <c r="BT31" i="281"/>
  <c r="AR37" i="237"/>
  <c r="AV19" i="336"/>
  <c r="AL136" i="337"/>
  <c r="AV31" i="336"/>
  <c r="AV31" i="337"/>
  <c r="F193" i="318"/>
  <c r="M172" i="318"/>
  <c r="N172" i="318"/>
  <c r="M139" i="318"/>
  <c r="N139" i="318"/>
  <c r="F160" i="318"/>
  <c r="AH26" i="233"/>
  <c r="AL142" i="295"/>
  <c r="AK146" i="295"/>
  <c r="AL146" i="295"/>
  <c r="BT47" i="281"/>
  <c r="BT38" i="281"/>
  <c r="BT36" i="281"/>
  <c r="M41" i="293"/>
  <c r="AR32" i="241"/>
  <c r="AR37" i="241"/>
  <c r="AP37" i="241"/>
  <c r="AQ9" i="336"/>
  <c r="AH101" i="337"/>
  <c r="AQ31" i="336"/>
  <c r="AX101" i="337"/>
  <c r="BG31" i="336"/>
  <c r="BG9" i="336"/>
  <c r="BI9" i="336" s="1"/>
  <c r="AX31" i="337"/>
  <c r="M187" i="318"/>
  <c r="N187" i="318"/>
  <c r="L193" i="318"/>
  <c r="P24" i="172"/>
  <c r="BT22" i="281"/>
  <c r="BT75" i="277"/>
  <c r="BT55" i="277"/>
  <c r="BV53" i="277"/>
  <c r="BD29" i="336"/>
  <c r="AT136" i="337"/>
  <c r="BD31" i="336"/>
  <c r="BC9" i="336"/>
  <c r="AT101" i="337"/>
  <c r="BC31" i="336"/>
  <c r="AZ9" i="336"/>
  <c r="AP136" i="337"/>
  <c r="AZ31" i="336"/>
  <c r="AT31" i="337"/>
  <c r="BS24" i="98"/>
  <c r="I94" i="319"/>
  <c r="H94" i="319"/>
  <c r="J94" i="319"/>
  <c r="I125" i="319"/>
  <c r="T146" i="295"/>
  <c r="BF72" i="263"/>
  <c r="AX74" i="263"/>
  <c r="F55" i="263"/>
  <c r="BB72" i="263"/>
  <c r="BF74" i="263"/>
  <c r="AX76" i="263"/>
  <c r="BE77" i="263"/>
  <c r="BF76" i="263"/>
  <c r="AX38" i="263"/>
  <c r="AW77" i="263"/>
  <c r="BF21" i="263"/>
  <c r="AX72" i="263"/>
  <c r="AU77" i="263"/>
  <c r="AR77" i="263"/>
  <c r="BC77" i="263"/>
  <c r="BB75" i="263"/>
  <c r="BD77" i="263"/>
  <c r="AT76" i="263"/>
  <c r="AP75" i="263"/>
  <c r="AM77" i="263"/>
  <c r="C77" i="263"/>
  <c r="AY77" i="263"/>
  <c r="AP74" i="263"/>
  <c r="AO77" i="263"/>
  <c r="BF75" i="263"/>
  <c r="M193" i="318"/>
  <c r="N193" i="318"/>
  <c r="M62" i="318"/>
  <c r="N62" i="318"/>
  <c r="AI77" i="284"/>
  <c r="AQ77" i="284"/>
  <c r="AG77" i="284"/>
  <c r="AO77" i="284"/>
  <c r="AM77" i="284"/>
  <c r="AF77" i="284"/>
  <c r="BO47" i="281"/>
  <c r="BK13" i="281"/>
  <c r="E35" i="292"/>
  <c r="BJ47" i="281"/>
  <c r="BO20" i="281"/>
  <c r="AR37" i="239"/>
  <c r="AJ77" i="284"/>
  <c r="BO16" i="281"/>
  <c r="BO43" i="281"/>
  <c r="BO9" i="281"/>
  <c r="AT74" i="263"/>
  <c r="BA77" i="263"/>
  <c r="BB74" i="263"/>
  <c r="BG40" i="281"/>
  <c r="BF40" i="281"/>
  <c r="BH40" i="281"/>
  <c r="BE31" i="281"/>
  <c r="BA31" i="281"/>
  <c r="BD31" i="281"/>
  <c r="BC31" i="281"/>
  <c r="BB31" i="281"/>
  <c r="BJ27" i="281"/>
  <c r="BM22" i="281"/>
  <c r="BK22" i="281"/>
  <c r="BO27" i="281"/>
  <c r="BJ34" i="281"/>
  <c r="BE13" i="281"/>
  <c r="BA13" i="281"/>
  <c r="BF49" i="281"/>
  <c r="BI49" i="281"/>
  <c r="BG49" i="281"/>
  <c r="BO7" i="281"/>
  <c r="BJ11" i="281"/>
  <c r="BN31" i="281"/>
  <c r="BL31" i="281"/>
  <c r="BM31" i="281"/>
  <c r="BJ31" i="281"/>
  <c r="BC40" i="281"/>
  <c r="BE40" i="281"/>
  <c r="BB40" i="281"/>
  <c r="BA40" i="281"/>
  <c r="BD40" i="281"/>
  <c r="BO22" i="281"/>
  <c r="BK49" i="281"/>
  <c r="BL49" i="281"/>
  <c r="BN49" i="281"/>
  <c r="BM49" i="281"/>
  <c r="BF13" i="281"/>
  <c r="BJ51" i="281"/>
  <c r="BH13" i="281"/>
  <c r="BI13" i="281"/>
  <c r="BE49" i="281"/>
  <c r="BA49" i="281"/>
  <c r="BB49" i="281"/>
  <c r="BE36" i="281"/>
  <c r="BC49" i="281"/>
  <c r="BM13" i="281"/>
  <c r="BN13" i="281"/>
  <c r="BT45" i="281"/>
  <c r="F35" i="292"/>
  <c r="G37" i="291"/>
  <c r="G34" i="291"/>
  <c r="G35" i="291"/>
  <c r="G33" i="291"/>
  <c r="G39" i="291"/>
  <c r="G38" i="291"/>
  <c r="BO36" i="281"/>
  <c r="BM40" i="281"/>
  <c r="BL40" i="281"/>
  <c r="BK40" i="281"/>
  <c r="BN40" i="281"/>
  <c r="BO51" i="281"/>
  <c r="AX75" i="263"/>
  <c r="AX77" i="263"/>
  <c r="AV77" i="263"/>
  <c r="D35" i="292"/>
  <c r="BD22" i="281"/>
  <c r="BC22" i="281"/>
  <c r="BE22" i="281"/>
  <c r="BB22" i="281"/>
  <c r="BA22" i="281"/>
  <c r="BE51" i="281"/>
  <c r="D77" i="263"/>
  <c r="F75" i="263"/>
  <c r="F77" i="263"/>
  <c r="N26" i="233"/>
  <c r="N9" i="233"/>
  <c r="L64" i="318"/>
  <c r="M127" i="318"/>
  <c r="N127" i="318"/>
  <c r="L129" i="318"/>
  <c r="M95" i="318"/>
  <c r="N95" i="318"/>
  <c r="L97" i="318"/>
  <c r="BS52" i="281"/>
  <c r="BP52" i="281"/>
  <c r="M224" i="318"/>
  <c r="M222" i="318"/>
  <c r="BR52" i="281"/>
  <c r="N36" i="342"/>
  <c r="L195" i="318"/>
  <c r="BT43" i="281"/>
  <c r="BQ52" i="281"/>
  <c r="BT34" i="281"/>
  <c r="BT13" i="281"/>
  <c r="BP49" i="281"/>
  <c r="BQ49" i="281"/>
  <c r="BS49" i="281"/>
  <c r="BR49" i="281"/>
  <c r="L162" i="318"/>
  <c r="M160" i="318"/>
  <c r="N160" i="318"/>
  <c r="BS40" i="281"/>
  <c r="BQ40" i="281"/>
  <c r="BP40" i="281"/>
  <c r="BR40" i="281"/>
  <c r="BF77" i="263"/>
  <c r="BB77" i="263"/>
  <c r="AP77" i="263"/>
  <c r="AT77" i="263"/>
  <c r="BO13" i="281"/>
  <c r="BJ40" i="281"/>
  <c r="BO31" i="281"/>
  <c r="BJ13" i="281"/>
  <c r="BJ49" i="281"/>
  <c r="BT52" i="281"/>
  <c r="BI52" i="281"/>
  <c r="BF52" i="281"/>
  <c r="BH52" i="281"/>
  <c r="BO49" i="281"/>
  <c r="BG52" i="281"/>
  <c r="BM52" i="281"/>
  <c r="BL52" i="281"/>
  <c r="BN52" i="281"/>
  <c r="BK52" i="281"/>
  <c r="BB52" i="281"/>
  <c r="BC52" i="281"/>
  <c r="BE52" i="281"/>
  <c r="BD52" i="281"/>
  <c r="BA52" i="281"/>
  <c r="BT49" i="281"/>
  <c r="BO40" i="281"/>
  <c r="BR53" i="281"/>
  <c r="BT40" i="281"/>
  <c r="BM53" i="281"/>
  <c r="BJ52" i="281"/>
  <c r="BH53" i="281"/>
  <c r="BC53" i="281"/>
  <c r="BO52" i="281"/>
  <c r="J100" i="308"/>
  <c r="J101" i="308"/>
  <c r="E28" i="340"/>
  <c r="I28" i="340"/>
  <c r="H28" i="340"/>
  <c r="G24" i="341"/>
  <c r="I14" i="341"/>
  <c r="I22" i="341"/>
  <c r="L73" i="324"/>
  <c r="L54" i="324"/>
  <c r="I54" i="324"/>
  <c r="E55" i="324"/>
  <c r="I39" i="324"/>
  <c r="F39" i="324"/>
  <c r="F55" i="324"/>
  <c r="J55" i="324"/>
  <c r="K77" i="327"/>
  <c r="L23" i="327"/>
  <c r="L76" i="327"/>
  <c r="L72" i="327"/>
  <c r="F58" i="327"/>
  <c r="F23" i="327"/>
  <c r="L28" i="327"/>
  <c r="K12" i="328"/>
  <c r="K35" i="328"/>
  <c r="L14" i="327"/>
  <c r="L24" i="327"/>
  <c r="D24" i="327"/>
  <c r="L76" i="330"/>
  <c r="I84" i="330"/>
  <c r="H26" i="331"/>
  <c r="I76" i="330"/>
  <c r="L24" i="330"/>
  <c r="K8" i="331"/>
  <c r="K69" i="325"/>
  <c r="I20" i="325"/>
  <c r="I34" i="325"/>
  <c r="E27" i="329"/>
  <c r="L98" i="325"/>
  <c r="J99" i="325"/>
  <c r="G69" i="325"/>
  <c r="D99" i="325"/>
  <c r="G77" i="325"/>
  <c r="D34" i="329"/>
  <c r="F76" i="325"/>
  <c r="F77" i="325"/>
  <c r="K28" i="329"/>
  <c r="K7" i="329"/>
  <c r="E6" i="329"/>
  <c r="H69" i="325"/>
  <c r="L61" i="325"/>
  <c r="L49" i="325"/>
  <c r="D31" i="329"/>
  <c r="I38" i="323"/>
  <c r="H13" i="326"/>
  <c r="H36" i="326"/>
  <c r="F20" i="323"/>
  <c r="E7" i="326"/>
  <c r="F22" i="341"/>
  <c r="F14" i="341"/>
  <c r="D24" i="341"/>
  <c r="L39" i="324"/>
  <c r="I16" i="324"/>
  <c r="L16" i="324"/>
  <c r="I65" i="327"/>
  <c r="L65" i="327"/>
  <c r="J38" i="327"/>
  <c r="G59" i="327"/>
  <c r="L54" i="327"/>
  <c r="F14" i="327"/>
  <c r="C7" i="328"/>
  <c r="C9" i="328"/>
  <c r="K24" i="327"/>
  <c r="H77" i="327"/>
  <c r="H18" i="328"/>
  <c r="K27" i="328"/>
  <c r="D29" i="328"/>
  <c r="G33" i="328"/>
  <c r="F26" i="328"/>
  <c r="F32" i="328"/>
  <c r="G34" i="331"/>
  <c r="K22" i="331"/>
  <c r="K77" i="330"/>
  <c r="K7" i="331"/>
  <c r="I14" i="331"/>
  <c r="I93" i="325"/>
  <c r="F34" i="325"/>
  <c r="F49" i="325"/>
  <c r="F61" i="325"/>
  <c r="I15" i="325"/>
  <c r="I84" i="325"/>
  <c r="I61" i="325"/>
  <c r="I68" i="325"/>
  <c r="I49" i="325"/>
  <c r="L84" i="325"/>
  <c r="L93" i="325"/>
  <c r="F29" i="325"/>
  <c r="I24" i="325"/>
  <c r="F98" i="325"/>
  <c r="L76" i="325"/>
  <c r="L77" i="325"/>
  <c r="F93" i="325"/>
  <c r="L68" i="325"/>
  <c r="F25" i="325"/>
  <c r="K23" i="329"/>
  <c r="H28" i="329"/>
  <c r="K6" i="329"/>
  <c r="H18" i="329"/>
  <c r="D9" i="329"/>
  <c r="H21" i="329"/>
  <c r="F33" i="329"/>
  <c r="K27" i="329"/>
  <c r="H25" i="325"/>
  <c r="D24" i="329"/>
  <c r="H23" i="329"/>
  <c r="D29" i="329"/>
  <c r="G16" i="329"/>
  <c r="G31" i="329"/>
  <c r="H27" i="329"/>
  <c r="E28" i="329"/>
  <c r="L39" i="325"/>
  <c r="J77" i="325"/>
  <c r="G39" i="325"/>
  <c r="I99" i="325"/>
  <c r="D39" i="325"/>
  <c r="D101" i="325"/>
  <c r="E69" i="325"/>
  <c r="E101" i="325"/>
  <c r="G24" i="329"/>
  <c r="K77" i="325"/>
  <c r="K39" i="325"/>
  <c r="J39" i="325"/>
  <c r="E22" i="329"/>
  <c r="F61" i="323"/>
  <c r="E17" i="326"/>
  <c r="I20" i="323"/>
  <c r="H7" i="326"/>
  <c r="E39" i="323"/>
  <c r="I24" i="323"/>
  <c r="H8" i="326"/>
  <c r="F76" i="323"/>
  <c r="E23" i="326"/>
  <c r="G99" i="323"/>
  <c r="I93" i="323"/>
  <c r="H27" i="326"/>
  <c r="F93" i="323"/>
  <c r="E27" i="326"/>
  <c r="G25" i="323"/>
  <c r="H69" i="323"/>
  <c r="H77" i="323"/>
  <c r="I34" i="328"/>
  <c r="D59" i="327"/>
  <c r="K59" i="327"/>
  <c r="K14" i="328"/>
  <c r="J8" i="328"/>
  <c r="J34" i="328"/>
  <c r="J77" i="327"/>
  <c r="H38" i="327"/>
  <c r="I72" i="327"/>
  <c r="J24" i="327"/>
  <c r="E38" i="327"/>
  <c r="I19" i="327"/>
  <c r="F65" i="327"/>
  <c r="D34" i="328"/>
  <c r="E8" i="328"/>
  <c r="E34" i="328"/>
  <c r="K7" i="328"/>
  <c r="G38" i="327"/>
  <c r="I23" i="327"/>
  <c r="I24" i="327"/>
  <c r="J29" i="328"/>
  <c r="F72" i="327"/>
  <c r="I26" i="328"/>
  <c r="I32" i="328"/>
  <c r="I54" i="327"/>
  <c r="I59" i="327"/>
  <c r="D38" i="327"/>
  <c r="D14" i="328"/>
  <c r="E24" i="327"/>
  <c r="G24" i="327"/>
  <c r="J31" i="328"/>
  <c r="H24" i="327"/>
  <c r="K6" i="328"/>
  <c r="I31" i="328"/>
  <c r="I9" i="328"/>
  <c r="F54" i="327"/>
  <c r="F59" i="327"/>
  <c r="G31" i="328"/>
  <c r="E27" i="328"/>
  <c r="G14" i="328"/>
  <c r="J14" i="328"/>
  <c r="E7" i="328"/>
  <c r="H6" i="328"/>
  <c r="H31" i="328"/>
  <c r="F31" i="328"/>
  <c r="E18" i="328"/>
  <c r="C33" i="328"/>
  <c r="I35" i="328"/>
  <c r="I14" i="328"/>
  <c r="F38" i="327"/>
  <c r="E12" i="328"/>
  <c r="E35" i="328"/>
  <c r="E26" i="328"/>
  <c r="C29" i="328"/>
  <c r="C31" i="328"/>
  <c r="C19" i="328"/>
  <c r="K18" i="328"/>
  <c r="J33" i="328"/>
  <c r="L38" i="327"/>
  <c r="E59" i="327"/>
  <c r="I33" i="328"/>
  <c r="H59" i="327"/>
  <c r="G7" i="328"/>
  <c r="H7" i="328"/>
  <c r="D6" i="328"/>
  <c r="C11" i="328"/>
  <c r="C14" i="328"/>
  <c r="G19" i="328"/>
  <c r="F19" i="328"/>
  <c r="L59" i="327"/>
  <c r="J32" i="328"/>
  <c r="D19" i="328"/>
  <c r="E17" i="328"/>
  <c r="D32" i="328"/>
  <c r="I19" i="328"/>
  <c r="J59" i="327"/>
  <c r="G29" i="328"/>
  <c r="D33" i="328"/>
  <c r="C35" i="328"/>
  <c r="H17" i="328"/>
  <c r="F9" i="328"/>
  <c r="J19" i="328"/>
  <c r="H27" i="328"/>
  <c r="H33" i="328"/>
  <c r="K17" i="328"/>
  <c r="H8" i="328"/>
  <c r="H34" i="328"/>
  <c r="F33" i="328"/>
  <c r="H12" i="328"/>
  <c r="I38" i="327"/>
  <c r="F14" i="328"/>
  <c r="F35" i="328"/>
  <c r="J39" i="330"/>
  <c r="F34" i="330"/>
  <c r="E13" i="331"/>
  <c r="E36" i="331"/>
  <c r="L49" i="330"/>
  <c r="K25" i="330"/>
  <c r="H69" i="330"/>
  <c r="K99" i="330"/>
  <c r="I34" i="330"/>
  <c r="I39" i="330"/>
  <c r="J14" i="331"/>
  <c r="K28" i="331"/>
  <c r="K34" i="331"/>
  <c r="J34" i="331"/>
  <c r="F98" i="330"/>
  <c r="C29" i="331"/>
  <c r="I93" i="330"/>
  <c r="H27" i="331"/>
  <c r="F68" i="330"/>
  <c r="E18" i="331"/>
  <c r="C34" i="331"/>
  <c r="C9" i="331"/>
  <c r="E25" i="330"/>
  <c r="L15" i="330"/>
  <c r="C24" i="331"/>
  <c r="J31" i="331"/>
  <c r="K21" i="331"/>
  <c r="J24" i="331"/>
  <c r="F93" i="330"/>
  <c r="E27" i="331"/>
  <c r="H22" i="331"/>
  <c r="L77" i="330"/>
  <c r="I34" i="331"/>
  <c r="J77" i="330"/>
  <c r="E69" i="330"/>
  <c r="F84" i="330"/>
  <c r="E26" i="331"/>
  <c r="D29" i="331"/>
  <c r="G99" i="330"/>
  <c r="E77" i="330"/>
  <c r="L93" i="330"/>
  <c r="K27" i="331"/>
  <c r="L98" i="330"/>
  <c r="F77" i="330"/>
  <c r="I77" i="330"/>
  <c r="I29" i="331"/>
  <c r="L84" i="330"/>
  <c r="K26" i="331"/>
  <c r="E24" i="331"/>
  <c r="I98" i="330"/>
  <c r="C35" i="331"/>
  <c r="C14" i="331"/>
  <c r="D39" i="330"/>
  <c r="G19" i="331"/>
  <c r="K39" i="330"/>
  <c r="F49" i="330"/>
  <c r="I20" i="330"/>
  <c r="H39" i="330"/>
  <c r="F29" i="330"/>
  <c r="E12" i="331"/>
  <c r="E35" i="331"/>
  <c r="G25" i="330"/>
  <c r="L38" i="330"/>
  <c r="K11" i="331"/>
  <c r="G69" i="330"/>
  <c r="L20" i="330"/>
  <c r="L34" i="330"/>
  <c r="K13" i="331"/>
  <c r="K36" i="331"/>
  <c r="D19" i="331"/>
  <c r="I15" i="330"/>
  <c r="J29" i="331"/>
  <c r="D99" i="330"/>
  <c r="F7" i="331"/>
  <c r="F32" i="331"/>
  <c r="I61" i="330"/>
  <c r="H17" i="331"/>
  <c r="L61" i="330"/>
  <c r="K17" i="331"/>
  <c r="J32" i="331"/>
  <c r="J9" i="331"/>
  <c r="F15" i="330"/>
  <c r="G29" i="331"/>
  <c r="D33" i="331"/>
  <c r="G33" i="331"/>
  <c r="J99" i="330"/>
  <c r="G32" i="331"/>
  <c r="L68" i="330"/>
  <c r="K18" i="331"/>
  <c r="F20" i="330"/>
  <c r="C33" i="331"/>
  <c r="D24" i="331"/>
  <c r="K16" i="331"/>
  <c r="I19" i="331"/>
  <c r="J19" i="331"/>
  <c r="J33" i="331"/>
  <c r="D32" i="331"/>
  <c r="H28" i="331"/>
  <c r="F34" i="331"/>
  <c r="F29" i="331"/>
  <c r="I9" i="331"/>
  <c r="K6" i="331"/>
  <c r="I31" i="331"/>
  <c r="K23" i="331"/>
  <c r="I33" i="331"/>
  <c r="G24" i="331"/>
  <c r="H23" i="331"/>
  <c r="F33" i="331"/>
  <c r="G31" i="331"/>
  <c r="G9" i="331"/>
  <c r="H6" i="331"/>
  <c r="F14" i="331"/>
  <c r="H21" i="331"/>
  <c r="F24" i="331"/>
  <c r="D34" i="331"/>
  <c r="D9" i="331"/>
  <c r="H35" i="331"/>
  <c r="C19" i="331"/>
  <c r="C32" i="331"/>
  <c r="F19" i="331"/>
  <c r="F31" i="331"/>
  <c r="H16" i="331"/>
  <c r="J25" i="330"/>
  <c r="H99" i="330"/>
  <c r="G77" i="330"/>
  <c r="G39" i="330"/>
  <c r="E39" i="330"/>
  <c r="D69" i="330"/>
  <c r="I24" i="331"/>
  <c r="D25" i="330"/>
  <c r="G14" i="331"/>
  <c r="F61" i="330"/>
  <c r="E17" i="331"/>
  <c r="F38" i="330"/>
  <c r="D13" i="331"/>
  <c r="D36" i="331"/>
  <c r="F24" i="330"/>
  <c r="I32" i="331"/>
  <c r="K69" i="330"/>
  <c r="F24" i="329"/>
  <c r="H22" i="329"/>
  <c r="K21" i="329"/>
  <c r="I24" i="329"/>
  <c r="I31" i="329"/>
  <c r="I77" i="325"/>
  <c r="F99" i="325"/>
  <c r="E21" i="329"/>
  <c r="E24" i="329"/>
  <c r="C24" i="329"/>
  <c r="L25" i="325"/>
  <c r="F39" i="325"/>
  <c r="C11" i="329"/>
  <c r="E11" i="329"/>
  <c r="H39" i="325"/>
  <c r="J25" i="325"/>
  <c r="F11" i="329"/>
  <c r="H11" i="329"/>
  <c r="J22" i="329"/>
  <c r="K22" i="329"/>
  <c r="G34" i="329"/>
  <c r="G33" i="329"/>
  <c r="I29" i="325"/>
  <c r="I39" i="325"/>
  <c r="C31" i="329"/>
  <c r="D33" i="329"/>
  <c r="J33" i="329"/>
  <c r="G29" i="329"/>
  <c r="J29" i="329"/>
  <c r="E26" i="329"/>
  <c r="C29" i="329"/>
  <c r="H26" i="329"/>
  <c r="H29" i="329"/>
  <c r="F29" i="329"/>
  <c r="I29" i="329"/>
  <c r="K26" i="329"/>
  <c r="G101" i="325"/>
  <c r="C33" i="329"/>
  <c r="E18" i="329"/>
  <c r="E33" i="329"/>
  <c r="K18" i="329"/>
  <c r="I33" i="329"/>
  <c r="H17" i="329"/>
  <c r="I32" i="329"/>
  <c r="I19" i="329"/>
  <c r="K17" i="329"/>
  <c r="E17" i="329"/>
  <c r="D19" i="329"/>
  <c r="D32" i="329"/>
  <c r="J69" i="325"/>
  <c r="F19" i="329"/>
  <c r="F31" i="329"/>
  <c r="J19" i="329"/>
  <c r="J31" i="329"/>
  <c r="K16" i="329"/>
  <c r="E16" i="329"/>
  <c r="C19" i="329"/>
  <c r="F34" i="329"/>
  <c r="H8" i="329"/>
  <c r="H34" i="329"/>
  <c r="G14" i="329"/>
  <c r="C36" i="329"/>
  <c r="E13" i="329"/>
  <c r="E36" i="329"/>
  <c r="F36" i="329"/>
  <c r="H13" i="329"/>
  <c r="H36" i="329"/>
  <c r="K8" i="329"/>
  <c r="K34" i="329"/>
  <c r="I34" i="329"/>
  <c r="I9" i="329"/>
  <c r="H7" i="329"/>
  <c r="F9" i="329"/>
  <c r="D35" i="329"/>
  <c r="D14" i="329"/>
  <c r="G32" i="329"/>
  <c r="G9" i="329"/>
  <c r="E8" i="329"/>
  <c r="C34" i="329"/>
  <c r="J34" i="329"/>
  <c r="J9" i="329"/>
  <c r="K13" i="329"/>
  <c r="K36" i="329"/>
  <c r="J36" i="329"/>
  <c r="E7" i="329"/>
  <c r="C9" i="329"/>
  <c r="C32" i="329"/>
  <c r="F35" i="329"/>
  <c r="H12" i="329"/>
  <c r="J14" i="329"/>
  <c r="J35" i="329"/>
  <c r="C14" i="329"/>
  <c r="E12" i="329"/>
  <c r="C35" i="329"/>
  <c r="I35" i="329"/>
  <c r="K12" i="329"/>
  <c r="I14" i="329"/>
  <c r="E25" i="323"/>
  <c r="D39" i="323"/>
  <c r="I34" i="323"/>
  <c r="I39" i="323"/>
  <c r="I98" i="323"/>
  <c r="H28" i="326"/>
  <c r="D25" i="323"/>
  <c r="F98" i="323"/>
  <c r="E28" i="326"/>
  <c r="H99" i="323"/>
  <c r="H39" i="323"/>
  <c r="D99" i="323"/>
  <c r="I84" i="323"/>
  <c r="H26" i="326"/>
  <c r="F84" i="323"/>
  <c r="E26" i="326"/>
  <c r="I68" i="323"/>
  <c r="H18" i="326"/>
  <c r="I61" i="323"/>
  <c r="H17" i="326"/>
  <c r="C19" i="326"/>
  <c r="F68" i="323"/>
  <c r="E18" i="326"/>
  <c r="F49" i="323"/>
  <c r="E16" i="326"/>
  <c r="E69" i="323"/>
  <c r="I49" i="323"/>
  <c r="H16" i="326"/>
  <c r="F29" i="323"/>
  <c r="E11" i="326"/>
  <c r="E32" i="326"/>
  <c r="F34" i="323"/>
  <c r="E12" i="326"/>
  <c r="E35" i="326"/>
  <c r="F38" i="323"/>
  <c r="F15" i="323"/>
  <c r="F25" i="323"/>
  <c r="I15" i="323"/>
  <c r="H6" i="326"/>
  <c r="I77" i="323"/>
  <c r="H22" i="326"/>
  <c r="H24" i="326"/>
  <c r="E21" i="326"/>
  <c r="G9" i="326"/>
  <c r="D9" i="326"/>
  <c r="G69" i="323"/>
  <c r="G24" i="326"/>
  <c r="H25" i="323"/>
  <c r="F29" i="326"/>
  <c r="G77" i="323"/>
  <c r="E77" i="323"/>
  <c r="C31" i="326"/>
  <c r="G33" i="326"/>
  <c r="D31" i="326"/>
  <c r="C29" i="326"/>
  <c r="D29" i="326"/>
  <c r="C32" i="326"/>
  <c r="C14" i="326"/>
  <c r="G19" i="326"/>
  <c r="F31" i="326"/>
  <c r="G31" i="326"/>
  <c r="F24" i="326"/>
  <c r="G34" i="326"/>
  <c r="D33" i="326"/>
  <c r="C9" i="326"/>
  <c r="D14" i="326"/>
  <c r="D35" i="326"/>
  <c r="D24" i="326"/>
  <c r="D19" i="326"/>
  <c r="F14" i="326"/>
  <c r="F9" i="326"/>
  <c r="F32" i="326"/>
  <c r="F34" i="326"/>
  <c r="D34" i="326"/>
  <c r="D32" i="326"/>
  <c r="F33" i="326"/>
  <c r="G14" i="326"/>
  <c r="C24" i="326"/>
  <c r="G32" i="326"/>
  <c r="C34" i="326"/>
  <c r="G29" i="326"/>
  <c r="C33" i="326"/>
  <c r="G35" i="326"/>
  <c r="F19" i="326"/>
  <c r="L20" i="320"/>
  <c r="T22" i="282"/>
  <c r="T28" i="282"/>
  <c r="AA54" i="314"/>
  <c r="V17" i="282"/>
  <c r="V19" i="282"/>
  <c r="AG41" i="314"/>
  <c r="U27" i="282"/>
  <c r="AD41" i="314"/>
  <c r="N25" i="314"/>
  <c r="N56" i="314"/>
  <c r="U15" i="314"/>
  <c r="U25" i="314"/>
  <c r="AC41" i="314"/>
  <c r="AE25" i="314"/>
  <c r="AE56" i="314"/>
  <c r="H41" i="314"/>
  <c r="H56" i="314"/>
  <c r="AD15" i="314"/>
  <c r="U8" i="282"/>
  <c r="R54" i="314"/>
  <c r="M25" i="314"/>
  <c r="M56" i="314"/>
  <c r="AB54" i="314"/>
  <c r="AC25" i="314"/>
  <c r="X25" i="314"/>
  <c r="X56" i="314"/>
  <c r="I28" i="314"/>
  <c r="I31" i="314"/>
  <c r="J54" i="314"/>
  <c r="AA15" i="314"/>
  <c r="AF41" i="314"/>
  <c r="AG15" i="314"/>
  <c r="V8" i="282"/>
  <c r="V9" i="282"/>
  <c r="T54" i="314"/>
  <c r="F25" i="314"/>
  <c r="F31" i="314"/>
  <c r="E54" i="314"/>
  <c r="E56" i="314"/>
  <c r="AE54" i="314"/>
  <c r="O19" i="314"/>
  <c r="AF54" i="314"/>
  <c r="T16" i="282"/>
  <c r="AA41" i="314"/>
  <c r="S26" i="282"/>
  <c r="Q56" i="314"/>
  <c r="I41" i="314"/>
  <c r="U16" i="282"/>
  <c r="U19" i="282"/>
  <c r="F41" i="314"/>
  <c r="U26" i="282"/>
  <c r="J56" i="314"/>
  <c r="V26" i="282"/>
  <c r="S56" i="314"/>
  <c r="Z25" i="314"/>
  <c r="Z56" i="314"/>
  <c r="L31" i="313"/>
  <c r="M19" i="313"/>
  <c r="L28" i="313"/>
  <c r="M31" i="313"/>
  <c r="N12" i="313"/>
  <c r="M24" i="313"/>
  <c r="L24" i="313"/>
  <c r="L27" i="313"/>
  <c r="M27" i="313"/>
  <c r="N21" i="313"/>
  <c r="N17" i="313"/>
  <c r="M26" i="313"/>
  <c r="N16" i="313"/>
  <c r="L26" i="313"/>
  <c r="M9" i="313"/>
  <c r="M29" i="313"/>
  <c r="L9" i="313"/>
  <c r="L29" i="313"/>
  <c r="N8" i="313"/>
  <c r="S22" i="282"/>
  <c r="X54" i="314"/>
  <c r="L54" i="314"/>
  <c r="L56" i="314"/>
  <c r="O54" i="314"/>
  <c r="Y54" i="314"/>
  <c r="Z54" i="314"/>
  <c r="AD54" i="314"/>
  <c r="V56" i="314"/>
  <c r="U24" i="282"/>
  <c r="U28" i="282"/>
  <c r="I54" i="314"/>
  <c r="F54" i="314"/>
  <c r="AG54" i="314"/>
  <c r="V23" i="282"/>
  <c r="V24" i="282"/>
  <c r="V28" i="282"/>
  <c r="W56" i="314"/>
  <c r="AC56" i="314"/>
  <c r="Y56" i="314"/>
  <c r="D56" i="314"/>
  <c r="U56" i="314"/>
  <c r="G56" i="314"/>
  <c r="I25" i="314"/>
  <c r="AB25" i="314"/>
  <c r="AB56" i="314"/>
  <c r="O25" i="314"/>
  <c r="T25" i="314"/>
  <c r="T56" i="314"/>
  <c r="AF25" i="314"/>
  <c r="AF56" i="314"/>
  <c r="T8" i="282"/>
  <c r="AA25" i="314"/>
  <c r="S9" i="282"/>
  <c r="R15" i="314"/>
  <c r="R25" i="314"/>
  <c r="R56" i="314"/>
  <c r="U9" i="282"/>
  <c r="U29" i="282"/>
  <c r="U32" i="282"/>
  <c r="AD25" i="314"/>
  <c r="N14" i="342"/>
  <c r="N37" i="342"/>
  <c r="O94" i="339"/>
  <c r="N34" i="342"/>
  <c r="F12" i="342"/>
  <c r="F15" i="342"/>
  <c r="I78" i="339"/>
  <c r="H29" i="342"/>
  <c r="F25" i="339"/>
  <c r="E9" i="342"/>
  <c r="E35" i="342"/>
  <c r="F73" i="339"/>
  <c r="E28" i="342"/>
  <c r="C23" i="342"/>
  <c r="C25" i="342"/>
  <c r="I30" i="342"/>
  <c r="M25" i="342"/>
  <c r="L24" i="342"/>
  <c r="L25" i="342"/>
  <c r="J35" i="342"/>
  <c r="U93" i="339"/>
  <c r="T14" i="342"/>
  <c r="T37" i="342"/>
  <c r="P102" i="339"/>
  <c r="L30" i="342"/>
  <c r="G23" i="342"/>
  <c r="G25" i="342"/>
  <c r="C14" i="342"/>
  <c r="C37" i="342"/>
  <c r="F34" i="342"/>
  <c r="M35" i="342"/>
  <c r="R83" i="339"/>
  <c r="R73" i="339"/>
  <c r="Q28" i="342"/>
  <c r="S94" i="339"/>
  <c r="L35" i="342"/>
  <c r="O25" i="339"/>
  <c r="N9" i="342"/>
  <c r="N35" i="342"/>
  <c r="P79" i="339"/>
  <c r="R35" i="342"/>
  <c r="L73" i="339"/>
  <c r="K28" i="342"/>
  <c r="K34" i="342"/>
  <c r="K79" i="339"/>
  <c r="F49" i="339"/>
  <c r="E18" i="342"/>
  <c r="H35" i="342"/>
  <c r="E79" i="339"/>
  <c r="F79" i="339"/>
  <c r="G35" i="342"/>
  <c r="F25" i="342"/>
  <c r="N25" i="342"/>
  <c r="T35" i="342"/>
  <c r="U83" i="339"/>
  <c r="S35" i="342"/>
  <c r="D57" i="339"/>
  <c r="F57" i="339"/>
  <c r="H25" i="342"/>
  <c r="J102" i="339"/>
  <c r="Q94" i="339"/>
  <c r="R25" i="339"/>
  <c r="Q9" i="342"/>
  <c r="D34" i="342"/>
  <c r="I25" i="342"/>
  <c r="N94" i="339"/>
  <c r="O57" i="339"/>
  <c r="F94" i="339"/>
  <c r="D25" i="342"/>
  <c r="N57" i="339"/>
  <c r="M26" i="339"/>
  <c r="L83" i="339"/>
  <c r="K12" i="342"/>
  <c r="R78" i="339"/>
  <c r="Q29" i="342"/>
  <c r="P35" i="342"/>
  <c r="P23" i="342"/>
  <c r="P25" i="342"/>
  <c r="O25" i="342"/>
  <c r="R7" i="342"/>
  <c r="R32" i="342"/>
  <c r="T23" i="342"/>
  <c r="T25" i="342"/>
  <c r="U102" i="339"/>
  <c r="Q25" i="342"/>
  <c r="E22" i="342"/>
  <c r="E25" i="342"/>
  <c r="F102" i="339"/>
  <c r="L102" i="339"/>
  <c r="K23" i="342"/>
  <c r="K25" i="342"/>
  <c r="S25" i="342"/>
  <c r="R25" i="342"/>
  <c r="G102" i="339"/>
  <c r="R102" i="339"/>
  <c r="T102" i="339"/>
  <c r="O102" i="339"/>
  <c r="S102" i="339"/>
  <c r="I102" i="339"/>
  <c r="O14" i="342"/>
  <c r="O37" i="342"/>
  <c r="C36" i="342"/>
  <c r="H15" i="342"/>
  <c r="O36" i="342"/>
  <c r="R15" i="342"/>
  <c r="G15" i="342"/>
  <c r="N15" i="342"/>
  <c r="S15" i="342"/>
  <c r="E15" i="342"/>
  <c r="D15" i="342"/>
  <c r="M15" i="342"/>
  <c r="I15" i="342"/>
  <c r="J15" i="342"/>
  <c r="L94" i="339"/>
  <c r="Q12" i="342"/>
  <c r="Q15" i="342"/>
  <c r="R94" i="339"/>
  <c r="L33" i="342"/>
  <c r="L15" i="342"/>
  <c r="T12" i="342"/>
  <c r="T15" i="342"/>
  <c r="H103" i="339"/>
  <c r="T94" i="339"/>
  <c r="I94" i="339"/>
  <c r="P12" i="342"/>
  <c r="P15" i="342"/>
  <c r="I34" i="342"/>
  <c r="O79" i="339"/>
  <c r="N103" i="339"/>
  <c r="N79" i="339"/>
  <c r="M34" i="342"/>
  <c r="M30" i="342"/>
  <c r="E34" i="342"/>
  <c r="Q34" i="342"/>
  <c r="S30" i="342"/>
  <c r="O28" i="342"/>
  <c r="O34" i="342"/>
  <c r="K30" i="342"/>
  <c r="S79" i="339"/>
  <c r="C34" i="342"/>
  <c r="D30" i="342"/>
  <c r="Q30" i="342"/>
  <c r="H34" i="342"/>
  <c r="J34" i="342"/>
  <c r="Q79" i="339"/>
  <c r="R79" i="339"/>
  <c r="S34" i="342"/>
  <c r="E30" i="342"/>
  <c r="G30" i="342"/>
  <c r="U73" i="339"/>
  <c r="T28" i="342"/>
  <c r="R34" i="342"/>
  <c r="N30" i="342"/>
  <c r="P30" i="342"/>
  <c r="I64" i="339"/>
  <c r="H27" i="342"/>
  <c r="H30" i="342"/>
  <c r="U64" i="339"/>
  <c r="T27" i="342"/>
  <c r="T79" i="339"/>
  <c r="U79" i="339"/>
  <c r="L79" i="339"/>
  <c r="K103" i="339"/>
  <c r="G79" i="339"/>
  <c r="I79" i="339"/>
  <c r="R27" i="342"/>
  <c r="R30" i="342"/>
  <c r="I33" i="342"/>
  <c r="F27" i="342"/>
  <c r="F30" i="342"/>
  <c r="O27" i="342"/>
  <c r="L34" i="342"/>
  <c r="L20" i="342"/>
  <c r="P19" i="342"/>
  <c r="P34" i="342"/>
  <c r="L57" i="339"/>
  <c r="U56" i="339"/>
  <c r="T19" i="342"/>
  <c r="F20" i="342"/>
  <c r="T57" i="339"/>
  <c r="J103" i="339"/>
  <c r="O20" i="342"/>
  <c r="R49" i="339"/>
  <c r="Q18" i="342"/>
  <c r="G20" i="342"/>
  <c r="I20" i="342"/>
  <c r="U49" i="339"/>
  <c r="T18" i="342"/>
  <c r="H20" i="342"/>
  <c r="Q57" i="339"/>
  <c r="R20" i="342"/>
  <c r="P20" i="342"/>
  <c r="N20" i="342"/>
  <c r="J33" i="342"/>
  <c r="J20" i="342"/>
  <c r="K20" i="342"/>
  <c r="K32" i="342"/>
  <c r="E20" i="342"/>
  <c r="C32" i="342"/>
  <c r="C20" i="342"/>
  <c r="D33" i="342"/>
  <c r="S18" i="342"/>
  <c r="S20" i="342"/>
  <c r="R36" i="339"/>
  <c r="Q17" i="342"/>
  <c r="S57" i="339"/>
  <c r="U57" i="339"/>
  <c r="N33" i="342"/>
  <c r="U36" i="339"/>
  <c r="T17" i="342"/>
  <c r="T20" i="342"/>
  <c r="P57" i="339"/>
  <c r="M33" i="342"/>
  <c r="P26" i="339"/>
  <c r="O9" i="342"/>
  <c r="O35" i="342"/>
  <c r="C33" i="342"/>
  <c r="C10" i="342"/>
  <c r="E26" i="339"/>
  <c r="F26" i="339"/>
  <c r="R21" i="339"/>
  <c r="Q8" i="342"/>
  <c r="O8" i="342"/>
  <c r="O33" i="342"/>
  <c r="K10" i="342"/>
  <c r="F21" i="339"/>
  <c r="E8" i="342"/>
  <c r="Q32" i="342"/>
  <c r="S32" i="342"/>
  <c r="S10" i="342"/>
  <c r="P10" i="342"/>
  <c r="P32" i="342"/>
  <c r="F32" i="342"/>
  <c r="F10" i="342"/>
  <c r="I32" i="342"/>
  <c r="I10" i="342"/>
  <c r="G10" i="342"/>
  <c r="G32" i="342"/>
  <c r="J32" i="342"/>
  <c r="J10" i="342"/>
  <c r="T10" i="342"/>
  <c r="H32" i="342"/>
  <c r="H10" i="342"/>
  <c r="O26" i="339"/>
  <c r="M103" i="339"/>
  <c r="M10" i="342"/>
  <c r="M32" i="342"/>
  <c r="O32" i="342"/>
  <c r="L26" i="339"/>
  <c r="F16" i="339"/>
  <c r="E7" i="342"/>
  <c r="D7" i="342"/>
  <c r="L7" i="342"/>
  <c r="O16" i="339"/>
  <c r="N7" i="342"/>
  <c r="Q26" i="339"/>
  <c r="S26" i="339"/>
  <c r="T26" i="339"/>
  <c r="L62" i="309"/>
  <c r="K11" i="312"/>
  <c r="E40" i="309"/>
  <c r="E66" i="309"/>
  <c r="O58" i="309"/>
  <c r="N33" i="312" s="1"/>
  <c r="L65" i="309"/>
  <c r="K13" i="312" s="1"/>
  <c r="J20" i="309"/>
  <c r="O65" i="309"/>
  <c r="N13" i="312" s="1"/>
  <c r="J66" i="309"/>
  <c r="L28" i="312"/>
  <c r="L29" i="312" s="1"/>
  <c r="G69" i="309"/>
  <c r="N69" i="309"/>
  <c r="G28" i="312"/>
  <c r="G29" i="312"/>
  <c r="H28" i="312"/>
  <c r="H29" i="312" s="1"/>
  <c r="K66" i="309"/>
  <c r="L11" i="312"/>
  <c r="J11" i="312"/>
  <c r="G11" i="312"/>
  <c r="G14" i="312" s="1"/>
  <c r="J40" i="309"/>
  <c r="E59" i="309"/>
  <c r="M40" i="309"/>
  <c r="M16" i="312"/>
  <c r="D7" i="312"/>
  <c r="M20" i="309"/>
  <c r="N20" i="309"/>
  <c r="L6" i="312"/>
  <c r="C36" i="312"/>
  <c r="M6" i="312"/>
  <c r="K25" i="308"/>
  <c r="F6" i="311"/>
  <c r="F31" i="311"/>
  <c r="E31" i="311"/>
  <c r="I34" i="311"/>
  <c r="J25" i="308"/>
  <c r="H31" i="311"/>
  <c r="D33" i="311"/>
  <c r="G18" i="311"/>
  <c r="G19" i="311"/>
  <c r="C19" i="311"/>
  <c r="F33" i="311"/>
  <c r="F55" i="308"/>
  <c r="J55" i="308"/>
  <c r="I19" i="311"/>
  <c r="G29" i="311"/>
  <c r="E29" i="311"/>
  <c r="J29" i="311"/>
  <c r="J91" i="308"/>
  <c r="D91" i="308"/>
  <c r="D102" i="308"/>
  <c r="K91" i="308"/>
  <c r="J14" i="311"/>
  <c r="H14" i="311"/>
  <c r="E35" i="311"/>
  <c r="E14" i="311"/>
  <c r="G14" i="311"/>
  <c r="G35" i="311"/>
  <c r="F11" i="311"/>
  <c r="F14" i="311"/>
  <c r="D32" i="311"/>
  <c r="C14" i="311"/>
  <c r="I13" i="311"/>
  <c r="I36" i="311"/>
  <c r="H32" i="311"/>
  <c r="H29" i="311"/>
  <c r="I29" i="311"/>
  <c r="C29" i="311"/>
  <c r="E34" i="311"/>
  <c r="F26" i="311"/>
  <c r="F29" i="311"/>
  <c r="G34" i="311"/>
  <c r="J77" i="308"/>
  <c r="K77" i="308"/>
  <c r="C33" i="311"/>
  <c r="J34" i="311"/>
  <c r="C32" i="311"/>
  <c r="I102" i="308"/>
  <c r="C34" i="311"/>
  <c r="I33" i="311"/>
  <c r="J33" i="311"/>
  <c r="F19" i="311"/>
  <c r="H33" i="311"/>
  <c r="H19" i="311"/>
  <c r="E18" i="311"/>
  <c r="J32" i="311"/>
  <c r="H102" i="308"/>
  <c r="K55" i="308"/>
  <c r="F102" i="308"/>
  <c r="E102" i="308"/>
  <c r="G102" i="308"/>
  <c r="J102" i="308"/>
  <c r="E9" i="311"/>
  <c r="E32" i="311"/>
  <c r="D31" i="311"/>
  <c r="G31" i="311"/>
  <c r="C9" i="311"/>
  <c r="C31" i="311"/>
  <c r="J9" i="311"/>
  <c r="J31" i="311"/>
  <c r="D8" i="311"/>
  <c r="D34" i="311"/>
  <c r="G7" i="311"/>
  <c r="G32" i="311"/>
  <c r="I7" i="311"/>
  <c r="I32" i="311"/>
  <c r="I31" i="311"/>
  <c r="F56" i="270"/>
  <c r="N56" i="270"/>
  <c r="V56" i="270"/>
  <c r="AI56" i="270"/>
  <c r="S25" i="270"/>
  <c r="AA25" i="270"/>
  <c r="AA28" i="271"/>
  <c r="E25" i="270"/>
  <c r="E105" i="270"/>
  <c r="U25" i="270"/>
  <c r="AD33" i="271"/>
  <c r="AJ56" i="270"/>
  <c r="AE25" i="270"/>
  <c r="L25" i="270"/>
  <c r="T25" i="270"/>
  <c r="L78" i="270"/>
  <c r="T78" i="270"/>
  <c r="H78" i="270"/>
  <c r="P78" i="270"/>
  <c r="X78" i="270"/>
  <c r="AD56" i="270"/>
  <c r="W56" i="270"/>
  <c r="AK56" i="270"/>
  <c r="AF25" i="270"/>
  <c r="AK25" i="270"/>
  <c r="AI17" i="271"/>
  <c r="AK93" i="270"/>
  <c r="AF93" i="270"/>
  <c r="S93" i="270"/>
  <c r="AC13" i="271"/>
  <c r="AG56" i="270"/>
  <c r="AB17" i="271"/>
  <c r="AD26" i="271"/>
  <c r="AK78" i="270"/>
  <c r="AI27" i="271"/>
  <c r="N80" i="46"/>
  <c r="N81" i="46"/>
  <c r="N82" i="46"/>
  <c r="N84" i="46"/>
  <c r="N79" i="46"/>
  <c r="I24" i="341"/>
  <c r="I55" i="324"/>
  <c r="F29" i="328"/>
  <c r="F24" i="327"/>
  <c r="I77" i="327"/>
  <c r="L77" i="327"/>
  <c r="K79" i="327"/>
  <c r="J79" i="327"/>
  <c r="H101" i="325"/>
  <c r="I25" i="325"/>
  <c r="K29" i="329"/>
  <c r="K101" i="325"/>
  <c r="L99" i="325"/>
  <c r="L69" i="325"/>
  <c r="L101" i="325"/>
  <c r="I69" i="325"/>
  <c r="I101" i="325"/>
  <c r="F69" i="325"/>
  <c r="F101" i="325"/>
  <c r="F77" i="323"/>
  <c r="H9" i="326"/>
  <c r="H12" i="326"/>
  <c r="H35" i="326"/>
  <c r="H34" i="326"/>
  <c r="F24" i="341"/>
  <c r="L55" i="324"/>
  <c r="F77" i="327"/>
  <c r="F79" i="327"/>
  <c r="H26" i="328"/>
  <c r="H29" i="328"/>
  <c r="K33" i="328"/>
  <c r="E33" i="331"/>
  <c r="E29" i="331"/>
  <c r="H100" i="330"/>
  <c r="H13" i="331"/>
  <c r="H29" i="331"/>
  <c r="H16" i="329"/>
  <c r="H31" i="329"/>
  <c r="H24" i="329"/>
  <c r="G19" i="329"/>
  <c r="H33" i="329"/>
  <c r="E32" i="329"/>
  <c r="K33" i="329"/>
  <c r="D37" i="329"/>
  <c r="F14" i="329"/>
  <c r="F32" i="329"/>
  <c r="F37" i="329"/>
  <c r="E29" i="329"/>
  <c r="E34" i="329"/>
  <c r="H32" i="326"/>
  <c r="E24" i="326"/>
  <c r="D101" i="323"/>
  <c r="E33" i="326"/>
  <c r="E34" i="326"/>
  <c r="E29" i="326"/>
  <c r="E101" i="323"/>
  <c r="H33" i="326"/>
  <c r="H29" i="326"/>
  <c r="I25" i="323"/>
  <c r="H31" i="326"/>
  <c r="F39" i="323"/>
  <c r="F99" i="323"/>
  <c r="G32" i="328"/>
  <c r="G37" i="328"/>
  <c r="D79" i="327"/>
  <c r="E29" i="328"/>
  <c r="J9" i="328"/>
  <c r="E79" i="327"/>
  <c r="G79" i="327"/>
  <c r="K8" i="328"/>
  <c r="K34" i="328"/>
  <c r="K26" i="328"/>
  <c r="K29" i="328"/>
  <c r="I29" i="328"/>
  <c r="C32" i="328"/>
  <c r="C37" i="328"/>
  <c r="K31" i="328"/>
  <c r="H79" i="327"/>
  <c r="K19" i="328"/>
  <c r="J37" i="328"/>
  <c r="I37" i="328"/>
  <c r="E33" i="328"/>
  <c r="E32" i="328"/>
  <c r="L79" i="327"/>
  <c r="G9" i="328"/>
  <c r="E14" i="328"/>
  <c r="I79" i="327"/>
  <c r="D9" i="328"/>
  <c r="D31" i="328"/>
  <c r="D37" i="328"/>
  <c r="E6" i="328"/>
  <c r="E19" i="328"/>
  <c r="H9" i="328"/>
  <c r="F37" i="328"/>
  <c r="H19" i="328"/>
  <c r="H32" i="328"/>
  <c r="H14" i="328"/>
  <c r="H35" i="328"/>
  <c r="I99" i="330"/>
  <c r="H33" i="331"/>
  <c r="L39" i="330"/>
  <c r="I25" i="330"/>
  <c r="H34" i="331"/>
  <c r="J100" i="330"/>
  <c r="K29" i="331"/>
  <c r="L99" i="330"/>
  <c r="K24" i="331"/>
  <c r="C37" i="331"/>
  <c r="E100" i="330"/>
  <c r="L25" i="330"/>
  <c r="J37" i="331"/>
  <c r="K33" i="331"/>
  <c r="H24" i="331"/>
  <c r="F99" i="330"/>
  <c r="K100" i="330"/>
  <c r="D100" i="330"/>
  <c r="K19" i="331"/>
  <c r="L69" i="330"/>
  <c r="G37" i="331"/>
  <c r="H7" i="331"/>
  <c r="H32" i="331"/>
  <c r="F9" i="331"/>
  <c r="I37" i="331"/>
  <c r="H19" i="331"/>
  <c r="I69" i="330"/>
  <c r="F25" i="330"/>
  <c r="E8" i="331"/>
  <c r="D37" i="331"/>
  <c r="E11" i="331"/>
  <c r="F39" i="330"/>
  <c r="G100" i="330"/>
  <c r="D14" i="331"/>
  <c r="K31" i="331"/>
  <c r="K9" i="331"/>
  <c r="E19" i="331"/>
  <c r="F69" i="330"/>
  <c r="H31" i="331"/>
  <c r="F37" i="331"/>
  <c r="K14" i="331"/>
  <c r="K32" i="331"/>
  <c r="G37" i="329"/>
  <c r="K32" i="329"/>
  <c r="J32" i="329"/>
  <c r="J37" i="329"/>
  <c r="J24" i="329"/>
  <c r="K24" i="329"/>
  <c r="H9" i="329"/>
  <c r="J101" i="325"/>
  <c r="H32" i="329"/>
  <c r="E19" i="329"/>
  <c r="E31" i="329"/>
  <c r="K19" i="329"/>
  <c r="K31" i="329"/>
  <c r="I37" i="329"/>
  <c r="K9" i="329"/>
  <c r="C37" i="329"/>
  <c r="E9" i="329"/>
  <c r="E14" i="329"/>
  <c r="E35" i="329"/>
  <c r="H14" i="329"/>
  <c r="H35" i="329"/>
  <c r="K35" i="329"/>
  <c r="K14" i="329"/>
  <c r="E19" i="326"/>
  <c r="H101" i="323"/>
  <c r="E6" i="326"/>
  <c r="E9" i="326"/>
  <c r="E13" i="326"/>
  <c r="E36" i="326"/>
  <c r="I99" i="323"/>
  <c r="G101" i="323"/>
  <c r="H19" i="326"/>
  <c r="F69" i="323"/>
  <c r="I69" i="323"/>
  <c r="H14" i="326"/>
  <c r="F37" i="326"/>
  <c r="D37" i="326"/>
  <c r="G37" i="326"/>
  <c r="C37" i="326"/>
  <c r="V29" i="282"/>
  <c r="V27" i="282"/>
  <c r="F56" i="314"/>
  <c r="T24" i="282"/>
  <c r="AG25" i="314"/>
  <c r="AG56" i="314"/>
  <c r="T19" i="282"/>
  <c r="T26" i="282"/>
  <c r="AA56" i="314"/>
  <c r="I56" i="314"/>
  <c r="S28" i="282"/>
  <c r="S32" i="282"/>
  <c r="S24" i="282"/>
  <c r="O56" i="314"/>
  <c r="AD56" i="314"/>
  <c r="T29" i="282"/>
  <c r="T9" i="282"/>
  <c r="K15" i="342"/>
  <c r="K33" i="342"/>
  <c r="K38" i="342"/>
  <c r="U94" i="339"/>
  <c r="R10" i="342"/>
  <c r="D103" i="339"/>
  <c r="E33" i="342"/>
  <c r="G33" i="342"/>
  <c r="G38" i="342"/>
  <c r="T32" i="342"/>
  <c r="C15" i="342"/>
  <c r="O15" i="342"/>
  <c r="Q35" i="342"/>
  <c r="O103" i="339"/>
  <c r="P33" i="342"/>
  <c r="P38" i="342"/>
  <c r="L103" i="339"/>
  <c r="C38" i="342"/>
  <c r="O30" i="342"/>
  <c r="T103" i="339"/>
  <c r="G103" i="339"/>
  <c r="I103" i="339"/>
  <c r="T30" i="342"/>
  <c r="T34" i="342"/>
  <c r="H33" i="342"/>
  <c r="H38" i="342"/>
  <c r="F33" i="342"/>
  <c r="F38" i="342"/>
  <c r="T33" i="342"/>
  <c r="R33" i="342"/>
  <c r="R38" i="342"/>
  <c r="I38" i="342"/>
  <c r="M38" i="342"/>
  <c r="Q20" i="342"/>
  <c r="Q103" i="339"/>
  <c r="J38" i="342"/>
  <c r="S33" i="342"/>
  <c r="S38" i="342"/>
  <c r="Q33" i="342"/>
  <c r="Q38" i="342"/>
  <c r="R57" i="339"/>
  <c r="P103" i="339"/>
  <c r="E103" i="339"/>
  <c r="O10" i="342"/>
  <c r="O38" i="342"/>
  <c r="Q10" i="342"/>
  <c r="D10" i="342"/>
  <c r="D32" i="342"/>
  <c r="D38" i="342"/>
  <c r="N10" i="342"/>
  <c r="N32" i="342"/>
  <c r="N38" i="342"/>
  <c r="L32" i="342"/>
  <c r="L38" i="342"/>
  <c r="L10" i="342"/>
  <c r="R26" i="339"/>
  <c r="E10" i="342"/>
  <c r="E32" i="342"/>
  <c r="S103" i="339"/>
  <c r="U26" i="339"/>
  <c r="M36" i="312"/>
  <c r="F9" i="311"/>
  <c r="I9" i="311"/>
  <c r="G33" i="311"/>
  <c r="K102" i="308"/>
  <c r="H37" i="311"/>
  <c r="F32" i="311"/>
  <c r="F37" i="311"/>
  <c r="I14" i="311"/>
  <c r="C37" i="311"/>
  <c r="J37" i="311"/>
  <c r="E19" i="311"/>
  <c r="E33" i="311"/>
  <c r="E37" i="311"/>
  <c r="I37" i="311"/>
  <c r="G9" i="311"/>
  <c r="G37" i="311"/>
  <c r="D37" i="311"/>
  <c r="D9" i="311"/>
  <c r="AK105" i="270"/>
  <c r="AC36" i="271"/>
  <c r="H19" i="329"/>
  <c r="F101" i="323"/>
  <c r="K32" i="328"/>
  <c r="K37" i="328"/>
  <c r="K9" i="328"/>
  <c r="H36" i="331"/>
  <c r="H37" i="331"/>
  <c r="H14" i="331"/>
  <c r="I101" i="323"/>
  <c r="H37" i="326"/>
  <c r="E31" i="326"/>
  <c r="E37" i="326"/>
  <c r="H37" i="328"/>
  <c r="E31" i="328"/>
  <c r="E37" i="328"/>
  <c r="E9" i="328"/>
  <c r="I100" i="330"/>
  <c r="F100" i="330"/>
  <c r="L100" i="330"/>
  <c r="H9" i="331"/>
  <c r="K37" i="331"/>
  <c r="E32" i="331"/>
  <c r="E14" i="331"/>
  <c r="E34" i="331"/>
  <c r="E9" i="331"/>
  <c r="E37" i="329"/>
  <c r="H37" i="329"/>
  <c r="K37" i="329"/>
  <c r="E14" i="326"/>
  <c r="V32" i="282"/>
  <c r="T32" i="282"/>
  <c r="E38" i="342"/>
  <c r="F103" i="339"/>
  <c r="U103" i="339"/>
  <c r="T38" i="342"/>
  <c r="R103" i="339"/>
  <c r="E37" i="331"/>
  <c r="BG31" i="337"/>
  <c r="BH31" i="337"/>
  <c r="BJ23" i="337"/>
  <c r="BJ24" i="337"/>
  <c r="BJ31" i="337"/>
  <c r="BJ9" i="337"/>
  <c r="BJ136" i="337"/>
  <c r="BT31" i="336"/>
  <c r="BU31" i="336" s="1"/>
  <c r="P108" i="336" s="1"/>
  <c r="BJ29" i="337"/>
  <c r="BI136" i="337"/>
  <c r="BJ27" i="337"/>
  <c r="BJ17" i="337"/>
  <c r="BJ19" i="337"/>
  <c r="BI31" i="337"/>
  <c r="BU13" i="336"/>
  <c r="P90" i="336" s="1"/>
  <c r="BU26" i="336"/>
  <c r="P103" i="336" s="1"/>
  <c r="BT9" i="336"/>
  <c r="L19" i="318"/>
  <c r="O36" i="243"/>
  <c r="L36" i="243"/>
  <c r="AS75" i="284"/>
  <c r="AS74" i="284"/>
  <c r="AT74" i="284"/>
  <c r="AT77" i="284"/>
  <c r="AU74" i="284"/>
  <c r="AU77" i="284"/>
  <c r="AS55" i="284"/>
  <c r="E7" i="336"/>
  <c r="BE24" i="336"/>
  <c r="L24" i="336" s="1"/>
  <c r="BM24" i="336"/>
  <c r="N24" i="336" s="1"/>
  <c r="BJ49" i="337"/>
  <c r="BJ66" i="337"/>
  <c r="BI66" i="337"/>
  <c r="BI12" i="336"/>
  <c r="M12" i="336" s="1"/>
  <c r="BA31" i="336"/>
  <c r="K169" i="336" s="1"/>
  <c r="BE8" i="336"/>
  <c r="L85" i="336" s="1"/>
  <c r="AW23" i="336"/>
  <c r="J23" i="336" s="1"/>
  <c r="L101" i="336"/>
  <c r="AW19" i="336"/>
  <c r="H12" i="336"/>
  <c r="D104" i="336"/>
  <c r="D27" i="336"/>
  <c r="CM15" i="123"/>
  <c r="BW34" i="281"/>
  <c r="BX34" i="281"/>
  <c r="BU34" i="281"/>
  <c r="BY34" i="281"/>
  <c r="BV34" i="281"/>
  <c r="BY39" i="281"/>
  <c r="B135" i="285"/>
  <c r="G188" i="285"/>
  <c r="B179" i="285"/>
  <c r="F188" i="285"/>
  <c r="C226" i="285"/>
  <c r="F226" i="285"/>
  <c r="K401" i="285"/>
  <c r="C135" i="285"/>
  <c r="F260" i="285"/>
  <c r="F145" i="285"/>
  <c r="B226" i="285"/>
  <c r="F125" i="287"/>
  <c r="Z24" i="253"/>
  <c r="Z31" i="253"/>
  <c r="Z33" i="253"/>
  <c r="Z29" i="253"/>
  <c r="Z32" i="253"/>
  <c r="Z26" i="275"/>
  <c r="Z104" i="275"/>
  <c r="Z9" i="253"/>
  <c r="J27" i="233"/>
  <c r="AH24" i="233"/>
  <c r="AG27" i="233"/>
  <c r="AG32" i="233"/>
  <c r="N27" i="233"/>
  <c r="I32" i="233"/>
  <c r="F19" i="233"/>
  <c r="R19" i="233"/>
  <c r="F28" i="233"/>
  <c r="J24" i="233"/>
  <c r="J28" i="233"/>
  <c r="V24" i="233"/>
  <c r="N24" i="233"/>
  <c r="Z24" i="233"/>
  <c r="AE32" i="233"/>
  <c r="R28" i="233"/>
  <c r="R29" i="233"/>
  <c r="AH19" i="233"/>
  <c r="V29" i="233"/>
  <c r="R24" i="233"/>
  <c r="J19" i="233"/>
  <c r="AF24" i="233"/>
  <c r="N19" i="233"/>
  <c r="H28" i="233"/>
  <c r="H32" i="233"/>
  <c r="R7" i="233"/>
  <c r="R27" i="233"/>
  <c r="Z6" i="233"/>
  <c r="Z9" i="233"/>
  <c r="X26" i="233"/>
  <c r="Z26" i="233"/>
  <c r="D19" i="233"/>
  <c r="O27" i="233"/>
  <c r="O19" i="233"/>
  <c r="G24" i="233"/>
  <c r="W28" i="233"/>
  <c r="Z28" i="233"/>
  <c r="AA28" i="233"/>
  <c r="AD28" i="233"/>
  <c r="Q27" i="233"/>
  <c r="Q32" i="233"/>
  <c r="AB32" i="233"/>
  <c r="P19" i="233"/>
  <c r="E19" i="233"/>
  <c r="N29" i="233"/>
  <c r="N32" i="233"/>
  <c r="T28" i="233"/>
  <c r="F6" i="233"/>
  <c r="Z11" i="233"/>
  <c r="Z14" i="233"/>
  <c r="AG14" i="233"/>
  <c r="AD22" i="233"/>
  <c r="AD24" i="233"/>
  <c r="AH11" i="233"/>
  <c r="AH14" i="233"/>
  <c r="AC19" i="233"/>
  <c r="G27" i="233"/>
  <c r="G32" i="233"/>
  <c r="O9" i="233"/>
  <c r="T24" i="233"/>
  <c r="E28" i="233"/>
  <c r="R6" i="233"/>
  <c r="V26" i="233"/>
  <c r="AH31" i="233"/>
  <c r="Y27" i="233"/>
  <c r="Y32" i="233"/>
  <c r="E27" i="233"/>
  <c r="E32" i="233"/>
  <c r="H24" i="233"/>
  <c r="AD7" i="233"/>
  <c r="AD9" i="233"/>
  <c r="V14" i="233"/>
  <c r="P27" i="233"/>
  <c r="P32" i="233"/>
  <c r="AH29" i="233"/>
  <c r="AD19" i="233"/>
  <c r="C9" i="233"/>
  <c r="AD13" i="233"/>
  <c r="AD14" i="233"/>
  <c r="AF27" i="233"/>
  <c r="AF32" i="233"/>
  <c r="AF19" i="233"/>
  <c r="AA14" i="233"/>
  <c r="O32" i="233"/>
  <c r="J26" i="233"/>
  <c r="J32" i="233"/>
  <c r="D32" i="233"/>
  <c r="K32" i="233"/>
  <c r="C32" i="233"/>
  <c r="Z19" i="233"/>
  <c r="M32" i="233"/>
  <c r="V31" i="233"/>
  <c r="S32" i="233"/>
  <c r="Z31" i="233"/>
  <c r="W32" i="233"/>
  <c r="AD26" i="233"/>
  <c r="AC32" i="233"/>
  <c r="AH27" i="233"/>
  <c r="AA32" i="233"/>
  <c r="AD31" i="233"/>
  <c r="Z30" i="233"/>
  <c r="X32" i="233"/>
  <c r="BF139" i="278"/>
  <c r="AV89" i="278"/>
  <c r="AK139" i="278"/>
  <c r="BW127" i="278"/>
  <c r="BW139" i="278"/>
  <c r="BV32" i="279"/>
  <c r="F28" i="279"/>
  <c r="L43" i="279"/>
  <c r="Q26" i="279"/>
  <c r="BN10" i="279"/>
  <c r="BQ9" i="279"/>
  <c r="BP19" i="279"/>
  <c r="BR19" i="279"/>
  <c r="BI52" i="279"/>
  <c r="H88" i="278"/>
  <c r="AN88" i="278"/>
  <c r="L88" i="278"/>
  <c r="F89" i="278"/>
  <c r="F139" i="278"/>
  <c r="AA89" i="278"/>
  <c r="AA139" i="278"/>
  <c r="AL89" i="278"/>
  <c r="AL139" i="278"/>
  <c r="AW89" i="278"/>
  <c r="BG89" i="278"/>
  <c r="P106" i="278"/>
  <c r="T106" i="278"/>
  <c r="T127" i="278"/>
  <c r="BT18" i="279"/>
  <c r="BT74" i="279"/>
  <c r="BR7" i="279"/>
  <c r="O37" i="279"/>
  <c r="G9" i="279"/>
  <c r="BM18" i="279"/>
  <c r="BN18" i="279"/>
  <c r="BP30" i="279"/>
  <c r="BG18" i="279"/>
  <c r="BQ53" i="279"/>
  <c r="H53" i="279"/>
  <c r="J53" i="279"/>
  <c r="BD9" i="279"/>
  <c r="BP106" i="278"/>
  <c r="BP127" i="278"/>
  <c r="AN127" i="278"/>
  <c r="I53" i="279"/>
  <c r="AB47" i="278"/>
  <c r="BH46" i="278"/>
  <c r="G47" i="278"/>
  <c r="G139" i="278"/>
  <c r="R47" i="278"/>
  <c r="AC47" i="278"/>
  <c r="AC139" i="278"/>
  <c r="AM47" i="278"/>
  <c r="AM139" i="278"/>
  <c r="AX47" i="278"/>
  <c r="P62" i="278"/>
  <c r="AB62" i="278"/>
  <c r="AE139" i="278"/>
  <c r="L89" i="278"/>
  <c r="P77" i="278"/>
  <c r="AF77" i="278"/>
  <c r="AF89" i="278"/>
  <c r="AN77" i="278"/>
  <c r="AN89" i="278"/>
  <c r="H77" i="278"/>
  <c r="G89" i="278"/>
  <c r="R89" i="278"/>
  <c r="AM89" i="278"/>
  <c r="AX89" i="278"/>
  <c r="BI89" i="278"/>
  <c r="P88" i="278"/>
  <c r="BH126" i="278"/>
  <c r="AW139" i="278"/>
  <c r="Q139" i="278"/>
  <c r="BH121" i="278"/>
  <c r="D37" i="279"/>
  <c r="BO70" i="279"/>
  <c r="BO72" i="279"/>
  <c r="Q19" i="279"/>
  <c r="BP17" i="279"/>
  <c r="H127" i="278"/>
  <c r="BN58" i="279"/>
  <c r="BI139" i="278"/>
  <c r="P47" i="278"/>
  <c r="H31" i="278"/>
  <c r="H47" i="278"/>
  <c r="H139" i="278"/>
  <c r="AN31" i="278"/>
  <c r="M47" i="278"/>
  <c r="W47" i="278"/>
  <c r="W139" i="278"/>
  <c r="AH47" i="278"/>
  <c r="AH139" i="278"/>
  <c r="BC47" i="278"/>
  <c r="BC139" i="278"/>
  <c r="BL126" i="278"/>
  <c r="S127" i="278"/>
  <c r="S139" i="278"/>
  <c r="BL130" i="278"/>
  <c r="BL138" i="278"/>
  <c r="BX46" i="278"/>
  <c r="BX121" i="278"/>
  <c r="BX126" i="278"/>
  <c r="BX127" i="278"/>
  <c r="BU138" i="278"/>
  <c r="BU139" i="278"/>
  <c r="BV58" i="279"/>
  <c r="BR49" i="279"/>
  <c r="BO17" i="279"/>
  <c r="I54" i="279"/>
  <c r="I55" i="279"/>
  <c r="Q52" i="279"/>
  <c r="BR58" i="279"/>
  <c r="BJ29" i="279"/>
  <c r="G43" i="279"/>
  <c r="BK26" i="279"/>
  <c r="AN17" i="278"/>
  <c r="AZ17" i="278"/>
  <c r="K139" i="278"/>
  <c r="V139" i="278"/>
  <c r="AG139" i="278"/>
  <c r="AP139" i="278"/>
  <c r="AY47" i="278"/>
  <c r="AY139" i="278"/>
  <c r="O89" i="278"/>
  <c r="AQ139" i="278"/>
  <c r="BG13" i="279"/>
  <c r="BG30" i="279"/>
  <c r="BR14" i="279"/>
  <c r="BN25" i="279"/>
  <c r="BL54" i="279"/>
  <c r="BN54" i="279"/>
  <c r="J46" i="279"/>
  <c r="O30" i="279"/>
  <c r="J24" i="279"/>
  <c r="BN139" i="278"/>
  <c r="T17" i="278"/>
  <c r="T47" i="278"/>
  <c r="BD17" i="278"/>
  <c r="BM139" i="278"/>
  <c r="BR45" i="279"/>
  <c r="BP53" i="279"/>
  <c r="BP55" i="279"/>
  <c r="BK60" i="279"/>
  <c r="BE139" i="278"/>
  <c r="BB47" i="278"/>
  <c r="BB139" i="278"/>
  <c r="BT121" i="278"/>
  <c r="BT126" i="278"/>
  <c r="BQ138" i="278"/>
  <c r="BQ139" i="278"/>
  <c r="BS139" i="278"/>
  <c r="BG139" i="278"/>
  <c r="BN59" i="279"/>
  <c r="J139" i="278"/>
  <c r="AU89" i="278"/>
  <c r="AU139" i="278"/>
  <c r="BF89" i="278"/>
  <c r="BK138" i="278"/>
  <c r="BJ139" i="278"/>
  <c r="BO139" i="278"/>
  <c r="BF10" i="279"/>
  <c r="N29" i="279"/>
  <c r="R33" i="279"/>
  <c r="BN49" i="279"/>
  <c r="BV47" i="278"/>
  <c r="BV139" i="278"/>
  <c r="BF34" i="279"/>
  <c r="BD121" i="278"/>
  <c r="BD127" i="278"/>
  <c r="AV121" i="278"/>
  <c r="BV66" i="279"/>
  <c r="X88" i="278"/>
  <c r="AR88" i="278"/>
  <c r="AR106" i="278"/>
  <c r="AR127" i="278"/>
  <c r="L106" i="278"/>
  <c r="L127" i="278"/>
  <c r="AZ106" i="278"/>
  <c r="AZ127" i="278"/>
  <c r="BD106" i="278"/>
  <c r="X106" i="278"/>
  <c r="AB106" i="278"/>
  <c r="BH106" i="278"/>
  <c r="X77" i="278"/>
  <c r="BH77" i="278"/>
  <c r="BL77" i="278"/>
  <c r="AB88" i="278"/>
  <c r="AB89" i="278"/>
  <c r="AB139" i="278"/>
  <c r="BH31" i="278"/>
  <c r="BH47" i="278"/>
  <c r="BX77" i="278"/>
  <c r="BX88" i="278"/>
  <c r="BX106" i="278"/>
  <c r="BV41" i="279"/>
  <c r="BV43" i="279"/>
  <c r="BL89" i="278"/>
  <c r="N26" i="279"/>
  <c r="T139" i="278"/>
  <c r="AV17" i="278"/>
  <c r="BO37" i="279"/>
  <c r="BO54" i="279"/>
  <c r="BR54" i="279"/>
  <c r="BR64" i="279"/>
  <c r="BV54" i="279"/>
  <c r="BT106" i="278"/>
  <c r="BT127" i="278"/>
  <c r="BR41" i="279"/>
  <c r="AJ89" i="278"/>
  <c r="AJ139" i="278"/>
  <c r="C20" i="279"/>
  <c r="C76" i="279"/>
  <c r="E18" i="279"/>
  <c r="L36" i="279"/>
  <c r="N36" i="279"/>
  <c r="BD36" i="279"/>
  <c r="H43" i="279"/>
  <c r="P76" i="279"/>
  <c r="BF17" i="279"/>
  <c r="BF37" i="279"/>
  <c r="BQ21" i="279"/>
  <c r="AR17" i="278"/>
  <c r="AZ62" i="278"/>
  <c r="AZ89" i="278"/>
  <c r="BD62" i="278"/>
  <c r="BD89" i="278"/>
  <c r="AR62" i="278"/>
  <c r="BP62" i="278"/>
  <c r="BP89" i="278"/>
  <c r="BH62" i="278"/>
  <c r="BH89" i="278"/>
  <c r="R54" i="279"/>
  <c r="AZ31" i="278"/>
  <c r="AZ47" i="278"/>
  <c r="BD31" i="278"/>
  <c r="BD47" i="278"/>
  <c r="AV31" i="278"/>
  <c r="BX31" i="278"/>
  <c r="BX62" i="278"/>
  <c r="BC74" i="279"/>
  <c r="N19" i="279"/>
  <c r="BO20" i="279"/>
  <c r="BT46" i="278"/>
  <c r="BR27" i="279"/>
  <c r="BR35" i="279"/>
  <c r="BR25" i="279"/>
  <c r="BP60" i="279"/>
  <c r="BM20" i="279"/>
  <c r="BN20" i="279"/>
  <c r="BK20" i="279"/>
  <c r="BK76" i="279"/>
  <c r="BM53" i="279"/>
  <c r="BT31" i="278"/>
  <c r="BT17" i="278"/>
  <c r="BT47" i="278"/>
  <c r="BT62" i="278"/>
  <c r="BT89" i="278"/>
  <c r="L9" i="279"/>
  <c r="R7" i="279"/>
  <c r="BF8" i="279"/>
  <c r="BF9" i="279"/>
  <c r="C18" i="279"/>
  <c r="F18" i="279"/>
  <c r="M18" i="279"/>
  <c r="M74" i="279"/>
  <c r="J11" i="279"/>
  <c r="G19" i="279"/>
  <c r="G75" i="279"/>
  <c r="BI19" i="279"/>
  <c r="H20" i="279"/>
  <c r="BN16" i="279"/>
  <c r="R24" i="279"/>
  <c r="G26" i="279"/>
  <c r="N27" i="279"/>
  <c r="BF27" i="279"/>
  <c r="BF35" i="279"/>
  <c r="C30" i="279"/>
  <c r="F30" i="279"/>
  <c r="BE30" i="279"/>
  <c r="D35" i="279"/>
  <c r="D38" i="279"/>
  <c r="O35" i="279"/>
  <c r="BG35" i="279"/>
  <c r="BG74" i="279"/>
  <c r="E34" i="279"/>
  <c r="P34" i="279"/>
  <c r="BH34" i="279"/>
  <c r="G34" i="279"/>
  <c r="J34" i="279"/>
  <c r="BI34" i="279"/>
  <c r="R40" i="279"/>
  <c r="BJ40" i="279"/>
  <c r="J43" i="279"/>
  <c r="BK53" i="279"/>
  <c r="BK55" i="279"/>
  <c r="K43" i="279"/>
  <c r="BC43" i="279"/>
  <c r="BJ44" i="279"/>
  <c r="G47" i="279"/>
  <c r="Q53" i="279"/>
  <c r="Q75" i="279"/>
  <c r="BI47" i="279"/>
  <c r="H54" i="279"/>
  <c r="H55" i="279"/>
  <c r="BN46" i="279"/>
  <c r="BN47" i="279"/>
  <c r="BF49" i="279"/>
  <c r="BN51" i="279"/>
  <c r="BD54" i="279"/>
  <c r="BF54" i="279"/>
  <c r="X127" i="278"/>
  <c r="AB127" i="278"/>
  <c r="BL127" i="278"/>
  <c r="AJ127" i="278"/>
  <c r="AV127" i="278"/>
  <c r="P127" i="278"/>
  <c r="BS75" i="279"/>
  <c r="BT138" i="278"/>
  <c r="AF139" i="278"/>
  <c r="H89" i="278"/>
  <c r="M139" i="278"/>
  <c r="BK139" i="278"/>
  <c r="L47" i="278"/>
  <c r="AN47" i="278"/>
  <c r="O139" i="278"/>
  <c r="BP138" i="278"/>
  <c r="BM21" i="279"/>
  <c r="BM76" i="279"/>
  <c r="BC30" i="279"/>
  <c r="F36" i="279"/>
  <c r="BO19" i="279"/>
  <c r="BJ24" i="279"/>
  <c r="BJ26" i="279"/>
  <c r="BI17" i="279"/>
  <c r="BK43" i="279"/>
  <c r="BG34" i="279"/>
  <c r="BH26" i="279"/>
  <c r="H47" i="279"/>
  <c r="BF50" i="279"/>
  <c r="BF51" i="279"/>
  <c r="BN8" i="279"/>
  <c r="BN9" i="279"/>
  <c r="R31" i="279"/>
  <c r="BQ37" i="279"/>
  <c r="BQ76" i="279"/>
  <c r="BK47" i="279"/>
  <c r="N28" i="279"/>
  <c r="BH18" i="279"/>
  <c r="BD51" i="279"/>
  <c r="Q37" i="279"/>
  <c r="Q76" i="279"/>
  <c r="E19" i="279"/>
  <c r="E75" i="279"/>
  <c r="BH47" i="279"/>
  <c r="BR50" i="279"/>
  <c r="BR51" i="279"/>
  <c r="BR44" i="279"/>
  <c r="F12" i="279"/>
  <c r="R14" i="279"/>
  <c r="J16" i="279"/>
  <c r="J25" i="279"/>
  <c r="BS9" i="279"/>
  <c r="BT60" i="279"/>
  <c r="BC38" i="279"/>
  <c r="N10" i="279"/>
  <c r="BF42" i="279"/>
  <c r="BF43" i="279"/>
  <c r="BH43" i="279"/>
  <c r="C37" i="279"/>
  <c r="F37" i="279"/>
  <c r="BM51" i="279"/>
  <c r="BE18" i="279"/>
  <c r="BF18" i="279"/>
  <c r="BJ45" i="279"/>
  <c r="M37" i="279"/>
  <c r="M38" i="279"/>
  <c r="N42" i="279"/>
  <c r="K54" i="279"/>
  <c r="K76" i="279"/>
  <c r="N8" i="279"/>
  <c r="BV49" i="279"/>
  <c r="BV51" i="279"/>
  <c r="BV25" i="279"/>
  <c r="BV26" i="279"/>
  <c r="BS68" i="279"/>
  <c r="G17" i="279"/>
  <c r="BM72" i="279"/>
  <c r="BO52" i="279"/>
  <c r="BR52" i="279"/>
  <c r="BR13" i="279"/>
  <c r="P52" i="279"/>
  <c r="P55" i="279"/>
  <c r="F29" i="279"/>
  <c r="BQ30" i="279"/>
  <c r="BC51" i="279"/>
  <c r="BH52" i="279"/>
  <c r="BJ52" i="279"/>
  <c r="J41" i="279"/>
  <c r="M30" i="279"/>
  <c r="BD30" i="279"/>
  <c r="G37" i="279"/>
  <c r="G76" i="279"/>
  <c r="L18" i="279"/>
  <c r="N18" i="279"/>
  <c r="BM35" i="279"/>
  <c r="BM74" i="279"/>
  <c r="BP17" i="278"/>
  <c r="BP47" i="278"/>
  <c r="AR31" i="278"/>
  <c r="AR47" i="278"/>
  <c r="E9" i="279"/>
  <c r="P9" i="279"/>
  <c r="R9" i="279"/>
  <c r="BT26" i="279"/>
  <c r="BS21" i="279"/>
  <c r="BV65" i="279"/>
  <c r="BT43" i="279"/>
  <c r="BO51" i="279"/>
  <c r="BO13" i="279"/>
  <c r="J33" i="279"/>
  <c r="N6" i="279"/>
  <c r="BE13" i="279"/>
  <c r="R44" i="279"/>
  <c r="BJ32" i="279"/>
  <c r="R45" i="279"/>
  <c r="G53" i="279"/>
  <c r="G55" i="279"/>
  <c r="BR43" i="279"/>
  <c r="BS30" i="279"/>
  <c r="BU13" i="279"/>
  <c r="N53" i="279"/>
  <c r="F14" i="279"/>
  <c r="N54" i="279"/>
  <c r="BO34" i="279"/>
  <c r="D34" i="279"/>
  <c r="K9" i="279"/>
  <c r="N9" i="279"/>
  <c r="BK13" i="279"/>
  <c r="M13" i="279"/>
  <c r="BR59" i="279"/>
  <c r="BR60" i="279"/>
  <c r="BI53" i="279"/>
  <c r="BI55" i="279"/>
  <c r="BN60" i="279"/>
  <c r="BM43" i="279"/>
  <c r="E26" i="279"/>
  <c r="F26" i="279"/>
  <c r="BJ7" i="279"/>
  <c r="BJ9" i="279"/>
  <c r="Q47" i="279"/>
  <c r="R47" i="279"/>
  <c r="R32" i="279"/>
  <c r="P26" i="279"/>
  <c r="R26" i="279"/>
  <c r="BE37" i="279"/>
  <c r="BE38" i="279"/>
  <c r="P36" i="279"/>
  <c r="P75" i="279"/>
  <c r="F44" i="279"/>
  <c r="K35" i="279"/>
  <c r="N35" i="279"/>
  <c r="BJ68" i="279"/>
  <c r="BV70" i="279"/>
  <c r="BV29" i="279"/>
  <c r="BU18" i="279"/>
  <c r="BU36" i="279"/>
  <c r="F31" i="279"/>
  <c r="E17" i="279"/>
  <c r="F17" i="279"/>
  <c r="BO36" i="279"/>
  <c r="BO38" i="279"/>
  <c r="BO30" i="279"/>
  <c r="BC9" i="279"/>
  <c r="F40" i="279"/>
  <c r="BJ31" i="279"/>
  <c r="BJ35" i="279"/>
  <c r="K21" i="279"/>
  <c r="E43" i="279"/>
  <c r="BQ36" i="279"/>
  <c r="BC53" i="279"/>
  <c r="BC55" i="279"/>
  <c r="K30" i="279"/>
  <c r="BR33" i="279"/>
  <c r="BR34" i="279"/>
  <c r="BN12" i="279"/>
  <c r="BN13" i="279"/>
  <c r="BH19" i="279"/>
  <c r="BR24" i="279"/>
  <c r="BR36" i="279"/>
  <c r="P18" i="279"/>
  <c r="P21" i="279"/>
  <c r="BI26" i="279"/>
  <c r="F24" i="279"/>
  <c r="J15" i="279"/>
  <c r="BR71" i="279"/>
  <c r="L75" i="279"/>
  <c r="BK74" i="279"/>
  <c r="BS72" i="279"/>
  <c r="BN17" i="279"/>
  <c r="BT19" i="279"/>
  <c r="BV20" i="279"/>
  <c r="BV60" i="279"/>
  <c r="BT30" i="279"/>
  <c r="BS76" i="279"/>
  <c r="BN26" i="279"/>
  <c r="BR18" i="279"/>
  <c r="D74" i="279"/>
  <c r="BN35" i="279"/>
  <c r="Q55" i="279"/>
  <c r="K75" i="279"/>
  <c r="F47" i="279"/>
  <c r="F52" i="279"/>
  <c r="BS55" i="279"/>
  <c r="BV47" i="279"/>
  <c r="BM75" i="279"/>
  <c r="E74" i="279"/>
  <c r="BD21" i="279"/>
  <c r="BF19" i="279"/>
  <c r="R30" i="279"/>
  <c r="R53" i="279"/>
  <c r="L13" i="279"/>
  <c r="BR9" i="279"/>
  <c r="BX47" i="278"/>
  <c r="BJ12" i="279"/>
  <c r="BJ13" i="279"/>
  <c r="BE9" i="279"/>
  <c r="BV14" i="279"/>
  <c r="BV11" i="279"/>
  <c r="BV13" i="279"/>
  <c r="BV15" i="279"/>
  <c r="BS35" i="279"/>
  <c r="BS74" i="279"/>
  <c r="BS77" i="279"/>
  <c r="BU37" i="279"/>
  <c r="BV71" i="279"/>
  <c r="N34" i="279"/>
  <c r="BH76" i="279"/>
  <c r="BC76" i="279"/>
  <c r="R35" i="279"/>
  <c r="D55" i="279"/>
  <c r="BQ55" i="279"/>
  <c r="C9" i="279"/>
  <c r="O20" i="279"/>
  <c r="R20" i="279"/>
  <c r="G18" i="279"/>
  <c r="J18" i="279"/>
  <c r="BI18" i="279"/>
  <c r="BI74" i="279"/>
  <c r="BK17" i="279"/>
  <c r="BF28" i="279"/>
  <c r="BF30" i="279"/>
  <c r="Q34" i="279"/>
  <c r="R34" i="279"/>
  <c r="E55" i="279"/>
  <c r="C55" i="279"/>
  <c r="J36" i="279"/>
  <c r="BL21" i="279"/>
  <c r="R52" i="279"/>
  <c r="BR47" i="279"/>
  <c r="BL55" i="279"/>
  <c r="I9" i="279"/>
  <c r="BN37" i="279"/>
  <c r="BV53" i="279"/>
  <c r="O38" i="279"/>
  <c r="BH38" i="279"/>
  <c r="BV7" i="279"/>
  <c r="BV9" i="279"/>
  <c r="BT76" i="279"/>
  <c r="BN34" i="279"/>
  <c r="R19" i="279"/>
  <c r="BT68" i="279"/>
  <c r="F53" i="279"/>
  <c r="I38" i="279"/>
  <c r="BF13" i="279"/>
  <c r="Q18" i="279"/>
  <c r="I19" i="279"/>
  <c r="I75" i="279"/>
  <c r="H19" i="279"/>
  <c r="K13" i="279"/>
  <c r="R36" i="279"/>
  <c r="BI38" i="279"/>
  <c r="BF47" i="279"/>
  <c r="BJ37" i="279"/>
  <c r="BN30" i="279"/>
  <c r="H74" i="279"/>
  <c r="F8" i="279"/>
  <c r="H37" i="279"/>
  <c r="I20" i="279"/>
  <c r="J20" i="279"/>
  <c r="BS34" i="279"/>
  <c r="BV67" i="279"/>
  <c r="BV68" i="279"/>
  <c r="BL74" i="279"/>
  <c r="J52" i="279"/>
  <c r="BR17" i="279"/>
  <c r="D13" i="279"/>
  <c r="F13" i="279"/>
  <c r="R12" i="279"/>
  <c r="BE20" i="279"/>
  <c r="BE21" i="279"/>
  <c r="BK19" i="279"/>
  <c r="L30" i="279"/>
  <c r="H26" i="279"/>
  <c r="I13" i="279"/>
  <c r="J13" i="279"/>
  <c r="BU55" i="279"/>
  <c r="BG72" i="279"/>
  <c r="R37" i="279"/>
  <c r="BN52" i="279"/>
  <c r="BR53" i="279"/>
  <c r="R6" i="279"/>
  <c r="M20" i="279"/>
  <c r="N20" i="279"/>
  <c r="D20" i="279"/>
  <c r="D76" i="279"/>
  <c r="BM68" i="279"/>
  <c r="P38" i="279"/>
  <c r="O55" i="279"/>
  <c r="F35" i="279"/>
  <c r="BK38" i="279"/>
  <c r="BM55" i="279"/>
  <c r="Q17" i="279"/>
  <c r="R17" i="279"/>
  <c r="BS51" i="279"/>
  <c r="BP74" i="279"/>
  <c r="BJ20" i="279"/>
  <c r="BG75" i="279"/>
  <c r="BE75" i="279"/>
  <c r="L74" i="279"/>
  <c r="BU19" i="279"/>
  <c r="BU75" i="279"/>
  <c r="BV33" i="279"/>
  <c r="BT72" i="279"/>
  <c r="M55" i="279"/>
  <c r="F10" i="279"/>
  <c r="BN68" i="279"/>
  <c r="BD75" i="279"/>
  <c r="O74" i="279"/>
  <c r="H17" i="279"/>
  <c r="C75" i="279"/>
  <c r="F54" i="279"/>
  <c r="L38" i="279"/>
  <c r="R10" i="279"/>
  <c r="N17" i="279"/>
  <c r="E76" i="279"/>
  <c r="BJ54" i="279"/>
  <c r="BE55" i="279"/>
  <c r="O13" i="279"/>
  <c r="R13" i="279"/>
  <c r="BU51" i="279"/>
  <c r="O75" i="279"/>
  <c r="L76" i="279"/>
  <c r="E21" i="279"/>
  <c r="R43" i="279"/>
  <c r="M75" i="279"/>
  <c r="BP76" i="279"/>
  <c r="BO76" i="279"/>
  <c r="BP38" i="279"/>
  <c r="N47" i="279"/>
  <c r="BD74" i="279"/>
  <c r="BV30" i="279"/>
  <c r="F19" i="279"/>
  <c r="BJ43" i="279"/>
  <c r="F43" i="279"/>
  <c r="BJ72" i="279"/>
  <c r="BN36" i="279"/>
  <c r="BQ72" i="279"/>
  <c r="J30" i="279"/>
  <c r="BT13" i="279"/>
  <c r="I74" i="279"/>
  <c r="J35" i="279"/>
  <c r="BF52" i="279"/>
  <c r="BG55" i="279"/>
  <c r="BF53" i="279"/>
  <c r="BJ30" i="279"/>
  <c r="E38" i="279"/>
  <c r="F34" i="279"/>
  <c r="BQ74" i="279"/>
  <c r="BJ17" i="279"/>
  <c r="N52" i="279"/>
  <c r="BC13" i="279"/>
  <c r="BN71" i="279"/>
  <c r="BL72" i="279"/>
  <c r="R51" i="279"/>
  <c r="BV52" i="279"/>
  <c r="BT55" i="279"/>
  <c r="BH72" i="279"/>
  <c r="BV69" i="279"/>
  <c r="BU72" i="279"/>
  <c r="BK72" i="279"/>
  <c r="BN70" i="279"/>
  <c r="BP75" i="279"/>
  <c r="BP72" i="279"/>
  <c r="D75" i="279"/>
  <c r="BG76" i="279"/>
  <c r="BT38" i="279"/>
  <c r="L55" i="279"/>
  <c r="BC21" i="279"/>
  <c r="BL75" i="279"/>
  <c r="BP21" i="279"/>
  <c r="BD38" i="279"/>
  <c r="BR20" i="279"/>
  <c r="BF26" i="279"/>
  <c r="BV36" i="279"/>
  <c r="BG21" i="279"/>
  <c r="AL32" i="297"/>
  <c r="AL37" i="297"/>
  <c r="BZ23" i="98"/>
  <c r="BZ24" i="98"/>
  <c r="CA78" i="274"/>
  <c r="BY24" i="98"/>
  <c r="BW33" i="98"/>
  <c r="BX23" i="98"/>
  <c r="BX24" i="98"/>
  <c r="BX33" i="98"/>
  <c r="CA39" i="274"/>
  <c r="BZ13" i="98"/>
  <c r="BZ36" i="98"/>
  <c r="BX32" i="98"/>
  <c r="BZ12" i="98"/>
  <c r="BZ35" i="98"/>
  <c r="BZ11" i="98"/>
  <c r="BY36" i="98"/>
  <c r="BY14" i="98"/>
  <c r="CA34" i="274"/>
  <c r="BX40" i="274"/>
  <c r="BX102" i="274"/>
  <c r="BX14" i="98"/>
  <c r="BW14" i="98"/>
  <c r="BB29" i="98"/>
  <c r="BF32" i="98"/>
  <c r="BF37" i="98"/>
  <c r="BF29" i="98"/>
  <c r="BG85" i="274"/>
  <c r="BG100" i="274"/>
  <c r="BG102" i="274"/>
  <c r="BJ32" i="98"/>
  <c r="BJ37" i="98"/>
  <c r="BJ29" i="98"/>
  <c r="BI29" i="98"/>
  <c r="BK85" i="274"/>
  <c r="BK100" i="274"/>
  <c r="BK102" i="274"/>
  <c r="BZ27" i="98"/>
  <c r="CA94" i="274"/>
  <c r="BY33" i="98"/>
  <c r="BX29" i="98"/>
  <c r="BY29" i="98"/>
  <c r="CA100" i="274"/>
  <c r="BZ26" i="98"/>
  <c r="BY102" i="274"/>
  <c r="BW34" i="98"/>
  <c r="BX34" i="98"/>
  <c r="BZ17" i="98"/>
  <c r="BZ19" i="98"/>
  <c r="CA62" i="274"/>
  <c r="BY32" i="98"/>
  <c r="CA69" i="274"/>
  <c r="CA70" i="274"/>
  <c r="BZ18" i="98"/>
  <c r="BZ102" i="274"/>
  <c r="BX31" i="98"/>
  <c r="BY31" i="98"/>
  <c r="BZ8" i="98"/>
  <c r="BZ34" i="98"/>
  <c r="BZ7" i="98"/>
  <c r="BW9" i="98"/>
  <c r="BY34" i="98"/>
  <c r="CA24" i="274"/>
  <c r="BZ31" i="98"/>
  <c r="BZ9" i="98"/>
  <c r="BX9" i="98"/>
  <c r="CA20" i="274"/>
  <c r="CA25" i="274"/>
  <c r="BW31" i="98"/>
  <c r="J49" i="288"/>
  <c r="J38" i="288"/>
  <c r="J75" i="288"/>
  <c r="J61" i="288"/>
  <c r="J24" i="288"/>
  <c r="F20" i="320"/>
  <c r="I20" i="320"/>
  <c r="L30" i="318"/>
  <c r="M19" i="318"/>
  <c r="N19" i="318"/>
  <c r="AS77" i="284"/>
  <c r="J162" i="336"/>
  <c r="J19" i="336"/>
  <c r="J96" i="336"/>
  <c r="BW40" i="281"/>
  <c r="BU40" i="281"/>
  <c r="BY40" i="281"/>
  <c r="BY51" i="281"/>
  <c r="BV40" i="281"/>
  <c r="BX40" i="281"/>
  <c r="Z37" i="253"/>
  <c r="AH32" i="233"/>
  <c r="F9" i="233"/>
  <c r="F26" i="233"/>
  <c r="F32" i="233"/>
  <c r="T32" i="233"/>
  <c r="V28" i="233"/>
  <c r="V32" i="233"/>
  <c r="R9" i="233"/>
  <c r="R26" i="233"/>
  <c r="R32" i="233"/>
  <c r="Z27" i="233"/>
  <c r="Z32" i="233"/>
  <c r="AD32" i="233"/>
  <c r="BR70" i="279"/>
  <c r="BR72" i="279"/>
  <c r="BD76" i="279"/>
  <c r="N30" i="279"/>
  <c r="BT21" i="279"/>
  <c r="BJ47" i="279"/>
  <c r="N43" i="279"/>
  <c r="BM38" i="279"/>
  <c r="BO74" i="279"/>
  <c r="Q38" i="279"/>
  <c r="R38" i="279"/>
  <c r="BP139" i="278"/>
  <c r="BO21" i="279"/>
  <c r="R139" i="278"/>
  <c r="C21" i="279"/>
  <c r="BH127" i="278"/>
  <c r="X89" i="278"/>
  <c r="BO55" i="279"/>
  <c r="J9" i="279"/>
  <c r="BV18" i="279"/>
  <c r="AV47" i="278"/>
  <c r="BL76" i="279"/>
  <c r="BD139" i="278"/>
  <c r="P89" i="278"/>
  <c r="P139" i="278"/>
  <c r="AX139" i="278"/>
  <c r="E77" i="279"/>
  <c r="N37" i="279"/>
  <c r="BQ38" i="279"/>
  <c r="BX89" i="278"/>
  <c r="AR89" i="278"/>
  <c r="BD55" i="279"/>
  <c r="BE74" i="279"/>
  <c r="J26" i="279"/>
  <c r="C74" i="279"/>
  <c r="F74" i="279"/>
  <c r="BC75" i="279"/>
  <c r="BC77" i="279"/>
  <c r="X139" i="278"/>
  <c r="AV139" i="278"/>
  <c r="BH74" i="279"/>
  <c r="C38" i="279"/>
  <c r="F38" i="279"/>
  <c r="BV72" i="279"/>
  <c r="BR30" i="279"/>
  <c r="BU38" i="279"/>
  <c r="L21" i="279"/>
  <c r="L139" i="278"/>
  <c r="BL139" i="278"/>
  <c r="BX139" i="278"/>
  <c r="AR139" i="278"/>
  <c r="G21" i="279"/>
  <c r="BT139" i="278"/>
  <c r="BO75" i="279"/>
  <c r="BO77" i="279"/>
  <c r="BT75" i="279"/>
  <c r="BT77" i="279"/>
  <c r="BK21" i="279"/>
  <c r="BN53" i="279"/>
  <c r="BN55" i="279"/>
  <c r="BR26" i="279"/>
  <c r="BN74" i="279"/>
  <c r="BU74" i="279"/>
  <c r="BH55" i="279"/>
  <c r="BJ19" i="279"/>
  <c r="BI75" i="279"/>
  <c r="BI77" i="279"/>
  <c r="J47" i="279"/>
  <c r="BH21" i="279"/>
  <c r="AZ139" i="278"/>
  <c r="BH75" i="279"/>
  <c r="BQ75" i="279"/>
  <c r="J54" i="279"/>
  <c r="BJ53" i="279"/>
  <c r="BJ55" i="279"/>
  <c r="N75" i="279"/>
  <c r="G38" i="279"/>
  <c r="N13" i="279"/>
  <c r="BG38" i="279"/>
  <c r="BJ34" i="279"/>
  <c r="AN139" i="278"/>
  <c r="BF74" i="279"/>
  <c r="K55" i="279"/>
  <c r="N55" i="279"/>
  <c r="J17" i="279"/>
  <c r="BV37" i="279"/>
  <c r="BV38" i="279"/>
  <c r="O21" i="279"/>
  <c r="F9" i="279"/>
  <c r="BR37" i="279"/>
  <c r="BR38" i="279"/>
  <c r="K38" i="279"/>
  <c r="N38" i="279"/>
  <c r="K74" i="279"/>
  <c r="N74" i="279"/>
  <c r="BV55" i="279"/>
  <c r="R18" i="279"/>
  <c r="P74" i="279"/>
  <c r="P77" i="279"/>
  <c r="BH139" i="278"/>
  <c r="BJ36" i="279"/>
  <c r="G74" i="279"/>
  <c r="J74" i="279"/>
  <c r="BV17" i="279"/>
  <c r="BS38" i="279"/>
  <c r="D77" i="279"/>
  <c r="BF36" i="279"/>
  <c r="BF38" i="279"/>
  <c r="BN19" i="279"/>
  <c r="BN21" i="279"/>
  <c r="BD77" i="279"/>
  <c r="BM77" i="279"/>
  <c r="BR74" i="279"/>
  <c r="O76" i="279"/>
  <c r="R76" i="279"/>
  <c r="BI21" i="279"/>
  <c r="BJ38" i="279"/>
  <c r="R75" i="279"/>
  <c r="BQ77" i="279"/>
  <c r="BU76" i="279"/>
  <c r="BV76" i="279"/>
  <c r="BJ18" i="279"/>
  <c r="BK75" i="279"/>
  <c r="BN75" i="279"/>
  <c r="R55" i="279"/>
  <c r="BR55" i="279"/>
  <c r="J55" i="279"/>
  <c r="BN38" i="279"/>
  <c r="BN76" i="279"/>
  <c r="BF20" i="279"/>
  <c r="BF21" i="279"/>
  <c r="F55" i="279"/>
  <c r="I21" i="279"/>
  <c r="BF55" i="279"/>
  <c r="F20" i="279"/>
  <c r="BJ74" i="279"/>
  <c r="F76" i="279"/>
  <c r="M21" i="279"/>
  <c r="J19" i="279"/>
  <c r="H75" i="279"/>
  <c r="J75" i="279"/>
  <c r="H21" i="279"/>
  <c r="J21" i="279"/>
  <c r="H76" i="279"/>
  <c r="H38" i="279"/>
  <c r="J38" i="279"/>
  <c r="BL77" i="279"/>
  <c r="BU21" i="279"/>
  <c r="BV19" i="279"/>
  <c r="BV21" i="279"/>
  <c r="I76" i="279"/>
  <c r="I77" i="279"/>
  <c r="Q74" i="279"/>
  <c r="Q77" i="279"/>
  <c r="Q21" i="279"/>
  <c r="BE76" i="279"/>
  <c r="BE77" i="279"/>
  <c r="M76" i="279"/>
  <c r="N76" i="279"/>
  <c r="L77" i="279"/>
  <c r="D21" i="279"/>
  <c r="F21" i="279"/>
  <c r="J37" i="279"/>
  <c r="BV34" i="279"/>
  <c r="BR21" i="279"/>
  <c r="BN72" i="279"/>
  <c r="BV74" i="279"/>
  <c r="F75" i="279"/>
  <c r="BR76" i="279"/>
  <c r="BJ76" i="279"/>
  <c r="BG77" i="279"/>
  <c r="BP77" i="279"/>
  <c r="BH77" i="279"/>
  <c r="BX37" i="98"/>
  <c r="CA40" i="274"/>
  <c r="CA102" i="274"/>
  <c r="BZ14" i="98"/>
  <c r="BZ33" i="98"/>
  <c r="BZ29" i="98"/>
  <c r="BW37" i="98"/>
  <c r="BZ32" i="98"/>
  <c r="BY37" i="98"/>
  <c r="M30" i="318"/>
  <c r="N30" i="318"/>
  <c r="L32" i="318"/>
  <c r="BW52" i="281"/>
  <c r="BV52" i="281"/>
  <c r="BW53" i="281"/>
  <c r="BU52" i="281"/>
  <c r="BY52" i="281"/>
  <c r="BX52" i="281"/>
  <c r="BF75" i="279"/>
  <c r="C77" i="279"/>
  <c r="BV75" i="279"/>
  <c r="BV77" i="279"/>
  <c r="P34" i="300"/>
  <c r="BJ75" i="279"/>
  <c r="N21" i="279"/>
  <c r="BN77" i="279"/>
  <c r="N34" i="300"/>
  <c r="G77" i="279"/>
  <c r="BJ21" i="279"/>
  <c r="BR75" i="279"/>
  <c r="BR77" i="279"/>
  <c r="O34" i="300"/>
  <c r="K77" i="279"/>
  <c r="O77" i="279"/>
  <c r="R77" i="279"/>
  <c r="R21" i="279"/>
  <c r="BK77" i="279"/>
  <c r="F77" i="279"/>
  <c r="BU77" i="279"/>
  <c r="BF76" i="279"/>
  <c r="BF77" i="279"/>
  <c r="L34" i="300"/>
  <c r="J76" i="279"/>
  <c r="H77" i="279"/>
  <c r="M77" i="279"/>
  <c r="R74" i="279"/>
  <c r="BJ77" i="279"/>
  <c r="M34" i="300"/>
  <c r="BZ37" i="98"/>
  <c r="J77" i="279"/>
  <c r="N77" i="279"/>
  <c r="R7" i="344" l="1"/>
  <c r="R21" i="344"/>
  <c r="R11" i="344"/>
  <c r="AA11" i="344"/>
  <c r="AA8" i="344"/>
  <c r="AD22" i="344"/>
  <c r="AD14" i="344"/>
  <c r="R16" i="344"/>
  <c r="R10" i="344"/>
  <c r="R24" i="344"/>
  <c r="R8" i="344"/>
  <c r="R17" i="344"/>
  <c r="R13" i="344"/>
  <c r="AA24" i="344"/>
  <c r="AA27" i="344"/>
  <c r="AA6" i="344"/>
  <c r="R6" i="344"/>
  <c r="R15" i="344"/>
  <c r="R20" i="344"/>
  <c r="AA17" i="344"/>
  <c r="AA13" i="344"/>
  <c r="AA23" i="344"/>
  <c r="AD27" i="344"/>
  <c r="AD19" i="344"/>
  <c r="AD11" i="344"/>
  <c r="AD29" i="344" s="1"/>
  <c r="R14" i="344"/>
  <c r="AA25" i="344"/>
  <c r="AA21" i="344"/>
  <c r="AA20" i="344"/>
  <c r="AD26" i="344"/>
  <c r="AD18" i="344"/>
  <c r="S29" i="344"/>
  <c r="R25" i="344"/>
  <c r="AA14" i="344"/>
  <c r="AA15" i="344"/>
  <c r="R18" i="344"/>
  <c r="R12" i="344"/>
  <c r="R22" i="344"/>
  <c r="R23" i="344"/>
  <c r="R27" i="344"/>
  <c r="AA18" i="344"/>
  <c r="AA22" i="344"/>
  <c r="AA12" i="344"/>
  <c r="X10" i="47"/>
  <c r="BI30" i="123"/>
  <c r="BW38" i="123"/>
  <c r="BS32" i="123"/>
  <c r="AY32" i="123"/>
  <c r="P34" i="123"/>
  <c r="K30" i="123"/>
  <c r="AO32" i="123"/>
  <c r="BN33" i="123"/>
  <c r="N38" i="123"/>
  <c r="CH32" i="123"/>
  <c r="CH38" i="123" s="1"/>
  <c r="Z38" i="123"/>
  <c r="AJ15" i="123"/>
  <c r="F10" i="123"/>
  <c r="AJ33" i="123"/>
  <c r="AJ38" i="123" s="1"/>
  <c r="AT15" i="123"/>
  <c r="AY20" i="123"/>
  <c r="BN25" i="123"/>
  <c r="AQ38" i="123"/>
  <c r="AG38" i="123"/>
  <c r="W38" i="123"/>
  <c r="M38" i="123"/>
  <c r="F32" i="123"/>
  <c r="AJ34" i="123"/>
  <c r="BI15" i="123"/>
  <c r="BX34" i="123"/>
  <c r="AK38" i="123"/>
  <c r="AZ38" i="123"/>
  <c r="CC38" i="123"/>
  <c r="AE10" i="123"/>
  <c r="F35" i="123"/>
  <c r="BM38" i="123"/>
  <c r="BF38" i="123"/>
  <c r="AX38" i="123"/>
  <c r="AA38" i="123"/>
  <c r="D38" i="123"/>
  <c r="BE38" i="123"/>
  <c r="AS38" i="123"/>
  <c r="AI38" i="123"/>
  <c r="T38" i="123"/>
  <c r="O38" i="123"/>
  <c r="E38" i="123"/>
  <c r="BH38" i="123"/>
  <c r="BB38" i="123"/>
  <c r="CD38" i="123"/>
  <c r="K20" i="123"/>
  <c r="BD32" i="123"/>
  <c r="BS10" i="123"/>
  <c r="BS15" i="123"/>
  <c r="AU38" i="123"/>
  <c r="S38" i="123"/>
  <c r="U35" i="123"/>
  <c r="U38" i="123" s="1"/>
  <c r="P38" i="123"/>
  <c r="CH15" i="123"/>
  <c r="AE15" i="123"/>
  <c r="AT20" i="123"/>
  <c r="BD35" i="123"/>
  <c r="BD38" i="123" s="1"/>
  <c r="BG38" i="123"/>
  <c r="BA38" i="123"/>
  <c r="CM38" i="123"/>
  <c r="AO38" i="123"/>
  <c r="BX33" i="123"/>
  <c r="BX38" i="123" s="1"/>
  <c r="AO20" i="123"/>
  <c r="K35" i="123"/>
  <c r="K38" i="123" s="1"/>
  <c r="B38" i="123"/>
  <c r="AJ30" i="123"/>
  <c r="BN34" i="123"/>
  <c r="BN38" i="123" s="1"/>
  <c r="BS33" i="123"/>
  <c r="BD10" i="123"/>
  <c r="AY33" i="123"/>
  <c r="AY38" i="123" s="1"/>
  <c r="AE34" i="123"/>
  <c r="AE38" i="123" s="1"/>
  <c r="BX20" i="123"/>
  <c r="AT33" i="123"/>
  <c r="AT38" i="123" s="1"/>
  <c r="Z20" i="123"/>
  <c r="BN15" i="123"/>
  <c r="C38" i="123"/>
  <c r="BI25" i="123"/>
  <c r="BI33" i="123"/>
  <c r="BI38" i="123" s="1"/>
  <c r="F33" i="123"/>
  <c r="F38" i="123" s="1"/>
  <c r="AY30" i="123"/>
  <c r="BD30" i="123"/>
  <c r="BQ21" i="336"/>
  <c r="O98" i="336" s="1"/>
  <c r="BU6" i="336"/>
  <c r="P83" i="336" s="1"/>
  <c r="BU18" i="336"/>
  <c r="P95" i="336" s="1"/>
  <c r="BU29" i="336"/>
  <c r="P106" i="336" s="1"/>
  <c r="BM11" i="336"/>
  <c r="N154" i="336" s="1"/>
  <c r="BE22" i="336"/>
  <c r="L99" i="336" s="1"/>
  <c r="AO22" i="336"/>
  <c r="U6" i="336"/>
  <c r="C6" i="336" s="1"/>
  <c r="N149" i="336"/>
  <c r="N6" i="336"/>
  <c r="N83" i="336"/>
  <c r="N151" i="336"/>
  <c r="N85" i="336"/>
  <c r="N8" i="336"/>
  <c r="O100" i="336"/>
  <c r="O23" i="336"/>
  <c r="I165" i="336"/>
  <c r="I104" i="336"/>
  <c r="I27" i="336"/>
  <c r="AS9" i="336"/>
  <c r="BM13" i="336"/>
  <c r="BM18" i="336"/>
  <c r="N95" i="336" s="1"/>
  <c r="BM27" i="336"/>
  <c r="N104" i="336" s="1"/>
  <c r="AO16" i="336"/>
  <c r="H159" i="336" s="1"/>
  <c r="AS17" i="336"/>
  <c r="I160" i="336" s="1"/>
  <c r="BQ13" i="336"/>
  <c r="O90" i="336" s="1"/>
  <c r="E83" i="336"/>
  <c r="U29" i="336"/>
  <c r="C167" i="336" s="1"/>
  <c r="U9" i="336"/>
  <c r="Y29" i="336"/>
  <c r="BU11" i="336"/>
  <c r="P88" i="336" s="1"/>
  <c r="BU23" i="336"/>
  <c r="P100" i="336" s="1"/>
  <c r="BU28" i="336"/>
  <c r="P105" i="336" s="1"/>
  <c r="BA23" i="336"/>
  <c r="K100" i="336" s="1"/>
  <c r="AW24" i="336"/>
  <c r="J101" i="336" s="1"/>
  <c r="AW13" i="336"/>
  <c r="J13" i="336" s="1"/>
  <c r="AO13" i="336"/>
  <c r="U28" i="336"/>
  <c r="U23" i="336"/>
  <c r="BQ17" i="336"/>
  <c r="O94" i="336" s="1"/>
  <c r="BA8" i="336"/>
  <c r="K8" i="336" s="1"/>
  <c r="BA26" i="336"/>
  <c r="K26" i="336" s="1"/>
  <c r="BI18" i="336"/>
  <c r="BA21" i="336"/>
  <c r="K98" i="336" s="1"/>
  <c r="AW22" i="336"/>
  <c r="L18" i="336"/>
  <c r="L161" i="336"/>
  <c r="L95" i="336"/>
  <c r="N156" i="336"/>
  <c r="N13" i="336"/>
  <c r="N90" i="336"/>
  <c r="N161" i="336"/>
  <c r="N18" i="336"/>
  <c r="N165" i="336"/>
  <c r="N98" i="336"/>
  <c r="N21" i="336"/>
  <c r="M23" i="336"/>
  <c r="M100" i="336"/>
  <c r="I94" i="336"/>
  <c r="C159" i="336"/>
  <c r="C16" i="336"/>
  <c r="D31" i="336"/>
  <c r="D169" i="336"/>
  <c r="D108" i="336"/>
  <c r="AW8" i="336"/>
  <c r="J151" i="336" s="1"/>
  <c r="AW14" i="336"/>
  <c r="J157" i="336" s="1"/>
  <c r="BA13" i="336"/>
  <c r="BA17" i="336"/>
  <c r="K94" i="336" s="1"/>
  <c r="BA18" i="336"/>
  <c r="K18" i="336" s="1"/>
  <c r="BE26" i="336"/>
  <c r="L164" i="336" s="1"/>
  <c r="AW26" i="336"/>
  <c r="J26" i="336" s="1"/>
  <c r="BE19" i="336"/>
  <c r="L162" i="336" s="1"/>
  <c r="BU21" i="336"/>
  <c r="P98" i="336" s="1"/>
  <c r="J100" i="336"/>
  <c r="BQ14" i="336"/>
  <c r="O91" i="336" s="1"/>
  <c r="AO28" i="336"/>
  <c r="H28" i="336" s="1"/>
  <c r="BE23" i="336"/>
  <c r="L23" i="336" s="1"/>
  <c r="AS24" i="336"/>
  <c r="J104" i="336"/>
  <c r="J165" i="336"/>
  <c r="J27" i="336"/>
  <c r="N7" i="336"/>
  <c r="D150" i="336"/>
  <c r="BE9" i="336"/>
  <c r="L152" i="336" s="1"/>
  <c r="N84" i="336"/>
  <c r="D84" i="336"/>
  <c r="BI29" i="336"/>
  <c r="M167" i="336" s="1"/>
  <c r="BE28" i="336"/>
  <c r="L28" i="336" s="1"/>
  <c r="E95" i="336"/>
  <c r="E161" i="336"/>
  <c r="E18" i="336"/>
  <c r="K159" i="336"/>
  <c r="K93" i="336"/>
  <c r="K16" i="336"/>
  <c r="E8" i="336"/>
  <c r="E151" i="336"/>
  <c r="E85" i="336"/>
  <c r="J14" i="336"/>
  <c r="K105" i="336"/>
  <c r="K166" i="336"/>
  <c r="K28" i="336"/>
  <c r="F14" i="336"/>
  <c r="F91" i="336"/>
  <c r="C166" i="336"/>
  <c r="C105" i="336"/>
  <c r="F152" i="336"/>
  <c r="F9" i="336"/>
  <c r="F86" i="336"/>
  <c r="N157" i="336"/>
  <c r="N14" i="336"/>
  <c r="N91" i="336"/>
  <c r="C93" i="336"/>
  <c r="AW9" i="336"/>
  <c r="J86" i="336" s="1"/>
  <c r="BU17" i="336"/>
  <c r="P94" i="336" s="1"/>
  <c r="K108" i="336"/>
  <c r="BU9" i="336"/>
  <c r="P86" i="336" s="1"/>
  <c r="H93" i="336"/>
  <c r="AO23" i="336"/>
  <c r="AC26" i="336"/>
  <c r="E103" i="336" s="1"/>
  <c r="BQ22" i="336"/>
  <c r="O99" i="336" s="1"/>
  <c r="BI27" i="336"/>
  <c r="M104" i="336" s="1"/>
  <c r="BM9" i="336"/>
  <c r="N86" i="336" s="1"/>
  <c r="N106" i="336"/>
  <c r="Y24" i="336"/>
  <c r="N29" i="336"/>
  <c r="BQ9" i="336"/>
  <c r="O86" i="336" s="1"/>
  <c r="BU27" i="336"/>
  <c r="P104" i="336" s="1"/>
  <c r="L96" i="336"/>
  <c r="U26" i="336"/>
  <c r="C26" i="336" s="1"/>
  <c r="BQ26" i="336"/>
  <c r="O103" i="336" s="1"/>
  <c r="I17" i="336"/>
  <c r="BA22" i="336"/>
  <c r="K22" i="336" s="1"/>
  <c r="AK11" i="336"/>
  <c r="G11" i="336" s="1"/>
  <c r="U18" i="336"/>
  <c r="C18" i="336" s="1"/>
  <c r="U13" i="336"/>
  <c r="U8" i="336"/>
  <c r="C151" i="336" s="1"/>
  <c r="Y28" i="336"/>
  <c r="D28" i="336" s="1"/>
  <c r="Y23" i="336"/>
  <c r="Y18" i="336"/>
  <c r="D18" i="336" s="1"/>
  <c r="Y13" i="336"/>
  <c r="D90" i="336" s="1"/>
  <c r="Y8" i="336"/>
  <c r="D85" i="336" s="1"/>
  <c r="BI31" i="336"/>
  <c r="M108" i="336" s="1"/>
  <c r="AG13" i="336"/>
  <c r="F90" i="336" s="1"/>
  <c r="AK24" i="336"/>
  <c r="AK19" i="336"/>
  <c r="G96" i="336" s="1"/>
  <c r="BI24" i="336"/>
  <c r="M24" i="336" s="1"/>
  <c r="AO29" i="336"/>
  <c r="H29" i="336" s="1"/>
  <c r="AS18" i="336"/>
  <c r="I95" i="336" s="1"/>
  <c r="AW16" i="336"/>
  <c r="J93" i="336" s="1"/>
  <c r="AK18" i="336"/>
  <c r="G18" i="336" s="1"/>
  <c r="AK13" i="336"/>
  <c r="G90" i="336" s="1"/>
  <c r="AK8" i="336"/>
  <c r="G85" i="336" s="1"/>
  <c r="U31" i="336"/>
  <c r="C108" i="336" s="1"/>
  <c r="E149" i="336"/>
  <c r="K31" i="336"/>
  <c r="AC24" i="336"/>
  <c r="AC19" i="336"/>
  <c r="E96" i="336" s="1"/>
  <c r="AC9" i="336"/>
  <c r="E86" i="336" s="1"/>
  <c r="AG26" i="336"/>
  <c r="F164" i="336" s="1"/>
  <c r="AG16" i="336"/>
  <c r="F93" i="336" s="1"/>
  <c r="AG11" i="336"/>
  <c r="F11" i="336" s="1"/>
  <c r="AK12" i="336"/>
  <c r="G12" i="336" s="1"/>
  <c r="Y19" i="336"/>
  <c r="D19" i="336" s="1"/>
  <c r="D8" i="336"/>
  <c r="G86" i="336"/>
  <c r="G152" i="336"/>
  <c r="G9" i="336"/>
  <c r="C104" i="336"/>
  <c r="C27" i="336"/>
  <c r="C165" i="336"/>
  <c r="J150" i="336"/>
  <c r="J84" i="336"/>
  <c r="J7" i="336"/>
  <c r="H105" i="336"/>
  <c r="L155" i="336"/>
  <c r="L12" i="336"/>
  <c r="L89" i="336"/>
  <c r="J99" i="336"/>
  <c r="J22" i="336"/>
  <c r="H167" i="336"/>
  <c r="H106" i="336"/>
  <c r="K101" i="336"/>
  <c r="N101" i="336"/>
  <c r="AW31" i="336"/>
  <c r="J169" i="336" s="1"/>
  <c r="C83" i="336"/>
  <c r="N27" i="336"/>
  <c r="BA9" i="336"/>
  <c r="K86" i="336" s="1"/>
  <c r="N22" i="336"/>
  <c r="C28" i="336"/>
  <c r="AG8" i="336"/>
  <c r="F8" i="336" s="1"/>
  <c r="BQ24" i="336"/>
  <c r="O101" i="336" s="1"/>
  <c r="F29" i="336"/>
  <c r="BQ18" i="336"/>
  <c r="O95" i="336" s="1"/>
  <c r="AC21" i="336"/>
  <c r="AC16" i="336"/>
  <c r="E93" i="336" s="1"/>
  <c r="AC11" i="336"/>
  <c r="AG27" i="336"/>
  <c r="F104" i="336" s="1"/>
  <c r="AG22" i="336"/>
  <c r="AG12" i="336"/>
  <c r="F12" i="336" s="1"/>
  <c r="AS31" i="336"/>
  <c r="I169" i="336" s="1"/>
  <c r="F167" i="336"/>
  <c r="BI16" i="336"/>
  <c r="M16" i="336" s="1"/>
  <c r="AC29" i="336"/>
  <c r="E106" i="336" s="1"/>
  <c r="AC14" i="336"/>
  <c r="E14" i="336" s="1"/>
  <c r="AG21" i="336"/>
  <c r="AG7" i="336"/>
  <c r="F150" i="336" s="1"/>
  <c r="AK28" i="336"/>
  <c r="G105" i="336" s="1"/>
  <c r="BQ11" i="336"/>
  <c r="O88" i="336" s="1"/>
  <c r="H150" i="336"/>
  <c r="BE14" i="336"/>
  <c r="L14" i="336" s="1"/>
  <c r="Y16" i="336"/>
  <c r="D16" i="336" s="1"/>
  <c r="BQ27" i="336"/>
  <c r="O104" i="336" s="1"/>
  <c r="M155" i="336"/>
  <c r="AS22" i="336"/>
  <c r="AK27" i="336"/>
  <c r="G27" i="336" s="1"/>
  <c r="AK22" i="336"/>
  <c r="M89" i="336"/>
  <c r="C149" i="336"/>
  <c r="BI17" i="336"/>
  <c r="M17" i="336" s="1"/>
  <c r="BM16" i="336"/>
  <c r="N93" i="336" s="1"/>
  <c r="BM12" i="336"/>
  <c r="N89" i="336" s="1"/>
  <c r="BI11" i="336"/>
  <c r="M11" i="336" s="1"/>
  <c r="BE21" i="336"/>
  <c r="L21" i="336" s="1"/>
  <c r="AC23" i="336"/>
  <c r="AK7" i="336"/>
  <c r="G150" i="336" s="1"/>
  <c r="H7" i="336"/>
  <c r="N88" i="336"/>
  <c r="I13" i="336"/>
  <c r="BI13" i="336"/>
  <c r="M156" i="336" s="1"/>
  <c r="BI21" i="336"/>
  <c r="M98" i="336" s="1"/>
  <c r="AK31" i="336"/>
  <c r="G31" i="336" s="1"/>
  <c r="U19" i="336"/>
  <c r="C162" i="336" s="1"/>
  <c r="U14" i="336"/>
  <c r="K152" i="336"/>
  <c r="H18" i="336"/>
  <c r="H161" i="336"/>
  <c r="L103" i="336"/>
  <c r="L26" i="336"/>
  <c r="K150" i="336"/>
  <c r="K84" i="336"/>
  <c r="K7" i="336"/>
  <c r="L86" i="336"/>
  <c r="L9" i="336"/>
  <c r="C31" i="336"/>
  <c r="M29" i="336"/>
  <c r="I150" i="336"/>
  <c r="I7" i="336"/>
  <c r="H94" i="336"/>
  <c r="H160" i="336"/>
  <c r="H17" i="336"/>
  <c r="D166" i="336"/>
  <c r="H14" i="336"/>
  <c r="H91" i="336"/>
  <c r="I159" i="336"/>
  <c r="I16" i="336"/>
  <c r="I93" i="336"/>
  <c r="E28" i="336"/>
  <c r="E166" i="336"/>
  <c r="E105" i="336"/>
  <c r="D88" i="336"/>
  <c r="D11" i="336"/>
  <c r="N159" i="336"/>
  <c r="N155" i="336"/>
  <c r="C9" i="336"/>
  <c r="C86" i="336"/>
  <c r="K164" i="336"/>
  <c r="L165" i="336"/>
  <c r="L27" i="336"/>
  <c r="L104" i="336"/>
  <c r="K155" i="336"/>
  <c r="K89" i="336"/>
  <c r="K12" i="336"/>
  <c r="H103" i="336"/>
  <c r="M99" i="336"/>
  <c r="E160" i="336"/>
  <c r="G91" i="336"/>
  <c r="N166" i="336"/>
  <c r="BE6" i="336"/>
  <c r="L149" i="336" s="1"/>
  <c r="BE7" i="336"/>
  <c r="L150" i="336" s="1"/>
  <c r="AG6" i="336"/>
  <c r="F149" i="336" s="1"/>
  <c r="AK17" i="336"/>
  <c r="G160" i="336" s="1"/>
  <c r="U17" i="336"/>
  <c r="C160" i="336" s="1"/>
  <c r="BQ12" i="336"/>
  <c r="O89" i="336" s="1"/>
  <c r="BQ8" i="336"/>
  <c r="O85" i="336" s="1"/>
  <c r="J29" i="336"/>
  <c r="H164" i="336"/>
  <c r="BA19" i="336"/>
  <c r="K162" i="336" s="1"/>
  <c r="AG31" i="336"/>
  <c r="F169" i="336" s="1"/>
  <c r="AG17" i="336"/>
  <c r="F94" i="336" s="1"/>
  <c r="AK26" i="336"/>
  <c r="G103" i="336" s="1"/>
  <c r="Y14" i="336"/>
  <c r="D14" i="336" s="1"/>
  <c r="N160" i="336"/>
  <c r="J167" i="336"/>
  <c r="BI14" i="336"/>
  <c r="M157" i="336" s="1"/>
  <c r="AK29" i="336"/>
  <c r="G29" i="336" s="1"/>
  <c r="N17" i="336"/>
  <c r="BE31" i="336"/>
  <c r="L169" i="336" s="1"/>
  <c r="J21" i="336"/>
  <c r="BI19" i="336"/>
  <c r="M162" i="336" s="1"/>
  <c r="N105" i="336"/>
  <c r="BM19" i="336"/>
  <c r="N162" i="336" s="1"/>
  <c r="AC27" i="336"/>
  <c r="E165" i="336" s="1"/>
  <c r="Y22" i="336"/>
  <c r="AW18" i="336"/>
  <c r="J161" i="336" s="1"/>
  <c r="BE29" i="336"/>
  <c r="L167" i="336" s="1"/>
  <c r="AO9" i="336"/>
  <c r="H86" i="336" s="1"/>
  <c r="E17" i="336"/>
  <c r="AS12" i="336"/>
  <c r="I89" i="336" s="1"/>
  <c r="AC31" i="336"/>
  <c r="E169" i="336" s="1"/>
  <c r="AK23" i="336"/>
  <c r="BU8" i="336"/>
  <c r="P85" i="336" s="1"/>
  <c r="BU16" i="336"/>
  <c r="P93" i="336" s="1"/>
  <c r="AS8" i="336"/>
  <c r="I8" i="336" s="1"/>
  <c r="BE17" i="336"/>
  <c r="L160" i="336" s="1"/>
  <c r="AG28" i="336"/>
  <c r="F28" i="336" s="1"/>
  <c r="H88" i="336"/>
  <c r="H11" i="336"/>
  <c r="H96" i="336"/>
  <c r="H162" i="336"/>
  <c r="H19" i="336"/>
  <c r="O29" i="336"/>
  <c r="O106" i="336"/>
  <c r="O167" i="336"/>
  <c r="J8" i="336"/>
  <c r="J156" i="336"/>
  <c r="J90" i="336"/>
  <c r="H104" i="336"/>
  <c r="H27" i="336"/>
  <c r="H165" i="336"/>
  <c r="H90" i="336"/>
  <c r="H13" i="336"/>
  <c r="I103" i="336"/>
  <c r="I164" i="336"/>
  <c r="I26" i="336"/>
  <c r="E91" i="336"/>
  <c r="G8" i="336"/>
  <c r="I11" i="336"/>
  <c r="I88" i="336"/>
  <c r="K104" i="336"/>
  <c r="K27" i="336"/>
  <c r="K165" i="336"/>
  <c r="M27" i="336"/>
  <c r="I149" i="336"/>
  <c r="I6" i="336"/>
  <c r="I83" i="336"/>
  <c r="M9" i="336"/>
  <c r="M152" i="336"/>
  <c r="M86" i="336"/>
  <c r="H108" i="336"/>
  <c r="H169" i="336"/>
  <c r="H31" i="336"/>
  <c r="K167" i="336"/>
  <c r="K29" i="336"/>
  <c r="K106" i="336"/>
  <c r="M161" i="336"/>
  <c r="M18" i="336"/>
  <c r="M95" i="336"/>
  <c r="E88" i="336"/>
  <c r="E11" i="336"/>
  <c r="K154" i="336"/>
  <c r="K88" i="336"/>
  <c r="K11" i="336"/>
  <c r="M14" i="336"/>
  <c r="N9" i="336"/>
  <c r="I14" i="336"/>
  <c r="I91" i="336"/>
  <c r="K151" i="336"/>
  <c r="J154" i="336"/>
  <c r="J88" i="336"/>
  <c r="J11" i="336"/>
  <c r="M103" i="336"/>
  <c r="M164" i="336"/>
  <c r="M26" i="336"/>
  <c r="F103" i="336"/>
  <c r="D86" i="336"/>
  <c r="D9" i="336"/>
  <c r="D152" i="336"/>
  <c r="P24" i="336"/>
  <c r="P101" i="336"/>
  <c r="K14" i="336"/>
  <c r="K157" i="336"/>
  <c r="K91" i="336"/>
  <c r="N31" i="336"/>
  <c r="N108" i="336"/>
  <c r="N169" i="336"/>
  <c r="J149" i="336"/>
  <c r="J6" i="336"/>
  <c r="J83" i="336"/>
  <c r="J166" i="336"/>
  <c r="J105" i="336"/>
  <c r="J28" i="336"/>
  <c r="L166" i="336"/>
  <c r="L105" i="336"/>
  <c r="N96" i="336"/>
  <c r="N26" i="336"/>
  <c r="N103" i="336"/>
  <c r="N164" i="336"/>
  <c r="N23" i="336"/>
  <c r="N100" i="336"/>
  <c r="I86" i="336"/>
  <c r="I9" i="336"/>
  <c r="I152" i="336"/>
  <c r="J94" i="336"/>
  <c r="J17" i="336"/>
  <c r="J160" i="336"/>
  <c r="I167" i="336"/>
  <c r="I29" i="336"/>
  <c r="I106" i="336"/>
  <c r="J164" i="336"/>
  <c r="I166" i="336"/>
  <c r="I28" i="336"/>
  <c r="I105" i="336"/>
  <c r="F162" i="336"/>
  <c r="F96" i="336"/>
  <c r="F19" i="336"/>
  <c r="G88" i="336"/>
  <c r="D103" i="336"/>
  <c r="D26" i="336"/>
  <c r="D164" i="336"/>
  <c r="D29" i="336"/>
  <c r="D106" i="336"/>
  <c r="D167" i="336"/>
  <c r="K149" i="336"/>
  <c r="K83" i="336"/>
  <c r="K6" i="336"/>
  <c r="L11" i="336"/>
  <c r="L154" i="336"/>
  <c r="L88" i="336"/>
  <c r="M83" i="336"/>
  <c r="M149" i="336"/>
  <c r="M6" i="336"/>
  <c r="I19" i="336"/>
  <c r="I162" i="336"/>
  <c r="I96" i="336"/>
  <c r="K90" i="336"/>
  <c r="K156" i="336"/>
  <c r="K13" i="336"/>
  <c r="K21" i="336"/>
  <c r="L8" i="336"/>
  <c r="E90" i="336"/>
  <c r="I84" i="336"/>
  <c r="M150" i="336"/>
  <c r="H166" i="336"/>
  <c r="M84" i="336"/>
  <c r="G149" i="336"/>
  <c r="J89" i="336"/>
  <c r="M85" i="336"/>
  <c r="G16" i="336"/>
  <c r="G13" i="336"/>
  <c r="C152" i="336"/>
  <c r="O21" i="336"/>
  <c r="P22" i="336"/>
  <c r="H95" i="336"/>
  <c r="M28" i="336"/>
  <c r="G83" i="336"/>
  <c r="C150" i="336"/>
  <c r="G159" i="336"/>
  <c r="M105" i="336"/>
  <c r="L13" i="336"/>
  <c r="K17" i="336"/>
  <c r="C7" i="336"/>
  <c r="F84" i="336"/>
  <c r="L151" i="336"/>
  <c r="L90" i="336"/>
  <c r="J12" i="336"/>
  <c r="M8" i="336"/>
  <c r="N59" i="268"/>
  <c r="L71" i="268"/>
  <c r="E79" i="268" s="1"/>
  <c r="N53" i="268"/>
  <c r="O67" i="268"/>
  <c r="O83" i="268" s="1"/>
  <c r="N50" i="268"/>
  <c r="P33" i="268"/>
  <c r="R50" i="268"/>
  <c r="P50" i="268"/>
  <c r="O53" i="268"/>
  <c r="P70" i="268"/>
  <c r="P219" i="268" s="1"/>
  <c r="L170" i="268"/>
  <c r="Q172" i="268"/>
  <c r="F73" i="268"/>
  <c r="D74" i="268"/>
  <c r="L74" i="268"/>
  <c r="J75" i="268"/>
  <c r="K190" i="268"/>
  <c r="L172" i="268"/>
  <c r="L228" i="268" s="1"/>
  <c r="F172" i="268"/>
  <c r="M165" i="268"/>
  <c r="J169" i="268"/>
  <c r="J234" i="268" s="1"/>
  <c r="J178" i="268"/>
  <c r="E189" i="268"/>
  <c r="F189" i="268"/>
  <c r="F188" i="268"/>
  <c r="H182" i="268"/>
  <c r="J189" i="268"/>
  <c r="J228" i="268" s="1"/>
  <c r="J186" i="268"/>
  <c r="M195" i="268"/>
  <c r="E204" i="268"/>
  <c r="E207" i="268" s="1"/>
  <c r="H206" i="268"/>
  <c r="H205" i="268"/>
  <c r="K206" i="268"/>
  <c r="K205" i="268"/>
  <c r="K207" i="268" s="1"/>
  <c r="F204" i="268"/>
  <c r="F207" i="268" s="1"/>
  <c r="G171" i="268"/>
  <c r="G173" i="268" s="1"/>
  <c r="E170" i="268"/>
  <c r="J80" i="268"/>
  <c r="H84" i="268"/>
  <c r="F33" i="299" s="1"/>
  <c r="M74" i="268"/>
  <c r="N70" i="268"/>
  <c r="N219" i="268" s="1"/>
  <c r="F190" i="268"/>
  <c r="F178" i="268"/>
  <c r="G165" i="268"/>
  <c r="K172" i="268"/>
  <c r="K228" i="268" s="1"/>
  <c r="G169" i="268"/>
  <c r="G234" i="268" s="1"/>
  <c r="E190" i="268"/>
  <c r="M204" i="268"/>
  <c r="K161" i="268"/>
  <c r="K231" i="268" s="1"/>
  <c r="J165" i="268"/>
  <c r="D73" i="268"/>
  <c r="F233" i="268"/>
  <c r="F203" i="268"/>
  <c r="G161" i="268"/>
  <c r="F170" i="268"/>
  <c r="F226" i="268" s="1"/>
  <c r="N25" i="268"/>
  <c r="L165" i="268"/>
  <c r="J54" i="268"/>
  <c r="J187" i="268"/>
  <c r="J190" i="268" s="1"/>
  <c r="E199" i="268"/>
  <c r="M171" i="268"/>
  <c r="N63" i="268"/>
  <c r="N82" i="268" s="1"/>
  <c r="E231" i="268"/>
  <c r="J81" i="268"/>
  <c r="H73" i="268"/>
  <c r="L75" i="268"/>
  <c r="L78" i="268"/>
  <c r="F165" i="268"/>
  <c r="F232" i="268" s="1"/>
  <c r="J170" i="268"/>
  <c r="M84" i="268"/>
  <c r="K33" i="299" s="1"/>
  <c r="H187" i="268"/>
  <c r="H233" i="268"/>
  <c r="K203" i="268"/>
  <c r="E165" i="268"/>
  <c r="I228" i="268"/>
  <c r="H171" i="268"/>
  <c r="G231" i="268"/>
  <c r="H189" i="268"/>
  <c r="H188" i="268"/>
  <c r="J188" i="268"/>
  <c r="J205" i="268"/>
  <c r="P36" i="268"/>
  <c r="O25" i="268"/>
  <c r="E75" i="268"/>
  <c r="M75" i="268"/>
  <c r="Q52" i="268"/>
  <c r="O50" i="268"/>
  <c r="P25" i="268"/>
  <c r="P52" i="268"/>
  <c r="O46" i="268"/>
  <c r="O34" i="268"/>
  <c r="O17" i="268"/>
  <c r="E54" i="268"/>
  <c r="P35" i="268"/>
  <c r="Q63" i="268"/>
  <c r="Q82" i="268" s="1"/>
  <c r="N171" i="268"/>
  <c r="R29" i="268"/>
  <c r="N33" i="268"/>
  <c r="N16" i="268"/>
  <c r="N81" i="268" s="1"/>
  <c r="O51" i="268"/>
  <c r="I73" i="268"/>
  <c r="P18" i="268"/>
  <c r="H37" i="268"/>
  <c r="P211" i="268"/>
  <c r="N36" i="268"/>
  <c r="P59" i="268"/>
  <c r="N19" i="268"/>
  <c r="P53" i="268"/>
  <c r="L73" i="268"/>
  <c r="J74" i="268"/>
  <c r="H75" i="268"/>
  <c r="G54" i="268"/>
  <c r="Q69" i="268"/>
  <c r="Q218" i="268" s="1"/>
  <c r="Q222" i="268" s="1"/>
  <c r="N35" i="268"/>
  <c r="I207" i="268"/>
  <c r="I171" i="268"/>
  <c r="I227" i="268" s="1"/>
  <c r="J171" i="268"/>
  <c r="Q19" i="268"/>
  <c r="R46" i="268"/>
  <c r="R51" i="268"/>
  <c r="J84" i="268"/>
  <c r="H33" i="299" s="1"/>
  <c r="E73" i="268"/>
  <c r="M37" i="268"/>
  <c r="K74" i="268"/>
  <c r="I75" i="268"/>
  <c r="L80" i="268"/>
  <c r="L81" i="268"/>
  <c r="H54" i="268"/>
  <c r="I84" i="268"/>
  <c r="G33" i="299" s="1"/>
  <c r="F161" i="268"/>
  <c r="M172" i="268"/>
  <c r="I165" i="268"/>
  <c r="I232" i="268" s="1"/>
  <c r="I237" i="268" s="1"/>
  <c r="E169" i="268"/>
  <c r="E234" i="268" s="1"/>
  <c r="R36" i="268"/>
  <c r="R205" i="268"/>
  <c r="L232" i="268"/>
  <c r="P189" i="268"/>
  <c r="J231" i="268"/>
  <c r="G233" i="268"/>
  <c r="F234" i="268"/>
  <c r="M232" i="268"/>
  <c r="F171" i="268"/>
  <c r="K171" i="268"/>
  <c r="R199" i="268"/>
  <c r="AL170" i="336" s="1"/>
  <c r="P27" i="336" s="1"/>
  <c r="K84" i="268"/>
  <c r="I33" i="299" s="1"/>
  <c r="H234" i="268"/>
  <c r="E233" i="268"/>
  <c r="J182" i="268"/>
  <c r="L186" i="268"/>
  <c r="L233" i="268" s="1"/>
  <c r="G228" i="268"/>
  <c r="G227" i="268"/>
  <c r="G195" i="268"/>
  <c r="G232" i="268" s="1"/>
  <c r="G237" i="268" s="1"/>
  <c r="J199" i="268"/>
  <c r="M206" i="268"/>
  <c r="M205" i="268"/>
  <c r="M227" i="268" s="1"/>
  <c r="H204" i="268"/>
  <c r="H207" i="268" s="1"/>
  <c r="P17" i="268"/>
  <c r="K169" i="268"/>
  <c r="K234" i="268" s="1"/>
  <c r="E226" i="268"/>
  <c r="F228" i="268"/>
  <c r="Q81" i="268"/>
  <c r="E227" i="268"/>
  <c r="M161" i="268"/>
  <c r="M231" i="268" s="1"/>
  <c r="P12" i="268"/>
  <c r="K232" i="268"/>
  <c r="L173" i="268"/>
  <c r="J173" i="268"/>
  <c r="J227" i="268"/>
  <c r="H228" i="268"/>
  <c r="H190" i="268"/>
  <c r="J232" i="268"/>
  <c r="N42" i="268"/>
  <c r="O205" i="268"/>
  <c r="G204" i="268"/>
  <c r="E195" i="268"/>
  <c r="E232" i="268" s="1"/>
  <c r="E237" i="268" s="1"/>
  <c r="H170" i="268"/>
  <c r="Q67" i="268"/>
  <c r="Q83" i="268" s="1"/>
  <c r="R33" i="268"/>
  <c r="O63" i="268"/>
  <c r="O82" i="268" s="1"/>
  <c r="H165" i="268"/>
  <c r="L37" i="268"/>
  <c r="I37" i="268"/>
  <c r="H178" i="268"/>
  <c r="H231" i="268" s="1"/>
  <c r="M170" i="268"/>
  <c r="O36" i="268"/>
  <c r="O29" i="268"/>
  <c r="P180" i="268"/>
  <c r="P182" i="268" s="1"/>
  <c r="J20" i="268"/>
  <c r="L54" i="268"/>
  <c r="E37" i="268"/>
  <c r="L227" i="268"/>
  <c r="M203" i="268"/>
  <c r="M234" i="268" s="1"/>
  <c r="E172" i="268"/>
  <c r="E228" i="268" s="1"/>
  <c r="E229" i="268" s="1"/>
  <c r="Q42" i="268"/>
  <c r="P46" i="268"/>
  <c r="P80" i="268" s="1"/>
  <c r="N17" i="268"/>
  <c r="O35" i="268"/>
  <c r="J204" i="268"/>
  <c r="J207" i="268" s="1"/>
  <c r="P8" i="268"/>
  <c r="R35" i="268"/>
  <c r="E84" i="268"/>
  <c r="C33" i="299" s="1"/>
  <c r="Q33" i="268"/>
  <c r="Q80" i="268" s="1"/>
  <c r="O33" i="268"/>
  <c r="O80" i="268" s="1"/>
  <c r="O69" i="268"/>
  <c r="O218" i="268" s="1"/>
  <c r="O222" i="268" s="1"/>
  <c r="N169" i="268"/>
  <c r="M228" i="268"/>
  <c r="L187" i="268"/>
  <c r="L190" i="268" s="1"/>
  <c r="N12" i="268"/>
  <c r="I170" i="268"/>
  <c r="Q53" i="268"/>
  <c r="R63" i="268"/>
  <c r="R82" i="268" s="1"/>
  <c r="O204" i="268"/>
  <c r="K75" i="268"/>
  <c r="N206" i="268"/>
  <c r="N203" i="268"/>
  <c r="R59" i="268"/>
  <c r="D54" i="268"/>
  <c r="R25" i="268"/>
  <c r="R78" i="268" s="1"/>
  <c r="M20" i="268"/>
  <c r="R34" i="268"/>
  <c r="R70" i="268"/>
  <c r="R219" i="268" s="1"/>
  <c r="R223" i="268" s="1"/>
  <c r="O189" i="268"/>
  <c r="R52" i="268"/>
  <c r="E74" i="268"/>
  <c r="M54" i="268"/>
  <c r="D20" i="268"/>
  <c r="D37" i="268"/>
  <c r="N67" i="268"/>
  <c r="N83" i="268" s="1"/>
  <c r="P19" i="268"/>
  <c r="N186" i="268"/>
  <c r="P186" i="268"/>
  <c r="Q8" i="268"/>
  <c r="O8" i="268"/>
  <c r="O186" i="268"/>
  <c r="G37" i="268"/>
  <c r="D75" i="268"/>
  <c r="P205" i="268"/>
  <c r="Q25" i="268"/>
  <c r="R16" i="268"/>
  <c r="R81" i="268" s="1"/>
  <c r="Q17" i="268"/>
  <c r="P42" i="268"/>
  <c r="O59" i="268"/>
  <c r="I20" i="268"/>
  <c r="F20" i="268"/>
  <c r="J73" i="268"/>
  <c r="J76" i="268" s="1"/>
  <c r="P206" i="268"/>
  <c r="Q203" i="268"/>
  <c r="AK171" i="336" s="1"/>
  <c r="O166" i="336" s="1"/>
  <c r="Q18" i="268"/>
  <c r="R53" i="268"/>
  <c r="P51" i="268"/>
  <c r="O19" i="268"/>
  <c r="N46" i="268"/>
  <c r="N51" i="268"/>
  <c r="N18" i="268"/>
  <c r="O217" i="268"/>
  <c r="O221" i="268" s="1"/>
  <c r="O52" i="268"/>
  <c r="N161" i="268"/>
  <c r="N189" i="268"/>
  <c r="O195" i="268"/>
  <c r="K73" i="268"/>
  <c r="R19" i="268"/>
  <c r="N8" i="268"/>
  <c r="O70" i="268"/>
  <c r="O219" i="268" s="1"/>
  <c r="M71" i="268"/>
  <c r="F79" i="268" s="1"/>
  <c r="F84" i="268" s="1"/>
  <c r="D33" i="299" s="1"/>
  <c r="O12" i="268"/>
  <c r="O16" i="268"/>
  <c r="O81" i="268" s="1"/>
  <c r="G20" i="268"/>
  <c r="Q205" i="268"/>
  <c r="O42" i="268"/>
  <c r="N172" i="268"/>
  <c r="H20" i="268"/>
  <c r="F37" i="268"/>
  <c r="O206" i="268"/>
  <c r="N223" i="268"/>
  <c r="Q35" i="268"/>
  <c r="P16" i="268"/>
  <c r="P81" i="268" s="1"/>
  <c r="R42" i="268"/>
  <c r="F74" i="268"/>
  <c r="F54" i="268"/>
  <c r="P203" i="268"/>
  <c r="Q29" i="268"/>
  <c r="N165" i="268"/>
  <c r="M221" i="268"/>
  <c r="M220" i="268"/>
  <c r="M236" i="268" s="1"/>
  <c r="P187" i="268"/>
  <c r="P204" i="268"/>
  <c r="P195" i="268"/>
  <c r="R165" i="268"/>
  <c r="R206" i="268"/>
  <c r="R161" i="268"/>
  <c r="R170" i="268"/>
  <c r="N178" i="268"/>
  <c r="N188" i="268"/>
  <c r="O188" i="268"/>
  <c r="O178" i="268"/>
  <c r="N187" i="268"/>
  <c r="N182" i="268"/>
  <c r="N195" i="268"/>
  <c r="N204" i="268"/>
  <c r="P199" i="268"/>
  <c r="R221" i="268"/>
  <c r="R186" i="268"/>
  <c r="R171" i="268"/>
  <c r="O187" i="268"/>
  <c r="O182" i="268"/>
  <c r="O199" i="268"/>
  <c r="O203" i="268"/>
  <c r="Q204" i="268"/>
  <c r="Q195" i="268"/>
  <c r="AK169" i="336" s="1"/>
  <c r="Q223" i="268"/>
  <c r="Q161" i="268"/>
  <c r="R182" i="268"/>
  <c r="AL160" i="336" s="1"/>
  <c r="R203" i="268"/>
  <c r="AL171" i="336" s="1"/>
  <c r="N221" i="268"/>
  <c r="O212" i="268"/>
  <c r="P178" i="268"/>
  <c r="P217" i="268"/>
  <c r="R189" i="268"/>
  <c r="R188" i="268"/>
  <c r="O170" i="268"/>
  <c r="Q235" i="268"/>
  <c r="AK155" i="336"/>
  <c r="Q186" i="268"/>
  <c r="AL155" i="336"/>
  <c r="R235" i="268"/>
  <c r="L221" i="268"/>
  <c r="L220" i="268"/>
  <c r="Q212" i="268"/>
  <c r="AK154" i="336" s="1"/>
  <c r="R187" i="268"/>
  <c r="R178" i="268"/>
  <c r="AL159" i="336" s="1"/>
  <c r="Q34" i="268"/>
  <c r="P34" i="268"/>
  <c r="P29" i="268"/>
  <c r="N218" i="268"/>
  <c r="N222" i="268" s="1"/>
  <c r="Q51" i="268"/>
  <c r="O18" i="268"/>
  <c r="P158" i="268"/>
  <c r="G73" i="268"/>
  <c r="O159" i="268"/>
  <c r="O161" i="268" s="1"/>
  <c r="O163" i="268"/>
  <c r="O165" i="268" s="1"/>
  <c r="O168" i="268"/>
  <c r="O172" i="268" s="1"/>
  <c r="N197" i="268"/>
  <c r="N199" i="268" s="1"/>
  <c r="P163" i="268"/>
  <c r="P214" i="268"/>
  <c r="P216" i="268" s="1"/>
  <c r="P235" i="268" s="1"/>
  <c r="P168" i="268"/>
  <c r="P172" i="268" s="1"/>
  <c r="Q180" i="268"/>
  <c r="Q188" i="268" s="1"/>
  <c r="Q68" i="268"/>
  <c r="Q179" i="268"/>
  <c r="Q198" i="268"/>
  <c r="Q206" i="268" s="1"/>
  <c r="Q177" i="268"/>
  <c r="Q166" i="268"/>
  <c r="Q169" i="268" s="1"/>
  <c r="Q163" i="268"/>
  <c r="Q171" i="268" s="1"/>
  <c r="R12" i="268"/>
  <c r="R210" i="268"/>
  <c r="Q12" i="268"/>
  <c r="N170" i="268"/>
  <c r="Q36" i="268"/>
  <c r="H74" i="268"/>
  <c r="R69" i="268"/>
  <c r="R67" i="268"/>
  <c r="R83" i="268" s="1"/>
  <c r="R17" i="268"/>
  <c r="M73" i="268"/>
  <c r="M76" i="268" s="1"/>
  <c r="R18" i="268"/>
  <c r="R168" i="268"/>
  <c r="R169" i="268" s="1"/>
  <c r="N34" i="268"/>
  <c r="N52" i="268"/>
  <c r="R192" i="268"/>
  <c r="P69" i="268"/>
  <c r="P218" i="268" s="1"/>
  <c r="G74" i="268"/>
  <c r="N212" i="268"/>
  <c r="N29" i="268"/>
  <c r="F75" i="268"/>
  <c r="BG149" i="276"/>
  <c r="BT77" i="277"/>
  <c r="AZ149" i="276"/>
  <c r="BN19" i="277"/>
  <c r="K74" i="277"/>
  <c r="M55" i="277"/>
  <c r="N55" i="277" s="1"/>
  <c r="BE55" i="277"/>
  <c r="BM20" i="277"/>
  <c r="BM76" i="277" s="1"/>
  <c r="G51" i="276"/>
  <c r="G149" i="276" s="1"/>
  <c r="Q149" i="276"/>
  <c r="BP79" i="276"/>
  <c r="AV95" i="276"/>
  <c r="AV107" i="276" s="1"/>
  <c r="AV149" i="276" s="1"/>
  <c r="AR126" i="276"/>
  <c r="AR147" i="276" s="1"/>
  <c r="BN41" i="277"/>
  <c r="BK43" i="277"/>
  <c r="BN43" i="277" s="1"/>
  <c r="BK53" i="277"/>
  <c r="R61" i="277"/>
  <c r="BR50" i="277"/>
  <c r="BQ54" i="277"/>
  <c r="BR54" i="277" s="1"/>
  <c r="BQ51" i="277"/>
  <c r="BR51" i="277" s="1"/>
  <c r="BX34" i="277"/>
  <c r="BX35" i="277"/>
  <c r="BZ31" i="277"/>
  <c r="BZ35" i="277" s="1"/>
  <c r="BY37" i="277"/>
  <c r="BY34" i="277"/>
  <c r="BZ33" i="277"/>
  <c r="BF7" i="277"/>
  <c r="BF19" i="277" s="1"/>
  <c r="BD9" i="277"/>
  <c r="BF24" i="277"/>
  <c r="BF36" i="277" s="1"/>
  <c r="BC36" i="277"/>
  <c r="BC26" i="277"/>
  <c r="BF26" i="277" s="1"/>
  <c r="BJ33" i="277"/>
  <c r="BJ37" i="277" s="1"/>
  <c r="BH34" i="277"/>
  <c r="BJ34" i="277" s="1"/>
  <c r="R45" i="277"/>
  <c r="P53" i="277"/>
  <c r="R53" i="277" s="1"/>
  <c r="BM64" i="277"/>
  <c r="BN64" i="277" s="1"/>
  <c r="BN61" i="277"/>
  <c r="N62" i="277"/>
  <c r="L64" i="277"/>
  <c r="N64" i="277" s="1"/>
  <c r="BC64" i="277"/>
  <c r="BF64" i="277" s="1"/>
  <c r="BC70" i="277"/>
  <c r="BC72" i="277" s="1"/>
  <c r="BF62" i="277"/>
  <c r="BQ52" i="277"/>
  <c r="BQ55" i="277" s="1"/>
  <c r="BR44" i="277"/>
  <c r="BW55" i="277"/>
  <c r="BX37" i="277"/>
  <c r="BX26" i="277"/>
  <c r="BZ26" i="277" s="1"/>
  <c r="BR68" i="277"/>
  <c r="BH55" i="277"/>
  <c r="BJ52" i="277"/>
  <c r="BH74" i="277"/>
  <c r="BH32" i="276"/>
  <c r="BH51" i="276"/>
  <c r="BH149" i="276" s="1"/>
  <c r="C13" i="277"/>
  <c r="F10" i="277"/>
  <c r="M18" i="277"/>
  <c r="M13" i="277"/>
  <c r="BK19" i="277"/>
  <c r="BK75" i="277" s="1"/>
  <c r="BN15" i="277"/>
  <c r="J16" i="277"/>
  <c r="I20" i="277"/>
  <c r="I17" i="277"/>
  <c r="J17" i="277" s="1"/>
  <c r="BF41" i="277"/>
  <c r="BC53" i="277"/>
  <c r="BC43" i="277"/>
  <c r="BI47" i="277"/>
  <c r="BJ47" i="277" s="1"/>
  <c r="BI52" i="277"/>
  <c r="G47" i="277"/>
  <c r="J47" i="277" s="1"/>
  <c r="G53" i="277"/>
  <c r="J45" i="277"/>
  <c r="BN57" i="277"/>
  <c r="BM69" i="277"/>
  <c r="BM60" i="277"/>
  <c r="BP53" i="277"/>
  <c r="BP43" i="277"/>
  <c r="BR43" i="277" s="1"/>
  <c r="BX20" i="277"/>
  <c r="BX17" i="277"/>
  <c r="BZ17" i="277" s="1"/>
  <c r="BZ16" i="277"/>
  <c r="BM21" i="277"/>
  <c r="AW149" i="276"/>
  <c r="BL32" i="276"/>
  <c r="BL51" i="276" s="1"/>
  <c r="BL149" i="276" s="1"/>
  <c r="AR79" i="276"/>
  <c r="AR107" i="276" s="1"/>
  <c r="AR149" i="276" s="1"/>
  <c r="AV146" i="276"/>
  <c r="AV147" i="276" s="1"/>
  <c r="BJ20" i="277"/>
  <c r="BF13" i="277"/>
  <c r="BC21" i="277"/>
  <c r="BN12" i="277"/>
  <c r="BN20" i="277" s="1"/>
  <c r="BK20" i="277"/>
  <c r="BK76" i="277" s="1"/>
  <c r="BK13" i="277"/>
  <c r="BN13" i="277" s="1"/>
  <c r="BN21" i="277" s="1"/>
  <c r="N14" i="277"/>
  <c r="L18" i="277"/>
  <c r="L17" i="277"/>
  <c r="N17" i="277" s="1"/>
  <c r="G19" i="277"/>
  <c r="G21" i="277" s="1"/>
  <c r="J15" i="277"/>
  <c r="Q19" i="277"/>
  <c r="R15" i="277"/>
  <c r="BL36" i="277"/>
  <c r="BN32" i="277"/>
  <c r="BL34" i="277"/>
  <c r="BN34" i="277" s="1"/>
  <c r="P52" i="277"/>
  <c r="R44" i="277"/>
  <c r="P51" i="277"/>
  <c r="R51" i="277" s="1"/>
  <c r="R48" i="277"/>
  <c r="C70" i="277"/>
  <c r="J61" i="277"/>
  <c r="I64" i="277"/>
  <c r="I71" i="277"/>
  <c r="I68" i="277"/>
  <c r="J68" i="277" s="1"/>
  <c r="J67" i="277"/>
  <c r="BP30" i="277"/>
  <c r="BR30" i="277" s="1"/>
  <c r="BR28" i="277"/>
  <c r="BR32" i="277"/>
  <c r="BO34" i="277"/>
  <c r="BR34" i="277" s="1"/>
  <c r="BO36" i="277"/>
  <c r="CB107" i="276"/>
  <c r="CB147" i="276"/>
  <c r="BZ6" i="277"/>
  <c r="BZ18" i="277" s="1"/>
  <c r="BX9" i="277"/>
  <c r="BX18" i="277"/>
  <c r="BF54" i="277"/>
  <c r="BH76" i="277"/>
  <c r="BP32" i="276"/>
  <c r="BP51" i="276" s="1"/>
  <c r="BP149" i="276" s="1"/>
  <c r="AC51" i="276"/>
  <c r="AC149" i="276" s="1"/>
  <c r="BM149" i="276"/>
  <c r="BD95" i="276"/>
  <c r="BD107" i="276" s="1"/>
  <c r="BD149" i="276" s="1"/>
  <c r="BN28" i="277"/>
  <c r="BN36" i="277" s="1"/>
  <c r="BM30" i="277"/>
  <c r="BN30" i="277" s="1"/>
  <c r="BN31" i="277"/>
  <c r="BN35" i="277" s="1"/>
  <c r="BK35" i="277"/>
  <c r="R42" i="277"/>
  <c r="N46" i="277"/>
  <c r="I69" i="277"/>
  <c r="I74" i="277" s="1"/>
  <c r="J57" i="277"/>
  <c r="L70" i="277"/>
  <c r="L75" i="277" s="1"/>
  <c r="N75" i="277" s="1"/>
  <c r="N66" i="277"/>
  <c r="L68" i="277"/>
  <c r="N68" i="277" s="1"/>
  <c r="BO13" i="277"/>
  <c r="BR13" i="277" s="1"/>
  <c r="BR12" i="277"/>
  <c r="BR20" i="277" s="1"/>
  <c r="BO20" i="277"/>
  <c r="BX126" i="276"/>
  <c r="BX147" i="276" s="1"/>
  <c r="BX149" i="276" s="1"/>
  <c r="BZ60" i="277"/>
  <c r="CA149" i="276"/>
  <c r="BY64" i="277"/>
  <c r="BZ64" i="277" s="1"/>
  <c r="BY70" i="277"/>
  <c r="BY72" i="277" s="1"/>
  <c r="BZ67" i="277"/>
  <c r="BZ68" i="277" s="1"/>
  <c r="BX68" i="277"/>
  <c r="BW13" i="277"/>
  <c r="BZ12" i="277"/>
  <c r="BZ20" i="277" s="1"/>
  <c r="BW20" i="277"/>
  <c r="BW76" i="277" s="1"/>
  <c r="BW71" i="277"/>
  <c r="BW60" i="277"/>
  <c r="BX54" i="277"/>
  <c r="BZ54" i="277" s="1"/>
  <c r="BZ42" i="277"/>
  <c r="BX43" i="277"/>
  <c r="BZ43" i="277" s="1"/>
  <c r="BZ45" i="277"/>
  <c r="BX53" i="277"/>
  <c r="BX47" i="277"/>
  <c r="BZ47" i="277" s="1"/>
  <c r="BD19" i="277"/>
  <c r="BD75" i="277" s="1"/>
  <c r="BD77" i="277" s="1"/>
  <c r="Q13" i="277"/>
  <c r="R12" i="277"/>
  <c r="BN47" i="277"/>
  <c r="O71" i="277"/>
  <c r="R59" i="277"/>
  <c r="F66" i="277"/>
  <c r="C68" i="277"/>
  <c r="F68" i="277" s="1"/>
  <c r="BO18" i="277"/>
  <c r="BO74" i="277" s="1"/>
  <c r="BR6" i="277"/>
  <c r="BR18" i="277" s="1"/>
  <c r="BO9" i="277"/>
  <c r="BU52" i="277"/>
  <c r="BU47" i="277"/>
  <c r="BV47" i="277" s="1"/>
  <c r="BY75" i="277"/>
  <c r="BW72" i="277"/>
  <c r="BW74" i="277"/>
  <c r="CB51" i="276"/>
  <c r="CB149" i="276" s="1"/>
  <c r="K72" i="277"/>
  <c r="M75" i="277"/>
  <c r="R149" i="276"/>
  <c r="AN107" i="276"/>
  <c r="AN149" i="276" s="1"/>
  <c r="BP107" i="276"/>
  <c r="E147" i="276"/>
  <c r="E149" i="276" s="1"/>
  <c r="E19" i="277"/>
  <c r="E13" i="277"/>
  <c r="P19" i="277"/>
  <c r="P13" i="277"/>
  <c r="R13" i="277" s="1"/>
  <c r="BG43" i="277"/>
  <c r="BJ43" i="277" s="1"/>
  <c r="BG54" i="277"/>
  <c r="BF42" i="277"/>
  <c r="BD43" i="277"/>
  <c r="BE70" i="277"/>
  <c r="BF58" i="277"/>
  <c r="BE60" i="277"/>
  <c r="H64" i="277"/>
  <c r="J64" i="277" s="1"/>
  <c r="H71" i="277"/>
  <c r="J63" i="277"/>
  <c r="BO68" i="277"/>
  <c r="BO71" i="277"/>
  <c r="BO72" i="277" s="1"/>
  <c r="BR67" i="277"/>
  <c r="BR71" i="277" s="1"/>
  <c r="BR14" i="277"/>
  <c r="BQ18" i="277"/>
  <c r="BQ74" i="277" s="1"/>
  <c r="BZ25" i="277"/>
  <c r="BZ37" i="277" s="1"/>
  <c r="BZ48" i="277"/>
  <c r="BY51" i="277"/>
  <c r="BZ51" i="277" s="1"/>
  <c r="BY52" i="277"/>
  <c r="N13" i="277"/>
  <c r="BL76" i="277"/>
  <c r="BJ19" i="277"/>
  <c r="I149" i="276"/>
  <c r="AA149" i="276"/>
  <c r="AH149" i="276"/>
  <c r="AB126" i="276"/>
  <c r="AB147" i="276" s="1"/>
  <c r="AB149" i="276" s="1"/>
  <c r="BO147" i="276"/>
  <c r="BO149" i="276" s="1"/>
  <c r="X141" i="276"/>
  <c r="X147" i="276" s="1"/>
  <c r="X149" i="276" s="1"/>
  <c r="D54" i="277"/>
  <c r="F54" i="277" s="1"/>
  <c r="D47" i="277"/>
  <c r="F47" i="277" s="1"/>
  <c r="F46" i="277"/>
  <c r="BJ48" i="277"/>
  <c r="BI51" i="277"/>
  <c r="BJ51" i="277" s="1"/>
  <c r="H53" i="277"/>
  <c r="J49" i="277"/>
  <c r="BN49" i="277"/>
  <c r="BL51" i="277"/>
  <c r="BN51" i="277" s="1"/>
  <c r="BL53" i="277"/>
  <c r="BL55" i="277" s="1"/>
  <c r="K51" i="277"/>
  <c r="N51" i="277" s="1"/>
  <c r="N50" i="277"/>
  <c r="BT107" i="276"/>
  <c r="BT149" i="276" s="1"/>
  <c r="BQ64" i="277"/>
  <c r="BR64" i="277" s="1"/>
  <c r="BR72" i="277" s="1"/>
  <c r="BR62" i="277"/>
  <c r="BR70" i="277" s="1"/>
  <c r="BQ70" i="277"/>
  <c r="N28" i="312"/>
  <c r="N29" i="312" s="1"/>
  <c r="O69" i="309"/>
  <c r="H13" i="312"/>
  <c r="H14" i="312" s="1"/>
  <c r="I66" i="309"/>
  <c r="E11" i="312"/>
  <c r="F66" i="309"/>
  <c r="L66" i="309"/>
  <c r="I28" i="312"/>
  <c r="I29" i="312" s="1"/>
  <c r="F53" i="309"/>
  <c r="E32" i="312" s="1"/>
  <c r="C11" i="312"/>
  <c r="C14" i="312" s="1"/>
  <c r="O34" i="309"/>
  <c r="N17" i="312" s="1"/>
  <c r="O53" i="309"/>
  <c r="N32" i="312" s="1"/>
  <c r="D38" i="312"/>
  <c r="M38" i="312"/>
  <c r="M66" i="309"/>
  <c r="C38" i="312"/>
  <c r="K28" i="312"/>
  <c r="K29" i="312" s="1"/>
  <c r="F34" i="309"/>
  <c r="E17" i="312" s="1"/>
  <c r="N36" i="312"/>
  <c r="G20" i="309"/>
  <c r="E20" i="309"/>
  <c r="E70" i="309" s="1"/>
  <c r="L34" i="309"/>
  <c r="L53" i="309"/>
  <c r="K32" i="312" s="1"/>
  <c r="O26" i="309"/>
  <c r="F12" i="309"/>
  <c r="E6" i="312" s="1"/>
  <c r="E9" i="312" s="1"/>
  <c r="I26" i="309"/>
  <c r="I12" i="309"/>
  <c r="I39" i="312"/>
  <c r="E41" i="312"/>
  <c r="K41" i="312"/>
  <c r="H41" i="312"/>
  <c r="J41" i="312"/>
  <c r="J14" i="312"/>
  <c r="L14" i="312"/>
  <c r="M13" i="312"/>
  <c r="O66" i="309"/>
  <c r="E14" i="312"/>
  <c r="K14" i="312"/>
  <c r="I14" i="312"/>
  <c r="F14" i="312"/>
  <c r="D14" i="312"/>
  <c r="I59" i="309"/>
  <c r="H32" i="312"/>
  <c r="H34" i="312"/>
  <c r="F39" i="309"/>
  <c r="E18" i="312" s="1"/>
  <c r="E19" i="312" s="1"/>
  <c r="F34" i="312"/>
  <c r="I38" i="312"/>
  <c r="J38" i="312"/>
  <c r="O59" i="309"/>
  <c r="F38" i="312"/>
  <c r="N59" i="309"/>
  <c r="G66" i="309"/>
  <c r="F45" i="309"/>
  <c r="E31" i="312" s="1"/>
  <c r="E34" i="312" s="1"/>
  <c r="G38" i="312"/>
  <c r="L59" i="309"/>
  <c r="N11" i="312"/>
  <c r="N14" i="312" s="1"/>
  <c r="L39" i="309"/>
  <c r="K18" i="312" s="1"/>
  <c r="L38" i="312"/>
  <c r="J59" i="309"/>
  <c r="H39" i="312"/>
  <c r="K33" i="312"/>
  <c r="K34" i="312" s="1"/>
  <c r="I34" i="312"/>
  <c r="J34" i="312"/>
  <c r="M33" i="312"/>
  <c r="M34" i="312" s="1"/>
  <c r="K59" i="309"/>
  <c r="C34" i="312"/>
  <c r="G34" i="312"/>
  <c r="L34" i="312"/>
  <c r="M59" i="309"/>
  <c r="M70" i="309" s="1"/>
  <c r="D34" i="312"/>
  <c r="N31" i="312"/>
  <c r="N38" i="312"/>
  <c r="E38" i="312"/>
  <c r="C19" i="312"/>
  <c r="I19" i="312"/>
  <c r="G37" i="312"/>
  <c r="D40" i="309"/>
  <c r="D70" i="309" s="1"/>
  <c r="N40" i="309"/>
  <c r="N70" i="309" s="1"/>
  <c r="K17" i="312"/>
  <c r="D37" i="312"/>
  <c r="D19" i="312"/>
  <c r="L37" i="312"/>
  <c r="L19" i="312"/>
  <c r="J19" i="312"/>
  <c r="G19" i="312"/>
  <c r="M19" i="312"/>
  <c r="F37" i="312"/>
  <c r="G40" i="309"/>
  <c r="F19" i="312"/>
  <c r="I37" i="312"/>
  <c r="I40" i="309"/>
  <c r="H16" i="312"/>
  <c r="H19" i="312" s="1"/>
  <c r="N16" i="312"/>
  <c r="N19" i="312" s="1"/>
  <c r="O40" i="309"/>
  <c r="H40" i="309"/>
  <c r="J36" i="312"/>
  <c r="K40" i="309"/>
  <c r="K70" i="309" s="1"/>
  <c r="J70" i="309"/>
  <c r="H6" i="312"/>
  <c r="H9" i="312" s="1"/>
  <c r="I20" i="309"/>
  <c r="L39" i="312"/>
  <c r="N8" i="312"/>
  <c r="L9" i="312"/>
  <c r="C37" i="312"/>
  <c r="C9" i="312"/>
  <c r="D9" i="312"/>
  <c r="D36" i="312"/>
  <c r="E36" i="312" s="1"/>
  <c r="F36" i="312"/>
  <c r="F9" i="312"/>
  <c r="N9" i="312"/>
  <c r="G9" i="312"/>
  <c r="G36" i="312"/>
  <c r="M9" i="312"/>
  <c r="I9" i="312"/>
  <c r="I36" i="312"/>
  <c r="K36" i="312" s="1"/>
  <c r="K7" i="312"/>
  <c r="L20" i="309"/>
  <c r="J39" i="312"/>
  <c r="K39" i="312" s="1"/>
  <c r="K8" i="312"/>
  <c r="J9" i="312"/>
  <c r="J42" i="312" s="1"/>
  <c r="O20" i="309"/>
  <c r="J7" i="312"/>
  <c r="J37" i="312" s="1"/>
  <c r="H20" i="309"/>
  <c r="M37" i="312"/>
  <c r="J25" i="270"/>
  <c r="J105" i="270" s="1"/>
  <c r="Q25" i="270"/>
  <c r="Q105" i="270" s="1"/>
  <c r="AB34" i="271"/>
  <c r="AC25" i="270"/>
  <c r="AH25" i="270"/>
  <c r="M25" i="270"/>
  <c r="K25" i="270"/>
  <c r="AH34" i="271"/>
  <c r="D25" i="270"/>
  <c r="D105" i="270" s="1"/>
  <c r="V105" i="270"/>
  <c r="AD19" i="271"/>
  <c r="AA19" i="271"/>
  <c r="AI19" i="271"/>
  <c r="AH19" i="271"/>
  <c r="D56" i="270"/>
  <c r="L56" i="270"/>
  <c r="L105" i="270" s="1"/>
  <c r="T56" i="270"/>
  <c r="AC56" i="270"/>
  <c r="Q56" i="270"/>
  <c r="Y56" i="270"/>
  <c r="G78" i="270"/>
  <c r="O78" i="270"/>
  <c r="W78" i="270"/>
  <c r="AD29" i="271"/>
  <c r="AC32" i="271"/>
  <c r="S78" i="270"/>
  <c r="AA78" i="270"/>
  <c r="AF29" i="271"/>
  <c r="AB78" i="270"/>
  <c r="AG29" i="271"/>
  <c r="AJ29" i="271"/>
  <c r="AI29" i="271"/>
  <c r="AD14" i="271"/>
  <c r="Z93" i="270"/>
  <c r="M93" i="270"/>
  <c r="U93" i="270"/>
  <c r="U105" i="270" s="1"/>
  <c r="N93" i="270"/>
  <c r="AC14" i="271"/>
  <c r="AE14" i="271"/>
  <c r="AI93" i="270"/>
  <c r="AB14" i="271"/>
  <c r="AF14" i="271"/>
  <c r="AJ14" i="271"/>
  <c r="AA14" i="271"/>
  <c r="AA35" i="271"/>
  <c r="AG35" i="271"/>
  <c r="AG14" i="271"/>
  <c r="AE93" i="270"/>
  <c r="AE105" i="270" s="1"/>
  <c r="W105" i="270"/>
  <c r="AH12" i="271"/>
  <c r="AH35" i="271" s="1"/>
  <c r="N105" i="270"/>
  <c r="AI12" i="271"/>
  <c r="AI35" i="271" s="1"/>
  <c r="AC93" i="270"/>
  <c r="AH93" i="270"/>
  <c r="S105" i="270"/>
  <c r="Z105" i="270"/>
  <c r="AB93" i="270"/>
  <c r="AB105" i="270" s="1"/>
  <c r="AH29" i="271"/>
  <c r="AE29" i="271"/>
  <c r="AB29" i="271"/>
  <c r="AI33" i="271"/>
  <c r="AA34" i="271"/>
  <c r="AA27" i="271"/>
  <c r="AA29" i="271" s="1"/>
  <c r="R105" i="270"/>
  <c r="M105" i="270"/>
  <c r="AD105" i="270"/>
  <c r="AH33" i="271"/>
  <c r="AE34" i="271"/>
  <c r="AE33" i="271"/>
  <c r="AJ34" i="271"/>
  <c r="I105" i="270"/>
  <c r="AD34" i="271"/>
  <c r="AF34" i="271"/>
  <c r="AF33" i="271"/>
  <c r="G105" i="270"/>
  <c r="AG33" i="271"/>
  <c r="AI34" i="271"/>
  <c r="AA33" i="271"/>
  <c r="AI78" i="270"/>
  <c r="AG78" i="270"/>
  <c r="AG105" i="270" s="1"/>
  <c r="AC78" i="270"/>
  <c r="AC105" i="270" s="1"/>
  <c r="AC27" i="271"/>
  <c r="AC29" i="271" s="1"/>
  <c r="AB33" i="271"/>
  <c r="AI105" i="270"/>
  <c r="AJ33" i="271"/>
  <c r="AE32" i="271"/>
  <c r="AE19" i="271"/>
  <c r="AJ19" i="271"/>
  <c r="AC19" i="271"/>
  <c r="AC31" i="271"/>
  <c r="AG19" i="271"/>
  <c r="K105" i="270"/>
  <c r="AA105" i="270"/>
  <c r="AJ32" i="271"/>
  <c r="F105" i="270"/>
  <c r="O105" i="270"/>
  <c r="H105" i="270"/>
  <c r="P105" i="270"/>
  <c r="X105" i="270"/>
  <c r="AF32" i="271"/>
  <c r="AG31" i="271"/>
  <c r="AI32" i="271"/>
  <c r="T105" i="270"/>
  <c r="AH56" i="270"/>
  <c r="AH105" i="270" s="1"/>
  <c r="AB32" i="271"/>
  <c r="Y105" i="270"/>
  <c r="AF56" i="270"/>
  <c r="AF105" i="270" s="1"/>
  <c r="AD32" i="271"/>
  <c r="AF31" i="271"/>
  <c r="AD9" i="271"/>
  <c r="AD31" i="271"/>
  <c r="AA32" i="271"/>
  <c r="AA9" i="271"/>
  <c r="AJ31" i="271"/>
  <c r="AJ9" i="271"/>
  <c r="AH31" i="271"/>
  <c r="AI31" i="271"/>
  <c r="AI9" i="271"/>
  <c r="AB31" i="271"/>
  <c r="AB9" i="271"/>
  <c r="AE9" i="271"/>
  <c r="AE31" i="271"/>
  <c r="AE37" i="271" s="1"/>
  <c r="AG32" i="271"/>
  <c r="AG9" i="271"/>
  <c r="AJ25" i="270"/>
  <c r="AJ105" i="270" s="1"/>
  <c r="AC8" i="271"/>
  <c r="AC34" i="271" s="1"/>
  <c r="AH7" i="271"/>
  <c r="AH32" i="271" s="1"/>
  <c r="AF9" i="271"/>
  <c r="N27" i="313"/>
  <c r="M88" i="310"/>
  <c r="N31" i="313"/>
  <c r="N18" i="313"/>
  <c r="N19" i="313" s="1"/>
  <c r="N88" i="310"/>
  <c r="P64" i="310"/>
  <c r="N7" i="313"/>
  <c r="G88" i="310"/>
  <c r="O88" i="310"/>
  <c r="N13" i="313"/>
  <c r="N14" i="313" s="1"/>
  <c r="L14" i="313"/>
  <c r="N29" i="313"/>
  <c r="N6" i="313"/>
  <c r="M32" i="313"/>
  <c r="N28" i="313"/>
  <c r="N22" i="313"/>
  <c r="N24" i="313" s="1"/>
  <c r="N26" i="313"/>
  <c r="L30" i="313"/>
  <c r="N30" i="313" s="1"/>
  <c r="J88" i="310"/>
  <c r="P88" i="310"/>
  <c r="R29" i="344" l="1"/>
  <c r="AA29" i="344"/>
  <c r="BS38" i="123"/>
  <c r="E108" i="336"/>
  <c r="H16" i="336"/>
  <c r="P21" i="336"/>
  <c r="E164" i="336"/>
  <c r="C29" i="336"/>
  <c r="K85" i="336"/>
  <c r="K99" i="336"/>
  <c r="N11" i="336"/>
  <c r="J24" i="336"/>
  <c r="L19" i="336"/>
  <c r="J91" i="336"/>
  <c r="L22" i="336"/>
  <c r="N16" i="336"/>
  <c r="E26" i="336"/>
  <c r="K103" i="336"/>
  <c r="P23" i="336"/>
  <c r="M13" i="336"/>
  <c r="C106" i="336"/>
  <c r="C103" i="336"/>
  <c r="J85" i="336"/>
  <c r="K23" i="336"/>
  <c r="K95" i="336"/>
  <c r="M90" i="336"/>
  <c r="N152" i="336"/>
  <c r="C164" i="336"/>
  <c r="J103" i="336"/>
  <c r="F26" i="336"/>
  <c r="N12" i="336"/>
  <c r="M106" i="336"/>
  <c r="M101" i="336"/>
  <c r="F159" i="336"/>
  <c r="F6" i="336"/>
  <c r="K160" i="336"/>
  <c r="D105" i="336"/>
  <c r="C8" i="336"/>
  <c r="G151" i="336"/>
  <c r="F13" i="336"/>
  <c r="K161" i="336"/>
  <c r="L100" i="336"/>
  <c r="L94" i="336"/>
  <c r="M160" i="336"/>
  <c r="M165" i="336"/>
  <c r="C19" i="336"/>
  <c r="F16" i="336"/>
  <c r="E29" i="336"/>
  <c r="J152" i="336"/>
  <c r="I12" i="336"/>
  <c r="C96" i="336"/>
  <c r="I18" i="336"/>
  <c r="J9" i="336"/>
  <c r="I108" i="336"/>
  <c r="O22" i="336"/>
  <c r="I161" i="336"/>
  <c r="D96" i="336"/>
  <c r="C85" i="336"/>
  <c r="L84" i="336"/>
  <c r="K19" i="336"/>
  <c r="G162" i="336"/>
  <c r="G108" i="336"/>
  <c r="F88" i="336"/>
  <c r="L7" i="336"/>
  <c r="I31" i="336"/>
  <c r="K96" i="336"/>
  <c r="K9" i="336"/>
  <c r="N19" i="336"/>
  <c r="G167" i="336"/>
  <c r="F31" i="336"/>
  <c r="D159" i="336"/>
  <c r="G19" i="336"/>
  <c r="C169" i="336"/>
  <c r="L17" i="336"/>
  <c r="H152" i="336"/>
  <c r="D13" i="336"/>
  <c r="G7" i="336"/>
  <c r="L91" i="336"/>
  <c r="G84" i="336"/>
  <c r="G165" i="336"/>
  <c r="L157" i="336"/>
  <c r="M159" i="336"/>
  <c r="L98" i="336"/>
  <c r="J159" i="336"/>
  <c r="D162" i="336"/>
  <c r="J16" i="336"/>
  <c r="H9" i="336"/>
  <c r="M19" i="336"/>
  <c r="F89" i="336"/>
  <c r="D91" i="336"/>
  <c r="J108" i="336"/>
  <c r="F165" i="336"/>
  <c r="C95" i="336"/>
  <c r="J31" i="336"/>
  <c r="G104" i="336"/>
  <c r="J18" i="336"/>
  <c r="E9" i="336"/>
  <c r="E167" i="336"/>
  <c r="G94" i="336"/>
  <c r="G166" i="336"/>
  <c r="J95" i="336"/>
  <c r="D95" i="336"/>
  <c r="M94" i="336"/>
  <c r="G164" i="336"/>
  <c r="E162" i="336"/>
  <c r="M169" i="336"/>
  <c r="G89" i="336"/>
  <c r="D93" i="336"/>
  <c r="E159" i="336"/>
  <c r="G95" i="336"/>
  <c r="D151" i="336"/>
  <c r="O24" i="336"/>
  <c r="P165" i="336"/>
  <c r="E19" i="336"/>
  <c r="G17" i="336"/>
  <c r="D161" i="336"/>
  <c r="L83" i="336"/>
  <c r="F108" i="336"/>
  <c r="F83" i="336"/>
  <c r="E16" i="336"/>
  <c r="G161" i="336"/>
  <c r="G169" i="336"/>
  <c r="C161" i="336"/>
  <c r="G28" i="336"/>
  <c r="E27" i="336"/>
  <c r="M31" i="336"/>
  <c r="E152" i="336"/>
  <c r="F27" i="336"/>
  <c r="F85" i="336"/>
  <c r="C17" i="336"/>
  <c r="G26" i="336"/>
  <c r="M21" i="336"/>
  <c r="M88" i="336"/>
  <c r="F151" i="336"/>
  <c r="F7" i="336"/>
  <c r="C94" i="336"/>
  <c r="M93" i="336"/>
  <c r="M91" i="336"/>
  <c r="F17" i="336"/>
  <c r="M154" i="336"/>
  <c r="I85" i="336"/>
  <c r="L106" i="336"/>
  <c r="E104" i="336"/>
  <c r="I151" i="336"/>
  <c r="L29" i="336"/>
  <c r="L31" i="336"/>
  <c r="E31" i="336"/>
  <c r="L108" i="336"/>
  <c r="L6" i="336"/>
  <c r="M96" i="336"/>
  <c r="G106" i="336"/>
  <c r="F160" i="336"/>
  <c r="F105" i="336"/>
  <c r="F166" i="336"/>
  <c r="L79" i="268"/>
  <c r="Q75" i="268"/>
  <c r="E76" i="268"/>
  <c r="P223" i="268"/>
  <c r="P228" i="268" s="1"/>
  <c r="I76" i="268"/>
  <c r="Q54" i="268"/>
  <c r="H232" i="268"/>
  <c r="F173" i="268"/>
  <c r="H227" i="268"/>
  <c r="M207" i="268"/>
  <c r="N80" i="268"/>
  <c r="D76" i="268"/>
  <c r="P20" i="268"/>
  <c r="M173" i="268"/>
  <c r="J233" i="268"/>
  <c r="J237" i="268" s="1"/>
  <c r="L237" i="268"/>
  <c r="N71" i="268"/>
  <c r="L84" i="268"/>
  <c r="J33" i="299" s="1"/>
  <c r="P37" i="268"/>
  <c r="O78" i="268"/>
  <c r="L76" i="268"/>
  <c r="N233" i="268"/>
  <c r="H237" i="268"/>
  <c r="P79" i="268"/>
  <c r="Q79" i="268"/>
  <c r="N78" i="268"/>
  <c r="O73" i="268"/>
  <c r="M237" i="268"/>
  <c r="P78" i="268"/>
  <c r="F231" i="268"/>
  <c r="F237" i="268" s="1"/>
  <c r="K237" i="268"/>
  <c r="F227" i="268"/>
  <c r="N75" i="268"/>
  <c r="P54" i="268"/>
  <c r="R37" i="268"/>
  <c r="O207" i="268"/>
  <c r="O54" i="268"/>
  <c r="Q78" i="268"/>
  <c r="O37" i="268"/>
  <c r="O231" i="268"/>
  <c r="O28" i="336"/>
  <c r="P212" i="268"/>
  <c r="R80" i="268"/>
  <c r="H76" i="268"/>
  <c r="P75" i="268"/>
  <c r="Q20" i="268"/>
  <c r="N20" i="268"/>
  <c r="F229" i="268"/>
  <c r="K173" i="268"/>
  <c r="K227" i="268"/>
  <c r="K229" i="268" s="1"/>
  <c r="K76" i="268"/>
  <c r="R54" i="268"/>
  <c r="O220" i="268"/>
  <c r="O236" i="268" s="1"/>
  <c r="N234" i="268"/>
  <c r="Q74" i="268"/>
  <c r="N220" i="268"/>
  <c r="N236" i="268" s="1"/>
  <c r="E173" i="268"/>
  <c r="R75" i="268"/>
  <c r="O233" i="268"/>
  <c r="H173" i="268"/>
  <c r="H226" i="268"/>
  <c r="H229" i="268" s="1"/>
  <c r="N79" i="268"/>
  <c r="P207" i="268"/>
  <c r="I173" i="268"/>
  <c r="I226" i="268"/>
  <c r="I229" i="268" s="1"/>
  <c r="O74" i="268"/>
  <c r="P188" i="268"/>
  <c r="P190" i="268" s="1"/>
  <c r="N228" i="268"/>
  <c r="P233" i="268"/>
  <c r="G207" i="268"/>
  <c r="G226" i="268"/>
  <c r="G229" i="268" s="1"/>
  <c r="J226" i="268"/>
  <c r="J229" i="268" s="1"/>
  <c r="F76" i="268"/>
  <c r="O232" i="268"/>
  <c r="R74" i="268"/>
  <c r="O223" i="268"/>
  <c r="O228" i="268" s="1"/>
  <c r="N205" i="268"/>
  <c r="N227" i="268" s="1"/>
  <c r="R79" i="268"/>
  <c r="Q170" i="268"/>
  <c r="Q173" i="268" s="1"/>
  <c r="AK152" i="336" s="1"/>
  <c r="N190" i="268"/>
  <c r="P74" i="268"/>
  <c r="N231" i="268"/>
  <c r="O79" i="268"/>
  <c r="O71" i="268"/>
  <c r="R190" i="268"/>
  <c r="O75" i="268"/>
  <c r="Q227" i="268"/>
  <c r="N224" i="268"/>
  <c r="R234" i="268"/>
  <c r="AL151" i="336"/>
  <c r="R73" i="268"/>
  <c r="R20" i="268"/>
  <c r="P161" i="268"/>
  <c r="P231" i="268" s="1"/>
  <c r="P170" i="268"/>
  <c r="Q199" i="268"/>
  <c r="AK170" i="336" s="1"/>
  <c r="AL150" i="336"/>
  <c r="P221" i="268"/>
  <c r="P220" i="268"/>
  <c r="P236" i="268" s="1"/>
  <c r="AK149" i="336"/>
  <c r="O190" i="268"/>
  <c r="P222" i="268"/>
  <c r="AL149" i="336"/>
  <c r="R231" i="268"/>
  <c r="Q165" i="268"/>
  <c r="N232" i="268"/>
  <c r="R204" i="268"/>
  <c r="R207" i="268" s="1"/>
  <c r="R195" i="268"/>
  <c r="AL169" i="336" s="1"/>
  <c r="R71" i="268"/>
  <c r="R218" i="268"/>
  <c r="R220" i="268" s="1"/>
  <c r="AK151" i="336"/>
  <c r="Q234" i="268"/>
  <c r="P165" i="268"/>
  <c r="P171" i="268"/>
  <c r="R172" i="268"/>
  <c r="R228" i="268" s="1"/>
  <c r="P71" i="268"/>
  <c r="O20" i="268"/>
  <c r="N54" i="268"/>
  <c r="N74" i="268"/>
  <c r="Q178" i="268"/>
  <c r="AK159" i="336" s="1"/>
  <c r="Q189" i="268"/>
  <c r="Q228" i="268" s="1"/>
  <c r="P169" i="268"/>
  <c r="P234" i="268" s="1"/>
  <c r="P73" i="268"/>
  <c r="O26" i="336"/>
  <c r="O164" i="336"/>
  <c r="O11" i="336"/>
  <c r="O154" i="336"/>
  <c r="O226" i="268"/>
  <c r="Q207" i="268"/>
  <c r="R233" i="268"/>
  <c r="AL161" i="336"/>
  <c r="AL162" i="336" s="1"/>
  <c r="N37" i="268"/>
  <c r="N73" i="268"/>
  <c r="P12" i="336"/>
  <c r="P155" i="336"/>
  <c r="N173" i="268"/>
  <c r="N226" i="268"/>
  <c r="Q187" i="268"/>
  <c r="Q182" i="268"/>
  <c r="AK160" i="336" s="1"/>
  <c r="P166" i="336"/>
  <c r="P28" i="336"/>
  <c r="Q71" i="268"/>
  <c r="Q217" i="268"/>
  <c r="O171" i="268"/>
  <c r="O227" i="268" s="1"/>
  <c r="Q37" i="268"/>
  <c r="Q73" i="268"/>
  <c r="L226" i="268"/>
  <c r="L229" i="268" s="1"/>
  <c r="L224" i="268"/>
  <c r="AK161" i="336"/>
  <c r="R212" i="268"/>
  <c r="AL154" i="336" s="1"/>
  <c r="G76" i="268"/>
  <c r="P16" i="336"/>
  <c r="P159" i="336"/>
  <c r="O12" i="336"/>
  <c r="O155" i="336"/>
  <c r="O169" i="268"/>
  <c r="O234" i="268" s="1"/>
  <c r="P160" i="336"/>
  <c r="P17" i="336"/>
  <c r="M224" i="268"/>
  <c r="M226" i="268"/>
  <c r="M229" i="268" s="1"/>
  <c r="J74" i="277"/>
  <c r="I77" i="277"/>
  <c r="BJ54" i="277"/>
  <c r="BG55" i="277"/>
  <c r="BG76" i="277"/>
  <c r="BW21" i="277"/>
  <c r="BZ13" i="277"/>
  <c r="BM74" i="277"/>
  <c r="BM77" i="277" s="1"/>
  <c r="BM72" i="277"/>
  <c r="BC55" i="277"/>
  <c r="BF53" i="277"/>
  <c r="BF55" i="277" s="1"/>
  <c r="M21" i="277"/>
  <c r="M74" i="277"/>
  <c r="M77" i="277" s="1"/>
  <c r="D55" i="277"/>
  <c r="F55" i="277" s="1"/>
  <c r="H72" i="277"/>
  <c r="H76" i="277"/>
  <c r="J71" i="277"/>
  <c r="BU55" i="277"/>
  <c r="BU74" i="277"/>
  <c r="BV52" i="277"/>
  <c r="BV55" i="277" s="1"/>
  <c r="BO76" i="277"/>
  <c r="BR76" i="277" s="1"/>
  <c r="N18" i="277"/>
  <c r="L21" i="277"/>
  <c r="L74" i="277"/>
  <c r="L77" i="277" s="1"/>
  <c r="BN69" i="277"/>
  <c r="BN60" i="277"/>
  <c r="BN72" i="277" s="1"/>
  <c r="BR9" i="277"/>
  <c r="BR21" i="277" s="1"/>
  <c r="BO21" i="277"/>
  <c r="BO38" i="277"/>
  <c r="BR38" i="277" s="1"/>
  <c r="BO75" i="277"/>
  <c r="BO77" i="277" s="1"/>
  <c r="F13" i="277"/>
  <c r="BY76" i="277"/>
  <c r="BY38" i="277"/>
  <c r="BK55" i="277"/>
  <c r="BN53" i="277"/>
  <c r="BN55" i="277" s="1"/>
  <c r="BQ76" i="277"/>
  <c r="P21" i="277"/>
  <c r="R21" i="277" s="1"/>
  <c r="R19" i="277"/>
  <c r="P75" i="277"/>
  <c r="BL75" i="277"/>
  <c r="BL77" i="277" s="1"/>
  <c r="BL38" i="277"/>
  <c r="BX76" i="277"/>
  <c r="G55" i="277"/>
  <c r="J53" i="277"/>
  <c r="I21" i="277"/>
  <c r="J21" i="277" s="1"/>
  <c r="J20" i="277"/>
  <c r="I76" i="277"/>
  <c r="BC38" i="277"/>
  <c r="BF38" i="277" s="1"/>
  <c r="BC75" i="277"/>
  <c r="BR52" i="277"/>
  <c r="BQ72" i="277"/>
  <c r="BQ75" i="277"/>
  <c r="BQ77" i="277" s="1"/>
  <c r="BR74" i="277"/>
  <c r="BK74" i="277"/>
  <c r="BK38" i="277"/>
  <c r="BN38" i="277" s="1"/>
  <c r="BF70" i="277"/>
  <c r="BF60" i="277"/>
  <c r="BF72" i="277" s="1"/>
  <c r="F70" i="277"/>
  <c r="C72" i="277"/>
  <c r="F72" i="277" s="1"/>
  <c r="BN76" i="277"/>
  <c r="BX38" i="277"/>
  <c r="BZ38" i="277" s="1"/>
  <c r="BE72" i="277"/>
  <c r="BE75" i="277"/>
  <c r="BE77" i="277" s="1"/>
  <c r="F19" i="277"/>
  <c r="E21" i="277"/>
  <c r="F21" i="277" s="1"/>
  <c r="E75" i="277"/>
  <c r="E77" i="277" s="1"/>
  <c r="BW77" i="277"/>
  <c r="BX74" i="277"/>
  <c r="BR36" i="277"/>
  <c r="Q75" i="277"/>
  <c r="Q77" i="277" s="1"/>
  <c r="Q21" i="277"/>
  <c r="BI74" i="277"/>
  <c r="BI77" i="277" s="1"/>
  <c r="BI55" i="277"/>
  <c r="BH77" i="277"/>
  <c r="BD21" i="277"/>
  <c r="BF9" i="277"/>
  <c r="BF21" i="277" s="1"/>
  <c r="BZ34" i="277"/>
  <c r="C75" i="277"/>
  <c r="H75" i="277"/>
  <c r="H77" i="277" s="1"/>
  <c r="H55" i="277"/>
  <c r="BZ76" i="277"/>
  <c r="BZ72" i="277"/>
  <c r="L72" i="277"/>
  <c r="N72" i="277" s="1"/>
  <c r="N70" i="277"/>
  <c r="BX21" i="277"/>
  <c r="BZ9" i="277"/>
  <c r="BZ21" i="277" s="1"/>
  <c r="BR53" i="277"/>
  <c r="BP55" i="277"/>
  <c r="BP75" i="277"/>
  <c r="BP77" i="277" s="1"/>
  <c r="BJ55" i="277"/>
  <c r="BZ52" i="277"/>
  <c r="BZ55" i="277" s="1"/>
  <c r="BY55" i="277"/>
  <c r="BY74" i="277"/>
  <c r="BZ53" i="277"/>
  <c r="BX55" i="277"/>
  <c r="BX75" i="277"/>
  <c r="BZ75" i="277" s="1"/>
  <c r="BZ71" i="277"/>
  <c r="J19" i="277"/>
  <c r="G75" i="277"/>
  <c r="D76" i="277"/>
  <c r="BF43" i="277"/>
  <c r="BK21" i="277"/>
  <c r="N74" i="277"/>
  <c r="K77" i="277"/>
  <c r="N77" i="277" s="1"/>
  <c r="O76" i="277"/>
  <c r="R71" i="277"/>
  <c r="O72" i="277"/>
  <c r="R72" i="277" s="1"/>
  <c r="J69" i="277"/>
  <c r="I72" i="277"/>
  <c r="P55" i="277"/>
  <c r="R55" i="277" s="1"/>
  <c r="R52" i="277"/>
  <c r="P74" i="277"/>
  <c r="E37" i="312"/>
  <c r="K9" i="312"/>
  <c r="K42" i="312" s="1"/>
  <c r="F40" i="309"/>
  <c r="F59" i="309"/>
  <c r="I42" i="312"/>
  <c r="F20" i="309"/>
  <c r="L40" i="309"/>
  <c r="L70" i="309" s="1"/>
  <c r="K19" i="312"/>
  <c r="N34" i="312"/>
  <c r="N42" i="312" s="1"/>
  <c r="H38" i="312"/>
  <c r="M41" i="312"/>
  <c r="N41" i="312" s="1"/>
  <c r="M14" i="312"/>
  <c r="K38" i="312"/>
  <c r="G70" i="309"/>
  <c r="M39" i="312"/>
  <c r="N39" i="312" s="1"/>
  <c r="N37" i="312"/>
  <c r="K37" i="312"/>
  <c r="O70" i="309"/>
  <c r="C42" i="312"/>
  <c r="E42" i="312"/>
  <c r="D42" i="312"/>
  <c r="M42" i="312"/>
  <c r="L42" i="312"/>
  <c r="F42" i="312"/>
  <c r="H70" i="309"/>
  <c r="H37" i="312"/>
  <c r="G42" i="312"/>
  <c r="H42" i="312"/>
  <c r="F70" i="309"/>
  <c r="H36" i="312"/>
  <c r="I70" i="309"/>
  <c r="AG37" i="271"/>
  <c r="AC9" i="271"/>
  <c r="AF37" i="271"/>
  <c r="AH14" i="271"/>
  <c r="AA37" i="271"/>
  <c r="AI14" i="271"/>
  <c r="AJ37" i="271"/>
  <c r="AD37" i="271"/>
  <c r="AC33" i="271"/>
  <c r="AC37" i="271" s="1"/>
  <c r="AI37" i="271"/>
  <c r="AH9" i="271"/>
  <c r="AH37" i="271"/>
  <c r="N9" i="313"/>
  <c r="N32" i="313"/>
  <c r="L32" i="313"/>
  <c r="Q84" i="268" l="1"/>
  <c r="O33" i="299" s="1"/>
  <c r="P84" i="268"/>
  <c r="N33" i="299" s="1"/>
  <c r="O84" i="268"/>
  <c r="M33" i="299" s="1"/>
  <c r="Q76" i="268"/>
  <c r="N84" i="268"/>
  <c r="L33" i="299" s="1"/>
  <c r="Q233" i="268"/>
  <c r="O76" i="268"/>
  <c r="P232" i="268"/>
  <c r="R84" i="268"/>
  <c r="O237" i="268"/>
  <c r="R226" i="268"/>
  <c r="N76" i="268"/>
  <c r="N207" i="268"/>
  <c r="O224" i="268"/>
  <c r="R76" i="268"/>
  <c r="P76" i="268"/>
  <c r="N229" i="268"/>
  <c r="N237" i="268"/>
  <c r="O229" i="268"/>
  <c r="P227" i="268"/>
  <c r="P224" i="268"/>
  <c r="O173" i="268"/>
  <c r="R222" i="268"/>
  <c r="R224" i="268" s="1"/>
  <c r="P19" i="336"/>
  <c r="P162" i="336"/>
  <c r="R173" i="268"/>
  <c r="AL152" i="336" s="1"/>
  <c r="P11" i="336"/>
  <c r="P154" i="336"/>
  <c r="Q220" i="268"/>
  <c r="Q221" i="268"/>
  <c r="Q190" i="268"/>
  <c r="AL156" i="336"/>
  <c r="R236" i="268"/>
  <c r="O165" i="336"/>
  <c r="O27" i="336"/>
  <c r="P226" i="268"/>
  <c r="P173" i="268"/>
  <c r="P26" i="336"/>
  <c r="AL172" i="336"/>
  <c r="P164" i="336"/>
  <c r="Q231" i="268"/>
  <c r="P237" i="268"/>
  <c r="O6" i="336"/>
  <c r="O149" i="336"/>
  <c r="O18" i="336"/>
  <c r="O161" i="336"/>
  <c r="O9" i="336"/>
  <c r="O152" i="336"/>
  <c r="AK150" i="336"/>
  <c r="Q232" i="268"/>
  <c r="P8" i="336"/>
  <c r="P151" i="336"/>
  <c r="O159" i="336"/>
  <c r="O16" i="336"/>
  <c r="AK162" i="336"/>
  <c r="R232" i="268"/>
  <c r="O160" i="336"/>
  <c r="O17" i="336"/>
  <c r="P18" i="336"/>
  <c r="P161" i="336"/>
  <c r="O151" i="336"/>
  <c r="O8" i="336"/>
  <c r="P6" i="336"/>
  <c r="P149" i="336"/>
  <c r="P150" i="336"/>
  <c r="P7" i="336"/>
  <c r="BX77" i="277"/>
  <c r="R76" i="277"/>
  <c r="O77" i="277"/>
  <c r="BN75" i="277"/>
  <c r="BJ74" i="277"/>
  <c r="BZ74" i="277"/>
  <c r="BZ77" i="277" s="1"/>
  <c r="R75" i="277"/>
  <c r="N21" i="277"/>
  <c r="J72" i="277"/>
  <c r="P77" i="277"/>
  <c r="R74" i="277"/>
  <c r="BG77" i="277"/>
  <c r="BJ76" i="277"/>
  <c r="BR75" i="277"/>
  <c r="BR77" i="277" s="1"/>
  <c r="J55" i="277"/>
  <c r="BY77" i="277"/>
  <c r="F75" i="277"/>
  <c r="C77" i="277"/>
  <c r="F77" i="277" s="1"/>
  <c r="BR55" i="277"/>
  <c r="BU77" i="277"/>
  <c r="BV74" i="277"/>
  <c r="BV77" i="277" s="1"/>
  <c r="J75" i="277"/>
  <c r="G77" i="277"/>
  <c r="J77" i="277" s="1"/>
  <c r="BK77" i="277"/>
  <c r="BN74" i="277"/>
  <c r="BN77" i="277" s="1"/>
  <c r="D77" i="277"/>
  <c r="F76" i="277"/>
  <c r="BF75" i="277"/>
  <c r="BF77" i="277" s="1"/>
  <c r="BC77" i="277"/>
  <c r="J76" i="277"/>
  <c r="R227" i="268" l="1"/>
  <c r="R229" i="268" s="1"/>
  <c r="R237" i="268"/>
  <c r="P229" i="268"/>
  <c r="P167" i="336"/>
  <c r="P29" i="336"/>
  <c r="P13" i="336"/>
  <c r="P156" i="336"/>
  <c r="P152" i="336"/>
  <c r="P9" i="336"/>
  <c r="Q224" i="268"/>
  <c r="Q226" i="268"/>
  <c r="Q229" i="268" s="1"/>
  <c r="Q236" i="268"/>
  <c r="Q237" i="268" s="1"/>
  <c r="AK156" i="336"/>
  <c r="O7" i="336"/>
  <c r="O150" i="336"/>
  <c r="O19" i="336"/>
  <c r="O162" i="336"/>
  <c r="AL157" i="336"/>
  <c r="AL174" i="336" s="1"/>
  <c r="R77" i="277"/>
  <c r="BJ77" i="277"/>
  <c r="O13" i="336" l="1"/>
  <c r="O156" i="336"/>
  <c r="AK157" i="336"/>
  <c r="P14" i="336"/>
  <c r="P157" i="336"/>
  <c r="P31" i="336"/>
  <c r="P169" i="336"/>
  <c r="O157" i="336" l="1"/>
  <c r="O14" i="336"/>
  <c r="AK174" i="336"/>
  <c r="O169" i="336" l="1"/>
  <c r="O31" i="336"/>
</calcChain>
</file>

<file path=xl/sharedStrings.xml><?xml version="1.0" encoding="utf-8"?>
<sst xmlns="http://schemas.openxmlformats.org/spreadsheetml/2006/main" count="13367" uniqueCount="1776">
  <si>
    <t>FUENTE: Dirección de Sistemas Escolares.</t>
  </si>
  <si>
    <t>Maestría en Ciencias y Artes para el Diseño</t>
  </si>
  <si>
    <t>Doctorado en Ciencias y Artes para el Diseño</t>
  </si>
  <si>
    <t>AZCAPOTZALCO</t>
  </si>
  <si>
    <t>DIVISIÓN</t>
  </si>
  <si>
    <t>CBI</t>
  </si>
  <si>
    <t>CSH</t>
  </si>
  <si>
    <t>CAD</t>
  </si>
  <si>
    <t>CUAJIMALPA</t>
  </si>
  <si>
    <t>CCD</t>
  </si>
  <si>
    <t>XOCHIMILCO</t>
  </si>
  <si>
    <t>CBS</t>
  </si>
  <si>
    <t>TOTAL</t>
  </si>
  <si>
    <t>TOTAL CBI</t>
  </si>
  <si>
    <t>TOTAL CSH</t>
  </si>
  <si>
    <t>TOTAL CAD</t>
  </si>
  <si>
    <t>UNIDAD</t>
  </si>
  <si>
    <t>07-P</t>
  </si>
  <si>
    <t>07-O</t>
  </si>
  <si>
    <t>Maestría en Psicología Social de Grupos e Instituciones</t>
  </si>
  <si>
    <t>Doctorado en Ciencias Sociales</t>
  </si>
  <si>
    <t>06-O</t>
  </si>
  <si>
    <t>07-I</t>
  </si>
  <si>
    <t>05-O</t>
  </si>
  <si>
    <t>05-P</t>
  </si>
  <si>
    <t>GRADO</t>
  </si>
  <si>
    <t>ESPECIALIZACIÓN</t>
  </si>
  <si>
    <t>MAESTRÍA</t>
  </si>
  <si>
    <t>DOCTORADO</t>
  </si>
  <si>
    <t>TOTAL AZCAPOTZALCO</t>
  </si>
  <si>
    <t>TOTAL CBS</t>
  </si>
  <si>
    <t>TOTAL IZTAPALAPA</t>
  </si>
  <si>
    <t>TOTAL XOCHIMILCO</t>
  </si>
  <si>
    <t>BAJAS DEFINITIVAS DE ALUMNOS DE POSGRADO</t>
  </si>
  <si>
    <t>BAJAS REGLAMENTARIAS DE ALUMNOS DE POSGRADO</t>
  </si>
  <si>
    <t>ASIGNADA</t>
  </si>
  <si>
    <t>PAGADA</t>
  </si>
  <si>
    <t>BECA A ALUMNOS DE NUEVO INGRESO O DE SEGUNDO AÑO EN PROGRAMAS EVALUADOS POSITIVAMENTE</t>
  </si>
  <si>
    <t>Y QUE NO CUENTAN CON FINANCIAMIENTO EXTERNO</t>
  </si>
  <si>
    <t>BECAS A ALUMNOS EN PROCESO DE ELABORACIÓN DE TESIS</t>
  </si>
  <si>
    <t>Reporte de investigación o técnico</t>
  </si>
  <si>
    <t>Artículo especializado de investigación</t>
  </si>
  <si>
    <t>Edición de libro colectivo</t>
  </si>
  <si>
    <t>Libro científico</t>
  </si>
  <si>
    <t>Patentes registro y aceptación de forma para solicitar examen de novedad</t>
  </si>
  <si>
    <t>Expedición de título de patente</t>
  </si>
  <si>
    <t>Trabajos presentados en eventos especializados</t>
  </si>
  <si>
    <t>Conferencias magistrales presentadas en eventos especializados</t>
  </si>
  <si>
    <t>Desarrollo de prototipos o modelos innovadores</t>
  </si>
  <si>
    <t>Desarrollo de paquetes computacionales</t>
  </si>
  <si>
    <t>Asesoría de proyectos de investigación</t>
  </si>
  <si>
    <t>Unidad</t>
  </si>
  <si>
    <t>CAC</t>
  </si>
  <si>
    <t>CAEC</t>
  </si>
  <si>
    <t>CAEF</t>
  </si>
  <si>
    <t>FUENTE: Dirección de Planeación.</t>
  </si>
  <si>
    <t>Especialización en Biotecnología</t>
  </si>
  <si>
    <t>Especialización en Acupuntura y Fitoterapia</t>
  </si>
  <si>
    <t>Especialización en Estudios de la Mujer</t>
  </si>
  <si>
    <t>06-P</t>
  </si>
  <si>
    <t>UAM</t>
  </si>
  <si>
    <t>Total 2004</t>
  </si>
  <si>
    <t>Total 2005</t>
  </si>
  <si>
    <t>Total 2006</t>
  </si>
  <si>
    <t>Total 2007</t>
  </si>
  <si>
    <t>Año de evaluación</t>
  </si>
  <si>
    <t>Fuente: Departamento de Ingreso y Promoción de Personal Académico</t>
  </si>
  <si>
    <t>UNIDAD XOCHIMILCO</t>
  </si>
  <si>
    <t>Maestría en Ciencias y Tecnologías de la Información</t>
  </si>
  <si>
    <t>06-I</t>
  </si>
  <si>
    <t>04-O</t>
  </si>
  <si>
    <t>04-P</t>
  </si>
  <si>
    <t>05-I</t>
  </si>
  <si>
    <t>04-I</t>
  </si>
  <si>
    <t>CNI</t>
  </si>
  <si>
    <t>IZTAPALAPA</t>
  </si>
  <si>
    <t>TOTAL UAM</t>
  </si>
  <si>
    <t>PLAN DE ESTUDIOS</t>
  </si>
  <si>
    <t>Especialización en Ciencias Antropológicas</t>
  </si>
  <si>
    <t>Maestría en Humanidades</t>
  </si>
  <si>
    <t>Maestría en Ciencias Antropológicas</t>
  </si>
  <si>
    <t>Maestría en Estudios Organizacionales</t>
  </si>
  <si>
    <t>Maestría en Estudios Sociales</t>
  </si>
  <si>
    <t>Doctorado en Humanidades</t>
  </si>
  <si>
    <t>Doctorado en Ciencias Antropológicas</t>
  </si>
  <si>
    <t>Doctorado en Estudios Organizacionales</t>
  </si>
  <si>
    <t>Doctorado en Estudios Sociales</t>
  </si>
  <si>
    <t>Maestría en Biología</t>
  </si>
  <si>
    <t>Maestría en Políticas Públicas</t>
  </si>
  <si>
    <t>Maestría en Estudios de la Mujer</t>
  </si>
  <si>
    <t>Doctorado en Desarrollo Rural</t>
  </si>
  <si>
    <t>Especialización en Medicina Social</t>
  </si>
  <si>
    <t>Maestría en Ciencias Agropecuarias</t>
  </si>
  <si>
    <t>Maestría en Rehabilitación Neurológica</t>
  </si>
  <si>
    <t>Maestría en Medicina Social</t>
  </si>
  <si>
    <t>Maestría en Ciencias Farmacéuticas</t>
  </si>
  <si>
    <t>Doctorado en Ciencias en Salud Colectiva</t>
  </si>
  <si>
    <t>PERSONAL ACADÉMICO DEFINITIVO POR RANGOS DE EDAD</t>
  </si>
  <si>
    <t>RANGOS DE EDAD</t>
  </si>
  <si>
    <t>HASTA 30 AÑOS</t>
  </si>
  <si>
    <t>31 - 35 AÑOS</t>
  </si>
  <si>
    <t>36 - 40 AÑOS</t>
  </si>
  <si>
    <t>41 - 45 AÑOS</t>
  </si>
  <si>
    <t>46 - 50 AÑOS</t>
  </si>
  <si>
    <t>51 - 55 AÑOS</t>
  </si>
  <si>
    <t>56 - 60 AÑOS</t>
  </si>
  <si>
    <t>61 - 65 AÑOS</t>
  </si>
  <si>
    <t>66 - 70 AÑOS</t>
  </si>
  <si>
    <t>EDAD PROMEDIO</t>
  </si>
  <si>
    <t>PERSONAL ACADÉMICO DEFINITIVO POR AÑOS DE ANTIGÜEDAD</t>
  </si>
  <si>
    <t>HASTA 5 AÑOS</t>
  </si>
  <si>
    <t>6 - 10 AÑOS</t>
  </si>
  <si>
    <t>11 - 15 AÑOS</t>
  </si>
  <si>
    <t>16 - 20 AÑOS</t>
  </si>
  <si>
    <t>21 - 25 AÑOS</t>
  </si>
  <si>
    <t>26 - 30 AÑOS</t>
  </si>
  <si>
    <t>ELABORACIÓN: Dirección de Planeación.</t>
  </si>
  <si>
    <t>FUENTE: Bases del TIPPA de cada año. Departamento de Ingreso y Promoción del Personal Académico.</t>
  </si>
  <si>
    <t>Docencia</t>
  </si>
  <si>
    <t>Investigación</t>
  </si>
  <si>
    <t>Preservación y difusión de la cultura</t>
  </si>
  <si>
    <t>Dirección Académica</t>
  </si>
  <si>
    <t>Participación Universitaria</t>
  </si>
  <si>
    <t>Creacion artística</t>
  </si>
  <si>
    <t>Actividades</t>
  </si>
  <si>
    <t xml:space="preserve">AZCAPOTZALCO </t>
  </si>
  <si>
    <t xml:space="preserve">IZTAPALAPA </t>
  </si>
  <si>
    <t xml:space="preserve">XOCHIMILCO </t>
  </si>
  <si>
    <t>Los alumnos que registraron actividad académica son aquellos que se inscribieron al menos una vez en el año de referencia.</t>
  </si>
  <si>
    <t>BECA A ALUMNOS DE NUEVO INGRESO O DE SEGUNDO AÑO EN PROGRAMAS DE NUEVA CREACIÓN</t>
  </si>
  <si>
    <t>ANTIGÜEDAD PROMEDIO</t>
  </si>
  <si>
    <t>FUENTE: Oficina de becas. Coordinación General de Información Institucional.</t>
  </si>
  <si>
    <t>La categoría estudiantes que terminaron estudios de licenciatura, incluye a las personas que concluyeron en el año de referencia el plan de estudios correspondiente.</t>
  </si>
  <si>
    <t xml:space="preserve">La categoría trimestres cursados  corresponde a los trimestres donde el alumno tuvo alguna actividad académica
</t>
  </si>
  <si>
    <t>UNIDAD IZTAPALAPA</t>
  </si>
  <si>
    <t>Maestría en Ciencias de la Computación</t>
  </si>
  <si>
    <t>Maestría en Ingeniería Estructural</t>
  </si>
  <si>
    <t>Doctorado en Ingeniería Estructural</t>
  </si>
  <si>
    <t>Especialización en Literatura Mexicana del Siglo XX</t>
  </si>
  <si>
    <t>Maestría en Ciencias Económicas</t>
  </si>
  <si>
    <t>Maestría en Economía</t>
  </si>
  <si>
    <t>Maestría en Planeación y Políticas Metropolitanas</t>
  </si>
  <si>
    <t>Doctorado en Sociología</t>
  </si>
  <si>
    <t>Doctorado en Ciencias Económicas</t>
  </si>
  <si>
    <t>NIVEL</t>
  </si>
  <si>
    <t>C</t>
  </si>
  <si>
    <t>C: Candidato</t>
  </si>
  <si>
    <t>2004-2008</t>
  </si>
  <si>
    <t>08-P</t>
  </si>
  <si>
    <t>08-O</t>
  </si>
  <si>
    <t>08-I</t>
  </si>
  <si>
    <t>Total 2008</t>
  </si>
  <si>
    <t>2005-2008</t>
  </si>
  <si>
    <t>2003-2008</t>
  </si>
  <si>
    <t>03-P</t>
  </si>
  <si>
    <t>03-O</t>
  </si>
  <si>
    <t>03-I</t>
  </si>
  <si>
    <t>Total 2003</t>
  </si>
  <si>
    <t>2003*</t>
  </si>
  <si>
    <t>* No se cuenta con la distribución por División en éste año.</t>
  </si>
  <si>
    <t>Total</t>
  </si>
  <si>
    <t>Azcapotzalco</t>
  </si>
  <si>
    <t>Iztapalapa</t>
  </si>
  <si>
    <t>Xochimilco</t>
  </si>
  <si>
    <t>UNIDAD / DIVISIÓN</t>
  </si>
  <si>
    <t>LICENCIATURA</t>
  </si>
  <si>
    <t>DIV</t>
  </si>
  <si>
    <t>PLAN</t>
  </si>
  <si>
    <t>ARQUITECTURA</t>
  </si>
  <si>
    <t>DISEÑO DE LA COM.GRÁFICA</t>
  </si>
  <si>
    <t>DISEÑO INDUSTRIAL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</si>
  <si>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</si>
  <si>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</si>
  <si>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</si>
  <si>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</si>
  <si>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</si>
  <si>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</si>
  <si>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</si>
  <si>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INGENIERIA QUÍMICA</t>
  </si>
  <si>
    <t>INGENIERIA ELECTRÓNICA</t>
  </si>
  <si>
    <t>INGENIERÍA EN COMPUTACIÓN</t>
  </si>
  <si>
    <t>ADMINISTRACIÓN</t>
  </si>
  <si>
    <t>DERECHO</t>
  </si>
  <si>
    <t>ECONOMÍA</t>
  </si>
  <si>
    <t>SOCIOLOGÍA</t>
  </si>
  <si>
    <t>DISEÑO</t>
  </si>
  <si>
    <t>TECNOLOGÍAS Y SIST. DE INF.</t>
  </si>
  <si>
    <t>CIENCIAS DE LA COMUNICACIÓN</t>
  </si>
  <si>
    <t>INGENIERIA EN COMPUTACIÓN</t>
  </si>
  <si>
    <t>MATEMÁTICAS APLICADAS</t>
  </si>
  <si>
    <t>INGENIERÍA BIOLÓGICA</t>
  </si>
  <si>
    <t>ESTUDIOS SOCIOTERRITORIALES</t>
  </si>
  <si>
    <t>ESTUDIOS HUMANISTICOS</t>
  </si>
  <si>
    <t>INGENIERÍA BIOMÉDICA</t>
  </si>
  <si>
    <t>INGENIERÍA HIDROLÓGICA</t>
  </si>
  <si>
    <t>INGENIERÍA QUÍMICA</t>
  </si>
  <si>
    <t>INGENIERÍA EN ENERGÍA</t>
  </si>
  <si>
    <t>FÍSICA</t>
  </si>
  <si>
    <t>INGENIERÍA ELECTRÓNICA</t>
  </si>
  <si>
    <t>MATEMÁTICAS</t>
  </si>
  <si>
    <t>QUÍMICA</t>
  </si>
  <si>
    <t>COMPUTACIÓN</t>
  </si>
  <si>
    <t>BIOLOGÍA</t>
  </si>
  <si>
    <t>BIOLOGÍA EXPERIMENTAL</t>
  </si>
  <si>
    <t>HIDROBIOLOGÍA</t>
  </si>
  <si>
    <t>PRODUCCIÓN ANIMAL</t>
  </si>
  <si>
    <t>ING. BIOQUIMICA INDUSTRIAL</t>
  </si>
  <si>
    <t>INGENIERÍA DE LOS ALIMENTOS</t>
  </si>
  <si>
    <t>ANTROPOLOGÍA SOCIAL</t>
  </si>
  <si>
    <t>LETRAS HISPÁNICAS</t>
  </si>
  <si>
    <t>FILOSOFÍA</t>
  </si>
  <si>
    <t>HISTORIA</t>
  </si>
  <si>
    <t>LINGUISTICA</t>
  </si>
  <si>
    <t>CIENCIA POLÍTICA</t>
  </si>
  <si>
    <t>PSICOLOGÍA SOCIAL</t>
  </si>
  <si>
    <t>GEOGRAFÍA HUMANA</t>
  </si>
  <si>
    <t>PLANEACIÓN TERRITORIAL</t>
  </si>
  <si>
    <t>ENFERMERÍA</t>
  </si>
  <si>
    <t>ESTOMATOLOGÍA</t>
  </si>
  <si>
    <t>QUÍM. FARM.BIOLÓGICA</t>
  </si>
  <si>
    <t>MEDICINA VET. Y ZOO.</t>
  </si>
  <si>
    <t>AGRONOMÍA</t>
  </si>
  <si>
    <t>MEDICINA</t>
  </si>
  <si>
    <t>NUTRICIÓN</t>
  </si>
  <si>
    <t>COMUNICACIÓN SOCIAL</t>
  </si>
  <si>
    <t>PSICOLOGÍA</t>
  </si>
  <si>
    <t>POLÍTICA Y GESTIÓN SOCIAL</t>
  </si>
  <si>
    <t xml:space="preserve"> </t>
  </si>
  <si>
    <t xml:space="preserve">BAJAS DEFINITIVAS DE ALUMNOS POR LICENCIATURA </t>
  </si>
  <si>
    <t>CVE</t>
  </si>
  <si>
    <t xml:space="preserve">BAJAS REGLAMENTARIAS DE ALUMNOS POR LICENCIATURA </t>
  </si>
  <si>
    <t>MAESTRÍA  EN CIENCIAS E INGENIERÍA (AMBIENTALES, DE MATERIALES)</t>
  </si>
  <si>
    <t>DOCTORADO EN CIENCIAS E INGENIERÍA (AMBIENTALES, DE MATERIALES)</t>
  </si>
  <si>
    <t>MAESTRÍA EN INGENIERÍA ESTRUCTURAL</t>
  </si>
  <si>
    <t>DOCTORADO EN INGENIERÍA ESTRUCTURAL</t>
  </si>
  <si>
    <t>MAESTRÍA EN CIENCIAS DE LA COMPUTACIÓN</t>
  </si>
  <si>
    <t>ESPECIALIZACIÓN EN LITERATURA MEXICANA DEL SIGLO XX</t>
  </si>
  <si>
    <t>ESPECIALIZACIÓN EN SOCIOLOGÍA DE LA EDUCACIÓN SUPERIOR</t>
  </si>
  <si>
    <t>POSGRADO EN HISTORIOGRAFÍA (ESPECIALIZACIÓN)</t>
  </si>
  <si>
    <t>POSGRADO EN HISTORIOGRAFÍA (MAESTRÍA)</t>
  </si>
  <si>
    <t>POSGRADO EN HISTORIOGRAFÍA (DOCTORADO)</t>
  </si>
  <si>
    <t>MAESTRÍA EN HISTORIOGRAFÍA DE MÉXICO</t>
  </si>
  <si>
    <t>MAESTRÍA EN CIENCIAS ECONÓMICAS</t>
  </si>
  <si>
    <t>DOCTORADO EN CIENCIAS ECONÓMICAS</t>
  </si>
  <si>
    <t>MAESTRÍA EN SOCIOLOGÍA</t>
  </si>
  <si>
    <t>DOCTORADO EN SOCIOLOGÍA</t>
  </si>
  <si>
    <t>MAESTRÍA EN PLANEACIÓN Y POLÍTICAS METROPOLITANAS</t>
  </si>
  <si>
    <t>MAESTRÍA EN ECONOMÍA (HISTORIA ECONÓMICA; EMPRESAS, FINANZAS E INNOVACIÓN)</t>
  </si>
  <si>
    <t>ESPECIALIZACIÓN EN DISEÑO</t>
  </si>
  <si>
    <t>MAESTRÍA EN DISEÑO</t>
  </si>
  <si>
    <t>DOCTORADO EN DISEÑO</t>
  </si>
  <si>
    <t>POSGRADO EN FÍSICA (MAESTRÍA)</t>
  </si>
  <si>
    <t>POSGRADO EN FÍSICA (DOCTORADO)</t>
  </si>
  <si>
    <t>POSGRADO EN MATEMÁTICAS (DOCTORADO)</t>
  </si>
  <si>
    <t>POSGRADO EN QUÍMICA (MAESTRÍA)</t>
  </si>
  <si>
    <t>POSGRADO EN QUÍMICA (DOCTORADO)</t>
  </si>
  <si>
    <t>POSGRADO EN INGENIERÍA QUÍMICA (MAESTRÍA)</t>
  </si>
  <si>
    <t>POSGRADO EN INGENIERÍA QUÍMICA (DOCTORADO)</t>
  </si>
  <si>
    <t>POSGRADO EN INGENIERÍA BIOMÉDICA (MAESTRÍA)</t>
  </si>
  <si>
    <t>POSGRADO EN INGENIERÍA BIOMÉDICA (DOCTORADO)</t>
  </si>
  <si>
    <t>MAESTRÍA EN CIENCIAS Y TECNOLOGÍAS DE LA INFORMACIÓN</t>
  </si>
  <si>
    <t>DOCTORADO EN CIENCIAS</t>
  </si>
  <si>
    <t>ESPECIALIZACIÓN EN CIENCIAS ANTROPOLÓGICAS</t>
  </si>
  <si>
    <t>MAESTRÍA EN CIENCIAS ANTROPOLÓGICAS</t>
  </si>
  <si>
    <t>DOCTORADO EN CIENCIAS ANTROPOLÓGICAS</t>
  </si>
  <si>
    <t>MAESTRÍA EN ESTUDIOS ORGANIZACIONALES</t>
  </si>
  <si>
    <t>DOCTORADO EN ESTUDIOS ORGANIZACIONALES</t>
  </si>
  <si>
    <t>MAESTRÍA EN HUMANIDADES</t>
  </si>
  <si>
    <t>DOCTORADO EN HUMANIDADES</t>
  </si>
  <si>
    <t>MAESTRÍA EN ESTUDIOS SOCIALES</t>
  </si>
  <si>
    <t>DOCTORADO EN ESTUDIOS SOCIALES</t>
  </si>
  <si>
    <t>ESPECIALIZACIÓN EN BIOTECNOLOGÍA</t>
  </si>
  <si>
    <t>POSGRADO EN BIOTECNOLOGÍA (MAESTRÍA)</t>
  </si>
  <si>
    <t>POSGRADO EN BIOTECNOLOGÍA (DOCTORADO)</t>
  </si>
  <si>
    <t>ESPECIALIZACIÓN EN ACUPUNTURA Y FITOTERAPIA</t>
  </si>
  <si>
    <t>MAESTRÍA EN BIOLOGÍA DE LA REPRODUCCIÓN ANIMAL</t>
  </si>
  <si>
    <t>POSGRADO EN BIOLOGÍA EXPERIMENTAL (MAESTRÍA)</t>
  </si>
  <si>
    <t>POSGRADO EN BIOLOGÍA EXPERIMENTAL (DOCTORADO)</t>
  </si>
  <si>
    <t>MAESTRÍA EN BIOLOGÍA</t>
  </si>
  <si>
    <t>DOCTORADO EN CIENCIAS BIOLÓGICAS</t>
  </si>
  <si>
    <t>ESPECIALIZACIÓN EN ESTUDIOS DE LA MUJER</t>
  </si>
  <si>
    <t>MAESTRÍA EN ESTUDIOS DE LA MUJER</t>
  </si>
  <si>
    <t>ESPECIALIZACIÓN EN DESARROLLO RURAL</t>
  </si>
  <si>
    <t>MAESTRÍA EN DESARROLLO RURAL</t>
  </si>
  <si>
    <t>DOCTORADO EN DESARROLLO RURAL</t>
  </si>
  <si>
    <t>MAESTRÍA EN DESARROLLO Y PLANEACIÓN DE LA EDUCACIÓN</t>
  </si>
  <si>
    <t>MAESTRÍA EN ECONOMÍA Y GESTIÓN DEL CAMBIO TECNOLÓGICO</t>
  </si>
  <si>
    <t>MAESTRÍA EN PSICOLOGÍA SOCIAL DE GRUPOS E INSTITUCIONES</t>
  </si>
  <si>
    <t>MAESTRÍA EN POLÍTICAS PÚBLICAS</t>
  </si>
  <si>
    <t>MAESTRÍA EN COMUNICACIÓN Y POLÍTICA</t>
  </si>
  <si>
    <t>DOCTORADO EN CIENCIAS SOCIALES</t>
  </si>
  <si>
    <t>CURSO DE ESPECIALIZACIÓN EN PATOLOGÍA Y MEDICINA BUCAL</t>
  </si>
  <si>
    <t>ESPECIALIZACIÓN EN DIAGNÓSTICO INTEGRAL Y PATOLOGÍA BUCAL</t>
  </si>
  <si>
    <t>ESPECIALIZACIÓN EN MEDICINA SOCIAL</t>
  </si>
  <si>
    <t>MAESTRÍA EN MEDICINA SOCIAL</t>
  </si>
  <si>
    <t>MAESTRÍA EN REHABILITACIÓN NEUROLÓGICA</t>
  </si>
  <si>
    <t>MAESTRÍA EN CIENCIAS EN SALUD EN EL TRABAJO</t>
  </si>
  <si>
    <t>MAESTRÍA EN POBLACIÓN Y SALUD (ÁREA DE PLANIFICACIÓN FAMILIAR)</t>
  </si>
  <si>
    <t>MAESTRÍA EN CIENCIAS FARMACÉUTICAS</t>
  </si>
  <si>
    <t>MAESTRÍA EN CIENCIAS AGROPECUARIAS</t>
  </si>
  <si>
    <t>DOCTORADO EN CIENCIAS EN SALUD COLECTIVA</t>
  </si>
  <si>
    <t>MAESTRÍA EN CIENCIAS Y ARTES PARA EL DISEÑO</t>
  </si>
  <si>
    <t>DOCTORADO EN CIENCIAS Y ARTES PARA EL DISEÑO</t>
  </si>
  <si>
    <t>POSGRADO EN MATEMÁTICAS (MAESTRÍA)</t>
  </si>
  <si>
    <t>MAESTRÍA Y DOCTORADO EN INGENIERÍA ESTRUCTURAL (M)</t>
  </si>
  <si>
    <t>DOCTORADO EN CIENCIAS E INGENIERÍA (AMBIENTALES, DE MATERIALES) (D)</t>
  </si>
  <si>
    <t>MAESTRÍA Y DOCTORADO EN INGENIERÍA ESTRUCTURAL (D)</t>
  </si>
  <si>
    <t>MAESTRÍA Y DOCTORADO EN CIENCIAS ECONÓMICAS (M)</t>
  </si>
  <si>
    <t>MAESTRÍA Y DOCTORADO EN SOCIOLOGÍA (M)</t>
  </si>
  <si>
    <t>MAESTRÍA Y DOCTORADO EN CIENCIAS ECONÓMICAS (D)</t>
  </si>
  <si>
    <t>MAESTRÍA Y DOCTORADO EN SOCIOLOGÍA (D)</t>
  </si>
  <si>
    <t>ESPECIALIZACIÓN, MAESTRÍA Y DOCTORADO EN CIENCIAS ANTROPOLÓGICAS (D)</t>
  </si>
  <si>
    <t>MAESTRÍA  EN CIENCIAS ECONÓMICAS</t>
  </si>
  <si>
    <t>ESPECIALIZACIÓN EN DISEÑO AMBIENTAL</t>
  </si>
  <si>
    <t>MAESTRÍA EN DESARROLLO DE PRODUCTOS</t>
  </si>
  <si>
    <t>MAESTRÍA EN QUÍMICA</t>
  </si>
  <si>
    <t>MAESTRÍA EN ADMINISTRACIÓN DEL TRABAJO</t>
  </si>
  <si>
    <t>MAESTRÍA EN DERECHO ECONÓMICO</t>
  </si>
  <si>
    <t>La categoría trimestres cursados correspondiente a los trimestres donde el alumno tuvo alguna actividad académica</t>
  </si>
  <si>
    <t>MAESTRÍA EN FILOSOFÍA DE LA CIENCIA</t>
  </si>
  <si>
    <t>MAESTRÍA EN SOCIOLOGÍA DEL TRABAJO</t>
  </si>
  <si>
    <t>NÚMERO DE BECAS PAGADAS POR LA SEP ADICIONALES A PRONABES</t>
  </si>
  <si>
    <t>09-O</t>
  </si>
  <si>
    <t>09-P</t>
  </si>
  <si>
    <t>09-I</t>
  </si>
  <si>
    <t>LERMA</t>
  </si>
  <si>
    <t>Total 2009</t>
  </si>
  <si>
    <t>MAESTRIA EN REUTILIZACION DEL PATRIMONIO EDIFICADO</t>
  </si>
  <si>
    <t>MAESTRIA EN DISEÑO Y PRODUCCION EDITORIAL</t>
  </si>
  <si>
    <t>POSGRADO EN HISTORIOGRAFIA (E)</t>
  </si>
  <si>
    <t>POSGRADO EN HISTORIOGRAFIA (D)</t>
  </si>
  <si>
    <t>ESPECIALIZACIÓN EN PATOLOGÍA Y MEDICINA BUCAL</t>
  </si>
  <si>
    <t>UNIDAD AZCAPOTZALCO</t>
  </si>
  <si>
    <t>FUENTE: Dirección de Sistemas Escolares</t>
  </si>
  <si>
    <t>10-P</t>
  </si>
  <si>
    <t>10-O</t>
  </si>
  <si>
    <t>2003-2010</t>
  </si>
  <si>
    <t>10-I</t>
  </si>
  <si>
    <t>Total 2010</t>
  </si>
  <si>
    <t>ESTUDIANTES QUE TERMINARON ESTUDIOS DE LICENCIATURA ACUMULADO</t>
  </si>
  <si>
    <t>L</t>
  </si>
  <si>
    <t>E</t>
  </si>
  <si>
    <t>M</t>
  </si>
  <si>
    <t>D</t>
  </si>
  <si>
    <t>PROFESORES EN EL S N I</t>
  </si>
  <si>
    <t>POSGRADO EN HISTORIOGRAFIA (M)</t>
  </si>
  <si>
    <t>MAESTRÍA EN PATOLOGÍA Y MEDICINA BUCAL</t>
  </si>
  <si>
    <t>TECNOLOGÍAS Y SISTEMAS DE INFORMACIÓN</t>
  </si>
  <si>
    <t>Maestría en Economía y Gestión de la Innovación</t>
  </si>
  <si>
    <t>PLAN DE ESTUDIO</t>
  </si>
  <si>
    <t xml:space="preserve">TOTAL DE ALUMNOS REINSCRITOS POR POSGRADO Y TRIMESTRE </t>
  </si>
  <si>
    <t>** Base de datos de promep, AZC envío adicionales a estos</t>
  </si>
  <si>
    <t>Fuente: Base del FPI PROMEP</t>
  </si>
  <si>
    <t>Fuente: Catálogo de Profesores de Tiempo Completo del PROMEP.</t>
  </si>
  <si>
    <t>DIVISION</t>
  </si>
  <si>
    <t xml:space="preserve">CBI        </t>
  </si>
  <si>
    <t xml:space="preserve">CAD      </t>
  </si>
  <si>
    <t xml:space="preserve">CBS      </t>
  </si>
  <si>
    <t>Especialización en Sociología de la Educación Superior</t>
  </si>
  <si>
    <t>Doctorado en Ciencias Biológicas y de la Salud</t>
  </si>
  <si>
    <t>Especialización en diseño</t>
  </si>
  <si>
    <t>Maestría en diseño</t>
  </si>
  <si>
    <t>Doctorado en diseño</t>
  </si>
  <si>
    <t>Doctorado en ciencias</t>
  </si>
  <si>
    <t>Maestría en sociología del trabajo</t>
  </si>
  <si>
    <t>Especialización en Literatura Mexicana del siglo XX</t>
  </si>
  <si>
    <t>Maestría en Historiografía de México</t>
  </si>
  <si>
    <t>Maestría en Sociología</t>
  </si>
  <si>
    <t>Posgrado en Historiografía (Maestría)</t>
  </si>
  <si>
    <t>Posgrado en Historiografía (Doctorado)</t>
  </si>
  <si>
    <t>Posgrado en Física (Maestría)</t>
  </si>
  <si>
    <t>Posgrado en Física (Doctorado)</t>
  </si>
  <si>
    <t>Doctorado en Ciencias y Tecnologías de la Información</t>
  </si>
  <si>
    <t>Posgrado en Ingeniería Biomédica (Doctorado)</t>
  </si>
  <si>
    <t>Posgrado en Ingeniería Biomédica (Maestría)</t>
  </si>
  <si>
    <t>Posgrado en Ingeniería Química (Doctorado)</t>
  </si>
  <si>
    <t>Posgrado en Ingeniería Química (Maestría)</t>
  </si>
  <si>
    <t>Posgrado en Química (Doctorado)</t>
  </si>
  <si>
    <t>Posgrado en Química (Maestría)</t>
  </si>
  <si>
    <t>Posgrado en Matemáticas (Doctorado)</t>
  </si>
  <si>
    <t>Posgrado en Matemáticas (Maestría)</t>
  </si>
  <si>
    <t>Maestría en Filosofía de la Ciencia</t>
  </si>
  <si>
    <t>Posgrado en Biotecnología (Maestría)</t>
  </si>
  <si>
    <t>Posgrado en Biotecnología (Doctorado)</t>
  </si>
  <si>
    <t>Maestría en Biología de la Reproducción Animal</t>
  </si>
  <si>
    <t>Posgrado en Biología Experimental (Maestría)</t>
  </si>
  <si>
    <t>Posgrado en Biología Experimental (Doctorado)</t>
  </si>
  <si>
    <t>Doctorado en Ciencias Biológicas</t>
  </si>
  <si>
    <t>Especialización en Desarrollo Rural</t>
  </si>
  <si>
    <t>Maestría en Desarrollo Rural</t>
  </si>
  <si>
    <t>Maestría en Desarrollo y Planeación de la Educación</t>
  </si>
  <si>
    <t>Maestría en Comunicación y Política</t>
  </si>
  <si>
    <t>Especialización en Patología y Medicina Bucal</t>
  </si>
  <si>
    <t>Maestria en Patologia y Medicina Bucal</t>
  </si>
  <si>
    <t>Especialización en Diagnóstico Integral y Patología Bucal</t>
  </si>
  <si>
    <t>Maestría en Ciencias en Salud en el Trabajo</t>
  </si>
  <si>
    <t>Maestria en Reutilizacion del Patrimonio Edificado</t>
  </si>
  <si>
    <t>Maestria en Diseño y Produccion Editorial</t>
  </si>
  <si>
    <t>Maestria en Ciencias Sociales y Humanidades</t>
  </si>
  <si>
    <t>Doctorado en Ciencias Sociales y Humanidades</t>
  </si>
  <si>
    <t>Especialización en Diseño</t>
  </si>
  <si>
    <t>Maestría en Diseño</t>
  </si>
  <si>
    <t>Doctorado en Diseño</t>
  </si>
  <si>
    <t>Posgrado en Historiografía (Especialización)</t>
  </si>
  <si>
    <t>Doctorado en Ciencias</t>
  </si>
  <si>
    <t>Maestría en Sociología del Trabajo</t>
  </si>
  <si>
    <t>Maestría en Ciencias Sociales y Humanidades</t>
  </si>
  <si>
    <t>Cuajimalpa</t>
  </si>
  <si>
    <t>Lerma</t>
  </si>
  <si>
    <t>Maestría en Ingeniería de Procesos</t>
  </si>
  <si>
    <t>Maestría en Optimización</t>
  </si>
  <si>
    <t>Maestría en Lireratura Mexicana Contemporanea</t>
  </si>
  <si>
    <t>Maestría en Diseño, Información y Comunicación</t>
  </si>
  <si>
    <t>Especialización en Ciencias Naturales e Ingeniería</t>
  </si>
  <si>
    <t>Maestría en Ciencias Naturales e Ingeniería</t>
  </si>
  <si>
    <t>Doctorado en Ciencias Naturales e Ingeniería</t>
  </si>
  <si>
    <t>Maestría en Relaciones Internacionales</t>
  </si>
  <si>
    <t>TOTAL CCD</t>
  </si>
  <si>
    <t>TOTAL CNI</t>
  </si>
  <si>
    <t>Mtría en Literatura Mexicana Contemporánea</t>
  </si>
  <si>
    <t>Esp-Mtría en Estudios de la Mujer</t>
  </si>
  <si>
    <t>Mtría en Relaciones Internacionales</t>
  </si>
  <si>
    <t>Posgrado en Ciencias Naturales e Ingeniería (especialidad)</t>
  </si>
  <si>
    <t>Posgrado en Ciencias Naturales e Ingeniería (maestría)</t>
  </si>
  <si>
    <t>Posgrado en Ciencias Naturales e Ingeniería (doctorado)</t>
  </si>
  <si>
    <t xml:space="preserve">CBI         </t>
  </si>
  <si>
    <t xml:space="preserve">CSH      </t>
  </si>
  <si>
    <t xml:space="preserve">CAD       </t>
  </si>
  <si>
    <t xml:space="preserve">CSH             </t>
  </si>
  <si>
    <t xml:space="preserve">CSH       </t>
  </si>
  <si>
    <t>CUA</t>
  </si>
  <si>
    <t>LER</t>
  </si>
  <si>
    <t>Posgrado en Ingeniería de Procesos (Maestría)</t>
  </si>
  <si>
    <t>Posgrado en Optimización (Maestría)</t>
  </si>
  <si>
    <t>Posgrado en Ciencias Naturales e Ingeniería (Especialización)</t>
  </si>
  <si>
    <t>Posgrado en Ciencias Naturales e Ingeniería (Maestría)</t>
  </si>
  <si>
    <t>Posgrado en Ciencias Naturales e Ingeniería (Doctorado)</t>
  </si>
  <si>
    <t>Maestría en Población y Salud</t>
  </si>
  <si>
    <t>Maestría en Literatura Mexicana Contemporánea</t>
  </si>
  <si>
    <t>Personas que han concluido hasta el año 2012, el plan de estudios correspondiente</t>
  </si>
  <si>
    <t>AZC</t>
  </si>
  <si>
    <t>IZT</t>
  </si>
  <si>
    <t>XOC</t>
  </si>
  <si>
    <t>2003-2009</t>
  </si>
  <si>
    <t>Total Unidad</t>
  </si>
  <si>
    <t>total</t>
  </si>
  <si>
    <t>Ingeniería Ambiental</t>
  </si>
  <si>
    <t>Ingeniería Civil</t>
  </si>
  <si>
    <t>Ingeniería Eléctrica</t>
  </si>
  <si>
    <t>Ingeniería Física</t>
  </si>
  <si>
    <t>Ingeniería Industrial</t>
  </si>
  <si>
    <t>Ingeniería Mecánica</t>
  </si>
  <si>
    <t>Ingeniería Metalúrgica</t>
  </si>
  <si>
    <t>Ingeniería Química</t>
  </si>
  <si>
    <t>Ingeniería Electrónica</t>
  </si>
  <si>
    <t>Ingeniería en Computación</t>
  </si>
  <si>
    <t>Administración</t>
  </si>
  <si>
    <t>Derecho</t>
  </si>
  <si>
    <t>Economía</t>
  </si>
  <si>
    <t>Sociología</t>
  </si>
  <si>
    <t>Arquitectura</t>
  </si>
  <si>
    <t>Diseño de la Comunicación Gráfica</t>
  </si>
  <si>
    <t>Diseño Industrial</t>
  </si>
  <si>
    <t>Ingeniería Biomédica</t>
  </si>
  <si>
    <t>Ingeniería Hidrológica</t>
  </si>
  <si>
    <t>Ingeniería en Energía</t>
  </si>
  <si>
    <t>Física</t>
  </si>
  <si>
    <t>Matemáticas</t>
  </si>
  <si>
    <t>Química</t>
  </si>
  <si>
    <t>Computación</t>
  </si>
  <si>
    <t>Antropología Social</t>
  </si>
  <si>
    <t>Letras Hispánicas</t>
  </si>
  <si>
    <t>Filosofía</t>
  </si>
  <si>
    <t>Historia</t>
  </si>
  <si>
    <t>Lingüística</t>
  </si>
  <si>
    <t>Ciencia Política</t>
  </si>
  <si>
    <t>Psicología Social</t>
  </si>
  <si>
    <t>Geografía Humana</t>
  </si>
  <si>
    <t>Biología</t>
  </si>
  <si>
    <t>Biología Experimental</t>
  </si>
  <si>
    <t>Hidrobiología</t>
  </si>
  <si>
    <t>Producción Animal</t>
  </si>
  <si>
    <t>Ingeniería Bioquímica Industrial</t>
  </si>
  <si>
    <t>Ingeniería de los Alimentos</t>
  </si>
  <si>
    <t>Comunicación Social</t>
  </si>
  <si>
    <t>Psicología</t>
  </si>
  <si>
    <t>Política y Gestión Social</t>
  </si>
  <si>
    <t>Enfermería</t>
  </si>
  <si>
    <t>Estomatología</t>
  </si>
  <si>
    <t>Química Farmacéutica Biológica</t>
  </si>
  <si>
    <t>Medicina Veterinaria y Zootecnia</t>
  </si>
  <si>
    <t>Agronomía</t>
  </si>
  <si>
    <t>Medicina</t>
  </si>
  <si>
    <t>Nutrición Humana</t>
  </si>
  <si>
    <t>Planeación Territorial</t>
  </si>
  <si>
    <t>Estudios Socioterritoriales</t>
  </si>
  <si>
    <t>Humanidades</t>
  </si>
  <si>
    <t>Diseño</t>
  </si>
  <si>
    <t>Tecnologías y Sistemas de Información</t>
  </si>
  <si>
    <t>Ciencias de la Comunicación</t>
  </si>
  <si>
    <t>Matemáticas Aplicadas</t>
  </si>
  <si>
    <t>Ingeniería Biológica</t>
  </si>
  <si>
    <t>Biología Molecular</t>
  </si>
  <si>
    <t>Ingeniería en Recursos Hídricos</t>
  </si>
  <si>
    <t>Políticas Públicas</t>
  </si>
  <si>
    <t>Biología Ambiental</t>
  </si>
  <si>
    <t>Ingeniería En Computación</t>
  </si>
  <si>
    <t>TITULADOS DE LICENCIATURA</t>
  </si>
  <si>
    <t>Estudios Humanísticos</t>
  </si>
  <si>
    <t>Nutrición</t>
  </si>
  <si>
    <t xml:space="preserve">Total Unidad </t>
  </si>
  <si>
    <t>Tecnologías y Sistemas de la Información</t>
  </si>
  <si>
    <t>Ing. En Computación</t>
  </si>
  <si>
    <t>Ingeniería En Energía</t>
  </si>
  <si>
    <t>Ing. Bioquímica Industrial</t>
  </si>
  <si>
    <t xml:space="preserve">Total </t>
  </si>
  <si>
    <t>Diseño De La Comunicación Gráfica</t>
  </si>
  <si>
    <t>Inv</t>
  </si>
  <si>
    <t>Prim</t>
  </si>
  <si>
    <t>Oto</t>
  </si>
  <si>
    <t>Doct.</t>
  </si>
  <si>
    <t>Mtría.</t>
  </si>
  <si>
    <t>Esp.</t>
  </si>
  <si>
    <t>Total Azcapotzalco</t>
  </si>
  <si>
    <t>Total Iztapalapa</t>
  </si>
  <si>
    <t>Total Xochimilco</t>
  </si>
  <si>
    <t>Total Cuajimalpa</t>
  </si>
  <si>
    <t>Maestría en Literatura Contemporánea</t>
  </si>
  <si>
    <t>Especialización en Acupuntura Y Fitoterapia</t>
  </si>
  <si>
    <t>Especialización y Maestría en Patología y Medicina Bucal</t>
  </si>
  <si>
    <t>Doctorado en Ciencias En Salud Colectiva</t>
  </si>
  <si>
    <t>Maestría en Reutilización del Patrimonio Edificado</t>
  </si>
  <si>
    <t>Maestría en Diseño y Producción Editorial</t>
  </si>
  <si>
    <t>Posgrado en Historiografía</t>
  </si>
  <si>
    <t>Doctorado en Historiografía</t>
  </si>
  <si>
    <t>Especialización en Diseño Ambiental</t>
  </si>
  <si>
    <t>Maestría en Desarrollo de Productos</t>
  </si>
  <si>
    <t>Maestría en Física</t>
  </si>
  <si>
    <t>Maestría en Química</t>
  </si>
  <si>
    <t>Maestría en Matemáticas</t>
  </si>
  <si>
    <t>Maestría en Ingeniería Química</t>
  </si>
  <si>
    <t>Maestría en Ingeniería Biomédica</t>
  </si>
  <si>
    <t>Posgrado en Física</t>
  </si>
  <si>
    <t>Posgrado en Matemáticas</t>
  </si>
  <si>
    <t>Posgrado en Química</t>
  </si>
  <si>
    <t>Posgrado en Ingeniería Química</t>
  </si>
  <si>
    <t>Posgrado en Ingeniería Biomédica</t>
  </si>
  <si>
    <t>Posgrado en Ciencias y Tecnologías de la Información</t>
  </si>
  <si>
    <t>Maestría en Historia</t>
  </si>
  <si>
    <t>Maestría en Biología Experimental</t>
  </si>
  <si>
    <t>Maestría en Investigación en Salud Pública</t>
  </si>
  <si>
    <t>Posgrado en Biotecnología</t>
  </si>
  <si>
    <t>Posgrado en Biología Experimental</t>
  </si>
  <si>
    <t>Maestría en Derecho Económico</t>
  </si>
  <si>
    <t>Maestría en Administración del Trabajo</t>
  </si>
  <si>
    <t>Especialización y Maestría En Patología y Medicina Bucal</t>
  </si>
  <si>
    <r>
      <t>Maestría en Población y Salud</t>
    </r>
    <r>
      <rPr>
        <i/>
        <sz val="10"/>
        <color theme="1"/>
        <rFont val="Calibri"/>
        <family val="2"/>
        <scheme val="minor"/>
      </rPr>
      <t xml:space="preserve"> (Área de Planificación Familiar)</t>
    </r>
  </si>
  <si>
    <r>
      <t xml:space="preserve">Especialización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</si>
  <si>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Maestría 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</si>
  <si>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theme="1"/>
        <rFont val="Calibri"/>
        <family val="2"/>
        <scheme val="minor"/>
      </rPr>
      <t>(Ambientales, de Materiales)</t>
    </r>
  </si>
  <si>
    <r>
      <t xml:space="preserve">Especialización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</si>
  <si>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</si>
  <si>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Doctorado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</si>
  <si>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 xml:space="preserve">Maestría en Población y Salud </t>
    </r>
    <r>
      <rPr>
        <i/>
        <sz val="10"/>
        <color rgb="FF000000"/>
        <rFont val="Calibri"/>
        <family val="2"/>
        <scheme val="minor"/>
      </rPr>
      <t>(Área de Planificación Familiar)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</si>
  <si>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</si>
  <si>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Especialización  en Ciencias e Ingeniería </t>
    </r>
    <r>
      <rPr>
        <i/>
        <sz val="10"/>
        <color indexed="8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</si>
  <si>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indexed="8"/>
        <rFont val="Calibri"/>
        <family val="2"/>
        <scheme val="minor"/>
      </rPr>
      <t xml:space="preserve"> (Ambientales, de Materiales)</t>
    </r>
  </si>
  <si>
    <t>Maestría en Patología y Medicina Bucal</t>
  </si>
  <si>
    <t xml:space="preserve">Psicología </t>
  </si>
  <si>
    <t xml:space="preserve">Diseño </t>
  </si>
  <si>
    <t>Diseño  de la Comunicación Gráfica</t>
  </si>
  <si>
    <t>Ingeniería en Biología Molecular</t>
  </si>
  <si>
    <t>HISTORICO DE BECAS Y ESTIMULOS 1990-2004</t>
  </si>
  <si>
    <t>Total UAM</t>
  </si>
  <si>
    <t>Estímulo a la Docencia y la Investigación (EDI)</t>
  </si>
  <si>
    <t>Beca de apoyo a la permanencia (BAP)</t>
  </si>
  <si>
    <t>Beca a la Carrera Docente (BCD)</t>
  </si>
  <si>
    <t>Estímulo al Grado Académico (EGA)</t>
  </si>
  <si>
    <t>Estímulo a la Trayectoria Académica Sobresaliente (ETAS)</t>
  </si>
  <si>
    <t>BECAS DE DE POSGRADO UAM</t>
  </si>
  <si>
    <t>Maestría en Energía y Medio Ambiente</t>
  </si>
  <si>
    <t>Doctorado en Ciencias Agropecuarias</t>
  </si>
  <si>
    <t>ACTIVIDAD</t>
  </si>
  <si>
    <t>BENEFICIARIOS  2008</t>
  </si>
  <si>
    <t>Convivencia Deportiva*</t>
  </si>
  <si>
    <t>Olimpiada UAM **</t>
  </si>
  <si>
    <t>Serial Atlético "Corriendo por la UAM"</t>
  </si>
  <si>
    <t>Serial Atlético "Caminando por la UAM"</t>
  </si>
  <si>
    <r>
      <t xml:space="preserve">* </t>
    </r>
    <r>
      <rPr>
        <b/>
        <sz val="9"/>
        <color theme="1"/>
        <rFont val="Arial"/>
        <family val="2"/>
      </rPr>
      <t>Convivencia Deportiva</t>
    </r>
    <r>
      <rPr>
        <sz val="9"/>
        <color theme="1"/>
        <rFont val="Arial"/>
        <family val="2"/>
      </rPr>
      <t>: Participan los equipos representativos de las 5 Unidades Académicas de la UAM en los siguientes deportes: 1.- Ajedrez   2.- Atletismo    3.- Baloncesto 4.- Fútbol Asociación 5.- Fútbol Rápido 6.- Karate Do 7.- Lev. Olímpico de Pesas 8.- Tae Kwon Do 9.- Tenis 10.- Tenis de Mesa 11.- Voleibol de Playa 12.- Voleibol de Sala</t>
    </r>
  </si>
  <si>
    <r>
      <t xml:space="preserve">** </t>
    </r>
    <r>
      <rPr>
        <b/>
        <sz val="9"/>
        <color theme="1"/>
        <rFont val="Arial"/>
        <family val="2"/>
      </rPr>
      <t>Olimpiada UAM</t>
    </r>
    <r>
      <rPr>
        <sz val="9"/>
        <color theme="1"/>
        <rFont val="Arial"/>
        <family val="2"/>
      </rPr>
      <t>: Participan equipos de alumnos de las 5 Unidades Académicas en los siguientes deportes: 1.- Ajedrez  2.- Baloncesto 3.- Fisicoconstructivismo 4.- Fútbol Asociación 5.- Fútbol Rápido 6.- Levantamiento de Potencia 7.- Tenis de Mesa 8.- Voliebol de Playa</t>
    </r>
  </si>
  <si>
    <t>PERSONAL ADMINISTRATIVO DEFINITIVO POR RANGOS DE EDAD</t>
  </si>
  <si>
    <t>MÁS DE 70 AÑOS</t>
  </si>
  <si>
    <t>PERSONAL ADMINISTRATIVO DEFINITIVO POR AÑOS DE ANTIGÜEDAD</t>
  </si>
  <si>
    <t>RANGOS DE ANTIGÜEDAD</t>
  </si>
  <si>
    <t>MÁS DE 30 AÑOS</t>
  </si>
  <si>
    <t>ANTIGUEDAD PROMEDIO</t>
  </si>
  <si>
    <t>CONACYT</t>
  </si>
  <si>
    <t>SEP</t>
  </si>
  <si>
    <t>PROMEP*</t>
  </si>
  <si>
    <t xml:space="preserve">CONTRATOS Y CONVENIOS </t>
  </si>
  <si>
    <t>RECTORIA GENERAL</t>
  </si>
  <si>
    <t>PIFI</t>
  </si>
  <si>
    <t>CONVENIOS Y CONTRATOS</t>
  </si>
  <si>
    <t>FUENTE: Unidades Universitarias. Coordinación Gral. De Vinculación y Desarrollo Institucional.</t>
  </si>
  <si>
    <t>CONVENIOS</t>
  </si>
  <si>
    <t>CONVENIOS SEP</t>
  </si>
  <si>
    <t>RECTORIA</t>
  </si>
  <si>
    <t xml:space="preserve">RECTORIA </t>
  </si>
  <si>
    <t>SEP *</t>
  </si>
  <si>
    <t>OTROS CONVENIOS</t>
  </si>
  <si>
    <t>RECTORÍA GENERAL</t>
  </si>
  <si>
    <t>RECTORÍA</t>
  </si>
  <si>
    <t>Arte y Comunicación Digitales</t>
  </si>
  <si>
    <t>Doctorado en Ingeniería de Procesos</t>
  </si>
  <si>
    <t>Doctorado en Optimización</t>
  </si>
  <si>
    <t>Especialización</t>
  </si>
  <si>
    <t>Maestría</t>
  </si>
  <si>
    <t>Doctorado</t>
  </si>
  <si>
    <t>Posgrado en Ingeniería de Procesos</t>
  </si>
  <si>
    <t>Posgrado en Optimización</t>
  </si>
  <si>
    <r>
      <t xml:space="preserve">Maestría en Población y Salud </t>
    </r>
    <r>
      <rPr>
        <sz val="8"/>
        <color indexed="8"/>
        <rFont val="Calibri"/>
        <family val="2"/>
        <scheme val="minor"/>
      </rPr>
      <t>(Área de Planificación Familiar)</t>
    </r>
  </si>
  <si>
    <t>Doctorado en Ciencias Biológicas y de La Salud</t>
  </si>
  <si>
    <t>Posgrado en Ciencias Sociales y Humanidades</t>
  </si>
  <si>
    <t>Posgrado en Ciencias Naturales e Ingeniería</t>
  </si>
  <si>
    <t>FUENTE: Base de Datos de Nómina, Quincena 20 de cada año.</t>
  </si>
  <si>
    <t>31 - 40 AÑOS</t>
  </si>
  <si>
    <t>41 - 50 AÑOS</t>
  </si>
  <si>
    <t>51 - 60 AÑOS</t>
  </si>
  <si>
    <t>61 -70 AÑOS</t>
  </si>
  <si>
    <t>Arte y Comunicaciones Digitales</t>
  </si>
  <si>
    <t>Asignadas</t>
  </si>
  <si>
    <t>Pagadas</t>
  </si>
  <si>
    <t>Excelencia</t>
  </si>
  <si>
    <t>Servicio Social</t>
  </si>
  <si>
    <t>Titulación</t>
  </si>
  <si>
    <t>Vinculación</t>
  </si>
  <si>
    <t>41 -50 AÑOS</t>
  </si>
  <si>
    <t>61 - 70 AÑOS</t>
  </si>
  <si>
    <t>Mujer</t>
  </si>
  <si>
    <t>Hombre</t>
  </si>
  <si>
    <r>
      <t xml:space="preserve">CAC: </t>
    </r>
    <r>
      <rPr>
        <sz val="10"/>
        <rFont val="Arial"/>
        <family val="2"/>
      </rPr>
      <t>Cuerpo Académico Consolidado</t>
    </r>
  </si>
  <si>
    <r>
      <t>CAEC:</t>
    </r>
    <r>
      <rPr>
        <sz val="10"/>
        <rFont val="Arial"/>
        <family val="2"/>
      </rPr>
      <t xml:space="preserve"> Cuerpo Académico en consolidación</t>
    </r>
  </si>
  <si>
    <r>
      <t>CAEF:</t>
    </r>
    <r>
      <rPr>
        <sz val="10"/>
        <rFont val="Arial"/>
        <family val="2"/>
      </rPr>
      <t xml:space="preserve"> Cuerpo Académico en Formación</t>
    </r>
  </si>
  <si>
    <t>Personas que han concluido hasta el año de referencia el plan de estudios correspondiente.</t>
  </si>
  <si>
    <r>
      <rPr>
        <b/>
        <sz val="11"/>
        <rFont val="Arial"/>
        <family val="2"/>
      </rPr>
      <t>L</t>
    </r>
    <r>
      <rPr>
        <sz val="10"/>
        <rFont val="Arial"/>
        <family val="2"/>
      </rPr>
      <t>icenciatura</t>
    </r>
  </si>
  <si>
    <r>
      <rPr>
        <b/>
        <sz val="11"/>
        <rFont val="Arial"/>
        <family val="2"/>
      </rPr>
      <t>E</t>
    </r>
    <r>
      <rPr>
        <sz val="10"/>
        <rFont val="Arial"/>
        <family val="2"/>
      </rPr>
      <t>specialidad</t>
    </r>
  </si>
  <si>
    <r>
      <rPr>
        <b/>
        <sz val="11"/>
        <rFont val="Arial"/>
        <family val="2"/>
      </rPr>
      <t>M</t>
    </r>
    <r>
      <rPr>
        <sz val="10"/>
        <rFont val="Arial"/>
        <family val="2"/>
      </rPr>
      <t>aestría</t>
    </r>
  </si>
  <si>
    <r>
      <rPr>
        <b/>
        <sz val="11"/>
        <rFont val="Arial"/>
        <family val="2"/>
      </rPr>
      <t>D</t>
    </r>
    <r>
      <rPr>
        <sz val="10"/>
        <rFont val="Arial"/>
        <family val="2"/>
      </rPr>
      <t>octorado</t>
    </r>
  </si>
  <si>
    <t>FUENTE: AGA de Licenciatura - Dirección de Sistemas Escolares</t>
  </si>
  <si>
    <t>Doctorado en Energía y Medio Ambiente</t>
  </si>
  <si>
    <t xml:space="preserve">Posgrado en Ciencias Sociales y Humanidades </t>
  </si>
  <si>
    <t>P</t>
  </si>
  <si>
    <t>O</t>
  </si>
  <si>
    <t>I</t>
  </si>
  <si>
    <t>Nivel 1</t>
  </si>
  <si>
    <t>Nivel 2</t>
  </si>
  <si>
    <t>Nivel 3</t>
  </si>
  <si>
    <t>Candidato</t>
  </si>
  <si>
    <t>Femenino</t>
  </si>
  <si>
    <t>Masculino</t>
  </si>
  <si>
    <t>AÑO DE INGRESO</t>
  </si>
  <si>
    <t>1974-2000</t>
  </si>
  <si>
    <t>CHS</t>
  </si>
  <si>
    <t>-</t>
  </si>
  <si>
    <t>EFICIENCIA TERMINAL 2011</t>
  </si>
  <si>
    <t>1974-1997</t>
  </si>
  <si>
    <t>EFICIENCIA TERMINAL 2010</t>
  </si>
  <si>
    <t>1974-2001</t>
  </si>
  <si>
    <t>EFICIENCIA TERMINAL 2012</t>
  </si>
  <si>
    <t>1974-2002</t>
  </si>
  <si>
    <t>EFICIENCIA TERMINAL 2013</t>
  </si>
  <si>
    <t>Rectoría General</t>
  </si>
  <si>
    <t>Nivel</t>
  </si>
  <si>
    <t>CAC: Cuerpos Académicos Consolidados</t>
  </si>
  <si>
    <t>CAEC: Cuerpos Académicos en Consolidación</t>
  </si>
  <si>
    <t>CAEF: Cuerpos Academicos en Formación</t>
  </si>
  <si>
    <t>Rectoría</t>
  </si>
  <si>
    <t>Unidad Azcapotzalco</t>
  </si>
  <si>
    <t>Unidad Cuajimalpa</t>
  </si>
  <si>
    <t>Unidad Iztapalapa</t>
  </si>
  <si>
    <t>Unidad Xochimilco</t>
  </si>
  <si>
    <t>Licenciatura</t>
  </si>
  <si>
    <t>Posgrado</t>
  </si>
  <si>
    <t>Aspirantes</t>
  </si>
  <si>
    <t>Plan</t>
  </si>
  <si>
    <t>División</t>
  </si>
  <si>
    <t>Género</t>
  </si>
  <si>
    <t>Admitidos</t>
  </si>
  <si>
    <t>Socioeconómicos</t>
  </si>
  <si>
    <t>Inscritos</t>
  </si>
  <si>
    <t>Matrícula</t>
  </si>
  <si>
    <t>Bajas Definitivas</t>
  </si>
  <si>
    <t>Activos</t>
  </si>
  <si>
    <t>Egreso</t>
  </si>
  <si>
    <t>Egreso acumulado</t>
  </si>
  <si>
    <t>Titulados</t>
  </si>
  <si>
    <t>Trimestres cursados promedio para egresar</t>
  </si>
  <si>
    <t>Eficiencia terminal</t>
  </si>
  <si>
    <t>Definitivo</t>
  </si>
  <si>
    <t>Edad</t>
  </si>
  <si>
    <t>Antigüedad</t>
  </si>
  <si>
    <t>Becas y Estímulos</t>
  </si>
  <si>
    <t>Grado Académico</t>
  </si>
  <si>
    <t>Cuerpos Académicos</t>
  </si>
  <si>
    <t>Producción Total</t>
  </si>
  <si>
    <t>Administrativos</t>
  </si>
  <si>
    <t>Recursos Externos</t>
  </si>
  <si>
    <t>Convenios</t>
  </si>
  <si>
    <t>Personas que han concluido hasta el año  correspondiente el plan de estudios</t>
  </si>
  <si>
    <t>ADMITIDOS</t>
  </si>
  <si>
    <t>RANGOS</t>
  </si>
  <si>
    <t>Estado laboral</t>
  </si>
  <si>
    <t>No trabajan</t>
  </si>
  <si>
    <t>Trabajan</t>
  </si>
  <si>
    <t>Horas de dedicación</t>
  </si>
  <si>
    <t>20 o menos horas</t>
  </si>
  <si>
    <t>de 21 a 40 hrs.</t>
  </si>
  <si>
    <t>más de 40 hrs.</t>
  </si>
  <si>
    <t>Permanente</t>
  </si>
  <si>
    <t>Eventual</t>
  </si>
  <si>
    <t>Ingreso mensual</t>
  </si>
  <si>
    <t>Menos de 1,000</t>
  </si>
  <si>
    <t>de 1,000 a 2,999</t>
  </si>
  <si>
    <t>de 3,000 a 4999</t>
  </si>
  <si>
    <t>Nivel de estudios del Padre</t>
  </si>
  <si>
    <t>ninguno</t>
  </si>
  <si>
    <t>primaria</t>
  </si>
  <si>
    <t>secundaria</t>
  </si>
  <si>
    <t>tecnica</t>
  </si>
  <si>
    <t>media superior</t>
  </si>
  <si>
    <t xml:space="preserve">superior </t>
  </si>
  <si>
    <t>posgrado</t>
  </si>
  <si>
    <t>Nivel de estudios de la Madre</t>
  </si>
  <si>
    <t>INSCRITOS DE NUEVO INGRESO</t>
  </si>
  <si>
    <t>de 5,000 a 6,999</t>
  </si>
  <si>
    <t>INDICE</t>
  </si>
  <si>
    <t>Gráfica</t>
  </si>
  <si>
    <t>POSGRADO</t>
  </si>
  <si>
    <t>BECAS</t>
  </si>
  <si>
    <t>PERSONAL ACADÉMICO</t>
  </si>
  <si>
    <t>APOYO INSTITUCIONAL</t>
  </si>
  <si>
    <t>Activos de lic. y pos.</t>
  </si>
  <si>
    <t>Egresados de lic. y pos.</t>
  </si>
  <si>
    <t>Bajas Reglamentarias</t>
  </si>
  <si>
    <t>BENEFICIARIOS 2014</t>
  </si>
  <si>
    <t>Participantes</t>
  </si>
  <si>
    <t>Espectadores</t>
  </si>
  <si>
    <t>ACTIVIDADES DEPORTIVAS</t>
  </si>
  <si>
    <t>BECA O ESTÍMULO</t>
  </si>
  <si>
    <t>Estímulo a la Docencia e Investigación</t>
  </si>
  <si>
    <t>Beca de Apoyo a la Permanencia</t>
  </si>
  <si>
    <t>Beca a la Carrera Docente</t>
  </si>
  <si>
    <t>Estímulo a los Grados Académicos</t>
  </si>
  <si>
    <t>Estímulo a la trayectoria Académica sobresaliente</t>
  </si>
  <si>
    <t xml:space="preserve">FUENTE: Base de Nomina del año correspondiente
</t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</si>
  <si>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TIEMPO COMPLETO</t>
    </r>
  </si>
  <si>
    <r>
      <t xml:space="preserve">PERSONAL ACADÉMICO DEFINITIVO DE </t>
    </r>
    <r>
      <rPr>
        <b/>
        <sz val="14"/>
        <color rgb="FFCC9900"/>
        <rFont val="Calibri"/>
        <family val="2"/>
        <scheme val="minor"/>
      </rPr>
      <t>MEDIO TIEMPO</t>
    </r>
  </si>
  <si>
    <r>
      <rPr>
        <b/>
        <sz val="14"/>
        <rFont val="Calibri"/>
        <family val="2"/>
        <scheme val="minor"/>
      </rPr>
      <t>PERSONAL ACADÉMICO DEFINITIVO DE</t>
    </r>
    <r>
      <rPr>
        <b/>
        <sz val="14"/>
        <color rgb="FFCC9900"/>
        <rFont val="Calibri"/>
        <family val="2"/>
        <scheme val="minor"/>
      </rPr>
      <t xml:space="preserve"> TIEMPO PARCIAL</t>
    </r>
  </si>
  <si>
    <t>PERSONAL ACADÉMICO DEFINITIVO</t>
  </si>
  <si>
    <t>Maestría en Ecología Aplicada</t>
  </si>
  <si>
    <t>Posgrado en historiografía</t>
  </si>
  <si>
    <t>Posgrado en Energía y Medio Ambiente</t>
  </si>
  <si>
    <t>TOTAL UAM POR DIVISIÓN</t>
  </si>
  <si>
    <t>El CA cuenta con productos académicos reconocidos por su buena calidad y que se derivan de LGAC/LIIADT/LILCD consolidadas.</t>
  </si>
  <si>
    <t xml:space="preserve">Los integrantes del CA cuentan con amplia experiencia en docencia y en formación de recursos humanos. </t>
  </si>
  <si>
    <t xml:space="preserve">La mayoría de los integrantes cuenta con el Reconocimiento al Perfil Deseable, tienen un alto compromiso con la institución, colaboran entre sí y su producción es evidencia de ello. </t>
  </si>
  <si>
    <t>El CA cuenta con productos académicos reconocidos por su buena calidad y que se derivan del desarrollo de las LGAC/LIIADT/LILCD que cultivan.</t>
  </si>
  <si>
    <t xml:space="preserve">Los integrantes participan conjuntamente en LGAC/LIIADT/LILCD bien definidas. </t>
  </si>
  <si>
    <t xml:space="preserve">Por lo menos la tercera parte de quienes lo integran cuenta con amplia experiencia en docencia y en formación de recursos humanos. </t>
  </si>
  <si>
    <t xml:space="preserve">La mayoría de los integrantes cuentan con reconocimiento al perfil deseable. </t>
  </si>
  <si>
    <t xml:space="preserve">El CA cuenta con evidencias objetivas respecto a su vida colegiada y a las acciones académicas que llevan a cabo en colaboración entre sus integrantes. </t>
  </si>
  <si>
    <t>El CA colabora con otros CA.</t>
  </si>
  <si>
    <t>Los integrantes tienen definidas las LGAC, LIIADT o LILCD que cultivan.</t>
  </si>
  <si>
    <t xml:space="preserve">El CA tiene proyectos de investigación conjuntos para desarrollar las LGAC/LIIADT/LILCD. </t>
  </si>
  <si>
    <t xml:space="preserve">PEl CA tiene identificados a sus integrantes. </t>
  </si>
  <si>
    <t xml:space="preserve">El CA ha identificado algunos CA afines, y de alto nivel, de otras instituciones del país o del extranjero con quienes desean establecer contactos. </t>
  </si>
  <si>
    <r>
      <t xml:space="preserve">Los Cuerpos Académicos (CA) son grupos de profesores de tiempo completo que en las </t>
    </r>
    <r>
      <rPr>
        <b/>
        <sz val="8"/>
        <color theme="1"/>
        <rFont val="Arial"/>
        <family val="2"/>
      </rPr>
      <t>universidades públicas</t>
    </r>
    <r>
      <rPr>
        <sz val="8"/>
        <color theme="1"/>
        <rFont val="Arial"/>
        <family val="2"/>
      </rPr>
      <t xml:space="preserve">, estatales y afines comparten una o varias Líneas de Generación y Aplicación Innovadora del Conocimiento </t>
    </r>
    <r>
      <rPr>
        <sz val="8"/>
        <color rgb="FFCD032E"/>
        <rFont val="Arial"/>
        <family val="2"/>
      </rPr>
      <t>(LGAC)</t>
    </r>
    <r>
      <rPr>
        <sz val="8"/>
        <color theme="1"/>
        <rFont val="Arial"/>
        <family val="2"/>
      </rPr>
      <t xml:space="preserve"> (investigación o estudio) en temas disciplinares o multidisciplinares así como un conjunto de objetivos y metas académicas comunes. Adicionalmente sus integrantes atienden Programas Educativos (PE) en varios niveles para el cumplimiento cabal de las funciones institucionales.</t>
    </r>
  </si>
  <si>
    <r>
      <t>Línea(s) innovadora(s) de investigación aplicada y desarrollo tecnológico (</t>
    </r>
    <r>
      <rPr>
        <sz val="8"/>
        <color rgb="FFCD032E"/>
        <rFont val="Arial"/>
        <family val="2"/>
      </rPr>
      <t>LIIADT</t>
    </r>
    <r>
      <rPr>
        <sz val="8"/>
        <rFont val="Arial"/>
        <family val="2"/>
      </rPr>
      <t>).</t>
    </r>
    <r>
      <rPr>
        <b/>
        <sz val="8"/>
        <rFont val="Arial"/>
        <family val="2"/>
      </rPr>
      <t xml:space="preserve"> </t>
    </r>
  </si>
  <si>
    <r>
      <t>Línea(s) de Investigación en Lengua, Cultura y Desarrollo (</t>
    </r>
    <r>
      <rPr>
        <sz val="8"/>
        <color rgb="FFCD032E"/>
        <rFont val="Arial"/>
        <family val="2"/>
      </rPr>
      <t>LILCD</t>
    </r>
    <r>
      <rPr>
        <sz val="8"/>
        <rFont val="Arial"/>
        <family val="2"/>
      </rPr>
      <t xml:space="preserve">). </t>
    </r>
  </si>
  <si>
    <r>
      <t xml:space="preserve">Cuerpo Académico </t>
    </r>
    <r>
      <rPr>
        <sz val="8"/>
        <color rgb="FFCD032E"/>
        <rFont val="Arial"/>
        <family val="2"/>
      </rPr>
      <t>En Formación</t>
    </r>
    <r>
      <rPr>
        <sz val="8"/>
        <rFont val="Arial"/>
        <family val="2"/>
      </rPr>
      <t xml:space="preserve"> (CAEF). </t>
    </r>
  </si>
  <si>
    <r>
      <t xml:space="preserve">Cuerpo Académico </t>
    </r>
    <r>
      <rPr>
        <sz val="8"/>
        <color rgb="FFCD032E"/>
        <rFont val="Arial"/>
        <family val="2"/>
      </rPr>
      <t>En Consolidación</t>
    </r>
    <r>
      <rPr>
        <sz val="8"/>
        <rFont val="Arial"/>
        <family val="2"/>
      </rPr>
      <t xml:space="preserve"> (CAEC). </t>
    </r>
  </si>
  <si>
    <r>
      <t xml:space="preserve">Cuerpo Académico </t>
    </r>
    <r>
      <rPr>
        <sz val="8"/>
        <color rgb="FFCD032E"/>
        <rFont val="Arial"/>
        <family val="2"/>
      </rPr>
      <t>Consolidado</t>
    </r>
    <r>
      <rPr>
        <sz val="8"/>
        <rFont val="Arial"/>
        <family val="2"/>
      </rPr>
      <t xml:space="preserve"> (CAC). </t>
    </r>
  </si>
  <si>
    <t>La categoría de inscritos de primer ingreso incluye a todos los alumnos admitidos que realizaron la inscripción a su primer al trimestre.</t>
  </si>
  <si>
    <t>La categoria alumnos que registraron actividad académica durante el año esta compuesta por lo alumnos que se inscribieron al menos una vez en el año de referencia</t>
  </si>
  <si>
    <t>Baja definitiva: Es la pérdida de la calidad de alumno por renuncia expresa del interesado —es decir, del propio alumno—, e imputable al mismo (artículo 18, fracción II, del RESUAM).</t>
  </si>
  <si>
    <t xml:space="preserve">Baja reglamentaria:
Es la perdida de la calidad de alumno como consecuencia de una sanción aplicada al estudiante, por haber incurrido en cualquiera de las causas establecidas en el artículo 18, fracciones III, IV y VII, incisos a) y b), del RESUAM.
</t>
  </si>
  <si>
    <t>TC</t>
  </si>
  <si>
    <t>MT</t>
  </si>
  <si>
    <t>TP</t>
  </si>
  <si>
    <t>CONACyT</t>
  </si>
  <si>
    <t>TOTAL 2008</t>
  </si>
  <si>
    <t>TOTAL 2009</t>
  </si>
  <si>
    <t>TOTAL 2007</t>
  </si>
  <si>
    <t>TOTAL 2003</t>
  </si>
  <si>
    <t>TOTAL 2004</t>
  </si>
  <si>
    <t>TOTAL 2005</t>
  </si>
  <si>
    <t>TOTAL 2006</t>
  </si>
  <si>
    <t>TOTAL 2010</t>
  </si>
  <si>
    <t>Total 2011</t>
  </si>
  <si>
    <t>TOTAL 2012</t>
  </si>
  <si>
    <t>Total 2013</t>
  </si>
  <si>
    <t>Especialidad</t>
  </si>
  <si>
    <t>Cuajiamalpa</t>
  </si>
  <si>
    <t>Nacional</t>
  </si>
  <si>
    <t>Extranjero</t>
  </si>
  <si>
    <t>Patrocinado</t>
  </si>
  <si>
    <t>No patrocinado</t>
  </si>
  <si>
    <t>Convenio por origen</t>
  </si>
  <si>
    <t>Convenio por tipo</t>
  </si>
  <si>
    <t>FestiUAM</t>
  </si>
  <si>
    <t>EQUIVALENCIA A LICENCIATURA (Esp. = 1, Mría. = 2, Doc. = 3)</t>
  </si>
  <si>
    <t>Equivalencia:</t>
  </si>
  <si>
    <t>Alumnos por PTC</t>
  </si>
  <si>
    <r>
      <t xml:space="preserve">ALUMNOS ATENDIDOS DE </t>
    </r>
    <r>
      <rPr>
        <b/>
        <sz val="12"/>
        <color rgb="FFCC9900"/>
        <rFont val="Arial"/>
        <family val="2"/>
      </rPr>
      <t>POSGRADO</t>
    </r>
    <r>
      <rPr>
        <b/>
        <sz val="12"/>
        <rFont val="Arial"/>
        <family val="2"/>
      </rPr>
      <t xml:space="preserve"> POR PROFESOR DE TIEMPO COMPLETO</t>
    </r>
  </si>
  <si>
    <t>Maestría en Literatura Mexicana Contemporanea</t>
  </si>
  <si>
    <t xml:space="preserve"> Especialización en Patología y Medicina Bucal</t>
  </si>
  <si>
    <t>Plan de Estudio</t>
  </si>
  <si>
    <t>INGENIERIA ELECTRICA</t>
  </si>
  <si>
    <t>SOCIOLOGIA</t>
  </si>
  <si>
    <t>DISEÑO DE LA COMUNICACION GRAFICA</t>
  </si>
  <si>
    <t xml:space="preserve">CIENCIA POLÍTICA </t>
  </si>
  <si>
    <t>LINGÜÍSTICA</t>
  </si>
  <si>
    <t xml:space="preserve">PSICOLOGÍA </t>
  </si>
  <si>
    <t xml:space="preserve">MEDICINA </t>
  </si>
  <si>
    <t>MEDICINA VETERINARIA Y ZOOTECNIA</t>
  </si>
  <si>
    <t>NUTRICIÓN HUMANA</t>
  </si>
  <si>
    <t xml:space="preserve">ADMINISTRACION                          </t>
  </si>
  <si>
    <t>HUMANIDADES</t>
  </si>
  <si>
    <t xml:space="preserve">DISEÑO                                  </t>
  </si>
  <si>
    <t>TECNOLOGIAS Y SISTEMAS DE INFORMACION</t>
  </si>
  <si>
    <t>BIOLOGÍA MOLECULAR</t>
  </si>
  <si>
    <t xml:space="preserve">MATEMATICAS APLICADAS                   </t>
  </si>
  <si>
    <t>INGENIERÍA EN RECURSOS HIDRICOS</t>
  </si>
  <si>
    <t>POLÍTICAS PUBLICAS</t>
  </si>
  <si>
    <t>ARTE Y COMUNICACIÓN DIGITALES</t>
  </si>
  <si>
    <t>BIOLOGÍA AMBIENTAL</t>
  </si>
  <si>
    <t>Doctorado en Ciencias (Química)</t>
  </si>
  <si>
    <t>Doctorado en Ciencias (Ingeniería Química)</t>
  </si>
  <si>
    <t>Maestría en Ciencias (Química)</t>
  </si>
  <si>
    <t>Maestría en Ciencias (Ingeniería Química)</t>
  </si>
  <si>
    <t>Maestria en Ingeniería Biomédica</t>
  </si>
  <si>
    <t>Doctorado en Biotecnología</t>
  </si>
  <si>
    <t>Doctorado en Biología Experimental</t>
  </si>
  <si>
    <t>Maestría en Biotecnología</t>
  </si>
  <si>
    <t>Maestría en Ciencias Farmaceúticas</t>
  </si>
  <si>
    <t>Total 2014</t>
  </si>
  <si>
    <t>Becas para grupos vulnerables pagadas</t>
  </si>
  <si>
    <t>Maestría en Historiografía</t>
  </si>
  <si>
    <t>Doctorado en Diseño (Línea Arquitectura Bioclimática</t>
  </si>
  <si>
    <t>Doctorado en Ciencias (Física)</t>
  </si>
  <si>
    <t>Mujeres</t>
  </si>
  <si>
    <t>Hombres</t>
  </si>
  <si>
    <t xml:space="preserve">Maestría en Literatura Mexicana Contemporánea </t>
  </si>
  <si>
    <t>Doctorado en Física</t>
  </si>
  <si>
    <t>Maestría en Biología De La Reproducción</t>
  </si>
  <si>
    <t xml:space="preserve">Maestría en Ciencias Sociales y Humanidades </t>
  </si>
  <si>
    <t xml:space="preserve">Doctorado en Ciencias  y Tecnologías de la Información </t>
  </si>
  <si>
    <t xml:space="preserve"> CSH</t>
  </si>
  <si>
    <t>Total División</t>
  </si>
  <si>
    <t>Maestría en Rehabilitación Neurologica</t>
  </si>
  <si>
    <t>S N I</t>
  </si>
  <si>
    <t>Nivel 1:  Al interior de las Unidades Académicas</t>
  </si>
  <si>
    <t>b) Servicios proporcionados a la Comunidad Universitaria *</t>
  </si>
  <si>
    <t>PERIODICIDAD</t>
  </si>
  <si>
    <t>No. de benefiviarios</t>
  </si>
  <si>
    <t>DISCIPLINA</t>
  </si>
  <si>
    <t>NO. DE TORNEOS</t>
  </si>
  <si>
    <t>NO. PARTICIPANTES</t>
  </si>
  <si>
    <t>NO. DE SERVICIOS</t>
  </si>
  <si>
    <t>NO. DE BENEFICIARIOS</t>
  </si>
  <si>
    <t>Ajedrez</t>
  </si>
  <si>
    <t>Acondicionamiento Físico</t>
  </si>
  <si>
    <t>Septiembre - Diciembre</t>
  </si>
  <si>
    <t>Basquetbol</t>
  </si>
  <si>
    <t>Baloncesto</t>
  </si>
  <si>
    <t>Simultáneas de Ajedrez, Dominó, Fútbol Coladeritas, Voleibol de Pasto, Juegos de Destreza, Tenis de Mesa y Karaoke</t>
  </si>
  <si>
    <t>Damas Españolas</t>
  </si>
  <si>
    <t>Capoeira</t>
  </si>
  <si>
    <t>Dominó</t>
  </si>
  <si>
    <t>Colchonetas</t>
  </si>
  <si>
    <t>Fútbol Rápido</t>
  </si>
  <si>
    <t>Danza Acrobática</t>
  </si>
  <si>
    <t>Olimpiada UAM 2011</t>
  </si>
  <si>
    <t>Septiembre y Octubre</t>
  </si>
  <si>
    <t>Fútbol 7</t>
  </si>
  <si>
    <t>Desfiles Cívicos</t>
  </si>
  <si>
    <t>Competencia de Fuerza, Voleibol de Playa, Tenis, Ajedrez, Fútbol de Bardas, Baloncesto, Fútbol Asociación y Tenis de Mesa</t>
  </si>
  <si>
    <t>Fútbol Soccer</t>
  </si>
  <si>
    <t>Halterofilia</t>
  </si>
  <si>
    <t>Evaluaciones Físicas</t>
  </si>
  <si>
    <t>Intradivisional CyAD</t>
  </si>
  <si>
    <t>Fútbol Americano</t>
  </si>
  <si>
    <t>Rally de Bienvenida</t>
  </si>
  <si>
    <t>Ler. 12 Sept.</t>
  </si>
  <si>
    <t>Remo y Remo Bajo Techo</t>
  </si>
  <si>
    <t>Cua. 18 Sept</t>
  </si>
  <si>
    <t>Squash</t>
  </si>
  <si>
    <t>Gimnasio de Duela</t>
  </si>
  <si>
    <t>Caminando por la UAM</t>
  </si>
  <si>
    <t>Azc. 10 Oct.</t>
  </si>
  <si>
    <t>Tenis</t>
  </si>
  <si>
    <t>Gimnasio de Pesas y Cardio</t>
  </si>
  <si>
    <t>Corriendo por la UAM</t>
  </si>
  <si>
    <t>Xoc. 24 Oct.</t>
  </si>
  <si>
    <t>Tenis de Mesa</t>
  </si>
  <si>
    <t>Hapkido</t>
  </si>
  <si>
    <t>Izt. 14 Nov.</t>
  </si>
  <si>
    <t>Tochito Bandera Femenil y Mixto</t>
  </si>
  <si>
    <t>Juegos de Mesa</t>
  </si>
  <si>
    <t>Convivencia Deportiva</t>
  </si>
  <si>
    <t>Vencidas</t>
  </si>
  <si>
    <t>Karaoke</t>
  </si>
  <si>
    <t>Fútbol Asociación, Baloncesto, Voleibol, Fútbol Bardas, Karate do, Tae kwon do</t>
  </si>
  <si>
    <t>Octubre</t>
  </si>
  <si>
    <t xml:space="preserve">    Voleibol de Playa</t>
  </si>
  <si>
    <t>Karate do</t>
  </si>
  <si>
    <t>Voleibol de Sala</t>
  </si>
  <si>
    <t>Kendo</t>
  </si>
  <si>
    <t>Natación</t>
  </si>
  <si>
    <t>* Estos servicios se cuentan por usuario atendido, que en algunos casos se repite.</t>
  </si>
  <si>
    <t>Pista de Atletismo y Circuito de Corredores</t>
  </si>
  <si>
    <t>Servicio Médico</t>
  </si>
  <si>
    <t>Spinning</t>
  </si>
  <si>
    <t>Tae Kwon Do</t>
  </si>
  <si>
    <t>Tableros de Ajedrez</t>
  </si>
  <si>
    <t>Voleibol de Playa</t>
  </si>
  <si>
    <t>BENEFICIARIOS</t>
  </si>
  <si>
    <t>PARTICIPANTES</t>
  </si>
  <si>
    <t>SERVICIOS</t>
  </si>
  <si>
    <t>Convivencia Deportiva 2013</t>
  </si>
  <si>
    <t>Junio, Septiembre y Octubre 2013</t>
  </si>
  <si>
    <t xml:space="preserve">Paticipan los equipos representativos de las 5 Unidades Académicas de la UAM en los siguientes deportes: </t>
  </si>
  <si>
    <t>Atletismo</t>
  </si>
  <si>
    <t xml:space="preserve">      Acondicionamiento Físico</t>
  </si>
  <si>
    <t>Actividades Diversas **</t>
  </si>
  <si>
    <t>Basquetbol Tercias           Relámpago y Two Ball</t>
  </si>
  <si>
    <t xml:space="preserve">     Baile</t>
  </si>
  <si>
    <t xml:space="preserve">1.- Ajedrez </t>
  </si>
  <si>
    <t>Sede de los eventos: Las instalaciones de las Unidades Académicas</t>
  </si>
  <si>
    <t>Balonmano</t>
  </si>
  <si>
    <t>Box</t>
  </si>
  <si>
    <t>2.- Atletismo</t>
  </si>
  <si>
    <t>Canotaje</t>
  </si>
  <si>
    <t xml:space="preserve">      Capoeira</t>
  </si>
  <si>
    <t>3.- Baloncesto</t>
  </si>
  <si>
    <t>Danza</t>
  </si>
  <si>
    <t>4.- Fútbol Asociación</t>
  </si>
  <si>
    <t>5.- Fútbol Rápid</t>
  </si>
  <si>
    <t>Dominó (juegos de destreza)</t>
  </si>
  <si>
    <t>6.- Karate Do</t>
  </si>
  <si>
    <t>Grupo de Animación</t>
  </si>
  <si>
    <t>7.- Lev. Olímpico de Pesas</t>
  </si>
  <si>
    <t>Full Contact</t>
  </si>
  <si>
    <t>8.- Tae Kwon Do</t>
  </si>
  <si>
    <t xml:space="preserve">9.- Tenis </t>
  </si>
  <si>
    <t>Karate Do</t>
  </si>
  <si>
    <t>10.- Tenis de Mesa</t>
  </si>
  <si>
    <t>Paseo Ciclista</t>
  </si>
  <si>
    <t>11.- Voleibol de Playa</t>
  </si>
  <si>
    <t>Gap</t>
  </si>
  <si>
    <t>12.- Voleibol de Sala</t>
  </si>
  <si>
    <t>Gimnasio de Duela ***</t>
  </si>
  <si>
    <t>Serial Atlético "Corriendo por la UAM" 2013</t>
  </si>
  <si>
    <t>Lerma 4 de Septiembre</t>
  </si>
  <si>
    <t>Cuajimalpa 13 de Septiembre</t>
  </si>
  <si>
    <t>Serial Atlético "Caminando por la UAM" 2013</t>
  </si>
  <si>
    <t>Azcapotzalco 27 de Septiembre</t>
  </si>
  <si>
    <t>Xochimilco 11 de Octubre</t>
  </si>
  <si>
    <t>Tae kwon do</t>
  </si>
  <si>
    <t>Iztapalapa 25 de Octubre</t>
  </si>
  <si>
    <t>Lacrosse</t>
  </si>
  <si>
    <t>Parkour</t>
  </si>
  <si>
    <t>Pláticas de Juego Limpio</t>
  </si>
  <si>
    <t xml:space="preserve">* Estos servicios se cuentan por usuario atendido, que en algunos casos se repite.                                     </t>
  </si>
  <si>
    <t xml:space="preserve"> ** Se reporta en bloque ya que son varias actividades con poca participación</t>
  </si>
  <si>
    <t>*** Son los dias de clases que corresponden a tres trimestres del año</t>
  </si>
  <si>
    <t>Voleibol</t>
  </si>
  <si>
    <t>Yoga</t>
  </si>
  <si>
    <t>Zumba</t>
  </si>
  <si>
    <t>ESPECTADORES</t>
  </si>
  <si>
    <t>Convivencia Deportiva 2012</t>
  </si>
  <si>
    <t>Julio 2012</t>
  </si>
  <si>
    <t>Artes Marciales</t>
  </si>
  <si>
    <t>Basquetbol Tercias                              Relámpago y Two Ball</t>
  </si>
  <si>
    <t>Campamento Deportivo</t>
  </si>
  <si>
    <t>1.- Ajedrez   2.- Atletismo    3.- Baloncesto 4.- Fútbol Asociación 5.- Fútbol Rápido 6.- Karate Do 7.- Lev. Olímpico de Pesas 8.- Tae Kwon Do 9.- Tenis 10.- Tenis de Mesa 11.- Voleibol de Playa 12.- Voleibol de Sala</t>
  </si>
  <si>
    <t>Prog. Diversificación Acts. Deportivas</t>
  </si>
  <si>
    <t>Pesas</t>
  </si>
  <si>
    <t>Fisicoconstructivismo</t>
  </si>
  <si>
    <t>Olimpiada UAM 2012</t>
  </si>
  <si>
    <t>Septiembre - Octubre 2012</t>
  </si>
  <si>
    <t>Gimnasia</t>
  </si>
  <si>
    <t>Participan equipos de alumnos de las 5 Unidades Académicas en los siguientes deportes: 1.- Ajedrez  2.- Baloncesto 3.- Fisicoconstructivismo 4.- Fútbol Asociación 5.- Fútbol Rápido 6.- Levantamiento de Potencia 7.- Tenis de Mesa 8.- Voliebol de Playa</t>
  </si>
  <si>
    <t>Fútbolito</t>
  </si>
  <si>
    <t>Interdivisional CBI, CSH y CyAD</t>
  </si>
  <si>
    <t>Serial Atlético "Corriendo por la UAM" 2012</t>
  </si>
  <si>
    <t>Cuajimalpa 11 de Octubre</t>
  </si>
  <si>
    <t>Azcapotzalco 26 de Octubre</t>
  </si>
  <si>
    <t>Serial Atlético "Caminando por la UAM" 2012</t>
  </si>
  <si>
    <t>Xochimilco 9 de Noviembre</t>
  </si>
  <si>
    <t>Lerma 16 de Noviembre</t>
  </si>
  <si>
    <t>Iztapalapa 23 de Noviembre</t>
  </si>
  <si>
    <t>* Estos servicios se cuentan por usuario atendido, que en algunos casos se repite.    ** Se reporta en bloque ya que son varias actividades con poca participación</t>
  </si>
  <si>
    <t>Artes Marciales Mixtas</t>
  </si>
  <si>
    <t>Caminata por la Salud</t>
  </si>
  <si>
    <t>Clase abierta de Zumba</t>
  </si>
  <si>
    <t>Fútbol Rápido Tercias</t>
  </si>
  <si>
    <t>Voleibol Tercias</t>
  </si>
  <si>
    <t xml:space="preserve">    Voleibol</t>
  </si>
  <si>
    <t xml:space="preserve">      Actividades Diversas</t>
  </si>
  <si>
    <t>Danza Árabe y Polinesia</t>
  </si>
  <si>
    <t>Jazz</t>
  </si>
  <si>
    <t>Tahitiano y Hawwaiano</t>
  </si>
  <si>
    <t>Olimpiada UAM 2010</t>
  </si>
  <si>
    <t>Anual</t>
  </si>
  <si>
    <t>4 carreras por año</t>
  </si>
  <si>
    <t>4 eventos por año</t>
  </si>
  <si>
    <t>No. DE TORNEOS</t>
  </si>
  <si>
    <t>No. PARTICIPANTES</t>
  </si>
  <si>
    <t>No. DE SERVICIOS</t>
  </si>
  <si>
    <t>No. DE BENEFICIARIOS</t>
  </si>
  <si>
    <t>Basquetbol Tercias</t>
  </si>
  <si>
    <t>Caminata por el Día Mundial del Medio Ambiente</t>
  </si>
  <si>
    <t>Competencia de Pesas</t>
  </si>
  <si>
    <t>Fitness</t>
  </si>
  <si>
    <t>Concurso de Karaoke</t>
  </si>
  <si>
    <t>Damas españolas</t>
  </si>
  <si>
    <t>Fútbol Sala</t>
  </si>
  <si>
    <t>Remo bajo Techo</t>
  </si>
  <si>
    <t>Tochito Flag (Mixto)</t>
  </si>
  <si>
    <t>Tochito Bandera</t>
  </si>
  <si>
    <t>Fútbol rápido</t>
  </si>
  <si>
    <t>Fútbol soccer</t>
  </si>
  <si>
    <t xml:space="preserve">Basquetbol </t>
  </si>
  <si>
    <t>Acondicionamiento físico</t>
  </si>
  <si>
    <t>Torneos divisionales</t>
  </si>
  <si>
    <t>Tochito varonil</t>
  </si>
  <si>
    <t>Futbol rápido</t>
  </si>
  <si>
    <t>XOCHIMILCO*</t>
  </si>
  <si>
    <t xml:space="preserve">Atletismo </t>
  </si>
  <si>
    <t>Karate, Tae Kwon Do</t>
  </si>
  <si>
    <t>Remo</t>
  </si>
  <si>
    <t>NÚMERO DE PARTICIPANTES</t>
  </si>
  <si>
    <t>Fútbol soccer 7</t>
  </si>
  <si>
    <t>Tochito bandera</t>
  </si>
  <si>
    <t>Tenis de mesa</t>
  </si>
  <si>
    <t>Torneo de fisicoconstructivismo</t>
  </si>
  <si>
    <t>Torneo de fuerza</t>
  </si>
  <si>
    <t xml:space="preserve">Torneos divisionales </t>
  </si>
  <si>
    <t xml:space="preserve">Tenis </t>
  </si>
  <si>
    <t xml:space="preserve"> Tenis de mesa</t>
  </si>
  <si>
    <t>Levantamiento de pesas</t>
  </si>
  <si>
    <t>Remo bajo techo</t>
  </si>
  <si>
    <t>Olimpiada UAM 2009</t>
  </si>
  <si>
    <t>FESTI UAM</t>
  </si>
  <si>
    <t>Olimpiada UAM 2008</t>
  </si>
  <si>
    <t>BENEFICIARIOS 2009</t>
  </si>
  <si>
    <t>BENEFICIARIOS 2010</t>
  </si>
  <si>
    <t>BENEFICIARIOS 2011</t>
  </si>
  <si>
    <t>BENEFICIARIOS 2012</t>
  </si>
  <si>
    <t>BENEFICIARIOS 2013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</si>
  <si>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</si>
  <si>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2014</t>
    </r>
  </si>
  <si>
    <r>
      <t xml:space="preserve">Nivel 1:  Al interior de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</si>
  <si>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Nivel 2: Entre las Unidades académicas </t>
    </r>
    <r>
      <rPr>
        <sz val="10"/>
        <color rgb="FFFF0000"/>
        <rFont val="Calibri"/>
        <family val="2"/>
        <scheme val="minor"/>
      </rPr>
      <t>2013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</si>
  <si>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2013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</si>
  <si>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</si>
  <si>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2012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</si>
  <si>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2012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</si>
  <si>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2014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</si>
  <si>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</si>
  <si>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2: Entre las Unidades académicas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</si>
  <si>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a) Torneos Internos * </t>
    </r>
    <r>
      <rPr>
        <b/>
        <sz val="10"/>
        <color rgb="FFFF0000"/>
        <rFont val="Calibri"/>
        <family val="2"/>
        <scheme val="minor"/>
      </rPr>
      <t>2011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</si>
  <si>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</si>
  <si>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</si>
  <si>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a) Torneos Internos *</t>
    </r>
    <r>
      <rPr>
        <b/>
        <sz val="10"/>
        <color rgb="FFFF0000"/>
        <rFont val="Calibri"/>
        <family val="2"/>
        <scheme val="minor"/>
      </rPr>
      <t xml:space="preserve"> 2010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</si>
  <si>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2009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</si>
  <si>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2008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</si>
  <si>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2009</t>
    </r>
  </si>
  <si>
    <r>
      <t xml:space="preserve">DISCIPLINA </t>
    </r>
    <r>
      <rPr>
        <b/>
        <sz val="10"/>
        <color rgb="FFFF0000"/>
        <rFont val="Calibri"/>
        <family val="2"/>
        <scheme val="minor"/>
      </rPr>
      <t>2008</t>
    </r>
  </si>
  <si>
    <t>1974-2003</t>
  </si>
  <si>
    <t>Planes EVALUABLES</t>
  </si>
  <si>
    <t>Acreditados</t>
  </si>
  <si>
    <t>%</t>
  </si>
  <si>
    <t>Planes en proceso</t>
  </si>
  <si>
    <r>
      <t>Planes</t>
    </r>
    <r>
      <rPr>
        <sz val="11"/>
        <color indexed="8"/>
        <rFont val="Calibri"/>
        <family val="2"/>
        <scheme val="minor"/>
      </rPr>
      <t xml:space="preserve"> Trim.14-O</t>
    </r>
  </si>
  <si>
    <t>Planes de buena calidad 2014</t>
  </si>
  <si>
    <t>Planes de buena calidad 2013</t>
  </si>
  <si>
    <t>PLANES de estudio de LICENCIATURA de buena calidad</t>
  </si>
  <si>
    <t>Planes de buena calidad 2012</t>
  </si>
  <si>
    <r>
      <t>Planes</t>
    </r>
    <r>
      <rPr>
        <sz val="11"/>
        <color indexed="8"/>
        <rFont val="Calibri"/>
        <family val="2"/>
        <scheme val="minor"/>
      </rPr>
      <t xml:space="preserve"> Trim.13-O</t>
    </r>
  </si>
  <si>
    <r>
      <t>Planes</t>
    </r>
    <r>
      <rPr>
        <sz val="11"/>
        <color indexed="8"/>
        <rFont val="Calibri"/>
        <family val="2"/>
        <scheme val="minor"/>
      </rPr>
      <t xml:space="preserve"> Trim.12-O</t>
    </r>
  </si>
  <si>
    <t>Planes de buena calidad 2011</t>
  </si>
  <si>
    <t>Planes de buena calidad 2010</t>
  </si>
  <si>
    <t>ORGANISMOS ACREDITADORES O EVALUADORES</t>
  </si>
  <si>
    <t>NIVEL CIEES</t>
  </si>
  <si>
    <t xml:space="preserve">AÑO DE ACREDITACIÓN O EVALUACIÓN </t>
  </si>
  <si>
    <t>VIGENCIA</t>
  </si>
  <si>
    <t>OBSERVACIONES</t>
  </si>
  <si>
    <t>Ciencias Básicas e Ingeniería (CBI)</t>
  </si>
  <si>
    <t xml:space="preserve">Ingeniería Ambiental </t>
  </si>
  <si>
    <t>CACEI</t>
  </si>
  <si>
    <t xml:space="preserve">Ingeniería Civil </t>
  </si>
  <si>
    <t xml:space="preserve">Ingeniería Eléctrica </t>
  </si>
  <si>
    <t xml:space="preserve">Ingeniería Física </t>
  </si>
  <si>
    <t xml:space="preserve">Ingeniería Industrial </t>
  </si>
  <si>
    <t xml:space="preserve">Ingeniería Mecánica </t>
  </si>
  <si>
    <t xml:space="preserve">Ingeniería Metalúrgica </t>
  </si>
  <si>
    <t xml:space="preserve">Ingeniería Química </t>
  </si>
  <si>
    <t xml:space="preserve">Ingeniería Electrónica </t>
  </si>
  <si>
    <t>Ciencias Sociales y Humanidades (CSH)</t>
  </si>
  <si>
    <t>CIEES</t>
  </si>
  <si>
    <t>ACCECISO</t>
  </si>
  <si>
    <t>Ciencias y Artes para el Diseño (CAD)</t>
  </si>
  <si>
    <t>ANPADEH</t>
  </si>
  <si>
    <t>COMAPROD</t>
  </si>
  <si>
    <t xml:space="preserve">CACEI: Consejo de Acreditación de la Enseñanza de la Ingeniería, A.C. </t>
  </si>
  <si>
    <t>CACECA: Consejo de Acreditación en la Enseñanza de la Contaduría y Administración, A.C.</t>
  </si>
  <si>
    <t>CIEES: Comités Interinstitucionales para la Evaluación de la Eduación Superior, A. C.</t>
  </si>
  <si>
    <t xml:space="preserve">CONACE: Consejo Nacional de Acreditación de la Ciencia Económica, A.C. </t>
  </si>
  <si>
    <t xml:space="preserve">ACCECISO: Asociación para la Acreditación y Certificación en Ciencias Sociales, A.C. </t>
  </si>
  <si>
    <t>ANPADEH: Acreditadora Nacional de Programas de Arquitectura y Disciplinas del Espacio Habitable, A. C.</t>
  </si>
  <si>
    <t>COMAPROD: Consejo Mexicano para la Acreditación de Programas de Diseño, A. C.</t>
  </si>
  <si>
    <r>
      <t>OBSERVACIONES</t>
    </r>
    <r>
      <rPr>
        <sz val="11"/>
        <rFont val="Calibri"/>
        <family val="2"/>
        <scheme val="minor"/>
      </rPr>
      <t xml:space="preserve"> (Fecha de creación)</t>
    </r>
  </si>
  <si>
    <t xml:space="preserve">Administración </t>
  </si>
  <si>
    <t xml:space="preserve">Estudios Socioterritoriales </t>
  </si>
  <si>
    <t>25 mayo, 2007</t>
  </si>
  <si>
    <t>Ciencias de la Comunicación y Diseño (CCD)</t>
  </si>
  <si>
    <t xml:space="preserve">Tecnologías y Sistemas de Información </t>
  </si>
  <si>
    <t>Ciencias Naturales e Ingeniería (CNI)</t>
  </si>
  <si>
    <t xml:space="preserve">Ingeniería en Computación </t>
  </si>
  <si>
    <t xml:space="preserve">Ingeniería Biológica </t>
  </si>
  <si>
    <t>FUENTE: Comités Interinstitucionales para la Evaluación de la Educación Superior (CIEES), SEP, Consejo para la Acreditación de la Educación Superior (COPAES)</t>
  </si>
  <si>
    <t xml:space="preserve">Ingeniería Biomédica </t>
  </si>
  <si>
    <t xml:space="preserve">Ingeniería Hidrológica </t>
  </si>
  <si>
    <t xml:space="preserve">Matemáticas  </t>
  </si>
  <si>
    <t>CONAIC</t>
  </si>
  <si>
    <t>Ciencias Sociales y Humanidades CSH)</t>
  </si>
  <si>
    <t xml:space="preserve">Lingüística </t>
  </si>
  <si>
    <t xml:space="preserve">Geografía Humana </t>
  </si>
  <si>
    <t>Ciencias Biológicas y de la Salud (CBS)</t>
  </si>
  <si>
    <t xml:space="preserve">Biología Experimental </t>
  </si>
  <si>
    <t xml:space="preserve">CONAIC: Consejo Nacional de Acreditación en Informática y Computación, A.C. </t>
  </si>
  <si>
    <t xml:space="preserve">CACECA: Consejo de Acreditación en la Enseñanza de la Contaduría y Administración, A.C. </t>
  </si>
  <si>
    <t xml:space="preserve">CNEIP: Consejo Nacional para la Enseñanza e Investigación en Psicología, A.C. </t>
  </si>
  <si>
    <t xml:space="preserve">ANPROMAR: Asociación Nacional de Profesionales del Mar, A.C. </t>
  </si>
  <si>
    <t xml:space="preserve">Ingeniería en Recursos Hidrícos </t>
  </si>
  <si>
    <t xml:space="preserve">Políticas Públicas </t>
  </si>
  <si>
    <t>CACEB</t>
  </si>
  <si>
    <t>Estomatología (Odontología)</t>
  </si>
  <si>
    <t>Química Farmaceútica Biológica</t>
  </si>
  <si>
    <t>Medicina (Médico Cirujano)</t>
  </si>
  <si>
    <t>COMAEM</t>
  </si>
  <si>
    <t xml:space="preserve">Planeación Territorial </t>
  </si>
  <si>
    <t>CONACE: Consejo Nacional de Acreditación de la Ciencia Económica A.C.</t>
  </si>
  <si>
    <t>CACEB: Comité de Acreditación y Certificación de la Licenciatura en Biología, A.C.</t>
  </si>
  <si>
    <t xml:space="preserve">COMACE: Consejo Mexicano para la  Acreditación y Certificación de la Enfermería, A.C. </t>
  </si>
  <si>
    <t xml:space="preserve">CONAEDO: Consejo Nacional de Educación Odontológica, A.C. </t>
  </si>
  <si>
    <t xml:space="preserve">COMEAA: Comité Mexicano de Acreditación de la Educación Agronómica, A.C. </t>
  </si>
  <si>
    <t xml:space="preserve">COMAEM: Consejo Mexicano para la Acreditación de la Educación Médica, A.C. </t>
  </si>
  <si>
    <t>CONCAPREN: Consejo Nacional para la Calidad de Programas Educativos en Nutriología, A.C.</t>
  </si>
  <si>
    <t xml:space="preserve">ANPADEH: Acreditadora Nacional de Programas de Arquitectura y Disciplinas del Espacio Habitable, A. C. </t>
  </si>
  <si>
    <t>Consolidado</t>
  </si>
  <si>
    <t>En desarrollo</t>
  </si>
  <si>
    <t>Reciente creación</t>
  </si>
  <si>
    <t xml:space="preserve">Especialización en Historiografía </t>
  </si>
  <si>
    <t>Maestría  en Sociología</t>
  </si>
  <si>
    <t>FUENTE: Padrón del Programa Nacional de Posgrados de Calidad del CONACYT</t>
  </si>
  <si>
    <t>PNPC: Programa Nacional de Posgrados de Calidad</t>
  </si>
  <si>
    <t>INTERUNIDADES</t>
  </si>
  <si>
    <t>CBS Y CNI</t>
  </si>
  <si>
    <t>Incorporados al PNPC</t>
  </si>
  <si>
    <t>Competencia internacional</t>
  </si>
  <si>
    <t>En proceso</t>
  </si>
  <si>
    <t>Planes de estudio por nivel 2014</t>
  </si>
  <si>
    <t>Planes de estudio en el PNPC 2014</t>
  </si>
  <si>
    <t>Posgrado en Ciencias Sociales y Humanidades (Maestría)</t>
  </si>
  <si>
    <t>Posgrado en Ciencias Sociales y Humanidades (Doctorado)</t>
  </si>
  <si>
    <t>Maestría en Ciencias (Matemáticas Aplicadas e Industriales)</t>
  </si>
  <si>
    <t>Maestría en Ciencias (Física)</t>
  </si>
  <si>
    <t>Maestría en Ciencias (Matemáticas)</t>
  </si>
  <si>
    <t>Maestría en Ciencias (Ingeniería Biomédica)</t>
  </si>
  <si>
    <t>Compartido con CBS</t>
  </si>
  <si>
    <t>Doctorado en Ciencias (Matemáticas)</t>
  </si>
  <si>
    <t>Doctorado en Ciencias (Ingeniería Biomédica)</t>
  </si>
  <si>
    <t>Posgrado en Ciencias y Tecnologías de la Información (Doctorado)</t>
  </si>
  <si>
    <t>Compartido con CBI</t>
  </si>
  <si>
    <t xml:space="preserve">Especialización en Desarrollo Rural </t>
  </si>
  <si>
    <t xml:space="preserve">Maestría en Comunicación y Política </t>
  </si>
  <si>
    <t xml:space="preserve">Maestría en Desarrollo Rural </t>
  </si>
  <si>
    <t>Especialización en Población y Salud</t>
  </si>
  <si>
    <t>CBS y CNI</t>
  </si>
  <si>
    <t>Planes de estudio por nivel 2013</t>
  </si>
  <si>
    <t>Planes de estudio en el PNPC 2013</t>
  </si>
  <si>
    <t>Planes de estudio acreditados o evaluados 2010</t>
  </si>
  <si>
    <t>Planes de estudio por nivel 2010</t>
  </si>
  <si>
    <t>Fuente: Oficina de Posgrado, Conacyt</t>
  </si>
  <si>
    <t>Planes de estudio acreditados o evaluados 2011</t>
  </si>
  <si>
    <t>Planes de estudio por nivel 2011</t>
  </si>
  <si>
    <t>Planes de estudio en el PNPC 2012</t>
  </si>
  <si>
    <t>Planes de estudio por nivel 2012</t>
  </si>
  <si>
    <t>Becas de Excelencia</t>
  </si>
  <si>
    <t>Resumen</t>
  </si>
  <si>
    <t>Planes de estudio</t>
  </si>
  <si>
    <t>ADMITIDOS POR GÉNERO</t>
  </si>
  <si>
    <t>Beca para integrantes de grupos vulnerables</t>
  </si>
  <si>
    <t>Beca de Movilidad Nacional (licenciatura)</t>
  </si>
  <si>
    <t>Beca para estudiantes de licenciatura en instituciones de educación superior en el extranjero en acciones de movilidad en la UAM</t>
  </si>
  <si>
    <t>BECAS UAM</t>
  </si>
  <si>
    <t>No.</t>
  </si>
  <si>
    <t>Nombre de la beca</t>
  </si>
  <si>
    <t>Beca para participar en Eventos de Difusión y de Investigación en Ciencia y Tecnología UAM</t>
  </si>
  <si>
    <t>Becas UAM pagadas</t>
  </si>
  <si>
    <t>ASPIRANTES A LICENCIATURA POR TRIMESTRE DE INGRESO</t>
  </si>
  <si>
    <t xml:space="preserve">ASPIRANTES POR GÉNERO </t>
  </si>
  <si>
    <t xml:space="preserve">ADMITIDOS TOTALES A LICENCIATURA POR TRIMESTRE DE INGRESO </t>
  </si>
  <si>
    <t xml:space="preserve">ADMITIDOS A LICENCIATURA POR TRIMESTRE DE INGRESO </t>
  </si>
  <si>
    <t xml:space="preserve">Histórico Datos Socioeconómicos Admitidos </t>
  </si>
  <si>
    <t xml:space="preserve">INSCRITOS DE PRIMER INGRESO A LICENCIATURA POR TRIMESTRE </t>
  </si>
  <si>
    <t xml:space="preserve">Histórico Datos Socioeconómicos Nuevo Ingreso </t>
  </si>
  <si>
    <t xml:space="preserve">INSCRITOS DE PRIMER INGRESO A LICENCIATURA POR TRIMESTRE DE INGRESO </t>
  </si>
  <si>
    <t xml:space="preserve">BAJAS DEFINITIVAS DE ALUMNOS DE LICENCIATURA </t>
  </si>
  <si>
    <t xml:space="preserve">BAJAS REGLAMENTARIAS DE ALUMNOS DE LICENCIATURA </t>
  </si>
  <si>
    <t xml:space="preserve">ESTUDIANTES QUE TERMINARON ESTUDIOS DE LICENCIATURA POR TRIMESTRE </t>
  </si>
  <si>
    <t xml:space="preserve">TITULADOS DE LICENCIATURA </t>
  </si>
  <si>
    <t xml:space="preserve">INSCRITOS DE PRIMER INGRESO POR POSGRADO Y TRIMESTRE </t>
  </si>
  <si>
    <t>De 7,000 a 9,999</t>
  </si>
  <si>
    <t xml:space="preserve">RESUMEN DE INGRESOS POR APOYOS EXTERNOS </t>
  </si>
  <si>
    <t xml:space="preserve">Nacionales </t>
  </si>
  <si>
    <t xml:space="preserve">Extranjeros </t>
  </si>
  <si>
    <t>Convenio por Unidad</t>
  </si>
  <si>
    <r>
      <t>UNIDAD</t>
    </r>
    <r>
      <rPr>
        <sz val="10"/>
        <color indexed="8"/>
        <rFont val="Arial"/>
        <family val="2"/>
      </rPr>
      <t xml:space="preserve"> </t>
    </r>
  </si>
  <si>
    <r>
      <t>Nacionales</t>
    </r>
    <r>
      <rPr>
        <sz val="10"/>
        <color indexed="8"/>
        <rFont val="Arial"/>
        <family val="2"/>
      </rPr>
      <t xml:space="preserve"> </t>
    </r>
  </si>
  <si>
    <r>
      <t>Extranjeros</t>
    </r>
    <r>
      <rPr>
        <sz val="10"/>
        <color indexed="8"/>
        <rFont val="Arial"/>
        <family val="2"/>
      </rPr>
      <t xml:space="preserve"> </t>
    </r>
  </si>
  <si>
    <r>
      <t>Total UAM</t>
    </r>
    <r>
      <rPr>
        <sz val="10"/>
        <color indexed="8"/>
        <rFont val="Arial"/>
        <family val="2"/>
      </rPr>
      <t xml:space="preserve"> </t>
    </r>
  </si>
  <si>
    <t xml:space="preserve">Azcapotzalco </t>
  </si>
  <si>
    <t xml:space="preserve">Cuajimalpa </t>
  </si>
  <si>
    <t>La categoría aspirantes considera a los que presentan el examen de admisión.</t>
  </si>
  <si>
    <t>La categoría admitidos  comprende a los elegidos en los procesos de selección. A partir del 2004 se incluyen los datos de admitidos por lista complementaria</t>
  </si>
  <si>
    <t>de 10,000 a 14,999</t>
  </si>
  <si>
    <t>de 15,000 o más</t>
  </si>
  <si>
    <t>La eficiencia terminal muestra el comportamiento de egresados por año de ingreso; para medicina se considera un año anterior por ser un plan de 5 años.</t>
  </si>
  <si>
    <t>FUENTE: Unidades Universitarias</t>
  </si>
  <si>
    <t>La categoría estudiantes que terminaron estudios de posgrado incluye a las personas que en el año de referencia acreditaron el plan de estudios y/o se graduaron.</t>
  </si>
  <si>
    <t>Fuente: proyectos registrados en el COFON en 2014</t>
  </si>
  <si>
    <t xml:space="preserve">Beca para estudios de lenguas extranjeras </t>
  </si>
  <si>
    <t>Ing. Ambiental</t>
  </si>
  <si>
    <t>Ing. Civil</t>
  </si>
  <si>
    <t>Ing. Eléctrica</t>
  </si>
  <si>
    <t>Ing. Electrónica</t>
  </si>
  <si>
    <t>Ing. Física</t>
  </si>
  <si>
    <t>Ing. Industrial</t>
  </si>
  <si>
    <t>Ing. Mecánica</t>
  </si>
  <si>
    <t>Ing. Metalúrgica</t>
  </si>
  <si>
    <t>Ing. Química</t>
  </si>
  <si>
    <t>TOTAL DIVISIÓN</t>
  </si>
  <si>
    <t>CyAD</t>
  </si>
  <si>
    <t>Ing. Biológica</t>
  </si>
  <si>
    <t>Ing. Biomédica</t>
  </si>
  <si>
    <t>Ing. En Energía</t>
  </si>
  <si>
    <t>Ing. Hidrológica</t>
  </si>
  <si>
    <t>Ing. De los Alimentos</t>
  </si>
  <si>
    <t>Ing. Recursos Hídricos</t>
  </si>
  <si>
    <t>Maestría en Diseño: Estudios Urbanos</t>
  </si>
  <si>
    <t>Beca de movilidad internacional</t>
  </si>
  <si>
    <t>Beca de movilidad nacional</t>
  </si>
  <si>
    <t>Plan de estudios</t>
  </si>
  <si>
    <t xml:space="preserve">Femenino </t>
  </si>
  <si>
    <t>Masulino</t>
  </si>
  <si>
    <t>Histórico Datos Socioeconómicos Inscritos</t>
  </si>
  <si>
    <t>ALUMNOS QUE REGISTRARON ACTIVIDAD ACADÉMICA A NIVEL LICENCIATURA</t>
  </si>
  <si>
    <t xml:space="preserve">ALUMNOS QUE REGISTRARON ACTIVIDAD ACADÉMICA A NIVEL LICENCIATURA </t>
  </si>
  <si>
    <t>ESTUDIANTES QUE TERMINARON ESTUDIOS DE LICENCIATURA</t>
  </si>
  <si>
    <t>ESTUDIANTES QUE TERMINARON ESTUDIOS DE LICENCIATURA GÉNERO</t>
  </si>
  <si>
    <t>TRIMESTRES CURSADOS PROMEDIO PARA TERMINAR ESTUDIOS DE LICENCIATURA</t>
  </si>
  <si>
    <t>Trimestres cursados promedio para terminar estudios de licenciatura</t>
  </si>
  <si>
    <t>ASPIRANTES DE PRIMER INGRESO A POSGRADO</t>
  </si>
  <si>
    <t>INSCRITOS DE PRIMER INGRESO A POSGRADO</t>
  </si>
  <si>
    <t>ALUMNOS DE POSGRADO QUE REGISTRARON ACTIVIDAD ACADEMICA</t>
  </si>
  <si>
    <t>ESTUDIANTES QUE TERMINARON ESTUDIOS DE POSGRADO</t>
  </si>
  <si>
    <t>Cambia de nombre a Becas de Manutención</t>
  </si>
  <si>
    <t>Total (TC, MT, TP)</t>
  </si>
  <si>
    <t>HISTÓRICO DE BECAS Y ESTÍMULOS AL PERSONAL ACADÉMICO</t>
  </si>
  <si>
    <t>Especialización + Maestría</t>
  </si>
  <si>
    <t>ACTIVIDADES  EVALUADAS POR LAS COMISIONES DICTAMINADORAS POR UNIDAD</t>
  </si>
  <si>
    <t>ACTIVIDADES ACADÉMICAS RELACIONADAS CON LA INVESTIGACIÓN POR UNIDAD Y AÑO DE EVALUACIÓN</t>
  </si>
  <si>
    <t>ASISTENTE</t>
  </si>
  <si>
    <t>ASOCIADO</t>
  </si>
  <si>
    <t>TITULAR</t>
  </si>
  <si>
    <t>FUENTE: Base de Nómina correspondiente a la quincena  20 de cada año.</t>
  </si>
  <si>
    <t>Titular</t>
  </si>
  <si>
    <t>Asociado</t>
  </si>
  <si>
    <t>Asistente</t>
  </si>
  <si>
    <t>Tiempo Completo</t>
  </si>
  <si>
    <t>Medio Tiempo</t>
  </si>
  <si>
    <t>Tiempo Parcial</t>
  </si>
  <si>
    <r>
      <t xml:space="preserve">PERSONAL ACADÉMICO DEFINITIVO DE </t>
    </r>
    <r>
      <rPr>
        <b/>
        <i/>
        <sz val="12"/>
        <color rgb="FFCC9900"/>
        <rFont val="Calibri"/>
        <family val="2"/>
        <scheme val="minor"/>
      </rPr>
      <t>TIEMPO COMPLETO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</si>
  <si>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MEDIO TIEMPO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</si>
  <si>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>PERSONAL ACADÉMICO DEFINITIVO DE</t>
    </r>
    <r>
      <rPr>
        <b/>
        <sz val="12"/>
        <color rgb="FFCC9900"/>
        <rFont val="Calibri"/>
        <family val="2"/>
        <scheme val="minor"/>
      </rPr>
      <t xml:space="preserve"> </t>
    </r>
    <r>
      <rPr>
        <b/>
        <i/>
        <sz val="12"/>
        <color rgb="FFCC9900"/>
        <rFont val="Calibri"/>
        <family val="2"/>
        <scheme val="minor"/>
      </rPr>
      <t>TIEMPO PARCIAL</t>
    </r>
    <r>
      <rPr>
        <b/>
        <sz val="12"/>
        <color indexed="8"/>
        <rFont val="Calibri"/>
        <family val="2"/>
        <scheme val="minor"/>
      </rPr>
      <t xml:space="preserve"> POR CATEGORÍA</t>
    </r>
  </si>
  <si>
    <r>
      <t xml:space="preserve">PERSONAL ACADÉMICO DEFINITIVO </t>
    </r>
    <r>
      <rPr>
        <b/>
        <i/>
        <sz val="12"/>
        <color theme="8" tint="-0.249977111117893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POR CATEGORÍA (TOTAL)</t>
    </r>
  </si>
  <si>
    <t>Posgrado en Diseño Bioclimático</t>
  </si>
  <si>
    <t>Posgrado en Diseño y Desarrollo de Productos</t>
  </si>
  <si>
    <t>Posgrado en Diseño y Estudios Urbanos</t>
  </si>
  <si>
    <t>Posgrado en Diseño, Planificación y Conservación de Paisajes y Jardines</t>
  </si>
  <si>
    <t>Posgrado en Diseño y Visualización de la Información</t>
  </si>
  <si>
    <t>Posgrado en Diseño para la Rehabilitación, Recuperación y Conservación del Patrimonio Construido</t>
  </si>
  <si>
    <t>Posgrado en Diseño Bioclimatico</t>
  </si>
  <si>
    <r>
      <t>ALUMNOS ATENDIDOS DE</t>
    </r>
    <r>
      <rPr>
        <b/>
        <sz val="12"/>
        <color rgb="FFCC9900"/>
        <rFont val="Arial"/>
        <family val="2"/>
      </rPr>
      <t xml:space="preserve"> LICENCIATURA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</si>
  <si>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3 Tiempo Parcial = 1 Tiempo Completo</t>
  </si>
  <si>
    <t>2 Medio Tiempo = 1 Tiempo Completo</t>
  </si>
  <si>
    <t>Personal academico definitivo estandarizado</t>
  </si>
  <si>
    <t>1 Doctorado = 3 Licenciatura</t>
  </si>
  <si>
    <t>1 Maestría = 2 Licenciatura</t>
  </si>
  <si>
    <t>1 Especialización = 1 Licenciatura</t>
  </si>
  <si>
    <t>Alumnos atendidos de posgrado estandarizados</t>
  </si>
  <si>
    <r>
      <t>Planes</t>
    </r>
    <r>
      <rPr>
        <sz val="10"/>
        <color indexed="8"/>
        <rFont val="Arial"/>
        <family val="2"/>
      </rPr>
      <t xml:space="preserve"> Trim.15-O</t>
    </r>
  </si>
  <si>
    <t>Planes de buena calidad 2015</t>
  </si>
  <si>
    <t>NIVEL PNPC</t>
  </si>
  <si>
    <t>Posgrado en Diseño, Planificación y Conservación de Paisajes y Jardines (Especialización)</t>
  </si>
  <si>
    <t>Posgrado en Diseño Bioclimatico (Maestría)</t>
  </si>
  <si>
    <t>Posgrado en Diseño y Desarrollo de Productos (Maestría)</t>
  </si>
  <si>
    <t>Posgrado en Diseño y Estudios Urbanos (Maestría)</t>
  </si>
  <si>
    <t>Posgrado en Diseño, Planificación y Conservación de Paisajes y Jardines (Maestría)</t>
  </si>
  <si>
    <t>Posgrado en Diseño y Visualización de la Información (Maestría)</t>
  </si>
  <si>
    <t>Posgrado en Diseño para la Rehabilitación, Recuperación y Conservación del Patrimonio Construido (Maestría)</t>
  </si>
  <si>
    <t>Posgrado en Diseño Bioclimatico (Doctorado)</t>
  </si>
  <si>
    <t>Posgrado en Diseño y Desarrollo de Productos  (Doctorado)</t>
  </si>
  <si>
    <t>Posgrado en Diseño y Estudios Urbanos (Doctorado)</t>
  </si>
  <si>
    <t>Posgrado en Diseño, Planificación y Conservación de Paisajes y Jardines  (Doctorado)</t>
  </si>
  <si>
    <t>Posgrado en Diseño y Visualización de la Información  (Doctorado)</t>
  </si>
  <si>
    <t>Posgrado en Diseño para la Rehabilitación, Recuperación y Conservación del Patrimonio Construido (Doctorado)</t>
  </si>
  <si>
    <t>PLANES de estudio de POSGRADO</t>
  </si>
  <si>
    <t>Planes de estudio por nivel 2015</t>
  </si>
  <si>
    <t>Nivel de los planes de estudio en el PNPC 2015</t>
  </si>
  <si>
    <r>
      <t>ALUMNOS ATENDIDOS DE</t>
    </r>
    <r>
      <rPr>
        <b/>
        <sz val="12"/>
        <color rgb="FFCC9900"/>
        <rFont val="Arial"/>
        <family val="2"/>
      </rPr>
      <t xml:space="preserve"> LICENCIATURA Y POSGRADO</t>
    </r>
    <r>
      <rPr>
        <b/>
        <sz val="12"/>
        <rFont val="Arial"/>
        <family val="2"/>
      </rPr>
      <t xml:space="preserve"> POR PERSONAL ACADÉMICO DEFINITIVO </t>
    </r>
    <r>
      <rPr>
        <sz val="10"/>
        <rFont val="Arial"/>
        <family val="2"/>
      </rPr>
      <t>(Activos / PAD)</t>
    </r>
  </si>
  <si>
    <t>Especialización en Diseño, planificación y conservación de paisajes y jardines</t>
  </si>
  <si>
    <t>Doctorado en diseño bioclimático</t>
  </si>
  <si>
    <t>Pagadas en 2015</t>
  </si>
  <si>
    <t>Beca para realizar estudios de Licenciatura  Manutención (antes PRONABES)</t>
  </si>
  <si>
    <t>Beca de servicio social</t>
  </si>
  <si>
    <t xml:space="preserve">Beca para curso de lenguas extranjeras en el D.F., Estado de México o en el extranjero </t>
  </si>
  <si>
    <t>Beca de Movilidad Internacional de alumnos de Licenciatura</t>
  </si>
  <si>
    <t>Beca para estudiantes de licenciatura en Instituciones de Educación Superior en el extranjero en acciones de movilidad en la UAM</t>
  </si>
  <si>
    <t>Beca para realizar estudios de maestría y doctorado en la UAM</t>
  </si>
  <si>
    <t>Beca para participar en Eventos de Difusión y de Investigación en Ciencia y Tecnología</t>
  </si>
  <si>
    <t>Beca de Movilidad Internacional para estudiantes de maestría y doctorado</t>
  </si>
  <si>
    <t>Beca para estudiantes de maestría y doctorado en Instituciones de Educación Superior en el extranjero en acciones de movilidad en la UAM</t>
  </si>
  <si>
    <t>Beca de Estancias Posdoctorales</t>
  </si>
  <si>
    <t>Becas de superación del personal académico</t>
  </si>
  <si>
    <t>Personal Académico</t>
  </si>
  <si>
    <t>ANTROPOLOGIA SOCIAL</t>
  </si>
  <si>
    <t>INGENIERIA EN RECURSOS HIDRICOS</t>
  </si>
  <si>
    <t>PLANEACION TERRITORIAL</t>
  </si>
  <si>
    <t>NUTRICION HUMANA</t>
  </si>
  <si>
    <t>INGENIERIA CIVIL</t>
  </si>
  <si>
    <t>INGENIERIA ELECTRONICA</t>
  </si>
  <si>
    <t>INGENIERIA INDUSTRIAL</t>
  </si>
  <si>
    <t>INGENIERIA METALURGICA</t>
  </si>
  <si>
    <t>INGENIERIA QUIMICA</t>
  </si>
  <si>
    <t>INGENIERIA EN ENERGIA</t>
  </si>
  <si>
    <t>INGENIERIA DE LOS ALIMENTOS</t>
  </si>
  <si>
    <t>POLITICA Y GESTION SOCIAL</t>
  </si>
  <si>
    <t>QUIMICA FARMACEUTICA BIOLOGICA</t>
  </si>
  <si>
    <t>INGENIERIA FÍSICA</t>
  </si>
  <si>
    <t>INGENIERIA BIOLÓGICA</t>
  </si>
  <si>
    <t>Ing. de los Alimentos</t>
  </si>
  <si>
    <t>Beca de Servicio Social</t>
  </si>
  <si>
    <t>Becas de Estancias Posdoctorales</t>
  </si>
  <si>
    <t>Becas de Superación del personal Académico</t>
  </si>
  <si>
    <t>Ciencias Sociales y Humanidades</t>
  </si>
  <si>
    <t>Economía y Gestión de la Innovación</t>
  </si>
  <si>
    <t>Psicología Social de Grupos e Instituciones</t>
  </si>
  <si>
    <t xml:space="preserve">Desarrollo Rural </t>
  </si>
  <si>
    <t>Ciencias y Artes para el Diseño</t>
  </si>
  <si>
    <t>Ciencias Farmacéuticas</t>
  </si>
  <si>
    <t>Estudios de la Mujer</t>
  </si>
  <si>
    <t>Ciencias Biológicas y de la Salud</t>
  </si>
  <si>
    <t>Biotecnología</t>
  </si>
  <si>
    <t>Bología Experimental</t>
  </si>
  <si>
    <t>Pagadas en 2014</t>
  </si>
  <si>
    <t>INGENIERÍA ELECTRICA</t>
  </si>
  <si>
    <t>INGENIERÍA ELECTRONICA</t>
  </si>
  <si>
    <t>INGENIERÍA MECANICA</t>
  </si>
  <si>
    <t>INGENIERÍA METALURGICA</t>
  </si>
  <si>
    <t>INGENIERÍA QUIMICA</t>
  </si>
  <si>
    <t>INGENIERÍA BIOMEDICA</t>
  </si>
  <si>
    <t>INGENIERÍA EN ENERGIA</t>
  </si>
  <si>
    <t>INGENIERÍA HIDROLOGICA</t>
  </si>
  <si>
    <t>INGENIERÍA BIOQUIMICA INDUSTRIAL</t>
  </si>
  <si>
    <t>INGENIERÍA BIOLOGICA</t>
  </si>
  <si>
    <t>INGENIERÍA EN COMPUTACION</t>
  </si>
  <si>
    <t>Total 2015</t>
  </si>
  <si>
    <t>EFICIENCIA TERMINAL</t>
  </si>
  <si>
    <t>1974-2004</t>
  </si>
  <si>
    <t>EVALUACIÓN DE LOS PLANES DE ESTUDIO DE LICENCIATURA</t>
  </si>
  <si>
    <t>PLANES DE POSGRADO</t>
  </si>
  <si>
    <t>Maestría y Doctorado en Ciencias Económicas</t>
  </si>
  <si>
    <t>TOTAL DE ACTIVIDADES EVALUADAS</t>
  </si>
  <si>
    <t>Transparencia</t>
  </si>
  <si>
    <t>Consultas</t>
  </si>
  <si>
    <t>TASA DE CRECIMIENTO  DE CONSULTAS DE LA INFORMACIÓN INSTITUCIONAL</t>
  </si>
  <si>
    <t>Información pública consultada en la página de transparencia en Internet</t>
  </si>
  <si>
    <t>Rubro*</t>
  </si>
  <si>
    <t>Número de consultas</t>
  </si>
  <si>
    <t>Indice de crecimiento</t>
  </si>
  <si>
    <t>Informe de Actividades del  Rector General y Anuarios Estadísticos</t>
  </si>
  <si>
    <t>Directorio de Funcionarios</t>
  </si>
  <si>
    <t xml:space="preserve">Presupuesto de Ingresos y Egresos y Estados Financieros dictaminados e Informe Presupuestal de Ingresos y Egresos </t>
  </si>
  <si>
    <t>Informe de Actividades de los Órganos e Instancias de Apoyo</t>
  </si>
  <si>
    <t>Portal de Transparencia</t>
  </si>
  <si>
    <t>Tabulador de sueldos del Personal Académico y Administrativo</t>
  </si>
  <si>
    <t xml:space="preserve">Estructura Orgánica </t>
  </si>
  <si>
    <t>Contrato Colectivo de Trabajo</t>
  </si>
  <si>
    <t>Lineamientos para el Acceso a la Información de la UAM</t>
  </si>
  <si>
    <t>Becas y Financiamiento Educativo</t>
  </si>
  <si>
    <t>Convocatorias para licitar obras, adquisiciones etc, y contrataciones que se hayan celebrado</t>
  </si>
  <si>
    <t>Marco Normativo</t>
  </si>
  <si>
    <t>Informe de Actividades del Comité de Información y Resolución</t>
  </si>
  <si>
    <r>
      <rPr>
        <i/>
        <sz val="10"/>
        <rFont val="Calibri"/>
        <family val="2"/>
        <scheme val="minor"/>
      </rPr>
      <t>Otros conceptos</t>
    </r>
    <r>
      <rPr>
        <sz val="11"/>
        <rFont val="Calibri"/>
        <family val="2"/>
        <scheme val="minor"/>
      </rPr>
      <t xml:space="preserve"> _ PROMEP</t>
    </r>
  </si>
  <si>
    <t>Resultado de las Auditorias Practicadas</t>
  </si>
  <si>
    <t>Datos de la Oficina de Enlace y Acceso a la Información Universitaria</t>
  </si>
  <si>
    <t xml:space="preserve">Becas y Estímulos del Personal Académico </t>
  </si>
  <si>
    <t>Servicios que ofrece la UAM</t>
  </si>
  <si>
    <t>Cuotas por los servicios que ofrece la UAM</t>
  </si>
  <si>
    <t>Personal Académico y Administrativo contratado</t>
  </si>
  <si>
    <t>Información relevante</t>
  </si>
  <si>
    <t>*Se considera una consulta al ingresar al rubro.</t>
  </si>
  <si>
    <t>FUENTE: Oficina de Enlace y Acceso a la Información</t>
  </si>
  <si>
    <r>
      <t xml:space="preserve">Informe Presupuestal </t>
    </r>
    <r>
      <rPr>
        <i/>
        <u/>
        <sz val="10"/>
        <color rgb="FFFF0000"/>
        <rFont val="Calibri"/>
        <family val="2"/>
        <scheme val="minor"/>
      </rPr>
      <t>(se agrego al rubro anterior a partir del 2011)</t>
    </r>
  </si>
  <si>
    <t>a) Torneos Internos *</t>
  </si>
  <si>
    <t xml:space="preserve"> Ajedrez Tableros</t>
  </si>
  <si>
    <t>Basquetbol Tercias y Two Ball</t>
  </si>
  <si>
    <t>Crossfit</t>
  </si>
  <si>
    <t>Interdivisional</t>
  </si>
  <si>
    <t>Marathón de Sustentabilidad</t>
  </si>
  <si>
    <t>Rally Recreativo de CNI</t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</si>
  <si>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</si>
  <si>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2015</t>
    </r>
  </si>
  <si>
    <t>Cua. 23 Sept.</t>
  </si>
  <si>
    <t>Ler. 1 Oct.</t>
  </si>
  <si>
    <t>Azc. 16 Oct.</t>
  </si>
  <si>
    <t>Xoc. 30 Oct.</t>
  </si>
  <si>
    <t>Izt. 13 Nov.</t>
  </si>
  <si>
    <t>Ajedrez,Baloncesto, Fútbol Asociación, Fútbol Bardas, Halterofilia, karate Do, Tae kwon do, Tenis, Tenis de mesa, Voleibol de playa y Voleibol de sala</t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</si>
  <si>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2015</t>
    </r>
  </si>
  <si>
    <t>BENEFICIARIOS 2015</t>
  </si>
  <si>
    <t>Fuente: proyectos registrados en el COFON en 2015</t>
  </si>
  <si>
    <t xml:space="preserve"> Maestría en Sociología</t>
  </si>
  <si>
    <t>Becas de Movilidad de Posgrado</t>
  </si>
  <si>
    <t>Maestría en Biología de la reproducción animal</t>
  </si>
  <si>
    <t>Competencia Internacional</t>
  </si>
  <si>
    <t>Maestría en Ciencias en Salud de los trabajadores</t>
  </si>
  <si>
    <t>Maestría en Ciencias e Ingeniería (Ambientales y Materiales)</t>
  </si>
  <si>
    <t>Posgrado en Diseño Bioclimático (Doctorado)</t>
  </si>
  <si>
    <t>Posgrado en Diseño Bioclimático (Maestría)</t>
  </si>
  <si>
    <t>Posgrado en Diseño, Planificación y Conservación de Jardines (Maestría)</t>
  </si>
  <si>
    <t>Posgrado en Diseño y Desarrollo de Productos (Doctorado)</t>
  </si>
  <si>
    <t>Total división</t>
  </si>
  <si>
    <r>
      <t>ALUMNOS QUE TERMINARON ESTUDIOS DE POSGRADO</t>
    </r>
    <r>
      <rPr>
        <b/>
        <i/>
        <sz val="11"/>
        <color theme="0" tint="-0.499984740745262"/>
        <rFont val="Arial"/>
        <family val="2"/>
      </rPr>
      <t xml:space="preserve"> </t>
    </r>
    <r>
      <rPr>
        <b/>
        <i/>
        <sz val="11"/>
        <color rgb="FFFFC000"/>
        <rFont val="Arial"/>
        <family val="2"/>
      </rPr>
      <t>ACUMULADO</t>
    </r>
  </si>
  <si>
    <r>
      <t xml:space="preserve">ALUMNOS QUE TERMINARON ESTUDIOS DE POSGRADO </t>
    </r>
    <r>
      <rPr>
        <b/>
        <i/>
        <sz val="11"/>
        <color rgb="FFFFC000"/>
        <rFont val="Arial"/>
        <family val="2"/>
      </rPr>
      <t>ACUMULADO</t>
    </r>
    <r>
      <rPr>
        <b/>
        <sz val="11"/>
        <rFont val="Arial"/>
        <family val="2"/>
      </rPr>
      <t xml:space="preserve"> </t>
    </r>
  </si>
  <si>
    <r>
      <t>ASPIRANTES</t>
    </r>
    <r>
      <rPr>
        <sz val="11"/>
        <rFont val="Arial"/>
        <family val="2"/>
      </rPr>
      <t xml:space="preserve"> (presentados a examen)</t>
    </r>
    <r>
      <rPr>
        <b/>
        <sz val="11"/>
        <rFont val="Arial"/>
        <family val="2"/>
      </rPr>
      <t xml:space="preserve"> A LICENCIATURA POR TRIMESTRE DE INGRESO</t>
    </r>
  </si>
  <si>
    <t>Ciencias Atmosféricas</t>
  </si>
  <si>
    <t>Especialización  en Física Médica Clínica</t>
  </si>
  <si>
    <r>
      <t xml:space="preserve">MATRÍCULA </t>
    </r>
    <r>
      <rPr>
        <sz val="10"/>
        <rFont val="Arial"/>
        <family val="2"/>
      </rPr>
      <t>(Inscritos de primer ingreso y Reinscritos</t>
    </r>
    <r>
      <rPr>
        <b/>
        <sz val="11"/>
        <rFont val="Arial"/>
        <family val="2"/>
      </rPr>
      <t xml:space="preserve">) DE LICENCIATURA POR TRIMESTRE </t>
    </r>
  </si>
  <si>
    <r>
      <t xml:space="preserve">MATRÍCULA </t>
    </r>
    <r>
      <rPr>
        <sz val="10"/>
        <rFont val="Arial"/>
        <family val="2"/>
      </rPr>
      <t>( (Inscritos de primer ingreso y Reinscritos)</t>
    </r>
    <r>
      <rPr>
        <b/>
        <sz val="11"/>
        <rFont val="Arial"/>
        <family val="2"/>
      </rPr>
      <t xml:space="preserve"> DE LICENCIATURA POR TRIMESTRE </t>
    </r>
  </si>
  <si>
    <r>
      <t xml:space="preserve">MATRÍCULA </t>
    </r>
    <r>
      <rPr>
        <sz val="11"/>
        <rFont val="Arial"/>
        <family val="2"/>
      </rPr>
      <t>(Inscritos de primer ingreso y Reinscritos)</t>
    </r>
    <r>
      <rPr>
        <b/>
        <sz val="11"/>
        <rFont val="Arial"/>
        <family val="2"/>
      </rPr>
      <t xml:space="preserve"> DE POSGRADO POR TRIMESTRE</t>
    </r>
  </si>
  <si>
    <t>Especialización en Física Médica Clínica</t>
  </si>
  <si>
    <t>MÁS DE 40 AÑOS</t>
  </si>
  <si>
    <t>Becas de Posgrado en la UAM</t>
  </si>
  <si>
    <t>Becas para participar en Eventos de Difusión y de Investigación en Ciencia y Tecnología UAM</t>
  </si>
  <si>
    <t>2. Excelencia</t>
  </si>
  <si>
    <t>3. Grupos Vulnerables</t>
  </si>
  <si>
    <t>4. Servicio Social</t>
  </si>
  <si>
    <t>5. Estudios de lenguas extranjeras</t>
  </si>
  <si>
    <t>6. Movilidad Internacional_Lic.</t>
  </si>
  <si>
    <t>7. Movilidad Nacional_Lic.</t>
  </si>
  <si>
    <t>8. Participantes extranjeros_Lic.</t>
  </si>
  <si>
    <t>9. Estudios de Posgrado en la UAM</t>
  </si>
  <si>
    <t>10. Eventos de Difusión y de Investigación en Ciencia y Tecnología UAM</t>
  </si>
  <si>
    <t>13. Becas de estancias posdoctorales</t>
  </si>
  <si>
    <t>14. Becas de superación de personal Académico</t>
  </si>
  <si>
    <t>11. y 12. Movilidad Internacional y nacional de Posgrado</t>
  </si>
  <si>
    <r>
      <t>1. Manutención</t>
    </r>
    <r>
      <rPr>
        <sz val="10"/>
        <rFont val="Calibri"/>
        <family val="2"/>
        <scheme val="minor"/>
      </rPr>
      <t xml:space="preserve"> (antes Pronabes)</t>
    </r>
  </si>
  <si>
    <t>1978-2016</t>
  </si>
  <si>
    <t>Maestría en Economía, Gestión y Políticas de Innovación</t>
  </si>
  <si>
    <t>18/07/2005,  18/06/2014</t>
  </si>
  <si>
    <t> CONAECQ</t>
  </si>
  <si>
    <t>COMACE</t>
  </si>
  <si>
    <t>COMAEF</t>
  </si>
  <si>
    <t xml:space="preserve">COMAEF: Consejo Mexicano para la Acreditación de la Educación Farmacéutica </t>
  </si>
  <si>
    <t>Planes</t>
  </si>
  <si>
    <t xml:space="preserve">CIEES nivel 1  </t>
  </si>
  <si>
    <r>
      <t xml:space="preserve">Compartido: </t>
    </r>
    <r>
      <rPr>
        <sz val="11"/>
        <color rgb="FFCD032E"/>
        <rFont val="Calibri"/>
        <family val="2"/>
        <scheme val="minor"/>
      </rPr>
      <t>Azcapotzalco</t>
    </r>
    <r>
      <rPr>
        <sz val="11"/>
        <rFont val="Calibri"/>
        <family val="2"/>
        <scheme val="minor"/>
      </rPr>
      <t xml:space="preserve">, </t>
    </r>
    <r>
      <rPr>
        <sz val="11"/>
        <color rgb="FF57A519"/>
        <rFont val="Calibri"/>
        <family val="2"/>
        <scheme val="minor"/>
      </rPr>
      <t>Iztapalapa</t>
    </r>
    <r>
      <rPr>
        <sz val="11"/>
        <rFont val="Calibri"/>
        <family val="2"/>
        <scheme val="minor"/>
      </rPr>
      <t xml:space="preserve"> y </t>
    </r>
    <r>
      <rPr>
        <sz val="11"/>
        <color rgb="FF0072CE"/>
        <rFont val="Calibri"/>
        <family val="2"/>
        <scheme val="minor"/>
      </rPr>
      <t>Xochimilco</t>
    </r>
  </si>
  <si>
    <r>
      <t>Compartido:</t>
    </r>
    <r>
      <rPr>
        <sz val="11"/>
        <color rgb="FF57A519"/>
        <rFont val="Calibri"/>
        <family val="2"/>
        <scheme val="minor"/>
      </rPr>
      <t xml:space="preserve"> Iztapalapa</t>
    </r>
    <r>
      <rPr>
        <sz val="11"/>
        <rFont val="Calibri"/>
        <family val="2"/>
        <scheme val="minor"/>
      </rPr>
      <t xml:space="preserve">, </t>
    </r>
    <r>
      <rPr>
        <sz val="11"/>
        <color rgb="FF0072CE"/>
        <rFont val="Calibri"/>
        <family val="2"/>
        <scheme val="minor"/>
      </rPr>
      <t>Xochimilco</t>
    </r>
    <r>
      <rPr>
        <sz val="11"/>
        <rFont val="Calibri"/>
        <family val="2"/>
        <scheme val="minor"/>
      </rPr>
      <t xml:space="preserve"> y </t>
    </r>
    <r>
      <rPr>
        <sz val="11"/>
        <color rgb="FFF08200"/>
        <rFont val="Calibri"/>
        <family val="2"/>
        <scheme val="minor"/>
      </rPr>
      <t>Cuajimalpa</t>
    </r>
  </si>
  <si>
    <t>Especialización en Física Médica Clinica</t>
  </si>
  <si>
    <t>Especialiación en Física Médica Clinica</t>
  </si>
  <si>
    <t>Nuevo</t>
  </si>
  <si>
    <t>Planes de estudio por nivel 2016</t>
  </si>
  <si>
    <t>Nivel de los planes de estudio en el PNPC 2016</t>
  </si>
  <si>
    <t xml:space="preserve">PERSONAL ACADÉMICO DE TIEMPO COMPLETO REGISTRADO EN PRODEP POR GRADO ACADÉMICO </t>
  </si>
  <si>
    <t>PERSONAL ACADÉMICO DE TIEMPO COMPLETO REGISTRADO EN PRODEP POR GRADO ACADÉMICO</t>
  </si>
  <si>
    <t>Planes de buena calidad 2016</t>
  </si>
  <si>
    <t>Perfil PRODEP</t>
  </si>
  <si>
    <t>Reconocimiento a profesores con perfil deseable. El perfil deseable, de acuerdo con el Prodep, se refiere a: ser profesor de tiempo completo, haber obtenido el grado preferente (doctor) o mínimo (maestro o en su caso una especialidad médica) y demostrar fehacientemente la participación en actividades de docencia, generación o aplicación innovadora del conocimiento, tutoría y gestión académica individual o grupal</t>
  </si>
  <si>
    <t>Pagadas en 2016</t>
  </si>
  <si>
    <t>INGENIERíA AMBIENTAL</t>
  </si>
  <si>
    <t>DISEÑO DE LA COMUNICACIÓN GRÁFICA</t>
  </si>
  <si>
    <t>Becas Asignadas</t>
  </si>
  <si>
    <t>Becas Pagadas</t>
  </si>
  <si>
    <t>Posgrado en Diseño y Visualización de la Información (Doctorado)</t>
  </si>
  <si>
    <t>Maestría en Ciencias e Ingeniería</t>
  </si>
  <si>
    <t>Maestría en Diseño y Estudios Urbanos</t>
  </si>
  <si>
    <t xml:space="preserve">Maestría en Ciencias en Salud de los trabajadores </t>
  </si>
  <si>
    <t>Ciencias de la comunicación</t>
  </si>
  <si>
    <t>Energía</t>
  </si>
  <si>
    <t>Investigación y conocimiento</t>
  </si>
  <si>
    <t>Procesos y tecnología</t>
  </si>
  <si>
    <t>Tecnologías de la información</t>
  </si>
  <si>
    <t>Teoría y análisis</t>
  </si>
  <si>
    <t>Antropología</t>
  </si>
  <si>
    <t>Síntesis creativa</t>
  </si>
  <si>
    <r>
      <t>Nacionales</t>
    </r>
    <r>
      <rPr>
        <sz val="11"/>
        <color indexed="8"/>
        <rFont val="Arial"/>
        <family val="2"/>
      </rPr>
      <t xml:space="preserve"> </t>
    </r>
  </si>
  <si>
    <r>
      <t>Extranjeros</t>
    </r>
    <r>
      <rPr>
        <sz val="11"/>
        <color indexed="8"/>
        <rFont val="Arial"/>
        <family val="2"/>
      </rPr>
      <t xml:space="preserve"> </t>
    </r>
  </si>
  <si>
    <t>*Patrocinado</t>
  </si>
  <si>
    <t>**No patrocinado</t>
  </si>
  <si>
    <t>Fuente: Base de Convenios y Otros Fondos (COFON) a dic 15 de 2016, reporte de las unidades universitarias y CGVyDI</t>
  </si>
  <si>
    <t>Notas: *Convenios patrocinados (número de convenios por unidad y vigencia inicial igual a 2016);  **Convenios no patrocinados. Se toman proyectos en lugar de convenios de Base de COFON a dic 15 de 2016.</t>
  </si>
  <si>
    <t>Ciencias e Ingeniería-Línea Ambiental</t>
  </si>
  <si>
    <t>Beca de movilidad internacional - Licenciatura</t>
  </si>
  <si>
    <t>Beca de movilidad nacional - Licenciatura</t>
  </si>
  <si>
    <t xml:space="preserve">Humanidades </t>
  </si>
  <si>
    <r>
      <t>Beca de movilidad internacional posgrado</t>
    </r>
    <r>
      <rPr>
        <i/>
        <sz val="14"/>
        <color theme="1"/>
        <rFont val="Calibri"/>
        <family val="2"/>
        <scheme val="minor"/>
      </rPr>
      <t xml:space="preserve"> </t>
    </r>
    <r>
      <rPr>
        <i/>
        <sz val="14"/>
        <color rgb="FFFF0000"/>
        <rFont val="Calibri"/>
        <family val="2"/>
        <scheme val="minor"/>
      </rPr>
      <t>(alumnos UAM)</t>
    </r>
  </si>
  <si>
    <r>
      <t xml:space="preserve">Beca de movilidad internacional posgrado </t>
    </r>
    <r>
      <rPr>
        <i/>
        <sz val="14"/>
        <color rgb="FFFF0000"/>
        <rFont val="Calibri"/>
        <family val="2"/>
        <scheme val="minor"/>
      </rPr>
      <t>(participantes)</t>
    </r>
  </si>
  <si>
    <t>Maestría en Ciencias e Ingeniería de Materiales</t>
  </si>
  <si>
    <t>Doctorado en Diseño: Estudios Urbanos</t>
  </si>
  <si>
    <t>Maestría en Diseño Información y Comunicación</t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</si>
  <si>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2016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</si>
  <si>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</si>
  <si>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2016</t>
    </r>
  </si>
  <si>
    <t>Rally de bienvenida</t>
  </si>
  <si>
    <t>Tae kwon Do</t>
  </si>
  <si>
    <t>Areas verdes</t>
  </si>
  <si>
    <t>Baloncesto y canchas de basquetbol</t>
  </si>
  <si>
    <t>Crossfit y gimnasio de Crossfit</t>
  </si>
  <si>
    <t>Danza acrobática</t>
  </si>
  <si>
    <t>Entrenamientos deportivos</t>
  </si>
  <si>
    <t>Festivales, rallys de bienvenida y concursos</t>
  </si>
  <si>
    <t>Gimnasio urbano</t>
  </si>
  <si>
    <t>Participación en eventos de la Universidad</t>
  </si>
  <si>
    <t>Préstamo de balones</t>
  </si>
  <si>
    <t>Préstamo de instalaciones</t>
  </si>
  <si>
    <t>Préstamo de material deportivo</t>
  </si>
  <si>
    <t>PIVU CYAD</t>
  </si>
  <si>
    <t>Senderismo</t>
  </si>
  <si>
    <t>Tae Bo</t>
  </si>
  <si>
    <t>Tenis (canchas)</t>
  </si>
  <si>
    <t>Tenis de Mesa y raquetas</t>
  </si>
  <si>
    <t>Torneos internos y externos</t>
  </si>
  <si>
    <t>Sep, Oct, Nov, Dic</t>
  </si>
  <si>
    <t>BENEFICIARIOS 2016</t>
  </si>
  <si>
    <t>EFICIENCIA TERMINAL 2014</t>
  </si>
  <si>
    <t>EFICIENCIA TERMINAL 2015</t>
  </si>
  <si>
    <t>EFICIENCIA TERMINAL 2016</t>
  </si>
  <si>
    <t>1974-2005</t>
  </si>
  <si>
    <t>Mtría en Ecología Aplicada</t>
  </si>
  <si>
    <t>Doc en Ciencias Agropecuarias</t>
  </si>
  <si>
    <t>Beca de movilidad internacional posgrado (alumnos UAM) 2016</t>
  </si>
  <si>
    <t>Beca de movilidad internacional posgrado (participantes) 2016</t>
  </si>
  <si>
    <t>Total 2016</t>
  </si>
  <si>
    <t>Secretaría</t>
  </si>
  <si>
    <t>Fuente: proyectos registrados en el COFON en 2016</t>
  </si>
  <si>
    <t>FUENTE: AGA deposgrado - Dirección de Sistemas Escolares</t>
  </si>
  <si>
    <r>
      <t>Becas de Manutención SEP-UAM</t>
    </r>
    <r>
      <rPr>
        <sz val="12"/>
        <rFont val="Arial"/>
        <family val="2"/>
      </rPr>
      <t xml:space="preserve"> (antes PRONABES)</t>
    </r>
  </si>
  <si>
    <t>FUENTE: Base de datos CONACYT</t>
  </si>
  <si>
    <r>
      <t xml:space="preserve">PERSONAL ACADÉMICO CON PERFIL DESEABLE VIGENTE PRODEP </t>
    </r>
    <r>
      <rPr>
        <i/>
        <sz val="10"/>
        <rFont val="Arial"/>
        <family val="2"/>
      </rPr>
      <t>(Programa para el Desarrollo Profesional Docente, para el Tipo Superior )</t>
    </r>
  </si>
  <si>
    <t>No se otorgaron becas en el año 2016</t>
  </si>
  <si>
    <r>
      <t>MATRÍCULA</t>
    </r>
    <r>
      <rPr>
        <sz val="10"/>
        <rFont val="Arial"/>
        <family val="2"/>
      </rPr>
      <t xml:space="preserve"> (Inscritos de primer ingreso y Reinscritos)</t>
    </r>
    <r>
      <rPr>
        <b/>
        <sz val="11"/>
        <rFont val="Arial"/>
        <family val="2"/>
      </rPr>
      <t xml:space="preserve"> DE POSGRADO POR TRIMESTRE</t>
    </r>
  </si>
  <si>
    <t>Act. de Investigación</t>
  </si>
  <si>
    <t>Anexo Estadístico del Informe del Rector General 2017</t>
  </si>
  <si>
    <t>Ingeniería en Computación y Telecomunicaciones</t>
  </si>
  <si>
    <t>Posgrado Integral en Ciencias Administrativas</t>
  </si>
  <si>
    <t>Maestría en Sociedades Sustentables</t>
  </si>
  <si>
    <t>Psicología Biomédica</t>
  </si>
  <si>
    <t>quitar</t>
  </si>
  <si>
    <r>
      <t>Posgrado en Ciencias e Ingeniería</t>
    </r>
    <r>
      <rPr>
        <i/>
        <sz val="9"/>
        <rFont val="Calibri"/>
        <family val="2"/>
        <scheme val="minor"/>
      </rPr>
      <t xml:space="preserve"> (Ambientales, Materiales)</t>
    </r>
  </si>
  <si>
    <r>
      <t>Doctorado en Ciencias e Ingeniería</t>
    </r>
    <r>
      <rPr>
        <sz val="9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</si>
  <si>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Maestría  en Ciencias e Ingeniería</t>
    </r>
    <r>
      <rPr>
        <i/>
        <sz val="10"/>
        <color rgb="FF000000"/>
        <rFont val="Calibri"/>
        <family val="2"/>
        <scheme val="minor"/>
      </rPr>
      <t xml:space="preserve"> </t>
    </r>
    <r>
      <rPr>
        <i/>
        <sz val="9"/>
        <color rgb="FF000000"/>
        <rFont val="Calibri"/>
        <family val="2"/>
        <scheme val="minor"/>
      </rPr>
      <t>(ambientales, de materiales)</t>
    </r>
  </si>
  <si>
    <t>Mtría en Derecho</t>
  </si>
  <si>
    <t>Mtría y Doc en Psicología Social</t>
  </si>
  <si>
    <t>Mtría. en Sociedades Sustentables</t>
  </si>
  <si>
    <t>Doc en Humanidades</t>
  </si>
  <si>
    <r>
      <t>Posgrado 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</si>
  <si>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t>Posgrado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Materiales)*</t>
    </r>
  </si>
  <si>
    <r>
      <rPr>
        <b/>
        <sz val="10"/>
        <rFont val="Calibri"/>
        <family val="2"/>
        <scheme val="minor"/>
      </rPr>
      <t>*</t>
    </r>
    <r>
      <rPr>
        <sz val="9"/>
        <rFont val="Calibri"/>
        <family val="2"/>
        <scheme val="minor"/>
      </rPr>
      <t xml:space="preserve"> Este nombre corresponde al código 180 del AGA y hasta 2017-P su nombre era: Especialidad-maestría y doctorado en ciencias e ingeniería con código 105
Este nombre corresponde al código 180 del AGA y anteriormente el nombre era: Especialidad-maestría y doctorado en ciencias e ingeniería con código 105
</t>
    </r>
  </si>
  <si>
    <t>Maestría en Derecho</t>
  </si>
  <si>
    <t>Maestría y Doctorado en Psicología Social</t>
  </si>
  <si>
    <t>UNIDAD AZCAPOTZALCO 2017</t>
  </si>
  <si>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Comités Interinstitucionales para la Evaluación de la Educación Superior (CIEES), SEP, Consejo para la Acreditación de la Educación Superior (COPAES)</t>
    </r>
  </si>
  <si>
    <t>UNIDAD CUAJIMALPA 2017</t>
  </si>
  <si>
    <t>nueva</t>
  </si>
  <si>
    <t>10 febrero,2022</t>
  </si>
  <si>
    <t>acreditado febrero 2017</t>
  </si>
  <si>
    <t>UNIDAD IZTAPALAPA 2017</t>
  </si>
  <si>
    <r>
      <rPr>
        <b/>
        <sz val="8"/>
        <rFont val="Calibri"/>
        <family val="2"/>
        <scheme val="minor"/>
      </rPr>
      <t>FUENTE:</t>
    </r>
    <r>
      <rPr>
        <sz val="8"/>
        <rFont val="Calibri"/>
        <family val="2"/>
        <scheme val="minor"/>
      </rPr>
      <t xml:space="preserve"> Comités Interinstitucionales para la Evaluación de la Educación Superior (CIEES), SEP, Consejo para la Acreditación de la Educación Superior (COPAES)</t>
    </r>
  </si>
  <si>
    <t>UNIDAD LERMA 2017</t>
  </si>
  <si>
    <r>
      <rPr>
        <b/>
        <sz val="8"/>
        <rFont val="Calibri"/>
        <family val="2"/>
      </rPr>
      <t>FUENTE:</t>
    </r>
    <r>
      <rPr>
        <sz val="8"/>
        <rFont val="Calibri"/>
        <family val="2"/>
      </rPr>
      <t xml:space="preserve"> Colegio Académico</t>
    </r>
  </si>
  <si>
    <t>UNIDAD XOCHIMILCO 2017</t>
  </si>
  <si>
    <t>CONCAPREN</t>
  </si>
  <si>
    <r>
      <t xml:space="preserve">Posgrado en Ciencias e Ingeniería </t>
    </r>
    <r>
      <rPr>
        <i/>
        <sz val="9"/>
        <rFont val="Calibri"/>
        <family val="2"/>
        <scheme val="minor"/>
      </rPr>
      <t xml:space="preserve">(Ambientales, Materiales) </t>
    </r>
    <r>
      <rPr>
        <sz val="11"/>
        <rFont val="Calibri"/>
        <family val="2"/>
        <scheme val="minor"/>
      </rPr>
      <t>(Maestría)</t>
    </r>
  </si>
  <si>
    <t>Doctorado en Ciencias e Ingeniería</t>
  </si>
  <si>
    <r>
      <t xml:space="preserve">Posgrado en Ciencias e Ingeniería </t>
    </r>
    <r>
      <rPr>
        <i/>
        <sz val="9"/>
        <rFont val="Calibri"/>
        <family val="2"/>
        <scheme val="minor"/>
      </rPr>
      <t xml:space="preserve">(Ambientales, Materiales) </t>
    </r>
    <r>
      <rPr>
        <sz val="11"/>
        <rFont val="Calibri"/>
        <family val="2"/>
        <scheme val="minor"/>
      </rPr>
      <t>(Doctorado)</t>
    </r>
  </si>
  <si>
    <r>
      <t xml:space="preserve">Posgrado Integral en Ciencias Administrativas </t>
    </r>
    <r>
      <rPr>
        <i/>
        <sz val="9"/>
        <color theme="0" tint="-0.499984740745262"/>
        <rFont val="Calibri"/>
        <family val="2"/>
        <scheme val="minor"/>
      </rPr>
      <t xml:space="preserve">(Nuevo) </t>
    </r>
  </si>
  <si>
    <t>CUAJIMALPA 2017</t>
  </si>
  <si>
    <t>IZTAPALAPA 2017</t>
  </si>
  <si>
    <t>compartido con CBS</t>
  </si>
  <si>
    <r>
      <t xml:space="preserve">Maestría y Doctorado en Psicología Social </t>
    </r>
    <r>
      <rPr>
        <i/>
        <sz val="9"/>
        <color theme="0" tint="-0.499984740745262"/>
        <rFont val="Calibri"/>
        <family val="2"/>
        <scheme val="minor"/>
      </rPr>
      <t>(Nuevo)</t>
    </r>
  </si>
  <si>
    <r>
      <t xml:space="preserve">Posgrado Integral en Ciencias Administrativas </t>
    </r>
    <r>
      <rPr>
        <i/>
        <sz val="9"/>
        <color theme="0" tint="-0.499984740745262"/>
        <rFont val="Calibri"/>
        <family val="2"/>
        <scheme val="minor"/>
      </rPr>
      <t>(Nuevo)</t>
    </r>
    <r>
      <rPr>
        <i/>
        <sz val="11"/>
        <rFont val="Calibri"/>
        <family val="2"/>
        <scheme val="minor"/>
      </rPr>
      <t xml:space="preserve"> </t>
    </r>
  </si>
  <si>
    <t>XOCHIMILCO 2017</t>
  </si>
  <si>
    <t>Doctorado en humanidades</t>
  </si>
  <si>
    <t>INTER-UNIDADES 2017</t>
  </si>
  <si>
    <r>
      <t xml:space="preserve">Posgrado Integral en Ciencias Administrativas </t>
    </r>
    <r>
      <rPr>
        <i/>
        <sz val="9"/>
        <color theme="0" tint="-0.499984740745262"/>
        <rFont val="Calibri"/>
        <family val="2"/>
        <scheme val="minor"/>
      </rPr>
      <t>(Nuevo)</t>
    </r>
    <r>
      <rPr>
        <sz val="11"/>
        <rFont val="Calibri"/>
        <family val="2"/>
        <scheme val="minor"/>
      </rPr>
      <t xml:space="preserve"> </t>
    </r>
  </si>
  <si>
    <t>AZCAPOTZALCO 2017</t>
  </si>
  <si>
    <t>acreditados o evaluados en nivel 1  por CIEES</t>
  </si>
  <si>
    <t xml:space="preserve">Posgrado en Física </t>
  </si>
  <si>
    <r>
      <t>Posgrado en Matemáticas</t>
    </r>
    <r>
      <rPr>
        <i/>
        <sz val="9"/>
        <rFont val="Calibri"/>
        <family val="2"/>
        <scheme val="minor"/>
      </rPr>
      <t xml:space="preserve"> </t>
    </r>
  </si>
  <si>
    <r>
      <t>Especialización en Ciencias e Ingeniería</t>
    </r>
    <r>
      <rPr>
        <i/>
        <sz val="10"/>
        <color rgb="FF000000"/>
        <rFont val="Calibri"/>
        <family val="2"/>
        <scheme val="minor"/>
      </rPr>
      <t xml:space="preserve"> (Ambientales, de Materiales)</t>
    </r>
  </si>
  <si>
    <r>
      <t xml:space="preserve">Posgrado en Ciencias e Ingeniería </t>
    </r>
    <r>
      <rPr>
        <i/>
        <sz val="9"/>
        <color rgb="FF000000"/>
        <rFont val="Calibri"/>
        <family val="2"/>
        <scheme val="minor"/>
      </rPr>
      <t>(Ambientales, de Materiales)</t>
    </r>
  </si>
  <si>
    <r>
      <t>Posgrado en Ciencias e Ingeniería</t>
    </r>
    <r>
      <rPr>
        <i/>
        <sz val="9"/>
        <color rgb="FF000000"/>
        <rFont val="Calibri"/>
        <family val="2"/>
        <scheme val="minor"/>
      </rPr>
      <t xml:space="preserve"> (Ambientales, de Materiales)</t>
    </r>
  </si>
  <si>
    <r>
      <t>Posgrado en Historiografía</t>
    </r>
    <r>
      <rPr>
        <i/>
        <sz val="9"/>
        <color rgb="FF000000"/>
        <rFont val="Calibri"/>
        <family val="2"/>
        <scheme val="minor"/>
      </rPr>
      <t xml:space="preserve"> </t>
    </r>
  </si>
  <si>
    <t xml:space="preserve">Posgrado en Matemáticas </t>
  </si>
  <si>
    <t xml:space="preserve">Posgrado en Química </t>
  </si>
  <si>
    <t xml:space="preserve">Posgrado en Energía y Medio Ambiente </t>
  </si>
  <si>
    <t xml:space="preserve">Posgrado en Biotecnología </t>
  </si>
  <si>
    <t>Maestría en Psicología Social</t>
  </si>
  <si>
    <t>Doctorado en Psicología Social</t>
  </si>
  <si>
    <r>
      <t xml:space="preserve">CUERPOS ACADÉMICOS </t>
    </r>
    <r>
      <rPr>
        <sz val="11"/>
        <rFont val="Arial"/>
        <family val="2"/>
      </rPr>
      <t>(grado que PRODEP reconoce)</t>
    </r>
  </si>
  <si>
    <t>Fuente: Base del FPI PRODEP</t>
  </si>
  <si>
    <t>Planes de estudio por nivel</t>
  </si>
  <si>
    <t>Nivel de los planes de estudio en el PNPC</t>
  </si>
  <si>
    <t>CBI*</t>
  </si>
  <si>
    <t>LINEAS</t>
  </si>
  <si>
    <t>Materiales</t>
  </si>
  <si>
    <t>Ambientales</t>
  </si>
  <si>
    <t>En proceso de evaluación</t>
  </si>
  <si>
    <t>en proceso de evaluación</t>
  </si>
  <si>
    <t>Doctorado Integral en Ciencias Administrativas</t>
  </si>
  <si>
    <t>Maestría en Diseño, Planificación y Conservación de Paisajes y Jardines</t>
  </si>
  <si>
    <t>Doctorado en Química</t>
  </si>
  <si>
    <t>Doctorado en Ingeniería Química</t>
  </si>
  <si>
    <t>Doctorado en Ingeniería Biomédica</t>
  </si>
  <si>
    <t>Maestía en Desarrollo y Planificación de la Educación</t>
  </si>
  <si>
    <t>Maestría en Políticas Publicas</t>
  </si>
  <si>
    <t>Pagadas en 2017</t>
  </si>
  <si>
    <t>Asignadas 2017</t>
  </si>
  <si>
    <t>Pagadas 2017</t>
  </si>
  <si>
    <t>Becas Asignadas 2017</t>
  </si>
  <si>
    <t>Becas Pagadas 2017</t>
  </si>
  <si>
    <t>Ingeniería en computación</t>
  </si>
  <si>
    <t>Beca de movilidad internacional posgrado (alumnos UAM) 2017</t>
  </si>
  <si>
    <t>Beca de movilidad internacional posgrado (participantes) 2017</t>
  </si>
  <si>
    <t>Doctorado en Matemáticas</t>
  </si>
  <si>
    <t>Doctorado en Ciencias biológicas y de la Salud</t>
  </si>
  <si>
    <t>Maestría en Economía, Gestión y Política de Innovación</t>
  </si>
  <si>
    <t>Departamento</t>
  </si>
  <si>
    <r>
      <t>UNIDAD</t>
    </r>
    <r>
      <rPr>
        <sz val="11"/>
        <color indexed="8"/>
        <rFont val="Calibri"/>
        <family val="2"/>
        <scheme val="minor"/>
      </rPr>
      <t xml:space="preserve"> </t>
    </r>
  </si>
  <si>
    <r>
      <t>Total UAM</t>
    </r>
    <r>
      <rPr>
        <sz val="11"/>
        <color indexed="8"/>
        <rFont val="Calibri"/>
        <family val="2"/>
        <scheme val="minor"/>
      </rPr>
      <t xml:space="preserve"> </t>
    </r>
  </si>
  <si>
    <t>PATENTES UAM</t>
  </si>
  <si>
    <t>Gestiones</t>
  </si>
  <si>
    <t>Solicitudes de patente realizadas a nivel nacional</t>
  </si>
  <si>
    <t>Solicitudes de patente realizadas a nivel internacional</t>
  </si>
  <si>
    <t>Contestaciones oficiales de fondo realizadas</t>
  </si>
  <si>
    <t>Búsquedas tecnológicas</t>
  </si>
  <si>
    <t>Patentes obtenidas a nivel nacional*</t>
  </si>
  <si>
    <t>Patentes obtenidas a nivel internacional**</t>
  </si>
  <si>
    <t>Número de pagos efectuados</t>
  </si>
  <si>
    <t>Monto ejercido (Pesos)</t>
  </si>
  <si>
    <t>Patentes</t>
  </si>
  <si>
    <r>
      <rPr>
        <b/>
        <i/>
        <sz val="9"/>
        <color theme="1"/>
        <rFont val="Calibri"/>
        <family val="2"/>
        <scheme val="minor"/>
      </rPr>
      <t>Fuente:</t>
    </r>
    <r>
      <rPr>
        <sz val="9"/>
        <color theme="1"/>
        <rFont val="Calibri"/>
        <family val="2"/>
        <scheme val="minor"/>
      </rPr>
      <t xml:space="preserve"> Coordinación General de vinculación y Desarrollo Institucional</t>
    </r>
  </si>
  <si>
    <r>
      <rPr>
        <b/>
        <i/>
        <sz val="9"/>
        <color theme="1"/>
        <rFont val="Calibri"/>
        <family val="2"/>
        <scheme val="minor"/>
      </rPr>
      <t>FUENTE:</t>
    </r>
    <r>
      <rPr>
        <i/>
        <sz val="9"/>
        <color theme="1"/>
        <rFont val="Calibri"/>
        <family val="2"/>
        <scheme val="minor"/>
      </rPr>
      <t xml:space="preserve"> Coordinación General de Vinculación y Desarrollo Institucional.</t>
    </r>
  </si>
  <si>
    <t>La base del SNI (enero  2015) reporta 1,093, al cruzarla con la nómina resulto que 8 profesores habian fallecido por eso queda 1,084</t>
  </si>
  <si>
    <t>Posgrado en Ciencias e Ingeniería (ambientales, de Materiales)</t>
  </si>
  <si>
    <t>Posgrado en Ciencias y Tecnologías de la Informació</t>
  </si>
  <si>
    <r>
      <t>Maestría en Economía</t>
    </r>
    <r>
      <rPr>
        <i/>
        <sz val="9"/>
        <color theme="1"/>
        <rFont val="Calibri"/>
        <family val="2"/>
        <scheme val="minor"/>
      </rPr>
      <t xml:space="preserve"> (Historia Económica; Empresas, Finanzas e Innovación)</t>
    </r>
  </si>
  <si>
    <r>
      <t xml:space="preserve">Nivel 1:  Al interior de las Unidades Académicas </t>
    </r>
    <r>
      <rPr>
        <b/>
        <sz val="10"/>
        <color rgb="FFFF0000"/>
        <rFont val="Calibri"/>
        <family val="2"/>
        <scheme val="minor"/>
      </rPr>
      <t>2017</t>
    </r>
  </si>
  <si>
    <r>
      <t>Nivel 1:  Al interior de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</si>
  <si>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r>
      <t>Nivel 2: Entre las Unidades académicas</t>
    </r>
    <r>
      <rPr>
        <b/>
        <sz val="10"/>
        <color rgb="FFFF0000"/>
        <rFont val="Calibri"/>
        <family val="2"/>
        <scheme val="minor"/>
      </rPr>
      <t xml:space="preserve"> 2017</t>
    </r>
  </si>
  <si>
    <t>BENEFICIARIOS 2017</t>
  </si>
  <si>
    <t>Total 2017</t>
  </si>
  <si>
    <t>11</t>
  </si>
  <si>
    <t xml:space="preserve">Basquetbol Tercias                              </t>
  </si>
  <si>
    <t xml:space="preserve">Carreras o Caminatas </t>
  </si>
  <si>
    <t>Desfile cívico</t>
  </si>
  <si>
    <t xml:space="preserve">   Torneos Representativos de Unidad</t>
  </si>
  <si>
    <t>Actividades Diversas</t>
  </si>
  <si>
    <t>Gimnasio Urbano</t>
  </si>
  <si>
    <t>Préstamo de instalaciones deportivas</t>
  </si>
  <si>
    <t xml:space="preserve">Tochito bandera </t>
  </si>
  <si>
    <t>Ultimate</t>
  </si>
  <si>
    <t>Voleibol Playa</t>
  </si>
  <si>
    <t xml:space="preserve"> Septiembre a Diciembre</t>
  </si>
  <si>
    <t>Septiembre a Diciembre</t>
  </si>
  <si>
    <t>1974-2006</t>
  </si>
  <si>
    <t>EFICIENCIA TERMINAL 2017</t>
  </si>
  <si>
    <r>
      <rPr>
        <b/>
        <i/>
        <sz val="10"/>
        <rFont val="Arial"/>
        <family val="2"/>
      </rPr>
      <t>Fuente:</t>
    </r>
    <r>
      <rPr>
        <sz val="10"/>
        <rFont val="Arial"/>
        <family val="2"/>
      </rPr>
      <t xml:space="preserve"> proyectos registrados en el COFON en 2017</t>
    </r>
  </si>
  <si>
    <r>
      <t xml:space="preserve">Manual de Puestos Administrativos de Base </t>
    </r>
    <r>
      <rPr>
        <i/>
        <sz val="9"/>
        <rFont val="Calibri"/>
        <family val="2"/>
        <scheme val="minor"/>
      </rPr>
      <t>(se agrego el rubro a partir de mayo del 2017)</t>
    </r>
  </si>
  <si>
    <t>Actividades Deportivas</t>
  </si>
  <si>
    <t>Base de datos del S N I publicada en enero de 2017</t>
  </si>
  <si>
    <t>Base de datos del S N I publicada en enero de 2018</t>
  </si>
  <si>
    <t>DEPARTAMENTO</t>
  </si>
  <si>
    <t>CIENCIAS BASICAS</t>
  </si>
  <si>
    <t>ELECTRONICA</t>
  </si>
  <si>
    <t>ENERGIA</t>
  </si>
  <si>
    <t>MATERIALES</t>
  </si>
  <si>
    <t>SISTEMAS</t>
  </si>
  <si>
    <t>SUBTOTAL CBI</t>
  </si>
  <si>
    <t>ADMINISTRACION</t>
  </si>
  <si>
    <t>ECONOMIA</t>
  </si>
  <si>
    <t>SUBTOTAL CSH</t>
  </si>
  <si>
    <t>DEL MEDIO AMBIENTE</t>
  </si>
  <si>
    <t>EVALUACION DEL DISEÑO EN EL TIEMPO</t>
  </si>
  <si>
    <t>INVESTIGACIÓN Y CONOCIMIENTO DEL DISEÑO</t>
  </si>
  <si>
    <t>PROCESOS Y TECNICAS DE REALIZACION</t>
  </si>
  <si>
    <t>SUBTOTAL CYAD</t>
  </si>
  <si>
    <t>CIENCIAS DE LA COMUNICACION</t>
  </si>
  <si>
    <t>TECNOLOGIAS DE LA INFORMACION</t>
  </si>
  <si>
    <t>TEORIA Y PROCESOS DEL DISEÑO</t>
  </si>
  <si>
    <t>SUBTOTAL CCD</t>
  </si>
  <si>
    <t>CIENCIAS NATURALES</t>
  </si>
  <si>
    <t>MATEMATICAS APLICADAS Y SISTEMAS</t>
  </si>
  <si>
    <t>PROCESOS Y TECNOLOGIA</t>
  </si>
  <si>
    <t>SUBTOTAL CNI</t>
  </si>
  <si>
    <t>CIENCIAS SOCIALES</t>
  </si>
  <si>
    <t>ESTUDIOS INSTITUCIONALES</t>
  </si>
  <si>
    <t>TOTAL CUAJIMALPA</t>
  </si>
  <si>
    <t>FISICA</t>
  </si>
  <si>
    <t>INGENIERIA DE PROCESOS E HIDRAULICA</t>
  </si>
  <si>
    <t>MATEMATICAS</t>
  </si>
  <si>
    <t>QUIMICA</t>
  </si>
  <si>
    <t>BIOLOGIA</t>
  </si>
  <si>
    <t>BIOLOGIA DE LA REPRODUCCION</t>
  </si>
  <si>
    <t>BIOTECNOLOGIA</t>
  </si>
  <si>
    <t>CIENCIAS DE LA SALUD</t>
  </si>
  <si>
    <t>HIDROBIOLOGIA</t>
  </si>
  <si>
    <t>SUBTOTAL CBS</t>
  </si>
  <si>
    <t>ANTROPOLOGIA</t>
  </si>
  <si>
    <t>FILOSOFIA</t>
  </si>
  <si>
    <t>PROCESOS PRODUCTIVOS</t>
  </si>
  <si>
    <t>RECURSOS DE LA TIERRA</t>
  </si>
  <si>
    <t>SISTEMAS DE INFORMACION Y COMUNICACIONES</t>
  </si>
  <si>
    <t>CIENCIAS AMBIENTALES</t>
  </si>
  <si>
    <t>CIENCIAS DE LA ALIMENTACION</t>
  </si>
  <si>
    <t>ARTES Y HUMANIDADES</t>
  </si>
  <si>
    <t>ESTUDIOS CULTURALES</t>
  </si>
  <si>
    <t>PROCESOS SOCIALES</t>
  </si>
  <si>
    <t>TOTAL LERMA</t>
  </si>
  <si>
    <t>ATENCION A LA SALUD</t>
  </si>
  <si>
    <t>EL HOMBRE Y SU AMBIENTE</t>
  </si>
  <si>
    <t>PRODUCCION AGRICOLA Y ANIMAL</t>
  </si>
  <si>
    <t>SISTEMAS BIOLOGICOS</t>
  </si>
  <si>
    <t>EDUCACION Y COMUNICACION</t>
  </si>
  <si>
    <t>POLITICA Y CULTURA</t>
  </si>
  <si>
    <t>PRODUCCION ECONOMICA</t>
  </si>
  <si>
    <t>RELACIONES SOCIALES</t>
  </si>
  <si>
    <t>METODOS Y SISTEMAS</t>
  </si>
  <si>
    <t>SINTESIS CREATIVA</t>
  </si>
  <si>
    <t>TECNOLOGIA Y PRODUCCION</t>
  </si>
  <si>
    <t>TEORIA Y ANALISIS</t>
  </si>
  <si>
    <t>FUENTE: Base de Nómina correspondiente a la quincena 20 de 2017. Incluye Mandos Medios Académicos y Funcionarios Académicos.</t>
  </si>
  <si>
    <t>Elaboración: Dirección de Planeación.</t>
  </si>
  <si>
    <t xml:space="preserve">PERSONAL ACADÉMICO DEFINITIVO POR GRADO ACADÉMICO </t>
  </si>
  <si>
    <t>Doctorado en Ciencias e Ingeniería (Línea de Materiales)</t>
  </si>
  <si>
    <t>Maestría en Diseño Biocliomático</t>
  </si>
  <si>
    <t>Alumnos</t>
  </si>
  <si>
    <t>||</t>
  </si>
  <si>
    <t>6 diciembre,2022</t>
  </si>
  <si>
    <r>
      <t xml:space="preserve">Planes    </t>
    </r>
    <r>
      <rPr>
        <sz val="11"/>
        <color indexed="8"/>
        <rFont val="Calibri"/>
        <family val="2"/>
        <scheme val="minor"/>
      </rPr>
      <t>Activos 2017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</si>
</sst>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&quot;$&quot;#,##0.00;[Red]\-&quot;$&quot;#,##0.00"/>
    <numFmt numFmtId="165" formatCode="_-&quot;$&quot;* #,##0.00_-;\-&quot;$&quot;* #,##0.00_-;_-&quot;$&quot;* &quot;-&quot;??_-;_-@_-"/>
    <numFmt numFmtId="166" formatCode="_(* #,##0.00_);_(* \(#,##0.00\);_(* &quot;-&quot;??_);_(@_)"/>
    <numFmt numFmtId="167" formatCode="_(* #,##0_);_(* \(#,##0\);_(* &quot;-&quot;??_);_(@_)"/>
    <numFmt numFmtId="168" formatCode="_([$€-2]* #,##0.00_);_([$€-2]* \(#,##0.00\);_([$€-2]* &quot;-&quot;??_)"/>
    <numFmt numFmtId="169" formatCode="0_);\(0\)"/>
    <numFmt numFmtId="170" formatCode="0.0%"/>
    <numFmt numFmtId="171" formatCode="_(&quot;$&quot;* #,##0.00_);_(&quot;$&quot;* \(#,##0.00\);_(&quot;$&quot;* &quot;-&quot;??_);_(@_)"/>
    <numFmt numFmtId="172" formatCode="&quot;$&quot;#,##0_);[Red]\(&quot;$&quot;#,##0\)"/>
    <numFmt numFmtId="173" formatCode="&quot;$&quot;#.00"/>
    <numFmt numFmtId="174" formatCode="m\o\n\th\ d\,\ \y\y\y\y"/>
    <numFmt numFmtId="175" formatCode="#.00"/>
    <numFmt numFmtId="176" formatCode="#."/>
    <numFmt numFmtId="177" formatCode="%#.00"/>
    <numFmt numFmtId="178" formatCode="\ \ \ \ \ @"/>
    <numFmt numFmtId="179" formatCode="#,##0.0"/>
    <numFmt numFmtId="180" formatCode="_(* #,##0.0_);_(* \(#,##0.0\);_(* &quot;-&quot;??_);_(@_)"/>
    <numFmt numFmtId="181" formatCode="_-* #,##0_-;\-* #,##0_-;_-* &quot;-&quot;??_-;_-@_-"/>
    <numFmt numFmtId="182" formatCode="_(* #,##0_);_(* \(#,##0\);_(* &quot;-&quot;_);_(@_)"/>
    <numFmt numFmtId="183" formatCode="_-* #,##0.0_-;\-* #,##0.0_-;_-* &quot;-&quot;??_-;_-@_-"/>
    <numFmt numFmtId="184" formatCode="0.0"/>
    <numFmt numFmtId="185" formatCode="[$-1540A]dd\ mmmm\,\ yyyy;@"/>
    <numFmt numFmtId="186" formatCode="[$-409]General"/>
    <numFmt numFmtId="187" formatCode="#,##0.00_ ;[Red]\-#,##0.00\ "/>
  </numFmts>
  <fonts count="36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sz val="8"/>
      <name val="Arial"/>
      <family val="2"/>
    </font>
    <font>
      <b/>
      <sz val="8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sz val="8"/>
      <name val="Arial"/>
      <family val="2"/>
    </font>
    <font>
      <sz val="8"/>
      <name val="Century Gothic"/>
      <family val="2"/>
    </font>
    <font>
      <sz val="8"/>
      <name val="Arial"/>
      <family val="2"/>
    </font>
    <font>
      <b/>
      <sz val="13"/>
      <name val="Century Gothic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b/>
      <sz val="16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u/>
      <sz val="9"/>
      <name val="Arial"/>
      <family val="2"/>
    </font>
    <font>
      <sz val="14"/>
      <name val="Arial"/>
      <family val="2"/>
    </font>
    <font>
      <b/>
      <sz val="11"/>
      <name val="Lucida Sans Unicode"/>
      <family val="2"/>
    </font>
    <font>
      <sz val="10"/>
      <name val="Arial"/>
      <family val="2"/>
    </font>
    <font>
      <sz val="8"/>
      <color indexed="8"/>
      <name val="Century Gothic"/>
      <family val="2"/>
    </font>
    <font>
      <sz val="13"/>
      <name val="Arial"/>
      <family val="2"/>
    </font>
    <font>
      <sz val="16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rgb="FF000000"/>
      <name val="Calibri"/>
      <family val="2"/>
    </font>
    <font>
      <sz val="8"/>
      <color rgb="FF000000"/>
      <name val="Arial"/>
      <family val="2"/>
    </font>
    <font>
      <b/>
      <sz val="14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0"/>
      <color theme="5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4"/>
      <name val="Arial"/>
      <family val="2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u/>
      <sz val="8"/>
      <color theme="10"/>
      <name val="Arial"/>
      <family val="2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name val="Calibri"/>
      <family val="2"/>
    </font>
    <font>
      <b/>
      <sz val="8"/>
      <name val="Calibri"/>
      <family val="2"/>
      <scheme val="minor"/>
    </font>
    <font>
      <b/>
      <sz val="9"/>
      <color theme="0"/>
      <name val="Arial"/>
      <family val="2"/>
    </font>
    <font>
      <sz val="11"/>
      <color theme="4"/>
      <name val="Calibri"/>
      <family val="2"/>
      <scheme val="minor"/>
    </font>
    <font>
      <sz val="10"/>
      <color theme="6" tint="-0.249977111117893"/>
      <name val="Arial"/>
      <family val="2"/>
    </font>
    <font>
      <sz val="11"/>
      <name val="Calibri"/>
      <family val="2"/>
    </font>
    <font>
      <sz val="12"/>
      <color theme="0" tint="-0.3499862666707357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i/>
      <sz val="9"/>
      <name val="Arial"/>
      <family val="2"/>
    </font>
    <font>
      <b/>
      <sz val="14"/>
      <name val="Calibri"/>
      <family val="2"/>
      <scheme val="minor"/>
    </font>
    <font>
      <sz val="10"/>
      <name val="Book Antiqua"/>
      <family val="1"/>
    </font>
    <font>
      <sz val="1"/>
      <color indexed="8"/>
      <name val="Courier"/>
      <family val="3"/>
    </font>
    <font>
      <sz val="10"/>
      <name val="MS Sans Serif"/>
      <family val="2"/>
    </font>
    <font>
      <b/>
      <sz val="1"/>
      <color indexed="8"/>
      <name val="Courier"/>
      <family val="3"/>
    </font>
    <font>
      <u/>
      <sz val="8.8000000000000007"/>
      <color rgb="FF0000FF"/>
      <name val="Calibri"/>
      <family val="2"/>
    </font>
    <font>
      <sz val="11"/>
      <color rgb="FFCD032E"/>
      <name val="Calibri"/>
      <family val="2"/>
      <scheme val="minor"/>
    </font>
    <font>
      <sz val="11"/>
      <color rgb="FFF08200"/>
      <name val="Calibri"/>
      <family val="2"/>
      <scheme val="minor"/>
    </font>
    <font>
      <sz val="11"/>
      <color rgb="FF57A519"/>
      <name val="Calibri"/>
      <family val="2"/>
      <scheme val="minor"/>
    </font>
    <font>
      <sz val="11"/>
      <color rgb="FF0072CE"/>
      <name val="Calibri"/>
      <family val="2"/>
      <scheme val="minor"/>
    </font>
    <font>
      <b/>
      <sz val="12"/>
      <color rgb="FFCD032E"/>
      <name val="Calibri"/>
      <family val="2"/>
      <scheme val="minor"/>
    </font>
    <font>
      <b/>
      <sz val="12"/>
      <color rgb="FF57A519"/>
      <name val="Calibri"/>
      <family val="2"/>
      <scheme val="minor"/>
    </font>
    <font>
      <b/>
      <sz val="12"/>
      <color rgb="FF0072CE"/>
      <name val="Calibri"/>
      <family val="2"/>
      <scheme val="minor"/>
    </font>
    <font>
      <b/>
      <sz val="12"/>
      <color rgb="FFF08200"/>
      <name val="Calibri"/>
      <family val="2"/>
      <scheme val="minor"/>
    </font>
    <font>
      <b/>
      <sz val="12"/>
      <color rgb="FFAD25A8"/>
      <name val="Calibri"/>
      <family val="2"/>
      <scheme val="minor"/>
    </font>
    <font>
      <b/>
      <sz val="11"/>
      <color rgb="FFCD032E"/>
      <name val="Calibri"/>
      <family val="2"/>
      <scheme val="minor"/>
    </font>
    <font>
      <b/>
      <sz val="11"/>
      <color rgb="FFF08200"/>
      <name val="Calibri"/>
      <family val="2"/>
      <scheme val="minor"/>
    </font>
    <font>
      <b/>
      <sz val="11"/>
      <color rgb="FF0072CE"/>
      <name val="Calibri"/>
      <family val="2"/>
      <scheme val="minor"/>
    </font>
    <font>
      <b/>
      <sz val="11"/>
      <color rgb="FFAD25A8"/>
      <name val="Calibri"/>
      <family val="2"/>
      <scheme val="minor"/>
    </font>
    <font>
      <b/>
      <sz val="11"/>
      <color rgb="FF57A51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sz val="11"/>
      <color rgb="FFAD25A8"/>
      <name val="Calibri"/>
      <family val="2"/>
      <scheme val="minor"/>
    </font>
    <font>
      <sz val="11"/>
      <color rgb="FFAD25A8"/>
      <name val="Calibr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rgb="FFCC9900"/>
      <name val="Calibri"/>
      <family val="2"/>
      <scheme val="minor"/>
    </font>
    <font>
      <b/>
      <i/>
      <sz val="14"/>
      <name val="Arial"/>
      <family val="2"/>
    </font>
    <font>
      <sz val="18"/>
      <color rgb="FF222222"/>
      <name val="Arial"/>
      <family val="2"/>
    </font>
    <font>
      <u/>
      <sz val="11"/>
      <color indexed="12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CD032E"/>
      <name val="Arial"/>
      <family val="2"/>
    </font>
    <font>
      <sz val="8"/>
      <color rgb="FF000000"/>
      <name val="Calibri"/>
      <family val="2"/>
      <scheme val="minor"/>
    </font>
    <font>
      <i/>
      <sz val="8"/>
      <color rgb="FF000000"/>
      <name val="Calibri"/>
      <family val="2"/>
    </font>
    <font>
      <b/>
      <sz val="11"/>
      <color rgb="FF0072D0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rgb="FFF08200"/>
      <name val="Arial"/>
      <family val="2"/>
    </font>
    <font>
      <b/>
      <sz val="10"/>
      <color rgb="FFF08200"/>
      <name val="Arial"/>
      <family val="2"/>
    </font>
    <font>
      <sz val="10"/>
      <color rgb="FFCD032E"/>
      <name val="Arial"/>
      <family val="2"/>
    </font>
    <font>
      <b/>
      <sz val="10"/>
      <color rgb="FFCD032E"/>
      <name val="Arial"/>
      <family val="2"/>
    </font>
    <font>
      <sz val="10"/>
      <color rgb="FF57A519"/>
      <name val="Arial"/>
      <family val="2"/>
    </font>
    <font>
      <b/>
      <sz val="10"/>
      <color rgb="FF57A519"/>
      <name val="Arial"/>
      <family val="2"/>
    </font>
    <font>
      <sz val="10"/>
      <color rgb="FF0072CE"/>
      <name val="Arial"/>
      <family val="2"/>
    </font>
    <font>
      <b/>
      <sz val="10"/>
      <color rgb="FF0072CE"/>
      <name val="Arial"/>
      <family val="2"/>
    </font>
    <font>
      <sz val="10"/>
      <color rgb="FFAD25A8"/>
      <name val="Arial"/>
      <family val="2"/>
    </font>
    <font>
      <b/>
      <sz val="10"/>
      <color rgb="FFAD25A8"/>
      <name val="Arial"/>
      <family val="2"/>
    </font>
    <font>
      <b/>
      <sz val="11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0"/>
      <name val="Arial"/>
      <family val="2"/>
    </font>
    <font>
      <b/>
      <i/>
      <sz val="10"/>
      <name val="Arial"/>
      <family val="2"/>
    </font>
    <font>
      <b/>
      <sz val="12"/>
      <color rgb="FFCC9900"/>
      <name val="Arial"/>
      <family val="2"/>
    </font>
    <font>
      <sz val="7"/>
      <name val="Times New Roman"/>
      <family val="1"/>
    </font>
    <font>
      <sz val="8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5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4"/>
      <name val="Calibri"/>
      <family val="2"/>
      <scheme val="minor"/>
    </font>
    <font>
      <sz val="12"/>
      <color rgb="FFCD032E"/>
      <name val="Calibri"/>
      <family val="2"/>
      <scheme val="minor"/>
    </font>
    <font>
      <sz val="12"/>
      <color rgb="FFF08200"/>
      <name val="Calibri"/>
      <family val="2"/>
      <scheme val="minor"/>
    </font>
    <font>
      <sz val="12"/>
      <color rgb="FF57A519"/>
      <name val="Calibri"/>
      <family val="2"/>
      <scheme val="minor"/>
    </font>
    <font>
      <sz val="12"/>
      <color rgb="FF0072CE"/>
      <name val="Calibri"/>
      <family val="2"/>
      <scheme val="minor"/>
    </font>
    <font>
      <b/>
      <sz val="9"/>
      <color indexed="8"/>
      <name val="Arial"/>
      <family val="2"/>
    </font>
    <font>
      <b/>
      <sz val="10"/>
      <color theme="1"/>
      <name val="Arial"/>
      <family val="2"/>
    </font>
    <font>
      <b/>
      <sz val="10"/>
      <color theme="9"/>
      <name val="Arial"/>
      <family val="2"/>
    </font>
    <font>
      <b/>
      <sz val="10"/>
      <color theme="7"/>
      <name val="Arial"/>
      <family val="2"/>
    </font>
    <font>
      <b/>
      <sz val="11"/>
      <color theme="0"/>
      <name val="Calibri"/>
      <family val="2"/>
      <scheme val="minor"/>
    </font>
    <font>
      <sz val="9"/>
      <name val="Calibri"/>
      <family val="2"/>
    </font>
    <font>
      <sz val="11"/>
      <color theme="9" tint="-0.249977111117893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b/>
      <sz val="9"/>
      <name val="Calibri"/>
      <family val="2"/>
      <scheme val="minor"/>
    </font>
    <font>
      <sz val="8"/>
      <color theme="5"/>
      <name val="Arial"/>
      <family val="2"/>
    </font>
    <font>
      <sz val="8"/>
      <color rgb="FFFF000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i/>
      <sz val="10"/>
      <color theme="9" tint="-0.249977111117893"/>
      <name val="Calibri"/>
      <family val="2"/>
      <scheme val="minor"/>
    </font>
    <font>
      <b/>
      <sz val="10"/>
      <color theme="9" tint="-0.249977111117893"/>
      <name val="Arial"/>
      <family val="2"/>
    </font>
    <font>
      <i/>
      <sz val="10"/>
      <name val="Calibri"/>
      <family val="2"/>
      <scheme val="minor"/>
    </font>
    <font>
      <i/>
      <sz val="9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6"/>
      <name val="Calibri"/>
      <family val="2"/>
      <scheme val="minor"/>
    </font>
    <font>
      <sz val="36"/>
      <name val="Arial"/>
      <family val="2"/>
    </font>
    <font>
      <i/>
      <sz val="36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C0504D"/>
      <name val="Arial"/>
      <family val="2"/>
    </font>
    <font>
      <sz val="10"/>
      <color rgb="FFE46C0A"/>
      <name val="Arial"/>
      <family val="2"/>
    </font>
    <font>
      <sz val="10"/>
      <color rgb="FF77933C"/>
      <name val="Arial"/>
      <family val="2"/>
    </font>
    <font>
      <sz val="10"/>
      <color rgb="FF4F81BD"/>
      <name val="Arial"/>
      <family val="2"/>
    </font>
    <font>
      <sz val="10"/>
      <color theme="7"/>
      <name val="Arial"/>
      <family val="2"/>
    </font>
    <font>
      <sz val="14"/>
      <color rgb="FFFF0000"/>
      <name val="Arial"/>
      <family val="2"/>
    </font>
    <font>
      <sz val="10"/>
      <color rgb="FFCC9900"/>
      <name val="Arial"/>
      <family val="2"/>
    </font>
    <font>
      <sz val="10"/>
      <color theme="0" tint="-0.14999847407452621"/>
      <name val="Arial"/>
      <family val="2"/>
    </font>
    <font>
      <sz val="11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b/>
      <sz val="14"/>
      <color indexed="8"/>
      <name val="Calibri"/>
      <family val="2"/>
      <scheme val="minor"/>
    </font>
    <font>
      <sz val="9"/>
      <color rgb="FF000000"/>
      <name val="Arial"/>
      <family val="2"/>
    </font>
    <font>
      <b/>
      <sz val="12"/>
      <color indexed="8"/>
      <name val="Calibri"/>
      <family val="2"/>
      <scheme val="minor"/>
    </font>
    <font>
      <b/>
      <i/>
      <sz val="12"/>
      <color rgb="FFCC9900"/>
      <name val="Calibri"/>
      <family val="2"/>
      <scheme val="minor"/>
    </font>
    <font>
      <b/>
      <i/>
      <sz val="12"/>
      <color theme="8" tint="-0.249977111117893"/>
      <name val="Calibri"/>
      <family val="2"/>
      <scheme val="minor"/>
    </font>
    <font>
      <b/>
      <sz val="12"/>
      <color rgb="FFCC9900"/>
      <name val="Calibri"/>
      <family val="2"/>
      <scheme val="minor"/>
    </font>
    <font>
      <b/>
      <sz val="14"/>
      <color indexed="8"/>
      <name val="Calibri"/>
      <family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Arial"/>
      <family val="2"/>
    </font>
    <font>
      <sz val="10"/>
      <color theme="0" tint="-0.34998626667073579"/>
      <name val="Arial"/>
      <family val="2"/>
    </font>
    <font>
      <sz val="11"/>
      <color theme="0" tint="-0.34998626667073579"/>
      <name val="Calibri"/>
      <family val="2"/>
    </font>
    <font>
      <sz val="10"/>
      <color theme="0" tint="-0.499984740745262"/>
      <name val="Arial"/>
      <family val="2"/>
    </font>
    <font>
      <b/>
      <i/>
      <sz val="12"/>
      <color theme="0"/>
      <name val="Calibri"/>
      <family val="2"/>
      <scheme val="minor"/>
    </font>
    <font>
      <sz val="10"/>
      <color rgb="FFCD032E"/>
      <name val="Calibri"/>
      <family val="2"/>
      <scheme val="minor"/>
    </font>
    <font>
      <sz val="8"/>
      <color rgb="FFCD032E"/>
      <name val="Calibri"/>
      <family val="2"/>
      <scheme val="minor"/>
    </font>
    <font>
      <sz val="10"/>
      <color rgb="FF57A519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57A519"/>
      <name val="Calibri"/>
      <family val="2"/>
      <scheme val="minor"/>
    </font>
    <font>
      <sz val="9"/>
      <color rgb="FFCD032E"/>
      <name val="Calibri"/>
      <family val="2"/>
      <scheme val="minor"/>
    </font>
    <font>
      <b/>
      <sz val="9"/>
      <color rgb="FFCD032E"/>
      <name val="Calibri"/>
      <family val="2"/>
      <scheme val="minor"/>
    </font>
    <font>
      <b/>
      <sz val="9"/>
      <color rgb="FFF08200"/>
      <name val="Calibri"/>
      <family val="2"/>
      <scheme val="minor"/>
    </font>
    <font>
      <b/>
      <sz val="9"/>
      <color rgb="FF57A519"/>
      <name val="Calibri"/>
      <family val="2"/>
      <scheme val="minor"/>
    </font>
    <font>
      <b/>
      <sz val="9"/>
      <color rgb="FFAD25A8"/>
      <name val="Calibri"/>
      <family val="2"/>
      <scheme val="minor"/>
    </font>
    <font>
      <b/>
      <sz val="9"/>
      <color rgb="FF0072CE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12"/>
      <color rgb="FFAD25A8"/>
      <name val="Calibri"/>
      <family val="2"/>
      <scheme val="minor"/>
    </font>
    <font>
      <b/>
      <i/>
      <sz val="12"/>
      <color theme="1"/>
      <name val="Arial"/>
      <family val="2"/>
    </font>
    <font>
      <i/>
      <u/>
      <sz val="1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8"/>
      <name val="Helv"/>
    </font>
    <font>
      <sz val="12"/>
      <color indexed="8"/>
      <name val="Verdana"/>
      <family val="2"/>
    </font>
    <font>
      <sz val="11"/>
      <color rgb="FF000000"/>
      <name val="Calibri"/>
      <family val="2"/>
      <charset val="1"/>
    </font>
    <font>
      <b/>
      <sz val="11"/>
      <color theme="1" tint="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i/>
      <sz val="11"/>
      <color theme="0" tint="-0.499984740745262"/>
      <name val="Arial"/>
      <family val="2"/>
    </font>
    <font>
      <b/>
      <i/>
      <sz val="11"/>
      <color rgb="FFFFC000"/>
      <name val="Arial"/>
      <family val="2"/>
    </font>
    <font>
      <b/>
      <sz val="12"/>
      <color theme="1"/>
      <name val="Arial"/>
      <family val="2"/>
    </font>
    <font>
      <b/>
      <sz val="11"/>
      <color rgb="FF000000"/>
      <name val="Arial"/>
      <family val="2"/>
    </font>
    <font>
      <b/>
      <sz val="14"/>
      <color rgb="FFC0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name val="Arial Narrow"/>
      <family val="2"/>
    </font>
    <font>
      <b/>
      <sz val="8"/>
      <color rgb="FFFF0000"/>
      <name val="Calibri"/>
      <family val="2"/>
      <scheme val="minor"/>
    </font>
    <font>
      <i/>
      <sz val="9"/>
      <color indexed="8"/>
      <name val="Calibri"/>
      <family val="2"/>
      <scheme val="minor"/>
    </font>
    <font>
      <b/>
      <i/>
      <sz val="10"/>
      <color rgb="FF57A519"/>
      <name val="Calibri"/>
      <family val="2"/>
      <scheme val="minor"/>
    </font>
    <font>
      <i/>
      <sz val="10"/>
      <color rgb="FF0072CE"/>
      <name val="Calibri"/>
      <family val="2"/>
      <scheme val="minor"/>
    </font>
    <font>
      <i/>
      <sz val="9"/>
      <color rgb="FF0072CE"/>
      <name val="Calibri"/>
      <family val="2"/>
      <scheme val="minor"/>
    </font>
    <font>
      <b/>
      <i/>
      <sz val="11"/>
      <color rgb="FF0072CE"/>
      <name val="Calibri"/>
      <family val="2"/>
      <scheme val="minor"/>
    </font>
    <font>
      <i/>
      <sz val="8"/>
      <color rgb="FFFF0000"/>
      <name val="Arial"/>
      <family val="2"/>
    </font>
    <font>
      <i/>
      <sz val="14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9"/>
      <color rgb="FF0072CE"/>
      <name val="Calibri"/>
      <family val="2"/>
      <scheme val="minor"/>
    </font>
    <font>
      <i/>
      <sz val="8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i/>
      <sz val="10"/>
      <name val="Arial"/>
      <family val="2"/>
    </font>
    <font>
      <sz val="9"/>
      <color theme="0" tint="-0.34998626667073579"/>
      <name val="Calibri"/>
      <family val="2"/>
    </font>
    <font>
      <b/>
      <sz val="12"/>
      <color rgb="FF000000"/>
      <name val="Arial"/>
      <family val="2"/>
    </font>
    <font>
      <sz val="8"/>
      <color theme="0" tint="-0.499984740745262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9"/>
      <color rgb="FF000000"/>
      <name val="Calibri"/>
      <family val="2"/>
      <scheme val="minor"/>
    </font>
    <font>
      <sz val="8"/>
      <name val="Calibri"/>
      <family val="2"/>
    </font>
    <font>
      <b/>
      <sz val="8"/>
      <name val="Calibri"/>
      <family val="2"/>
    </font>
    <font>
      <i/>
      <sz val="9"/>
      <color theme="0" tint="-0.499984740745262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sz val="9"/>
      <color theme="9" tint="-0.249977111117893"/>
      <name val="Calibri"/>
      <family val="2"/>
      <scheme val="minor"/>
    </font>
    <font>
      <b/>
      <sz val="9"/>
      <color theme="9" tint="-0.249977111117893"/>
      <name val="Calibri"/>
      <family val="2"/>
      <scheme val="minor"/>
    </font>
    <font>
      <sz val="9"/>
      <color rgb="FFAD25A8"/>
      <name val="Calibri"/>
      <family val="2"/>
      <scheme val="minor"/>
    </font>
    <font>
      <b/>
      <i/>
      <sz val="18"/>
      <name val="Cambria"/>
      <family val="1"/>
    </font>
    <font>
      <b/>
      <sz val="14"/>
      <color rgb="FFFF0000"/>
      <name val="Calibri"/>
      <family val="2"/>
    </font>
    <font>
      <b/>
      <i/>
      <sz val="11"/>
      <color theme="0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  <font>
      <sz val="9"/>
      <color rgb="FF000000"/>
      <name val="Calibri"/>
      <family val="2"/>
      <scheme val="minor"/>
    </font>
    <font>
      <sz val="10"/>
      <color rgb="FF000000"/>
      <name val="Calibri"/>
      <family val="2"/>
    </font>
  </fonts>
  <fills count="4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D032E"/>
        <bgColor indexed="64"/>
      </patternFill>
    </fill>
    <fill>
      <patternFill patternType="solid">
        <fgColor rgb="FFF08200"/>
        <bgColor indexed="64"/>
      </patternFill>
    </fill>
    <fill>
      <patternFill patternType="solid">
        <fgColor rgb="FF57A51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D25A8"/>
        <bgColor indexed="64"/>
      </patternFill>
    </fill>
    <fill>
      <patternFill patternType="solid">
        <fgColor rgb="FF0072CE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2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0" tint="-0.24994659260841701"/>
      </bottom>
      <diagonal/>
    </border>
    <border>
      <left/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rgb="FF000000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thin">
        <color indexed="64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000000"/>
      </left>
      <right style="thin">
        <color rgb="FF000000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tted">
        <color indexed="64"/>
      </bottom>
      <diagonal/>
    </border>
    <border>
      <left style="hair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 style="thin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hair">
        <color indexed="64"/>
      </right>
      <top style="dotted">
        <color indexed="64"/>
      </top>
      <bottom/>
      <diagonal/>
    </border>
    <border>
      <left style="hair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tt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auto="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812">
    <xf numFmtId="0" fontId="0" fillId="0" borderId="0"/>
    <xf numFmtId="0" fontId="85" fillId="2" borderId="0" applyNumberFormat="0" applyBorder="0" applyAlignment="0" applyProtection="0"/>
    <xf numFmtId="0" fontId="85" fillId="3" borderId="0" applyNumberFormat="0" applyBorder="0" applyAlignment="0" applyProtection="0"/>
    <xf numFmtId="0" fontId="85" fillId="4" borderId="0" applyNumberFormat="0" applyBorder="0" applyAlignment="0" applyProtection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85" fillId="3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6" fillId="6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8" borderId="0" applyNumberFormat="0" applyBorder="0" applyAlignment="0" applyProtection="0"/>
    <xf numFmtId="0" fontId="86" fillId="6" borderId="0" applyNumberFormat="0" applyBorder="0" applyAlignment="0" applyProtection="0"/>
    <xf numFmtId="0" fontId="86" fillId="3" borderId="0" applyNumberFormat="0" applyBorder="0" applyAlignment="0" applyProtection="0"/>
    <xf numFmtId="0" fontId="87" fillId="6" borderId="0" applyNumberFormat="0" applyBorder="0" applyAlignment="0" applyProtection="0"/>
    <xf numFmtId="0" fontId="88" fillId="11" borderId="1" applyNumberFormat="0" applyAlignment="0" applyProtection="0"/>
    <xf numFmtId="0" fontId="89" fillId="12" borderId="2" applyNumberFormat="0" applyAlignment="0" applyProtection="0"/>
    <xf numFmtId="0" fontId="90" fillId="0" borderId="3" applyNumberFormat="0" applyFill="0" applyAlignment="0" applyProtection="0"/>
    <xf numFmtId="0" fontId="91" fillId="0" borderId="0" applyNumberFormat="0" applyFill="0" applyBorder="0" applyAlignment="0" applyProtection="0"/>
    <xf numFmtId="0" fontId="86" fillId="13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92" fillId="7" borderId="1" applyNumberFormat="0" applyAlignment="0" applyProtection="0"/>
    <xf numFmtId="168" fontId="71" fillId="0" borderId="0" applyFont="0" applyFill="0" applyBorder="0" applyAlignment="0" applyProtection="0"/>
    <xf numFmtId="0" fontId="105" fillId="0" borderId="0" applyNumberFormat="0" applyFill="0" applyBorder="0" applyAlignment="0" applyProtection="0">
      <alignment vertical="top"/>
      <protection locked="0"/>
    </xf>
    <xf numFmtId="0" fontId="93" fillId="17" borderId="0" applyNumberFormat="0" applyBorder="0" applyAlignment="0" applyProtection="0"/>
    <xf numFmtId="43" fontId="70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119" fillId="0" borderId="0" applyFont="0" applyFill="0" applyBorder="0" applyAlignment="0" applyProtection="0"/>
    <xf numFmtId="43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94" fillId="7" borderId="0" applyNumberFormat="0" applyBorder="0" applyAlignment="0" applyProtection="0"/>
    <xf numFmtId="0" fontId="71" fillId="0" borderId="0"/>
    <xf numFmtId="0" fontId="85" fillId="0" borderId="0"/>
    <xf numFmtId="0" fontId="123" fillId="0" borderId="0"/>
    <xf numFmtId="0" fontId="71" fillId="0" borderId="0"/>
    <xf numFmtId="0" fontId="101" fillId="0" borderId="0"/>
    <xf numFmtId="0" fontId="85" fillId="0" borderId="0"/>
    <xf numFmtId="0" fontId="101" fillId="0" borderId="0"/>
    <xf numFmtId="0" fontId="101" fillId="0" borderId="0"/>
    <xf numFmtId="0" fontId="7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101" fillId="0" borderId="0"/>
    <xf numFmtId="0" fontId="71" fillId="4" borderId="4" applyNumberFormat="0" applyFont="0" applyAlignment="0" applyProtection="0"/>
    <xf numFmtId="9" fontId="70" fillId="0" borderId="0" applyFont="0" applyFill="0" applyBorder="0" applyAlignment="0" applyProtection="0"/>
    <xf numFmtId="0" fontId="95" fillId="11" borderId="5" applyNumberFormat="0" applyAlignment="0" applyProtection="0"/>
    <xf numFmtId="0" fontId="9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6" applyNumberFormat="0" applyFill="0" applyAlignment="0" applyProtection="0"/>
    <xf numFmtId="0" fontId="99" fillId="0" borderId="7" applyNumberFormat="0" applyFill="0" applyAlignment="0" applyProtection="0"/>
    <xf numFmtId="0" fontId="91" fillId="0" borderId="8" applyNumberFormat="0" applyFill="0" applyAlignment="0" applyProtection="0"/>
    <xf numFmtId="0" fontId="100" fillId="0" borderId="9" applyNumberFormat="0" applyFill="0" applyAlignment="0" applyProtection="0"/>
    <xf numFmtId="0" fontId="70" fillId="0" borderId="0"/>
    <xf numFmtId="43" fontId="70" fillId="0" borderId="0" applyFont="0" applyFill="0" applyBorder="0" applyAlignment="0" applyProtection="0"/>
    <xf numFmtId="43" fontId="134" fillId="0" borderId="0" applyFont="0" applyFill="0" applyBorder="0" applyAlignment="0" applyProtection="0"/>
    <xf numFmtId="43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135" fillId="0" borderId="0" applyFont="0" applyFill="0" applyBorder="0" applyAlignment="0" applyProtection="0"/>
    <xf numFmtId="0" fontId="85" fillId="0" borderId="0"/>
    <xf numFmtId="0" fontId="69" fillId="0" borderId="0"/>
    <xf numFmtId="0" fontId="67" fillId="0" borderId="0"/>
    <xf numFmtId="0" fontId="66" fillId="0" borderId="0"/>
    <xf numFmtId="0" fontId="65" fillId="0" borderId="0"/>
    <xf numFmtId="166" fontId="65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65" fillId="0" borderId="0"/>
    <xf numFmtId="9" fontId="65" fillId="0" borderId="0" applyFont="0" applyFill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6" fillId="6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8" borderId="0" applyNumberFormat="0" applyBorder="0" applyAlignment="0" applyProtection="0"/>
    <xf numFmtId="0" fontId="86" fillId="6" borderId="0" applyNumberFormat="0" applyBorder="0" applyAlignment="0" applyProtection="0"/>
    <xf numFmtId="0" fontId="86" fillId="3" borderId="0" applyNumberFormat="0" applyBorder="0" applyAlignment="0" applyProtection="0"/>
    <xf numFmtId="0" fontId="87" fillId="6" borderId="0" applyNumberFormat="0" applyBorder="0" applyAlignment="0" applyProtection="0"/>
    <xf numFmtId="0" fontId="88" fillId="11" borderId="1" applyNumberFormat="0" applyAlignment="0" applyProtection="0"/>
    <xf numFmtId="0" fontId="89" fillId="12" borderId="2" applyNumberFormat="0" applyAlignment="0" applyProtection="0"/>
    <xf numFmtId="0" fontId="90" fillId="0" borderId="3" applyNumberFormat="0" applyFill="0" applyAlignment="0" applyProtection="0"/>
    <xf numFmtId="0" fontId="91" fillId="0" borderId="0" applyNumberFormat="0" applyFill="0" applyBorder="0" applyAlignment="0" applyProtection="0"/>
    <xf numFmtId="0" fontId="86" fillId="13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92" fillId="7" borderId="1" applyNumberFormat="0" applyAlignment="0" applyProtection="0"/>
    <xf numFmtId="0" fontId="93" fillId="17" borderId="0" applyNumberFormat="0" applyBorder="0" applyAlignment="0" applyProtection="0"/>
    <xf numFmtId="166" fontId="63" fillId="0" borderId="0" applyFont="0" applyFill="0" applyBorder="0" applyAlignment="0" applyProtection="0"/>
    <xf numFmtId="166" fontId="63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63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166" fontId="70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71" fontId="85" fillId="0" borderId="0" applyFont="0" applyFill="0" applyBorder="0" applyAlignment="0" applyProtection="0"/>
    <xf numFmtId="171" fontId="85" fillId="0" borderId="0" applyFont="0" applyFill="0" applyBorder="0" applyAlignment="0" applyProtection="0"/>
    <xf numFmtId="0" fontId="94" fillId="7" borderId="0" applyNumberFormat="0" applyBorder="0" applyAlignment="0" applyProtection="0"/>
    <xf numFmtId="0" fontId="6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3" fillId="0" borderId="0"/>
    <xf numFmtId="0" fontId="63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63" fillId="0" borderId="0"/>
    <xf numFmtId="0" fontId="63" fillId="0" borderId="0"/>
    <xf numFmtId="0" fontId="63" fillId="0" borderId="0"/>
    <xf numFmtId="0" fontId="70" fillId="4" borderId="4" applyNumberFormat="0" applyFont="0" applyAlignment="0" applyProtection="0"/>
    <xf numFmtId="9" fontId="63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95" fillId="11" borderId="5" applyNumberFormat="0" applyAlignment="0" applyProtection="0"/>
    <xf numFmtId="0" fontId="9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8" fillId="0" borderId="6" applyNumberFormat="0" applyFill="0" applyAlignment="0" applyProtection="0"/>
    <xf numFmtId="0" fontId="99" fillId="0" borderId="7" applyNumberFormat="0" applyFill="0" applyAlignment="0" applyProtection="0"/>
    <xf numFmtId="0" fontId="91" fillId="0" borderId="8" applyNumberFormat="0" applyFill="0" applyAlignment="0" applyProtection="0"/>
    <xf numFmtId="0" fontId="97" fillId="0" borderId="0" applyNumberFormat="0" applyFill="0" applyBorder="0" applyAlignment="0" applyProtection="0"/>
    <xf numFmtId="0" fontId="100" fillId="0" borderId="9" applyNumberFormat="0" applyFill="0" applyAlignment="0" applyProtection="0"/>
    <xf numFmtId="0" fontId="62" fillId="0" borderId="0"/>
    <xf numFmtId="166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1" fillId="0" borderId="0"/>
    <xf numFmtId="166" fontId="61" fillId="0" borderId="0" applyFont="0" applyFill="0" applyBorder="0" applyAlignment="0" applyProtection="0"/>
    <xf numFmtId="0" fontId="70" fillId="0" borderId="0"/>
    <xf numFmtId="0" fontId="60" fillId="0" borderId="0"/>
    <xf numFmtId="0" fontId="60" fillId="0" borderId="0"/>
    <xf numFmtId="9" fontId="60" fillId="0" borderId="0" applyFont="0" applyFill="0" applyBorder="0" applyAlignment="0" applyProtection="0"/>
    <xf numFmtId="0" fontId="85" fillId="2" borderId="0" applyNumberFormat="0" applyBorder="0" applyAlignment="0" applyProtection="0"/>
    <xf numFmtId="0" fontId="85" fillId="3" borderId="0" applyNumberFormat="0" applyBorder="0" applyAlignment="0" applyProtection="0"/>
    <xf numFmtId="0" fontId="85" fillId="4" borderId="0" applyNumberFormat="0" applyBorder="0" applyAlignment="0" applyProtection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85" fillId="3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6" fillId="6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8" borderId="0" applyNumberFormat="0" applyBorder="0" applyAlignment="0" applyProtection="0"/>
    <xf numFmtId="0" fontId="86" fillId="6" borderId="0" applyNumberFormat="0" applyBorder="0" applyAlignment="0" applyProtection="0"/>
    <xf numFmtId="0" fontId="86" fillId="3" borderId="0" applyNumberFormat="0" applyBorder="0" applyAlignment="0" applyProtection="0"/>
    <xf numFmtId="0" fontId="87" fillId="6" borderId="0" applyNumberFormat="0" applyBorder="0" applyAlignment="0" applyProtection="0"/>
    <xf numFmtId="0" fontId="88" fillId="11" borderId="1" applyNumberFormat="0" applyAlignment="0" applyProtection="0"/>
    <xf numFmtId="0" fontId="89" fillId="12" borderId="2" applyNumberFormat="0" applyAlignment="0" applyProtection="0"/>
    <xf numFmtId="0" fontId="90" fillId="0" borderId="3" applyNumberFormat="0" applyFill="0" applyAlignment="0" applyProtection="0"/>
    <xf numFmtId="0" fontId="91" fillId="0" borderId="0" applyNumberFormat="0" applyFill="0" applyBorder="0" applyAlignment="0" applyProtection="0"/>
    <xf numFmtId="0" fontId="86" fillId="13" borderId="0" applyNumberFormat="0" applyBorder="0" applyAlignment="0" applyProtection="0"/>
    <xf numFmtId="0" fontId="86" fillId="9" borderId="0" applyNumberFormat="0" applyBorder="0" applyAlignment="0" applyProtection="0"/>
    <xf numFmtId="0" fontId="86" fillId="10" borderId="0" applyNumberFormat="0" applyBorder="0" applyAlignment="0" applyProtection="0"/>
    <xf numFmtId="0" fontId="86" fillId="14" borderId="0" applyNumberFormat="0" applyBorder="0" applyAlignment="0" applyProtection="0"/>
    <xf numFmtId="0" fontId="86" fillId="15" borderId="0" applyNumberFormat="0" applyBorder="0" applyAlignment="0" applyProtection="0"/>
    <xf numFmtId="0" fontId="86" fillId="16" borderId="0" applyNumberFormat="0" applyBorder="0" applyAlignment="0" applyProtection="0"/>
    <xf numFmtId="0" fontId="92" fillId="7" borderId="1" applyNumberFormat="0" applyAlignment="0" applyProtection="0"/>
    <xf numFmtId="168" fontId="70" fillId="0" borderId="0" applyFont="0" applyFill="0" applyBorder="0" applyAlignment="0" applyProtection="0"/>
    <xf numFmtId="0" fontId="93" fillId="17" borderId="0" applyNumberFormat="0" applyBorder="0" applyAlignment="0" applyProtection="0"/>
    <xf numFmtId="165" fontId="70" fillId="0" borderId="0" applyFont="0" applyFill="0" applyBorder="0" applyAlignment="0" applyProtection="0"/>
    <xf numFmtId="0" fontId="94" fillId="7" borderId="0" applyNumberFormat="0" applyBorder="0" applyAlignment="0" applyProtection="0"/>
    <xf numFmtId="0" fontId="70" fillId="0" borderId="0"/>
    <xf numFmtId="0" fontId="70" fillId="4" borderId="4" applyNumberFormat="0" applyFont="0" applyAlignment="0" applyProtection="0"/>
    <xf numFmtId="9" fontId="70" fillId="0" borderId="0" applyFont="0" applyFill="0" applyBorder="0" applyAlignment="0" applyProtection="0"/>
    <xf numFmtId="0" fontId="95" fillId="11" borderId="5" applyNumberFormat="0" applyAlignment="0" applyProtection="0"/>
    <xf numFmtId="0" fontId="90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6" applyNumberFormat="0" applyFill="0" applyAlignment="0" applyProtection="0"/>
    <xf numFmtId="0" fontId="99" fillId="0" borderId="7" applyNumberFormat="0" applyFill="0" applyAlignment="0" applyProtection="0"/>
    <xf numFmtId="0" fontId="91" fillId="0" borderId="8" applyNumberFormat="0" applyFill="0" applyAlignment="0" applyProtection="0"/>
    <xf numFmtId="0" fontId="100" fillId="0" borderId="9" applyNumberFormat="0" applyFill="0" applyAlignment="0" applyProtection="0"/>
    <xf numFmtId="43" fontId="7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9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9" fontId="60" fillId="0" borderId="0" applyFont="0" applyFill="0" applyBorder="0" applyAlignment="0" applyProtection="0"/>
    <xf numFmtId="0" fontId="60" fillId="0" borderId="0"/>
    <xf numFmtId="166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60" fillId="0" borderId="0"/>
    <xf numFmtId="166" fontId="60" fillId="0" borderId="0" applyFont="0" applyFill="0" applyBorder="0" applyAlignment="0" applyProtection="0"/>
    <xf numFmtId="0" fontId="59" fillId="0" borderId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57" fillId="0" borderId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4" fontId="162" fillId="0" borderId="0">
      <protection locked="0"/>
    </xf>
    <xf numFmtId="38" fontId="163" fillId="0" borderId="0" applyFont="0" applyFill="0" applyBorder="0" applyAlignment="0" applyProtection="0"/>
    <xf numFmtId="173" fontId="162" fillId="0" borderId="0">
      <protection locked="0"/>
    </xf>
    <xf numFmtId="172" fontId="163" fillId="0" borderId="0" applyFont="0" applyFill="0" applyBorder="0" applyAlignment="0" applyProtection="0"/>
    <xf numFmtId="174" fontId="162" fillId="0" borderId="0">
      <protection locked="0"/>
    </xf>
    <xf numFmtId="175" fontId="162" fillId="0" borderId="0">
      <protection locked="0"/>
    </xf>
    <xf numFmtId="176" fontId="164" fillId="0" borderId="0">
      <protection locked="0"/>
    </xf>
    <xf numFmtId="176" fontId="164" fillId="0" borderId="0">
      <protection locked="0"/>
    </xf>
    <xf numFmtId="0" fontId="165" fillId="0" borderId="0" applyNumberFormat="0" applyFill="0" applyBorder="0" applyAlignment="0" applyProtection="0">
      <alignment vertical="top"/>
      <protection locked="0"/>
    </xf>
    <xf numFmtId="43" fontId="57" fillId="0" borderId="0" applyFont="0" applyFill="0" applyBorder="0" applyAlignment="0" applyProtection="0"/>
    <xf numFmtId="43" fontId="57" fillId="0" borderId="0" applyFont="0" applyFill="0" applyBorder="0" applyAlignment="0" applyProtection="0"/>
    <xf numFmtId="166" fontId="57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70" fillId="0" borderId="0"/>
    <xf numFmtId="0" fontId="161" fillId="0" borderId="0"/>
    <xf numFmtId="0" fontId="70" fillId="0" borderId="0"/>
    <xf numFmtId="0" fontId="70" fillId="0" borderId="0"/>
    <xf numFmtId="0" fontId="8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0" fillId="0" borderId="0"/>
    <xf numFmtId="0" fontId="57" fillId="0" borderId="0"/>
    <xf numFmtId="0" fontId="57" fillId="0" borderId="0"/>
    <xf numFmtId="0" fontId="70" fillId="0" borderId="0"/>
    <xf numFmtId="0" fontId="57" fillId="0" borderId="0"/>
    <xf numFmtId="0" fontId="70" fillId="0" borderId="0"/>
    <xf numFmtId="0" fontId="57" fillId="0" borderId="0"/>
    <xf numFmtId="177" fontId="162" fillId="0" borderId="0">
      <protection locked="0"/>
    </xf>
    <xf numFmtId="9" fontId="57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6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4" borderId="4" applyNumberFormat="0" applyFont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70" fillId="0" borderId="0"/>
    <xf numFmtId="9" fontId="70" fillId="0" borderId="0" applyFont="0" applyFill="0" applyBorder="0" applyAlignment="0" applyProtection="0"/>
    <xf numFmtId="0" fontId="70" fillId="0" borderId="0"/>
    <xf numFmtId="0" fontId="88" fillId="11" borderId="1" applyNumberFormat="0" applyAlignment="0" applyProtection="0"/>
    <xf numFmtId="0" fontId="88" fillId="11" borderId="1" applyNumberFormat="0" applyAlignment="0" applyProtection="0"/>
    <xf numFmtId="0" fontId="92" fillId="7" borderId="1" applyNumberFormat="0" applyAlignment="0" applyProtection="0"/>
    <xf numFmtId="0" fontId="92" fillId="7" borderId="1" applyNumberFormat="0" applyAlignment="0" applyProtection="0"/>
    <xf numFmtId="43" fontId="85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4" borderId="4" applyNumberFormat="0" applyFont="0" applyAlignment="0" applyProtection="0"/>
    <xf numFmtId="0" fontId="70" fillId="4" borderId="4" applyNumberFormat="0" applyFont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95" fillId="11" borderId="5" applyNumberFormat="0" applyAlignment="0" applyProtection="0"/>
    <xf numFmtId="0" fontId="95" fillId="11" borderId="5" applyNumberFormat="0" applyAlignment="0" applyProtection="0"/>
    <xf numFmtId="0" fontId="100" fillId="0" borderId="9" applyNumberFormat="0" applyFill="0" applyAlignment="0" applyProtection="0"/>
    <xf numFmtId="0" fontId="100" fillId="0" borderId="9" applyNumberFormat="0" applyFill="0" applyAlignment="0" applyProtection="0"/>
    <xf numFmtId="0" fontId="88" fillId="11" borderId="69" applyNumberFormat="0" applyAlignment="0" applyProtection="0"/>
    <xf numFmtId="0" fontId="92" fillId="7" borderId="69" applyNumberFormat="0" applyAlignment="0" applyProtection="0"/>
    <xf numFmtId="0" fontId="70" fillId="4" borderId="70" applyNumberFormat="0" applyFont="0" applyAlignment="0" applyProtection="0"/>
    <xf numFmtId="0" fontId="95" fillId="11" borderId="71" applyNumberFormat="0" applyAlignment="0" applyProtection="0"/>
    <xf numFmtId="0" fontId="100" fillId="0" borderId="72" applyNumberFormat="0" applyFill="0" applyAlignment="0" applyProtection="0"/>
    <xf numFmtId="0" fontId="70" fillId="4" borderId="70" applyNumberFormat="0" applyFon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56" fillId="0" borderId="0"/>
    <xf numFmtId="0" fontId="55" fillId="0" borderId="0"/>
    <xf numFmtId="43" fontId="54" fillId="0" borderId="0" applyFont="0" applyFill="0" applyBorder="0" applyAlignment="0" applyProtection="0"/>
    <xf numFmtId="0" fontId="54" fillId="0" borderId="0"/>
    <xf numFmtId="0" fontId="54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9" fontId="70" fillId="0" borderId="0" applyFont="0" applyFill="0" applyBorder="0" applyAlignment="0" applyProtection="0"/>
    <xf numFmtId="0" fontId="101" fillId="0" borderId="0"/>
    <xf numFmtId="0" fontId="101" fillId="0" borderId="0"/>
    <xf numFmtId="0" fontId="50" fillId="0" borderId="0"/>
    <xf numFmtId="0" fontId="188" fillId="0" borderId="0"/>
    <xf numFmtId="0" fontId="49" fillId="0" borderId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88" fillId="11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92" fillId="7" borderId="69" applyNumberFormat="0" applyAlignment="0" applyProtection="0"/>
    <xf numFmtId="0" fontId="70" fillId="0" borderId="0"/>
    <xf numFmtId="43" fontId="85" fillId="0" borderId="0" applyFont="0" applyFill="0" applyBorder="0" applyAlignment="0" applyProtection="0"/>
    <xf numFmtId="0" fontId="49" fillId="0" borderId="0"/>
    <xf numFmtId="0" fontId="49" fillId="0" borderId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0" fontId="70" fillId="4" borderId="70" applyNumberFormat="0" applyFont="0" applyAlignment="0" applyProtection="0"/>
    <xf numFmtId="9" fontId="85" fillId="0" borderId="0" applyFont="0" applyFill="0" applyBorder="0" applyAlignment="0" applyProtection="0"/>
    <xf numFmtId="9" fontId="70" fillId="0" borderId="0" applyFont="0" applyFill="0" applyBorder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95" fillId="11" borderId="71" applyNumberFormat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100" fillId="0" borderId="72" applyNumberFormat="0" applyFill="0" applyAlignment="0" applyProtection="0"/>
    <xf numFmtId="0" fontId="48" fillId="0" borderId="0"/>
    <xf numFmtId="166" fontId="48" fillId="0" borderId="0" applyFont="0" applyFill="0" applyBorder="0" applyAlignment="0" applyProtection="0"/>
    <xf numFmtId="0" fontId="47" fillId="0" borderId="0"/>
    <xf numFmtId="0" fontId="46" fillId="0" borderId="0"/>
    <xf numFmtId="166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5" fillId="0" borderId="0"/>
    <xf numFmtId="166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43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0" fillId="0" borderId="0"/>
    <xf numFmtId="9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29" fillId="0" borderId="0"/>
    <xf numFmtId="0" fontId="3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88" fillId="11" borderId="69" applyNumberFormat="0" applyAlignment="0" applyProtection="0"/>
    <xf numFmtId="0" fontId="92" fillId="7" borderId="69" applyNumberFormat="0" applyAlignment="0" applyProtection="0"/>
    <xf numFmtId="0" fontId="70" fillId="4" borderId="70" applyNumberFormat="0" applyFont="0" applyAlignment="0" applyProtection="0"/>
    <xf numFmtId="0" fontId="95" fillId="11" borderId="71" applyNumberFormat="0" applyAlignment="0" applyProtection="0"/>
    <xf numFmtId="0" fontId="100" fillId="0" borderId="72" applyNumberFormat="0" applyFill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6" fontId="34" fillId="0" borderId="0" applyFont="0" applyFill="0" applyBorder="0" applyAlignment="0" applyProtection="0"/>
    <xf numFmtId="0" fontId="34" fillId="0" borderId="0"/>
    <xf numFmtId="0" fontId="34" fillId="0" borderId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43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3" fillId="0" borderId="0"/>
    <xf numFmtId="0" fontId="70" fillId="0" borderId="0"/>
    <xf numFmtId="0" fontId="32" fillId="0" borderId="0"/>
    <xf numFmtId="0" fontId="31" fillId="0" borderId="0"/>
    <xf numFmtId="0" fontId="30" fillId="0" borderId="0"/>
    <xf numFmtId="0" fontId="196" fillId="0" borderId="0"/>
    <xf numFmtId="166" fontId="85" fillId="0" borderId="0" applyFont="0" applyFill="0" applyBorder="0" applyAlignment="0" applyProtection="0"/>
    <xf numFmtId="0" fontId="25" fillId="0" borderId="0"/>
    <xf numFmtId="0" fontId="24" fillId="0" borderId="0"/>
    <xf numFmtId="0" fontId="101" fillId="0" borderId="0"/>
    <xf numFmtId="0" fontId="19" fillId="0" borderId="0"/>
    <xf numFmtId="9" fontId="19" fillId="0" borderId="0" applyFont="0" applyFill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2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3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85" fillId="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0" fontId="88" fillId="11" borderId="191" applyNumberFormat="0" applyAlignment="0" applyProtection="0"/>
    <xf numFmtId="38" fontId="163" fillId="0" borderId="0" applyFont="0" applyFill="0" applyBorder="0" applyAlignment="0" applyProtection="0"/>
    <xf numFmtId="4" fontId="162" fillId="0" borderId="0">
      <protection locked="0"/>
    </xf>
    <xf numFmtId="43" fontId="85" fillId="0" borderId="0" applyFont="0" applyFill="0" applyBorder="0" applyAlignment="0" applyProtection="0"/>
    <xf numFmtId="4" fontId="162" fillId="0" borderId="0">
      <protection locked="0"/>
    </xf>
    <xf numFmtId="4" fontId="162" fillId="0" borderId="0">
      <protection locked="0"/>
    </xf>
    <xf numFmtId="4" fontId="162" fillId="0" borderId="0">
      <protection locked="0"/>
    </xf>
    <xf numFmtId="172" fontId="163" fillId="0" borderId="0" applyFont="0" applyFill="0" applyBorder="0" applyAlignment="0" applyProtection="0"/>
    <xf numFmtId="173" fontId="162" fillId="0" borderId="0">
      <protection locked="0"/>
    </xf>
    <xf numFmtId="165" fontId="85" fillId="0" borderId="0" applyFont="0" applyFill="0" applyBorder="0" applyAlignment="0" applyProtection="0"/>
    <xf numFmtId="173" fontId="162" fillId="0" borderId="0">
      <protection locked="0"/>
    </xf>
    <xf numFmtId="165" fontId="70" fillId="0" borderId="0" applyFont="0" applyFill="0" applyBorder="0" applyAlignment="0" applyProtection="0"/>
    <xf numFmtId="173" fontId="162" fillId="0" borderId="0">
      <protection locked="0"/>
    </xf>
    <xf numFmtId="173" fontId="162" fillId="0" borderId="0">
      <protection locked="0"/>
    </xf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0" fontId="92" fillId="7" borderId="191" applyNumberFormat="0" applyAlignment="0" applyProtection="0"/>
    <xf numFmtId="186" fontId="263" fillId="0" borderId="0"/>
    <xf numFmtId="0" fontId="105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309" fillId="0" borderId="0" applyNumberFormat="0" applyFill="0" applyBorder="0" applyAlignment="0" applyProtection="0"/>
    <xf numFmtId="0" fontId="310" fillId="0" borderId="0" applyNumberFormat="0" applyFill="0" applyBorder="0" applyAlignment="0" applyProtection="0">
      <alignment vertical="top"/>
      <protection locked="0"/>
    </xf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0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166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171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71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70" fillId="0" borderId="0" applyFont="0" applyFill="0" applyBorder="0" applyAlignment="0" applyProtection="0"/>
    <xf numFmtId="165" fontId="70" fillId="0" borderId="0" applyFont="0" applyFill="0" applyBorder="0" applyAlignment="0" applyProtection="0"/>
    <xf numFmtId="0" fontId="311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31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12" fillId="0" borderId="0" applyNumberFormat="0" applyFill="0" applyBorder="0" applyProtection="0">
      <alignment vertical="top" wrapText="1"/>
    </xf>
    <xf numFmtId="0" fontId="312" fillId="0" borderId="0" applyNumberFormat="0" applyFill="0" applyBorder="0" applyProtection="0">
      <alignment vertical="top" wrapText="1"/>
    </xf>
    <xf numFmtId="0" fontId="312" fillId="0" borderId="0" applyNumberFormat="0" applyFill="0" applyBorder="0" applyProtection="0">
      <alignment vertical="top" wrapText="1"/>
    </xf>
    <xf numFmtId="0" fontId="19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196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85" fillId="0" borderId="0"/>
    <xf numFmtId="0" fontId="85" fillId="0" borderId="0"/>
    <xf numFmtId="0" fontId="85" fillId="0" borderId="0" applyFill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85" fillId="0" borderId="0"/>
    <xf numFmtId="0" fontId="85" fillId="0" borderId="0"/>
    <xf numFmtId="0" fontId="19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8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5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0" fontId="70" fillId="4" borderId="192" applyNumberFormat="0" applyFont="0" applyAlignment="0" applyProtection="0"/>
    <xf numFmtId="177" fontId="162" fillId="0" borderId="0">
      <protection locked="0"/>
    </xf>
    <xf numFmtId="9" fontId="85" fillId="0" borderId="0" applyFont="0" applyFill="0" applyBorder="0" applyAlignment="0" applyProtection="0"/>
    <xf numFmtId="177" fontId="162" fillId="0" borderId="0">
      <protection locked="0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5" fillId="0" borderId="0" applyFont="0" applyFill="0" applyBorder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95" fillId="11" borderId="193" applyNumberFormat="0" applyAlignment="0" applyProtection="0"/>
    <xf numFmtId="0" fontId="313" fillId="0" borderId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0" fillId="0" borderId="194" applyNumberFormat="0" applyFill="0" applyAlignment="0" applyProtection="0"/>
    <xf numFmtId="0" fontId="101" fillId="0" borderId="0"/>
    <xf numFmtId="0" fontId="101" fillId="0" borderId="0"/>
    <xf numFmtId="0" fontId="4" fillId="0" borderId="0"/>
    <xf numFmtId="0" fontId="101" fillId="0" borderId="0"/>
  </cellStyleXfs>
  <cellXfs count="7549">
    <xf numFmtId="0" fontId="0" fillId="0" borderId="0" xfId="0"/>
    <xf numFmtId="0" fontId="71" fillId="0" borderId="0" xfId="0" applyFont="1" applyAlignment="1">
      <alignment vertical="center"/>
    </xf>
    <xf numFmtId="0" fontId="71" fillId="0" borderId="0" xfId="0" applyFont="1"/>
    <xf numFmtId="0" fontId="71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0" fontId="72" fillId="0" borderId="0" xfId="0" applyFont="1" applyFill="1" applyBorder="1" applyAlignment="1">
      <alignment wrapText="1"/>
    </xf>
    <xf numFmtId="0" fontId="74" fillId="0" borderId="0" xfId="0" applyFont="1" applyFill="1" applyBorder="1" applyAlignment="1">
      <alignment vertical="center"/>
    </xf>
    <xf numFmtId="0" fontId="76" fillId="0" borderId="0" xfId="0" applyFont="1" applyFill="1" applyBorder="1"/>
    <xf numFmtId="0" fontId="74" fillId="0" borderId="0" xfId="0" applyFont="1" applyFill="1" applyBorder="1"/>
    <xf numFmtId="0" fontId="108" fillId="0" borderId="0" xfId="0" applyFont="1" applyFill="1" applyBorder="1"/>
    <xf numFmtId="3" fontId="0" fillId="0" borderId="0" xfId="0" applyNumberFormat="1"/>
    <xf numFmtId="3" fontId="77" fillId="19" borderId="11" xfId="50" applyNumberFormat="1" applyFont="1" applyFill="1" applyBorder="1" applyAlignment="1">
      <alignment horizontal="center" vertical="center" wrapText="1"/>
    </xf>
    <xf numFmtId="0" fontId="71" fillId="0" borderId="12" xfId="0" applyFont="1" applyBorder="1" applyAlignment="1">
      <alignment horizontal="center" vertical="center"/>
    </xf>
    <xf numFmtId="0" fontId="71" fillId="0" borderId="0" xfId="0" applyFont="1" applyBorder="1" applyAlignment="1">
      <alignment horizontal="center" vertical="center"/>
    </xf>
    <xf numFmtId="0" fontId="71" fillId="0" borderId="0" xfId="0" applyFont="1" applyBorder="1"/>
    <xf numFmtId="0" fontId="73" fillId="0" borderId="0" xfId="0" applyFont="1" applyFill="1" applyBorder="1" applyAlignment="1">
      <alignment vertical="center"/>
    </xf>
    <xf numFmtId="0" fontId="71" fillId="0" borderId="11" xfId="0" applyFont="1" applyBorder="1"/>
    <xf numFmtId="0" fontId="75" fillId="0" borderId="0" xfId="0" applyFont="1" applyBorder="1" applyAlignment="1">
      <alignment horizontal="center"/>
    </xf>
    <xf numFmtId="0" fontId="73" fillId="0" borderId="0" xfId="0" applyFont="1" applyBorder="1" applyAlignment="1">
      <alignment horizontal="center" vertical="center"/>
    </xf>
    <xf numFmtId="0" fontId="111" fillId="0" borderId="0" xfId="0" applyFont="1" applyAlignment="1">
      <alignment horizontal="center"/>
    </xf>
    <xf numFmtId="0" fontId="111" fillId="0" borderId="0" xfId="0" applyFont="1" applyAlignment="1">
      <alignment horizontal="center" vertical="center"/>
    </xf>
    <xf numFmtId="3" fontId="77" fillId="19" borderId="18" xfId="50" applyNumberFormat="1" applyFont="1" applyFill="1" applyBorder="1" applyAlignment="1">
      <alignment horizontal="center" vertical="center" wrapText="1"/>
    </xf>
    <xf numFmtId="3" fontId="77" fillId="19" borderId="13" xfId="5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2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71" fillId="0" borderId="0" xfId="0" applyFont="1" applyBorder="1" applyAlignment="1">
      <alignment vertical="center"/>
    </xf>
    <xf numFmtId="0" fontId="73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71" fillId="0" borderId="0" xfId="0" applyFont="1" applyAlignment="1">
      <alignment horizontal="center" vertical="center"/>
    </xf>
    <xf numFmtId="0" fontId="71" fillId="0" borderId="16" xfId="0" applyFont="1" applyBorder="1"/>
    <xf numFmtId="0" fontId="74" fillId="0" borderId="0" xfId="0" applyFont="1" applyBorder="1" applyAlignment="1">
      <alignment horizontal="center" vertical="center"/>
    </xf>
    <xf numFmtId="0" fontId="75" fillId="0" borderId="0" xfId="0" applyFont="1" applyAlignment="1">
      <alignment vertical="center"/>
    </xf>
    <xf numFmtId="0" fontId="116" fillId="0" borderId="0" xfId="32" applyFont="1" applyAlignment="1" applyProtection="1">
      <alignment horizontal="left" vertical="center"/>
    </xf>
    <xf numFmtId="0" fontId="72" fillId="0" borderId="0" xfId="0" applyFont="1" applyAlignment="1">
      <alignment vertical="center"/>
    </xf>
    <xf numFmtId="0" fontId="72" fillId="0" borderId="0" xfId="0" applyFont="1" applyFill="1" applyBorder="1" applyAlignment="1">
      <alignment vertical="center" wrapText="1"/>
    </xf>
    <xf numFmtId="0" fontId="76" fillId="0" borderId="0" xfId="0" applyFont="1" applyFill="1" applyBorder="1" applyAlignment="1">
      <alignment vertical="center"/>
    </xf>
    <xf numFmtId="0" fontId="76" fillId="0" borderId="0" xfId="0" applyFont="1" applyAlignment="1">
      <alignment vertical="center"/>
    </xf>
    <xf numFmtId="0" fontId="108" fillId="0" borderId="0" xfId="0" applyFont="1" applyFill="1" applyBorder="1" applyAlignment="1">
      <alignment vertical="center"/>
    </xf>
    <xf numFmtId="3" fontId="0" fillId="0" borderId="0" xfId="0" applyNumberFormat="1" applyAlignment="1">
      <alignment vertical="center"/>
    </xf>
    <xf numFmtId="0" fontId="74" fillId="0" borderId="0" xfId="48" applyFont="1" applyFill="1" applyBorder="1" applyAlignment="1">
      <alignment vertical="center"/>
    </xf>
    <xf numFmtId="0" fontId="109" fillId="0" borderId="0" xfId="0" applyFont="1" applyAlignment="1">
      <alignment horizontal="center" vertical="center"/>
    </xf>
    <xf numFmtId="0" fontId="71" fillId="0" borderId="12" xfId="0" applyFont="1" applyBorder="1" applyAlignment="1">
      <alignment horizontal="center"/>
    </xf>
    <xf numFmtId="0" fontId="71" fillId="0" borderId="0" xfId="0" applyFont="1" applyBorder="1" applyAlignment="1">
      <alignment horizontal="center"/>
    </xf>
    <xf numFmtId="0" fontId="83" fillId="0" borderId="0" xfId="0" applyFont="1" applyAlignment="1">
      <alignment horizontal="left" vertical="center"/>
    </xf>
    <xf numFmtId="0" fontId="74" fillId="0" borderId="0" xfId="0" applyFont="1" applyAlignment="1">
      <alignment vertical="center"/>
    </xf>
    <xf numFmtId="0" fontId="71" fillId="0" borderId="0" xfId="0" applyFont="1" applyFill="1" applyAlignment="1">
      <alignment vertical="center"/>
    </xf>
    <xf numFmtId="0" fontId="71" fillId="0" borderId="11" xfId="0" applyFont="1" applyBorder="1" applyAlignment="1">
      <alignment horizontal="center"/>
    </xf>
    <xf numFmtId="0" fontId="71" fillId="0" borderId="19" xfId="0" applyFont="1" applyBorder="1"/>
    <xf numFmtId="0" fontId="73" fillId="0" borderId="16" xfId="0" applyFont="1" applyBorder="1" applyAlignment="1">
      <alignment horizontal="center" vertical="center"/>
    </xf>
    <xf numFmtId="0" fontId="71" fillId="0" borderId="21" xfId="0" applyFont="1" applyBorder="1"/>
    <xf numFmtId="0" fontId="71" fillId="0" borderId="16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/>
    </xf>
    <xf numFmtId="0" fontId="73" fillId="0" borderId="21" xfId="0" applyFont="1" applyFill="1" applyBorder="1" applyAlignment="1">
      <alignment horizontal="center" vertical="center"/>
    </xf>
    <xf numFmtId="0" fontId="71" fillId="0" borderId="21" xfId="0" applyFont="1" applyBorder="1" applyAlignment="1">
      <alignment horizontal="right" vertical="center"/>
    </xf>
    <xf numFmtId="0" fontId="73" fillId="0" borderId="21" xfId="0" applyFont="1" applyBorder="1" applyAlignment="1">
      <alignment horizontal="center" vertical="center"/>
    </xf>
    <xf numFmtId="0" fontId="71" fillId="0" borderId="11" xfId="0" applyFont="1" applyBorder="1" applyAlignment="1">
      <alignment horizontal="center" vertical="center"/>
    </xf>
    <xf numFmtId="0" fontId="71" fillId="0" borderId="19" xfId="0" applyFont="1" applyBorder="1" applyAlignment="1">
      <alignment vertical="center"/>
    </xf>
    <xf numFmtId="0" fontId="71" fillId="0" borderId="21" xfId="0" applyFont="1" applyBorder="1" applyAlignment="1">
      <alignment vertical="center"/>
    </xf>
    <xf numFmtId="1" fontId="73" fillId="0" borderId="0" xfId="0" applyNumberFormat="1" applyFont="1" applyAlignment="1">
      <alignment vertical="center"/>
    </xf>
    <xf numFmtId="0" fontId="73" fillId="0" borderId="0" xfId="0" applyFont="1" applyBorder="1" applyAlignment="1">
      <alignment vertical="center"/>
    </xf>
    <xf numFmtId="0" fontId="71" fillId="0" borderId="16" xfId="0" applyFont="1" applyBorder="1" applyAlignment="1">
      <alignment vertical="center"/>
    </xf>
    <xf numFmtId="0" fontId="71" fillId="0" borderId="0" xfId="0" applyFont="1" applyFill="1" applyAlignment="1">
      <alignment vertical="center" wrapText="1"/>
    </xf>
    <xf numFmtId="1" fontId="71" fillId="0" borderId="0" xfId="0" applyNumberFormat="1" applyFont="1" applyBorder="1" applyAlignment="1">
      <alignment vertical="center"/>
    </xf>
    <xf numFmtId="1" fontId="73" fillId="0" borderId="0" xfId="0" applyNumberFormat="1" applyFont="1" applyBorder="1" applyAlignment="1">
      <alignment vertical="center"/>
    </xf>
    <xf numFmtId="1" fontId="71" fillId="0" borderId="16" xfId="0" applyNumberFormat="1" applyFont="1" applyBorder="1" applyAlignment="1">
      <alignment vertical="center"/>
    </xf>
    <xf numFmtId="0" fontId="71" fillId="0" borderId="12" xfId="0" applyFont="1" applyBorder="1"/>
    <xf numFmtId="0" fontId="113" fillId="0" borderId="0" xfId="0" applyFont="1" applyAlignment="1">
      <alignment vertical="center"/>
    </xf>
    <xf numFmtId="0" fontId="71" fillId="0" borderId="11" xfId="0" applyFont="1" applyBorder="1" applyAlignment="1">
      <alignment vertical="center"/>
    </xf>
    <xf numFmtId="0" fontId="71" fillId="0" borderId="12" xfId="0" applyFont="1" applyBorder="1" applyAlignment="1">
      <alignment vertical="center"/>
    </xf>
    <xf numFmtId="0" fontId="73" fillId="0" borderId="12" xfId="0" applyFont="1" applyBorder="1" applyAlignment="1">
      <alignment vertical="center"/>
    </xf>
    <xf numFmtId="0" fontId="71" fillId="0" borderId="0" xfId="0" applyFont="1" applyAlignment="1">
      <alignment horizontal="left" vertical="center" wrapText="1"/>
    </xf>
    <xf numFmtId="0" fontId="110" fillId="0" borderId="0" xfId="0" applyFont="1" applyAlignment="1">
      <alignment vertical="center"/>
    </xf>
    <xf numFmtId="0" fontId="71" fillId="0" borderId="0" xfId="0" applyFont="1" applyAlignment="1">
      <alignment vertical="center" wrapText="1"/>
    </xf>
    <xf numFmtId="0" fontId="73" fillId="0" borderId="0" xfId="0" applyFont="1" applyFill="1" applyAlignment="1">
      <alignment vertical="center"/>
    </xf>
    <xf numFmtId="1" fontId="71" fillId="0" borderId="0" xfId="0" applyNumberFormat="1" applyFont="1" applyAlignment="1">
      <alignment vertical="center"/>
    </xf>
    <xf numFmtId="0" fontId="74" fillId="0" borderId="0" xfId="0" applyFont="1"/>
    <xf numFmtId="0" fontId="71" fillId="0" borderId="15" xfId="0" applyFont="1" applyBorder="1"/>
    <xf numFmtId="0" fontId="71" fillId="0" borderId="17" xfId="0" applyFont="1" applyBorder="1"/>
    <xf numFmtId="0" fontId="109" fillId="0" borderId="0" xfId="0" applyFont="1" applyFill="1" applyBorder="1" applyAlignment="1">
      <alignment horizontal="center" vertical="center"/>
    </xf>
    <xf numFmtId="0" fontId="71" fillId="0" borderId="15" xfId="0" applyFont="1" applyBorder="1" applyAlignment="1">
      <alignment vertical="center"/>
    </xf>
    <xf numFmtId="0" fontId="71" fillId="0" borderId="17" xfId="0" applyFont="1" applyBorder="1" applyAlignment="1">
      <alignment vertical="center"/>
    </xf>
    <xf numFmtId="0" fontId="108" fillId="0" borderId="0" xfId="0" applyFont="1" applyAlignment="1">
      <alignment vertical="center"/>
    </xf>
    <xf numFmtId="1" fontId="71" fillId="0" borderId="12" xfId="0" applyNumberFormat="1" applyFont="1" applyBorder="1" applyAlignment="1">
      <alignment vertical="center"/>
    </xf>
    <xf numFmtId="0" fontId="110" fillId="0" borderId="0" xfId="0" applyFont="1" applyFill="1" applyBorder="1" applyAlignment="1">
      <alignment horizontal="center" vertical="center"/>
    </xf>
    <xf numFmtId="0" fontId="81" fillId="0" borderId="0" xfId="0" applyFont="1" applyAlignment="1">
      <alignment vertical="center"/>
    </xf>
    <xf numFmtId="0" fontId="126" fillId="0" borderId="0" xfId="0" applyFont="1" applyAlignment="1">
      <alignment horizontal="left" readingOrder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71" fillId="0" borderId="0" xfId="0" applyFont="1" applyBorder="1" applyAlignment="1">
      <alignment horizontal="left" vertical="center" wrapText="1"/>
    </xf>
    <xf numFmtId="3" fontId="71" fillId="0" borderId="16" xfId="0" applyNumberFormat="1" applyFont="1" applyBorder="1" applyAlignment="1">
      <alignment horizontal="right" vertical="center" indent="1"/>
    </xf>
    <xf numFmtId="3" fontId="71" fillId="0" borderId="17" xfId="0" applyNumberFormat="1" applyFont="1" applyBorder="1" applyAlignment="1">
      <alignment horizontal="right" vertical="center" indent="1"/>
    </xf>
    <xf numFmtId="3" fontId="76" fillId="18" borderId="13" xfId="0" applyNumberFormat="1" applyFont="1" applyFill="1" applyBorder="1" applyAlignment="1">
      <alignment horizontal="right" vertical="center" indent="1"/>
    </xf>
    <xf numFmtId="3" fontId="76" fillId="18" borderId="10" xfId="0" applyNumberFormat="1" applyFont="1" applyFill="1" applyBorder="1" applyAlignment="1">
      <alignment horizontal="right" vertical="center" indent="1"/>
    </xf>
    <xf numFmtId="3" fontId="73" fillId="0" borderId="17" xfId="0" applyNumberFormat="1" applyFont="1" applyBorder="1" applyAlignment="1">
      <alignment horizontal="right" vertical="center" indent="1"/>
    </xf>
    <xf numFmtId="3" fontId="73" fillId="0" borderId="16" xfId="0" applyNumberFormat="1" applyFont="1" applyBorder="1" applyAlignment="1">
      <alignment horizontal="right" vertical="center" indent="1"/>
    </xf>
    <xf numFmtId="1" fontId="71" fillId="0" borderId="0" xfId="0" applyNumberFormat="1" applyFont="1" applyBorder="1" applyAlignment="1">
      <alignment horizontal="right" vertical="center" indent="1"/>
    </xf>
    <xf numFmtId="1" fontId="73" fillId="0" borderId="0" xfId="0" applyNumberFormat="1" applyFont="1" applyBorder="1" applyAlignment="1">
      <alignment horizontal="right" vertical="center" indent="1"/>
    </xf>
    <xf numFmtId="1" fontId="71" fillId="0" borderId="16" xfId="0" applyNumberFormat="1" applyFont="1" applyBorder="1" applyAlignment="1">
      <alignment horizontal="right" vertical="center" indent="1"/>
    </xf>
    <xf numFmtId="1" fontId="73" fillId="0" borderId="17" xfId="0" applyNumberFormat="1" applyFont="1" applyBorder="1" applyAlignment="1">
      <alignment horizontal="right" vertical="center" indent="1"/>
    </xf>
    <xf numFmtId="1" fontId="73" fillId="0" borderId="16" xfId="0" applyNumberFormat="1" applyFont="1" applyBorder="1" applyAlignment="1">
      <alignment horizontal="right" vertical="center" indent="1"/>
    </xf>
    <xf numFmtId="0" fontId="71" fillId="0" borderId="0" xfId="0" applyFont="1" applyBorder="1" applyAlignment="1">
      <alignment horizontal="right" vertical="center" indent="1"/>
    </xf>
    <xf numFmtId="0" fontId="71" fillId="0" borderId="16" xfId="0" applyFont="1" applyBorder="1" applyAlignment="1">
      <alignment horizontal="right" vertical="center" indent="1"/>
    </xf>
    <xf numFmtId="1" fontId="76" fillId="18" borderId="14" xfId="0" applyNumberFormat="1" applyFont="1" applyFill="1" applyBorder="1" applyAlignment="1">
      <alignment horizontal="right" vertical="center" indent="1"/>
    </xf>
    <xf numFmtId="1" fontId="76" fillId="18" borderId="13" xfId="0" applyNumberFormat="1" applyFont="1" applyFill="1" applyBorder="1" applyAlignment="1">
      <alignment horizontal="right" vertical="center" indent="1"/>
    </xf>
    <xf numFmtId="1" fontId="76" fillId="18" borderId="10" xfId="0" applyNumberFormat="1" applyFont="1" applyFill="1" applyBorder="1" applyAlignment="1">
      <alignment horizontal="right" vertical="center" indent="1"/>
    </xf>
    <xf numFmtId="1" fontId="73" fillId="19" borderId="14" xfId="0" applyNumberFormat="1" applyFont="1" applyFill="1" applyBorder="1" applyAlignment="1">
      <alignment horizontal="right" vertical="center" indent="1"/>
    </xf>
    <xf numFmtId="1" fontId="73" fillId="19" borderId="13" xfId="0" applyNumberFormat="1" applyFont="1" applyFill="1" applyBorder="1" applyAlignment="1">
      <alignment horizontal="right" vertical="center" indent="1"/>
    </xf>
    <xf numFmtId="1" fontId="73" fillId="19" borderId="10" xfId="0" applyNumberFormat="1" applyFont="1" applyFill="1" applyBorder="1" applyAlignment="1">
      <alignment horizontal="right" vertical="center" indent="1"/>
    </xf>
    <xf numFmtId="1" fontId="76" fillId="19" borderId="14" xfId="0" applyNumberFormat="1" applyFont="1" applyFill="1" applyBorder="1" applyAlignment="1">
      <alignment horizontal="right" vertical="center" indent="1"/>
    </xf>
    <xf numFmtId="1" fontId="76" fillId="19" borderId="13" xfId="0" applyNumberFormat="1" applyFont="1" applyFill="1" applyBorder="1" applyAlignment="1">
      <alignment horizontal="right" vertical="center" indent="1"/>
    </xf>
    <xf numFmtId="1" fontId="76" fillId="19" borderId="10" xfId="0" applyNumberFormat="1" applyFont="1" applyFill="1" applyBorder="1" applyAlignment="1">
      <alignment horizontal="right" vertical="center" indent="1"/>
    </xf>
    <xf numFmtId="0" fontId="71" fillId="0" borderId="17" xfId="0" applyFont="1" applyBorder="1" applyAlignment="1">
      <alignment horizontal="right" vertical="center" indent="1"/>
    </xf>
    <xf numFmtId="1" fontId="71" fillId="0" borderId="17" xfId="0" applyNumberFormat="1" applyFont="1" applyBorder="1" applyAlignment="1">
      <alignment horizontal="right" vertical="center" indent="1"/>
    </xf>
    <xf numFmtId="0" fontId="71" fillId="0" borderId="11" xfId="0" applyFont="1" applyBorder="1" applyAlignment="1">
      <alignment horizontal="right" vertical="center" indent="1"/>
    </xf>
    <xf numFmtId="0" fontId="71" fillId="0" borderId="15" xfId="0" applyFont="1" applyBorder="1" applyAlignment="1">
      <alignment horizontal="right" vertical="center" indent="1"/>
    </xf>
    <xf numFmtId="0" fontId="71" fillId="0" borderId="12" xfId="0" applyFont="1" applyBorder="1" applyAlignment="1">
      <alignment horizontal="right" vertical="center" indent="1"/>
    </xf>
    <xf numFmtId="0" fontId="71" fillId="0" borderId="11" xfId="0" applyFont="1" applyBorder="1" applyAlignment="1">
      <alignment horizontal="right" indent="1"/>
    </xf>
    <xf numFmtId="0" fontId="71" fillId="0" borderId="12" xfId="0" applyFont="1" applyBorder="1" applyAlignment="1">
      <alignment horizontal="right" indent="1"/>
    </xf>
    <xf numFmtId="0" fontId="71" fillId="0" borderId="15" xfId="0" applyFont="1" applyBorder="1" applyAlignment="1">
      <alignment horizontal="right" indent="1"/>
    </xf>
    <xf numFmtId="0" fontId="71" fillId="0" borderId="16" xfId="0" applyFont="1" applyBorder="1" applyAlignment="1">
      <alignment horizontal="right" indent="1"/>
    </xf>
    <xf numFmtId="0" fontId="71" fillId="0" borderId="0" xfId="0" applyFont="1" applyBorder="1" applyAlignment="1">
      <alignment horizontal="right" indent="1"/>
    </xf>
    <xf numFmtId="0" fontId="71" fillId="0" borderId="17" xfId="0" applyFont="1" applyBorder="1" applyAlignment="1">
      <alignment horizontal="right" indent="1"/>
    </xf>
    <xf numFmtId="0" fontId="118" fillId="0" borderId="0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3" fontId="76" fillId="21" borderId="13" xfId="0" applyNumberFormat="1" applyFont="1" applyFill="1" applyBorder="1" applyAlignment="1">
      <alignment horizontal="right" vertical="center" indent="1"/>
    </xf>
    <xf numFmtId="3" fontId="76" fillId="21" borderId="10" xfId="0" applyNumberFormat="1" applyFont="1" applyFill="1" applyBorder="1" applyAlignment="1">
      <alignment horizontal="right" vertical="center" indent="1"/>
    </xf>
    <xf numFmtId="1" fontId="71" fillId="0" borderId="17" xfId="0" applyNumberFormat="1" applyFont="1" applyBorder="1" applyAlignment="1">
      <alignment vertical="center"/>
    </xf>
    <xf numFmtId="3" fontId="71" fillId="0" borderId="20" xfId="0" applyNumberFormat="1" applyFont="1" applyBorder="1" applyAlignment="1">
      <alignment horizontal="right" vertical="center" indent="1"/>
    </xf>
    <xf numFmtId="3" fontId="71" fillId="0" borderId="22" xfId="0" applyNumberFormat="1" applyFont="1" applyBorder="1" applyAlignment="1">
      <alignment horizontal="right" vertical="center" indent="1"/>
    </xf>
    <xf numFmtId="3" fontId="71" fillId="0" borderId="11" xfId="0" applyNumberFormat="1" applyFont="1" applyBorder="1" applyAlignment="1">
      <alignment horizontal="right" vertical="center" indent="1"/>
    </xf>
    <xf numFmtId="3" fontId="71" fillId="0" borderId="15" xfId="0" applyNumberFormat="1" applyFont="1" applyBorder="1" applyAlignment="1">
      <alignment horizontal="right" vertical="center" indent="1"/>
    </xf>
    <xf numFmtId="3" fontId="76" fillId="18" borderId="11" xfId="0" applyNumberFormat="1" applyFont="1" applyFill="1" applyBorder="1" applyAlignment="1">
      <alignment horizontal="right" vertical="center" indent="1"/>
    </xf>
    <xf numFmtId="3" fontId="76" fillId="18" borderId="15" xfId="0" applyNumberFormat="1" applyFont="1" applyFill="1" applyBorder="1" applyAlignment="1">
      <alignment horizontal="right" vertical="center" indent="1"/>
    </xf>
    <xf numFmtId="0" fontId="76" fillId="0" borderId="0" xfId="0" applyFont="1" applyFill="1" applyBorder="1" applyAlignment="1">
      <alignment horizontal="right" vertical="center" indent="1"/>
    </xf>
    <xf numFmtId="0" fontId="127" fillId="0" borderId="0" xfId="0" applyFont="1" applyAlignment="1">
      <alignment readingOrder="1"/>
    </xf>
    <xf numFmtId="0" fontId="0" fillId="0" borderId="0" xfId="0" applyFont="1"/>
    <xf numFmtId="0" fontId="75" fillId="0" borderId="0" xfId="32" applyFont="1" applyAlignment="1" applyProtection="1">
      <alignment horizontal="left" vertical="center"/>
    </xf>
    <xf numFmtId="0" fontId="72" fillId="0" borderId="0" xfId="0" applyFont="1"/>
    <xf numFmtId="0" fontId="84" fillId="0" borderId="0" xfId="0" applyFont="1" applyAlignment="1">
      <alignment horizontal="center"/>
    </xf>
    <xf numFmtId="0" fontId="80" fillId="0" borderId="0" xfId="0" applyFont="1" applyAlignment="1"/>
    <xf numFmtId="0" fontId="78" fillId="0" borderId="0" xfId="0" applyFont="1" applyAlignment="1">
      <alignment horizontal="left"/>
    </xf>
    <xf numFmtId="0" fontId="72" fillId="0" borderId="0" xfId="0" applyFont="1" applyFill="1" applyBorder="1" applyAlignment="1"/>
    <xf numFmtId="0" fontId="73" fillId="0" borderId="0" xfId="0" applyFont="1"/>
    <xf numFmtId="0" fontId="104" fillId="0" borderId="0" xfId="0" applyFont="1" applyFill="1" applyBorder="1" applyAlignment="1">
      <alignment horizontal="left" vertical="center" wrapText="1"/>
    </xf>
    <xf numFmtId="0" fontId="71" fillId="0" borderId="11" xfId="0" applyFont="1" applyFill="1" applyBorder="1" applyAlignment="1">
      <alignment vertical="center"/>
    </xf>
    <xf numFmtId="0" fontId="71" fillId="0" borderId="12" xfId="0" applyFont="1" applyFill="1" applyBorder="1" applyAlignment="1">
      <alignment vertical="center"/>
    </xf>
    <xf numFmtId="0" fontId="73" fillId="0" borderId="12" xfId="0" applyFont="1" applyFill="1" applyBorder="1" applyAlignment="1">
      <alignment vertical="center"/>
    </xf>
    <xf numFmtId="0" fontId="73" fillId="0" borderId="15" xfId="0" applyFont="1" applyFill="1" applyBorder="1" applyAlignment="1">
      <alignment vertical="center"/>
    </xf>
    <xf numFmtId="0" fontId="71" fillId="0" borderId="16" xfId="0" applyFont="1" applyFill="1" applyBorder="1" applyAlignment="1">
      <alignment vertical="center"/>
    </xf>
    <xf numFmtId="0" fontId="71" fillId="0" borderId="0" xfId="0" applyFont="1" applyFill="1" applyBorder="1" applyAlignment="1">
      <alignment vertical="center"/>
    </xf>
    <xf numFmtId="0" fontId="73" fillId="0" borderId="17" xfId="0" applyFont="1" applyFill="1" applyBorder="1" applyAlignment="1">
      <alignment vertical="center"/>
    </xf>
    <xf numFmtId="0" fontId="75" fillId="0" borderId="0" xfId="0" applyFont="1" applyFill="1" applyBorder="1" applyAlignment="1">
      <alignment horizontal="left" vertical="center" wrapText="1"/>
    </xf>
    <xf numFmtId="0" fontId="71" fillId="0" borderId="20" xfId="0" applyFont="1" applyFill="1" applyBorder="1" applyAlignment="1">
      <alignment vertical="center"/>
    </xf>
    <xf numFmtId="0" fontId="71" fillId="0" borderId="24" xfId="0" applyFont="1" applyFill="1" applyBorder="1" applyAlignment="1">
      <alignment vertical="center"/>
    </xf>
    <xf numFmtId="0" fontId="73" fillId="0" borderId="24" xfId="0" applyFont="1" applyFill="1" applyBorder="1" applyAlignment="1">
      <alignment vertical="center"/>
    </xf>
    <xf numFmtId="0" fontId="73" fillId="0" borderId="22" xfId="0" applyFont="1" applyFill="1" applyBorder="1" applyAlignment="1">
      <alignment vertical="center"/>
    </xf>
    <xf numFmtId="0" fontId="109" fillId="0" borderId="0" xfId="0" applyFont="1" applyAlignment="1">
      <alignment horizontal="center" vertical="center" wrapText="1"/>
    </xf>
    <xf numFmtId="0" fontId="121" fillId="0" borderId="0" xfId="0" applyFont="1" applyAlignment="1">
      <alignment horizontal="center" vertical="center"/>
    </xf>
    <xf numFmtId="0" fontId="103" fillId="0" borderId="0" xfId="0" applyFont="1" applyFill="1" applyBorder="1" applyAlignment="1">
      <alignment vertical="center" wrapText="1"/>
    </xf>
    <xf numFmtId="0" fontId="101" fillId="0" borderId="11" xfId="0" applyFont="1" applyFill="1" applyBorder="1" applyAlignment="1">
      <alignment vertical="center"/>
    </xf>
    <xf numFmtId="0" fontId="101" fillId="0" borderId="12" xfId="0" applyFont="1" applyFill="1" applyBorder="1" applyAlignment="1">
      <alignment vertical="center"/>
    </xf>
    <xf numFmtId="0" fontId="102" fillId="0" borderId="12" xfId="0" applyFont="1" applyFill="1" applyBorder="1" applyAlignment="1">
      <alignment vertical="center"/>
    </xf>
    <xf numFmtId="0" fontId="102" fillId="0" borderId="15" xfId="0" applyFont="1" applyFill="1" applyBorder="1" applyAlignment="1">
      <alignment vertical="center"/>
    </xf>
    <xf numFmtId="0" fontId="106" fillId="0" borderId="12" xfId="0" applyFont="1" applyFill="1" applyBorder="1" applyAlignment="1">
      <alignment vertical="center"/>
    </xf>
    <xf numFmtId="0" fontId="107" fillId="0" borderId="15" xfId="0" applyFont="1" applyFill="1" applyBorder="1" applyAlignment="1">
      <alignment vertical="center"/>
    </xf>
    <xf numFmtId="0" fontId="101" fillId="0" borderId="16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vertical="center"/>
    </xf>
    <xf numFmtId="0" fontId="102" fillId="0" borderId="17" xfId="0" applyFont="1" applyFill="1" applyBorder="1" applyAlignment="1">
      <alignment vertical="center"/>
    </xf>
    <xf numFmtId="0" fontId="106" fillId="0" borderId="0" xfId="0" applyFont="1" applyFill="1" applyBorder="1" applyAlignment="1">
      <alignment vertical="center"/>
    </xf>
    <xf numFmtId="0" fontId="107" fillId="0" borderId="17" xfId="0" applyFont="1" applyFill="1" applyBorder="1" applyAlignment="1">
      <alignment vertical="center"/>
    </xf>
    <xf numFmtId="0" fontId="81" fillId="0" borderId="0" xfId="0" applyFont="1" applyFill="1" applyBorder="1" applyAlignment="1">
      <alignment vertical="center" wrapText="1"/>
    </xf>
    <xf numFmtId="0" fontId="114" fillId="0" borderId="0" xfId="0" applyFont="1" applyFill="1" applyBorder="1" applyAlignment="1">
      <alignment vertical="center"/>
    </xf>
    <xf numFmtId="0" fontId="115" fillId="0" borderId="17" xfId="0" applyFont="1" applyFill="1" applyBorder="1" applyAlignment="1">
      <alignment vertical="center"/>
    </xf>
    <xf numFmtId="0" fontId="122" fillId="0" borderId="16" xfId="0" applyFont="1" applyFill="1" applyBorder="1" applyAlignment="1">
      <alignment vertical="center"/>
    </xf>
    <xf numFmtId="0" fontId="71" fillId="0" borderId="0" xfId="48"/>
    <xf numFmtId="0" fontId="72" fillId="0" borderId="0" xfId="48" applyFont="1"/>
    <xf numFmtId="0" fontId="84" fillId="0" borderId="0" xfId="48" applyFont="1" applyAlignment="1">
      <alignment horizontal="center"/>
    </xf>
    <xf numFmtId="0" fontId="80" fillId="0" borderId="0" xfId="48" applyFont="1" applyAlignment="1"/>
    <xf numFmtId="0" fontId="72" fillId="0" borderId="0" xfId="48" applyFont="1" applyFill="1" applyBorder="1" applyAlignment="1">
      <alignment wrapText="1"/>
    </xf>
    <xf numFmtId="0" fontId="76" fillId="0" borderId="0" xfId="48" applyFont="1" applyFill="1" applyBorder="1"/>
    <xf numFmtId="0" fontId="74" fillId="0" borderId="0" xfId="48" applyFont="1" applyFill="1" applyBorder="1"/>
    <xf numFmtId="0" fontId="70" fillId="0" borderId="0" xfId="66" applyAlignment="1">
      <alignment vertical="center"/>
    </xf>
    <xf numFmtId="3" fontId="70" fillId="0" borderId="0" xfId="66" applyNumberFormat="1" applyAlignment="1">
      <alignment vertical="center"/>
    </xf>
    <xf numFmtId="0" fontId="74" fillId="0" borderId="0" xfId="66" applyFont="1" applyFill="1" applyBorder="1" applyAlignment="1">
      <alignment vertical="center"/>
    </xf>
    <xf numFmtId="0" fontId="74" fillId="0" borderId="0" xfId="66" applyFont="1" applyFill="1" applyBorder="1" applyAlignment="1">
      <alignment horizontal="left" vertical="center"/>
    </xf>
    <xf numFmtId="0" fontId="76" fillId="0" borderId="0" xfId="66" applyFont="1" applyFill="1" applyBorder="1" applyAlignment="1">
      <alignment vertical="center"/>
    </xf>
    <xf numFmtId="0" fontId="72" fillId="0" borderId="0" xfId="66" applyFont="1" applyFill="1" applyBorder="1" applyAlignment="1">
      <alignment vertical="center" wrapText="1"/>
    </xf>
    <xf numFmtId="0" fontId="80" fillId="0" borderId="0" xfId="66" applyFont="1" applyAlignment="1">
      <alignment vertical="center"/>
    </xf>
    <xf numFmtId="0" fontId="72" fillId="0" borderId="0" xfId="66" applyFont="1" applyAlignment="1">
      <alignment vertical="center"/>
    </xf>
    <xf numFmtId="0" fontId="70" fillId="0" borderId="0" xfId="0" applyFont="1"/>
    <xf numFmtId="0" fontId="76" fillId="0" borderId="0" xfId="0" applyFont="1" applyFill="1" applyBorder="1" applyAlignment="1">
      <alignment horizontal="center"/>
    </xf>
    <xf numFmtId="0" fontId="108" fillId="0" borderId="0" xfId="66" applyFont="1" applyFill="1" applyBorder="1" applyAlignment="1">
      <alignment horizontal="center" vertical="center"/>
    </xf>
    <xf numFmtId="0" fontId="108" fillId="0" borderId="0" xfId="66" applyFont="1" applyFill="1" applyBorder="1"/>
    <xf numFmtId="0" fontId="72" fillId="0" borderId="0" xfId="66" applyFont="1" applyFill="1" applyBorder="1" applyAlignment="1">
      <alignment wrapText="1"/>
    </xf>
    <xf numFmtId="0" fontId="76" fillId="0" borderId="0" xfId="66" applyFont="1" applyFill="1" applyBorder="1"/>
    <xf numFmtId="0" fontId="74" fillId="0" borderId="0" xfId="66" applyFont="1" applyFill="1" applyBorder="1"/>
    <xf numFmtId="0" fontId="70" fillId="0" borderId="0" xfId="66"/>
    <xf numFmtId="0" fontId="108" fillId="0" borderId="0" xfId="66" applyFont="1" applyFill="1" applyBorder="1" applyAlignment="1">
      <alignment vertical="center"/>
    </xf>
    <xf numFmtId="0" fontId="72" fillId="0" borderId="0" xfId="66" applyFont="1" applyFill="1" applyBorder="1" applyAlignment="1">
      <alignment vertical="center"/>
    </xf>
    <xf numFmtId="0" fontId="70" fillId="0" borderId="0" xfId="66" applyFont="1"/>
    <xf numFmtId="0" fontId="72" fillId="0" borderId="0" xfId="66" applyFont="1"/>
    <xf numFmtId="0" fontId="109" fillId="0" borderId="0" xfId="66" applyFont="1" applyAlignment="1">
      <alignment horizontal="center"/>
    </xf>
    <xf numFmtId="0" fontId="72" fillId="0" borderId="0" xfId="66" applyFont="1" applyAlignment="1"/>
    <xf numFmtId="0" fontId="74" fillId="0" borderId="0" xfId="66" applyFont="1" applyFill="1" applyBorder="1" applyAlignment="1">
      <alignment horizontal="center" vertical="center"/>
    </xf>
    <xf numFmtId="0" fontId="80" fillId="0" borderId="0" xfId="66" applyFont="1" applyAlignment="1">
      <alignment horizontal="center"/>
    </xf>
    <xf numFmtId="0" fontId="70" fillId="0" borderId="0" xfId="0" applyFont="1" applyAlignment="1">
      <alignment vertical="center"/>
    </xf>
    <xf numFmtId="0" fontId="70" fillId="0" borderId="0" xfId="66" applyFont="1" applyAlignment="1">
      <alignment vertical="center"/>
    </xf>
    <xf numFmtId="0" fontId="70" fillId="0" borderId="0" xfId="66" applyFont="1" applyAlignment="1">
      <alignment vertical="center" wrapText="1"/>
    </xf>
    <xf numFmtId="3" fontId="70" fillId="0" borderId="0" xfId="66" applyNumberFormat="1" applyFont="1" applyAlignment="1">
      <alignment vertical="center"/>
    </xf>
    <xf numFmtId="0" fontId="70" fillId="0" borderId="0" xfId="66" applyFont="1" applyFill="1" applyAlignment="1">
      <alignment vertical="center"/>
    </xf>
    <xf numFmtId="0" fontId="70" fillId="0" borderId="0" xfId="66" applyFont="1" applyFill="1" applyAlignment="1">
      <alignment vertical="center" wrapText="1"/>
    </xf>
    <xf numFmtId="0" fontId="117" fillId="0" borderId="0" xfId="66" applyFont="1" applyAlignment="1">
      <alignment vertical="center"/>
    </xf>
    <xf numFmtId="0" fontId="110" fillId="0" borderId="0" xfId="66" applyFont="1" applyAlignment="1">
      <alignment horizontal="center" vertical="center" wrapText="1"/>
    </xf>
    <xf numFmtId="0" fontId="70" fillId="0" borderId="0" xfId="66" applyFont="1" applyBorder="1" applyAlignment="1">
      <alignment vertical="center"/>
    </xf>
    <xf numFmtId="0" fontId="70" fillId="0" borderId="0" xfId="66" applyFont="1" applyBorder="1" applyAlignment="1">
      <alignment horizontal="center" vertical="center"/>
    </xf>
    <xf numFmtId="0" fontId="70" fillId="0" borderId="16" xfId="66" applyFont="1" applyBorder="1" applyAlignment="1">
      <alignment horizontal="center" vertical="center"/>
    </xf>
    <xf numFmtId="3" fontId="70" fillId="0" borderId="16" xfId="66" applyNumberFormat="1" applyFont="1" applyBorder="1" applyAlignment="1">
      <alignment horizontal="right" vertical="center" indent="1"/>
    </xf>
    <xf numFmtId="3" fontId="70" fillId="0" borderId="0" xfId="66" applyNumberFormat="1" applyFont="1" applyBorder="1" applyAlignment="1">
      <alignment horizontal="right" vertical="center" indent="1"/>
    </xf>
    <xf numFmtId="3" fontId="70" fillId="0" borderId="17" xfId="66" applyNumberFormat="1" applyFont="1" applyBorder="1" applyAlignment="1">
      <alignment horizontal="right" vertical="center" indent="1"/>
    </xf>
    <xf numFmtId="0" fontId="73" fillId="0" borderId="0" xfId="66" applyFont="1" applyAlignment="1">
      <alignment vertical="center"/>
    </xf>
    <xf numFmtId="0" fontId="73" fillId="0" borderId="0" xfId="66" applyFont="1" applyBorder="1" applyAlignment="1">
      <alignment vertical="center"/>
    </xf>
    <xf numFmtId="0" fontId="76" fillId="0" borderId="0" xfId="66" applyFont="1" applyAlignment="1">
      <alignment vertical="center"/>
    </xf>
    <xf numFmtId="1" fontId="70" fillId="0" borderId="0" xfId="66" applyNumberFormat="1" applyFont="1" applyFill="1" applyAlignment="1">
      <alignment vertical="center"/>
    </xf>
    <xf numFmtId="1" fontId="73" fillId="0" borderId="0" xfId="66" applyNumberFormat="1" applyFont="1" applyFill="1" applyAlignment="1">
      <alignment vertical="center"/>
    </xf>
    <xf numFmtId="1" fontId="70" fillId="0" borderId="0" xfId="66" applyNumberFormat="1" applyFont="1" applyAlignment="1">
      <alignment vertical="center"/>
    </xf>
    <xf numFmtId="0" fontId="70" fillId="0" borderId="0" xfId="66" applyFont="1" applyAlignment="1">
      <alignment horizontal="center" vertical="center"/>
    </xf>
    <xf numFmtId="0" fontId="70" fillId="0" borderId="0" xfId="66" applyFont="1" applyFill="1" applyAlignment="1">
      <alignment horizontal="center" vertical="center"/>
    </xf>
    <xf numFmtId="0" fontId="104" fillId="0" borderId="17" xfId="66" applyFont="1" applyFill="1" applyBorder="1" applyAlignment="1">
      <alignment vertical="center" wrapText="1"/>
    </xf>
    <xf numFmtId="0" fontId="75" fillId="0" borderId="17" xfId="66" applyFont="1" applyFill="1" applyBorder="1" applyAlignment="1">
      <alignment vertical="center" wrapText="1"/>
    </xf>
    <xf numFmtId="0" fontId="82" fillId="0" borderId="0" xfId="66" applyFont="1" applyBorder="1" applyAlignment="1">
      <alignment vertical="center"/>
    </xf>
    <xf numFmtId="0" fontId="73" fillId="0" borderId="0" xfId="66" applyFont="1" applyFill="1" applyBorder="1" applyAlignment="1">
      <alignment vertical="center"/>
    </xf>
    <xf numFmtId="3" fontId="73" fillId="0" borderId="0" xfId="66" applyNumberFormat="1" applyFont="1" applyFill="1" applyBorder="1" applyAlignment="1">
      <alignment vertical="center"/>
    </xf>
    <xf numFmtId="0" fontId="73" fillId="0" borderId="0" xfId="66" applyFont="1" applyFill="1" applyAlignment="1">
      <alignment vertical="center"/>
    </xf>
    <xf numFmtId="3" fontId="73" fillId="0" borderId="0" xfId="66" applyNumberFormat="1" applyFont="1" applyAlignment="1">
      <alignment vertical="center"/>
    </xf>
    <xf numFmtId="3" fontId="70" fillId="0" borderId="0" xfId="66" applyNumberFormat="1"/>
    <xf numFmtId="0" fontId="73" fillId="0" borderId="0" xfId="66" applyFont="1" applyFill="1" applyAlignment="1">
      <alignment horizontal="center" vertical="center"/>
    </xf>
    <xf numFmtId="0" fontId="80" fillId="0" borderId="0" xfId="0" applyFont="1" applyAlignment="1">
      <alignment horizontal="center"/>
    </xf>
    <xf numFmtId="0" fontId="81" fillId="0" borderId="0" xfId="66" applyFont="1" applyAlignment="1">
      <alignment vertical="center"/>
    </xf>
    <xf numFmtId="0" fontId="76" fillId="0" borderId="0" xfId="66" applyFont="1" applyFill="1" applyBorder="1" applyAlignment="1">
      <alignment horizontal="center"/>
    </xf>
    <xf numFmtId="0" fontId="80" fillId="0" borderId="0" xfId="66" applyFont="1" applyAlignment="1"/>
    <xf numFmtId="0" fontId="81" fillId="0" borderId="0" xfId="66" applyFont="1" applyFill="1" applyBorder="1" applyAlignment="1">
      <alignment horizontal="left" vertical="center"/>
    </xf>
    <xf numFmtId="0" fontId="74" fillId="0" borderId="0" xfId="66" applyFont="1" applyAlignment="1">
      <alignment vertical="center"/>
    </xf>
    <xf numFmtId="0" fontId="129" fillId="0" borderId="30" xfId="0" applyFont="1" applyFill="1" applyBorder="1" applyAlignment="1">
      <alignment horizontal="center" vertical="center"/>
    </xf>
    <xf numFmtId="0" fontId="129" fillId="0" borderId="31" xfId="0" applyFont="1" applyFill="1" applyBorder="1" applyAlignment="1">
      <alignment horizontal="center" vertical="center"/>
    </xf>
    <xf numFmtId="0" fontId="129" fillId="0" borderId="32" xfId="0" applyFont="1" applyFill="1" applyBorder="1" applyAlignment="1">
      <alignment horizontal="center" vertical="center"/>
    </xf>
    <xf numFmtId="0" fontId="129" fillId="0" borderId="34" xfId="0" applyFont="1" applyFill="1" applyBorder="1" applyAlignment="1">
      <alignment horizontal="center" vertical="center"/>
    </xf>
    <xf numFmtId="0" fontId="129" fillId="0" borderId="0" xfId="0" applyFont="1" applyAlignment="1">
      <alignment vertical="center"/>
    </xf>
    <xf numFmtId="0" fontId="129" fillId="0" borderId="0" xfId="0" applyFont="1"/>
    <xf numFmtId="0" fontId="129" fillId="0" borderId="0" xfId="0" applyFont="1" applyFill="1" applyBorder="1"/>
    <xf numFmtId="3" fontId="108" fillId="0" borderId="0" xfId="0" applyNumberFormat="1" applyFont="1" applyFill="1" applyBorder="1"/>
    <xf numFmtId="0" fontId="69" fillId="0" borderId="0" xfId="73" applyAlignment="1">
      <alignment vertical="center"/>
    </xf>
    <xf numFmtId="0" fontId="110" fillId="0" borderId="0" xfId="73" applyFont="1" applyBorder="1" applyAlignment="1">
      <alignment horizontal="center" vertical="center"/>
    </xf>
    <xf numFmtId="0" fontId="70" fillId="0" borderId="0" xfId="73" applyFont="1" applyAlignment="1">
      <alignment vertical="center"/>
    </xf>
    <xf numFmtId="0" fontId="132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3" fontId="76" fillId="24" borderId="13" xfId="0" applyNumberFormat="1" applyFont="1" applyFill="1" applyBorder="1" applyAlignment="1">
      <alignment horizontal="right" vertical="center" indent="1"/>
    </xf>
    <xf numFmtId="3" fontId="76" fillId="24" borderId="14" xfId="0" applyNumberFormat="1" applyFont="1" applyFill="1" applyBorder="1" applyAlignment="1">
      <alignment horizontal="right" vertical="center" indent="1"/>
    </xf>
    <xf numFmtId="3" fontId="76" fillId="24" borderId="10" xfId="0" applyNumberFormat="1" applyFont="1" applyFill="1" applyBorder="1" applyAlignment="1">
      <alignment horizontal="right" vertical="center" indent="1"/>
    </xf>
    <xf numFmtId="0" fontId="130" fillId="0" borderId="0" xfId="0" applyFont="1" applyAlignment="1">
      <alignment vertical="center"/>
    </xf>
    <xf numFmtId="0" fontId="129" fillId="0" borderId="0" xfId="66" applyFont="1" applyAlignment="1">
      <alignment vertical="center"/>
    </xf>
    <xf numFmtId="0" fontId="129" fillId="0" borderId="30" xfId="66" applyFont="1" applyFill="1" applyBorder="1" applyAlignment="1">
      <alignment horizontal="center" vertical="center"/>
    </xf>
    <xf numFmtId="3" fontId="129" fillId="0" borderId="25" xfId="66" applyNumberFormat="1" applyFont="1" applyFill="1" applyBorder="1" applyAlignment="1">
      <alignment horizontal="right" vertical="center" indent="1"/>
    </xf>
    <xf numFmtId="3" fontId="129" fillId="0" borderId="35" xfId="66" applyNumberFormat="1" applyFont="1" applyFill="1" applyBorder="1" applyAlignment="1">
      <alignment horizontal="right" vertical="center" indent="1"/>
    </xf>
    <xf numFmtId="3" fontId="129" fillId="0" borderId="40" xfId="66" applyNumberFormat="1" applyFont="1" applyFill="1" applyBorder="1" applyAlignment="1">
      <alignment horizontal="right" vertical="center" indent="1"/>
    </xf>
    <xf numFmtId="0" fontId="129" fillId="0" borderId="31" xfId="66" applyFont="1" applyFill="1" applyBorder="1" applyAlignment="1">
      <alignment horizontal="center" vertical="center"/>
    </xf>
    <xf numFmtId="3" fontId="129" fillId="0" borderId="26" xfId="66" applyNumberFormat="1" applyFont="1" applyFill="1" applyBorder="1" applyAlignment="1">
      <alignment horizontal="right" vertical="center" indent="1"/>
    </xf>
    <xf numFmtId="3" fontId="129" fillId="0" borderId="36" xfId="66" applyNumberFormat="1" applyFont="1" applyFill="1" applyBorder="1" applyAlignment="1">
      <alignment horizontal="right" vertical="center" indent="1"/>
    </xf>
    <xf numFmtId="3" fontId="129" fillId="0" borderId="41" xfId="66" applyNumberFormat="1" applyFont="1" applyFill="1" applyBorder="1" applyAlignment="1">
      <alignment horizontal="right" vertical="center" indent="1"/>
    </xf>
    <xf numFmtId="3" fontId="129" fillId="0" borderId="27" xfId="66" applyNumberFormat="1" applyFont="1" applyFill="1" applyBorder="1" applyAlignment="1">
      <alignment horizontal="right" vertical="center" indent="1"/>
    </xf>
    <xf numFmtId="3" fontId="129" fillId="0" borderId="37" xfId="66" applyNumberFormat="1" applyFont="1" applyFill="1" applyBorder="1" applyAlignment="1">
      <alignment horizontal="right" vertical="center" indent="1"/>
    </xf>
    <xf numFmtId="3" fontId="129" fillId="0" borderId="42" xfId="66" applyNumberFormat="1" applyFont="1" applyFill="1" applyBorder="1" applyAlignment="1">
      <alignment horizontal="right" vertical="center" indent="1"/>
    </xf>
    <xf numFmtId="0" fontId="129" fillId="0" borderId="33" xfId="66" applyFont="1" applyFill="1" applyBorder="1" applyAlignment="1">
      <alignment horizontal="center" vertical="center"/>
    </xf>
    <xf numFmtId="3" fontId="129" fillId="0" borderId="28" xfId="66" applyNumberFormat="1" applyFont="1" applyFill="1" applyBorder="1" applyAlignment="1">
      <alignment horizontal="right" vertical="center" indent="1"/>
    </xf>
    <xf numFmtId="3" fontId="129" fillId="0" borderId="38" xfId="66" applyNumberFormat="1" applyFont="1" applyFill="1" applyBorder="1" applyAlignment="1">
      <alignment horizontal="right" vertical="center" indent="1"/>
    </xf>
    <xf numFmtId="0" fontId="129" fillId="0" borderId="32" xfId="66" applyFont="1" applyFill="1" applyBorder="1" applyAlignment="1">
      <alignment horizontal="center" vertical="center"/>
    </xf>
    <xf numFmtId="3" fontId="71" fillId="0" borderId="0" xfId="48" applyNumberFormat="1"/>
    <xf numFmtId="1" fontId="76" fillId="24" borderId="14" xfId="0" applyNumberFormat="1" applyFont="1" applyFill="1" applyBorder="1" applyAlignment="1">
      <alignment horizontal="right" vertical="center" indent="1"/>
    </xf>
    <xf numFmtId="1" fontId="76" fillId="24" borderId="13" xfId="0" applyNumberFormat="1" applyFont="1" applyFill="1" applyBorder="1" applyAlignment="1">
      <alignment horizontal="right" vertical="center" indent="1"/>
    </xf>
    <xf numFmtId="1" fontId="76" fillId="24" borderId="10" xfId="0" applyNumberFormat="1" applyFont="1" applyFill="1" applyBorder="1" applyAlignment="1">
      <alignment horizontal="right" vertical="center" indent="1"/>
    </xf>
    <xf numFmtId="0" fontId="71" fillId="0" borderId="30" xfId="0" applyFont="1" applyBorder="1" applyAlignment="1">
      <alignment horizontal="center" vertical="center"/>
    </xf>
    <xf numFmtId="1" fontId="71" fillId="0" borderId="35" xfId="0" applyNumberFormat="1" applyFont="1" applyBorder="1" applyAlignment="1">
      <alignment horizontal="right" vertical="center" indent="1"/>
    </xf>
    <xf numFmtId="1" fontId="73" fillId="0" borderId="35" xfId="0" applyNumberFormat="1" applyFont="1" applyBorder="1" applyAlignment="1">
      <alignment horizontal="right" vertical="center" indent="1"/>
    </xf>
    <xf numFmtId="1" fontId="71" fillId="0" borderId="25" xfId="0" applyNumberFormat="1" applyFont="1" applyBorder="1" applyAlignment="1">
      <alignment horizontal="right" vertical="center" indent="1"/>
    </xf>
    <xf numFmtId="1" fontId="73" fillId="0" borderId="40" xfId="0" applyNumberFormat="1" applyFont="1" applyBorder="1" applyAlignment="1">
      <alignment horizontal="right" vertical="center" indent="1"/>
    </xf>
    <xf numFmtId="3" fontId="71" fillId="0" borderId="25" xfId="0" applyNumberFormat="1" applyFont="1" applyBorder="1" applyAlignment="1">
      <alignment horizontal="right" vertical="center" indent="1"/>
    </xf>
    <xf numFmtId="3" fontId="71" fillId="0" borderId="35" xfId="0" applyNumberFormat="1" applyFont="1" applyBorder="1" applyAlignment="1">
      <alignment horizontal="right" vertical="center" indent="1"/>
    </xf>
    <xf numFmtId="3" fontId="71" fillId="0" borderId="40" xfId="0" applyNumberFormat="1" applyFont="1" applyBorder="1" applyAlignment="1">
      <alignment horizontal="right" vertical="center" indent="1"/>
    </xf>
    <xf numFmtId="0" fontId="71" fillId="0" borderId="31" xfId="0" applyFont="1" applyBorder="1" applyAlignment="1">
      <alignment horizontal="center" vertical="center"/>
    </xf>
    <xf numFmtId="1" fontId="71" fillId="0" borderId="36" xfId="0" applyNumberFormat="1" applyFont="1" applyBorder="1" applyAlignment="1">
      <alignment horizontal="right" vertical="center" indent="1"/>
    </xf>
    <xf numFmtId="1" fontId="73" fillId="0" borderId="36" xfId="0" applyNumberFormat="1" applyFont="1" applyBorder="1" applyAlignment="1">
      <alignment horizontal="right" vertical="center" indent="1"/>
    </xf>
    <xf numFmtId="1" fontId="71" fillId="0" borderId="26" xfId="0" applyNumberFormat="1" applyFont="1" applyBorder="1" applyAlignment="1">
      <alignment horizontal="right" vertical="center" indent="1"/>
    </xf>
    <xf numFmtId="1" fontId="73" fillId="0" borderId="41" xfId="0" applyNumberFormat="1" applyFont="1" applyBorder="1" applyAlignment="1">
      <alignment horizontal="right" vertical="center" indent="1"/>
    </xf>
    <xf numFmtId="3" fontId="71" fillId="0" borderId="26" xfId="0" applyNumberFormat="1" applyFont="1" applyBorder="1" applyAlignment="1">
      <alignment horizontal="right" vertical="center" indent="1"/>
    </xf>
    <xf numFmtId="3" fontId="71" fillId="0" borderId="36" xfId="0" applyNumberFormat="1" applyFont="1" applyBorder="1" applyAlignment="1">
      <alignment horizontal="right" vertical="center" indent="1"/>
    </xf>
    <xf numFmtId="3" fontId="71" fillId="0" borderId="41" xfId="0" applyNumberFormat="1" applyFont="1" applyBorder="1" applyAlignment="1">
      <alignment horizontal="right" vertical="center" indent="1"/>
    </xf>
    <xf numFmtId="0" fontId="71" fillId="0" borderId="32" xfId="0" applyFont="1" applyBorder="1" applyAlignment="1">
      <alignment horizontal="center" vertical="center"/>
    </xf>
    <xf numFmtId="1" fontId="71" fillId="0" borderId="37" xfId="0" applyNumberFormat="1" applyFont="1" applyBorder="1" applyAlignment="1">
      <alignment horizontal="right" vertical="center" indent="1"/>
    </xf>
    <xf numFmtId="1" fontId="73" fillId="0" borderId="37" xfId="0" applyNumberFormat="1" applyFont="1" applyBorder="1" applyAlignment="1">
      <alignment horizontal="right" vertical="center" indent="1"/>
    </xf>
    <xf numFmtId="1" fontId="71" fillId="0" borderId="27" xfId="0" applyNumberFormat="1" applyFont="1" applyBorder="1" applyAlignment="1">
      <alignment horizontal="right" vertical="center" indent="1"/>
    </xf>
    <xf numFmtId="1" fontId="73" fillId="0" borderId="42" xfId="0" applyNumberFormat="1" applyFont="1" applyBorder="1" applyAlignment="1">
      <alignment horizontal="right" vertical="center" indent="1"/>
    </xf>
    <xf numFmtId="3" fontId="71" fillId="0" borderId="27" xfId="0" applyNumberFormat="1" applyFont="1" applyBorder="1" applyAlignment="1">
      <alignment horizontal="right" vertical="center" indent="1"/>
    </xf>
    <xf numFmtId="3" fontId="71" fillId="0" borderId="37" xfId="0" applyNumberFormat="1" applyFont="1" applyBorder="1" applyAlignment="1">
      <alignment horizontal="right" vertical="center" indent="1"/>
    </xf>
    <xf numFmtId="3" fontId="71" fillId="0" borderId="42" xfId="0" applyNumberFormat="1" applyFont="1" applyBorder="1" applyAlignment="1">
      <alignment horizontal="right" vertical="center" indent="1"/>
    </xf>
    <xf numFmtId="0" fontId="76" fillId="24" borderId="14" xfId="0" applyFont="1" applyFill="1" applyBorder="1" applyAlignment="1">
      <alignment horizontal="center" vertical="center"/>
    </xf>
    <xf numFmtId="0" fontId="129" fillId="0" borderId="0" xfId="0" applyFont="1" applyFill="1" applyBorder="1" applyAlignment="1">
      <alignment horizontal="center" vertical="center"/>
    </xf>
    <xf numFmtId="3" fontId="129" fillId="0" borderId="25" xfId="0" applyNumberFormat="1" applyFont="1" applyFill="1" applyBorder="1" applyAlignment="1">
      <alignment horizontal="right" indent="1"/>
    </xf>
    <xf numFmtId="3" fontId="129" fillId="0" borderId="35" xfId="0" applyNumberFormat="1" applyFont="1" applyFill="1" applyBorder="1" applyAlignment="1">
      <alignment horizontal="right" indent="1"/>
    </xf>
    <xf numFmtId="3" fontId="129" fillId="0" borderId="40" xfId="0" applyNumberFormat="1" applyFont="1" applyFill="1" applyBorder="1" applyAlignment="1">
      <alignment horizontal="right" indent="1"/>
    </xf>
    <xf numFmtId="3" fontId="129" fillId="0" borderId="26" xfId="0" applyNumberFormat="1" applyFont="1" applyFill="1" applyBorder="1" applyAlignment="1">
      <alignment horizontal="right" indent="1"/>
    </xf>
    <xf numFmtId="3" fontId="129" fillId="0" borderId="36" xfId="0" applyNumberFormat="1" applyFont="1" applyFill="1" applyBorder="1" applyAlignment="1">
      <alignment horizontal="right" indent="1"/>
    </xf>
    <xf numFmtId="3" fontId="129" fillId="0" borderId="41" xfId="0" applyNumberFormat="1" applyFont="1" applyFill="1" applyBorder="1" applyAlignment="1">
      <alignment horizontal="right" indent="1"/>
    </xf>
    <xf numFmtId="3" fontId="129" fillId="0" borderId="29" xfId="0" applyNumberFormat="1" applyFont="1" applyFill="1" applyBorder="1" applyAlignment="1">
      <alignment horizontal="right" indent="1"/>
    </xf>
    <xf numFmtId="3" fontId="129" fillId="0" borderId="39" xfId="0" applyNumberFormat="1" applyFont="1" applyFill="1" applyBorder="1" applyAlignment="1">
      <alignment horizontal="right" indent="1"/>
    </xf>
    <xf numFmtId="3" fontId="129" fillId="0" borderId="44" xfId="0" applyNumberFormat="1" applyFont="1" applyFill="1" applyBorder="1" applyAlignment="1">
      <alignment horizontal="right" indent="1"/>
    </xf>
    <xf numFmtId="0" fontId="130" fillId="0" borderId="0" xfId="0" applyFont="1" applyBorder="1" applyAlignment="1">
      <alignment vertical="center"/>
    </xf>
    <xf numFmtId="0" fontId="130" fillId="0" borderId="12" xfId="0" applyFont="1" applyBorder="1" applyAlignment="1"/>
    <xf numFmtId="0" fontId="129" fillId="0" borderId="0" xfId="0" applyFont="1" applyAlignment="1">
      <alignment horizontal="left" vertical="center"/>
    </xf>
    <xf numFmtId="0" fontId="129" fillId="0" borderId="0" xfId="0" applyFont="1" applyBorder="1" applyAlignment="1">
      <alignment vertical="center"/>
    </xf>
    <xf numFmtId="0" fontId="144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73" fillId="24" borderId="13" xfId="0" applyFont="1" applyFill="1" applyBorder="1" applyAlignment="1">
      <alignment vertical="center"/>
    </xf>
    <xf numFmtId="0" fontId="73" fillId="24" borderId="14" xfId="0" applyFont="1" applyFill="1" applyBorder="1" applyAlignment="1">
      <alignment vertical="center"/>
    </xf>
    <xf numFmtId="0" fontId="73" fillId="24" borderId="10" xfId="0" applyFont="1" applyFill="1" applyBorder="1" applyAlignment="1">
      <alignment vertical="center"/>
    </xf>
    <xf numFmtId="0" fontId="70" fillId="0" borderId="0" xfId="0" applyFont="1" applyFill="1" applyBorder="1" applyAlignment="1">
      <alignment vertical="center"/>
    </xf>
    <xf numFmtId="0" fontId="128" fillId="0" borderId="0" xfId="0" applyFont="1" applyBorder="1" applyAlignment="1">
      <alignment vertical="center"/>
    </xf>
    <xf numFmtId="0" fontId="129" fillId="0" borderId="16" xfId="0" applyFont="1" applyBorder="1" applyAlignment="1">
      <alignment horizontal="center" vertical="center"/>
    </xf>
    <xf numFmtId="1" fontId="129" fillId="0" borderId="0" xfId="0" applyNumberFormat="1" applyFont="1" applyBorder="1" applyAlignment="1">
      <alignment horizontal="right" vertical="center" indent="1"/>
    </xf>
    <xf numFmtId="1" fontId="128" fillId="0" borderId="0" xfId="0" applyNumberFormat="1" applyFont="1" applyBorder="1" applyAlignment="1">
      <alignment horizontal="right" vertical="center" indent="1"/>
    </xf>
    <xf numFmtId="1" fontId="129" fillId="0" borderId="16" xfId="0" applyNumberFormat="1" applyFont="1" applyBorder="1" applyAlignment="1">
      <alignment horizontal="right" vertical="center" indent="1"/>
    </xf>
    <xf numFmtId="1" fontId="128" fillId="0" borderId="17" xfId="0" applyNumberFormat="1" applyFont="1" applyBorder="1" applyAlignment="1">
      <alignment horizontal="right" vertical="center" indent="1"/>
    </xf>
    <xf numFmtId="3" fontId="129" fillId="0" borderId="16" xfId="0" applyNumberFormat="1" applyFont="1" applyBorder="1" applyAlignment="1">
      <alignment horizontal="right" vertical="center" indent="1"/>
    </xf>
    <xf numFmtId="3" fontId="129" fillId="0" borderId="0" xfId="0" applyNumberFormat="1" applyFont="1" applyBorder="1" applyAlignment="1">
      <alignment horizontal="right" vertical="center" indent="1"/>
    </xf>
    <xf numFmtId="3" fontId="128" fillId="0" borderId="0" xfId="0" applyNumberFormat="1" applyFont="1" applyBorder="1" applyAlignment="1">
      <alignment horizontal="right" vertical="center" indent="1"/>
    </xf>
    <xf numFmtId="3" fontId="128" fillId="0" borderId="17" xfId="0" applyNumberFormat="1" applyFont="1" applyBorder="1" applyAlignment="1">
      <alignment horizontal="right" vertical="center" indent="1"/>
    </xf>
    <xf numFmtId="3" fontId="129" fillId="0" borderId="17" xfId="0" applyNumberFormat="1" applyFont="1" applyBorder="1" applyAlignment="1">
      <alignment horizontal="right" vertical="center" indent="1"/>
    </xf>
    <xf numFmtId="0" fontId="71" fillId="0" borderId="26" xfId="0" applyFont="1" applyBorder="1" applyAlignment="1">
      <alignment horizontal="center" vertical="center"/>
    </xf>
    <xf numFmtId="0" fontId="71" fillId="0" borderId="36" xfId="0" applyFont="1" applyBorder="1" applyAlignment="1">
      <alignment horizontal="center" vertical="center"/>
    </xf>
    <xf numFmtId="0" fontId="71" fillId="0" borderId="41" xfId="0" applyFont="1" applyBorder="1" applyAlignment="1">
      <alignment horizontal="center" vertical="center"/>
    </xf>
    <xf numFmtId="3" fontId="73" fillId="0" borderId="36" xfId="0" applyNumberFormat="1" applyFont="1" applyBorder="1" applyAlignment="1">
      <alignment horizontal="right" vertical="center" indent="1"/>
    </xf>
    <xf numFmtId="3" fontId="73" fillId="0" borderId="41" xfId="0" applyNumberFormat="1" applyFont="1" applyBorder="1" applyAlignment="1">
      <alignment horizontal="right" vertical="center" indent="1"/>
    </xf>
    <xf numFmtId="0" fontId="71" fillId="0" borderId="31" xfId="0" applyFont="1" applyBorder="1" applyAlignment="1">
      <alignment horizontal="right" vertical="center"/>
    </xf>
    <xf numFmtId="0" fontId="71" fillId="0" borderId="26" xfId="0" applyFont="1" applyBorder="1" applyAlignment="1">
      <alignment horizontal="right" vertical="center"/>
    </xf>
    <xf numFmtId="0" fontId="71" fillId="0" borderId="36" xfId="0" applyFont="1" applyBorder="1" applyAlignment="1">
      <alignment horizontal="right" vertical="center"/>
    </xf>
    <xf numFmtId="0" fontId="71" fillId="0" borderId="41" xfId="0" applyFont="1" applyBorder="1" applyAlignment="1">
      <alignment horizontal="right" vertical="center"/>
    </xf>
    <xf numFmtId="0" fontId="71" fillId="0" borderId="26" xfId="0" applyFont="1" applyBorder="1" applyAlignment="1">
      <alignment horizontal="right" vertical="center" indent="1"/>
    </xf>
    <xf numFmtId="0" fontId="71" fillId="0" borderId="36" xfId="0" applyFont="1" applyBorder="1" applyAlignment="1">
      <alignment horizontal="right" vertical="center" indent="1"/>
    </xf>
    <xf numFmtId="0" fontId="73" fillId="0" borderId="36" xfId="0" applyFont="1" applyBorder="1" applyAlignment="1">
      <alignment horizontal="right" vertical="center" indent="1"/>
    </xf>
    <xf numFmtId="0" fontId="73" fillId="0" borderId="41" xfId="0" applyFont="1" applyBorder="1" applyAlignment="1">
      <alignment horizontal="right" vertical="center" indent="1"/>
    </xf>
    <xf numFmtId="0" fontId="71" fillId="0" borderId="26" xfId="0" applyFont="1" applyBorder="1" applyAlignment="1">
      <alignment vertical="center"/>
    </xf>
    <xf numFmtId="0" fontId="71" fillId="0" borderId="27" xfId="0" applyFont="1" applyBorder="1" applyAlignment="1">
      <alignment horizontal="center" vertical="center"/>
    </xf>
    <xf numFmtId="0" fontId="71" fillId="0" borderId="37" xfId="0" applyFont="1" applyBorder="1" applyAlignment="1">
      <alignment horizontal="center" vertical="center"/>
    </xf>
    <xf numFmtId="0" fontId="71" fillId="0" borderId="42" xfId="0" applyFont="1" applyBorder="1" applyAlignment="1">
      <alignment horizontal="center" vertical="center"/>
    </xf>
    <xf numFmtId="0" fontId="71" fillId="0" borderId="35" xfId="0" applyFont="1" applyBorder="1" applyAlignment="1">
      <alignment horizontal="center" vertical="center"/>
    </xf>
    <xf numFmtId="0" fontId="71" fillId="0" borderId="25" xfId="0" applyFont="1" applyBorder="1" applyAlignment="1">
      <alignment horizontal="center" vertical="center"/>
    </xf>
    <xf numFmtId="0" fontId="71" fillId="0" borderId="40" xfId="0" applyFont="1" applyBorder="1" applyAlignment="1">
      <alignment horizontal="center" vertical="center"/>
    </xf>
    <xf numFmtId="3" fontId="73" fillId="0" borderId="35" xfId="0" applyNumberFormat="1" applyFont="1" applyBorder="1" applyAlignment="1">
      <alignment horizontal="right" vertical="center" indent="1"/>
    </xf>
    <xf numFmtId="3" fontId="73" fillId="0" borderId="40" xfId="0" applyNumberFormat="1" applyFont="1" applyBorder="1" applyAlignment="1">
      <alignment horizontal="right" vertical="center" indent="1"/>
    </xf>
    <xf numFmtId="0" fontId="71" fillId="0" borderId="29" xfId="0" applyFont="1" applyBorder="1" applyAlignment="1">
      <alignment horizontal="center" vertical="center"/>
    </xf>
    <xf numFmtId="0" fontId="71" fillId="0" borderId="39" xfId="0" applyFont="1" applyBorder="1" applyAlignment="1">
      <alignment horizontal="center" vertical="center"/>
    </xf>
    <xf numFmtId="0" fontId="71" fillId="0" borderId="44" xfId="0" applyFont="1" applyBorder="1" applyAlignment="1">
      <alignment horizontal="center" vertical="center"/>
    </xf>
    <xf numFmtId="1" fontId="71" fillId="0" borderId="29" xfId="0" applyNumberFormat="1" applyFont="1" applyBorder="1" applyAlignment="1">
      <alignment horizontal="right" vertical="center" indent="1"/>
    </xf>
    <xf numFmtId="1" fontId="71" fillId="0" borderId="39" xfId="0" applyNumberFormat="1" applyFont="1" applyBorder="1" applyAlignment="1">
      <alignment horizontal="right" vertical="center" indent="1"/>
    </xf>
    <xf numFmtId="1" fontId="73" fillId="0" borderId="39" xfId="0" applyNumberFormat="1" applyFont="1" applyBorder="1" applyAlignment="1">
      <alignment horizontal="right" vertical="center" indent="1"/>
    </xf>
    <xf numFmtId="1" fontId="73" fillId="0" borderId="44" xfId="0" applyNumberFormat="1" applyFont="1" applyBorder="1" applyAlignment="1">
      <alignment horizontal="right" vertical="center" indent="1"/>
    </xf>
    <xf numFmtId="3" fontId="71" fillId="0" borderId="29" xfId="0" applyNumberFormat="1" applyFont="1" applyBorder="1" applyAlignment="1">
      <alignment horizontal="right" vertical="center" indent="1"/>
    </xf>
    <xf numFmtId="3" fontId="71" fillId="0" borderId="39" xfId="0" applyNumberFormat="1" applyFont="1" applyBorder="1" applyAlignment="1">
      <alignment horizontal="right" vertical="center" indent="1"/>
    </xf>
    <xf numFmtId="3" fontId="73" fillId="0" borderId="44" xfId="0" applyNumberFormat="1" applyFont="1" applyBorder="1" applyAlignment="1">
      <alignment horizontal="right" vertical="center" indent="1"/>
    </xf>
    <xf numFmtId="3" fontId="71" fillId="0" borderId="44" xfId="0" applyNumberFormat="1" applyFont="1" applyBorder="1" applyAlignment="1">
      <alignment horizontal="right" vertical="center" indent="1"/>
    </xf>
    <xf numFmtId="0" fontId="130" fillId="0" borderId="0" xfId="66" applyFont="1"/>
    <xf numFmtId="0" fontId="144" fillId="0" borderId="0" xfId="66" applyFont="1"/>
    <xf numFmtId="0" fontId="144" fillId="0" borderId="0" xfId="66" applyFont="1" applyAlignment="1">
      <alignment horizontal="left" vertical="center"/>
    </xf>
    <xf numFmtId="0" fontId="144" fillId="0" borderId="0" xfId="0" applyFont="1" applyAlignment="1">
      <alignment vertical="center"/>
    </xf>
    <xf numFmtId="0" fontId="130" fillId="0" borderId="12" xfId="66" applyFont="1" applyBorder="1" applyAlignment="1">
      <alignment vertical="center"/>
    </xf>
    <xf numFmtId="0" fontId="130" fillId="0" borderId="0" xfId="66" applyFont="1" applyBorder="1" applyAlignment="1">
      <alignment vertical="center"/>
    </xf>
    <xf numFmtId="0" fontId="130" fillId="0" borderId="0" xfId="66" applyFont="1" applyAlignment="1">
      <alignment vertical="center"/>
    </xf>
    <xf numFmtId="0" fontId="147" fillId="0" borderId="0" xfId="0" applyFont="1" applyBorder="1" applyAlignment="1">
      <alignment horizontal="left" vertical="center" wrapText="1" readingOrder="1"/>
    </xf>
    <xf numFmtId="0" fontId="147" fillId="0" borderId="49" xfId="0" applyFont="1" applyBorder="1" applyAlignment="1">
      <alignment horizontal="center" vertical="center" wrapText="1" readingOrder="1"/>
    </xf>
    <xf numFmtId="0" fontId="147" fillId="0" borderId="36" xfId="0" applyFont="1" applyBorder="1" applyAlignment="1">
      <alignment horizontal="center" vertical="center" wrapText="1" readingOrder="1"/>
    </xf>
    <xf numFmtId="0" fontId="147" fillId="0" borderId="39" xfId="0" applyFont="1" applyBorder="1" applyAlignment="1">
      <alignment horizontal="center" vertical="center" wrapText="1" readingOrder="1"/>
    </xf>
    <xf numFmtId="0" fontId="144" fillId="0" borderId="12" xfId="0" applyFont="1" applyBorder="1" applyAlignment="1">
      <alignment vertical="center"/>
    </xf>
    <xf numFmtId="0" fontId="76" fillId="24" borderId="13" xfId="0" applyFont="1" applyFill="1" applyBorder="1" applyAlignment="1">
      <alignment horizontal="center" vertical="center"/>
    </xf>
    <xf numFmtId="0" fontId="76" fillId="24" borderId="14" xfId="0" applyFont="1" applyFill="1" applyBorder="1" applyAlignment="1">
      <alignment horizontal="center" vertical="center"/>
    </xf>
    <xf numFmtId="0" fontId="76" fillId="24" borderId="10" xfId="0" applyFont="1" applyFill="1" applyBorder="1" applyAlignment="1">
      <alignment horizontal="center" vertical="center"/>
    </xf>
    <xf numFmtId="0" fontId="104" fillId="0" borderId="15" xfId="66" applyFont="1" applyFill="1" applyBorder="1" applyAlignment="1">
      <alignment vertical="center" wrapText="1"/>
    </xf>
    <xf numFmtId="0" fontId="104" fillId="0" borderId="22" xfId="66" applyFont="1" applyFill="1" applyBorder="1" applyAlignment="1">
      <alignment vertical="center" wrapText="1"/>
    </xf>
    <xf numFmtId="0" fontId="75" fillId="0" borderId="15" xfId="66" applyFont="1" applyFill="1" applyBorder="1" applyAlignment="1">
      <alignment vertical="center" wrapText="1"/>
    </xf>
    <xf numFmtId="0" fontId="75" fillId="0" borderId="22" xfId="66" applyFont="1" applyFill="1" applyBorder="1" applyAlignment="1">
      <alignment vertical="center" wrapText="1"/>
    </xf>
    <xf numFmtId="3" fontId="70" fillId="0" borderId="12" xfId="66" applyNumberFormat="1" applyFont="1" applyFill="1" applyBorder="1" applyAlignment="1">
      <alignment horizontal="right" vertical="center" indent="1"/>
    </xf>
    <xf numFmtId="3" fontId="70" fillId="0" borderId="0" xfId="66" applyNumberFormat="1" applyFont="1" applyFill="1" applyBorder="1" applyAlignment="1">
      <alignment horizontal="right" vertical="center" indent="1"/>
    </xf>
    <xf numFmtId="3" fontId="70" fillId="0" borderId="12" xfId="66" applyNumberFormat="1" applyFont="1" applyFill="1" applyBorder="1" applyAlignment="1" applyProtection="1">
      <alignment horizontal="right" vertical="center" indent="1"/>
    </xf>
    <xf numFmtId="3" fontId="70" fillId="0" borderId="0" xfId="66" applyNumberFormat="1" applyFont="1" applyFill="1" applyBorder="1" applyAlignment="1" applyProtection="1">
      <alignment horizontal="right" vertical="center" indent="1"/>
    </xf>
    <xf numFmtId="3" fontId="70" fillId="0" borderId="24" xfId="66" applyNumberFormat="1" applyFont="1" applyFill="1" applyBorder="1" applyAlignment="1" applyProtection="1">
      <alignment horizontal="right" vertical="center" indent="1"/>
    </xf>
    <xf numFmtId="0" fontId="70" fillId="0" borderId="11" xfId="66" applyFont="1" applyBorder="1" applyAlignment="1">
      <alignment horizontal="center" vertical="center"/>
    </xf>
    <xf numFmtId="3" fontId="70" fillId="0" borderId="11" xfId="66" applyNumberFormat="1" applyFont="1" applyBorder="1" applyAlignment="1">
      <alignment horizontal="right" vertical="center" indent="1"/>
    </xf>
    <xf numFmtId="3" fontId="70" fillId="0" borderId="12" xfId="66" applyNumberFormat="1" applyFont="1" applyBorder="1" applyAlignment="1">
      <alignment horizontal="right" vertical="center" indent="1"/>
    </xf>
    <xf numFmtId="3" fontId="70" fillId="0" borderId="15" xfId="66" applyNumberFormat="1" applyFont="1" applyBorder="1" applyAlignment="1">
      <alignment horizontal="right" vertical="center" indent="1"/>
    </xf>
    <xf numFmtId="3" fontId="74" fillId="0" borderId="0" xfId="66" applyNumberFormat="1" applyFont="1" applyFill="1" applyBorder="1"/>
    <xf numFmtId="0" fontId="79" fillId="0" borderId="12" xfId="66" applyFont="1" applyBorder="1" applyAlignment="1">
      <alignment horizontal="left" vertical="center"/>
    </xf>
    <xf numFmtId="0" fontId="79" fillId="0" borderId="0" xfId="66" applyFont="1" applyAlignment="1">
      <alignment horizontal="left" vertical="center"/>
    </xf>
    <xf numFmtId="3" fontId="108" fillId="0" borderId="0" xfId="66" applyNumberFormat="1" applyFont="1" applyFill="1" applyBorder="1" applyAlignment="1">
      <alignment vertical="center"/>
    </xf>
    <xf numFmtId="0" fontId="104" fillId="0" borderId="12" xfId="0" applyFont="1" applyFill="1" applyBorder="1" applyAlignment="1">
      <alignment horizontal="left" vertical="center" wrapText="1"/>
    </xf>
    <xf numFmtId="0" fontId="104" fillId="0" borderId="24" xfId="0" applyFont="1" applyFill="1" applyBorder="1" applyAlignment="1">
      <alignment horizontal="left" vertical="center" wrapText="1"/>
    </xf>
    <xf numFmtId="0" fontId="75" fillId="0" borderId="12" xfId="0" applyFont="1" applyFill="1" applyBorder="1" applyAlignment="1">
      <alignment horizontal="left" vertical="center" wrapText="1"/>
    </xf>
    <xf numFmtId="0" fontId="75" fillId="0" borderId="24" xfId="0" applyFont="1" applyFill="1" applyBorder="1" applyAlignment="1">
      <alignment horizontal="left" vertical="center" wrapText="1"/>
    </xf>
    <xf numFmtId="0" fontId="71" fillId="0" borderId="15" xfId="0" applyFont="1" applyFill="1" applyBorder="1" applyAlignment="1">
      <alignment vertical="center"/>
    </xf>
    <xf numFmtId="0" fontId="70" fillId="0" borderId="16" xfId="0" applyFont="1" applyFill="1" applyBorder="1" applyAlignment="1">
      <alignment vertical="center"/>
    </xf>
    <xf numFmtId="0" fontId="129" fillId="0" borderId="20" xfId="0" applyFont="1" applyBorder="1" applyAlignment="1">
      <alignment horizontal="center" vertical="center"/>
    </xf>
    <xf numFmtId="3" fontId="129" fillId="0" borderId="20" xfId="0" applyNumberFormat="1" applyFont="1" applyBorder="1" applyAlignment="1">
      <alignment horizontal="right" vertical="center" indent="1"/>
    </xf>
    <xf numFmtId="3" fontId="129" fillId="0" borderId="24" xfId="0" applyNumberFormat="1" applyFont="1" applyBorder="1" applyAlignment="1">
      <alignment horizontal="right" vertical="center" indent="1"/>
    </xf>
    <xf numFmtId="3" fontId="128" fillId="0" borderId="22" xfId="0" applyNumberFormat="1" applyFont="1" applyBorder="1" applyAlignment="1">
      <alignment horizontal="right" vertical="center" indent="1"/>
    </xf>
    <xf numFmtId="0" fontId="103" fillId="0" borderId="12" xfId="0" applyFont="1" applyFill="1" applyBorder="1" applyAlignment="1">
      <alignment vertical="center" wrapText="1"/>
    </xf>
    <xf numFmtId="0" fontId="103" fillId="0" borderId="24" xfId="0" applyFont="1" applyFill="1" applyBorder="1" applyAlignment="1">
      <alignment vertical="center" wrapText="1"/>
    </xf>
    <xf numFmtId="0" fontId="101" fillId="0" borderId="20" xfId="0" applyFont="1" applyFill="1" applyBorder="1" applyAlignment="1">
      <alignment vertical="center"/>
    </xf>
    <xf numFmtId="0" fontId="101" fillId="0" borderId="24" xfId="0" applyFont="1" applyFill="1" applyBorder="1" applyAlignment="1">
      <alignment vertical="center"/>
    </xf>
    <xf numFmtId="0" fontId="102" fillId="0" borderId="24" xfId="0" applyFont="1" applyFill="1" applyBorder="1" applyAlignment="1">
      <alignment vertical="center"/>
    </xf>
    <xf numFmtId="0" fontId="102" fillId="0" borderId="22" xfId="0" applyFont="1" applyFill="1" applyBorder="1" applyAlignment="1">
      <alignment vertical="center"/>
    </xf>
    <xf numFmtId="0" fontId="106" fillId="0" borderId="24" xfId="0" applyFont="1" applyFill="1" applyBorder="1" applyAlignment="1">
      <alignment vertical="center"/>
    </xf>
    <xf numFmtId="0" fontId="107" fillId="0" borderId="22" xfId="0" applyFont="1" applyFill="1" applyBorder="1" applyAlignment="1">
      <alignment vertical="center"/>
    </xf>
    <xf numFmtId="0" fontId="81" fillId="0" borderId="12" xfId="0" applyFont="1" applyFill="1" applyBorder="1" applyAlignment="1">
      <alignment vertical="center" wrapText="1"/>
    </xf>
    <xf numFmtId="0" fontId="81" fillId="0" borderId="24" xfId="0" applyFont="1" applyFill="1" applyBorder="1" applyAlignment="1">
      <alignment vertical="center" wrapText="1"/>
    </xf>
    <xf numFmtId="0" fontId="73" fillId="28" borderId="31" xfId="0" applyFont="1" applyFill="1" applyBorder="1" applyAlignment="1">
      <alignment horizontal="center" vertical="center"/>
    </xf>
    <xf numFmtId="0" fontId="73" fillId="28" borderId="26" xfId="0" applyFont="1" applyFill="1" applyBorder="1" applyAlignment="1">
      <alignment horizontal="center" vertical="center"/>
    </xf>
    <xf numFmtId="0" fontId="73" fillId="28" borderId="36" xfId="0" applyFont="1" applyFill="1" applyBorder="1" applyAlignment="1">
      <alignment horizontal="center" vertical="center"/>
    </xf>
    <xf numFmtId="0" fontId="73" fillId="28" borderId="41" xfId="0" applyFont="1" applyFill="1" applyBorder="1" applyAlignment="1">
      <alignment horizontal="center" vertical="center"/>
    </xf>
    <xf numFmtId="1" fontId="73" fillId="28" borderId="26" xfId="0" applyNumberFormat="1" applyFont="1" applyFill="1" applyBorder="1" applyAlignment="1">
      <alignment horizontal="right" vertical="center" indent="1"/>
    </xf>
    <xf numFmtId="1" fontId="73" fillId="28" borderId="36" xfId="0" applyNumberFormat="1" applyFont="1" applyFill="1" applyBorder="1" applyAlignment="1">
      <alignment horizontal="right" vertical="center" indent="1"/>
    </xf>
    <xf numFmtId="1" fontId="73" fillId="28" borderId="41" xfId="0" applyNumberFormat="1" applyFont="1" applyFill="1" applyBorder="1" applyAlignment="1">
      <alignment horizontal="right" vertical="center" indent="1"/>
    </xf>
    <xf numFmtId="3" fontId="73" fillId="28" borderId="26" xfId="0" applyNumberFormat="1" applyFont="1" applyFill="1" applyBorder="1" applyAlignment="1">
      <alignment horizontal="right" vertical="center" indent="1"/>
    </xf>
    <xf numFmtId="3" fontId="73" fillId="28" borderId="36" xfId="0" applyNumberFormat="1" applyFont="1" applyFill="1" applyBorder="1" applyAlignment="1">
      <alignment horizontal="right" vertical="center" indent="1"/>
    </xf>
    <xf numFmtId="3" fontId="73" fillId="28" borderId="41" xfId="0" applyNumberFormat="1" applyFont="1" applyFill="1" applyBorder="1" applyAlignment="1">
      <alignment horizontal="right" vertical="center" indent="1"/>
    </xf>
    <xf numFmtId="0" fontId="80" fillId="0" borderId="24" xfId="48" applyFont="1" applyBorder="1" applyAlignment="1">
      <alignment vertical="center"/>
    </xf>
    <xf numFmtId="0" fontId="81" fillId="0" borderId="12" xfId="0" applyFont="1" applyBorder="1" applyAlignment="1">
      <alignment wrapText="1"/>
    </xf>
    <xf numFmtId="0" fontId="81" fillId="0" borderId="0" xfId="0" applyFont="1" applyAlignment="1">
      <alignment horizontal="left" wrapText="1"/>
    </xf>
    <xf numFmtId="3" fontId="129" fillId="0" borderId="11" xfId="0" applyNumberFormat="1" applyFont="1" applyBorder="1" applyAlignment="1">
      <alignment horizontal="right" vertical="center" indent="1"/>
    </xf>
    <xf numFmtId="3" fontId="129" fillId="0" borderId="12" xfId="0" applyNumberFormat="1" applyFont="1" applyBorder="1" applyAlignment="1">
      <alignment horizontal="right" vertical="center" indent="1"/>
    </xf>
    <xf numFmtId="3" fontId="129" fillId="0" borderId="15" xfId="0" applyNumberFormat="1" applyFont="1" applyBorder="1" applyAlignment="1">
      <alignment horizontal="right" vertical="center" indent="1"/>
    </xf>
    <xf numFmtId="3" fontId="129" fillId="0" borderId="22" xfId="0" applyNumberFormat="1" applyFont="1" applyBorder="1" applyAlignment="1">
      <alignment horizontal="right" vertical="center" indent="1"/>
    </xf>
    <xf numFmtId="0" fontId="118" fillId="0" borderId="0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70" fillId="0" borderId="0" xfId="57" applyNumberFormat="1" applyFont="1"/>
    <xf numFmtId="167" fontId="0" fillId="0" borderId="0" xfId="0" applyNumberFormat="1"/>
    <xf numFmtId="9" fontId="0" fillId="0" borderId="0" xfId="57" applyFont="1"/>
    <xf numFmtId="0" fontId="69" fillId="0" borderId="0" xfId="73" applyAlignment="1">
      <alignment horizontal="center" vertical="center"/>
    </xf>
    <xf numFmtId="0" fontId="75" fillId="0" borderId="0" xfId="73" applyFont="1" applyAlignment="1">
      <alignment horizontal="left" vertical="center"/>
    </xf>
    <xf numFmtId="0" fontId="149" fillId="0" borderId="14" xfId="0" applyFont="1" applyBorder="1"/>
    <xf numFmtId="0" fontId="128" fillId="0" borderId="14" xfId="0" applyFont="1" applyFill="1" applyBorder="1" applyAlignment="1">
      <alignment horizontal="center" vertical="top" wrapText="1"/>
    </xf>
    <xf numFmtId="0" fontId="128" fillId="0" borderId="15" xfId="0" applyFont="1" applyBorder="1" applyAlignment="1">
      <alignment horizontal="center"/>
    </xf>
    <xf numFmtId="3" fontId="129" fillId="0" borderId="21" xfId="0" applyNumberFormat="1" applyFont="1" applyBorder="1" applyAlignment="1">
      <alignment horizontal="right" indent="1"/>
    </xf>
    <xf numFmtId="0" fontId="128" fillId="0" borderId="17" xfId="0" applyFont="1" applyBorder="1" applyAlignment="1">
      <alignment horizontal="center"/>
    </xf>
    <xf numFmtId="0" fontId="129" fillId="0" borderId="0" xfId="0" applyFont="1" applyAlignment="1">
      <alignment horizontal="center"/>
    </xf>
    <xf numFmtId="3" fontId="129" fillId="0" borderId="19" xfId="0" applyNumberFormat="1" applyFont="1" applyBorder="1" applyAlignment="1">
      <alignment horizontal="right" indent="1"/>
    </xf>
    <xf numFmtId="3" fontId="129" fillId="0" borderId="23" xfId="0" applyNumberFormat="1" applyFont="1" applyBorder="1" applyAlignment="1">
      <alignment horizontal="right" indent="1"/>
    </xf>
    <xf numFmtId="0" fontId="128" fillId="0" borderId="19" xfId="0" applyFont="1" applyBorder="1" applyAlignment="1">
      <alignment horizontal="center"/>
    </xf>
    <xf numFmtId="0" fontId="128" fillId="0" borderId="21" xfId="0" applyFont="1" applyBorder="1" applyAlignment="1">
      <alignment horizontal="center"/>
    </xf>
    <xf numFmtId="0" fontId="128" fillId="0" borderId="12" xfId="0" applyFont="1" applyBorder="1" applyAlignment="1">
      <alignment horizontal="center"/>
    </xf>
    <xf numFmtId="3" fontId="128" fillId="0" borderId="19" xfId="0" applyNumberFormat="1" applyFont="1" applyBorder="1" applyAlignment="1">
      <alignment horizontal="right" indent="1"/>
    </xf>
    <xf numFmtId="0" fontId="128" fillId="0" borderId="0" xfId="0" applyFont="1" applyBorder="1" applyAlignment="1">
      <alignment horizontal="center"/>
    </xf>
    <xf numFmtId="3" fontId="128" fillId="0" borderId="21" xfId="0" applyNumberFormat="1" applyFont="1" applyBorder="1" applyAlignment="1">
      <alignment horizontal="right" indent="1"/>
    </xf>
    <xf numFmtId="0" fontId="128" fillId="0" borderId="24" xfId="0" applyFont="1" applyBorder="1" applyAlignment="1">
      <alignment horizontal="center"/>
    </xf>
    <xf numFmtId="3" fontId="128" fillId="0" borderId="23" xfId="0" applyNumberFormat="1" applyFont="1" applyBorder="1" applyAlignment="1">
      <alignment horizontal="right" indent="1"/>
    </xf>
    <xf numFmtId="3" fontId="129" fillId="0" borderId="12" xfId="66" applyNumberFormat="1" applyFont="1" applyFill="1" applyBorder="1" applyAlignment="1">
      <alignment horizontal="right" vertical="center" indent="1"/>
    </xf>
    <xf numFmtId="3" fontId="129" fillId="0" borderId="11" xfId="66" applyNumberFormat="1" applyFont="1" applyFill="1" applyBorder="1" applyAlignment="1">
      <alignment horizontal="right" vertical="center" indent="1"/>
    </xf>
    <xf numFmtId="3" fontId="129" fillId="0" borderId="15" xfId="66" applyNumberFormat="1" applyFont="1" applyFill="1" applyBorder="1" applyAlignment="1">
      <alignment horizontal="right" vertical="center" indent="1"/>
    </xf>
    <xf numFmtId="3" fontId="129" fillId="0" borderId="0" xfId="66" applyNumberFormat="1" applyFont="1" applyFill="1" applyBorder="1" applyAlignment="1">
      <alignment horizontal="right" vertical="center" indent="1"/>
    </xf>
    <xf numFmtId="3" fontId="129" fillId="0" borderId="16" xfId="66" applyNumberFormat="1" applyFont="1" applyFill="1" applyBorder="1" applyAlignment="1">
      <alignment horizontal="right" vertical="center" indent="1"/>
    </xf>
    <xf numFmtId="3" fontId="129" fillId="0" borderId="17" xfId="66" applyNumberFormat="1" applyFont="1" applyFill="1" applyBorder="1" applyAlignment="1">
      <alignment horizontal="right" vertical="center" indent="1"/>
    </xf>
    <xf numFmtId="3" fontId="129" fillId="0" borderId="24" xfId="66" applyNumberFormat="1" applyFont="1" applyFill="1" applyBorder="1" applyAlignment="1">
      <alignment horizontal="right" vertical="center" indent="1"/>
    </xf>
    <xf numFmtId="3" fontId="129" fillId="0" borderId="20" xfId="66" applyNumberFormat="1" applyFont="1" applyFill="1" applyBorder="1" applyAlignment="1">
      <alignment horizontal="right" vertical="center" indent="1"/>
    </xf>
    <xf numFmtId="3" fontId="129" fillId="0" borderId="22" xfId="66" applyNumberFormat="1" applyFont="1" applyFill="1" applyBorder="1" applyAlignment="1">
      <alignment horizontal="right" vertical="center" indent="1"/>
    </xf>
    <xf numFmtId="0" fontId="129" fillId="0" borderId="0" xfId="0" applyFont="1" applyFill="1" applyAlignment="1">
      <alignment vertical="center"/>
    </xf>
    <xf numFmtId="167" fontId="68" fillId="0" borderId="12" xfId="67" applyNumberFormat="1" applyFont="1" applyFill="1" applyBorder="1" applyAlignment="1">
      <alignment vertical="center"/>
    </xf>
    <xf numFmtId="167" fontId="132" fillId="0" borderId="15" xfId="67" applyNumberFormat="1" applyFont="1" applyFill="1" applyBorder="1" applyAlignment="1">
      <alignment vertical="center"/>
    </xf>
    <xf numFmtId="167" fontId="68" fillId="0" borderId="12" xfId="68" applyNumberFormat="1" applyFont="1" applyFill="1" applyBorder="1" applyAlignment="1">
      <alignment vertical="center"/>
    </xf>
    <xf numFmtId="167" fontId="132" fillId="0" borderId="15" xfId="68" applyNumberFormat="1" applyFont="1" applyFill="1" applyBorder="1" applyAlignment="1">
      <alignment vertical="center"/>
    </xf>
    <xf numFmtId="167" fontId="68" fillId="0" borderId="11" xfId="68" applyNumberFormat="1" applyFont="1" applyFill="1" applyBorder="1" applyAlignment="1">
      <alignment vertical="center"/>
    </xf>
    <xf numFmtId="167" fontId="68" fillId="0" borderId="0" xfId="67" applyNumberFormat="1" applyFont="1" applyFill="1" applyBorder="1" applyAlignment="1">
      <alignment vertical="center"/>
    </xf>
    <xf numFmtId="167" fontId="132" fillId="0" borderId="17" xfId="67" applyNumberFormat="1" applyFont="1" applyFill="1" applyBorder="1" applyAlignment="1">
      <alignment vertical="center"/>
    </xf>
    <xf numFmtId="167" fontId="68" fillId="0" borderId="0" xfId="68" applyNumberFormat="1" applyFont="1" applyFill="1" applyBorder="1" applyAlignment="1">
      <alignment vertical="center"/>
    </xf>
    <xf numFmtId="167" fontId="132" fillId="0" borderId="17" xfId="68" applyNumberFormat="1" applyFont="1" applyFill="1" applyBorder="1" applyAlignment="1">
      <alignment vertical="center"/>
    </xf>
    <xf numFmtId="167" fontId="68" fillId="0" borderId="16" xfId="68" applyNumberFormat="1" applyFont="1" applyFill="1" applyBorder="1" applyAlignment="1">
      <alignment vertical="center"/>
    </xf>
    <xf numFmtId="167" fontId="129" fillId="0" borderId="0" xfId="0" applyNumberFormat="1" applyFont="1" applyFill="1" applyAlignment="1">
      <alignment vertical="center"/>
    </xf>
    <xf numFmtId="167" fontId="68" fillId="0" borderId="11" xfId="67" applyNumberFormat="1" applyFont="1" applyFill="1" applyBorder="1" applyAlignment="1">
      <alignment vertical="center"/>
    </xf>
    <xf numFmtId="167" fontId="132" fillId="0" borderId="12" xfId="68" applyNumberFormat="1" applyFont="1" applyFill="1" applyBorder="1" applyAlignment="1">
      <alignment vertical="center"/>
    </xf>
    <xf numFmtId="167" fontId="68" fillId="0" borderId="16" xfId="67" applyNumberFormat="1" applyFont="1" applyFill="1" applyBorder="1" applyAlignment="1">
      <alignment vertical="center"/>
    </xf>
    <xf numFmtId="167" fontId="132" fillId="0" borderId="0" xfId="68" applyNumberFormat="1" applyFont="1" applyFill="1" applyBorder="1" applyAlignment="1">
      <alignment vertical="center"/>
    </xf>
    <xf numFmtId="167" fontId="132" fillId="0" borderId="12" xfId="67" applyNumberFormat="1" applyFont="1" applyFill="1" applyBorder="1" applyAlignment="1">
      <alignment vertical="center"/>
    </xf>
    <xf numFmtId="167" fontId="132" fillId="0" borderId="0" xfId="67" applyNumberFormat="1" applyFont="1" applyFill="1" applyBorder="1" applyAlignment="1">
      <alignment vertical="center"/>
    </xf>
    <xf numFmtId="0" fontId="129" fillId="0" borderId="0" xfId="66" applyFont="1" applyFill="1" applyBorder="1" applyAlignment="1">
      <alignment vertical="center"/>
    </xf>
    <xf numFmtId="0" fontId="129" fillId="0" borderId="19" xfId="66" applyFont="1" applyFill="1" applyBorder="1" applyAlignment="1">
      <alignment horizontal="center" vertical="center"/>
    </xf>
    <xf numFmtId="3" fontId="128" fillId="0" borderId="12" xfId="66" applyNumberFormat="1" applyFont="1" applyFill="1" applyBorder="1" applyAlignment="1">
      <alignment horizontal="right" vertical="center" indent="1"/>
    </xf>
    <xf numFmtId="3" fontId="128" fillId="0" borderId="15" xfId="66" applyNumberFormat="1" applyFont="1" applyFill="1" applyBorder="1" applyAlignment="1">
      <alignment horizontal="right" vertical="center" indent="1"/>
    </xf>
    <xf numFmtId="3" fontId="129" fillId="0" borderId="11" xfId="66" applyNumberFormat="1" applyFont="1" applyFill="1" applyBorder="1" applyAlignment="1">
      <alignment vertical="center"/>
    </xf>
    <xf numFmtId="3" fontId="129" fillId="0" borderId="12" xfId="66" applyNumberFormat="1" applyFont="1" applyFill="1" applyBorder="1" applyAlignment="1">
      <alignment vertical="center"/>
    </xf>
    <xf numFmtId="3" fontId="129" fillId="0" borderId="15" xfId="66" applyNumberFormat="1" applyFont="1" applyFill="1" applyBorder="1" applyAlignment="1">
      <alignment vertical="center"/>
    </xf>
    <xf numFmtId="0" fontId="129" fillId="0" borderId="21" xfId="66" applyFont="1" applyFill="1" applyBorder="1" applyAlignment="1">
      <alignment horizontal="center" vertical="center"/>
    </xf>
    <xf numFmtId="3" fontId="128" fillId="0" borderId="0" xfId="66" applyNumberFormat="1" applyFont="1" applyFill="1" applyBorder="1" applyAlignment="1">
      <alignment horizontal="right" vertical="center" indent="1"/>
    </xf>
    <xf numFmtId="3" fontId="128" fillId="0" borderId="17" xfId="66" applyNumberFormat="1" applyFont="1" applyFill="1" applyBorder="1" applyAlignment="1">
      <alignment horizontal="right" vertical="center" indent="1"/>
    </xf>
    <xf numFmtId="3" fontId="129" fillId="0" borderId="16" xfId="66" applyNumberFormat="1" applyFont="1" applyFill="1" applyBorder="1" applyAlignment="1">
      <alignment vertical="center"/>
    </xf>
    <xf numFmtId="3" fontId="129" fillId="0" borderId="0" xfId="66" applyNumberFormat="1" applyFont="1" applyFill="1" applyBorder="1" applyAlignment="1">
      <alignment vertical="center"/>
    </xf>
    <xf numFmtId="3" fontId="129" fillId="0" borderId="17" xfId="66" applyNumberFormat="1" applyFont="1" applyFill="1" applyBorder="1" applyAlignment="1">
      <alignment vertical="center"/>
    </xf>
    <xf numFmtId="0" fontId="129" fillId="0" borderId="23" xfId="66" applyFont="1" applyFill="1" applyBorder="1" applyAlignment="1">
      <alignment horizontal="center" vertical="center"/>
    </xf>
    <xf numFmtId="3" fontId="128" fillId="0" borderId="24" xfId="66" applyNumberFormat="1" applyFont="1" applyFill="1" applyBorder="1" applyAlignment="1">
      <alignment horizontal="right" vertical="center" indent="1"/>
    </xf>
    <xf numFmtId="3" fontId="128" fillId="0" borderId="22" xfId="66" applyNumberFormat="1" applyFont="1" applyFill="1" applyBorder="1" applyAlignment="1">
      <alignment horizontal="right" vertical="center" indent="1"/>
    </xf>
    <xf numFmtId="3" fontId="129" fillId="0" borderId="20" xfId="66" applyNumberFormat="1" applyFont="1" applyFill="1" applyBorder="1" applyAlignment="1">
      <alignment vertical="center"/>
    </xf>
    <xf numFmtId="3" fontId="129" fillId="0" borderId="24" xfId="66" applyNumberFormat="1" applyFont="1" applyFill="1" applyBorder="1" applyAlignment="1">
      <alignment vertical="center"/>
    </xf>
    <xf numFmtId="3" fontId="129" fillId="0" borderId="22" xfId="66" applyNumberFormat="1" applyFont="1" applyFill="1" applyBorder="1" applyAlignment="1">
      <alignment vertical="center"/>
    </xf>
    <xf numFmtId="0" fontId="129" fillId="0" borderId="0" xfId="52" applyFont="1" applyFill="1" applyBorder="1" applyAlignment="1">
      <alignment horizontal="left" vertical="center"/>
    </xf>
    <xf numFmtId="0" fontId="129" fillId="0" borderId="17" xfId="66" applyFont="1" applyFill="1" applyBorder="1" applyAlignment="1">
      <alignment horizontal="center" vertical="center"/>
    </xf>
    <xf numFmtId="3" fontId="137" fillId="0" borderId="0" xfId="53" applyNumberFormat="1" applyFont="1" applyFill="1" applyBorder="1" applyAlignment="1">
      <alignment horizontal="right" vertical="center" indent="1"/>
    </xf>
    <xf numFmtId="0" fontId="129" fillId="0" borderId="0" xfId="66" applyFont="1" applyFill="1" applyBorder="1" applyAlignment="1">
      <alignment horizontal="center" vertical="center"/>
    </xf>
    <xf numFmtId="0" fontId="72" fillId="0" borderId="0" xfId="66" applyFont="1" applyFill="1" applyBorder="1" applyAlignment="1">
      <alignment horizontal="center" vertical="center"/>
    </xf>
    <xf numFmtId="3" fontId="74" fillId="0" borderId="0" xfId="66" applyNumberFormat="1" applyFont="1" applyFill="1" applyBorder="1" applyAlignment="1">
      <alignment vertical="center"/>
    </xf>
    <xf numFmtId="0" fontId="82" fillId="0" borderId="0" xfId="66" applyFont="1" applyAlignment="1">
      <alignment horizontal="left" vertical="center"/>
    </xf>
    <xf numFmtId="3" fontId="70" fillId="0" borderId="20" xfId="66" applyNumberFormat="1" applyFont="1" applyBorder="1" applyAlignment="1">
      <alignment horizontal="right" vertical="center" indent="1"/>
    </xf>
    <xf numFmtId="1" fontId="73" fillId="0" borderId="0" xfId="66" applyNumberFormat="1" applyFont="1" applyAlignment="1">
      <alignment vertical="center"/>
    </xf>
    <xf numFmtId="3" fontId="70" fillId="0" borderId="11" xfId="66" applyNumberFormat="1" applyFont="1" applyFill="1" applyBorder="1" applyAlignment="1">
      <alignment horizontal="right" vertical="center" indent="1"/>
    </xf>
    <xf numFmtId="3" fontId="70" fillId="0" borderId="15" xfId="66" applyNumberFormat="1" applyFont="1" applyFill="1" applyBorder="1" applyAlignment="1">
      <alignment horizontal="right" vertical="center" indent="1"/>
    </xf>
    <xf numFmtId="3" fontId="70" fillId="0" borderId="16" xfId="66" applyNumberFormat="1" applyFont="1" applyFill="1" applyBorder="1" applyAlignment="1">
      <alignment horizontal="right" vertical="center" indent="1"/>
    </xf>
    <xf numFmtId="3" fontId="70" fillId="0" borderId="17" xfId="66" applyNumberFormat="1" applyFont="1" applyFill="1" applyBorder="1" applyAlignment="1">
      <alignment horizontal="right" vertical="center" indent="1"/>
    </xf>
    <xf numFmtId="3" fontId="70" fillId="0" borderId="0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17" xfId="66" applyNumberFormat="1" applyFont="1" applyFill="1" applyBorder="1" applyAlignment="1" applyProtection="1">
      <alignment horizontal="right" vertical="center" indent="1"/>
    </xf>
    <xf numFmtId="3" fontId="70" fillId="0" borderId="16" xfId="66" applyNumberFormat="1" applyFont="1" applyFill="1" applyBorder="1" applyAlignment="1" applyProtection="1">
      <alignment horizontal="right" vertical="center" indent="1"/>
    </xf>
    <xf numFmtId="3" fontId="70" fillId="0" borderId="16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20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24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22" xfId="66" applyNumberFormat="1" applyFont="1" applyFill="1" applyBorder="1" applyAlignment="1" applyProtection="1">
      <alignment horizontal="right" vertical="center" indent="1"/>
    </xf>
    <xf numFmtId="3" fontId="70" fillId="0" borderId="20" xfId="66" applyNumberFormat="1" applyFont="1" applyFill="1" applyBorder="1" applyAlignment="1" applyProtection="1">
      <alignment horizontal="right" vertical="center" indent="1"/>
    </xf>
    <xf numFmtId="0" fontId="75" fillId="0" borderId="0" xfId="66" applyFont="1" applyFill="1" applyBorder="1"/>
    <xf numFmtId="3" fontId="70" fillId="0" borderId="11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12" xfId="66" applyNumberFormat="1" applyFont="1" applyFill="1" applyBorder="1" applyAlignment="1" applyProtection="1">
      <alignment horizontal="right" vertical="center" indent="1"/>
      <protection locked="0"/>
    </xf>
    <xf numFmtId="3" fontId="70" fillId="0" borderId="15" xfId="66" applyNumberFormat="1" applyFont="1" applyFill="1" applyBorder="1" applyAlignment="1" applyProtection="1">
      <alignment horizontal="right" vertical="center" indent="1"/>
    </xf>
    <xf numFmtId="3" fontId="70" fillId="0" borderId="11" xfId="66" applyNumberFormat="1" applyFont="1" applyFill="1" applyBorder="1" applyAlignment="1" applyProtection="1">
      <alignment horizontal="right" vertical="center" indent="1"/>
    </xf>
    <xf numFmtId="0" fontId="70" fillId="0" borderId="0" xfId="66" applyFont="1" applyFill="1" applyBorder="1"/>
    <xf numFmtId="3" fontId="129" fillId="0" borderId="30" xfId="66" applyNumberFormat="1" applyFont="1" applyFill="1" applyBorder="1" applyAlignment="1">
      <alignment horizontal="right" vertical="center" indent="1"/>
    </xf>
    <xf numFmtId="3" fontId="129" fillId="0" borderId="31" xfId="66" applyNumberFormat="1" applyFont="1" applyFill="1" applyBorder="1" applyAlignment="1">
      <alignment horizontal="right" vertical="center" indent="1"/>
    </xf>
    <xf numFmtId="0" fontId="74" fillId="0" borderId="0" xfId="66" applyFont="1" applyFill="1" applyBorder="1" applyAlignment="1">
      <alignment horizontal="right" indent="1"/>
    </xf>
    <xf numFmtId="3" fontId="129" fillId="0" borderId="32" xfId="66" applyNumberFormat="1" applyFont="1" applyFill="1" applyBorder="1" applyAlignment="1">
      <alignment horizontal="right" vertical="center" indent="1"/>
    </xf>
    <xf numFmtId="0" fontId="125" fillId="0" borderId="0" xfId="0" applyFont="1" applyAlignment="1">
      <alignment horizontal="center"/>
    </xf>
    <xf numFmtId="3" fontId="73" fillId="0" borderId="0" xfId="0" applyNumberFormat="1" applyFont="1" applyAlignment="1">
      <alignment vertical="center"/>
    </xf>
    <xf numFmtId="0" fontId="81" fillId="0" borderId="0" xfId="66" applyFont="1" applyBorder="1" applyAlignment="1">
      <alignment vertical="center"/>
    </xf>
    <xf numFmtId="0" fontId="70" fillId="0" borderId="17" xfId="52" applyFont="1" applyFill="1" applyBorder="1" applyAlignment="1">
      <alignment horizontal="left" vertical="center"/>
    </xf>
    <xf numFmtId="0" fontId="70" fillId="0" borderId="15" xfId="52" applyFont="1" applyFill="1" applyBorder="1" applyAlignment="1">
      <alignment horizontal="left" vertical="center"/>
    </xf>
    <xf numFmtId="0" fontId="70" fillId="0" borderId="22" xfId="52" applyFont="1" applyFill="1" applyBorder="1" applyAlignment="1">
      <alignment horizontal="left" vertical="center"/>
    </xf>
    <xf numFmtId="0" fontId="70" fillId="0" borderId="19" xfId="52" applyFont="1" applyFill="1" applyBorder="1" applyAlignment="1">
      <alignment horizontal="left" vertical="center"/>
    </xf>
    <xf numFmtId="0" fontId="70" fillId="0" borderId="21" xfId="52" applyFont="1" applyFill="1" applyBorder="1" applyAlignment="1">
      <alignment horizontal="left" vertical="center"/>
    </xf>
    <xf numFmtId="0" fontId="109" fillId="0" borderId="24" xfId="66" applyFont="1" applyBorder="1" applyAlignment="1">
      <alignment vertical="center"/>
    </xf>
    <xf numFmtId="3" fontId="128" fillId="23" borderId="18" xfId="0" applyNumberFormat="1" applyFont="1" applyFill="1" applyBorder="1" applyAlignment="1">
      <alignment horizontal="right" vertical="center" wrapText="1" indent="1"/>
    </xf>
    <xf numFmtId="0" fontId="80" fillId="0" borderId="0" xfId="0" applyFont="1" applyAlignment="1">
      <alignment horizontal="center"/>
    </xf>
    <xf numFmtId="1" fontId="73" fillId="23" borderId="18" xfId="50" applyNumberFormat="1" applyFont="1" applyFill="1" applyBorder="1" applyAlignment="1">
      <alignment horizontal="center" vertical="center" wrapText="1"/>
    </xf>
    <xf numFmtId="0" fontId="130" fillId="0" borderId="12" xfId="66" applyFont="1" applyBorder="1" applyAlignment="1">
      <alignment horizontal="left" vertical="center"/>
    </xf>
    <xf numFmtId="0" fontId="72" fillId="0" borderId="0" xfId="66" applyFont="1" applyFill="1" applyBorder="1" applyAlignment="1">
      <alignment horizontal="center" vertical="center"/>
    </xf>
    <xf numFmtId="0" fontId="82" fillId="0" borderId="0" xfId="66" applyFont="1" applyAlignment="1">
      <alignment vertical="center"/>
    </xf>
    <xf numFmtId="0" fontId="128" fillId="23" borderId="18" xfId="0" applyFont="1" applyFill="1" applyBorder="1" applyAlignment="1">
      <alignment horizontal="center" vertical="center" wrapText="1"/>
    </xf>
    <xf numFmtId="0" fontId="128" fillId="23" borderId="13" xfId="66" applyFont="1" applyFill="1" applyBorder="1" applyAlignment="1">
      <alignment horizontal="center" vertical="center" wrapText="1"/>
    </xf>
    <xf numFmtId="0" fontId="128" fillId="23" borderId="10" xfId="66" applyFont="1" applyFill="1" applyBorder="1" applyAlignment="1">
      <alignment horizontal="center" vertical="center" wrapText="1"/>
    </xf>
    <xf numFmtId="3" fontId="150" fillId="23" borderId="13" xfId="53" applyNumberFormat="1" applyFont="1" applyFill="1" applyBorder="1" applyAlignment="1">
      <alignment horizontal="right" vertical="center" indent="1"/>
    </xf>
    <xf numFmtId="0" fontId="151" fillId="0" borderId="0" xfId="66" applyFont="1" applyAlignment="1">
      <alignment vertical="center"/>
    </xf>
    <xf numFmtId="0" fontId="151" fillId="0" borderId="0" xfId="66" applyFont="1" applyAlignment="1">
      <alignment horizontal="left" vertical="center"/>
    </xf>
    <xf numFmtId="1" fontId="128" fillId="23" borderId="10" xfId="50" applyNumberFormat="1" applyFont="1" applyFill="1" applyBorder="1" applyAlignment="1">
      <alignment horizontal="center" vertical="center" wrapText="1"/>
    </xf>
    <xf numFmtId="0" fontId="131" fillId="0" borderId="0" xfId="66" applyFont="1" applyAlignment="1">
      <alignment vertical="center"/>
    </xf>
    <xf numFmtId="0" fontId="128" fillId="23" borderId="18" xfId="66" applyFont="1" applyFill="1" applyBorder="1" applyAlignment="1">
      <alignment horizontal="center" vertical="center"/>
    </xf>
    <xf numFmtId="3" fontId="128" fillId="23" borderId="13" xfId="66" applyNumberFormat="1" applyFont="1" applyFill="1" applyBorder="1" applyAlignment="1">
      <alignment horizontal="right" vertical="center" indent="1"/>
    </xf>
    <xf numFmtId="3" fontId="128" fillId="23" borderId="14" xfId="66" applyNumberFormat="1" applyFont="1" applyFill="1" applyBorder="1" applyAlignment="1">
      <alignment horizontal="right" vertical="center" indent="1"/>
    </xf>
    <xf numFmtId="3" fontId="128" fillId="23" borderId="10" xfId="66" applyNumberFormat="1" applyFont="1" applyFill="1" applyBorder="1" applyAlignment="1">
      <alignment horizontal="right" vertical="center" indent="1"/>
    </xf>
    <xf numFmtId="0" fontId="128" fillId="23" borderId="32" xfId="66" applyFont="1" applyFill="1" applyBorder="1" applyAlignment="1">
      <alignment horizontal="center" vertical="center"/>
    </xf>
    <xf numFmtId="3" fontId="128" fillId="23" borderId="27" xfId="66" applyNumberFormat="1" applyFont="1" applyFill="1" applyBorder="1" applyAlignment="1">
      <alignment horizontal="right" vertical="center" indent="1"/>
    </xf>
    <xf numFmtId="3" fontId="128" fillId="23" borderId="37" xfId="66" applyNumberFormat="1" applyFont="1" applyFill="1" applyBorder="1" applyAlignment="1">
      <alignment horizontal="right" vertical="center" indent="1"/>
    </xf>
    <xf numFmtId="3" fontId="128" fillId="23" borderId="42" xfId="66" applyNumberFormat="1" applyFont="1" applyFill="1" applyBorder="1" applyAlignment="1">
      <alignment horizontal="right" vertical="center" indent="1"/>
    </xf>
    <xf numFmtId="0" fontId="152" fillId="0" borderId="0" xfId="66" applyFont="1" applyAlignment="1">
      <alignment horizontal="left"/>
    </xf>
    <xf numFmtId="0" fontId="129" fillId="0" borderId="0" xfId="66" applyFont="1" applyFill="1" applyBorder="1"/>
    <xf numFmtId="0" fontId="128" fillId="23" borderId="23" xfId="66" applyFont="1" applyFill="1" applyBorder="1" applyAlignment="1">
      <alignment horizontal="center" vertical="center"/>
    </xf>
    <xf numFmtId="3" fontId="128" fillId="23" borderId="20" xfId="66" applyNumberFormat="1" applyFont="1" applyFill="1" applyBorder="1" applyAlignment="1">
      <alignment horizontal="right" vertical="center" indent="1"/>
    </xf>
    <xf numFmtId="3" fontId="128" fillId="23" borderId="24" xfId="66" applyNumberFormat="1" applyFont="1" applyFill="1" applyBorder="1" applyAlignment="1">
      <alignment horizontal="right" vertical="center" indent="1"/>
    </xf>
    <xf numFmtId="3" fontId="128" fillId="23" borderId="22" xfId="66" applyNumberFormat="1" applyFont="1" applyFill="1" applyBorder="1" applyAlignment="1">
      <alignment horizontal="right" vertical="center" indent="1"/>
    </xf>
    <xf numFmtId="0" fontId="131" fillId="0" borderId="0" xfId="66" applyFont="1" applyBorder="1" applyAlignment="1">
      <alignment vertical="center"/>
    </xf>
    <xf numFmtId="0" fontId="108" fillId="0" borderId="0" xfId="66" applyFont="1" applyAlignment="1">
      <alignment vertical="center"/>
    </xf>
    <xf numFmtId="0" fontId="113" fillId="0" borderId="24" xfId="66" applyFont="1" applyBorder="1" applyAlignment="1">
      <alignment horizontal="center" vertical="center"/>
    </xf>
    <xf numFmtId="0" fontId="113" fillId="0" borderId="0" xfId="66" applyFont="1" applyBorder="1" applyAlignment="1">
      <alignment horizontal="center" vertical="center"/>
    </xf>
    <xf numFmtId="3" fontId="128" fillId="23" borderId="13" xfId="66" applyNumberFormat="1" applyFont="1" applyFill="1" applyBorder="1" applyAlignment="1">
      <alignment vertical="center"/>
    </xf>
    <xf numFmtId="3" fontId="128" fillId="23" borderId="14" xfId="66" applyNumberFormat="1" applyFont="1" applyFill="1" applyBorder="1" applyAlignment="1">
      <alignment vertical="center"/>
    </xf>
    <xf numFmtId="3" fontId="128" fillId="23" borderId="10" xfId="66" applyNumberFormat="1" applyFont="1" applyFill="1" applyBorder="1" applyAlignment="1">
      <alignment vertical="center"/>
    </xf>
    <xf numFmtId="3" fontId="128" fillId="0" borderId="38" xfId="66" applyNumberFormat="1" applyFont="1" applyFill="1" applyBorder="1" applyAlignment="1">
      <alignment horizontal="right" vertical="center" indent="1"/>
    </xf>
    <xf numFmtId="3" fontId="128" fillId="0" borderId="43" xfId="66" applyNumberFormat="1" applyFont="1" applyFill="1" applyBorder="1" applyAlignment="1">
      <alignment horizontal="right" vertical="center" indent="1"/>
    </xf>
    <xf numFmtId="0" fontId="128" fillId="23" borderId="13" xfId="0" applyFont="1" applyFill="1" applyBorder="1" applyAlignment="1">
      <alignment horizontal="center" vertical="center" wrapText="1"/>
    </xf>
    <xf numFmtId="3" fontId="150" fillId="23" borderId="13" xfId="46" applyNumberFormat="1" applyFont="1" applyFill="1" applyBorder="1" applyAlignment="1">
      <alignment horizontal="right" wrapText="1" indent="1"/>
    </xf>
    <xf numFmtId="3" fontId="128" fillId="23" borderId="13" xfId="0" applyNumberFormat="1" applyFont="1" applyFill="1" applyBorder="1" applyAlignment="1">
      <alignment horizontal="right" vertical="center" indent="1"/>
    </xf>
    <xf numFmtId="3" fontId="128" fillId="23" borderId="14" xfId="0" applyNumberFormat="1" applyFont="1" applyFill="1" applyBorder="1" applyAlignment="1">
      <alignment horizontal="right" vertical="center" indent="1"/>
    </xf>
    <xf numFmtId="3" fontId="128" fillId="23" borderId="10" xfId="0" applyNumberFormat="1" applyFont="1" applyFill="1" applyBorder="1" applyAlignment="1">
      <alignment horizontal="right" vertical="center" indent="1"/>
    </xf>
    <xf numFmtId="0" fontId="128" fillId="23" borderId="14" xfId="0" applyFont="1" applyFill="1" applyBorder="1" applyAlignment="1">
      <alignment horizontal="center" vertical="center"/>
    </xf>
    <xf numFmtId="0" fontId="128" fillId="23" borderId="32" xfId="0" applyFont="1" applyFill="1" applyBorder="1" applyAlignment="1">
      <alignment horizontal="center" vertical="center"/>
    </xf>
    <xf numFmtId="3" fontId="128" fillId="23" borderId="27" xfId="0" applyNumberFormat="1" applyFont="1" applyFill="1" applyBorder="1" applyAlignment="1">
      <alignment horizontal="right" vertical="center" indent="1"/>
    </xf>
    <xf numFmtId="3" fontId="128" fillId="23" borderId="42" xfId="0" applyNumberFormat="1" applyFont="1" applyFill="1" applyBorder="1" applyAlignment="1">
      <alignment horizontal="right" vertical="center" indent="1"/>
    </xf>
    <xf numFmtId="0" fontId="73" fillId="23" borderId="18" xfId="0" applyFont="1" applyFill="1" applyBorder="1" applyAlignment="1">
      <alignment horizontal="center" vertical="center" wrapText="1"/>
    </xf>
    <xf numFmtId="3" fontId="101" fillId="0" borderId="16" xfId="53" applyNumberFormat="1" applyFont="1" applyFill="1" applyBorder="1" applyAlignment="1">
      <alignment horizontal="right" vertical="center" indent="1"/>
    </xf>
    <xf numFmtId="3" fontId="70" fillId="0" borderId="21" xfId="0" applyNumberFormat="1" applyFont="1" applyFill="1" applyBorder="1" applyAlignment="1">
      <alignment horizontal="right" vertical="center" indent="1"/>
    </xf>
    <xf numFmtId="3" fontId="101" fillId="0" borderId="17" xfId="53" applyNumberFormat="1" applyFont="1" applyFill="1" applyBorder="1" applyAlignment="1">
      <alignment horizontal="right" vertical="center" indent="1"/>
    </xf>
    <xf numFmtId="3" fontId="101" fillId="0" borderId="11" xfId="53" applyNumberFormat="1" applyFont="1" applyFill="1" applyBorder="1" applyAlignment="1">
      <alignment horizontal="right" vertical="center" indent="1"/>
    </xf>
    <xf numFmtId="3" fontId="70" fillId="0" borderId="19" xfId="0" applyNumberFormat="1" applyFont="1" applyFill="1" applyBorder="1" applyAlignment="1">
      <alignment horizontal="right" vertical="center" indent="1"/>
    </xf>
    <xf numFmtId="3" fontId="101" fillId="0" borderId="15" xfId="53" applyNumberFormat="1" applyFont="1" applyFill="1" applyBorder="1" applyAlignment="1">
      <alignment horizontal="right" vertical="center" indent="1"/>
    </xf>
    <xf numFmtId="3" fontId="101" fillId="0" borderId="20" xfId="53" applyNumberFormat="1" applyFont="1" applyFill="1" applyBorder="1" applyAlignment="1">
      <alignment horizontal="right" vertical="center" indent="1"/>
    </xf>
    <xf numFmtId="3" fontId="70" fillId="0" borderId="23" xfId="0" applyNumberFormat="1" applyFont="1" applyFill="1" applyBorder="1" applyAlignment="1">
      <alignment horizontal="right" vertical="center" indent="1"/>
    </xf>
    <xf numFmtId="3" fontId="101" fillId="0" borderId="22" xfId="53" applyNumberFormat="1" applyFont="1" applyFill="1" applyBorder="1" applyAlignment="1">
      <alignment horizontal="right" vertical="center" indent="1"/>
    </xf>
    <xf numFmtId="3" fontId="70" fillId="0" borderId="11" xfId="0" applyNumberFormat="1" applyFont="1" applyFill="1" applyBorder="1" applyAlignment="1">
      <alignment horizontal="right" vertical="center" indent="1"/>
    </xf>
    <xf numFmtId="3" fontId="70" fillId="0" borderId="15" xfId="0" applyNumberFormat="1" applyFont="1" applyFill="1" applyBorder="1" applyAlignment="1">
      <alignment horizontal="right" vertical="center" indent="1"/>
    </xf>
    <xf numFmtId="3" fontId="70" fillId="0" borderId="16" xfId="0" applyNumberFormat="1" applyFont="1" applyFill="1" applyBorder="1" applyAlignment="1">
      <alignment horizontal="right" vertical="center" indent="1"/>
    </xf>
    <xf numFmtId="3" fontId="70" fillId="0" borderId="17" xfId="0" applyNumberFormat="1" applyFont="1" applyFill="1" applyBorder="1" applyAlignment="1">
      <alignment horizontal="right" vertical="center" indent="1"/>
    </xf>
    <xf numFmtId="3" fontId="70" fillId="0" borderId="20" xfId="0" applyNumberFormat="1" applyFont="1" applyFill="1" applyBorder="1" applyAlignment="1">
      <alignment horizontal="right" vertical="center" indent="1"/>
    </xf>
    <xf numFmtId="3" fontId="70" fillId="0" borderId="22" xfId="0" applyNumberFormat="1" applyFont="1" applyFill="1" applyBorder="1" applyAlignment="1">
      <alignment horizontal="right" vertical="center" indent="1"/>
    </xf>
    <xf numFmtId="3" fontId="102" fillId="23" borderId="13" xfId="53" applyNumberFormat="1" applyFont="1" applyFill="1" applyBorder="1" applyAlignment="1">
      <alignment horizontal="right" vertical="center" indent="1"/>
    </xf>
    <xf numFmtId="3" fontId="102" fillId="23" borderId="18" xfId="53" applyNumberFormat="1" applyFont="1" applyFill="1" applyBorder="1" applyAlignment="1">
      <alignment horizontal="right" vertical="center" indent="1"/>
    </xf>
    <xf numFmtId="3" fontId="102" fillId="23" borderId="10" xfId="53" applyNumberFormat="1" applyFont="1" applyFill="1" applyBorder="1" applyAlignment="1">
      <alignment horizontal="right" vertical="center" indent="1"/>
    </xf>
    <xf numFmtId="3" fontId="129" fillId="0" borderId="11" xfId="0" applyNumberFormat="1" applyFont="1" applyFill="1" applyBorder="1" applyAlignment="1">
      <alignment horizontal="right" vertical="center" indent="1"/>
    </xf>
    <xf numFmtId="3" fontId="129" fillId="0" borderId="19" xfId="0" applyNumberFormat="1" applyFont="1" applyFill="1" applyBorder="1" applyAlignment="1">
      <alignment horizontal="right" vertical="center" indent="1"/>
    </xf>
    <xf numFmtId="3" fontId="129" fillId="0" borderId="15" xfId="0" applyNumberFormat="1" applyFont="1" applyFill="1" applyBorder="1" applyAlignment="1">
      <alignment horizontal="right" vertical="center" indent="1"/>
    </xf>
    <xf numFmtId="3" fontId="129" fillId="0" borderId="16" xfId="0" applyNumberFormat="1" applyFont="1" applyFill="1" applyBorder="1" applyAlignment="1">
      <alignment horizontal="right" vertical="center" indent="1"/>
    </xf>
    <xf numFmtId="3" fontId="129" fillId="0" borderId="21" xfId="0" applyNumberFormat="1" applyFont="1" applyFill="1" applyBorder="1" applyAlignment="1">
      <alignment horizontal="right" vertical="center" indent="1"/>
    </xf>
    <xf numFmtId="3" fontId="129" fillId="0" borderId="17" xfId="0" applyNumberFormat="1" applyFont="1" applyFill="1" applyBorder="1" applyAlignment="1">
      <alignment horizontal="right" vertical="center" indent="1"/>
    </xf>
    <xf numFmtId="0" fontId="73" fillId="23" borderId="13" xfId="0" applyFont="1" applyFill="1" applyBorder="1" applyAlignment="1">
      <alignment horizontal="center" vertical="center" wrapText="1"/>
    </xf>
    <xf numFmtId="0" fontId="73" fillId="23" borderId="10" xfId="0" applyFont="1" applyFill="1" applyBorder="1" applyAlignment="1">
      <alignment horizontal="center" vertical="center" wrapText="1"/>
    </xf>
    <xf numFmtId="3" fontId="129" fillId="0" borderId="11" xfId="0" applyNumberFormat="1" applyFont="1" applyFill="1" applyBorder="1" applyAlignment="1">
      <alignment horizontal="right" indent="1"/>
    </xf>
    <xf numFmtId="3" fontId="129" fillId="0" borderId="15" xfId="0" applyNumberFormat="1" applyFont="1" applyFill="1" applyBorder="1" applyAlignment="1">
      <alignment horizontal="right" indent="1"/>
    </xf>
    <xf numFmtId="3" fontId="129" fillId="0" borderId="16" xfId="0" applyNumberFormat="1" applyFont="1" applyFill="1" applyBorder="1" applyAlignment="1">
      <alignment horizontal="right" indent="1"/>
    </xf>
    <xf numFmtId="3" fontId="129" fillId="0" borderId="17" xfId="0" applyNumberFormat="1" applyFont="1" applyFill="1" applyBorder="1" applyAlignment="1">
      <alignment horizontal="right" indent="1"/>
    </xf>
    <xf numFmtId="0" fontId="110" fillId="0" borderId="0" xfId="66" applyFont="1" applyAlignment="1">
      <alignment horizontal="center" vertical="center"/>
    </xf>
    <xf numFmtId="0" fontId="76" fillId="23" borderId="13" xfId="66" applyFont="1" applyFill="1" applyBorder="1" applyAlignment="1">
      <alignment horizontal="center" vertical="center"/>
    </xf>
    <xf numFmtId="0" fontId="113" fillId="0" borderId="0" xfId="66" applyFont="1" applyAlignment="1">
      <alignment vertical="center"/>
    </xf>
    <xf numFmtId="0" fontId="72" fillId="0" borderId="0" xfId="66" applyFont="1" applyBorder="1" applyAlignment="1">
      <alignment vertical="center"/>
    </xf>
    <xf numFmtId="3" fontId="128" fillId="23" borderId="37" xfId="0" applyNumberFormat="1" applyFont="1" applyFill="1" applyBorder="1" applyAlignment="1">
      <alignment horizontal="right" vertical="center" indent="1"/>
    </xf>
    <xf numFmtId="0" fontId="81" fillId="0" borderId="12" xfId="66" applyFont="1" applyBorder="1" applyAlignment="1">
      <alignment vertical="center"/>
    </xf>
    <xf numFmtId="3" fontId="73" fillId="23" borderId="13" xfId="66" applyNumberFormat="1" applyFont="1" applyFill="1" applyBorder="1" applyAlignment="1">
      <alignment horizontal="right" vertical="center" indent="1"/>
    </xf>
    <xf numFmtId="3" fontId="73" fillId="23" borderId="14" xfId="66" applyNumberFormat="1" applyFont="1" applyFill="1" applyBorder="1" applyAlignment="1">
      <alignment horizontal="right" vertical="center" indent="1"/>
    </xf>
    <xf numFmtId="3" fontId="73" fillId="23" borderId="10" xfId="66" applyNumberFormat="1" applyFont="1" applyFill="1" applyBorder="1" applyAlignment="1">
      <alignment horizontal="right" vertical="center" indent="1"/>
    </xf>
    <xf numFmtId="3" fontId="70" fillId="0" borderId="24" xfId="66" applyNumberFormat="1" applyFont="1" applyBorder="1" applyAlignment="1">
      <alignment horizontal="right" vertical="center" indent="1"/>
    </xf>
    <xf numFmtId="3" fontId="70" fillId="0" borderId="22" xfId="66" applyNumberFormat="1" applyFont="1" applyBorder="1" applyAlignment="1">
      <alignment horizontal="right" vertical="center" indent="1"/>
    </xf>
    <xf numFmtId="3" fontId="73" fillId="23" borderId="20" xfId="66" applyNumberFormat="1" applyFont="1" applyFill="1" applyBorder="1" applyAlignment="1">
      <alignment horizontal="right" vertical="center" indent="1"/>
    </xf>
    <xf numFmtId="3" fontId="73" fillId="23" borderId="24" xfId="66" applyNumberFormat="1" applyFont="1" applyFill="1" applyBorder="1" applyAlignment="1">
      <alignment horizontal="right" vertical="center" indent="1"/>
    </xf>
    <xf numFmtId="3" fontId="73" fillId="23" borderId="22" xfId="66" applyNumberFormat="1" applyFont="1" applyFill="1" applyBorder="1" applyAlignment="1">
      <alignment horizontal="right" vertical="center" indent="1"/>
    </xf>
    <xf numFmtId="0" fontId="128" fillId="23" borderId="13" xfId="0" applyFont="1" applyFill="1" applyBorder="1" applyAlignment="1">
      <alignment horizontal="center" vertical="center"/>
    </xf>
    <xf numFmtId="0" fontId="129" fillId="0" borderId="19" xfId="0" applyFont="1" applyBorder="1" applyAlignment="1">
      <alignment horizontal="center" vertical="center"/>
    </xf>
    <xf numFmtId="0" fontId="129" fillId="0" borderId="21" xfId="0" applyFont="1" applyBorder="1" applyAlignment="1">
      <alignment horizontal="center" vertical="center"/>
    </xf>
    <xf numFmtId="0" fontId="113" fillId="0" borderId="0" xfId="66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28" fillId="23" borderId="14" xfId="0" applyFont="1" applyFill="1" applyBorder="1" applyAlignment="1">
      <alignment horizontal="center" vertical="center" wrapText="1"/>
    </xf>
    <xf numFmtId="0" fontId="128" fillId="23" borderId="10" xfId="0" applyFont="1" applyFill="1" applyBorder="1" applyAlignment="1">
      <alignment horizontal="center" vertical="center" wrapText="1"/>
    </xf>
    <xf numFmtId="0" fontId="110" fillId="0" borderId="0" xfId="66" applyFont="1" applyAlignment="1">
      <alignment vertical="center"/>
    </xf>
    <xf numFmtId="3" fontId="73" fillId="23" borderId="13" xfId="66" applyNumberFormat="1" applyFont="1" applyFill="1" applyBorder="1" applyAlignment="1" applyProtection="1">
      <alignment horizontal="right" vertical="center" indent="1"/>
      <protection locked="0"/>
    </xf>
    <xf numFmtId="3" fontId="73" fillId="23" borderId="14" xfId="66" applyNumberFormat="1" applyFont="1" applyFill="1" applyBorder="1" applyAlignment="1" applyProtection="1">
      <alignment horizontal="right" vertical="center" indent="1"/>
      <protection locked="0"/>
    </xf>
    <xf numFmtId="3" fontId="73" fillId="23" borderId="10" xfId="66" applyNumberFormat="1" applyFont="1" applyFill="1" applyBorder="1" applyAlignment="1" applyProtection="1">
      <alignment horizontal="right" vertical="center" indent="1"/>
      <protection locked="0"/>
    </xf>
    <xf numFmtId="0" fontId="82" fillId="0" borderId="12" xfId="66" applyFont="1" applyBorder="1" applyAlignment="1">
      <alignment vertical="center"/>
    </xf>
    <xf numFmtId="3" fontId="76" fillId="23" borderId="13" xfId="66" applyNumberFormat="1" applyFont="1" applyFill="1" applyBorder="1" applyAlignment="1">
      <alignment horizontal="right" vertical="center" indent="1"/>
    </xf>
    <xf numFmtId="3" fontId="76" fillId="23" borderId="14" xfId="66" applyNumberFormat="1" applyFont="1" applyFill="1" applyBorder="1" applyAlignment="1">
      <alignment horizontal="right" vertical="center" indent="1"/>
    </xf>
    <xf numFmtId="3" fontId="76" fillId="23" borderId="10" xfId="66" applyNumberFormat="1" applyFont="1" applyFill="1" applyBorder="1" applyAlignment="1">
      <alignment horizontal="right" vertical="center" indent="1"/>
    </xf>
    <xf numFmtId="0" fontId="70" fillId="0" borderId="20" xfId="66" applyFont="1" applyBorder="1" applyAlignment="1">
      <alignment horizontal="center" vertical="center"/>
    </xf>
    <xf numFmtId="0" fontId="70" fillId="0" borderId="0" xfId="66" applyFont="1" applyFill="1" applyBorder="1" applyAlignment="1">
      <alignment vertical="center" wrapText="1"/>
    </xf>
    <xf numFmtId="0" fontId="73" fillId="23" borderId="20" xfId="66" applyFont="1" applyFill="1" applyBorder="1" applyAlignment="1">
      <alignment horizontal="center" vertical="center"/>
    </xf>
    <xf numFmtId="0" fontId="129" fillId="0" borderId="11" xfId="0" applyFont="1" applyBorder="1" applyAlignment="1">
      <alignment horizontal="center" vertical="center"/>
    </xf>
    <xf numFmtId="1" fontId="129" fillId="0" borderId="11" xfId="0" applyNumberFormat="1" applyFont="1" applyBorder="1" applyAlignment="1">
      <alignment horizontal="right" vertical="center" indent="1"/>
    </xf>
    <xf numFmtId="1" fontId="129" fillId="0" borderId="12" xfId="0" applyNumberFormat="1" applyFont="1" applyBorder="1" applyAlignment="1">
      <alignment horizontal="right" vertical="center" indent="1"/>
    </xf>
    <xf numFmtId="1" fontId="128" fillId="0" borderId="15" xfId="0" applyNumberFormat="1" applyFont="1" applyBorder="1" applyAlignment="1">
      <alignment horizontal="right" vertical="center" indent="1"/>
    </xf>
    <xf numFmtId="1" fontId="128" fillId="0" borderId="12" xfId="0" applyNumberFormat="1" applyFont="1" applyBorder="1" applyAlignment="1">
      <alignment horizontal="right" vertical="center" indent="1"/>
    </xf>
    <xf numFmtId="3" fontId="128" fillId="0" borderId="15" xfId="0" applyNumberFormat="1" applyFont="1" applyBorder="1" applyAlignment="1">
      <alignment horizontal="right" vertical="center" indent="1"/>
    </xf>
    <xf numFmtId="1" fontId="129" fillId="0" borderId="20" xfId="0" applyNumberFormat="1" applyFont="1" applyBorder="1" applyAlignment="1">
      <alignment horizontal="right" vertical="center" indent="1"/>
    </xf>
    <xf numFmtId="1" fontId="129" fillId="0" borderId="24" xfId="0" applyNumberFormat="1" applyFont="1" applyBorder="1" applyAlignment="1">
      <alignment horizontal="right" vertical="center" indent="1"/>
    </xf>
    <xf numFmtId="1" fontId="128" fillId="0" borderId="22" xfId="0" applyNumberFormat="1" applyFont="1" applyBorder="1" applyAlignment="1">
      <alignment horizontal="right" vertical="center" indent="1"/>
    </xf>
    <xf numFmtId="1" fontId="128" fillId="0" borderId="24" xfId="0" applyNumberFormat="1" applyFont="1" applyBorder="1" applyAlignment="1">
      <alignment horizontal="right" vertical="center" indent="1"/>
    </xf>
    <xf numFmtId="0" fontId="128" fillId="23" borderId="20" xfId="0" applyFont="1" applyFill="1" applyBorder="1" applyAlignment="1">
      <alignment horizontal="center" vertical="center"/>
    </xf>
    <xf numFmtId="1" fontId="128" fillId="23" borderId="20" xfId="0" applyNumberFormat="1" applyFont="1" applyFill="1" applyBorder="1" applyAlignment="1">
      <alignment horizontal="right" vertical="center" indent="1"/>
    </xf>
    <xf numFmtId="1" fontId="128" fillId="23" borderId="24" xfId="0" applyNumberFormat="1" applyFont="1" applyFill="1" applyBorder="1" applyAlignment="1">
      <alignment horizontal="right" vertical="center" indent="1"/>
    </xf>
    <xf numFmtId="1" fontId="128" fillId="23" borderId="22" xfId="0" applyNumberFormat="1" applyFont="1" applyFill="1" applyBorder="1" applyAlignment="1">
      <alignment horizontal="right" vertical="center" indent="1"/>
    </xf>
    <xf numFmtId="3" fontId="128" fillId="23" borderId="20" xfId="0" applyNumberFormat="1" applyFont="1" applyFill="1" applyBorder="1" applyAlignment="1">
      <alignment horizontal="right" vertical="center" indent="1"/>
    </xf>
    <xf numFmtId="3" fontId="128" fillId="23" borderId="24" xfId="0" applyNumberFormat="1" applyFont="1" applyFill="1" applyBorder="1" applyAlignment="1">
      <alignment horizontal="right" vertical="center" indent="1"/>
    </xf>
    <xf numFmtId="3" fontId="128" fillId="23" borderId="22" xfId="0" applyNumberFormat="1" applyFont="1" applyFill="1" applyBorder="1" applyAlignment="1">
      <alignment horizontal="right" vertical="center" indent="1"/>
    </xf>
    <xf numFmtId="1" fontId="128" fillId="23" borderId="13" xfId="0" applyNumberFormat="1" applyFont="1" applyFill="1" applyBorder="1" applyAlignment="1">
      <alignment horizontal="right" vertical="center" indent="1"/>
    </xf>
    <xf numFmtId="1" fontId="128" fillId="23" borderId="14" xfId="0" applyNumberFormat="1" applyFont="1" applyFill="1" applyBorder="1" applyAlignment="1">
      <alignment horizontal="right" vertical="center" indent="1"/>
    </xf>
    <xf numFmtId="1" fontId="128" fillId="23" borderId="10" xfId="0" applyNumberFormat="1" applyFont="1" applyFill="1" applyBorder="1" applyAlignment="1">
      <alignment horizontal="right" vertical="center" indent="1"/>
    </xf>
    <xf numFmtId="3" fontId="128" fillId="0" borderId="12" xfId="0" applyNumberFormat="1" applyFont="1" applyBorder="1" applyAlignment="1">
      <alignment horizontal="right" vertical="center" indent="1"/>
    </xf>
    <xf numFmtId="3" fontId="128" fillId="23" borderId="32" xfId="66" applyNumberFormat="1" applyFont="1" applyFill="1" applyBorder="1" applyAlignment="1">
      <alignment horizontal="right" vertical="center" indent="1"/>
    </xf>
    <xf numFmtId="0" fontId="72" fillId="0" borderId="0" xfId="0" applyFont="1" applyFill="1" applyBorder="1" applyAlignment="1">
      <alignment vertical="center"/>
    </xf>
    <xf numFmtId="0" fontId="72" fillId="0" borderId="0" xfId="48" applyFont="1" applyAlignment="1">
      <alignment vertical="center"/>
    </xf>
    <xf numFmtId="0" fontId="72" fillId="0" borderId="0" xfId="48" applyFont="1" applyAlignment="1">
      <alignment vertical="center" wrapText="1"/>
    </xf>
    <xf numFmtId="0" fontId="108" fillId="0" borderId="0" xfId="48" applyFont="1" applyAlignment="1">
      <alignment vertical="center"/>
    </xf>
    <xf numFmtId="0" fontId="72" fillId="0" borderId="0" xfId="48" applyFont="1" applyAlignment="1"/>
    <xf numFmtId="0" fontId="146" fillId="23" borderId="50" xfId="0" applyFont="1" applyFill="1" applyBorder="1" applyAlignment="1">
      <alignment horizontal="center" vertical="center" wrapText="1" readingOrder="1"/>
    </xf>
    <xf numFmtId="3" fontId="146" fillId="23" borderId="27" xfId="0" applyNumberFormat="1" applyFont="1" applyFill="1" applyBorder="1" applyAlignment="1">
      <alignment horizontal="right" vertical="center" wrapText="1" indent="1"/>
    </xf>
    <xf numFmtId="3" fontId="146" fillId="23" borderId="37" xfId="0" applyNumberFormat="1" applyFont="1" applyFill="1" applyBorder="1" applyAlignment="1">
      <alignment horizontal="right" vertical="center" wrapText="1" indent="1"/>
    </xf>
    <xf numFmtId="0" fontId="70" fillId="0" borderId="24" xfId="66" applyFont="1" applyBorder="1" applyAlignment="1">
      <alignment vertical="center"/>
    </xf>
    <xf numFmtId="167" fontId="132" fillId="23" borderId="14" xfId="67" applyNumberFormat="1" applyFont="1" applyFill="1" applyBorder="1" applyAlignment="1">
      <alignment vertical="center"/>
    </xf>
    <xf numFmtId="167" fontId="132" fillId="23" borderId="13" xfId="68" applyNumberFormat="1" applyFont="1" applyFill="1" applyBorder="1" applyAlignment="1">
      <alignment vertical="center"/>
    </xf>
    <xf numFmtId="167" fontId="132" fillId="23" borderId="14" xfId="68" applyNumberFormat="1" applyFont="1" applyFill="1" applyBorder="1" applyAlignment="1">
      <alignment vertical="center"/>
    </xf>
    <xf numFmtId="167" fontId="132" fillId="23" borderId="10" xfId="68" applyNumberFormat="1" applyFont="1" applyFill="1" applyBorder="1" applyAlignment="1">
      <alignment vertical="center"/>
    </xf>
    <xf numFmtId="169" fontId="132" fillId="0" borderId="18" xfId="68" applyNumberFormat="1" applyFont="1" applyFill="1" applyBorder="1" applyAlignment="1">
      <alignment horizontal="centerContinuous" vertical="center"/>
    </xf>
    <xf numFmtId="0" fontId="128" fillId="23" borderId="10" xfId="0" applyFont="1" applyFill="1" applyBorder="1" applyAlignment="1">
      <alignment horizontal="center"/>
    </xf>
    <xf numFmtId="3" fontId="128" fillId="23" borderId="18" xfId="0" applyNumberFormat="1" applyFont="1" applyFill="1" applyBorder="1" applyAlignment="1">
      <alignment horizontal="right" indent="1"/>
    </xf>
    <xf numFmtId="3" fontId="150" fillId="23" borderId="18" xfId="53" applyNumberFormat="1" applyFont="1" applyFill="1" applyBorder="1" applyAlignment="1">
      <alignment horizontal="right" vertical="center" indent="1"/>
    </xf>
    <xf numFmtId="0" fontId="138" fillId="0" borderId="0" xfId="66" applyFont="1" applyFill="1" applyBorder="1" applyAlignment="1">
      <alignment horizontal="center" vertical="center"/>
    </xf>
    <xf numFmtId="3" fontId="128" fillId="0" borderId="11" xfId="66" applyNumberFormat="1" applyFont="1" applyFill="1" applyBorder="1" applyAlignment="1">
      <alignment horizontal="right" vertical="center" indent="1"/>
    </xf>
    <xf numFmtId="3" fontId="128" fillId="0" borderId="16" xfId="66" applyNumberFormat="1" applyFont="1" applyFill="1" applyBorder="1" applyAlignment="1">
      <alignment horizontal="right" vertical="center" indent="1"/>
    </xf>
    <xf numFmtId="3" fontId="128" fillId="0" borderId="20" xfId="66" applyNumberFormat="1" applyFont="1" applyFill="1" applyBorder="1" applyAlignment="1">
      <alignment horizontal="right" vertical="center" indent="1"/>
    </xf>
    <xf numFmtId="0" fontId="157" fillId="0" borderId="14" xfId="0" applyFont="1" applyBorder="1"/>
    <xf numFmtId="3" fontId="158" fillId="0" borderId="21" xfId="0" applyNumberFormat="1" applyFont="1" applyBorder="1" applyAlignment="1">
      <alignment horizontal="right" indent="1"/>
    </xf>
    <xf numFmtId="0" fontId="158" fillId="0" borderId="0" xfId="0" applyFont="1"/>
    <xf numFmtId="3" fontId="158" fillId="0" borderId="19" xfId="0" applyNumberFormat="1" applyFont="1" applyBorder="1" applyAlignment="1">
      <alignment horizontal="right" indent="1"/>
    </xf>
    <xf numFmtId="3" fontId="158" fillId="0" borderId="23" xfId="0" applyNumberFormat="1" applyFont="1" applyBorder="1" applyAlignment="1">
      <alignment horizontal="right" indent="1"/>
    </xf>
    <xf numFmtId="0" fontId="129" fillId="0" borderId="19" xfId="66" applyFont="1" applyFill="1" applyBorder="1" applyAlignment="1">
      <alignment horizontal="center" vertical="center"/>
    </xf>
    <xf numFmtId="0" fontId="129" fillId="0" borderId="21" xfId="66" applyFont="1" applyFill="1" applyBorder="1" applyAlignment="1">
      <alignment horizontal="center" vertical="center"/>
    </xf>
    <xf numFmtId="0" fontId="138" fillId="0" borderId="0" xfId="66" applyFont="1" applyBorder="1" applyAlignment="1">
      <alignment horizontal="center" vertical="center"/>
    </xf>
    <xf numFmtId="0" fontId="138" fillId="0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/>
    </xf>
    <xf numFmtId="167" fontId="64" fillId="0" borderId="11" xfId="78" applyNumberFormat="1" applyFont="1" applyFill="1" applyBorder="1" applyAlignment="1">
      <alignment vertical="center"/>
    </xf>
    <xf numFmtId="167" fontId="64" fillId="0" borderId="12" xfId="78" applyNumberFormat="1" applyFont="1" applyFill="1" applyBorder="1" applyAlignment="1">
      <alignment vertical="center"/>
    </xf>
    <xf numFmtId="167" fontId="132" fillId="0" borderId="15" xfId="78" applyNumberFormat="1" applyFont="1" applyFill="1" applyBorder="1" applyAlignment="1">
      <alignment vertical="center"/>
    </xf>
    <xf numFmtId="167" fontId="64" fillId="0" borderId="16" xfId="78" applyNumberFormat="1" applyFont="1" applyFill="1" applyBorder="1" applyAlignment="1">
      <alignment vertical="center"/>
    </xf>
    <xf numFmtId="167" fontId="64" fillId="0" borderId="0" xfId="78" applyNumberFormat="1" applyFont="1" applyFill="1" applyBorder="1" applyAlignment="1">
      <alignment vertical="center"/>
    </xf>
    <xf numFmtId="167" fontId="132" fillId="0" borderId="17" xfId="78" applyNumberFormat="1" applyFont="1" applyFill="1" applyBorder="1" applyAlignment="1">
      <alignment vertical="center"/>
    </xf>
    <xf numFmtId="167" fontId="132" fillId="23" borderId="13" xfId="78" applyNumberFormat="1" applyFont="1" applyFill="1" applyBorder="1" applyAlignment="1">
      <alignment vertical="center"/>
    </xf>
    <xf numFmtId="167" fontId="132" fillId="23" borderId="14" xfId="78" applyNumberFormat="1" applyFont="1" applyFill="1" applyBorder="1" applyAlignment="1">
      <alignment vertical="center"/>
    </xf>
    <xf numFmtId="167" fontId="132" fillId="23" borderId="10" xfId="78" applyNumberFormat="1" applyFont="1" applyFill="1" applyBorder="1" applyAlignment="1">
      <alignment vertical="center"/>
    </xf>
    <xf numFmtId="0" fontId="143" fillId="0" borderId="0" xfId="0" applyFont="1" applyAlignment="1">
      <alignment horizontal="center"/>
    </xf>
    <xf numFmtId="0" fontId="128" fillId="23" borderId="18" xfId="0" applyFont="1" applyFill="1" applyBorder="1" applyAlignment="1">
      <alignment horizontal="center" vertical="center"/>
    </xf>
    <xf numFmtId="0" fontId="113" fillId="0" borderId="0" xfId="0" applyFont="1" applyFill="1" applyAlignment="1">
      <alignment vertical="center"/>
    </xf>
    <xf numFmtId="3" fontId="129" fillId="0" borderId="0" xfId="0" applyNumberFormat="1" applyFont="1" applyFill="1" applyBorder="1" applyAlignment="1">
      <alignment horizontal="right" indent="1"/>
    </xf>
    <xf numFmtId="3" fontId="129" fillId="0" borderId="12" xfId="0" applyNumberFormat="1" applyFont="1" applyFill="1" applyBorder="1" applyAlignment="1">
      <alignment horizontal="right" indent="1"/>
    </xf>
    <xf numFmtId="3" fontId="129" fillId="0" borderId="27" xfId="0" applyNumberFormat="1" applyFont="1" applyFill="1" applyBorder="1" applyAlignment="1">
      <alignment horizontal="right" indent="1"/>
    </xf>
    <xf numFmtId="3" fontId="129" fillId="0" borderId="37" xfId="0" applyNumberFormat="1" applyFont="1" applyFill="1" applyBorder="1" applyAlignment="1">
      <alignment horizontal="right" indent="1"/>
    </xf>
    <xf numFmtId="3" fontId="129" fillId="0" borderId="42" xfId="0" applyNumberFormat="1" applyFont="1" applyFill="1" applyBorder="1" applyAlignment="1">
      <alignment horizontal="right" indent="1"/>
    </xf>
    <xf numFmtId="0" fontId="129" fillId="0" borderId="0" xfId="0" applyFont="1" applyFill="1" applyBorder="1" applyAlignment="1">
      <alignment vertical="center"/>
    </xf>
    <xf numFmtId="3" fontId="129" fillId="0" borderId="25" xfId="0" applyNumberFormat="1" applyFont="1" applyFill="1" applyBorder="1" applyAlignment="1">
      <alignment horizontal="right" vertical="center" indent="1"/>
    </xf>
    <xf numFmtId="3" fontId="129" fillId="0" borderId="35" xfId="0" applyNumberFormat="1" applyFont="1" applyFill="1" applyBorder="1" applyAlignment="1">
      <alignment horizontal="right" vertical="center" indent="1"/>
    </xf>
    <xf numFmtId="3" fontId="129" fillId="0" borderId="40" xfId="0" applyNumberFormat="1" applyFont="1" applyFill="1" applyBorder="1" applyAlignment="1">
      <alignment horizontal="right" vertical="center" indent="1"/>
    </xf>
    <xf numFmtId="3" fontId="129" fillId="0" borderId="26" xfId="0" applyNumberFormat="1" applyFont="1" applyFill="1" applyBorder="1" applyAlignment="1">
      <alignment horizontal="right" vertical="center" indent="1"/>
    </xf>
    <xf numFmtId="3" fontId="129" fillId="0" borderId="36" xfId="0" applyNumberFormat="1" applyFont="1" applyFill="1" applyBorder="1" applyAlignment="1">
      <alignment horizontal="right" vertical="center" indent="1"/>
    </xf>
    <xf numFmtId="3" fontId="129" fillId="0" borderId="41" xfId="0" applyNumberFormat="1" applyFont="1" applyFill="1" applyBorder="1" applyAlignment="1">
      <alignment horizontal="right" vertical="center" indent="1"/>
    </xf>
    <xf numFmtId="0" fontId="128" fillId="0" borderId="0" xfId="0" applyFont="1" applyFill="1" applyBorder="1" applyAlignment="1">
      <alignment vertical="center"/>
    </xf>
    <xf numFmtId="3" fontId="128" fillId="0" borderId="11" xfId="0" applyNumberFormat="1" applyFont="1" applyFill="1" applyBorder="1" applyAlignment="1">
      <alignment horizontal="right" vertical="center" indent="1"/>
    </xf>
    <xf numFmtId="3" fontId="128" fillId="0" borderId="12" xfId="0" applyNumberFormat="1" applyFont="1" applyFill="1" applyBorder="1" applyAlignment="1">
      <alignment horizontal="right" vertical="center" indent="1"/>
    </xf>
    <xf numFmtId="3" fontId="128" fillId="0" borderId="15" xfId="0" applyNumberFormat="1" applyFont="1" applyFill="1" applyBorder="1" applyAlignment="1">
      <alignment horizontal="right" vertical="center" indent="1"/>
    </xf>
    <xf numFmtId="3" fontId="128" fillId="0" borderId="16" xfId="0" applyNumberFormat="1" applyFont="1" applyFill="1" applyBorder="1" applyAlignment="1">
      <alignment horizontal="right" vertical="center" indent="1"/>
    </xf>
    <xf numFmtId="3" fontId="128" fillId="0" borderId="0" xfId="0" applyNumberFormat="1" applyFont="1" applyFill="1" applyBorder="1" applyAlignment="1">
      <alignment horizontal="right" vertical="center" indent="1"/>
    </xf>
    <xf numFmtId="3" fontId="128" fillId="0" borderId="17" xfId="0" applyNumberFormat="1" applyFont="1" applyFill="1" applyBorder="1" applyAlignment="1">
      <alignment horizontal="right" vertical="center" indent="1"/>
    </xf>
    <xf numFmtId="3" fontId="129" fillId="0" borderId="27" xfId="0" applyNumberFormat="1" applyFont="1" applyFill="1" applyBorder="1" applyAlignment="1">
      <alignment horizontal="right" vertical="center" indent="1"/>
    </xf>
    <xf numFmtId="3" fontId="129" fillId="0" borderId="37" xfId="0" applyNumberFormat="1" applyFont="1" applyFill="1" applyBorder="1" applyAlignment="1">
      <alignment horizontal="right" vertical="center" indent="1"/>
    </xf>
    <xf numFmtId="3" fontId="129" fillId="0" borderId="42" xfId="0" applyNumberFormat="1" applyFont="1" applyFill="1" applyBorder="1" applyAlignment="1">
      <alignment horizontal="right" vertical="center" indent="1"/>
    </xf>
    <xf numFmtId="0" fontId="131" fillId="0" borderId="0" xfId="223" applyFont="1" applyAlignment="1">
      <alignment vertical="center"/>
    </xf>
    <xf numFmtId="0" fontId="81" fillId="0" borderId="0" xfId="0" applyFont="1" applyAlignment="1">
      <alignment vertical="top" wrapText="1"/>
    </xf>
    <xf numFmtId="170" fontId="0" fillId="0" borderId="0" xfId="0" applyNumberFormat="1"/>
    <xf numFmtId="0" fontId="81" fillId="23" borderId="15" xfId="0" applyFont="1" applyFill="1" applyBorder="1" applyAlignment="1">
      <alignment horizontal="center" vertical="center" wrapText="1"/>
    </xf>
    <xf numFmtId="0" fontId="81" fillId="23" borderId="19" xfId="0" applyFont="1" applyFill="1" applyBorder="1" applyAlignment="1">
      <alignment horizontal="center" vertical="center" wrapText="1"/>
    </xf>
    <xf numFmtId="0" fontId="81" fillId="23" borderId="11" xfId="0" applyFont="1" applyFill="1" applyBorder="1" applyAlignment="1">
      <alignment horizontal="center" vertical="center" wrapText="1"/>
    </xf>
    <xf numFmtId="0" fontId="125" fillId="0" borderId="0" xfId="0" applyFont="1" applyAlignment="1">
      <alignment horizontal="left" vertical="center"/>
    </xf>
    <xf numFmtId="0" fontId="128" fillId="23" borderId="10" xfId="0" applyFont="1" applyFill="1" applyBorder="1" applyAlignment="1">
      <alignment horizontal="center" vertical="center" wrapText="1"/>
    </xf>
    <xf numFmtId="0" fontId="110" fillId="0" borderId="0" xfId="66" applyFont="1" applyBorder="1" applyAlignment="1">
      <alignment horizontal="center" vertical="center"/>
    </xf>
    <xf numFmtId="1" fontId="73" fillId="23" borderId="18" xfId="50" applyNumberFormat="1" applyFont="1" applyFill="1" applyBorder="1" applyAlignment="1">
      <alignment horizontal="center" vertical="center" wrapText="1"/>
    </xf>
    <xf numFmtId="0" fontId="139" fillId="0" borderId="0" xfId="0" applyFont="1" applyFill="1" applyBorder="1" applyAlignment="1">
      <alignment horizontal="center" vertical="center"/>
    </xf>
    <xf numFmtId="0" fontId="139" fillId="0" borderId="0" xfId="66" applyFont="1" applyFill="1" applyBorder="1" applyAlignment="1">
      <alignment horizontal="center" vertical="center"/>
    </xf>
    <xf numFmtId="0" fontId="70" fillId="0" borderId="23" xfId="52" applyFont="1" applyFill="1" applyBorder="1" applyAlignment="1">
      <alignment horizontal="left" vertical="center"/>
    </xf>
    <xf numFmtId="0" fontId="73" fillId="29" borderId="11" xfId="0" applyFont="1" applyFill="1" applyBorder="1" applyAlignment="1">
      <alignment vertical="center"/>
    </xf>
    <xf numFmtId="0" fontId="73" fillId="29" borderId="12" xfId="0" applyFont="1" applyFill="1" applyBorder="1" applyAlignment="1">
      <alignment vertical="center"/>
    </xf>
    <xf numFmtId="0" fontId="73" fillId="29" borderId="15" xfId="0" applyFont="1" applyFill="1" applyBorder="1" applyAlignment="1">
      <alignment vertical="center"/>
    </xf>
    <xf numFmtId="0" fontId="73" fillId="29" borderId="13" xfId="0" applyFont="1" applyFill="1" applyBorder="1" applyAlignment="1">
      <alignment vertical="center"/>
    </xf>
    <xf numFmtId="0" fontId="73" fillId="29" borderId="14" xfId="0" applyFont="1" applyFill="1" applyBorder="1" applyAlignment="1">
      <alignment vertical="center"/>
    </xf>
    <xf numFmtId="0" fontId="73" fillId="29" borderId="10" xfId="0" applyFont="1" applyFill="1" applyBorder="1" applyAlignment="1">
      <alignment vertical="center"/>
    </xf>
    <xf numFmtId="0" fontId="129" fillId="0" borderId="0" xfId="66" applyFont="1" applyBorder="1" applyAlignment="1">
      <alignment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0" fontId="129" fillId="0" borderId="0" xfId="48" applyFont="1" applyFill="1" applyBorder="1" applyAlignment="1">
      <alignment vertical="center"/>
    </xf>
    <xf numFmtId="3" fontId="129" fillId="0" borderId="19" xfId="48" applyNumberFormat="1" applyFont="1" applyFill="1" applyBorder="1" applyAlignment="1">
      <alignment horizontal="right" vertical="center" indent="1"/>
    </xf>
    <xf numFmtId="3" fontId="129" fillId="0" borderId="21" xfId="48" applyNumberFormat="1" applyFont="1" applyFill="1" applyBorder="1" applyAlignment="1">
      <alignment horizontal="right" vertical="center" indent="1"/>
    </xf>
    <xf numFmtId="3" fontId="129" fillId="0" borderId="17" xfId="48" applyNumberFormat="1" applyFont="1" applyFill="1" applyBorder="1" applyAlignment="1">
      <alignment horizontal="right" vertical="center" indent="1"/>
    </xf>
    <xf numFmtId="3" fontId="129" fillId="0" borderId="12" xfId="48" applyNumberFormat="1" applyFont="1" applyFill="1" applyBorder="1" applyAlignment="1">
      <alignment horizontal="right" vertical="center" indent="1"/>
    </xf>
    <xf numFmtId="3" fontId="129" fillId="0" borderId="15" xfId="48" applyNumberFormat="1" applyFont="1" applyFill="1" applyBorder="1" applyAlignment="1">
      <alignment horizontal="right" vertical="center" indent="1"/>
    </xf>
    <xf numFmtId="3" fontId="129" fillId="0" borderId="0" xfId="48" applyNumberFormat="1" applyFont="1" applyFill="1" applyBorder="1" applyAlignment="1">
      <alignment horizontal="right" vertical="center" indent="1"/>
    </xf>
    <xf numFmtId="0" fontId="154" fillId="0" borderId="0" xfId="52" applyFont="1" applyFill="1" applyBorder="1" applyAlignment="1">
      <alignment horizontal="center" vertical="center"/>
    </xf>
    <xf numFmtId="0" fontId="129" fillId="0" borderId="0" xfId="48" applyFont="1" applyFill="1" applyBorder="1"/>
    <xf numFmtId="3" fontId="129" fillId="0" borderId="0" xfId="48" applyNumberFormat="1" applyFont="1" applyFill="1" applyBorder="1"/>
    <xf numFmtId="3" fontId="129" fillId="0" borderId="11" xfId="48" applyNumberFormat="1" applyFont="1" applyFill="1" applyBorder="1" applyAlignment="1">
      <alignment horizontal="right" vertical="center" indent="1"/>
    </xf>
    <xf numFmtId="3" fontId="129" fillId="0" borderId="16" xfId="48" applyNumberFormat="1" applyFont="1" applyFill="1" applyBorder="1" applyAlignment="1">
      <alignment horizontal="right" vertical="center" indent="1"/>
    </xf>
    <xf numFmtId="0" fontId="129" fillId="0" borderId="19" xfId="48" applyFont="1" applyFill="1" applyBorder="1" applyAlignment="1">
      <alignment horizontal="center" vertical="center"/>
    </xf>
    <xf numFmtId="0" fontId="129" fillId="0" borderId="21" xfId="48" applyFont="1" applyFill="1" applyBorder="1" applyAlignment="1">
      <alignment horizontal="center" vertical="center"/>
    </xf>
    <xf numFmtId="3" fontId="128" fillId="23" borderId="23" xfId="48" applyNumberFormat="1" applyFont="1" applyFill="1" applyBorder="1" applyAlignment="1">
      <alignment horizontal="right" vertical="center" indent="1"/>
    </xf>
    <xf numFmtId="3" fontId="128" fillId="23" borderId="20" xfId="48" applyNumberFormat="1" applyFont="1" applyFill="1" applyBorder="1" applyAlignment="1">
      <alignment horizontal="right" vertical="center" indent="1"/>
    </xf>
    <xf numFmtId="3" fontId="128" fillId="23" borderId="24" xfId="48" applyNumberFormat="1" applyFont="1" applyFill="1" applyBorder="1" applyAlignment="1">
      <alignment horizontal="right" vertical="center" indent="1"/>
    </xf>
    <xf numFmtId="3" fontId="128" fillId="23" borderId="22" xfId="48" applyNumberFormat="1" applyFont="1" applyFill="1" applyBorder="1" applyAlignment="1">
      <alignment horizontal="right" vertical="center" indent="1"/>
    </xf>
    <xf numFmtId="3" fontId="129" fillId="0" borderId="12" xfId="0" applyNumberFormat="1" applyFont="1" applyFill="1" applyBorder="1" applyAlignment="1">
      <alignment horizontal="right" vertical="center" indent="1"/>
    </xf>
    <xf numFmtId="3" fontId="129" fillId="0" borderId="0" xfId="0" applyNumberFormat="1" applyFont="1" applyFill="1" applyBorder="1" applyAlignment="1">
      <alignment horizontal="right" vertical="center" indent="1"/>
    </xf>
    <xf numFmtId="0" fontId="130" fillId="0" borderId="23" xfId="0" applyFont="1" applyFill="1" applyBorder="1" applyAlignment="1">
      <alignment horizontal="right" vertical="center" indent="1"/>
    </xf>
    <xf numFmtId="0" fontId="130" fillId="0" borderId="20" xfId="0" applyFont="1" applyFill="1" applyBorder="1" applyAlignment="1">
      <alignment horizontal="right" vertical="center" indent="1"/>
    </xf>
    <xf numFmtId="0" fontId="130" fillId="0" borderId="24" xfId="0" applyFont="1" applyFill="1" applyBorder="1" applyAlignment="1">
      <alignment horizontal="right" vertical="center" indent="1"/>
    </xf>
    <xf numFmtId="0" fontId="130" fillId="0" borderId="22" xfId="0" applyFont="1" applyFill="1" applyBorder="1" applyAlignment="1">
      <alignment horizontal="right" vertical="center" indent="1"/>
    </xf>
    <xf numFmtId="0" fontId="128" fillId="23" borderId="18" xfId="48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vertical="center"/>
    </xf>
    <xf numFmtId="0" fontId="129" fillId="0" borderId="45" xfId="52" applyFont="1" applyFill="1" applyBorder="1" applyAlignment="1">
      <alignment horizontal="left" vertical="center"/>
    </xf>
    <xf numFmtId="3" fontId="137" fillId="0" borderId="52" xfId="53" applyNumberFormat="1" applyFont="1" applyFill="1" applyBorder="1" applyAlignment="1">
      <alignment horizontal="right" vertical="center" indent="1"/>
    </xf>
    <xf numFmtId="3" fontId="137" fillId="0" borderId="53" xfId="53" applyNumberFormat="1" applyFont="1" applyFill="1" applyBorder="1" applyAlignment="1">
      <alignment horizontal="right" vertical="center" indent="1"/>
    </xf>
    <xf numFmtId="3" fontId="128" fillId="0" borderId="51" xfId="66" applyNumberFormat="1" applyFont="1" applyFill="1" applyBorder="1" applyAlignment="1">
      <alignment horizontal="right" vertical="center" indent="1"/>
    </xf>
    <xf numFmtId="3" fontId="129" fillId="0" borderId="52" xfId="0" applyNumberFormat="1" applyFont="1" applyBorder="1" applyAlignment="1">
      <alignment horizontal="right" indent="1"/>
    </xf>
    <xf numFmtId="3" fontId="129" fillId="0" borderId="53" xfId="0" applyNumberFormat="1" applyFont="1" applyBorder="1" applyAlignment="1">
      <alignment horizontal="right" indent="1"/>
    </xf>
    <xf numFmtId="0" fontId="129" fillId="0" borderId="46" xfId="52" applyFont="1" applyFill="1" applyBorder="1" applyAlignment="1">
      <alignment horizontal="left" vertical="center"/>
    </xf>
    <xf numFmtId="3" fontId="137" fillId="0" borderId="47" xfId="53" applyNumberFormat="1" applyFont="1" applyFill="1" applyBorder="1" applyAlignment="1">
      <alignment horizontal="right" vertical="center" indent="1"/>
    </xf>
    <xf numFmtId="3" fontId="137" fillId="0" borderId="55" xfId="53" applyNumberFormat="1" applyFont="1" applyFill="1" applyBorder="1" applyAlignment="1">
      <alignment horizontal="right" vertical="center" indent="1"/>
    </xf>
    <xf numFmtId="3" fontId="128" fillId="0" borderId="54" xfId="66" applyNumberFormat="1" applyFont="1" applyFill="1" applyBorder="1" applyAlignment="1">
      <alignment horizontal="right" vertical="center" indent="1"/>
    </xf>
    <xf numFmtId="3" fontId="129" fillId="0" borderId="47" xfId="0" applyNumberFormat="1" applyFont="1" applyBorder="1" applyAlignment="1">
      <alignment horizontal="right" indent="1"/>
    </xf>
    <xf numFmtId="3" fontId="129" fillId="0" borderId="55" xfId="0" applyNumberFormat="1" applyFont="1" applyBorder="1" applyAlignment="1">
      <alignment horizontal="right" indent="1"/>
    </xf>
    <xf numFmtId="3" fontId="129" fillId="0" borderId="47" xfId="66" applyNumberFormat="1" applyFont="1" applyFill="1" applyBorder="1" applyAlignment="1">
      <alignment horizontal="right" vertical="center" indent="1"/>
    </xf>
    <xf numFmtId="0" fontId="129" fillId="0" borderId="55" xfId="66" applyFont="1" applyFill="1" applyBorder="1" applyAlignment="1">
      <alignment horizontal="right" vertical="center" indent="1"/>
    </xf>
    <xf numFmtId="3" fontId="129" fillId="0" borderId="55" xfId="66" applyNumberFormat="1" applyFont="1" applyFill="1" applyBorder="1" applyAlignment="1">
      <alignment horizontal="right" vertical="center" indent="1"/>
    </xf>
    <xf numFmtId="0" fontId="129" fillId="0" borderId="62" xfId="52" applyFont="1" applyFill="1" applyBorder="1" applyAlignment="1">
      <alignment horizontal="left" vertical="center"/>
    </xf>
    <xf numFmtId="3" fontId="137" fillId="0" borderId="60" xfId="53" applyNumberFormat="1" applyFont="1" applyFill="1" applyBorder="1" applyAlignment="1">
      <alignment horizontal="right" vertical="center" indent="1"/>
    </xf>
    <xf numFmtId="3" fontId="137" fillId="0" borderId="61" xfId="53" applyNumberFormat="1" applyFont="1" applyFill="1" applyBorder="1" applyAlignment="1">
      <alignment horizontal="right" vertical="center" indent="1"/>
    </xf>
    <xf numFmtId="3" fontId="128" fillId="0" borderId="59" xfId="66" applyNumberFormat="1" applyFont="1" applyFill="1" applyBorder="1" applyAlignment="1">
      <alignment horizontal="right" vertical="center" indent="1"/>
    </xf>
    <xf numFmtId="3" fontId="129" fillId="0" borderId="60" xfId="0" applyNumberFormat="1" applyFont="1" applyBorder="1" applyAlignment="1">
      <alignment horizontal="right" indent="1"/>
    </xf>
    <xf numFmtId="0" fontId="129" fillId="0" borderId="65" xfId="52" applyFont="1" applyFill="1" applyBorder="1" applyAlignment="1">
      <alignment horizontal="left" vertical="center"/>
    </xf>
    <xf numFmtId="3" fontId="137" fillId="0" borderId="66" xfId="53" applyNumberFormat="1" applyFont="1" applyFill="1" applyBorder="1" applyAlignment="1">
      <alignment horizontal="right" vertical="center" indent="1"/>
    </xf>
    <xf numFmtId="3" fontId="137" fillId="0" borderId="67" xfId="53" applyNumberFormat="1" applyFont="1" applyFill="1" applyBorder="1" applyAlignment="1">
      <alignment horizontal="right" vertical="center" indent="1"/>
    </xf>
    <xf numFmtId="3" fontId="128" fillId="0" borderId="68" xfId="66" applyNumberFormat="1" applyFont="1" applyFill="1" applyBorder="1" applyAlignment="1">
      <alignment horizontal="right" vertical="center" indent="1"/>
    </xf>
    <xf numFmtId="3" fontId="129" fillId="0" borderId="66" xfId="0" applyNumberFormat="1" applyFont="1" applyBorder="1" applyAlignment="1">
      <alignment horizontal="right" indent="1"/>
    </xf>
    <xf numFmtId="3" fontId="129" fillId="0" borderId="67" xfId="0" applyNumberFormat="1" applyFont="1" applyBorder="1" applyAlignment="1">
      <alignment horizontal="right" indent="1"/>
    </xf>
    <xf numFmtId="3" fontId="129" fillId="0" borderId="66" xfId="66" applyNumberFormat="1" applyFont="1" applyFill="1" applyBorder="1" applyAlignment="1">
      <alignment horizontal="right" vertical="center" indent="1"/>
    </xf>
    <xf numFmtId="3" fontId="129" fillId="0" borderId="67" xfId="66" applyNumberFormat="1" applyFont="1" applyFill="1" applyBorder="1" applyAlignment="1">
      <alignment horizontal="right" vertical="center" indent="1"/>
    </xf>
    <xf numFmtId="3" fontId="129" fillId="0" borderId="60" xfId="66" applyNumberFormat="1" applyFont="1" applyFill="1" applyBorder="1" applyAlignment="1">
      <alignment horizontal="right" vertical="center" indent="1"/>
    </xf>
    <xf numFmtId="0" fontId="129" fillId="0" borderId="67" xfId="66" applyFont="1" applyFill="1" applyBorder="1" applyAlignment="1">
      <alignment horizontal="right" vertical="center" indent="1"/>
    </xf>
    <xf numFmtId="3" fontId="129" fillId="0" borderId="52" xfId="66" applyNumberFormat="1" applyFont="1" applyFill="1" applyBorder="1" applyAlignment="1">
      <alignment horizontal="right" vertical="center" indent="1"/>
    </xf>
    <xf numFmtId="3" fontId="129" fillId="0" borderId="53" xfId="66" applyNumberFormat="1" applyFont="1" applyFill="1" applyBorder="1" applyAlignment="1">
      <alignment horizontal="right" vertical="center" indent="1"/>
    </xf>
    <xf numFmtId="0" fontId="129" fillId="0" borderId="53" xfId="66" applyFont="1" applyFill="1" applyBorder="1" applyAlignment="1">
      <alignment horizontal="right" vertical="center" indent="1"/>
    </xf>
    <xf numFmtId="0" fontId="129" fillId="0" borderId="52" xfId="52" applyFont="1" applyFill="1" applyBorder="1" applyAlignment="1">
      <alignment horizontal="left" vertical="center"/>
    </xf>
    <xf numFmtId="0" fontId="137" fillId="0" borderId="53" xfId="44" applyFont="1" applyFill="1" applyBorder="1" applyAlignment="1">
      <alignment horizontal="right" vertical="center" wrapText="1" indent="1"/>
    </xf>
    <xf numFmtId="0" fontId="129" fillId="0" borderId="47" xfId="52" applyFont="1" applyFill="1" applyBorder="1" applyAlignment="1">
      <alignment horizontal="left" vertical="center"/>
    </xf>
    <xf numFmtId="0" fontId="137" fillId="0" borderId="55" xfId="44" applyFont="1" applyFill="1" applyBorder="1" applyAlignment="1">
      <alignment horizontal="right" vertical="center" wrapText="1" indent="1"/>
    </xf>
    <xf numFmtId="3" fontId="129" fillId="0" borderId="54" xfId="0" applyNumberFormat="1" applyFont="1" applyBorder="1" applyAlignment="1">
      <alignment horizontal="right" indent="1"/>
    </xf>
    <xf numFmtId="0" fontId="128" fillId="0" borderId="0" xfId="66" applyFont="1" applyFill="1" applyBorder="1" applyAlignment="1">
      <alignment vertical="center"/>
    </xf>
    <xf numFmtId="0" fontId="129" fillId="0" borderId="12" xfId="66" applyFont="1" applyBorder="1" applyAlignment="1">
      <alignment vertical="center"/>
    </xf>
    <xf numFmtId="0" fontId="137" fillId="0" borderId="52" xfId="54" applyFont="1" applyFill="1" applyBorder="1" applyAlignment="1">
      <alignment horizontal="right" wrapText="1" indent="1"/>
    </xf>
    <xf numFmtId="0" fontId="137" fillId="0" borderId="53" xfId="54" applyFont="1" applyFill="1" applyBorder="1" applyAlignment="1">
      <alignment horizontal="right" wrapText="1" indent="1"/>
    </xf>
    <xf numFmtId="0" fontId="137" fillId="0" borderId="47" xfId="54" applyFont="1" applyFill="1" applyBorder="1" applyAlignment="1">
      <alignment horizontal="right" wrapText="1" indent="1"/>
    </xf>
    <xf numFmtId="0" fontId="137" fillId="0" borderId="55" xfId="54" applyFont="1" applyFill="1" applyBorder="1" applyAlignment="1">
      <alignment horizontal="right" wrapText="1" indent="1"/>
    </xf>
    <xf numFmtId="0" fontId="129" fillId="0" borderId="47" xfId="66" applyFont="1" applyFill="1" applyBorder="1" applyAlignment="1">
      <alignment horizontal="right" vertical="center" indent="1"/>
    </xf>
    <xf numFmtId="0" fontId="137" fillId="0" borderId="55" xfId="49" applyFont="1" applyFill="1" applyBorder="1" applyAlignment="1">
      <alignment horizontal="right" wrapText="1" indent="1"/>
    </xf>
    <xf numFmtId="0" fontId="129" fillId="0" borderId="55" xfId="66" applyFont="1" applyFill="1" applyBorder="1" applyAlignment="1">
      <alignment horizontal="right" indent="1"/>
    </xf>
    <xf numFmtId="0" fontId="137" fillId="0" borderId="61" xfId="54" applyFont="1" applyFill="1" applyBorder="1" applyAlignment="1">
      <alignment horizontal="right" wrapText="1" indent="1"/>
    </xf>
    <xf numFmtId="0" fontId="137" fillId="0" borderId="60" xfId="54" applyFont="1" applyFill="1" applyBorder="1" applyAlignment="1">
      <alignment horizontal="right" wrapText="1" indent="1"/>
    </xf>
    <xf numFmtId="0" fontId="137" fillId="0" borderId="66" xfId="54" applyFont="1" applyFill="1" applyBorder="1" applyAlignment="1">
      <alignment horizontal="right" wrapText="1" indent="1"/>
    </xf>
    <xf numFmtId="0" fontId="137" fillId="0" borderId="67" xfId="54" applyFont="1" applyFill="1" applyBorder="1" applyAlignment="1">
      <alignment horizontal="right" wrapText="1" indent="1"/>
    </xf>
    <xf numFmtId="3" fontId="137" fillId="0" borderId="67" xfId="55" applyNumberFormat="1" applyFont="1" applyFill="1" applyBorder="1" applyAlignment="1">
      <alignment horizontal="right" wrapText="1" indent="1"/>
    </xf>
    <xf numFmtId="0" fontId="129" fillId="0" borderId="60" xfId="66" applyFont="1" applyFill="1" applyBorder="1" applyAlignment="1">
      <alignment horizontal="right" vertical="center" indent="1"/>
    </xf>
    <xf numFmtId="0" fontId="129" fillId="0" borderId="66" xfId="66" applyFont="1" applyFill="1" applyBorder="1" applyAlignment="1">
      <alignment horizontal="right" vertical="center" indent="1"/>
    </xf>
    <xf numFmtId="0" fontId="129" fillId="0" borderId="52" xfId="66" applyFont="1" applyFill="1" applyBorder="1" applyAlignment="1">
      <alignment horizontal="right" vertical="center" indent="1"/>
    </xf>
    <xf numFmtId="0" fontId="137" fillId="0" borderId="53" xfId="49" applyFont="1" applyFill="1" applyBorder="1" applyAlignment="1">
      <alignment horizontal="right" wrapText="1" indent="1"/>
    </xf>
    <xf numFmtId="0" fontId="128" fillId="23" borderId="21" xfId="52" applyFont="1" applyFill="1" applyBorder="1" applyAlignment="1">
      <alignment horizontal="center" vertical="center"/>
    </xf>
    <xf numFmtId="3" fontId="150" fillId="23" borderId="16" xfId="53" applyNumberFormat="1" applyFont="1" applyFill="1" applyBorder="1" applyAlignment="1">
      <alignment horizontal="right" vertical="center" indent="1"/>
    </xf>
    <xf numFmtId="0" fontId="150" fillId="23" borderId="0" xfId="54" applyFont="1" applyFill="1" applyBorder="1" applyAlignment="1">
      <alignment horizontal="right" wrapText="1" indent="1"/>
    </xf>
    <xf numFmtId="3" fontId="128" fillId="23" borderId="17" xfId="66" applyNumberFormat="1" applyFont="1" applyFill="1" applyBorder="1" applyAlignment="1">
      <alignment horizontal="right" vertical="center" indent="1"/>
    </xf>
    <xf numFmtId="0" fontId="137" fillId="0" borderId="61" xfId="44" applyFont="1" applyFill="1" applyBorder="1" applyAlignment="1">
      <alignment horizontal="right" vertical="center" wrapText="1" indent="1"/>
    </xf>
    <xf numFmtId="0" fontId="128" fillId="23" borderId="48" xfId="52" applyFont="1" applyFill="1" applyBorder="1" applyAlignment="1">
      <alignment horizontal="center" vertical="center"/>
    </xf>
    <xf numFmtId="0" fontId="128" fillId="23" borderId="23" xfId="52" applyFont="1" applyFill="1" applyBorder="1" applyAlignment="1">
      <alignment horizontal="center" vertical="center"/>
    </xf>
    <xf numFmtId="3" fontId="150" fillId="23" borderId="20" xfId="53" applyNumberFormat="1" applyFont="1" applyFill="1" applyBorder="1" applyAlignment="1">
      <alignment horizontal="right" vertical="center" indent="1"/>
    </xf>
    <xf numFmtId="0" fontId="150" fillId="23" borderId="24" xfId="54" applyFont="1" applyFill="1" applyBorder="1" applyAlignment="1">
      <alignment horizontal="right" wrapText="1" indent="1"/>
    </xf>
    <xf numFmtId="3" fontId="150" fillId="23" borderId="13" xfId="54" applyNumberFormat="1" applyFont="1" applyFill="1" applyBorder="1" applyAlignment="1">
      <alignment horizontal="right" wrapText="1" indent="1"/>
    </xf>
    <xf numFmtId="3" fontId="150" fillId="23" borderId="14" xfId="54" applyNumberFormat="1" applyFont="1" applyFill="1" applyBorder="1" applyAlignment="1">
      <alignment horizontal="right" wrapText="1" indent="1"/>
    </xf>
    <xf numFmtId="3" fontId="150" fillId="23" borderId="10" xfId="54" applyNumberFormat="1" applyFont="1" applyFill="1" applyBorder="1" applyAlignment="1">
      <alignment horizontal="right" wrapText="1" indent="1"/>
    </xf>
    <xf numFmtId="3" fontId="128" fillId="23" borderId="13" xfId="54" applyNumberFormat="1" applyFont="1" applyFill="1" applyBorder="1" applyAlignment="1">
      <alignment horizontal="right" wrapText="1" indent="1"/>
    </xf>
    <xf numFmtId="3" fontId="128" fillId="23" borderId="14" xfId="54" applyNumberFormat="1" applyFont="1" applyFill="1" applyBorder="1" applyAlignment="1">
      <alignment horizontal="right" wrapText="1" indent="1"/>
    </xf>
    <xf numFmtId="3" fontId="128" fillId="23" borderId="10" xfId="54" applyNumberFormat="1" applyFont="1" applyFill="1" applyBorder="1" applyAlignment="1">
      <alignment horizontal="right" wrapText="1" indent="1"/>
    </xf>
    <xf numFmtId="3" fontId="137" fillId="0" borderId="52" xfId="46" applyNumberFormat="1" applyFont="1" applyFill="1" applyBorder="1" applyAlignment="1">
      <alignment horizontal="right" wrapText="1" indent="1"/>
    </xf>
    <xf numFmtId="3" fontId="137" fillId="0" borderId="53" xfId="46" applyNumberFormat="1" applyFont="1" applyFill="1" applyBorder="1" applyAlignment="1">
      <alignment horizontal="right" wrapText="1" indent="1"/>
    </xf>
    <xf numFmtId="3" fontId="137" fillId="0" borderId="51" xfId="46" applyNumberFormat="1" applyFont="1" applyFill="1" applyBorder="1" applyAlignment="1">
      <alignment horizontal="right" wrapText="1" indent="1"/>
    </xf>
    <xf numFmtId="3" fontId="137" fillId="0" borderId="51" xfId="51" applyNumberFormat="1" applyFont="1" applyFill="1" applyBorder="1" applyAlignment="1">
      <alignment horizontal="right" wrapText="1" indent="1"/>
    </xf>
    <xf numFmtId="3" fontId="137" fillId="0" borderId="52" xfId="51" applyNumberFormat="1" applyFont="1" applyFill="1" applyBorder="1" applyAlignment="1">
      <alignment horizontal="right" wrapText="1" indent="1"/>
    </xf>
    <xf numFmtId="3" fontId="137" fillId="0" borderId="53" xfId="51" applyNumberFormat="1" applyFont="1" applyFill="1" applyBorder="1" applyAlignment="1">
      <alignment horizontal="right" wrapText="1" indent="1"/>
    </xf>
    <xf numFmtId="3" fontId="137" fillId="0" borderId="53" xfId="47" applyNumberFormat="1" applyFont="1" applyFill="1" applyBorder="1" applyAlignment="1">
      <alignment horizontal="right" wrapText="1" indent="1"/>
    </xf>
    <xf numFmtId="3" fontId="129" fillId="0" borderId="52" xfId="0" applyNumberFormat="1" applyFont="1" applyBorder="1" applyAlignment="1">
      <alignment horizontal="right" vertical="center" indent="1"/>
    </xf>
    <xf numFmtId="3" fontId="129" fillId="0" borderId="53" xfId="0" applyNumberFormat="1" applyFont="1" applyBorder="1" applyAlignment="1">
      <alignment horizontal="right" vertical="center" indent="1"/>
    </xf>
    <xf numFmtId="3" fontId="129" fillId="0" borderId="51" xfId="0" applyNumberFormat="1" applyFont="1" applyBorder="1" applyAlignment="1">
      <alignment horizontal="right" vertical="center" indent="1"/>
    </xf>
    <xf numFmtId="3" fontId="137" fillId="0" borderId="47" xfId="46" applyNumberFormat="1" applyFont="1" applyFill="1" applyBorder="1" applyAlignment="1">
      <alignment horizontal="right" wrapText="1" indent="1"/>
    </xf>
    <xf numFmtId="3" fontId="137" fillId="0" borderId="55" xfId="46" applyNumberFormat="1" applyFont="1" applyFill="1" applyBorder="1" applyAlignment="1">
      <alignment horizontal="right" wrapText="1" indent="1"/>
    </xf>
    <xf numFmtId="3" fontId="137" fillId="0" borderId="54" xfId="46" applyNumberFormat="1" applyFont="1" applyFill="1" applyBorder="1" applyAlignment="1">
      <alignment horizontal="right" wrapText="1" indent="1"/>
    </xf>
    <xf numFmtId="3" fontId="137" fillId="0" borderId="54" xfId="51" applyNumberFormat="1" applyFont="1" applyFill="1" applyBorder="1" applyAlignment="1">
      <alignment horizontal="right" wrapText="1" indent="1"/>
    </xf>
    <xf numFmtId="3" fontId="137" fillId="0" borderId="47" xfId="51" applyNumberFormat="1" applyFont="1" applyFill="1" applyBorder="1" applyAlignment="1">
      <alignment horizontal="right" wrapText="1" indent="1"/>
    </xf>
    <xf numFmtId="3" fontId="137" fillId="0" borderId="55" xfId="51" applyNumberFormat="1" applyFont="1" applyFill="1" applyBorder="1" applyAlignment="1">
      <alignment horizontal="right" wrapText="1" indent="1"/>
    </xf>
    <xf numFmtId="3" fontId="137" fillId="0" borderId="55" xfId="47" applyNumberFormat="1" applyFont="1" applyFill="1" applyBorder="1" applyAlignment="1">
      <alignment horizontal="right" wrapText="1" indent="1"/>
    </xf>
    <xf numFmtId="3" fontId="129" fillId="0" borderId="47" xfId="0" applyNumberFormat="1" applyFont="1" applyBorder="1" applyAlignment="1">
      <alignment horizontal="right" vertical="center" indent="1"/>
    </xf>
    <xf numFmtId="3" fontId="129" fillId="0" borderId="55" xfId="0" applyNumberFormat="1" applyFont="1" applyBorder="1" applyAlignment="1">
      <alignment horizontal="right" vertical="center" indent="1"/>
    </xf>
    <xf numFmtId="3" fontId="129" fillId="0" borderId="54" xfId="0" applyNumberFormat="1" applyFont="1" applyBorder="1" applyAlignment="1">
      <alignment horizontal="right" vertical="center" indent="1"/>
    </xf>
    <xf numFmtId="3" fontId="129" fillId="0" borderId="54" xfId="66" applyNumberFormat="1" applyFont="1" applyFill="1" applyBorder="1" applyAlignment="1">
      <alignment horizontal="right" vertical="center" indent="1"/>
    </xf>
    <xf numFmtId="3" fontId="137" fillId="0" borderId="55" xfId="50" applyNumberFormat="1" applyFont="1" applyFill="1" applyBorder="1" applyAlignment="1">
      <alignment horizontal="right" wrapText="1" indent="1"/>
    </xf>
    <xf numFmtId="3" fontId="137" fillId="0" borderId="47" xfId="50" applyNumberFormat="1" applyFont="1" applyFill="1" applyBorder="1" applyAlignment="1">
      <alignment horizontal="right" wrapText="1" indent="1"/>
    </xf>
    <xf numFmtId="3" fontId="137" fillId="0" borderId="54" xfId="50" applyNumberFormat="1" applyFont="1" applyFill="1" applyBorder="1" applyAlignment="1">
      <alignment horizontal="right" wrapText="1" indent="1"/>
    </xf>
    <xf numFmtId="0" fontId="129" fillId="0" borderId="66" xfId="52" applyFont="1" applyFill="1" applyBorder="1" applyAlignment="1">
      <alignment horizontal="left" vertical="center"/>
    </xf>
    <xf numFmtId="3" fontId="137" fillId="0" borderId="66" xfId="46" applyNumberFormat="1" applyFont="1" applyFill="1" applyBorder="1" applyAlignment="1">
      <alignment horizontal="right" wrapText="1" indent="1"/>
    </xf>
    <xf numFmtId="3" fontId="137" fillId="0" borderId="67" xfId="46" applyNumberFormat="1" applyFont="1" applyFill="1" applyBorder="1" applyAlignment="1">
      <alignment horizontal="right" wrapText="1" indent="1"/>
    </xf>
    <xf numFmtId="3" fontId="137" fillId="0" borderId="68" xfId="46" applyNumberFormat="1" applyFont="1" applyFill="1" applyBorder="1" applyAlignment="1">
      <alignment horizontal="right" wrapText="1" indent="1"/>
    </xf>
    <xf numFmtId="3" fontId="137" fillId="0" borderId="68" xfId="51" applyNumberFormat="1" applyFont="1" applyFill="1" applyBorder="1" applyAlignment="1">
      <alignment horizontal="right" wrapText="1" indent="1"/>
    </xf>
    <xf numFmtId="3" fontId="137" fillId="0" borderId="66" xfId="51" applyNumberFormat="1" applyFont="1" applyFill="1" applyBorder="1" applyAlignment="1">
      <alignment horizontal="right" wrapText="1" indent="1"/>
    </xf>
    <xf numFmtId="3" fontId="137" fillId="0" borderId="67" xfId="51" applyNumberFormat="1" applyFont="1" applyFill="1" applyBorder="1" applyAlignment="1">
      <alignment horizontal="right" wrapText="1" indent="1"/>
    </xf>
    <xf numFmtId="3" fontId="137" fillId="0" borderId="67" xfId="47" applyNumberFormat="1" applyFont="1" applyFill="1" applyBorder="1" applyAlignment="1">
      <alignment horizontal="right" wrapText="1" indent="1"/>
    </xf>
    <xf numFmtId="3" fontId="129" fillId="0" borderId="66" xfId="0" applyNumberFormat="1" applyFont="1" applyBorder="1" applyAlignment="1">
      <alignment horizontal="right" vertical="center" indent="1"/>
    </xf>
    <xf numFmtId="3" fontId="129" fillId="0" borderId="67" xfId="0" applyNumberFormat="1" applyFont="1" applyBorder="1" applyAlignment="1">
      <alignment horizontal="right" vertical="center" indent="1"/>
    </xf>
    <xf numFmtId="3" fontId="129" fillId="0" borderId="68" xfId="0" applyNumberFormat="1" applyFont="1" applyBorder="1" applyAlignment="1">
      <alignment horizontal="right" vertical="center" indent="1"/>
    </xf>
    <xf numFmtId="3" fontId="150" fillId="23" borderId="57" xfId="53" applyNumberFormat="1" applyFont="1" applyFill="1" applyBorder="1" applyAlignment="1">
      <alignment horizontal="right" vertical="center" indent="1"/>
    </xf>
    <xf numFmtId="3" fontId="150" fillId="23" borderId="58" xfId="53" applyNumberFormat="1" applyFont="1" applyFill="1" applyBorder="1" applyAlignment="1">
      <alignment horizontal="right" vertical="center" indent="1"/>
    </xf>
    <xf numFmtId="3" fontId="150" fillId="23" borderId="56" xfId="53" applyNumberFormat="1" applyFont="1" applyFill="1" applyBorder="1" applyAlignment="1">
      <alignment horizontal="right" vertical="center" indent="1"/>
    </xf>
    <xf numFmtId="170" fontId="70" fillId="0" borderId="0" xfId="57" applyNumberFormat="1" applyFont="1" applyAlignment="1">
      <alignment vertical="center"/>
    </xf>
    <xf numFmtId="0" fontId="73" fillId="23" borderId="13" xfId="0" applyFont="1" applyFill="1" applyBorder="1" applyAlignment="1">
      <alignment horizontal="center" vertical="center"/>
    </xf>
    <xf numFmtId="0" fontId="128" fillId="0" borderId="0" xfId="66" applyFont="1" applyAlignment="1">
      <alignment vertical="center"/>
    </xf>
    <xf numFmtId="0" fontId="128" fillId="23" borderId="10" xfId="0" applyFont="1" applyFill="1" applyBorder="1" applyAlignment="1">
      <alignment horizontal="center" vertical="center" wrapText="1"/>
    </xf>
    <xf numFmtId="3" fontId="150" fillId="23" borderId="14" xfId="53" applyNumberFormat="1" applyFont="1" applyFill="1" applyBorder="1" applyAlignment="1">
      <alignment horizontal="right" vertical="center" indent="1"/>
    </xf>
    <xf numFmtId="3" fontId="150" fillId="23" borderId="10" xfId="53" applyNumberFormat="1" applyFont="1" applyFill="1" applyBorder="1" applyAlignment="1">
      <alignment horizontal="right" vertical="center" indent="1"/>
    </xf>
    <xf numFmtId="0" fontId="155" fillId="0" borderId="0" xfId="66" applyFont="1" applyAlignment="1">
      <alignment vertical="center"/>
    </xf>
    <xf numFmtId="0" fontId="72" fillId="0" borderId="0" xfId="66" applyFont="1" applyAlignment="1">
      <alignment horizontal="center" vertical="center"/>
    </xf>
    <xf numFmtId="0" fontId="80" fillId="0" borderId="0" xfId="0" applyFont="1" applyAlignment="1">
      <alignment horizontal="center"/>
    </xf>
    <xf numFmtId="0" fontId="70" fillId="0" borderId="0" xfId="374" applyAlignment="1">
      <alignment wrapText="1"/>
    </xf>
    <xf numFmtId="0" fontId="73" fillId="0" borderId="0" xfId="374" applyFont="1" applyAlignment="1">
      <alignment wrapText="1"/>
    </xf>
    <xf numFmtId="0" fontId="73" fillId="0" borderId="0" xfId="374" applyFont="1" applyAlignment="1">
      <alignment horizontal="center" vertical="center" wrapText="1"/>
    </xf>
    <xf numFmtId="0" fontId="70" fillId="0" borderId="0" xfId="374" applyFill="1" applyBorder="1" applyAlignment="1">
      <alignment horizontal="left" vertical="center" wrapText="1"/>
    </xf>
    <xf numFmtId="0" fontId="70" fillId="0" borderId="0" xfId="374" applyFill="1" applyBorder="1" applyAlignment="1">
      <alignment horizontal="center" vertical="center" wrapText="1"/>
    </xf>
    <xf numFmtId="0" fontId="70" fillId="0" borderId="0" xfId="374"/>
    <xf numFmtId="0" fontId="70" fillId="0" borderId="0" xfId="374" applyFont="1"/>
    <xf numFmtId="0" fontId="70" fillId="0" borderId="0" xfId="374" applyAlignment="1">
      <alignment horizontal="right" wrapText="1"/>
    </xf>
    <xf numFmtId="0" fontId="70" fillId="0" borderId="0" xfId="374" applyAlignment="1">
      <alignment horizontal="center" vertical="center"/>
    </xf>
    <xf numFmtId="0" fontId="117" fillId="0" borderId="0" xfId="374" applyFont="1"/>
    <xf numFmtId="0" fontId="72" fillId="0" borderId="24" xfId="66" applyFont="1" applyBorder="1" applyAlignment="1">
      <alignment vertical="center"/>
    </xf>
    <xf numFmtId="0" fontId="80" fillId="0" borderId="24" xfId="0" applyFont="1" applyBorder="1" applyAlignment="1"/>
    <xf numFmtId="0" fontId="109" fillId="0" borderId="0" xfId="66" applyFont="1" applyAlignment="1">
      <alignment vertical="center"/>
    </xf>
    <xf numFmtId="0" fontId="74" fillId="0" borderId="0" xfId="66" applyFont="1" applyAlignment="1"/>
    <xf numFmtId="0" fontId="108" fillId="0" borderId="0" xfId="0" applyFont="1" applyAlignment="1"/>
    <xf numFmtId="0" fontId="81" fillId="0" borderId="0" xfId="66" applyFont="1" applyAlignment="1">
      <alignment horizontal="left" vertical="center"/>
    </xf>
    <xf numFmtId="0" fontId="120" fillId="0" borderId="0" xfId="457" applyFont="1"/>
    <xf numFmtId="0" fontId="73" fillId="23" borderId="13" xfId="66" applyFont="1" applyFill="1" applyBorder="1" applyAlignment="1">
      <alignment horizontal="center" vertical="center"/>
    </xf>
    <xf numFmtId="0" fontId="73" fillId="23" borderId="10" xfId="66" applyFont="1" applyFill="1" applyBorder="1" applyAlignment="1">
      <alignment horizontal="center" vertical="center"/>
    </xf>
    <xf numFmtId="0" fontId="73" fillId="23" borderId="14" xfId="66" applyFont="1" applyFill="1" applyBorder="1" applyAlignment="1">
      <alignment horizontal="center"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0" fontId="130" fillId="0" borderId="0" xfId="0" applyFont="1"/>
    <xf numFmtId="3" fontId="150" fillId="23" borderId="14" xfId="46" applyNumberFormat="1" applyFont="1" applyFill="1" applyBorder="1" applyAlignment="1">
      <alignment horizontal="right" wrapText="1" indent="1"/>
    </xf>
    <xf numFmtId="3" fontId="150" fillId="23" borderId="10" xfId="46" applyNumberFormat="1" applyFont="1" applyFill="1" applyBorder="1" applyAlignment="1">
      <alignment horizontal="right" wrapText="1" indent="1"/>
    </xf>
    <xf numFmtId="0" fontId="72" fillId="0" borderId="0" xfId="374" applyFont="1" applyFill="1" applyBorder="1" applyAlignment="1">
      <alignment vertical="center"/>
    </xf>
    <xf numFmtId="0" fontId="108" fillId="0" borderId="0" xfId="374" applyFont="1" applyFill="1" applyBorder="1" applyAlignment="1">
      <alignment vertical="center"/>
    </xf>
    <xf numFmtId="0" fontId="72" fillId="0" borderId="0" xfId="374" applyFont="1" applyFill="1" applyBorder="1" applyAlignment="1">
      <alignment vertical="center" wrapText="1"/>
    </xf>
    <xf numFmtId="0" fontId="129" fillId="0" borderId="52" xfId="463" applyFont="1" applyFill="1" applyBorder="1" applyAlignment="1">
      <alignment horizontal="left" vertical="center"/>
    </xf>
    <xf numFmtId="3" fontId="128" fillId="0" borderId="53" xfId="374" applyNumberFormat="1" applyFont="1" applyFill="1" applyBorder="1" applyAlignment="1">
      <alignment horizontal="right" vertical="center" indent="1"/>
    </xf>
    <xf numFmtId="3" fontId="129" fillId="0" borderId="52" xfId="374" applyNumberFormat="1" applyFont="1" applyFill="1" applyBorder="1" applyAlignment="1">
      <alignment horizontal="right" vertical="center" indent="1"/>
    </xf>
    <xf numFmtId="3" fontId="128" fillId="0" borderId="51" xfId="374" applyNumberFormat="1" applyFont="1" applyFill="1" applyBorder="1" applyAlignment="1">
      <alignment horizontal="right" vertical="center" indent="1"/>
    </xf>
    <xf numFmtId="3" fontId="129" fillId="0" borderId="53" xfId="374" applyNumberFormat="1" applyFont="1" applyBorder="1" applyAlignment="1">
      <alignment horizontal="right" indent="1"/>
    </xf>
    <xf numFmtId="3" fontId="128" fillId="0" borderId="51" xfId="374" applyNumberFormat="1" applyFont="1" applyBorder="1" applyAlignment="1">
      <alignment horizontal="right" indent="1"/>
    </xf>
    <xf numFmtId="3" fontId="129" fillId="0" borderId="52" xfId="374" applyNumberFormat="1" applyFont="1" applyBorder="1" applyAlignment="1">
      <alignment horizontal="right" indent="1"/>
    </xf>
    <xf numFmtId="0" fontId="74" fillId="0" borderId="0" xfId="374" applyFont="1" applyFill="1" applyBorder="1" applyAlignment="1">
      <alignment vertical="center"/>
    </xf>
    <xf numFmtId="0" fontId="129" fillId="0" borderId="47" xfId="463" applyFont="1" applyFill="1" applyBorder="1" applyAlignment="1">
      <alignment horizontal="left" vertical="center"/>
    </xf>
    <xf numFmtId="3" fontId="128" fillId="0" borderId="55" xfId="374" applyNumberFormat="1" applyFont="1" applyFill="1" applyBorder="1" applyAlignment="1">
      <alignment horizontal="right" vertical="center" indent="1"/>
    </xf>
    <xf numFmtId="3" fontId="129" fillId="0" borderId="47" xfId="374" applyNumberFormat="1" applyFont="1" applyFill="1" applyBorder="1" applyAlignment="1">
      <alignment horizontal="right" vertical="center" indent="1"/>
    </xf>
    <xf numFmtId="3" fontId="128" fillId="0" borderId="54" xfId="374" applyNumberFormat="1" applyFont="1" applyFill="1" applyBorder="1" applyAlignment="1">
      <alignment horizontal="right" vertical="center" indent="1"/>
    </xf>
    <xf numFmtId="3" fontId="129" fillId="0" borderId="55" xfId="374" applyNumberFormat="1" applyFont="1" applyBorder="1" applyAlignment="1">
      <alignment horizontal="right" indent="1"/>
    </xf>
    <xf numFmtId="3" fontId="128" fillId="0" borderId="54" xfId="374" applyNumberFormat="1" applyFont="1" applyBorder="1" applyAlignment="1">
      <alignment horizontal="right" indent="1"/>
    </xf>
    <xf numFmtId="3" fontId="129" fillId="0" borderId="47" xfId="374" applyNumberFormat="1" applyFont="1" applyBorder="1" applyAlignment="1">
      <alignment horizontal="right" indent="1"/>
    </xf>
    <xf numFmtId="0" fontId="129" fillId="0" borderId="60" xfId="463" applyFont="1" applyFill="1" applyBorder="1" applyAlignment="1">
      <alignment horizontal="left" vertical="center"/>
    </xf>
    <xf numFmtId="3" fontId="128" fillId="0" borderId="61" xfId="374" applyNumberFormat="1" applyFont="1" applyFill="1" applyBorder="1" applyAlignment="1">
      <alignment horizontal="right" vertical="center" indent="1"/>
    </xf>
    <xf numFmtId="3" fontId="129" fillId="0" borderId="60" xfId="374" applyNumberFormat="1" applyFont="1" applyFill="1" applyBorder="1" applyAlignment="1">
      <alignment horizontal="right" vertical="center" indent="1"/>
    </xf>
    <xf numFmtId="3" fontId="128" fillId="0" borderId="59" xfId="374" applyNumberFormat="1" applyFont="1" applyFill="1" applyBorder="1" applyAlignment="1">
      <alignment horizontal="right" vertical="center" indent="1"/>
    </xf>
    <xf numFmtId="3" fontId="129" fillId="0" borderId="61" xfId="374" applyNumberFormat="1" applyFont="1" applyBorder="1" applyAlignment="1">
      <alignment horizontal="right" indent="1"/>
    </xf>
    <xf numFmtId="3" fontId="128" fillId="0" borderId="59" xfId="374" applyNumberFormat="1" applyFont="1" applyBorder="1" applyAlignment="1">
      <alignment horizontal="right" indent="1"/>
    </xf>
    <xf numFmtId="3" fontId="129" fillId="0" borderId="60" xfId="374" applyNumberFormat="1" applyFont="1" applyBorder="1" applyAlignment="1">
      <alignment horizontal="right" indent="1"/>
    </xf>
    <xf numFmtId="0" fontId="128" fillId="23" borderId="48" xfId="463" applyFont="1" applyFill="1" applyBorder="1" applyAlignment="1">
      <alignment horizontal="center" vertical="center"/>
    </xf>
    <xf numFmtId="3" fontId="128" fillId="23" borderId="57" xfId="374" applyNumberFormat="1" applyFont="1" applyFill="1" applyBorder="1" applyAlignment="1">
      <alignment horizontal="right" indent="1"/>
    </xf>
    <xf numFmtId="3" fontId="128" fillId="23" borderId="58" xfId="374" applyNumberFormat="1" applyFont="1" applyFill="1" applyBorder="1" applyAlignment="1">
      <alignment horizontal="right" indent="1"/>
    </xf>
    <xf numFmtId="3" fontId="128" fillId="23" borderId="56" xfId="374" applyNumberFormat="1" applyFont="1" applyFill="1" applyBorder="1" applyAlignment="1">
      <alignment horizontal="right" indent="1"/>
    </xf>
    <xf numFmtId="3" fontId="129" fillId="0" borderId="45" xfId="374" applyNumberFormat="1" applyFont="1" applyBorder="1"/>
    <xf numFmtId="0" fontId="129" fillId="0" borderId="53" xfId="374" applyFont="1" applyBorder="1" applyAlignment="1">
      <alignment horizontal="right" vertical="center" indent="1"/>
    </xf>
    <xf numFmtId="0" fontId="129" fillId="0" borderId="51" xfId="374" applyFont="1" applyBorder="1" applyAlignment="1">
      <alignment horizontal="right" vertical="center" indent="1"/>
    </xf>
    <xf numFmtId="3" fontId="129" fillId="0" borderId="51" xfId="374" applyNumberFormat="1" applyFont="1" applyBorder="1" applyAlignment="1">
      <alignment horizontal="right" indent="1"/>
    </xf>
    <xf numFmtId="3" fontId="129" fillId="0" borderId="46" xfId="374" applyNumberFormat="1" applyFont="1" applyBorder="1"/>
    <xf numFmtId="0" fontId="129" fillId="0" borderId="55" xfId="374" applyFont="1" applyBorder="1" applyAlignment="1">
      <alignment horizontal="right" vertical="center" indent="1"/>
    </xf>
    <xf numFmtId="0" fontId="129" fillId="0" borderId="54" xfId="374" applyFont="1" applyBorder="1" applyAlignment="1">
      <alignment horizontal="right" vertical="center" indent="1"/>
    </xf>
    <xf numFmtId="3" fontId="129" fillId="0" borderId="54" xfId="374" applyNumberFormat="1" applyFont="1" applyBorder="1" applyAlignment="1">
      <alignment horizontal="right" indent="1"/>
    </xf>
    <xf numFmtId="0" fontId="129" fillId="0" borderId="52" xfId="374" applyFont="1" applyBorder="1" applyAlignment="1">
      <alignment horizontal="right" indent="1"/>
    </xf>
    <xf numFmtId="0" fontId="129" fillId="0" borderId="53" xfId="374" applyFont="1" applyBorder="1" applyAlignment="1">
      <alignment horizontal="right" indent="1"/>
    </xf>
    <xf numFmtId="0" fontId="128" fillId="0" borderId="51" xfId="374" applyFont="1" applyBorder="1" applyAlignment="1">
      <alignment horizontal="right" indent="1"/>
    </xf>
    <xf numFmtId="0" fontId="129" fillId="0" borderId="47" xfId="374" applyFont="1" applyBorder="1" applyAlignment="1">
      <alignment horizontal="right" indent="1"/>
    </xf>
    <xf numFmtId="0" fontId="129" fillId="0" borderId="55" xfId="374" applyFont="1" applyBorder="1" applyAlignment="1">
      <alignment horizontal="right" indent="1"/>
    </xf>
    <xf numFmtId="0" fontId="128" fillId="0" borderId="54" xfId="374" applyFont="1" applyBorder="1" applyAlignment="1">
      <alignment horizontal="right" indent="1"/>
    </xf>
    <xf numFmtId="3" fontId="129" fillId="0" borderId="55" xfId="374" applyNumberFormat="1" applyFont="1" applyFill="1" applyBorder="1" applyAlignment="1">
      <alignment horizontal="right" vertical="center" indent="1"/>
    </xf>
    <xf numFmtId="3" fontId="128" fillId="23" borderId="13" xfId="374" applyNumberFormat="1" applyFont="1" applyFill="1" applyBorder="1" applyAlignment="1">
      <alignment horizontal="right" indent="1"/>
    </xf>
    <xf numFmtId="3" fontId="128" fillId="23" borderId="14" xfId="374" applyNumberFormat="1" applyFont="1" applyFill="1" applyBorder="1" applyAlignment="1">
      <alignment horizontal="right" indent="1"/>
    </xf>
    <xf numFmtId="3" fontId="128" fillId="23" borderId="10" xfId="374" applyNumberFormat="1" applyFont="1" applyFill="1" applyBorder="1" applyAlignment="1">
      <alignment horizontal="right" indent="1"/>
    </xf>
    <xf numFmtId="0" fontId="70" fillId="0" borderId="0" xfId="374" applyFont="1" applyFill="1" applyBorder="1" applyAlignment="1">
      <alignment vertical="center"/>
    </xf>
    <xf numFmtId="0" fontId="82" fillId="0" borderId="0" xfId="374" applyFont="1" applyBorder="1" applyAlignment="1">
      <alignment vertical="center"/>
    </xf>
    <xf numFmtId="0" fontId="76" fillId="0" borderId="0" xfId="374" applyFont="1" applyFill="1" applyBorder="1" applyAlignment="1">
      <alignment vertical="center"/>
    </xf>
    <xf numFmtId="0" fontId="70" fillId="0" borderId="0" xfId="374" applyAlignment="1">
      <alignment vertical="center"/>
    </xf>
    <xf numFmtId="0" fontId="70" fillId="0" borderId="0" xfId="374" applyFont="1" applyAlignment="1">
      <alignment vertical="center"/>
    </xf>
    <xf numFmtId="0" fontId="73" fillId="0" borderId="0" xfId="374" applyFont="1" applyAlignment="1">
      <alignment vertical="center"/>
    </xf>
    <xf numFmtId="0" fontId="72" fillId="0" borderId="0" xfId="374" applyFont="1" applyAlignment="1"/>
    <xf numFmtId="0" fontId="70" fillId="0" borderId="0" xfId="374" applyAlignment="1">
      <alignment horizontal="center"/>
    </xf>
    <xf numFmtId="0" fontId="72" fillId="0" borderId="0" xfId="0" applyFont="1" applyAlignment="1"/>
    <xf numFmtId="0" fontId="129" fillId="0" borderId="25" xfId="0" applyFont="1" applyFill="1" applyBorder="1" applyAlignment="1">
      <alignment horizontal="center" vertical="center"/>
    </xf>
    <xf numFmtId="0" fontId="129" fillId="0" borderId="26" xfId="0" applyFont="1" applyFill="1" applyBorder="1" applyAlignment="1">
      <alignment horizontal="center" vertical="center"/>
    </xf>
    <xf numFmtId="0" fontId="129" fillId="0" borderId="27" xfId="0" applyFont="1" applyFill="1" applyBorder="1" applyAlignment="1">
      <alignment horizontal="center" vertical="center"/>
    </xf>
    <xf numFmtId="0" fontId="73" fillId="23" borderId="24" xfId="66" applyFont="1" applyFill="1" applyBorder="1" applyAlignment="1">
      <alignment horizontal="center" vertical="center"/>
    </xf>
    <xf numFmtId="0" fontId="73" fillId="0" borderId="22" xfId="66" applyFont="1" applyFill="1" applyBorder="1" applyAlignment="1">
      <alignment horizontal="center" vertical="center"/>
    </xf>
    <xf numFmtId="0" fontId="128" fillId="0" borderId="22" xfId="66" applyFont="1" applyFill="1" applyBorder="1" applyAlignment="1">
      <alignment horizontal="center" vertical="center" wrapText="1"/>
    </xf>
    <xf numFmtId="3" fontId="129" fillId="0" borderId="25" xfId="0" applyNumberFormat="1" applyFont="1" applyFill="1" applyBorder="1" applyAlignment="1">
      <alignment horizontal="center" vertical="center"/>
    </xf>
    <xf numFmtId="3" fontId="129" fillId="0" borderId="26" xfId="0" applyNumberFormat="1" applyFont="1" applyFill="1" applyBorder="1" applyAlignment="1">
      <alignment horizontal="center" vertical="center"/>
    </xf>
    <xf numFmtId="3" fontId="129" fillId="0" borderId="27" xfId="0" applyNumberFormat="1" applyFont="1" applyFill="1" applyBorder="1" applyAlignment="1">
      <alignment horizontal="center" vertical="center"/>
    </xf>
    <xf numFmtId="3" fontId="128" fillId="23" borderId="18" xfId="0" applyNumberFormat="1" applyFont="1" applyFill="1" applyBorder="1" applyAlignment="1">
      <alignment horizontal="center" vertical="center"/>
    </xf>
    <xf numFmtId="0" fontId="128" fillId="0" borderId="0" xfId="0" applyFont="1"/>
    <xf numFmtId="0" fontId="128" fillId="0" borderId="0" xfId="66" applyFont="1" applyFill="1" applyBorder="1" applyAlignment="1">
      <alignment horizontal="center" vertical="center"/>
    </xf>
    <xf numFmtId="0" fontId="80" fillId="0" borderId="0" xfId="0" applyFont="1" applyBorder="1" applyAlignment="1"/>
    <xf numFmtId="169" fontId="132" fillId="23" borderId="13" xfId="67" applyNumberFormat="1" applyFont="1" applyFill="1" applyBorder="1" applyAlignment="1">
      <alignment horizontal="center" vertical="center"/>
    </xf>
    <xf numFmtId="169" fontId="132" fillId="23" borderId="14" xfId="67" applyNumberFormat="1" applyFont="1" applyFill="1" applyBorder="1" applyAlignment="1">
      <alignment horizontal="center" vertical="center"/>
    </xf>
    <xf numFmtId="169" fontId="132" fillId="23" borderId="10" xfId="67" applyNumberFormat="1" applyFont="1" applyFill="1" applyBorder="1" applyAlignment="1">
      <alignment horizontal="center" vertical="center"/>
    </xf>
    <xf numFmtId="169" fontId="132" fillId="0" borderId="10" xfId="68" applyNumberFormat="1" applyFont="1" applyFill="1" applyBorder="1" applyAlignment="1">
      <alignment horizontal="centerContinuous" vertical="center"/>
    </xf>
    <xf numFmtId="169" fontId="132" fillId="0" borderId="22" xfId="67" applyNumberFormat="1" applyFont="1" applyFill="1" applyBorder="1" applyAlignment="1">
      <alignment horizontal="center" vertical="center"/>
    </xf>
    <xf numFmtId="169" fontId="132" fillId="0" borderId="19" xfId="68" applyNumberFormat="1" applyFont="1" applyFill="1" applyBorder="1" applyAlignment="1">
      <alignment horizontal="centerContinuous" vertical="center"/>
    </xf>
    <xf numFmtId="169" fontId="132" fillId="0" borderId="24" xfId="67" applyNumberFormat="1" applyFont="1" applyFill="1" applyBorder="1" applyAlignment="1">
      <alignment horizontal="center" vertical="center"/>
    </xf>
    <xf numFmtId="0" fontId="81" fillId="0" borderId="0" xfId="66" applyFont="1" applyAlignment="1">
      <alignment horizontal="left" vertical="center"/>
    </xf>
    <xf numFmtId="0" fontId="108" fillId="0" borderId="0" xfId="66" applyFont="1" applyAlignment="1">
      <alignment horizontal="center" vertical="center"/>
    </xf>
    <xf numFmtId="0" fontId="72" fillId="0" borderId="0" xfId="66" applyFont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72" fillId="0" borderId="0" xfId="374" applyFont="1" applyAlignment="1">
      <alignment vertical="center"/>
    </xf>
    <xf numFmtId="0" fontId="70" fillId="0" borderId="0" xfId="374" applyFont="1" applyBorder="1" applyAlignment="1">
      <alignment vertical="center"/>
    </xf>
    <xf numFmtId="0" fontId="72" fillId="0" borderId="0" xfId="374" applyFont="1" applyBorder="1" applyAlignment="1">
      <alignment vertical="center"/>
    </xf>
    <xf numFmtId="0" fontId="73" fillId="0" borderId="0" xfId="374" applyFont="1" applyBorder="1" applyAlignment="1">
      <alignment vertical="center"/>
    </xf>
    <xf numFmtId="0" fontId="81" fillId="0" borderId="12" xfId="374" applyFont="1" applyBorder="1" applyAlignment="1">
      <alignment vertical="center"/>
    </xf>
    <xf numFmtId="0" fontId="81" fillId="0" borderId="0" xfId="374" applyFont="1" applyAlignment="1">
      <alignment vertical="center"/>
    </xf>
    <xf numFmtId="0" fontId="70" fillId="0" borderId="0" xfId="374" applyFont="1" applyAlignment="1">
      <alignment horizontal="center" vertical="center"/>
    </xf>
    <xf numFmtId="0" fontId="146" fillId="23" borderId="13" xfId="0" applyFont="1" applyFill="1" applyBorder="1" applyAlignment="1">
      <alignment horizontal="center" vertical="center" wrapText="1" readingOrder="1"/>
    </xf>
    <xf numFmtId="0" fontId="146" fillId="23" borderId="14" xfId="0" applyFont="1" applyFill="1" applyBorder="1" applyAlignment="1">
      <alignment horizontal="center" vertical="center" wrapText="1" readingOrder="1"/>
    </xf>
    <xf numFmtId="3" fontId="146" fillId="23" borderId="42" xfId="0" applyNumberFormat="1" applyFont="1" applyFill="1" applyBorder="1" applyAlignment="1">
      <alignment horizontal="right" vertical="center" wrapText="1" indent="1"/>
    </xf>
    <xf numFmtId="0" fontId="81" fillId="0" borderId="0" xfId="66" applyFont="1" applyAlignment="1">
      <alignment horizontal="left" vertical="center"/>
    </xf>
    <xf numFmtId="0" fontId="82" fillId="0" borderId="0" xfId="457" applyFont="1"/>
    <xf numFmtId="0" fontId="129" fillId="0" borderId="30" xfId="66" applyFont="1" applyBorder="1" applyAlignment="1">
      <alignment horizontal="center" vertical="center"/>
    </xf>
    <xf numFmtId="3" fontId="129" fillId="0" borderId="25" xfId="66" applyNumberFormat="1" applyFont="1" applyBorder="1" applyAlignment="1">
      <alignment horizontal="right" vertical="center" indent="1"/>
    </xf>
    <xf numFmtId="3" fontId="129" fillId="0" borderId="35" xfId="66" applyNumberFormat="1" applyFont="1" applyBorder="1" applyAlignment="1">
      <alignment horizontal="right" vertical="center" indent="1"/>
    </xf>
    <xf numFmtId="3" fontId="128" fillId="0" borderId="35" xfId="66" applyNumberFormat="1" applyFont="1" applyBorder="1" applyAlignment="1">
      <alignment horizontal="right" vertical="center" indent="1"/>
    </xf>
    <xf numFmtId="3" fontId="128" fillId="0" borderId="40" xfId="66" applyNumberFormat="1" applyFont="1" applyBorder="1" applyAlignment="1">
      <alignment horizontal="right" vertical="center" indent="1"/>
    </xf>
    <xf numFmtId="0" fontId="129" fillId="0" borderId="31" xfId="66" applyFont="1" applyBorder="1" applyAlignment="1">
      <alignment horizontal="center" vertical="center"/>
    </xf>
    <xf numFmtId="3" fontId="129" fillId="0" borderId="26" xfId="66" applyNumberFormat="1" applyFont="1" applyBorder="1" applyAlignment="1">
      <alignment horizontal="right" vertical="center" indent="1"/>
    </xf>
    <xf numFmtId="3" fontId="129" fillId="0" borderId="36" xfId="66" applyNumberFormat="1" applyFont="1" applyBorder="1" applyAlignment="1">
      <alignment horizontal="right" vertical="center" indent="1"/>
    </xf>
    <xf numFmtId="3" fontId="128" fillId="0" borderId="36" xfId="66" applyNumberFormat="1" applyFont="1" applyBorder="1" applyAlignment="1">
      <alignment horizontal="right" vertical="center" indent="1"/>
    </xf>
    <xf numFmtId="3" fontId="128" fillId="0" borderId="41" xfId="66" applyNumberFormat="1" applyFont="1" applyBorder="1" applyAlignment="1">
      <alignment horizontal="right" vertical="center" indent="1"/>
    </xf>
    <xf numFmtId="3" fontId="129" fillId="0" borderId="41" xfId="66" applyNumberFormat="1" applyFont="1" applyBorder="1" applyAlignment="1">
      <alignment horizontal="right" vertical="center" indent="1"/>
    </xf>
    <xf numFmtId="0" fontId="129" fillId="0" borderId="34" xfId="66" applyFont="1" applyBorder="1" applyAlignment="1">
      <alignment horizontal="center" vertical="center"/>
    </xf>
    <xf numFmtId="3" fontId="129" fillId="0" borderId="29" xfId="66" applyNumberFormat="1" applyFont="1" applyBorder="1" applyAlignment="1">
      <alignment horizontal="right" vertical="center" indent="1"/>
    </xf>
    <xf numFmtId="3" fontId="129" fillId="0" borderId="39" xfId="66" applyNumberFormat="1" applyFont="1" applyBorder="1" applyAlignment="1">
      <alignment horizontal="right" vertical="center" indent="1"/>
    </xf>
    <xf numFmtId="3" fontId="128" fillId="0" borderId="39" xfId="66" applyNumberFormat="1" applyFont="1" applyBorder="1" applyAlignment="1">
      <alignment horizontal="right" vertical="center" indent="1"/>
    </xf>
    <xf numFmtId="3" fontId="128" fillId="0" borderId="44" xfId="66" applyNumberFormat="1" applyFont="1" applyBorder="1" applyAlignment="1">
      <alignment horizontal="right" vertical="center" indent="1"/>
    </xf>
    <xf numFmtId="3" fontId="129" fillId="0" borderId="44" xfId="66" applyNumberFormat="1" applyFont="1" applyBorder="1" applyAlignment="1">
      <alignment horizontal="right" vertical="center" indent="1"/>
    </xf>
    <xf numFmtId="0" fontId="143" fillId="0" borderId="0" xfId="66" applyFont="1" applyAlignment="1">
      <alignment vertical="center"/>
    </xf>
    <xf numFmtId="0" fontId="129" fillId="0" borderId="41" xfId="66" applyFont="1" applyBorder="1" applyAlignment="1">
      <alignment horizontal="center" vertical="center"/>
    </xf>
    <xf numFmtId="3" fontId="129" fillId="0" borderId="40" xfId="66" applyNumberFormat="1" applyFont="1" applyBorder="1" applyAlignment="1">
      <alignment horizontal="right" vertical="center" indent="1"/>
    </xf>
    <xf numFmtId="3" fontId="129" fillId="0" borderId="27" xfId="66" applyNumberFormat="1" applyFont="1" applyBorder="1" applyAlignment="1">
      <alignment horizontal="right" vertical="center" indent="1"/>
    </xf>
    <xf numFmtId="3" fontId="129" fillId="0" borderId="37" xfId="66" applyNumberFormat="1" applyFont="1" applyBorder="1" applyAlignment="1">
      <alignment horizontal="right" vertical="center" indent="1"/>
    </xf>
    <xf numFmtId="3" fontId="128" fillId="0" borderId="42" xfId="66" applyNumberFormat="1" applyFont="1" applyBorder="1" applyAlignment="1">
      <alignment horizontal="right" vertical="center" indent="1"/>
    </xf>
    <xf numFmtId="0" fontId="128" fillId="0" borderId="22" xfId="66" applyFont="1" applyFill="1" applyBorder="1" applyAlignment="1">
      <alignment horizontal="center" vertical="center"/>
    </xf>
    <xf numFmtId="0" fontId="129" fillId="0" borderId="11" xfId="66" applyFont="1" applyBorder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9" fillId="0" borderId="21" xfId="374" applyFont="1" applyBorder="1" applyAlignment="1">
      <alignment horizontal="center" vertical="center"/>
    </xf>
    <xf numFmtId="0" fontId="129" fillId="0" borderId="19" xfId="66" applyFont="1" applyBorder="1" applyAlignment="1">
      <alignment horizontal="center" vertical="center"/>
    </xf>
    <xf numFmtId="0" fontId="128" fillId="23" borderId="14" xfId="0" applyFont="1" applyFill="1" applyBorder="1" applyAlignment="1">
      <alignment horizontal="center" vertical="center" wrapText="1"/>
    </xf>
    <xf numFmtId="0" fontId="129" fillId="0" borderId="18" xfId="66" applyFont="1" applyFill="1" applyBorder="1" applyAlignment="1">
      <alignment horizontal="center" vertical="center"/>
    </xf>
    <xf numFmtId="0" fontId="137" fillId="0" borderId="41" xfId="66" applyFont="1" applyFill="1" applyBorder="1" applyAlignment="1">
      <alignment vertical="center" wrapText="1"/>
    </xf>
    <xf numFmtId="0" fontId="129" fillId="0" borderId="41" xfId="66" applyFont="1" applyFill="1" applyBorder="1" applyAlignment="1">
      <alignment vertical="center" wrapText="1"/>
    </xf>
    <xf numFmtId="0" fontId="150" fillId="23" borderId="42" xfId="66" applyFont="1" applyFill="1" applyBorder="1" applyAlignment="1">
      <alignment horizontal="center" vertical="center" wrapText="1"/>
    </xf>
    <xf numFmtId="0" fontId="137" fillId="0" borderId="43" xfId="66" applyFont="1" applyFill="1" applyBorder="1" applyAlignment="1">
      <alignment vertical="center" wrapText="1"/>
    </xf>
    <xf numFmtId="0" fontId="137" fillId="0" borderId="44" xfId="66" applyFont="1" applyFill="1" applyBorder="1" applyAlignment="1">
      <alignment vertical="center" wrapText="1"/>
    </xf>
    <xf numFmtId="3" fontId="129" fillId="0" borderId="35" xfId="66" applyNumberFormat="1" applyFont="1" applyFill="1" applyBorder="1" applyAlignment="1" applyProtection="1">
      <alignment horizontal="center" vertical="center"/>
    </xf>
    <xf numFmtId="3" fontId="128" fillId="0" borderId="40" xfId="66" applyNumberFormat="1" applyFont="1" applyFill="1" applyBorder="1" applyAlignment="1" applyProtection="1">
      <alignment horizontal="center" vertical="center"/>
    </xf>
    <xf numFmtId="3" fontId="128" fillId="0" borderId="40" xfId="66" applyNumberFormat="1" applyFont="1" applyFill="1" applyBorder="1" applyAlignment="1">
      <alignment horizontal="center" vertical="center"/>
    </xf>
    <xf numFmtId="3" fontId="129" fillId="0" borderId="36" xfId="66" applyNumberFormat="1" applyFont="1" applyFill="1" applyBorder="1" applyAlignment="1" applyProtection="1">
      <alignment horizontal="center" vertical="center"/>
    </xf>
    <xf numFmtId="3" fontId="128" fillId="0" borderId="41" xfId="66" applyNumberFormat="1" applyFont="1" applyFill="1" applyBorder="1" applyAlignment="1" applyProtection="1">
      <alignment horizontal="center" vertical="center"/>
    </xf>
    <xf numFmtId="3" fontId="128" fillId="0" borderId="41" xfId="66" applyNumberFormat="1" applyFont="1" applyFill="1" applyBorder="1" applyAlignment="1">
      <alignment horizontal="center" vertical="center"/>
    </xf>
    <xf numFmtId="3" fontId="129" fillId="0" borderId="36" xfId="66" applyNumberFormat="1" applyFont="1" applyFill="1" applyBorder="1" applyAlignment="1">
      <alignment horizontal="center" vertical="center"/>
    </xf>
    <xf numFmtId="0" fontId="129" fillId="0" borderId="30" xfId="66" applyFont="1" applyFill="1" applyBorder="1" applyAlignment="1">
      <alignment vertical="center" wrapText="1"/>
    </xf>
    <xf numFmtId="0" fontId="129" fillId="0" borderId="31" xfId="66" applyFont="1" applyFill="1" applyBorder="1" applyAlignment="1">
      <alignment vertical="center" wrapText="1"/>
    </xf>
    <xf numFmtId="0" fontId="129" fillId="0" borderId="34" xfId="66" applyFont="1" applyFill="1" applyBorder="1" applyAlignment="1">
      <alignment vertical="center" wrapText="1"/>
    </xf>
    <xf numFmtId="3" fontId="129" fillId="0" borderId="39" xfId="66" applyNumberFormat="1" applyFont="1" applyFill="1" applyBorder="1" applyAlignment="1" applyProtection="1">
      <alignment horizontal="center" vertical="center"/>
    </xf>
    <xf numFmtId="3" fontId="128" fillId="0" borderId="44" xfId="66" applyNumberFormat="1" applyFont="1" applyFill="1" applyBorder="1" applyAlignment="1" applyProtection="1">
      <alignment horizontal="center" vertical="center"/>
    </xf>
    <xf numFmtId="0" fontId="137" fillId="0" borderId="31" xfId="66" applyFont="1" applyFill="1" applyBorder="1" applyAlignment="1">
      <alignment vertical="center" wrapText="1"/>
    </xf>
    <xf numFmtId="0" fontId="137" fillId="0" borderId="30" xfId="66" applyFont="1" applyFill="1" applyBorder="1" applyAlignment="1">
      <alignment vertical="center" wrapText="1"/>
    </xf>
    <xf numFmtId="0" fontId="137" fillId="0" borderId="34" xfId="66" applyFont="1" applyFill="1" applyBorder="1" applyAlignment="1">
      <alignment vertical="center" wrapText="1"/>
    </xf>
    <xf numFmtId="0" fontId="137" fillId="0" borderId="33" xfId="66" applyFont="1" applyFill="1" applyBorder="1" applyAlignment="1">
      <alignment vertical="center" wrapText="1"/>
    </xf>
    <xf numFmtId="3" fontId="129" fillId="0" borderId="38" xfId="66" applyNumberFormat="1" applyFont="1" applyFill="1" applyBorder="1" applyAlignment="1" applyProtection="1">
      <alignment horizontal="center" vertical="center"/>
    </xf>
    <xf numFmtId="3" fontId="128" fillId="0" borderId="43" xfId="66" applyNumberFormat="1" applyFont="1" applyFill="1" applyBorder="1" applyAlignment="1" applyProtection="1">
      <alignment horizontal="center" vertical="center"/>
    </xf>
    <xf numFmtId="0" fontId="129" fillId="0" borderId="33" xfId="66" applyFont="1" applyFill="1" applyBorder="1" applyAlignment="1">
      <alignment vertical="center" wrapText="1"/>
    </xf>
    <xf numFmtId="3" fontId="128" fillId="0" borderId="38" xfId="66" applyNumberFormat="1" applyFont="1" applyFill="1" applyBorder="1" applyAlignment="1" applyProtection="1">
      <alignment horizontal="center" vertical="center"/>
    </xf>
    <xf numFmtId="3" fontId="129" fillId="0" borderId="25" xfId="66" applyNumberFormat="1" applyFont="1" applyFill="1" applyBorder="1" applyAlignment="1" applyProtection="1">
      <alignment horizontal="center" vertical="center"/>
    </xf>
    <xf numFmtId="3" fontId="129" fillId="0" borderId="28" xfId="66" applyNumberFormat="1" applyFont="1" applyFill="1" applyBorder="1" applyAlignment="1" applyProtection="1">
      <alignment horizontal="center" vertical="center"/>
    </xf>
    <xf numFmtId="3" fontId="128" fillId="0" borderId="39" xfId="66" applyNumberFormat="1" applyFont="1" applyFill="1" applyBorder="1" applyAlignment="1" applyProtection="1">
      <alignment horizontal="center" vertical="center"/>
    </xf>
    <xf numFmtId="3" fontId="129" fillId="0" borderId="29" xfId="66" applyNumberFormat="1" applyFont="1" applyFill="1" applyBorder="1" applyAlignment="1" applyProtection="1">
      <alignment horizontal="center" vertical="center"/>
    </xf>
    <xf numFmtId="0" fontId="129" fillId="0" borderId="43" xfId="66" applyFont="1" applyFill="1" applyBorder="1" applyAlignment="1">
      <alignment vertical="center" wrapText="1"/>
    </xf>
    <xf numFmtId="3" fontId="128" fillId="0" borderId="36" xfId="66" applyNumberFormat="1" applyFont="1" applyFill="1" applyBorder="1" applyAlignment="1" applyProtection="1">
      <alignment horizontal="center" vertical="center"/>
    </xf>
    <xf numFmtId="3" fontId="129" fillId="0" borderId="26" xfId="66" applyNumberFormat="1" applyFont="1" applyFill="1" applyBorder="1" applyAlignment="1" applyProtection="1">
      <alignment horizontal="center" vertical="center"/>
    </xf>
    <xf numFmtId="0" fontId="137" fillId="0" borderId="0" xfId="66" applyFont="1" applyFill="1" applyBorder="1" applyAlignment="1">
      <alignment horizontal="center" vertical="center"/>
    </xf>
    <xf numFmtId="0" fontId="129" fillId="0" borderId="0" xfId="66" applyFont="1" applyFill="1" applyBorder="1" applyAlignment="1">
      <alignment vertical="center" wrapText="1"/>
    </xf>
    <xf numFmtId="1" fontId="129" fillId="0" borderId="0" xfId="66" applyNumberFormat="1" applyFont="1" applyFill="1" applyBorder="1" applyAlignment="1" applyProtection="1">
      <alignment horizontal="center" vertical="center"/>
      <protection locked="0"/>
    </xf>
    <xf numFmtId="1" fontId="128" fillId="0" borderId="0" xfId="66" applyNumberFormat="1" applyFont="1" applyFill="1" applyBorder="1" applyAlignment="1" applyProtection="1">
      <alignment horizontal="center" vertical="center"/>
    </xf>
    <xf numFmtId="1" fontId="129" fillId="0" borderId="0" xfId="66" applyNumberFormat="1" applyFont="1" applyFill="1" applyBorder="1" applyAlignment="1" applyProtection="1">
      <alignment horizontal="center" vertical="center"/>
    </xf>
    <xf numFmtId="3" fontId="129" fillId="0" borderId="0" xfId="66" applyNumberFormat="1" applyFont="1" applyFill="1" applyBorder="1" applyAlignment="1" applyProtection="1">
      <alignment horizontal="center" vertical="center"/>
    </xf>
    <xf numFmtId="3" fontId="128" fillId="0" borderId="0" xfId="66" applyNumberFormat="1" applyFont="1" applyFill="1" applyBorder="1" applyAlignment="1" applyProtection="1">
      <alignment horizontal="center" vertical="center"/>
    </xf>
    <xf numFmtId="1" fontId="129" fillId="0" borderId="25" xfId="66" applyNumberFormat="1" applyFont="1" applyFill="1" applyBorder="1" applyAlignment="1">
      <alignment horizontal="right" vertical="center" indent="1"/>
    </xf>
    <xf numFmtId="1" fontId="129" fillId="0" borderId="35" xfId="66" applyNumberFormat="1" applyFont="1" applyFill="1" applyBorder="1" applyAlignment="1">
      <alignment horizontal="right" vertical="center" indent="1"/>
    </xf>
    <xf numFmtId="1" fontId="128" fillId="0" borderId="40" xfId="66" applyNumberFormat="1" applyFont="1" applyFill="1" applyBorder="1" applyAlignment="1">
      <alignment horizontal="right" vertical="center" indent="1"/>
    </xf>
    <xf numFmtId="0" fontId="147" fillId="0" borderId="31" xfId="66" applyFont="1" applyBorder="1" applyAlignment="1">
      <alignment wrapText="1"/>
    </xf>
    <xf numFmtId="1" fontId="129" fillId="0" borderId="26" xfId="66" applyNumberFormat="1" applyFont="1" applyFill="1" applyBorder="1" applyAlignment="1">
      <alignment horizontal="right" vertical="center" indent="1"/>
    </xf>
    <xf numFmtId="1" fontId="129" fillId="0" borderId="36" xfId="66" applyNumberFormat="1" applyFont="1" applyFill="1" applyBorder="1" applyAlignment="1">
      <alignment horizontal="right" vertical="center" indent="1"/>
    </xf>
    <xf numFmtId="1" fontId="128" fillId="0" borderId="41" xfId="66" applyNumberFormat="1" applyFont="1" applyFill="1" applyBorder="1" applyAlignment="1">
      <alignment horizontal="right" vertical="center" indent="1"/>
    </xf>
    <xf numFmtId="0" fontId="129" fillId="0" borderId="31" xfId="66" applyFont="1" applyBorder="1" applyAlignment="1">
      <alignment wrapText="1"/>
    </xf>
    <xf numFmtId="0" fontId="129" fillId="0" borderId="36" xfId="66" applyFont="1" applyFill="1" applyBorder="1" applyAlignment="1">
      <alignment horizontal="right" vertical="center" indent="1"/>
    </xf>
    <xf numFmtId="0" fontId="128" fillId="23" borderId="32" xfId="66" applyFont="1" applyFill="1" applyBorder="1" applyAlignment="1">
      <alignment horizontal="center" wrapText="1"/>
    </xf>
    <xf numFmtId="1" fontId="129" fillId="23" borderId="27" xfId="66" applyNumberFormat="1" applyFont="1" applyFill="1" applyBorder="1" applyAlignment="1">
      <alignment horizontal="right" vertical="center" indent="1"/>
    </xf>
    <xf numFmtId="1" fontId="129" fillId="23" borderId="37" xfId="66" applyNumberFormat="1" applyFont="1" applyFill="1" applyBorder="1" applyAlignment="1">
      <alignment horizontal="right" vertical="center" indent="1"/>
    </xf>
    <xf numFmtId="1" fontId="129" fillId="23" borderId="42" xfId="66" applyNumberFormat="1" applyFont="1" applyFill="1" applyBorder="1" applyAlignment="1">
      <alignment horizontal="right" vertical="center" indent="1"/>
    </xf>
    <xf numFmtId="0" fontId="147" fillId="0" borderId="33" xfId="66" applyFont="1" applyBorder="1" applyAlignment="1">
      <alignment wrapText="1"/>
    </xf>
    <xf numFmtId="1" fontId="129" fillId="0" borderId="28" xfId="66" applyNumberFormat="1" applyFont="1" applyFill="1" applyBorder="1" applyAlignment="1">
      <alignment horizontal="right" vertical="center" indent="1"/>
    </xf>
    <xf numFmtId="1" fontId="129" fillId="0" borderId="38" xfId="66" applyNumberFormat="1" applyFont="1" applyFill="1" applyBorder="1" applyAlignment="1" applyProtection="1">
      <alignment horizontal="right" vertical="center" indent="1"/>
      <protection locked="0"/>
    </xf>
    <xf numFmtId="1" fontId="128" fillId="0" borderId="43" xfId="66" applyNumberFormat="1" applyFont="1" applyFill="1" applyBorder="1" applyAlignment="1" applyProtection="1">
      <alignment horizontal="right" vertical="center" indent="1"/>
    </xf>
    <xf numFmtId="1" fontId="129" fillId="0" borderId="38" xfId="66" applyNumberFormat="1" applyFont="1" applyFill="1" applyBorder="1" applyAlignment="1" applyProtection="1">
      <alignment horizontal="right" vertical="center" indent="1"/>
    </xf>
    <xf numFmtId="1" fontId="128" fillId="0" borderId="43" xfId="66" applyNumberFormat="1" applyFont="1" applyFill="1" applyBorder="1" applyAlignment="1">
      <alignment horizontal="right" vertical="center" indent="1"/>
    </xf>
    <xf numFmtId="1" fontId="129" fillId="0" borderId="36" xfId="66" applyNumberFormat="1" applyFont="1" applyFill="1" applyBorder="1" applyAlignment="1" applyProtection="1">
      <alignment horizontal="right" vertical="center" indent="1"/>
      <protection locked="0"/>
    </xf>
    <xf numFmtId="1" fontId="128" fillId="0" borderId="41" xfId="66" applyNumberFormat="1" applyFont="1" applyFill="1" applyBorder="1" applyAlignment="1" applyProtection="1">
      <alignment horizontal="right" vertical="center" indent="1"/>
    </xf>
    <xf numFmtId="1" fontId="129" fillId="0" borderId="36" xfId="66" applyNumberFormat="1" applyFont="1" applyFill="1" applyBorder="1" applyAlignment="1" applyProtection="1">
      <alignment horizontal="right" vertical="center" indent="1"/>
    </xf>
    <xf numFmtId="1" fontId="129" fillId="0" borderId="26" xfId="66" applyNumberFormat="1" applyFont="1" applyFill="1" applyBorder="1" applyAlignment="1" applyProtection="1">
      <alignment horizontal="right" vertical="center" indent="1"/>
      <protection locked="0"/>
    </xf>
    <xf numFmtId="0" fontId="147" fillId="0" borderId="34" xfId="66" applyFont="1" applyBorder="1" applyAlignment="1">
      <alignment wrapText="1"/>
    </xf>
    <xf numFmtId="1" fontId="129" fillId="0" borderId="29" xfId="66" applyNumberFormat="1" applyFont="1" applyFill="1" applyBorder="1" applyAlignment="1" applyProtection="1">
      <alignment horizontal="right" vertical="center" indent="1"/>
      <protection locked="0"/>
    </xf>
    <xf numFmtId="1" fontId="129" fillId="0" borderId="39" xfId="66" applyNumberFormat="1" applyFont="1" applyFill="1" applyBorder="1" applyAlignment="1" applyProtection="1">
      <alignment horizontal="right" vertical="center" indent="1"/>
      <protection locked="0"/>
    </xf>
    <xf numFmtId="1" fontId="128" fillId="0" borderId="44" xfId="66" applyNumberFormat="1" applyFont="1" applyFill="1" applyBorder="1" applyAlignment="1" applyProtection="1">
      <alignment horizontal="right" vertical="center" indent="1"/>
    </xf>
    <xf numFmtId="1" fontId="129" fillId="0" borderId="39" xfId="66" applyNumberFormat="1" applyFont="1" applyFill="1" applyBorder="1" applyAlignment="1" applyProtection="1">
      <alignment horizontal="right" vertical="center" indent="1"/>
    </xf>
    <xf numFmtId="1" fontId="128" fillId="0" borderId="44" xfId="66" applyNumberFormat="1" applyFont="1" applyFill="1" applyBorder="1" applyAlignment="1">
      <alignment horizontal="right" vertical="center" indent="1"/>
    </xf>
    <xf numFmtId="1" fontId="129" fillId="0" borderId="25" xfId="66" applyNumberFormat="1" applyFont="1" applyFill="1" applyBorder="1" applyAlignment="1" applyProtection="1">
      <alignment horizontal="right" vertical="center" indent="1"/>
      <protection locked="0"/>
    </xf>
    <xf numFmtId="1" fontId="129" fillId="0" borderId="35" xfId="66" applyNumberFormat="1" applyFont="1" applyFill="1" applyBorder="1" applyAlignment="1" applyProtection="1">
      <alignment horizontal="right" vertical="center" indent="1"/>
      <protection locked="0"/>
    </xf>
    <xf numFmtId="1" fontId="128" fillId="0" borderId="40" xfId="66" applyNumberFormat="1" applyFont="1" applyFill="1" applyBorder="1" applyAlignment="1" applyProtection="1">
      <alignment horizontal="right" vertical="center" indent="1"/>
    </xf>
    <xf numFmtId="1" fontId="129" fillId="0" borderId="35" xfId="66" applyNumberFormat="1" applyFont="1" applyFill="1" applyBorder="1" applyAlignment="1" applyProtection="1">
      <alignment horizontal="right" vertical="center" indent="1"/>
    </xf>
    <xf numFmtId="0" fontId="129" fillId="0" borderId="30" xfId="66" applyFont="1" applyBorder="1" applyAlignment="1">
      <alignment wrapText="1"/>
    </xf>
    <xf numFmtId="1" fontId="129" fillId="0" borderId="25" xfId="66" applyNumberFormat="1" applyFont="1" applyFill="1" applyBorder="1" applyAlignment="1" applyProtection="1">
      <alignment horizontal="right" vertical="center" indent="1"/>
    </xf>
    <xf numFmtId="1" fontId="128" fillId="0" borderId="35" xfId="66" applyNumberFormat="1" applyFont="1" applyFill="1" applyBorder="1" applyAlignment="1" applyProtection="1">
      <alignment horizontal="right" vertical="center" indent="1"/>
    </xf>
    <xf numFmtId="1" fontId="128" fillId="0" borderId="35" xfId="66" applyNumberFormat="1" applyFont="1" applyFill="1" applyBorder="1" applyAlignment="1">
      <alignment horizontal="right" vertical="center" indent="1"/>
    </xf>
    <xf numFmtId="0" fontId="129" fillId="0" borderId="33" xfId="66" applyFont="1" applyBorder="1" applyAlignment="1">
      <alignment wrapText="1"/>
    </xf>
    <xf numFmtId="1" fontId="129" fillId="0" borderId="28" xfId="66" applyNumberFormat="1" applyFont="1" applyFill="1" applyBorder="1" applyAlignment="1" applyProtection="1">
      <alignment horizontal="right" vertical="center" indent="1"/>
      <protection locked="0"/>
    </xf>
    <xf numFmtId="1" fontId="128" fillId="23" borderId="42" xfId="66" applyNumberFormat="1" applyFont="1" applyFill="1" applyBorder="1" applyAlignment="1">
      <alignment horizontal="right" vertical="center" indent="1"/>
    </xf>
    <xf numFmtId="0" fontId="129" fillId="0" borderId="43" xfId="66" applyFont="1" applyBorder="1" applyAlignment="1">
      <alignment wrapText="1"/>
    </xf>
    <xf numFmtId="0" fontId="129" fillId="0" borderId="41" xfId="66" applyFont="1" applyBorder="1" applyAlignment="1">
      <alignment wrapText="1"/>
    </xf>
    <xf numFmtId="0" fontId="169" fillId="0" borderId="0" xfId="66" applyFont="1" applyFill="1" applyBorder="1" applyAlignment="1">
      <alignment horizontal="center" vertical="center"/>
    </xf>
    <xf numFmtId="1" fontId="128" fillId="23" borderId="13" xfId="66" applyNumberFormat="1" applyFont="1" applyFill="1" applyBorder="1" applyAlignment="1">
      <alignment horizontal="right" vertical="center" indent="1"/>
    </xf>
    <xf numFmtId="1" fontId="128" fillId="23" borderId="14" xfId="66" applyNumberFormat="1" applyFont="1" applyFill="1" applyBorder="1" applyAlignment="1">
      <alignment horizontal="right" vertical="center" indent="1"/>
    </xf>
    <xf numFmtId="1" fontId="128" fillId="23" borderId="10" xfId="66" applyNumberFormat="1" applyFont="1" applyFill="1" applyBorder="1" applyAlignment="1">
      <alignment horizontal="right" vertical="center" indent="1"/>
    </xf>
    <xf numFmtId="0" fontId="129" fillId="0" borderId="31" xfId="66" applyFont="1" applyBorder="1" applyAlignment="1">
      <alignment horizontal="left" vertical="center" wrapText="1"/>
    </xf>
    <xf numFmtId="1" fontId="128" fillId="23" borderId="27" xfId="66" applyNumberFormat="1" applyFont="1" applyFill="1" applyBorder="1" applyAlignment="1">
      <alignment horizontal="right" vertical="center" indent="1"/>
    </xf>
    <xf numFmtId="1" fontId="128" fillId="23" borderId="37" xfId="66" applyNumberFormat="1" applyFont="1" applyFill="1" applyBorder="1" applyAlignment="1">
      <alignment horizontal="right" vertical="center" indent="1"/>
    </xf>
    <xf numFmtId="1" fontId="128" fillId="23" borderId="20" xfId="66" applyNumberFormat="1" applyFont="1" applyFill="1" applyBorder="1" applyAlignment="1">
      <alignment horizontal="right" vertical="center" indent="1"/>
    </xf>
    <xf numFmtId="1" fontId="128" fillId="23" borderId="24" xfId="66" applyNumberFormat="1" applyFont="1" applyFill="1" applyBorder="1" applyAlignment="1">
      <alignment horizontal="right" vertical="center" indent="1"/>
    </xf>
    <xf numFmtId="1" fontId="128" fillId="23" borderId="22" xfId="66" applyNumberFormat="1" applyFont="1" applyFill="1" applyBorder="1" applyAlignment="1">
      <alignment horizontal="right" vertical="center" indent="1"/>
    </xf>
    <xf numFmtId="0" fontId="177" fillId="0" borderId="16" xfId="66" applyFont="1" applyFill="1" applyBorder="1" applyAlignment="1">
      <alignment horizontal="center" vertical="center"/>
    </xf>
    <xf numFmtId="0" fontId="128" fillId="23" borderId="20" xfId="66" applyFont="1" applyFill="1" applyBorder="1" applyAlignment="1">
      <alignment horizontal="center" vertical="center"/>
    </xf>
    <xf numFmtId="0" fontId="128" fillId="23" borderId="24" xfId="66" applyFont="1" applyFill="1" applyBorder="1" applyAlignment="1">
      <alignment horizontal="center" vertical="center"/>
    </xf>
    <xf numFmtId="0" fontId="169" fillId="0" borderId="24" xfId="66" applyFont="1" applyBorder="1" applyAlignment="1">
      <alignment horizontal="center" vertical="center"/>
    </xf>
    <xf numFmtId="0" fontId="129" fillId="0" borderId="24" xfId="66" applyFont="1" applyBorder="1" applyAlignment="1">
      <alignment horizontal="center" vertical="center"/>
    </xf>
    <xf numFmtId="0" fontId="129" fillId="0" borderId="18" xfId="66" applyFont="1" applyBorder="1" applyAlignment="1">
      <alignment horizontal="center" vertical="center"/>
    </xf>
    <xf numFmtId="3" fontId="129" fillId="0" borderId="25" xfId="66" applyNumberFormat="1" applyFont="1" applyBorder="1" applyAlignment="1">
      <alignment horizontal="center" vertical="center"/>
    </xf>
    <xf numFmtId="3" fontId="129" fillId="0" borderId="35" xfId="66" applyNumberFormat="1" applyFont="1" applyBorder="1" applyAlignment="1">
      <alignment horizontal="center" vertical="center"/>
    </xf>
    <xf numFmtId="3" fontId="129" fillId="0" borderId="40" xfId="66" applyNumberFormat="1" applyFont="1" applyBorder="1" applyAlignment="1">
      <alignment horizontal="center" vertical="center"/>
    </xf>
    <xf numFmtId="3" fontId="129" fillId="0" borderId="26" xfId="66" applyNumberFormat="1" applyFont="1" applyBorder="1" applyAlignment="1">
      <alignment horizontal="center" vertical="center"/>
    </xf>
    <xf numFmtId="3" fontId="129" fillId="0" borderId="36" xfId="66" applyNumberFormat="1" applyFont="1" applyBorder="1" applyAlignment="1">
      <alignment horizontal="center" vertical="center"/>
    </xf>
    <xf numFmtId="3" fontId="129" fillId="0" borderId="41" xfId="66" applyNumberFormat="1" applyFont="1" applyBorder="1" applyAlignment="1">
      <alignment horizontal="center" vertical="center"/>
    </xf>
    <xf numFmtId="3" fontId="129" fillId="0" borderId="29" xfId="66" applyNumberFormat="1" applyFont="1" applyFill="1" applyBorder="1" applyAlignment="1">
      <alignment horizontal="center" vertical="center"/>
    </xf>
    <xf numFmtId="3" fontId="129" fillId="0" borderId="39" xfId="66" applyNumberFormat="1" applyFont="1" applyFill="1" applyBorder="1" applyAlignment="1">
      <alignment horizontal="center" vertical="center"/>
    </xf>
    <xf numFmtId="3" fontId="129" fillId="0" borderId="44" xfId="66" applyNumberFormat="1" applyFont="1" applyFill="1" applyBorder="1" applyAlignment="1">
      <alignment horizontal="center" vertical="center"/>
    </xf>
    <xf numFmtId="3" fontId="129" fillId="0" borderId="26" xfId="66" applyNumberFormat="1" applyFont="1" applyFill="1" applyBorder="1" applyAlignment="1">
      <alignment horizontal="center" vertical="center"/>
    </xf>
    <xf numFmtId="3" fontId="129" fillId="0" borderId="41" xfId="66" applyNumberFormat="1" applyFont="1" applyFill="1" applyBorder="1" applyAlignment="1">
      <alignment horizontal="center" vertical="center"/>
    </xf>
    <xf numFmtId="3" fontId="129" fillId="23" borderId="20" xfId="66" applyNumberFormat="1" applyFont="1" applyFill="1" applyBorder="1" applyAlignment="1">
      <alignment horizontal="center" vertical="center"/>
    </xf>
    <xf numFmtId="3" fontId="129" fillId="23" borderId="24" xfId="66" applyNumberFormat="1" applyFont="1" applyFill="1" applyBorder="1" applyAlignment="1">
      <alignment horizontal="center" vertical="center"/>
    </xf>
    <xf numFmtId="3" fontId="129" fillId="23" borderId="22" xfId="66" applyNumberFormat="1" applyFont="1" applyFill="1" applyBorder="1" applyAlignment="1">
      <alignment horizontal="center" vertical="center"/>
    </xf>
    <xf numFmtId="3" fontId="129" fillId="0" borderId="28" xfId="66" applyNumberFormat="1" applyFont="1" applyFill="1" applyBorder="1" applyAlignment="1">
      <alignment horizontal="center" vertical="center"/>
    </xf>
    <xf numFmtId="3" fontId="129" fillId="0" borderId="38" xfId="66" applyNumberFormat="1" applyFont="1" applyFill="1" applyBorder="1" applyAlignment="1">
      <alignment horizontal="center" vertical="center"/>
    </xf>
    <xf numFmtId="3" fontId="129" fillId="0" borderId="43" xfId="66" applyNumberFormat="1" applyFont="1" applyFill="1" applyBorder="1" applyAlignment="1">
      <alignment horizontal="center" vertical="center"/>
    </xf>
    <xf numFmtId="3" fontId="129" fillId="0" borderId="25" xfId="66" applyNumberFormat="1" applyFont="1" applyFill="1" applyBorder="1" applyAlignment="1">
      <alignment horizontal="center" vertical="center"/>
    </xf>
    <xf numFmtId="3" fontId="129" fillId="0" borderId="35" xfId="66" applyNumberFormat="1" applyFont="1" applyFill="1" applyBorder="1" applyAlignment="1">
      <alignment horizontal="center" vertical="center"/>
    </xf>
    <xf numFmtId="3" fontId="129" fillId="0" borderId="40" xfId="66" applyNumberFormat="1" applyFont="1" applyFill="1" applyBorder="1" applyAlignment="1">
      <alignment horizontal="center" vertical="center"/>
    </xf>
    <xf numFmtId="3" fontId="129" fillId="0" borderId="16" xfId="66" applyNumberFormat="1" applyFont="1" applyFill="1" applyBorder="1" applyAlignment="1">
      <alignment horizontal="center" vertical="center"/>
    </xf>
    <xf numFmtId="3" fontId="129" fillId="0" borderId="0" xfId="66" applyNumberFormat="1" applyFont="1" applyFill="1" applyBorder="1" applyAlignment="1">
      <alignment horizontal="center" vertical="center"/>
    </xf>
    <xf numFmtId="3" fontId="129" fillId="0" borderId="17" xfId="66" applyNumberFormat="1" applyFont="1" applyFill="1" applyBorder="1" applyAlignment="1">
      <alignment horizontal="center" vertical="center"/>
    </xf>
    <xf numFmtId="3" fontId="129" fillId="0" borderId="28" xfId="66" applyNumberFormat="1" applyFont="1" applyBorder="1" applyAlignment="1">
      <alignment horizontal="center" vertical="center"/>
    </xf>
    <xf numFmtId="3" fontId="129" fillId="0" borderId="38" xfId="66" applyNumberFormat="1" applyFont="1" applyBorder="1" applyAlignment="1">
      <alignment horizontal="center" vertical="center"/>
    </xf>
    <xf numFmtId="3" fontId="129" fillId="0" borderId="43" xfId="66" applyNumberFormat="1" applyFont="1" applyBorder="1" applyAlignment="1">
      <alignment horizontal="center" vertical="center"/>
    </xf>
    <xf numFmtId="0" fontId="129" fillId="0" borderId="36" xfId="66" applyFont="1" applyBorder="1" applyAlignment="1">
      <alignment horizontal="center" vertical="center"/>
    </xf>
    <xf numFmtId="3" fontId="129" fillId="0" borderId="20" xfId="66" applyNumberFormat="1" applyFont="1" applyBorder="1" applyAlignment="1">
      <alignment horizontal="center" vertical="center"/>
    </xf>
    <xf numFmtId="3" fontId="129" fillId="0" borderId="24" xfId="66" applyNumberFormat="1" applyFont="1" applyBorder="1" applyAlignment="1">
      <alignment horizontal="center" vertical="center"/>
    </xf>
    <xf numFmtId="3" fontId="129" fillId="0" borderId="22" xfId="66" applyNumberFormat="1" applyFont="1" applyBorder="1" applyAlignment="1">
      <alignment horizontal="center" vertical="center"/>
    </xf>
    <xf numFmtId="0" fontId="129" fillId="23" borderId="0" xfId="66" applyFont="1" applyFill="1" applyBorder="1" applyAlignment="1">
      <alignment horizontal="center" vertical="center"/>
    </xf>
    <xf numFmtId="0" fontId="147" fillId="0" borderId="30" xfId="0" applyFont="1" applyBorder="1" applyAlignment="1">
      <alignment wrapText="1"/>
    </xf>
    <xf numFmtId="3" fontId="137" fillId="0" borderId="40" xfId="66" applyNumberFormat="1" applyFont="1" applyBorder="1" applyAlignment="1">
      <alignment horizontal="center" vertical="center"/>
    </xf>
    <xf numFmtId="3" fontId="137" fillId="0" borderId="30" xfId="66" applyNumberFormat="1" applyFont="1" applyBorder="1" applyAlignment="1">
      <alignment horizontal="center" vertical="center"/>
    </xf>
    <xf numFmtId="0" fontId="147" fillId="0" borderId="31" xfId="0" applyFont="1" applyBorder="1" applyAlignment="1">
      <alignment wrapText="1"/>
    </xf>
    <xf numFmtId="3" fontId="137" fillId="0" borderId="41" xfId="66" applyNumberFormat="1" applyFont="1" applyFill="1" applyBorder="1" applyAlignment="1">
      <alignment horizontal="center" vertical="center"/>
    </xf>
    <xf numFmtId="3" fontId="137" fillId="0" borderId="31" xfId="66" applyNumberFormat="1" applyFont="1" applyFill="1" applyBorder="1" applyAlignment="1">
      <alignment horizontal="center" vertical="center"/>
    </xf>
    <xf numFmtId="0" fontId="129" fillId="0" borderId="31" xfId="0" applyFont="1" applyBorder="1" applyAlignment="1">
      <alignment wrapText="1"/>
    </xf>
    <xf numFmtId="0" fontId="129" fillId="0" borderId="34" xfId="0" applyFont="1" applyBorder="1" applyAlignment="1">
      <alignment wrapText="1"/>
    </xf>
    <xf numFmtId="3" fontId="137" fillId="0" borderId="44" xfId="66" applyNumberFormat="1" applyFont="1" applyFill="1" applyBorder="1" applyAlignment="1">
      <alignment horizontal="center" vertical="center"/>
    </xf>
    <xf numFmtId="3" fontId="137" fillId="0" borderId="34" xfId="66" applyNumberFormat="1" applyFont="1" applyFill="1" applyBorder="1" applyAlignment="1">
      <alignment horizontal="center" vertical="center"/>
    </xf>
    <xf numFmtId="3" fontId="137" fillId="0" borderId="44" xfId="66" applyNumberFormat="1" applyFont="1" applyBorder="1" applyAlignment="1">
      <alignment horizontal="center" vertical="center"/>
    </xf>
    <xf numFmtId="3" fontId="137" fillId="0" borderId="34" xfId="66" applyNumberFormat="1" applyFont="1" applyBorder="1" applyAlignment="1">
      <alignment horizontal="center" vertical="center"/>
    </xf>
    <xf numFmtId="0" fontId="147" fillId="0" borderId="33" xfId="0" applyFont="1" applyBorder="1" applyAlignment="1">
      <alignment wrapText="1"/>
    </xf>
    <xf numFmtId="3" fontId="137" fillId="0" borderId="40" xfId="66" applyNumberFormat="1" applyFont="1" applyFill="1" applyBorder="1" applyAlignment="1">
      <alignment horizontal="center" vertical="center"/>
    </xf>
    <xf numFmtId="3" fontId="137" fillId="0" borderId="30" xfId="66" applyNumberFormat="1" applyFont="1" applyFill="1" applyBorder="1" applyAlignment="1">
      <alignment horizontal="center" vertical="center"/>
    </xf>
    <xf numFmtId="0" fontId="147" fillId="0" borderId="34" xfId="0" applyFont="1" applyBorder="1" applyAlignment="1">
      <alignment wrapText="1"/>
    </xf>
    <xf numFmtId="3" fontId="137" fillId="0" borderId="43" xfId="66" applyNumberFormat="1" applyFont="1" applyFill="1" applyBorder="1" applyAlignment="1">
      <alignment horizontal="center" vertical="center"/>
    </xf>
    <xf numFmtId="3" fontId="137" fillId="0" borderId="33" xfId="66" applyNumberFormat="1" applyFont="1" applyFill="1" applyBorder="1" applyAlignment="1">
      <alignment horizontal="center" vertical="center"/>
    </xf>
    <xf numFmtId="0" fontId="129" fillId="0" borderId="33" xfId="0" applyFont="1" applyBorder="1" applyAlignment="1">
      <alignment wrapText="1"/>
    </xf>
    <xf numFmtId="3" fontId="137" fillId="0" borderId="41" xfId="66" applyNumberFormat="1" applyFont="1" applyBorder="1" applyAlignment="1">
      <alignment horizontal="center" vertical="center"/>
    </xf>
    <xf numFmtId="3" fontId="137" fillId="0" borderId="31" xfId="66" applyNumberFormat="1" applyFont="1" applyBorder="1" applyAlignment="1">
      <alignment horizontal="center" vertical="center"/>
    </xf>
    <xf numFmtId="3" fontId="129" fillId="0" borderId="44" xfId="66" applyNumberFormat="1" applyFont="1" applyBorder="1" applyAlignment="1">
      <alignment horizontal="center" vertical="center"/>
    </xf>
    <xf numFmtId="3" fontId="129" fillId="0" borderId="34" xfId="66" applyNumberFormat="1" applyFont="1" applyBorder="1" applyAlignment="1">
      <alignment horizontal="center" vertical="center"/>
    </xf>
    <xf numFmtId="0" fontId="129" fillId="0" borderId="30" xfId="0" applyFont="1" applyBorder="1" applyAlignment="1">
      <alignment wrapText="1"/>
    </xf>
    <xf numFmtId="3" fontId="137" fillId="0" borderId="43" xfId="66" applyNumberFormat="1" applyFont="1" applyBorder="1" applyAlignment="1">
      <alignment horizontal="center" vertical="center"/>
    </xf>
    <xf numFmtId="3" fontId="137" fillId="0" borderId="33" xfId="66" applyNumberFormat="1" applyFont="1" applyBorder="1" applyAlignment="1">
      <alignment horizontal="center" vertical="center"/>
    </xf>
    <xf numFmtId="3" fontId="129" fillId="0" borderId="31" xfId="66" applyNumberFormat="1" applyFont="1" applyBorder="1" applyAlignment="1">
      <alignment horizontal="center" vertical="center"/>
    </xf>
    <xf numFmtId="0" fontId="147" fillId="0" borderId="19" xfId="0" applyFont="1" applyBorder="1" applyAlignment="1">
      <alignment wrapText="1"/>
    </xf>
    <xf numFmtId="3" fontId="137" fillId="0" borderId="15" xfId="66" applyNumberFormat="1" applyFont="1" applyBorder="1" applyAlignment="1">
      <alignment horizontal="center" vertical="center"/>
    </xf>
    <xf numFmtId="3" fontId="137" fillId="0" borderId="19" xfId="66" applyNumberFormat="1" applyFont="1" applyBorder="1" applyAlignment="1">
      <alignment horizontal="center" vertical="center"/>
    </xf>
    <xf numFmtId="3" fontId="150" fillId="23" borderId="18" xfId="66" applyNumberFormat="1" applyFont="1" applyFill="1" applyBorder="1" applyAlignment="1">
      <alignment horizontal="center" vertical="center"/>
    </xf>
    <xf numFmtId="3" fontId="137" fillId="23" borderId="43" xfId="66" applyNumberFormat="1" applyFont="1" applyFill="1" applyBorder="1" applyAlignment="1">
      <alignment horizontal="center" vertical="center"/>
    </xf>
    <xf numFmtId="0" fontId="129" fillId="0" borderId="44" xfId="0" applyFont="1" applyBorder="1" applyAlignment="1">
      <alignment wrapText="1"/>
    </xf>
    <xf numFmtId="3" fontId="137" fillId="23" borderId="23" xfId="66" applyNumberFormat="1" applyFont="1" applyFill="1" applyBorder="1" applyAlignment="1">
      <alignment horizontal="center" vertical="center"/>
    </xf>
    <xf numFmtId="3" fontId="128" fillId="23" borderId="18" xfId="66" applyNumberFormat="1" applyFont="1" applyFill="1" applyBorder="1" applyAlignment="1">
      <alignment horizontal="right" vertical="center" indent="1"/>
    </xf>
    <xf numFmtId="3" fontId="129" fillId="0" borderId="19" xfId="66" applyNumberFormat="1" applyFont="1" applyBorder="1" applyAlignment="1">
      <alignment horizontal="right" vertical="center" indent="1"/>
    </xf>
    <xf numFmtId="3" fontId="129" fillId="0" borderId="21" xfId="66" applyNumberFormat="1" applyFont="1" applyBorder="1" applyAlignment="1">
      <alignment horizontal="right" vertical="center" indent="1"/>
    </xf>
    <xf numFmtId="3" fontId="128" fillId="23" borderId="23" xfId="66" applyNumberFormat="1" applyFont="1" applyFill="1" applyBorder="1" applyAlignment="1">
      <alignment horizontal="right" vertical="center" indent="1"/>
    </xf>
    <xf numFmtId="3" fontId="129" fillId="0" borderId="23" xfId="66" applyNumberFormat="1" applyFont="1" applyBorder="1" applyAlignment="1">
      <alignment horizontal="right" vertical="center" indent="1"/>
    </xf>
    <xf numFmtId="0" fontId="137" fillId="0" borderId="25" xfId="374" applyFont="1" applyFill="1" applyBorder="1" applyAlignment="1">
      <alignment vertical="center"/>
    </xf>
    <xf numFmtId="0" fontId="128" fillId="0" borderId="25" xfId="374" applyFont="1" applyFill="1" applyBorder="1" applyAlignment="1">
      <alignment horizontal="right" vertical="center" wrapText="1" indent="1"/>
    </xf>
    <xf numFmtId="0" fontId="129" fillId="0" borderId="35" xfId="374" applyFont="1" applyFill="1" applyBorder="1" applyAlignment="1">
      <alignment horizontal="right" vertical="center" wrapText="1" indent="1"/>
    </xf>
    <xf numFmtId="0" fontId="128" fillId="0" borderId="35" xfId="374" applyFont="1" applyFill="1" applyBorder="1" applyAlignment="1">
      <alignment horizontal="right" vertical="center" wrapText="1" indent="1"/>
    </xf>
    <xf numFmtId="0" fontId="128" fillId="0" borderId="35" xfId="374" applyFont="1" applyFill="1" applyBorder="1" applyAlignment="1">
      <alignment horizontal="right" vertical="center" indent="1"/>
    </xf>
    <xf numFmtId="0" fontId="129" fillId="0" borderId="25" xfId="374" applyFont="1" applyFill="1" applyBorder="1" applyAlignment="1">
      <alignment horizontal="right" vertical="center" wrapText="1" indent="1"/>
    </xf>
    <xf numFmtId="0" fontId="128" fillId="0" borderId="40" xfId="374" applyFont="1" applyFill="1" applyBorder="1" applyAlignment="1">
      <alignment horizontal="right" vertical="center" wrapText="1" indent="1"/>
    </xf>
    <xf numFmtId="0" fontId="128" fillId="0" borderId="40" xfId="374" applyFont="1" applyFill="1" applyBorder="1" applyAlignment="1">
      <alignment horizontal="right" vertical="center" indent="1"/>
    </xf>
    <xf numFmtId="0" fontId="137" fillId="0" borderId="26" xfId="374" applyFont="1" applyFill="1" applyBorder="1" applyAlignment="1">
      <alignment vertical="center"/>
    </xf>
    <xf numFmtId="0" fontId="129" fillId="0" borderId="26" xfId="374" applyFont="1" applyFill="1" applyBorder="1" applyAlignment="1">
      <alignment horizontal="right" vertical="center" indent="1"/>
    </xf>
    <xf numFmtId="0" fontId="129" fillId="0" borderId="36" xfId="374" applyFont="1" applyFill="1" applyBorder="1" applyAlignment="1">
      <alignment horizontal="right" vertical="center" indent="1"/>
    </xf>
    <xf numFmtId="0" fontId="128" fillId="0" borderId="36" xfId="374" applyFont="1" applyFill="1" applyBorder="1" applyAlignment="1">
      <alignment horizontal="right" vertical="center" indent="1"/>
    </xf>
    <xf numFmtId="0" fontId="128" fillId="0" borderId="41" xfId="374" applyFont="1" applyFill="1" applyBorder="1" applyAlignment="1">
      <alignment horizontal="right" vertical="center" indent="1"/>
    </xf>
    <xf numFmtId="0" fontId="129" fillId="0" borderId="26" xfId="374" applyFont="1" applyFill="1" applyBorder="1" applyAlignment="1">
      <alignment vertical="center"/>
    </xf>
    <xf numFmtId="0" fontId="137" fillId="0" borderId="29" xfId="374" applyFont="1" applyBorder="1" applyAlignment="1">
      <alignment vertical="center"/>
    </xf>
    <xf numFmtId="0" fontId="129" fillId="0" borderId="29" xfId="374" applyFont="1" applyFill="1" applyBorder="1" applyAlignment="1">
      <alignment horizontal="right" vertical="center" indent="1"/>
    </xf>
    <xf numFmtId="0" fontId="129" fillId="0" borderId="39" xfId="374" applyFont="1" applyFill="1" applyBorder="1" applyAlignment="1">
      <alignment horizontal="right" vertical="center" indent="1"/>
    </xf>
    <xf numFmtId="0" fontId="128" fillId="0" borderId="39" xfId="374" applyFont="1" applyFill="1" applyBorder="1" applyAlignment="1">
      <alignment horizontal="right" vertical="center" indent="1"/>
    </xf>
    <xf numFmtId="0" fontId="128" fillId="0" borderId="44" xfId="374" applyFont="1" applyFill="1" applyBorder="1" applyAlignment="1">
      <alignment horizontal="right" vertical="center" indent="1"/>
    </xf>
    <xf numFmtId="0" fontId="150" fillId="23" borderId="20" xfId="374" applyFont="1" applyFill="1" applyBorder="1" applyAlignment="1">
      <alignment horizontal="center" vertical="center"/>
    </xf>
    <xf numFmtId="0" fontId="129" fillId="23" borderId="20" xfId="374" applyFont="1" applyFill="1" applyBorder="1" applyAlignment="1">
      <alignment horizontal="right" vertical="center" indent="1"/>
    </xf>
    <xf numFmtId="0" fontId="129" fillId="23" borderId="24" xfId="374" applyFont="1" applyFill="1" applyBorder="1" applyAlignment="1">
      <alignment horizontal="right" vertical="center" indent="1"/>
    </xf>
    <xf numFmtId="0" fontId="137" fillId="0" borderId="25" xfId="374" applyFont="1" applyFill="1" applyBorder="1" applyAlignment="1">
      <alignment vertical="center" wrapText="1"/>
    </xf>
    <xf numFmtId="0" fontId="129" fillId="0" borderId="25" xfId="374" applyFont="1" applyFill="1" applyBorder="1" applyAlignment="1">
      <alignment horizontal="right" vertical="center" indent="1"/>
    </xf>
    <xf numFmtId="0" fontId="129" fillId="0" borderId="35" xfId="374" applyFont="1" applyFill="1" applyBorder="1" applyAlignment="1">
      <alignment horizontal="right" vertical="center" indent="1"/>
    </xf>
    <xf numFmtId="0" fontId="137" fillId="0" borderId="26" xfId="374" applyFont="1" applyFill="1" applyBorder="1" applyAlignment="1">
      <alignment vertical="center" wrapText="1"/>
    </xf>
    <xf numFmtId="0" fontId="129" fillId="0" borderId="26" xfId="374" applyFont="1" applyFill="1" applyBorder="1" applyAlignment="1">
      <alignment vertical="center" wrapText="1"/>
    </xf>
    <xf numFmtId="0" fontId="137" fillId="0" borderId="28" xfId="374" applyFont="1" applyFill="1" applyBorder="1" applyAlignment="1">
      <alignment vertical="center" wrapText="1"/>
    </xf>
    <xf numFmtId="0" fontId="129" fillId="0" borderId="28" xfId="374" applyFont="1" applyFill="1" applyBorder="1" applyAlignment="1">
      <alignment horizontal="right" vertical="center" indent="1"/>
    </xf>
    <xf numFmtId="0" fontId="129" fillId="0" borderId="38" xfId="374" applyFont="1" applyFill="1" applyBorder="1" applyAlignment="1">
      <alignment horizontal="right" vertical="center" indent="1"/>
    </xf>
    <xf numFmtId="0" fontId="128" fillId="0" borderId="38" xfId="374" applyFont="1" applyFill="1" applyBorder="1" applyAlignment="1">
      <alignment horizontal="right" vertical="center" indent="1"/>
    </xf>
    <xf numFmtId="0" fontId="128" fillId="0" borderId="43" xfId="374" applyFont="1" applyFill="1" applyBorder="1" applyAlignment="1">
      <alignment horizontal="right" vertical="center" indent="1"/>
    </xf>
    <xf numFmtId="0" fontId="129" fillId="0" borderId="25" xfId="374" applyFont="1" applyFill="1" applyBorder="1" applyAlignment="1">
      <alignment vertical="center" wrapText="1"/>
    </xf>
    <xf numFmtId="0" fontId="129" fillId="0" borderId="26" xfId="374" applyFont="1" applyBorder="1" applyAlignment="1">
      <alignment vertical="center" wrapText="1"/>
    </xf>
    <xf numFmtId="0" fontId="137" fillId="0" borderId="26" xfId="374" applyFont="1" applyBorder="1" applyAlignment="1">
      <alignment vertical="center" wrapText="1"/>
    </xf>
    <xf numFmtId="0" fontId="137" fillId="0" borderId="25" xfId="374" applyFont="1" applyBorder="1" applyAlignment="1">
      <alignment vertical="center" wrapText="1"/>
    </xf>
    <xf numFmtId="0" fontId="184" fillId="0" borderId="0" xfId="374" applyFont="1" applyAlignment="1">
      <alignment vertical="center"/>
    </xf>
    <xf numFmtId="0" fontId="129" fillId="0" borderId="28" xfId="374" applyFont="1" applyBorder="1" applyAlignment="1">
      <alignment vertical="center" wrapText="1"/>
    </xf>
    <xf numFmtId="0" fontId="129" fillId="0" borderId="38" xfId="374" applyFont="1" applyBorder="1" applyAlignment="1">
      <alignment vertical="center" wrapText="1"/>
    </xf>
    <xf numFmtId="0" fontId="129" fillId="0" borderId="36" xfId="374" applyFont="1" applyBorder="1" applyAlignment="1">
      <alignment vertical="center" wrapText="1"/>
    </xf>
    <xf numFmtId="0" fontId="129" fillId="0" borderId="39" xfId="374" applyFont="1" applyBorder="1" applyAlignment="1">
      <alignment vertical="center" wrapText="1"/>
    </xf>
    <xf numFmtId="0" fontId="129" fillId="0" borderId="0" xfId="374" applyFont="1" applyAlignment="1">
      <alignment vertical="center"/>
    </xf>
    <xf numFmtId="0" fontId="128" fillId="0" borderId="0" xfId="374" applyFont="1" applyAlignment="1">
      <alignment vertical="center"/>
    </xf>
    <xf numFmtId="0" fontId="128" fillId="23" borderId="13" xfId="374" applyFont="1" applyFill="1" applyBorder="1" applyAlignment="1">
      <alignment horizontal="right" vertical="center" indent="1"/>
    </xf>
    <xf numFmtId="0" fontId="128" fillId="23" borderId="14" xfId="374" applyFont="1" applyFill="1" applyBorder="1" applyAlignment="1">
      <alignment horizontal="right" vertical="center" indent="1"/>
    </xf>
    <xf numFmtId="0" fontId="128" fillId="23" borderId="10" xfId="374" applyFont="1" applyFill="1" applyBorder="1" applyAlignment="1">
      <alignment horizontal="right" vertical="center" indent="1"/>
    </xf>
    <xf numFmtId="1" fontId="129" fillId="0" borderId="25" xfId="66" applyNumberFormat="1" applyFont="1" applyBorder="1" applyAlignment="1">
      <alignment horizontal="right" vertical="center" indent="1"/>
    </xf>
    <xf numFmtId="1" fontId="129" fillId="0" borderId="35" xfId="66" applyNumberFormat="1" applyFont="1" applyBorder="1" applyAlignment="1">
      <alignment horizontal="right" vertical="center" indent="1"/>
    </xf>
    <xf numFmtId="1" fontId="128" fillId="0" borderId="40" xfId="66" applyNumberFormat="1" applyFont="1" applyBorder="1" applyAlignment="1">
      <alignment horizontal="right" vertical="center" indent="1"/>
    </xf>
    <xf numFmtId="1" fontId="128" fillId="0" borderId="35" xfId="66" applyNumberFormat="1" applyFont="1" applyBorder="1" applyAlignment="1">
      <alignment horizontal="right" vertical="center" indent="1"/>
    </xf>
    <xf numFmtId="1" fontId="129" fillId="0" borderId="26" xfId="66" applyNumberFormat="1" applyFont="1" applyBorder="1" applyAlignment="1">
      <alignment horizontal="right" vertical="center" indent="1"/>
    </xf>
    <xf numFmtId="1" fontId="129" fillId="0" borderId="36" xfId="66" applyNumberFormat="1" applyFont="1" applyBorder="1" applyAlignment="1">
      <alignment horizontal="right" vertical="center" indent="1"/>
    </xf>
    <xf numFmtId="1" fontId="128" fillId="0" borderId="41" xfId="66" applyNumberFormat="1" applyFont="1" applyBorder="1" applyAlignment="1">
      <alignment horizontal="right" vertical="center" indent="1"/>
    </xf>
    <xf numFmtId="1" fontId="128" fillId="0" borderId="36" xfId="66" applyNumberFormat="1" applyFont="1" applyBorder="1" applyAlignment="1">
      <alignment horizontal="right" vertical="center" indent="1"/>
    </xf>
    <xf numFmtId="1" fontId="129" fillId="0" borderId="28" xfId="66" applyNumberFormat="1" applyFont="1" applyBorder="1" applyAlignment="1">
      <alignment horizontal="right" vertical="center" indent="1"/>
    </xf>
    <xf numFmtId="1" fontId="129" fillId="0" borderId="38" xfId="66" applyNumberFormat="1" applyFont="1" applyBorder="1" applyAlignment="1">
      <alignment horizontal="right" vertical="center" indent="1"/>
    </xf>
    <xf numFmtId="1" fontId="128" fillId="0" borderId="43" xfId="66" applyNumberFormat="1" applyFont="1" applyBorder="1" applyAlignment="1">
      <alignment horizontal="right" vertical="center" indent="1"/>
    </xf>
    <xf numFmtId="1" fontId="128" fillId="0" borderId="38" xfId="66" applyNumberFormat="1" applyFont="1" applyBorder="1" applyAlignment="1">
      <alignment horizontal="right" vertical="center" indent="1"/>
    </xf>
    <xf numFmtId="3" fontId="129" fillId="0" borderId="28" xfId="66" applyNumberFormat="1" applyFont="1" applyBorder="1" applyAlignment="1">
      <alignment horizontal="right" vertical="center" indent="1"/>
    </xf>
    <xf numFmtId="3" fontId="129" fillId="0" borderId="38" xfId="66" applyNumberFormat="1" applyFont="1" applyBorder="1" applyAlignment="1">
      <alignment horizontal="right" vertical="center" indent="1"/>
    </xf>
    <xf numFmtId="3" fontId="129" fillId="0" borderId="43" xfId="66" applyNumberFormat="1" applyFont="1" applyBorder="1" applyAlignment="1">
      <alignment horizontal="right" vertical="center" indent="1"/>
    </xf>
    <xf numFmtId="1" fontId="129" fillId="0" borderId="29" xfId="66" applyNumberFormat="1" applyFont="1" applyBorder="1" applyAlignment="1">
      <alignment horizontal="right" vertical="center" indent="1"/>
    </xf>
    <xf numFmtId="1" fontId="129" fillId="0" borderId="39" xfId="66" applyNumberFormat="1" applyFont="1" applyBorder="1" applyAlignment="1">
      <alignment horizontal="right" vertical="center" indent="1"/>
    </xf>
    <xf numFmtId="1" fontId="128" fillId="0" borderId="44" xfId="66" applyNumberFormat="1" applyFont="1" applyBorder="1" applyAlignment="1">
      <alignment horizontal="right" vertical="center" indent="1"/>
    </xf>
    <xf numFmtId="1" fontId="128" fillId="0" borderId="39" xfId="66" applyNumberFormat="1" applyFont="1" applyBorder="1" applyAlignment="1">
      <alignment horizontal="right" vertical="center" indent="1"/>
    </xf>
    <xf numFmtId="0" fontId="129" fillId="0" borderId="28" xfId="66" applyFont="1" applyBorder="1" applyAlignment="1">
      <alignment vertical="center"/>
    </xf>
    <xf numFmtId="0" fontId="129" fillId="0" borderId="38" xfId="66" applyFont="1" applyBorder="1" applyAlignment="1">
      <alignment vertical="center"/>
    </xf>
    <xf numFmtId="0" fontId="129" fillId="0" borderId="43" xfId="66" applyFont="1" applyBorder="1" applyAlignment="1">
      <alignment vertical="center"/>
    </xf>
    <xf numFmtId="1" fontId="129" fillId="0" borderId="27" xfId="66" applyNumberFormat="1" applyFont="1" applyBorder="1" applyAlignment="1">
      <alignment horizontal="right" vertical="center" indent="1"/>
    </xf>
    <xf numFmtId="1" fontId="129" fillId="0" borderId="37" xfId="66" applyNumberFormat="1" applyFont="1" applyBorder="1" applyAlignment="1">
      <alignment horizontal="right" vertical="center" indent="1"/>
    </xf>
    <xf numFmtId="1" fontId="128" fillId="0" borderId="42" xfId="66" applyNumberFormat="1" applyFont="1" applyBorder="1" applyAlignment="1">
      <alignment horizontal="right" vertical="center" indent="1"/>
    </xf>
    <xf numFmtId="1" fontId="128" fillId="0" borderId="37" xfId="66" applyNumberFormat="1" applyFont="1" applyBorder="1" applyAlignment="1">
      <alignment horizontal="right" vertical="center" indent="1"/>
    </xf>
    <xf numFmtId="0" fontId="108" fillId="0" borderId="0" xfId="374" applyFont="1" applyBorder="1" applyAlignment="1">
      <alignment vertical="center"/>
    </xf>
    <xf numFmtId="0" fontId="129" fillId="0" borderId="11" xfId="374" applyFont="1" applyFill="1" applyBorder="1" applyAlignment="1">
      <alignment horizontal="center" vertical="center"/>
    </xf>
    <xf numFmtId="0" fontId="129" fillId="0" borderId="16" xfId="374" applyFont="1" applyFill="1" applyBorder="1" applyAlignment="1">
      <alignment horizontal="center" vertical="center"/>
    </xf>
    <xf numFmtId="0" fontId="129" fillId="0" borderId="16" xfId="374" applyFont="1" applyBorder="1" applyAlignment="1">
      <alignment horizontal="center" vertical="center"/>
    </xf>
    <xf numFmtId="0" fontId="129" fillId="23" borderId="20" xfId="374" applyFont="1" applyFill="1" applyBorder="1" applyAlignment="1">
      <alignment horizontal="center" vertical="center"/>
    </xf>
    <xf numFmtId="0" fontId="129" fillId="0" borderId="18" xfId="374" applyFont="1" applyFill="1" applyBorder="1" applyAlignment="1">
      <alignment horizontal="center" vertical="center"/>
    </xf>
    <xf numFmtId="0" fontId="129" fillId="23" borderId="22" xfId="374" applyFont="1" applyFill="1" applyBorder="1" applyAlignment="1">
      <alignment horizontal="right" vertical="center" indent="1"/>
    </xf>
    <xf numFmtId="0" fontId="137" fillId="0" borderId="35" xfId="374" applyFont="1" applyBorder="1" applyAlignment="1">
      <alignment vertical="center" wrapText="1"/>
    </xf>
    <xf numFmtId="0" fontId="137" fillId="0" borderId="36" xfId="374" applyFont="1" applyBorder="1" applyAlignment="1">
      <alignment vertical="center" wrapText="1"/>
    </xf>
    <xf numFmtId="0" fontId="137" fillId="0" borderId="39" xfId="374" applyFont="1" applyBorder="1" applyAlignment="1">
      <alignment vertical="center"/>
    </xf>
    <xf numFmtId="0" fontId="150" fillId="23" borderId="24" xfId="374" applyFont="1" applyFill="1" applyBorder="1" applyAlignment="1">
      <alignment horizontal="center" vertical="center"/>
    </xf>
    <xf numFmtId="0" fontId="129" fillId="23" borderId="23" xfId="374" applyFont="1" applyFill="1" applyBorder="1" applyAlignment="1">
      <alignment horizontal="center" vertical="center"/>
    </xf>
    <xf numFmtId="0" fontId="129" fillId="23" borderId="24" xfId="374" applyFont="1" applyFill="1" applyBorder="1" applyAlignment="1">
      <alignment horizontal="center" vertical="center"/>
    </xf>
    <xf numFmtId="0" fontId="52" fillId="0" borderId="30" xfId="0" applyFont="1" applyBorder="1" applyAlignment="1">
      <alignment vertical="center" wrapText="1"/>
    </xf>
    <xf numFmtId="0" fontId="52" fillId="0" borderId="31" xfId="0" applyFont="1" applyBorder="1" applyAlignment="1">
      <alignment vertical="center" wrapText="1"/>
    </xf>
    <xf numFmtId="0" fontId="52" fillId="0" borderId="33" xfId="0" applyFont="1" applyBorder="1" applyAlignment="1">
      <alignment vertical="center" wrapText="1"/>
    </xf>
    <xf numFmtId="3" fontId="52" fillId="0" borderId="30" xfId="0" applyNumberFormat="1" applyFont="1" applyBorder="1" applyAlignment="1">
      <alignment horizontal="right" vertical="center" wrapText="1" indent="1"/>
    </xf>
    <xf numFmtId="3" fontId="52" fillId="0" borderId="31" xfId="0" applyNumberFormat="1" applyFont="1" applyBorder="1" applyAlignment="1">
      <alignment horizontal="right" vertical="center" wrapText="1" indent="1"/>
    </xf>
    <xf numFmtId="0" fontId="52" fillId="23" borderId="32" xfId="0" applyFont="1" applyFill="1" applyBorder="1" applyAlignment="1">
      <alignment horizontal="center" vertical="center" wrapText="1"/>
    </xf>
    <xf numFmtId="3" fontId="52" fillId="23" borderId="32" xfId="0" applyNumberFormat="1" applyFont="1" applyFill="1" applyBorder="1" applyAlignment="1">
      <alignment horizontal="right" vertical="center" wrapText="1" indent="1"/>
    </xf>
    <xf numFmtId="3" fontId="52" fillId="0" borderId="33" xfId="0" applyNumberFormat="1" applyFont="1" applyBorder="1" applyAlignment="1">
      <alignment horizontal="right" vertical="center" wrapText="1" indent="1"/>
    </xf>
    <xf numFmtId="0" fontId="52" fillId="23" borderId="34" xfId="0" applyFont="1" applyFill="1" applyBorder="1" applyAlignment="1">
      <alignment horizontal="center" vertical="center" wrapText="1"/>
    </xf>
    <xf numFmtId="3" fontId="52" fillId="23" borderId="34" xfId="0" applyNumberFormat="1" applyFont="1" applyFill="1" applyBorder="1" applyAlignment="1">
      <alignment horizontal="right" vertical="center" wrapText="1" indent="1"/>
    </xf>
    <xf numFmtId="0" fontId="128" fillId="23" borderId="19" xfId="0" applyFont="1" applyFill="1" applyBorder="1" applyAlignment="1">
      <alignment horizontal="center" vertical="center" wrapText="1"/>
    </xf>
    <xf numFmtId="1" fontId="128" fillId="23" borderId="18" xfId="0" applyNumberFormat="1" applyFont="1" applyFill="1" applyBorder="1" applyAlignment="1">
      <alignment horizontal="center" vertical="center" wrapText="1"/>
    </xf>
    <xf numFmtId="0" fontId="74" fillId="0" borderId="0" xfId="374" applyFont="1"/>
    <xf numFmtId="3" fontId="130" fillId="23" borderId="13" xfId="50" applyNumberFormat="1" applyFont="1" applyFill="1" applyBorder="1" applyAlignment="1">
      <alignment horizontal="center" vertical="center" wrapText="1"/>
    </xf>
    <xf numFmtId="3" fontId="130" fillId="23" borderId="18" xfId="50" applyNumberFormat="1" applyFont="1" applyFill="1" applyBorder="1" applyAlignment="1">
      <alignment horizontal="center" vertical="center" wrapText="1"/>
    </xf>
    <xf numFmtId="0" fontId="81" fillId="0" borderId="0" xfId="374" applyFont="1" applyAlignment="1">
      <alignment horizontal="center"/>
    </xf>
    <xf numFmtId="0" fontId="76" fillId="0" borderId="0" xfId="374" applyFont="1" applyAlignment="1">
      <alignment horizontal="left" vertical="center"/>
    </xf>
    <xf numFmtId="0" fontId="129" fillId="23" borderId="13" xfId="374" applyFont="1" applyFill="1" applyBorder="1" applyAlignment="1">
      <alignment horizontal="center" vertical="center"/>
    </xf>
    <xf numFmtId="0" fontId="129" fillId="23" borderId="14" xfId="374" applyFont="1" applyFill="1" applyBorder="1" applyAlignment="1">
      <alignment horizontal="center" vertical="center"/>
    </xf>
    <xf numFmtId="0" fontId="129" fillId="23" borderId="10" xfId="374" applyFont="1" applyFill="1" applyBorder="1" applyAlignment="1">
      <alignment horizontal="center" vertical="center"/>
    </xf>
    <xf numFmtId="3" fontId="128" fillId="0" borderId="15" xfId="374" applyNumberFormat="1" applyFont="1" applyBorder="1" applyAlignment="1">
      <alignment horizontal="center" vertical="center"/>
    </xf>
    <xf numFmtId="3" fontId="129" fillId="0" borderId="0" xfId="374" applyNumberFormat="1" applyFont="1" applyBorder="1" applyAlignment="1">
      <alignment horizontal="center" vertical="center"/>
    </xf>
    <xf numFmtId="3" fontId="128" fillId="0" borderId="17" xfId="374" applyNumberFormat="1" applyFont="1" applyBorder="1" applyAlignment="1">
      <alignment horizontal="center" vertical="center"/>
    </xf>
    <xf numFmtId="3" fontId="129" fillId="23" borderId="24" xfId="374" applyNumberFormat="1" applyFont="1" applyFill="1" applyBorder="1" applyAlignment="1">
      <alignment horizontal="center" vertical="center"/>
    </xf>
    <xf numFmtId="3" fontId="128" fillId="0" borderId="14" xfId="374" applyNumberFormat="1" applyFont="1" applyBorder="1" applyAlignment="1">
      <alignment horizontal="center" vertical="center"/>
    </xf>
    <xf numFmtId="3" fontId="128" fillId="0" borderId="10" xfId="374" applyNumberFormat="1" applyFont="1" applyBorder="1" applyAlignment="1">
      <alignment horizontal="center" vertical="center"/>
    </xf>
    <xf numFmtId="0" fontId="129" fillId="0" borderId="0" xfId="374" applyFont="1" applyAlignment="1">
      <alignment horizontal="center" vertical="center"/>
    </xf>
    <xf numFmtId="3" fontId="128" fillId="23" borderId="22" xfId="374" applyNumberFormat="1" applyFont="1" applyFill="1" applyBorder="1" applyAlignment="1">
      <alignment horizontal="center" vertical="center"/>
    </xf>
    <xf numFmtId="0" fontId="128" fillId="0" borderId="23" xfId="374" applyFont="1" applyFill="1" applyBorder="1" applyAlignment="1">
      <alignment horizontal="center" vertical="center"/>
    </xf>
    <xf numFmtId="0" fontId="128" fillId="0" borderId="22" xfId="374" applyFont="1" applyFill="1" applyBorder="1" applyAlignment="1">
      <alignment horizontal="center" vertical="center"/>
    </xf>
    <xf numFmtId="0" fontId="113" fillId="0" borderId="0" xfId="374" applyFont="1" applyFill="1" applyAlignment="1">
      <alignment vertical="center"/>
    </xf>
    <xf numFmtId="169" fontId="132" fillId="0" borderId="10" xfId="78" applyNumberFormat="1" applyFont="1" applyFill="1" applyBorder="1" applyAlignment="1">
      <alignment horizontal="centerContinuous" vertical="center"/>
    </xf>
    <xf numFmtId="169" fontId="132" fillId="0" borderId="18" xfId="78" applyNumberFormat="1" applyFont="1" applyFill="1" applyBorder="1" applyAlignment="1">
      <alignment horizontal="centerContinuous" vertical="center"/>
    </xf>
    <xf numFmtId="169" fontId="132" fillId="0" borderId="19" xfId="78" applyNumberFormat="1" applyFont="1" applyFill="1" applyBorder="1" applyAlignment="1">
      <alignment horizontal="centerContinuous" vertical="center"/>
    </xf>
    <xf numFmtId="0" fontId="129" fillId="0" borderId="0" xfId="374" applyFont="1" applyFill="1" applyAlignment="1">
      <alignment vertical="center"/>
    </xf>
    <xf numFmtId="167" fontId="51" fillId="0" borderId="12" xfId="67" applyNumberFormat="1" applyFont="1" applyFill="1" applyBorder="1" applyAlignment="1">
      <alignment vertical="center"/>
    </xf>
    <xf numFmtId="167" fontId="51" fillId="0" borderId="12" xfId="78" applyNumberFormat="1" applyFont="1" applyFill="1" applyBorder="1" applyAlignment="1">
      <alignment vertical="center"/>
    </xf>
    <xf numFmtId="167" fontId="51" fillId="0" borderId="11" xfId="78" applyNumberFormat="1" applyFont="1" applyFill="1" applyBorder="1" applyAlignment="1">
      <alignment vertical="center"/>
    </xf>
    <xf numFmtId="167" fontId="51" fillId="0" borderId="0" xfId="67" applyNumberFormat="1" applyFont="1" applyFill="1" applyBorder="1" applyAlignment="1">
      <alignment vertical="center"/>
    </xf>
    <xf numFmtId="167" fontId="51" fillId="0" borderId="0" xfId="78" applyNumberFormat="1" applyFont="1" applyFill="1" applyBorder="1" applyAlignment="1">
      <alignment vertical="center"/>
    </xf>
    <xf numFmtId="167" fontId="51" fillId="0" borderId="16" xfId="78" applyNumberFormat="1" applyFont="1" applyFill="1" applyBorder="1" applyAlignment="1">
      <alignment vertical="center"/>
    </xf>
    <xf numFmtId="167" fontId="129" fillId="0" borderId="0" xfId="374" applyNumberFormat="1" applyFont="1" applyFill="1" applyAlignment="1">
      <alignment vertical="center"/>
    </xf>
    <xf numFmtId="0" fontId="179" fillId="0" borderId="0" xfId="374" applyFont="1" applyFill="1" applyBorder="1" applyAlignment="1">
      <alignment horizontal="center" vertical="center"/>
    </xf>
    <xf numFmtId="0" fontId="129" fillId="0" borderId="0" xfId="374" applyFont="1"/>
    <xf numFmtId="167" fontId="70" fillId="0" borderId="0" xfId="374" applyNumberFormat="1"/>
    <xf numFmtId="0" fontId="126" fillId="0" borderId="0" xfId="374" applyFont="1" applyAlignment="1">
      <alignment horizontal="left" readingOrder="1"/>
    </xf>
    <xf numFmtId="0" fontId="73" fillId="0" borderId="0" xfId="374" applyFont="1"/>
    <xf numFmtId="0" fontId="73" fillId="0" borderId="0" xfId="374" applyFont="1" applyAlignment="1">
      <alignment horizontal="center"/>
    </xf>
    <xf numFmtId="170" fontId="70" fillId="0" borderId="0" xfId="374" applyNumberFormat="1"/>
    <xf numFmtId="0" fontId="156" fillId="0" borderId="0" xfId="374" applyFont="1"/>
    <xf numFmtId="0" fontId="68" fillId="0" borderId="15" xfId="0" applyFont="1" applyFill="1" applyBorder="1" applyAlignment="1">
      <alignment horizontal="center" vertical="center"/>
    </xf>
    <xf numFmtId="0" fontId="68" fillId="0" borderId="17" xfId="0" applyFont="1" applyFill="1" applyBorder="1" applyAlignment="1">
      <alignment horizontal="center" vertical="center"/>
    </xf>
    <xf numFmtId="170" fontId="187" fillId="0" borderId="24" xfId="57" applyNumberFormat="1" applyFont="1" applyFill="1" applyBorder="1" applyAlignment="1">
      <alignment vertical="center"/>
    </xf>
    <xf numFmtId="170" fontId="187" fillId="0" borderId="20" xfId="57" applyNumberFormat="1" applyFont="1" applyFill="1" applyBorder="1" applyAlignment="1">
      <alignment vertical="center"/>
    </xf>
    <xf numFmtId="9" fontId="70" fillId="0" borderId="0" xfId="57" applyNumberFormat="1" applyFont="1" applyAlignment="1">
      <alignment vertical="center"/>
    </xf>
    <xf numFmtId="0" fontId="50" fillId="0" borderId="0" xfId="464"/>
    <xf numFmtId="0" fontId="50" fillId="0" borderId="0" xfId="464" applyFont="1" applyAlignment="1">
      <alignment vertical="center"/>
    </xf>
    <xf numFmtId="0" fontId="50" fillId="0" borderId="30" xfId="464" applyFont="1" applyBorder="1" applyAlignment="1">
      <alignment horizontal="center" vertical="center"/>
    </xf>
    <xf numFmtId="0" fontId="50" fillId="0" borderId="31" xfId="464" applyFont="1" applyBorder="1" applyAlignment="1">
      <alignment horizontal="center" vertical="center"/>
    </xf>
    <xf numFmtId="0" fontId="50" fillId="0" borderId="0" xfId="464" applyFont="1" applyBorder="1" applyAlignment="1">
      <alignment horizontal="center" vertical="center"/>
    </xf>
    <xf numFmtId="0" fontId="132" fillId="0" borderId="0" xfId="464" applyFont="1" applyFill="1" applyBorder="1" applyAlignment="1">
      <alignment horizontal="center" vertical="center"/>
    </xf>
    <xf numFmtId="0" fontId="133" fillId="0" borderId="0" xfId="464" applyFont="1"/>
    <xf numFmtId="0" fontId="72" fillId="0" borderId="0" xfId="66" applyFont="1" applyAlignment="1">
      <alignment horizontal="center" vertical="center"/>
    </xf>
    <xf numFmtId="3" fontId="129" fillId="0" borderId="29" xfId="66" applyNumberFormat="1" applyFont="1" applyBorder="1" applyAlignment="1">
      <alignment horizontal="center" vertical="center"/>
    </xf>
    <xf numFmtId="3" fontId="129" fillId="0" borderId="39" xfId="66" applyNumberFormat="1" applyFont="1" applyBorder="1" applyAlignment="1">
      <alignment horizontal="center" vertical="center"/>
    </xf>
    <xf numFmtId="0" fontId="49" fillId="0" borderId="0" xfId="466"/>
    <xf numFmtId="0" fontId="189" fillId="0" borderId="0" xfId="466" applyFont="1" applyAlignment="1"/>
    <xf numFmtId="0" fontId="49" fillId="0" borderId="0" xfId="466" applyAlignment="1">
      <alignment horizontal="center"/>
    </xf>
    <xf numFmtId="0" fontId="0" fillId="0" borderId="0" xfId="0" applyFill="1" applyAlignment="1">
      <alignment vertical="center"/>
    </xf>
    <xf numFmtId="0" fontId="128" fillId="23" borderId="18" xfId="66" applyFont="1" applyFill="1" applyBorder="1" applyAlignment="1">
      <alignment horizontal="center" vertical="center" wrapText="1"/>
    </xf>
    <xf numFmtId="0" fontId="81" fillId="0" borderId="12" xfId="0" applyFont="1" applyFill="1" applyBorder="1"/>
    <xf numFmtId="0" fontId="132" fillId="23" borderId="18" xfId="0" applyFont="1" applyFill="1" applyBorder="1" applyAlignment="1">
      <alignment horizontal="center"/>
    </xf>
    <xf numFmtId="0" fontId="132" fillId="23" borderId="16" xfId="0" applyFont="1" applyFill="1" applyBorder="1" applyAlignment="1">
      <alignment horizontal="center" vertical="center"/>
    </xf>
    <xf numFmtId="0" fontId="132" fillId="23" borderId="18" xfId="0" applyFont="1" applyFill="1" applyBorder="1" applyAlignment="1">
      <alignment horizontal="center" vertical="center"/>
    </xf>
    <xf numFmtId="4" fontId="132" fillId="23" borderId="18" xfId="0" applyNumberFormat="1" applyFont="1" applyFill="1" applyBorder="1"/>
    <xf numFmtId="0" fontId="132" fillId="23" borderId="18" xfId="0" applyFont="1" applyFill="1" applyBorder="1" applyAlignment="1">
      <alignment horizontal="center" vertical="center" wrapText="1"/>
    </xf>
    <xf numFmtId="0" fontId="132" fillId="0" borderId="13" xfId="0" applyFont="1" applyBorder="1"/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 wrapText="1"/>
    </xf>
    <xf numFmtId="3" fontId="128" fillId="23" borderId="18" xfId="0" applyNumberFormat="1" applyFont="1" applyFill="1" applyBorder="1" applyAlignment="1">
      <alignment horizontal="center" vertical="center" wrapText="1"/>
    </xf>
    <xf numFmtId="0" fontId="128" fillId="23" borderId="13" xfId="0" applyFont="1" applyFill="1" applyBorder="1" applyAlignment="1">
      <alignment horizontal="center" vertical="center" wrapText="1"/>
    </xf>
    <xf numFmtId="0" fontId="128" fillId="23" borderId="10" xfId="0" applyFont="1" applyFill="1" applyBorder="1" applyAlignment="1">
      <alignment horizontal="center" vertical="center" wrapText="1"/>
    </xf>
    <xf numFmtId="0" fontId="128" fillId="23" borderId="14" xfId="0" applyFont="1" applyFill="1" applyBorder="1" applyAlignment="1">
      <alignment horizontal="center" vertical="center" wrapText="1"/>
    </xf>
    <xf numFmtId="0" fontId="130" fillId="0" borderId="0" xfId="0" applyFont="1"/>
    <xf numFmtId="0" fontId="128" fillId="0" borderId="22" xfId="0" applyFont="1" applyFill="1" applyBorder="1" applyAlignment="1">
      <alignment horizontal="center" vertical="center"/>
    </xf>
    <xf numFmtId="0" fontId="129" fillId="0" borderId="25" xfId="0" applyFont="1" applyFill="1" applyBorder="1" applyAlignment="1">
      <alignment horizontal="center" vertical="center" wrapText="1"/>
    </xf>
    <xf numFmtId="0" fontId="129" fillId="0" borderId="35" xfId="0" applyFont="1" applyFill="1" applyBorder="1" applyAlignment="1">
      <alignment horizontal="center" vertical="center" wrapText="1"/>
    </xf>
    <xf numFmtId="0" fontId="129" fillId="0" borderId="40" xfId="0" applyFont="1" applyFill="1" applyBorder="1" applyAlignment="1">
      <alignment horizontal="center" vertical="center" wrapText="1"/>
    </xf>
    <xf numFmtId="0" fontId="128" fillId="0" borderId="30" xfId="0" applyFont="1" applyBorder="1" applyAlignment="1">
      <alignment horizontal="center" vertical="center"/>
    </xf>
    <xf numFmtId="3" fontId="128" fillId="0" borderId="30" xfId="0" applyNumberFormat="1" applyFont="1" applyBorder="1" applyAlignment="1">
      <alignment horizontal="center" vertical="center"/>
    </xf>
    <xf numFmtId="0" fontId="129" fillId="0" borderId="26" xfId="0" applyFont="1" applyFill="1" applyBorder="1" applyAlignment="1">
      <alignment horizontal="center" vertical="center" wrapText="1"/>
    </xf>
    <xf numFmtId="0" fontId="129" fillId="0" borderId="36" xfId="0" applyFont="1" applyFill="1" applyBorder="1" applyAlignment="1">
      <alignment horizontal="center" vertical="center" wrapText="1"/>
    </xf>
    <xf numFmtId="0" fontId="129" fillId="0" borderId="41" xfId="0" applyFont="1" applyFill="1" applyBorder="1" applyAlignment="1">
      <alignment horizontal="center" vertical="center" wrapText="1"/>
    </xf>
    <xf numFmtId="0" fontId="128" fillId="0" borderId="31" xfId="0" applyFont="1" applyBorder="1" applyAlignment="1">
      <alignment horizontal="center" vertical="center"/>
    </xf>
    <xf numFmtId="3" fontId="128" fillId="0" borderId="31" xfId="0" applyNumberFormat="1" applyFont="1" applyBorder="1" applyAlignment="1">
      <alignment horizontal="center" vertical="center"/>
    </xf>
    <xf numFmtId="0" fontId="128" fillId="23" borderId="27" xfId="0" applyFont="1" applyFill="1" applyBorder="1" applyAlignment="1">
      <alignment horizontal="center" vertical="center" wrapText="1"/>
    </xf>
    <xf numFmtId="0" fontId="128" fillId="23" borderId="37" xfId="0" applyFont="1" applyFill="1" applyBorder="1" applyAlignment="1">
      <alignment horizontal="center" vertical="center" wrapText="1"/>
    </xf>
    <xf numFmtId="0" fontId="128" fillId="23" borderId="42" xfId="0" applyFont="1" applyFill="1" applyBorder="1" applyAlignment="1">
      <alignment horizontal="center" vertical="center" wrapText="1"/>
    </xf>
    <xf numFmtId="0" fontId="128" fillId="23" borderId="32" xfId="0" applyFont="1" applyFill="1" applyBorder="1" applyAlignment="1">
      <alignment horizontal="center" vertical="center" wrapText="1"/>
    </xf>
    <xf numFmtId="3" fontId="128" fillId="23" borderId="32" xfId="0" applyNumberFormat="1" applyFont="1" applyFill="1" applyBorder="1" applyAlignment="1">
      <alignment horizontal="center" vertical="center" wrapText="1"/>
    </xf>
    <xf numFmtId="3" fontId="129" fillId="0" borderId="0" xfId="0" applyNumberFormat="1" applyFont="1"/>
    <xf numFmtId="0" fontId="128" fillId="0" borderId="0" xfId="0" applyFont="1" applyAlignment="1">
      <alignment horizontal="center" vertical="center"/>
    </xf>
    <xf numFmtId="3" fontId="129" fillId="0" borderId="0" xfId="0" applyNumberFormat="1" applyFont="1" applyFill="1" applyAlignment="1">
      <alignment vertical="center"/>
    </xf>
    <xf numFmtId="3" fontId="128" fillId="0" borderId="0" xfId="0" applyNumberFormat="1" applyFont="1" applyAlignment="1">
      <alignment horizontal="center" vertical="center"/>
    </xf>
    <xf numFmtId="0" fontId="129" fillId="0" borderId="30" xfId="0" applyFont="1" applyBorder="1" applyAlignment="1">
      <alignment horizontal="center" vertical="center"/>
    </xf>
    <xf numFmtId="3" fontId="129" fillId="0" borderId="30" xfId="0" applyNumberFormat="1" applyFont="1" applyBorder="1" applyAlignment="1">
      <alignment horizontal="center" vertical="center"/>
    </xf>
    <xf numFmtId="0" fontId="129" fillId="0" borderId="31" xfId="0" applyFont="1" applyBorder="1" applyAlignment="1">
      <alignment horizontal="center" vertical="center"/>
    </xf>
    <xf numFmtId="3" fontId="129" fillId="0" borderId="31" xfId="0" applyNumberFormat="1" applyFont="1" applyBorder="1" applyAlignment="1">
      <alignment horizontal="center" vertical="center"/>
    </xf>
    <xf numFmtId="0" fontId="129" fillId="0" borderId="27" xfId="0" applyFont="1" applyFill="1" applyBorder="1" applyAlignment="1">
      <alignment horizontal="center" vertical="center" wrapText="1"/>
    </xf>
    <xf numFmtId="0" fontId="129" fillId="0" borderId="37" xfId="0" applyFont="1" applyFill="1" applyBorder="1" applyAlignment="1">
      <alignment horizontal="center" vertical="center" wrapText="1"/>
    </xf>
    <xf numFmtId="0" fontId="129" fillId="0" borderId="42" xfId="0" applyFont="1" applyFill="1" applyBorder="1" applyAlignment="1">
      <alignment horizontal="center" vertical="center" wrapText="1"/>
    </xf>
    <xf numFmtId="0" fontId="129" fillId="0" borderId="32" xfId="0" applyFont="1" applyBorder="1" applyAlignment="1">
      <alignment horizontal="center" vertical="center"/>
    </xf>
    <xf numFmtId="3" fontId="129" fillId="0" borderId="32" xfId="0" applyNumberFormat="1" applyFont="1" applyBorder="1" applyAlignment="1">
      <alignment horizontal="center" vertical="center"/>
    </xf>
    <xf numFmtId="3" fontId="137" fillId="0" borderId="61" xfId="54" applyNumberFormat="1" applyFont="1" applyFill="1" applyBorder="1" applyAlignment="1">
      <alignment horizontal="right" wrapText="1" indent="1"/>
    </xf>
    <xf numFmtId="3" fontId="137" fillId="0" borderId="60" xfId="54" applyNumberFormat="1" applyFont="1" applyFill="1" applyBorder="1" applyAlignment="1">
      <alignment horizontal="right" wrapText="1" indent="1"/>
    </xf>
    <xf numFmtId="3" fontId="150" fillId="23" borderId="0" xfId="54" applyNumberFormat="1" applyFont="1" applyFill="1" applyBorder="1" applyAlignment="1">
      <alignment horizontal="right" wrapText="1" indent="1"/>
    </xf>
    <xf numFmtId="3" fontId="150" fillId="23" borderId="24" xfId="54" applyNumberFormat="1" applyFont="1" applyFill="1" applyBorder="1" applyAlignment="1">
      <alignment horizontal="right" wrapText="1" indent="1"/>
    </xf>
    <xf numFmtId="3" fontId="129" fillId="0" borderId="66" xfId="66" applyNumberFormat="1" applyFont="1" applyFill="1" applyBorder="1" applyAlignment="1">
      <alignment vertical="center"/>
    </xf>
    <xf numFmtId="3" fontId="129" fillId="0" borderId="47" xfId="66" applyNumberFormat="1" applyFont="1" applyFill="1" applyBorder="1" applyAlignment="1">
      <alignment vertical="center"/>
    </xf>
    <xf numFmtId="3" fontId="129" fillId="0" borderId="55" xfId="66" applyNumberFormat="1" applyFont="1" applyFill="1" applyBorder="1" applyAlignment="1">
      <alignment vertical="center"/>
    </xf>
    <xf numFmtId="3" fontId="128" fillId="0" borderId="61" xfId="66" applyNumberFormat="1" applyFont="1" applyFill="1" applyBorder="1" applyAlignment="1">
      <alignment horizontal="right" vertical="center" indent="1"/>
    </xf>
    <xf numFmtId="1" fontId="128" fillId="23" borderId="18" xfId="50" applyNumberFormat="1" applyFont="1" applyFill="1" applyBorder="1" applyAlignment="1">
      <alignment horizontal="center" vertical="center" wrapText="1"/>
    </xf>
    <xf numFmtId="0" fontId="47" fillId="0" borderId="0" xfId="631"/>
    <xf numFmtId="0" fontId="128" fillId="23" borderId="18" xfId="631" applyFont="1" applyFill="1" applyBorder="1" applyAlignment="1">
      <alignment horizontal="center" vertical="center" wrapText="1"/>
    </xf>
    <xf numFmtId="0" fontId="129" fillId="0" borderId="30" xfId="631" applyFont="1" applyFill="1" applyBorder="1" applyAlignment="1">
      <alignment horizontal="center" vertical="center"/>
    </xf>
    <xf numFmtId="179" fontId="129" fillId="0" borderId="25" xfId="631" applyNumberFormat="1" applyFont="1" applyFill="1" applyBorder="1" applyAlignment="1">
      <alignment horizontal="right" vertical="center" indent="1"/>
    </xf>
    <xf numFmtId="179" fontId="129" fillId="0" borderId="30" xfId="631" applyNumberFormat="1" applyFont="1" applyFill="1" applyBorder="1" applyAlignment="1">
      <alignment horizontal="right" vertical="center" indent="1"/>
    </xf>
    <xf numFmtId="0" fontId="129" fillId="0" borderId="31" xfId="631" applyFont="1" applyFill="1" applyBorder="1" applyAlignment="1">
      <alignment horizontal="center" vertical="center"/>
    </xf>
    <xf numFmtId="179" fontId="129" fillId="0" borderId="26" xfId="631" applyNumberFormat="1" applyFont="1" applyFill="1" applyBorder="1" applyAlignment="1">
      <alignment horizontal="right" vertical="center" indent="1"/>
    </xf>
    <xf numFmtId="179" fontId="129" fillId="0" borderId="31" xfId="631" applyNumberFormat="1" applyFont="1" applyFill="1" applyBorder="1" applyAlignment="1">
      <alignment horizontal="right" vertical="center" indent="1"/>
    </xf>
    <xf numFmtId="0" fontId="129" fillId="0" borderId="0" xfId="631" applyFont="1"/>
    <xf numFmtId="2" fontId="73" fillId="0" borderId="0" xfId="631" applyNumberFormat="1" applyFont="1"/>
    <xf numFmtId="2" fontId="47" fillId="0" borderId="0" xfId="631" applyNumberFormat="1"/>
    <xf numFmtId="0" fontId="129" fillId="0" borderId="0" xfId="631" applyFont="1" applyAlignment="1">
      <alignment vertical="center"/>
    </xf>
    <xf numFmtId="0" fontId="47" fillId="0" borderId="0" xfId="631" applyAlignment="1">
      <alignment vertical="center"/>
    </xf>
    <xf numFmtId="179" fontId="129" fillId="0" borderId="35" xfId="631" applyNumberFormat="1" applyFont="1" applyFill="1" applyBorder="1" applyAlignment="1">
      <alignment horizontal="right" vertical="center" indent="1"/>
    </xf>
    <xf numFmtId="179" fontId="129" fillId="0" borderId="40" xfId="631" applyNumberFormat="1" applyFont="1" applyFill="1" applyBorder="1" applyAlignment="1">
      <alignment horizontal="right" vertical="center" indent="1"/>
    </xf>
    <xf numFmtId="179" fontId="129" fillId="0" borderId="36" xfId="631" applyNumberFormat="1" applyFont="1" applyFill="1" applyBorder="1" applyAlignment="1">
      <alignment horizontal="right" vertical="center" indent="1"/>
    </xf>
    <xf numFmtId="179" fontId="129" fillId="0" borderId="41" xfId="631" applyNumberFormat="1" applyFont="1" applyFill="1" applyBorder="1" applyAlignment="1">
      <alignment horizontal="right" vertical="center" indent="1"/>
    </xf>
    <xf numFmtId="0" fontId="132" fillId="23" borderId="11" xfId="0" applyFont="1" applyFill="1" applyBorder="1" applyAlignment="1">
      <alignment horizontal="center" vertical="center"/>
    </xf>
    <xf numFmtId="3" fontId="137" fillId="0" borderId="52" xfId="50" applyNumberFormat="1" applyFont="1" applyFill="1" applyBorder="1" applyAlignment="1">
      <alignment horizontal="right" wrapText="1" indent="1"/>
    </xf>
    <xf numFmtId="3" fontId="137" fillId="0" borderId="53" xfId="50" applyNumberFormat="1" applyFont="1" applyFill="1" applyBorder="1" applyAlignment="1">
      <alignment horizontal="right" wrapText="1" indent="1"/>
    </xf>
    <xf numFmtId="0" fontId="129" fillId="0" borderId="34" xfId="66" applyFont="1" applyBorder="1" applyAlignment="1">
      <alignment wrapText="1"/>
    </xf>
    <xf numFmtId="1" fontId="129" fillId="0" borderId="29" xfId="66" applyNumberFormat="1" applyFont="1" applyFill="1" applyBorder="1" applyAlignment="1">
      <alignment horizontal="right" vertical="center" indent="1"/>
    </xf>
    <xf numFmtId="1" fontId="129" fillId="0" borderId="39" xfId="66" applyNumberFormat="1" applyFont="1" applyFill="1" applyBorder="1" applyAlignment="1">
      <alignment horizontal="right" vertical="center" indent="1"/>
    </xf>
    <xf numFmtId="1" fontId="129" fillId="23" borderId="18" xfId="50" applyNumberFormat="1" applyFont="1" applyFill="1" applyBorder="1" applyAlignment="1">
      <alignment horizontal="center" vertical="center" wrapText="1"/>
    </xf>
    <xf numFmtId="0" fontId="109" fillId="0" borderId="0" xfId="66" applyFont="1" applyBorder="1" applyAlignment="1">
      <alignment vertical="center"/>
    </xf>
    <xf numFmtId="0" fontId="129" fillId="23" borderId="23" xfId="374" applyFont="1" applyFill="1" applyBorder="1" applyAlignment="1">
      <alignment horizontal="center" vertical="center"/>
    </xf>
    <xf numFmtId="0" fontId="166" fillId="0" borderId="18" xfId="66" applyFont="1" applyFill="1" applyBorder="1" applyAlignment="1">
      <alignment horizontal="center" vertical="center"/>
    </xf>
    <xf numFmtId="0" fontId="167" fillId="0" borderId="18" xfId="66" applyFont="1" applyFill="1" applyBorder="1" applyAlignment="1">
      <alignment horizontal="center" vertical="center"/>
    </xf>
    <xf numFmtId="0" fontId="168" fillId="23" borderId="23" xfId="66" applyFont="1" applyFill="1" applyBorder="1" applyAlignment="1">
      <alignment horizontal="center" vertical="center"/>
    </xf>
    <xf numFmtId="0" fontId="168" fillId="0" borderId="18" xfId="66" applyFont="1" applyFill="1" applyBorder="1" applyAlignment="1">
      <alignment horizontal="center" vertical="center"/>
    </xf>
    <xf numFmtId="0" fontId="168" fillId="23" borderId="21" xfId="66" applyFont="1" applyFill="1" applyBorder="1" applyAlignment="1">
      <alignment horizontal="center" vertical="center"/>
    </xf>
    <xf numFmtId="0" fontId="128" fillId="0" borderId="0" xfId="374" applyFont="1" applyFill="1" applyBorder="1" applyAlignment="1">
      <alignment horizontal="right" vertical="center" indent="1"/>
    </xf>
    <xf numFmtId="0" fontId="129" fillId="0" borderId="18" xfId="374" applyFont="1" applyFill="1" applyBorder="1" applyAlignment="1">
      <alignment horizontal="right" vertical="center" indent="1"/>
    </xf>
    <xf numFmtId="0" fontId="129" fillId="0" borderId="35" xfId="374" applyFont="1" applyBorder="1" applyAlignment="1">
      <alignment vertical="center" wrapText="1"/>
    </xf>
    <xf numFmtId="0" fontId="129" fillId="0" borderId="41" xfId="374" applyFont="1" applyBorder="1" applyAlignment="1">
      <alignment vertical="center" wrapText="1"/>
    </xf>
    <xf numFmtId="0" fontId="128" fillId="0" borderId="11" xfId="374" applyFont="1" applyFill="1" applyBorder="1" applyAlignment="1">
      <alignment horizontal="right" vertical="center" indent="1"/>
    </xf>
    <xf numFmtId="0" fontId="128" fillId="0" borderId="12" xfId="374" applyFont="1" applyFill="1" applyBorder="1" applyAlignment="1">
      <alignment horizontal="right" vertical="center" indent="1"/>
    </xf>
    <xf numFmtId="0" fontId="128" fillId="0" borderId="15" xfId="374" applyFont="1" applyFill="1" applyBorder="1" applyAlignment="1">
      <alignment horizontal="right" vertical="center" indent="1"/>
    </xf>
    <xf numFmtId="0" fontId="128" fillId="0" borderId="16" xfId="374" applyFont="1" applyFill="1" applyBorder="1" applyAlignment="1">
      <alignment horizontal="right" vertical="center" indent="1"/>
    </xf>
    <xf numFmtId="0" fontId="128" fillId="0" borderId="17" xfId="374" applyFont="1" applyFill="1" applyBorder="1" applyAlignment="1">
      <alignment horizontal="right" vertical="center" indent="1"/>
    </xf>
    <xf numFmtId="0" fontId="129" fillId="0" borderId="19" xfId="374" applyFont="1" applyFill="1" applyBorder="1" applyAlignment="1">
      <alignment horizontal="right" vertical="center" indent="1"/>
    </xf>
    <xf numFmtId="0" fontId="129" fillId="0" borderId="18" xfId="0" applyFont="1" applyBorder="1" applyAlignment="1">
      <alignment horizontal="center" vertical="center"/>
    </xf>
    <xf numFmtId="0" fontId="166" fillId="0" borderId="18" xfId="0" applyFont="1" applyFill="1" applyBorder="1" applyAlignment="1">
      <alignment horizontal="center" vertical="center"/>
    </xf>
    <xf numFmtId="0" fontId="167" fillId="0" borderId="18" xfId="0" applyFont="1" applyBorder="1" applyAlignment="1">
      <alignment horizontal="center" vertical="center"/>
    </xf>
    <xf numFmtId="0" fontId="168" fillId="0" borderId="18" xfId="0" applyFont="1" applyBorder="1" applyAlignment="1">
      <alignment horizontal="center" vertical="center"/>
    </xf>
    <xf numFmtId="0" fontId="193" fillId="0" borderId="18" xfId="0" applyFont="1" applyBorder="1" applyAlignment="1">
      <alignment horizontal="center" vertical="center"/>
    </xf>
    <xf numFmtId="0" fontId="169" fillId="0" borderId="18" xfId="0" applyFont="1" applyBorder="1" applyAlignment="1">
      <alignment horizontal="center" vertical="center"/>
    </xf>
    <xf numFmtId="0" fontId="46" fillId="0" borderId="0" xfId="632"/>
    <xf numFmtId="0" fontId="46" fillId="0" borderId="0" xfId="632" applyAlignment="1">
      <alignment horizontal="centerContinuous" vertical="center"/>
    </xf>
    <xf numFmtId="0" fontId="124" fillId="23" borderId="88" xfId="632" applyFont="1" applyFill="1" applyBorder="1" applyAlignment="1">
      <alignment horizontal="center" vertical="center" wrapText="1"/>
    </xf>
    <xf numFmtId="0" fontId="124" fillId="23" borderId="89" xfId="632" applyFont="1" applyFill="1" applyBorder="1" applyAlignment="1">
      <alignment horizontal="center" vertical="center"/>
    </xf>
    <xf numFmtId="0" fontId="124" fillId="23" borderId="90" xfId="632" applyFont="1" applyFill="1" applyBorder="1" applyAlignment="1">
      <alignment horizontal="center" vertical="center"/>
    </xf>
    <xf numFmtId="0" fontId="124" fillId="23" borderId="91" xfId="632" applyFont="1" applyFill="1" applyBorder="1" applyAlignment="1">
      <alignment horizontal="center" vertical="center"/>
    </xf>
    <xf numFmtId="0" fontId="124" fillId="23" borderId="92" xfId="632" applyFont="1" applyFill="1" applyBorder="1" applyAlignment="1">
      <alignment horizontal="center" vertical="center"/>
    </xf>
    <xf numFmtId="0" fontId="124" fillId="23" borderId="88" xfId="632" applyFont="1" applyFill="1" applyBorder="1" applyAlignment="1">
      <alignment horizontal="center" vertical="center"/>
    </xf>
    <xf numFmtId="0" fontId="124" fillId="0" borderId="0" xfId="632" applyFont="1" applyAlignment="1">
      <alignment horizontal="center" vertical="center"/>
    </xf>
    <xf numFmtId="0" fontId="196" fillId="0" borderId="0" xfId="632" applyFont="1"/>
    <xf numFmtId="0" fontId="46" fillId="0" borderId="0" xfId="632" applyAlignment="1">
      <alignment horizontal="center"/>
    </xf>
    <xf numFmtId="0" fontId="180" fillId="0" borderId="0" xfId="632" applyFont="1" applyFill="1" applyBorder="1"/>
    <xf numFmtId="0" fontId="46" fillId="0" borderId="0" xfId="632" applyFont="1" applyFill="1" applyBorder="1"/>
    <xf numFmtId="3" fontId="46" fillId="0" borderId="0" xfId="632" applyNumberFormat="1" applyAlignment="1">
      <alignment horizontal="right" indent="1"/>
    </xf>
    <xf numFmtId="3" fontId="124" fillId="23" borderId="89" xfId="633" applyNumberFormat="1" applyFont="1" applyFill="1" applyBorder="1" applyAlignment="1">
      <alignment horizontal="right" vertical="center" indent="1"/>
    </xf>
    <xf numFmtId="3" fontId="124" fillId="23" borderId="90" xfId="633" applyNumberFormat="1" applyFont="1" applyFill="1" applyBorder="1" applyAlignment="1">
      <alignment horizontal="right" vertical="center" indent="1"/>
    </xf>
    <xf numFmtId="3" fontId="124" fillId="23" borderId="92" xfId="633" applyNumberFormat="1" applyFont="1" applyFill="1" applyBorder="1" applyAlignment="1">
      <alignment horizontal="right" vertical="center" indent="1"/>
    </xf>
    <xf numFmtId="0" fontId="132" fillId="0" borderId="0" xfId="464" applyFont="1" applyAlignment="1">
      <alignment vertical="center"/>
    </xf>
    <xf numFmtId="0" fontId="50" fillId="0" borderId="25" xfId="464" applyFont="1" applyBorder="1" applyAlignment="1">
      <alignment horizontal="center" vertical="center"/>
    </xf>
    <xf numFmtId="0" fontId="50" fillId="0" borderId="40" xfId="464" applyFont="1" applyBorder="1" applyAlignment="1">
      <alignment horizontal="center" vertical="center"/>
    </xf>
    <xf numFmtId="0" fontId="50" fillId="0" borderId="26" xfId="464" applyFont="1" applyBorder="1" applyAlignment="1">
      <alignment horizontal="center" vertical="center"/>
    </xf>
    <xf numFmtId="0" fontId="50" fillId="0" borderId="41" xfId="464" applyFont="1" applyBorder="1" applyAlignment="1">
      <alignment horizontal="center" vertical="center"/>
    </xf>
    <xf numFmtId="0" fontId="50" fillId="0" borderId="0" xfId="464" applyFont="1" applyBorder="1" applyAlignment="1">
      <alignment vertical="center"/>
    </xf>
    <xf numFmtId="0" fontId="50" fillId="0" borderId="27" xfId="464" applyFont="1" applyBorder="1" applyAlignment="1">
      <alignment horizontal="center" vertical="center"/>
    </xf>
    <xf numFmtId="0" fontId="50" fillId="0" borderId="42" xfId="464" applyFont="1" applyBorder="1" applyAlignment="1">
      <alignment horizontal="center" vertical="center"/>
    </xf>
    <xf numFmtId="0" fontId="151" fillId="32" borderId="13" xfId="0" applyFont="1" applyFill="1" applyBorder="1" applyAlignment="1">
      <alignment horizontal="center" vertical="center" wrapText="1"/>
    </xf>
    <xf numFmtId="0" fontId="151" fillId="32" borderId="14" xfId="0" applyFont="1" applyFill="1" applyBorder="1" applyAlignment="1">
      <alignment horizontal="center" vertical="center" wrapText="1"/>
    </xf>
    <xf numFmtId="0" fontId="151" fillId="32" borderId="10" xfId="0" applyFont="1" applyFill="1" applyBorder="1" applyAlignment="1">
      <alignment horizontal="center" vertical="center" wrapText="1"/>
    </xf>
    <xf numFmtId="0" fontId="128" fillId="0" borderId="24" xfId="0" applyFont="1" applyFill="1" applyBorder="1" applyAlignment="1">
      <alignment horizontal="center" vertical="center"/>
    </xf>
    <xf numFmtId="0" fontId="110" fillId="0" borderId="0" xfId="73" applyFont="1" applyBorder="1" applyAlignment="1">
      <alignment vertical="center"/>
    </xf>
    <xf numFmtId="0" fontId="129" fillId="23" borderId="15" xfId="0" applyFont="1" applyFill="1" applyBorder="1" applyAlignment="1">
      <alignment horizontal="center" vertical="center"/>
    </xf>
    <xf numFmtId="0" fontId="129" fillId="23" borderId="19" xfId="0" applyFont="1" applyFill="1" applyBorder="1" applyAlignment="1">
      <alignment horizontal="center" vertical="center"/>
    </xf>
    <xf numFmtId="0" fontId="129" fillId="23" borderId="18" xfId="0" applyFont="1" applyFill="1" applyBorder="1" applyAlignment="1">
      <alignment horizontal="center" vertical="center"/>
    </xf>
    <xf numFmtId="0" fontId="158" fillId="23" borderId="19" xfId="0" applyFont="1" applyFill="1" applyBorder="1" applyAlignment="1">
      <alignment horizontal="center" vertical="center"/>
    </xf>
    <xf numFmtId="0" fontId="77" fillId="0" borderId="23" xfId="0" applyFont="1" applyFill="1" applyBorder="1" applyAlignment="1">
      <alignment horizontal="center" vertical="center" wrapText="1"/>
    </xf>
    <xf numFmtId="0" fontId="45" fillId="0" borderId="0" xfId="635"/>
    <xf numFmtId="0" fontId="45" fillId="0" borderId="0" xfId="635" applyAlignment="1">
      <alignment horizontal="centerContinuous" vertical="center"/>
    </xf>
    <xf numFmtId="0" fontId="124" fillId="23" borderId="88" xfId="635" applyFont="1" applyFill="1" applyBorder="1" applyAlignment="1">
      <alignment horizontal="center" vertical="center" wrapText="1"/>
    </xf>
    <xf numFmtId="0" fontId="196" fillId="0" borderId="0" xfId="635" applyFont="1"/>
    <xf numFmtId="0" fontId="124" fillId="23" borderId="89" xfId="635" applyFont="1" applyFill="1" applyBorder="1" applyAlignment="1">
      <alignment horizontal="center" vertical="center"/>
    </xf>
    <xf numFmtId="0" fontId="124" fillId="23" borderId="90" xfId="635" applyFont="1" applyFill="1" applyBorder="1" applyAlignment="1">
      <alignment horizontal="center" vertical="center"/>
    </xf>
    <xf numFmtId="0" fontId="124" fillId="23" borderId="92" xfId="635" applyFont="1" applyFill="1" applyBorder="1" applyAlignment="1">
      <alignment horizontal="center" vertical="center"/>
    </xf>
    <xf numFmtId="0" fontId="196" fillId="20" borderId="93" xfId="635" applyFont="1" applyFill="1" applyBorder="1" applyAlignment="1">
      <alignment horizontal="center" vertical="center"/>
    </xf>
    <xf numFmtId="0" fontId="45" fillId="20" borderId="94" xfId="635" applyFill="1" applyBorder="1" applyAlignment="1">
      <alignment horizontal="center" vertical="center"/>
    </xf>
    <xf numFmtId="0" fontId="45" fillId="20" borderId="95" xfId="635" applyFill="1" applyBorder="1" applyAlignment="1">
      <alignment horizontal="center" vertical="center"/>
    </xf>
    <xf numFmtId="0" fontId="45" fillId="20" borderId="96" xfId="635" applyFill="1" applyBorder="1" applyAlignment="1">
      <alignment horizontal="center" vertical="center"/>
    </xf>
    <xf numFmtId="0" fontId="196" fillId="20" borderId="97" xfId="635" applyFont="1" applyFill="1" applyBorder="1" applyAlignment="1">
      <alignment horizontal="center" vertical="center"/>
    </xf>
    <xf numFmtId="0" fontId="45" fillId="20" borderId="98" xfId="635" applyFill="1" applyBorder="1" applyAlignment="1">
      <alignment horizontal="center" vertical="center"/>
    </xf>
    <xf numFmtId="0" fontId="45" fillId="20" borderId="21" xfId="635" applyFill="1" applyBorder="1" applyAlignment="1">
      <alignment horizontal="center" vertical="center"/>
    </xf>
    <xf numFmtId="0" fontId="45" fillId="20" borderId="99" xfId="635" applyFill="1" applyBorder="1" applyAlignment="1">
      <alignment horizontal="center" vertical="center"/>
    </xf>
    <xf numFmtId="0" fontId="196" fillId="20" borderId="100" xfId="635" applyFont="1" applyFill="1" applyBorder="1" applyAlignment="1">
      <alignment horizontal="center" vertical="center"/>
    </xf>
    <xf numFmtId="0" fontId="45" fillId="20" borderId="101" xfId="635" applyFill="1" applyBorder="1" applyAlignment="1">
      <alignment horizontal="center" vertical="center"/>
    </xf>
    <xf numFmtId="0" fontId="45" fillId="20" borderId="102" xfId="635" applyFill="1" applyBorder="1" applyAlignment="1">
      <alignment horizontal="center" vertical="center"/>
    </xf>
    <xf numFmtId="0" fontId="45" fillId="20" borderId="103" xfId="635" applyFill="1" applyBorder="1" applyAlignment="1">
      <alignment horizontal="center" vertical="center"/>
    </xf>
    <xf numFmtId="0" fontId="124" fillId="23" borderId="88" xfId="635" applyFont="1" applyFill="1" applyBorder="1" applyAlignment="1">
      <alignment horizontal="center" vertical="center"/>
    </xf>
    <xf numFmtId="167" fontId="124" fillId="23" borderId="89" xfId="636" applyNumberFormat="1" applyFont="1" applyFill="1" applyBorder="1" applyAlignment="1">
      <alignment horizontal="center" vertical="center"/>
    </xf>
    <xf numFmtId="167" fontId="124" fillId="23" borderId="90" xfId="636" applyNumberFormat="1" applyFont="1" applyFill="1" applyBorder="1" applyAlignment="1">
      <alignment horizontal="center" vertical="center"/>
    </xf>
    <xf numFmtId="167" fontId="124" fillId="23" borderId="92" xfId="636" applyNumberFormat="1" applyFont="1" applyFill="1" applyBorder="1" applyAlignment="1">
      <alignment horizontal="center" vertical="center"/>
    </xf>
    <xf numFmtId="0" fontId="124" fillId="0" borderId="0" xfId="635" applyFont="1" applyAlignment="1">
      <alignment horizontal="center" vertical="center"/>
    </xf>
    <xf numFmtId="0" fontId="180" fillId="0" borderId="0" xfId="635" applyFont="1"/>
    <xf numFmtId="3" fontId="45" fillId="20" borderId="94" xfId="635" applyNumberFormat="1" applyFill="1" applyBorder="1" applyAlignment="1">
      <alignment horizontal="center" vertical="center"/>
    </xf>
    <xf numFmtId="3" fontId="45" fillId="20" borderId="95" xfId="635" applyNumberFormat="1" applyFill="1" applyBorder="1" applyAlignment="1">
      <alignment horizontal="center" vertical="center"/>
    </xf>
    <xf numFmtId="3" fontId="45" fillId="20" borderId="96" xfId="635" applyNumberFormat="1" applyFill="1" applyBorder="1" applyAlignment="1">
      <alignment horizontal="center" vertical="center"/>
    </xf>
    <xf numFmtId="3" fontId="45" fillId="20" borderId="98" xfId="635" applyNumberFormat="1" applyFill="1" applyBorder="1" applyAlignment="1">
      <alignment horizontal="center" vertical="center"/>
    </xf>
    <xf numFmtId="3" fontId="45" fillId="20" borderId="21" xfId="635" applyNumberFormat="1" applyFill="1" applyBorder="1" applyAlignment="1">
      <alignment horizontal="center" vertical="center"/>
    </xf>
    <xf numFmtId="3" fontId="45" fillId="20" borderId="99" xfId="635" applyNumberFormat="1" applyFill="1" applyBorder="1" applyAlignment="1">
      <alignment horizontal="center" vertical="center"/>
    </xf>
    <xf numFmtId="3" fontId="45" fillId="20" borderId="101" xfId="635" applyNumberFormat="1" applyFill="1" applyBorder="1" applyAlignment="1">
      <alignment horizontal="center" vertical="center"/>
    </xf>
    <xf numFmtId="3" fontId="45" fillId="20" borderId="102" xfId="635" applyNumberFormat="1" applyFill="1" applyBorder="1" applyAlignment="1">
      <alignment horizontal="center" vertical="center"/>
    </xf>
    <xf numFmtId="3" fontId="45" fillId="20" borderId="103" xfId="635" applyNumberFormat="1" applyFill="1" applyBorder="1" applyAlignment="1">
      <alignment horizontal="center" vertical="center"/>
    </xf>
    <xf numFmtId="0" fontId="128" fillId="0" borderId="23" xfId="638" applyFont="1" applyFill="1" applyBorder="1" applyAlignment="1">
      <alignment horizontal="center" vertical="center" wrapText="1"/>
    </xf>
    <xf numFmtId="0" fontId="129" fillId="0" borderId="0" xfId="638" applyFont="1" applyAlignment="1">
      <alignment vertical="center"/>
    </xf>
    <xf numFmtId="0" fontId="129" fillId="0" borderId="25" xfId="638" applyFont="1" applyFill="1" applyBorder="1" applyAlignment="1">
      <alignment horizontal="center" vertical="center"/>
    </xf>
    <xf numFmtId="0" fontId="129" fillId="0" borderId="25" xfId="638" applyFont="1" applyFill="1" applyBorder="1" applyAlignment="1">
      <alignment horizontal="right" vertical="center" indent="1"/>
    </xf>
    <xf numFmtId="0" fontId="129" fillId="0" borderId="35" xfId="638" applyFont="1" applyFill="1" applyBorder="1" applyAlignment="1">
      <alignment horizontal="right" vertical="center" indent="1"/>
    </xf>
    <xf numFmtId="0" fontId="129" fillId="0" borderId="40" xfId="638" applyFont="1" applyFill="1" applyBorder="1" applyAlignment="1">
      <alignment horizontal="right" vertical="center" indent="1"/>
    </xf>
    <xf numFmtId="3" fontId="129" fillId="0" borderId="25" xfId="638" applyNumberFormat="1" applyFont="1" applyFill="1" applyBorder="1" applyAlignment="1">
      <alignment horizontal="right" vertical="center" indent="1"/>
    </xf>
    <xf numFmtId="3" fontId="129" fillId="0" borderId="35" xfId="638" applyNumberFormat="1" applyFont="1" applyFill="1" applyBorder="1" applyAlignment="1">
      <alignment horizontal="right" vertical="center" indent="1"/>
    </xf>
    <xf numFmtId="3" fontId="129" fillId="0" borderId="40" xfId="638" applyNumberFormat="1" applyFont="1" applyFill="1" applyBorder="1" applyAlignment="1">
      <alignment horizontal="right" vertical="center" indent="1"/>
    </xf>
    <xf numFmtId="3" fontId="129" fillId="0" borderId="35" xfId="635" applyNumberFormat="1" applyFont="1" applyFill="1" applyBorder="1" applyAlignment="1">
      <alignment horizontal="right" vertical="center" indent="1"/>
    </xf>
    <xf numFmtId="3" fontId="129" fillId="0" borderId="40" xfId="635" applyNumberFormat="1" applyFont="1" applyFill="1" applyBorder="1" applyAlignment="1">
      <alignment horizontal="right" vertical="center" indent="1"/>
    </xf>
    <xf numFmtId="0" fontId="129" fillId="0" borderId="26" xfId="638" applyFont="1" applyFill="1" applyBorder="1" applyAlignment="1">
      <alignment horizontal="center" vertical="center"/>
    </xf>
    <xf numFmtId="0" fontId="129" fillId="0" borderId="26" xfId="638" applyFont="1" applyFill="1" applyBorder="1" applyAlignment="1">
      <alignment horizontal="right" vertical="center" indent="1"/>
    </xf>
    <xf numFmtId="0" fontId="129" fillId="0" borderId="36" xfId="638" applyFont="1" applyFill="1" applyBorder="1" applyAlignment="1">
      <alignment horizontal="right" vertical="center" indent="1"/>
    </xf>
    <xf numFmtId="0" fontId="129" fillId="0" borderId="41" xfId="638" applyFont="1" applyFill="1" applyBorder="1" applyAlignment="1">
      <alignment horizontal="right" vertical="center" indent="1"/>
    </xf>
    <xf numFmtId="3" fontId="129" fillId="0" borderId="26" xfId="638" applyNumberFormat="1" applyFont="1" applyFill="1" applyBorder="1" applyAlignment="1">
      <alignment horizontal="right" vertical="center" indent="1"/>
    </xf>
    <xf numFmtId="3" fontId="129" fillId="0" borderId="36" xfId="638" applyNumberFormat="1" applyFont="1" applyFill="1" applyBorder="1" applyAlignment="1">
      <alignment horizontal="right" vertical="center" indent="1"/>
    </xf>
    <xf numFmtId="3" fontId="129" fillId="0" borderId="41" xfId="638" applyNumberFormat="1" applyFont="1" applyFill="1" applyBorder="1" applyAlignment="1">
      <alignment horizontal="right" vertical="center" indent="1"/>
    </xf>
    <xf numFmtId="3" fontId="129" fillId="0" borderId="36" xfId="635" applyNumberFormat="1" applyFont="1" applyFill="1" applyBorder="1" applyAlignment="1">
      <alignment horizontal="right" vertical="center" indent="1"/>
    </xf>
    <xf numFmtId="3" fontId="129" fillId="0" borderId="41" xfId="635" applyNumberFormat="1" applyFont="1" applyFill="1" applyBorder="1" applyAlignment="1">
      <alignment horizontal="right" vertical="center" indent="1"/>
    </xf>
    <xf numFmtId="0" fontId="138" fillId="0" borderId="0" xfId="639" applyFont="1" applyFill="1" applyBorder="1" applyAlignment="1">
      <alignment horizontal="center" vertical="center"/>
    </xf>
    <xf numFmtId="0" fontId="129" fillId="0" borderId="0" xfId="638" applyFont="1"/>
    <xf numFmtId="0" fontId="129" fillId="0" borderId="0" xfId="638" applyFont="1" applyAlignment="1">
      <alignment horizontal="right" indent="1"/>
    </xf>
    <xf numFmtId="0" fontId="45" fillId="0" borderId="0" xfId="635" applyAlignment="1">
      <alignment horizontal="right" indent="1"/>
    </xf>
    <xf numFmtId="0" fontId="129" fillId="0" borderId="30" xfId="638" applyFont="1" applyFill="1" applyBorder="1" applyAlignment="1">
      <alignment horizontal="center" vertical="center"/>
    </xf>
    <xf numFmtId="0" fontId="129" fillId="0" borderId="31" xfId="638" applyFont="1" applyFill="1" applyBorder="1" applyAlignment="1">
      <alignment horizontal="center" vertical="center"/>
    </xf>
    <xf numFmtId="0" fontId="129" fillId="0" borderId="32" xfId="638" applyFont="1" applyFill="1" applyBorder="1" applyAlignment="1">
      <alignment horizontal="center" vertical="center"/>
    </xf>
    <xf numFmtId="3" fontId="129" fillId="0" borderId="29" xfId="638" applyNumberFormat="1" applyFont="1" applyFill="1" applyBorder="1" applyAlignment="1">
      <alignment horizontal="right" vertical="center" indent="1"/>
    </xf>
    <xf numFmtId="3" fontId="129" fillId="0" borderId="39" xfId="638" applyNumberFormat="1" applyFont="1" applyFill="1" applyBorder="1" applyAlignment="1">
      <alignment horizontal="right" vertical="center" indent="1"/>
    </xf>
    <xf numFmtId="3" fontId="129" fillId="0" borderId="44" xfId="638" applyNumberFormat="1" applyFont="1" applyFill="1" applyBorder="1" applyAlignment="1">
      <alignment horizontal="right" vertical="center" indent="1"/>
    </xf>
    <xf numFmtId="3" fontId="129" fillId="0" borderId="39" xfId="635" applyNumberFormat="1" applyFont="1" applyFill="1" applyBorder="1" applyAlignment="1">
      <alignment horizontal="right" vertical="center" indent="1"/>
    </xf>
    <xf numFmtId="3" fontId="129" fillId="0" borderId="44" xfId="635" applyNumberFormat="1" applyFont="1" applyFill="1" applyBorder="1" applyAlignment="1">
      <alignment horizontal="right" vertical="center" indent="1"/>
    </xf>
    <xf numFmtId="0" fontId="128" fillId="23" borderId="18" xfId="638" applyFont="1" applyFill="1" applyBorder="1" applyAlignment="1">
      <alignment horizontal="center" vertical="center"/>
    </xf>
    <xf numFmtId="0" fontId="128" fillId="23" borderId="13" xfId="638" applyFont="1" applyFill="1" applyBorder="1" applyAlignment="1">
      <alignment horizontal="right" vertical="center" indent="1"/>
    </xf>
    <xf numFmtId="0" fontId="128" fillId="23" borderId="14" xfId="638" applyFont="1" applyFill="1" applyBorder="1" applyAlignment="1">
      <alignment horizontal="right" vertical="center" indent="1"/>
    </xf>
    <xf numFmtId="0" fontId="128" fillId="23" borderId="10" xfId="638" applyFont="1" applyFill="1" applyBorder="1" applyAlignment="1">
      <alignment horizontal="right" vertical="center" indent="1"/>
    </xf>
    <xf numFmtId="3" fontId="128" fillId="23" borderId="14" xfId="638" applyNumberFormat="1" applyFont="1" applyFill="1" applyBorder="1" applyAlignment="1">
      <alignment horizontal="right" vertical="center" indent="1"/>
    </xf>
    <xf numFmtId="3" fontId="128" fillId="23" borderId="13" xfId="638" applyNumberFormat="1" applyFont="1" applyFill="1" applyBorder="1" applyAlignment="1">
      <alignment horizontal="right" vertical="center" indent="1"/>
    </xf>
    <xf numFmtId="3" fontId="128" fillId="23" borderId="10" xfId="638" applyNumberFormat="1" applyFont="1" applyFill="1" applyBorder="1" applyAlignment="1">
      <alignment horizontal="right" vertical="center" indent="1"/>
    </xf>
    <xf numFmtId="3" fontId="128" fillId="23" borderId="14" xfId="635" applyNumberFormat="1" applyFont="1" applyFill="1" applyBorder="1" applyAlignment="1">
      <alignment horizontal="right" vertical="center" indent="1"/>
    </xf>
    <xf numFmtId="3" fontId="128" fillId="23" borderId="10" xfId="635" applyNumberFormat="1" applyFont="1" applyFill="1" applyBorder="1" applyAlignment="1">
      <alignment horizontal="right" vertical="center" indent="1"/>
    </xf>
    <xf numFmtId="0" fontId="129" fillId="0" borderId="30" xfId="635" applyFont="1" applyFill="1" applyBorder="1" applyAlignment="1">
      <alignment horizontal="center" vertical="center"/>
    </xf>
    <xf numFmtId="0" fontId="129" fillId="0" borderId="25" xfId="635" applyFont="1" applyFill="1" applyBorder="1" applyAlignment="1">
      <alignment horizontal="right" vertical="center" indent="1"/>
    </xf>
    <xf numFmtId="0" fontId="129" fillId="0" borderId="35" xfId="635" applyFont="1" applyFill="1" applyBorder="1" applyAlignment="1">
      <alignment horizontal="right" vertical="center" indent="1"/>
    </xf>
    <xf numFmtId="0" fontId="129" fillId="0" borderId="40" xfId="635" applyFont="1" applyFill="1" applyBorder="1" applyAlignment="1">
      <alignment horizontal="right" vertical="center" indent="1"/>
    </xf>
    <xf numFmtId="3" fontId="129" fillId="0" borderId="25" xfId="635" applyNumberFormat="1" applyFont="1" applyFill="1" applyBorder="1" applyAlignment="1">
      <alignment horizontal="right" vertical="center" indent="1"/>
    </xf>
    <xf numFmtId="0" fontId="129" fillId="0" borderId="31" xfId="635" applyFont="1" applyFill="1" applyBorder="1" applyAlignment="1">
      <alignment horizontal="center" vertical="center"/>
    </xf>
    <xf numFmtId="0" fontId="129" fillId="0" borderId="26" xfId="635" applyFont="1" applyFill="1" applyBorder="1" applyAlignment="1">
      <alignment horizontal="right" vertical="center" indent="1"/>
    </xf>
    <xf numFmtId="0" fontId="129" fillId="0" borderId="36" xfId="635" applyFont="1" applyFill="1" applyBorder="1" applyAlignment="1">
      <alignment horizontal="right" vertical="center" indent="1"/>
    </xf>
    <xf numFmtId="0" fontId="129" fillId="0" borderId="41" xfId="635" applyFont="1" applyFill="1" applyBorder="1" applyAlignment="1">
      <alignment horizontal="right" vertical="center" indent="1"/>
    </xf>
    <xf numFmtId="3" fontId="129" fillId="0" borderId="26" xfId="635" applyNumberFormat="1" applyFont="1" applyFill="1" applyBorder="1" applyAlignment="1">
      <alignment horizontal="right" vertical="center" indent="1"/>
    </xf>
    <xf numFmtId="0" fontId="198" fillId="0" borderId="16" xfId="639" applyFont="1" applyFill="1" applyBorder="1" applyAlignment="1">
      <alignment horizontal="center" vertical="center"/>
    </xf>
    <xf numFmtId="0" fontId="129" fillId="0" borderId="34" xfId="635" applyFont="1" applyFill="1" applyBorder="1" applyAlignment="1">
      <alignment horizontal="center" vertical="center"/>
    </xf>
    <xf numFmtId="3" fontId="129" fillId="0" borderId="29" xfId="635" applyNumberFormat="1" applyFont="1" applyFill="1" applyBorder="1" applyAlignment="1">
      <alignment horizontal="right" vertical="center" indent="1"/>
    </xf>
    <xf numFmtId="0" fontId="128" fillId="23" borderId="18" xfId="635" applyFont="1" applyFill="1" applyBorder="1" applyAlignment="1">
      <alignment horizontal="center" vertical="center"/>
    </xf>
    <xf numFmtId="0" fontId="128" fillId="23" borderId="13" xfId="635" applyFont="1" applyFill="1" applyBorder="1" applyAlignment="1">
      <alignment horizontal="right" vertical="center" indent="1"/>
    </xf>
    <xf numFmtId="0" fontId="128" fillId="23" borderId="14" xfId="635" applyFont="1" applyFill="1" applyBorder="1" applyAlignment="1">
      <alignment horizontal="right" vertical="center" indent="1"/>
    </xf>
    <xf numFmtId="0" fontId="128" fillId="23" borderId="10" xfId="635" applyFont="1" applyFill="1" applyBorder="1" applyAlignment="1">
      <alignment horizontal="right" vertical="center" indent="1"/>
    </xf>
    <xf numFmtId="3" fontId="128" fillId="23" borderId="13" xfId="635" applyNumberFormat="1" applyFont="1" applyFill="1" applyBorder="1" applyAlignment="1">
      <alignment horizontal="right" vertical="center" indent="1"/>
    </xf>
    <xf numFmtId="0" fontId="45" fillId="0" borderId="0" xfId="635" applyFill="1"/>
    <xf numFmtId="0" fontId="129" fillId="0" borderId="0" xfId="635" applyFont="1" applyAlignment="1">
      <alignment vertical="center"/>
    </xf>
    <xf numFmtId="0" fontId="129" fillId="0" borderId="21" xfId="635" applyFont="1" applyFill="1" applyBorder="1" applyAlignment="1">
      <alignment horizontal="center" vertical="center"/>
    </xf>
    <xf numFmtId="3" fontId="129" fillId="0" borderId="16" xfId="635" applyNumberFormat="1" applyFont="1" applyFill="1" applyBorder="1" applyAlignment="1">
      <alignment horizontal="right" vertical="center" indent="1"/>
    </xf>
    <xf numFmtId="3" fontId="129" fillId="0" borderId="0" xfId="635" applyNumberFormat="1" applyFont="1" applyFill="1" applyBorder="1" applyAlignment="1">
      <alignment horizontal="right" vertical="center" indent="1"/>
    </xf>
    <xf numFmtId="0" fontId="144" fillId="23" borderId="18" xfId="638" applyFont="1" applyFill="1" applyBorder="1" applyAlignment="1">
      <alignment horizontal="center" vertical="center" wrapText="1"/>
    </xf>
    <xf numFmtId="0" fontId="73" fillId="0" borderId="0" xfId="73" applyFont="1" applyAlignment="1">
      <alignment horizontal="left" vertical="center"/>
    </xf>
    <xf numFmtId="0" fontId="128" fillId="23" borderId="10" xfId="0" applyFont="1" applyFill="1" applyBorder="1" applyAlignment="1">
      <alignment horizontal="center" vertical="center" wrapText="1"/>
    </xf>
    <xf numFmtId="0" fontId="128" fillId="23" borderId="18" xfId="48" applyFont="1" applyFill="1" applyBorder="1" applyAlignment="1">
      <alignment horizontal="center" vertical="center" wrapText="1"/>
    </xf>
    <xf numFmtId="3" fontId="128" fillId="0" borderId="37" xfId="66" applyNumberFormat="1" applyFont="1" applyBorder="1" applyAlignment="1">
      <alignment horizontal="right" vertical="center" indent="1"/>
    </xf>
    <xf numFmtId="0" fontId="75" fillId="0" borderId="0" xfId="48" applyFont="1" applyFill="1" applyBorder="1" applyAlignment="1">
      <alignment horizontal="left" vertical="center"/>
    </xf>
    <xf numFmtId="0" fontId="73" fillId="0" borderId="0" xfId="66" applyFont="1" applyFill="1" applyBorder="1" applyAlignment="1">
      <alignment horizontal="center" vertical="center"/>
    </xf>
    <xf numFmtId="0" fontId="70" fillId="0" borderId="0" xfId="0" applyFont="1" applyBorder="1" applyAlignment="1">
      <alignment vertical="center"/>
    </xf>
    <xf numFmtId="3" fontId="129" fillId="23" borderId="27" xfId="66" applyNumberFormat="1" applyFont="1" applyFill="1" applyBorder="1" applyAlignment="1">
      <alignment horizontal="center" vertical="center"/>
    </xf>
    <xf numFmtId="3" fontId="129" fillId="23" borderId="37" xfId="66" applyNumberFormat="1" applyFont="1" applyFill="1" applyBorder="1" applyAlignment="1">
      <alignment horizontal="center" vertical="center"/>
    </xf>
    <xf numFmtId="3" fontId="128" fillId="23" borderId="42" xfId="66" applyNumberFormat="1" applyFont="1" applyFill="1" applyBorder="1" applyAlignment="1">
      <alignment horizontal="center" vertical="center"/>
    </xf>
    <xf numFmtId="3" fontId="129" fillId="23" borderId="42" xfId="66" applyNumberFormat="1" applyFont="1" applyFill="1" applyBorder="1" applyAlignment="1">
      <alignment horizontal="center" vertical="center"/>
    </xf>
    <xf numFmtId="3" fontId="129" fillId="0" borderId="38" xfId="66" applyNumberFormat="1" applyFont="1" applyFill="1" applyBorder="1" applyAlignment="1" applyProtection="1">
      <alignment horizontal="center" vertical="center"/>
      <protection locked="0"/>
    </xf>
    <xf numFmtId="3" fontId="129" fillId="0" borderId="36" xfId="66" applyNumberFormat="1" applyFont="1" applyFill="1" applyBorder="1" applyAlignment="1" applyProtection="1">
      <alignment horizontal="center" vertical="center"/>
      <protection locked="0"/>
    </xf>
    <xf numFmtId="3" fontId="129" fillId="0" borderId="26" xfId="66" applyNumberFormat="1" applyFont="1" applyFill="1" applyBorder="1" applyAlignment="1" applyProtection="1">
      <alignment horizontal="center" vertical="center"/>
      <protection locked="0"/>
    </xf>
    <xf numFmtId="3" fontId="129" fillId="0" borderId="29" xfId="66" applyNumberFormat="1" applyFont="1" applyFill="1" applyBorder="1" applyAlignment="1" applyProtection="1">
      <alignment horizontal="center" vertical="center"/>
      <protection locked="0"/>
    </xf>
    <xf numFmtId="3" fontId="129" fillId="0" borderId="39" xfId="66" applyNumberFormat="1" applyFont="1" applyFill="1" applyBorder="1" applyAlignment="1" applyProtection="1">
      <alignment horizontal="center" vertical="center"/>
      <protection locked="0"/>
    </xf>
    <xf numFmtId="3" fontId="129" fillId="0" borderId="25" xfId="66" applyNumberFormat="1" applyFont="1" applyFill="1" applyBorder="1" applyAlignment="1" applyProtection="1">
      <alignment horizontal="center" vertical="center"/>
      <protection locked="0"/>
    </xf>
    <xf numFmtId="3" fontId="129" fillId="0" borderId="35" xfId="66" applyNumberFormat="1" applyFont="1" applyFill="1" applyBorder="1" applyAlignment="1" applyProtection="1">
      <alignment horizontal="center" vertical="center"/>
      <protection locked="0"/>
    </xf>
    <xf numFmtId="3" fontId="129" fillId="0" borderId="36" xfId="66" applyNumberFormat="1" applyFont="1" applyBorder="1" applyAlignment="1">
      <alignment horizontal="center"/>
    </xf>
    <xf numFmtId="3" fontId="129" fillId="0" borderId="36" xfId="66" applyNumberFormat="1" applyFont="1" applyFill="1" applyBorder="1" applyAlignment="1">
      <alignment vertical="center"/>
    </xf>
    <xf numFmtId="3" fontId="129" fillId="0" borderId="36" xfId="66" applyNumberFormat="1" applyFont="1" applyFill="1" applyBorder="1" applyAlignment="1">
      <alignment horizontal="center"/>
    </xf>
    <xf numFmtId="3" fontId="129" fillId="0" borderId="39" xfId="66" applyNumberFormat="1" applyFont="1" applyFill="1" applyBorder="1" applyAlignment="1">
      <alignment horizontal="center"/>
    </xf>
    <xf numFmtId="3" fontId="129" fillId="0" borderId="35" xfId="66" applyNumberFormat="1" applyFont="1" applyFill="1" applyBorder="1" applyAlignment="1">
      <alignment horizontal="center"/>
    </xf>
    <xf numFmtId="3" fontId="129" fillId="0" borderId="25" xfId="66" applyNumberFormat="1" applyFont="1" applyBorder="1" applyAlignment="1">
      <alignment horizontal="center"/>
    </xf>
    <xf numFmtId="3" fontId="129" fillId="0" borderId="35" xfId="66" applyNumberFormat="1" applyFont="1" applyBorder="1" applyAlignment="1">
      <alignment horizontal="center"/>
    </xf>
    <xf numFmtId="3" fontId="129" fillId="0" borderId="29" xfId="66" applyNumberFormat="1" applyFont="1" applyBorder="1" applyAlignment="1">
      <alignment horizontal="center"/>
    </xf>
    <xf numFmtId="3" fontId="129" fillId="0" borderId="39" xfId="66" applyNumberFormat="1" applyFont="1" applyBorder="1" applyAlignment="1">
      <alignment horizontal="center"/>
    </xf>
    <xf numFmtId="3" fontId="129" fillId="0" borderId="28" xfId="66" applyNumberFormat="1" applyFont="1" applyFill="1" applyBorder="1" applyAlignment="1" applyProtection="1">
      <alignment horizontal="center" vertical="center"/>
      <protection locked="0"/>
    </xf>
    <xf numFmtId="3" fontId="52" fillId="0" borderId="36" xfId="66" applyNumberFormat="1" applyFont="1" applyFill="1" applyBorder="1" applyAlignment="1">
      <alignment horizontal="center"/>
    </xf>
    <xf numFmtId="3" fontId="129" fillId="23" borderId="20" xfId="66" applyNumberFormat="1" applyFont="1" applyFill="1" applyBorder="1" applyAlignment="1" applyProtection="1">
      <alignment horizontal="center" vertical="center"/>
      <protection locked="0"/>
    </xf>
    <xf numFmtId="3" fontId="129" fillId="23" borderId="24" xfId="66" applyNumberFormat="1" applyFont="1" applyFill="1" applyBorder="1" applyAlignment="1" applyProtection="1">
      <alignment horizontal="center" vertical="center"/>
      <protection locked="0"/>
    </xf>
    <xf numFmtId="3" fontId="128" fillId="23" borderId="22" xfId="66" applyNumberFormat="1" applyFont="1" applyFill="1" applyBorder="1" applyAlignment="1" applyProtection="1">
      <alignment horizontal="center" vertical="center"/>
    </xf>
    <xf numFmtId="3" fontId="128" fillId="23" borderId="24" xfId="66" applyNumberFormat="1" applyFont="1" applyFill="1" applyBorder="1" applyAlignment="1" applyProtection="1">
      <alignment horizontal="center" vertical="center"/>
    </xf>
    <xf numFmtId="3" fontId="129" fillId="23" borderId="16" xfId="66" applyNumberFormat="1" applyFont="1" applyFill="1" applyBorder="1" applyAlignment="1" applyProtection="1">
      <alignment horizontal="center" vertical="center"/>
      <protection locked="0"/>
    </xf>
    <xf numFmtId="3" fontId="129" fillId="23" borderId="0" xfId="66" applyNumberFormat="1" applyFont="1" applyFill="1" applyBorder="1" applyAlignment="1" applyProtection="1">
      <alignment horizontal="center" vertical="center"/>
      <protection locked="0"/>
    </xf>
    <xf numFmtId="3" fontId="128" fillId="23" borderId="17" xfId="66" applyNumberFormat="1" applyFont="1" applyFill="1" applyBorder="1" applyAlignment="1" applyProtection="1">
      <alignment horizontal="center" vertical="center"/>
    </xf>
    <xf numFmtId="3" fontId="128" fillId="23" borderId="0" xfId="66" applyNumberFormat="1" applyFont="1" applyFill="1" applyBorder="1" applyAlignment="1" applyProtection="1">
      <alignment horizontal="center" vertical="center"/>
    </xf>
    <xf numFmtId="3" fontId="128" fillId="23" borderId="13" xfId="66" applyNumberFormat="1" applyFont="1" applyFill="1" applyBorder="1" applyAlignment="1" applyProtection="1">
      <alignment horizontal="center" vertical="center"/>
      <protection locked="0"/>
    </xf>
    <xf numFmtId="3" fontId="128" fillId="23" borderId="14" xfId="66" applyNumberFormat="1" applyFont="1" applyFill="1" applyBorder="1" applyAlignment="1" applyProtection="1">
      <alignment horizontal="center" vertical="center"/>
      <protection locked="0"/>
    </xf>
    <xf numFmtId="3" fontId="128" fillId="23" borderId="10" xfId="66" applyNumberFormat="1" applyFont="1" applyFill="1" applyBorder="1" applyAlignment="1" applyProtection="1">
      <alignment horizontal="center" vertical="center"/>
    </xf>
    <xf numFmtId="3" fontId="128" fillId="23" borderId="14" xfId="66" applyNumberFormat="1" applyFont="1" applyFill="1" applyBorder="1" applyAlignment="1" applyProtection="1">
      <alignment horizontal="center" vertical="center"/>
    </xf>
    <xf numFmtId="0" fontId="129" fillId="0" borderId="25" xfId="374" applyFont="1" applyBorder="1" applyAlignment="1">
      <alignment vertical="center" wrapText="1"/>
    </xf>
    <xf numFmtId="0" fontId="129" fillId="0" borderId="40" xfId="374" applyFont="1" applyBorder="1" applyAlignment="1">
      <alignment vertical="center" wrapText="1"/>
    </xf>
    <xf numFmtId="0" fontId="128" fillId="23" borderId="10" xfId="0" applyFont="1" applyFill="1" applyBorder="1" applyAlignment="1">
      <alignment horizontal="center" vertical="center" wrapText="1"/>
    </xf>
    <xf numFmtId="0" fontId="132" fillId="23" borderId="13" xfId="464" applyFont="1" applyFill="1" applyBorder="1" applyAlignment="1">
      <alignment horizontal="center" vertical="center"/>
    </xf>
    <xf numFmtId="0" fontId="132" fillId="23" borderId="10" xfId="464" applyFont="1" applyFill="1" applyBorder="1" applyAlignment="1">
      <alignment horizontal="center" vertical="center"/>
    </xf>
    <xf numFmtId="0" fontId="50" fillId="0" borderId="29" xfId="464" applyFont="1" applyBorder="1" applyAlignment="1">
      <alignment horizontal="center" vertical="center"/>
    </xf>
    <xf numFmtId="0" fontId="50" fillId="0" borderId="44" xfId="464" applyFont="1" applyBorder="1" applyAlignment="1">
      <alignment horizontal="center" vertical="center"/>
    </xf>
    <xf numFmtId="3" fontId="128" fillId="0" borderId="44" xfId="66" applyNumberFormat="1" applyFont="1" applyFill="1" applyBorder="1" applyAlignment="1">
      <alignment horizontal="center" vertical="center"/>
    </xf>
    <xf numFmtId="0" fontId="0" fillId="0" borderId="19" xfId="0" applyBorder="1"/>
    <xf numFmtId="3" fontId="52" fillId="23" borderId="37" xfId="0" applyNumberFormat="1" applyFont="1" applyFill="1" applyBorder="1" applyAlignment="1">
      <alignment horizontal="right" vertical="center" wrapText="1" indent="1"/>
    </xf>
    <xf numFmtId="0" fontId="175" fillId="0" borderId="0" xfId="0" applyFont="1" applyFill="1" applyBorder="1" applyAlignment="1">
      <alignment horizontal="center" vertical="center" wrapText="1" readingOrder="1"/>
    </xf>
    <xf numFmtId="1" fontId="129" fillId="0" borderId="40" xfId="66" applyNumberFormat="1" applyFont="1" applyBorder="1" applyAlignment="1">
      <alignment horizontal="right" vertical="center" indent="1"/>
    </xf>
    <xf numFmtId="1" fontId="129" fillId="0" borderId="41" xfId="66" applyNumberFormat="1" applyFont="1" applyBorder="1" applyAlignment="1">
      <alignment horizontal="right" vertical="center" indent="1"/>
    </xf>
    <xf numFmtId="1" fontId="129" fillId="0" borderId="44" xfId="66" applyNumberFormat="1" applyFont="1" applyBorder="1" applyAlignment="1">
      <alignment horizontal="right" vertical="center" indent="1"/>
    </xf>
    <xf numFmtId="3" fontId="129" fillId="0" borderId="11" xfId="0" applyNumberFormat="1" applyFont="1" applyBorder="1" applyAlignment="1">
      <alignment horizontal="right" indent="1"/>
    </xf>
    <xf numFmtId="3" fontId="129" fillId="0" borderId="12" xfId="0" applyNumberFormat="1" applyFont="1" applyBorder="1" applyAlignment="1">
      <alignment horizontal="right" indent="1"/>
    </xf>
    <xf numFmtId="3" fontId="158" fillId="0" borderId="12" xfId="0" applyNumberFormat="1" applyFont="1" applyBorder="1" applyAlignment="1">
      <alignment horizontal="right" indent="1"/>
    </xf>
    <xf numFmtId="3" fontId="129" fillId="0" borderId="16" xfId="0" applyNumberFormat="1" applyFont="1" applyBorder="1" applyAlignment="1">
      <alignment horizontal="right" indent="1"/>
    </xf>
    <xf numFmtId="3" fontId="129" fillId="0" borderId="0" xfId="0" applyNumberFormat="1" applyFont="1" applyBorder="1" applyAlignment="1">
      <alignment horizontal="right" indent="1"/>
    </xf>
    <xf numFmtId="3" fontId="158" fillId="0" borderId="0" xfId="0" applyNumberFormat="1" applyFont="1" applyBorder="1" applyAlignment="1">
      <alignment horizontal="right" indent="1"/>
    </xf>
    <xf numFmtId="3" fontId="129" fillId="0" borderId="20" xfId="0" applyNumberFormat="1" applyFont="1" applyBorder="1" applyAlignment="1">
      <alignment horizontal="right" indent="1"/>
    </xf>
    <xf numFmtId="3" fontId="129" fillId="0" borderId="24" xfId="0" applyNumberFormat="1" applyFont="1" applyBorder="1" applyAlignment="1">
      <alignment horizontal="right" indent="1"/>
    </xf>
    <xf numFmtId="3" fontId="158" fillId="0" borderId="24" xfId="0" applyNumberFormat="1" applyFont="1" applyBorder="1" applyAlignment="1">
      <alignment horizontal="right" indent="1"/>
    </xf>
    <xf numFmtId="0" fontId="179" fillId="0" borderId="0" xfId="0" applyFont="1" applyFill="1" applyBorder="1" applyAlignment="1">
      <alignment horizontal="center" vertical="center"/>
    </xf>
    <xf numFmtId="170" fontId="130" fillId="0" borderId="0" xfId="57" applyNumberFormat="1" applyFont="1" applyBorder="1" applyAlignment="1">
      <alignment vertical="center"/>
    </xf>
    <xf numFmtId="9" fontId="130" fillId="0" borderId="0" xfId="57" applyNumberFormat="1" applyFont="1" applyBorder="1" applyAlignment="1">
      <alignment vertical="center"/>
    </xf>
    <xf numFmtId="9" fontId="51" fillId="0" borderId="0" xfId="57" applyNumberFormat="1" applyFont="1" applyFill="1" applyBorder="1" applyAlignment="1">
      <alignment vertical="center"/>
    </xf>
    <xf numFmtId="170" fontId="187" fillId="0" borderId="0" xfId="57" applyNumberFormat="1" applyFont="1" applyFill="1" applyBorder="1" applyAlignment="1">
      <alignment vertical="center"/>
    </xf>
    <xf numFmtId="4" fontId="132" fillId="23" borderId="18" xfId="0" applyNumberFormat="1" applyFont="1" applyFill="1" applyBorder="1" applyAlignment="1">
      <alignment vertical="center"/>
    </xf>
    <xf numFmtId="4" fontId="132" fillId="23" borderId="14" xfId="0" applyNumberFormat="1" applyFont="1" applyFill="1" applyBorder="1" applyAlignment="1">
      <alignment vertical="center"/>
    </xf>
    <xf numFmtId="4" fontId="132" fillId="23" borderId="10" xfId="0" applyNumberFormat="1" applyFont="1" applyFill="1" applyBorder="1" applyAlignment="1">
      <alignment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73" fillId="23" borderId="13" xfId="66" applyFont="1" applyFill="1" applyBorder="1" applyAlignment="1">
      <alignment horizontal="center" vertical="center"/>
    </xf>
    <xf numFmtId="0" fontId="73" fillId="23" borderId="10" xfId="66" applyFont="1" applyFill="1" applyBorder="1" applyAlignment="1">
      <alignment horizontal="center" vertical="center"/>
    </xf>
    <xf numFmtId="0" fontId="73" fillId="23" borderId="14" xfId="66" applyFont="1" applyFill="1" applyBorder="1" applyAlignment="1">
      <alignment horizontal="center" vertical="center"/>
    </xf>
    <xf numFmtId="0" fontId="44" fillId="0" borderId="0" xfId="640"/>
    <xf numFmtId="1" fontId="144" fillId="23" borderId="10" xfId="50" applyNumberFormat="1" applyFont="1" applyFill="1" applyBorder="1" applyAlignment="1">
      <alignment horizontal="center" vertical="center" wrapText="1"/>
    </xf>
    <xf numFmtId="1" fontId="128" fillId="0" borderId="23" xfId="50" applyNumberFormat="1" applyFont="1" applyFill="1" applyBorder="1" applyAlignment="1">
      <alignment horizontal="center" vertical="center" wrapText="1"/>
    </xf>
    <xf numFmtId="0" fontId="129" fillId="0" borderId="30" xfId="640" applyFont="1" applyFill="1" applyBorder="1" applyAlignment="1">
      <alignment horizontal="center" vertical="center"/>
    </xf>
    <xf numFmtId="3" fontId="129" fillId="0" borderId="35" xfId="640" applyNumberFormat="1" applyFont="1" applyFill="1" applyBorder="1" applyAlignment="1">
      <alignment horizontal="right" vertical="center" indent="1"/>
    </xf>
    <xf numFmtId="3" fontId="129" fillId="0" borderId="25" xfId="640" applyNumberFormat="1" applyFont="1" applyFill="1" applyBorder="1" applyAlignment="1">
      <alignment horizontal="right" vertical="center" indent="1"/>
    </xf>
    <xf numFmtId="3" fontId="129" fillId="0" borderId="40" xfId="640" applyNumberFormat="1" applyFont="1" applyFill="1" applyBorder="1" applyAlignment="1">
      <alignment horizontal="right" vertical="center" indent="1"/>
    </xf>
    <xf numFmtId="3" fontId="44" fillId="0" borderId="25" xfId="640" applyNumberFormat="1" applyFont="1" applyBorder="1" applyAlignment="1">
      <alignment horizontal="right" indent="1"/>
    </xf>
    <xf numFmtId="3" fontId="44" fillId="0" borderId="35" xfId="640" applyNumberFormat="1" applyFont="1" applyBorder="1" applyAlignment="1">
      <alignment horizontal="right" indent="1"/>
    </xf>
    <xf numFmtId="0" fontId="129" fillId="0" borderId="31" xfId="640" applyFont="1" applyFill="1" applyBorder="1" applyAlignment="1">
      <alignment horizontal="center" vertical="center"/>
    </xf>
    <xf numFmtId="3" fontId="129" fillId="0" borderId="36" xfId="640" applyNumberFormat="1" applyFont="1" applyFill="1" applyBorder="1" applyAlignment="1">
      <alignment horizontal="right" vertical="center" indent="1"/>
    </xf>
    <xf numFmtId="3" fontId="129" fillId="0" borderId="26" xfId="640" applyNumberFormat="1" applyFont="1" applyFill="1" applyBorder="1" applyAlignment="1">
      <alignment horizontal="right" vertical="center" indent="1"/>
    </xf>
    <xf numFmtId="3" fontId="129" fillId="0" borderId="41" xfId="640" applyNumberFormat="1" applyFont="1" applyFill="1" applyBorder="1" applyAlignment="1">
      <alignment horizontal="right" vertical="center" indent="1"/>
    </xf>
    <xf numFmtId="3" fontId="44" fillId="0" borderId="28" xfId="640" applyNumberFormat="1" applyFont="1" applyBorder="1" applyAlignment="1">
      <alignment horizontal="right" indent="1"/>
    </xf>
    <xf numFmtId="3" fontId="44" fillId="0" borderId="38" xfId="640" applyNumberFormat="1" applyFont="1" applyBorder="1" applyAlignment="1">
      <alignment horizontal="right" indent="1"/>
    </xf>
    <xf numFmtId="0" fontId="128" fillId="23" borderId="32" xfId="640" applyFont="1" applyFill="1" applyBorder="1" applyAlignment="1">
      <alignment horizontal="center" vertical="center"/>
    </xf>
    <xf numFmtId="3" fontId="128" fillId="23" borderId="37" xfId="640" applyNumberFormat="1" applyFont="1" applyFill="1" applyBorder="1" applyAlignment="1">
      <alignment horizontal="right" vertical="center" indent="1"/>
    </xf>
    <xf numFmtId="3" fontId="128" fillId="23" borderId="27" xfId="640" applyNumberFormat="1" applyFont="1" applyFill="1" applyBorder="1" applyAlignment="1">
      <alignment horizontal="right" vertical="center" indent="1"/>
    </xf>
    <xf numFmtId="3" fontId="128" fillId="23" borderId="42" xfId="640" applyNumberFormat="1" applyFont="1" applyFill="1" applyBorder="1" applyAlignment="1">
      <alignment horizontal="right" vertical="center" indent="1"/>
    </xf>
    <xf numFmtId="3" fontId="132" fillId="23" borderId="27" xfId="640" applyNumberFormat="1" applyFont="1" applyFill="1" applyBorder="1" applyAlignment="1">
      <alignment horizontal="right" indent="1"/>
    </xf>
    <xf numFmtId="3" fontId="132" fillId="23" borderId="37" xfId="640" applyNumberFormat="1" applyFont="1" applyFill="1" applyBorder="1" applyAlignment="1">
      <alignment horizontal="right" indent="1"/>
    </xf>
    <xf numFmtId="0" fontId="139" fillId="0" borderId="0" xfId="640" applyFont="1" applyFill="1" applyBorder="1" applyAlignment="1">
      <alignment horizontal="center" vertical="center"/>
    </xf>
    <xf numFmtId="0" fontId="139" fillId="0" borderId="0" xfId="640" applyFont="1" applyFill="1" applyBorder="1" applyAlignment="1">
      <alignment horizontal="right" vertical="center" indent="1"/>
    </xf>
    <xf numFmtId="0" fontId="129" fillId="0" borderId="33" xfId="640" applyFont="1" applyFill="1" applyBorder="1" applyAlignment="1">
      <alignment horizontal="center" vertical="center"/>
    </xf>
    <xf numFmtId="3" fontId="129" fillId="0" borderId="38" xfId="640" applyNumberFormat="1" applyFont="1" applyFill="1" applyBorder="1" applyAlignment="1">
      <alignment horizontal="right" vertical="center" indent="1"/>
    </xf>
    <xf numFmtId="3" fontId="129" fillId="0" borderId="28" xfId="640" applyNumberFormat="1" applyFont="1" applyFill="1" applyBorder="1" applyAlignment="1">
      <alignment horizontal="right" vertical="center" indent="1"/>
    </xf>
    <xf numFmtId="3" fontId="129" fillId="0" borderId="43" xfId="640" applyNumberFormat="1" applyFont="1" applyFill="1" applyBorder="1" applyAlignment="1">
      <alignment horizontal="right" vertical="center" indent="1"/>
    </xf>
    <xf numFmtId="3" fontId="44" fillId="0" borderId="26" xfId="640" applyNumberFormat="1" applyFont="1" applyBorder="1" applyAlignment="1">
      <alignment horizontal="right" indent="1"/>
    </xf>
    <xf numFmtId="3" fontId="44" fillId="0" borderId="36" xfId="640" applyNumberFormat="1" applyFont="1" applyBorder="1" applyAlignment="1">
      <alignment horizontal="right" indent="1"/>
    </xf>
    <xf numFmtId="0" fontId="44" fillId="0" borderId="0" xfId="640" applyAlignment="1">
      <alignment horizontal="right" indent="1"/>
    </xf>
    <xf numFmtId="0" fontId="198" fillId="0" borderId="0" xfId="640" applyFont="1" applyFill="1" applyBorder="1" applyAlignment="1">
      <alignment horizontal="center" vertical="center"/>
    </xf>
    <xf numFmtId="0" fontId="198" fillId="0" borderId="0" xfId="640" applyFont="1" applyFill="1" applyBorder="1" applyAlignment="1">
      <alignment horizontal="right" vertical="center" indent="1"/>
    </xf>
    <xf numFmtId="3" fontId="44" fillId="0" borderId="40" xfId="640" applyNumberFormat="1" applyFont="1" applyBorder="1" applyAlignment="1">
      <alignment horizontal="right" indent="1"/>
    </xf>
    <xf numFmtId="3" fontId="44" fillId="0" borderId="41" xfId="640" applyNumberFormat="1" applyFont="1" applyBorder="1" applyAlignment="1">
      <alignment horizontal="right" indent="1"/>
    </xf>
    <xf numFmtId="3" fontId="44" fillId="0" borderId="29" xfId="640" applyNumberFormat="1" applyFont="1" applyBorder="1" applyAlignment="1">
      <alignment horizontal="right" indent="1"/>
    </xf>
    <xf numFmtId="3" fontId="44" fillId="0" borderId="39" xfId="640" applyNumberFormat="1" applyFont="1" applyBorder="1" applyAlignment="1">
      <alignment horizontal="right" indent="1"/>
    </xf>
    <xf numFmtId="3" fontId="44" fillId="0" borderId="44" xfId="640" applyNumberFormat="1" applyFont="1" applyBorder="1" applyAlignment="1">
      <alignment horizontal="right" indent="1"/>
    </xf>
    <xf numFmtId="0" fontId="74" fillId="0" borderId="0" xfId="640" applyFont="1" applyFill="1" applyBorder="1" applyAlignment="1">
      <alignment vertical="center"/>
    </xf>
    <xf numFmtId="3" fontId="129" fillId="0" borderId="35" xfId="640" applyNumberFormat="1" applyFont="1" applyBorder="1" applyAlignment="1">
      <alignment horizontal="right" indent="1"/>
    </xf>
    <xf numFmtId="3" fontId="129" fillId="0" borderId="40" xfId="640" applyNumberFormat="1" applyFont="1" applyBorder="1" applyAlignment="1">
      <alignment horizontal="right" indent="1"/>
    </xf>
    <xf numFmtId="3" fontId="129" fillId="0" borderId="36" xfId="640" applyNumberFormat="1" applyFont="1" applyBorder="1" applyAlignment="1">
      <alignment horizontal="right" indent="1"/>
    </xf>
    <xf numFmtId="3" fontId="129" fillId="0" borderId="41" xfId="640" applyNumberFormat="1" applyFont="1" applyBorder="1" applyAlignment="1">
      <alignment horizontal="right" indent="1"/>
    </xf>
    <xf numFmtId="3" fontId="129" fillId="0" borderId="25" xfId="640" applyNumberFormat="1" applyFont="1" applyBorder="1" applyAlignment="1">
      <alignment horizontal="right" indent="1"/>
    </xf>
    <xf numFmtId="3" fontId="129" fillId="0" borderId="26" xfId="640" applyNumberFormat="1" applyFont="1" applyBorder="1" applyAlignment="1">
      <alignment horizontal="right" indent="1"/>
    </xf>
    <xf numFmtId="0" fontId="44" fillId="0" borderId="0" xfId="640" applyAlignment="1">
      <alignment vertical="center"/>
    </xf>
    <xf numFmtId="0" fontId="44" fillId="0" borderId="0" xfId="640" applyAlignment="1">
      <alignment horizontal="right" vertical="center" indent="1"/>
    </xf>
    <xf numFmtId="0" fontId="74" fillId="0" borderId="0" xfId="640" applyFont="1" applyAlignment="1">
      <alignment horizontal="right" vertical="center" indent="1"/>
    </xf>
    <xf numFmtId="0" fontId="129" fillId="0" borderId="34" xfId="640" applyFont="1" applyFill="1" applyBorder="1" applyAlignment="1">
      <alignment horizontal="center" vertical="center"/>
    </xf>
    <xf numFmtId="3" fontId="129" fillId="0" borderId="27" xfId="640" applyNumberFormat="1" applyFont="1" applyFill="1" applyBorder="1" applyAlignment="1">
      <alignment horizontal="right" vertical="center" indent="1"/>
    </xf>
    <xf numFmtId="3" fontId="129" fillId="0" borderId="37" xfId="640" applyNumberFormat="1" applyFont="1" applyFill="1" applyBorder="1" applyAlignment="1">
      <alignment horizontal="right" vertical="center" indent="1"/>
    </xf>
    <xf numFmtId="3" fontId="129" fillId="0" borderId="42" xfId="640" applyNumberFormat="1" applyFont="1" applyFill="1" applyBorder="1" applyAlignment="1">
      <alignment horizontal="right" vertical="center" indent="1"/>
    </xf>
    <xf numFmtId="0" fontId="128" fillId="23" borderId="18" xfId="64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 wrapText="1"/>
    </xf>
    <xf numFmtId="0" fontId="128" fillId="23" borderId="22" xfId="0" applyFont="1" applyFill="1" applyBorder="1" applyAlignment="1">
      <alignment horizontal="center" vertical="center" wrapText="1"/>
    </xf>
    <xf numFmtId="0" fontId="200" fillId="0" borderId="0" xfId="0" applyFont="1" applyAlignment="1">
      <alignment vertical="center"/>
    </xf>
    <xf numFmtId="10" fontId="129" fillId="0" borderId="25" xfId="70" applyNumberFormat="1" applyFont="1" applyBorder="1" applyAlignment="1">
      <alignment horizontal="right" indent="1"/>
    </xf>
    <xf numFmtId="10" fontId="129" fillId="0" borderId="30" xfId="70" applyNumberFormat="1" applyFont="1" applyBorder="1" applyAlignment="1">
      <alignment horizontal="right" indent="1"/>
    </xf>
    <xf numFmtId="10" fontId="129" fillId="0" borderId="35" xfId="70" applyNumberFormat="1" applyFont="1" applyBorder="1" applyAlignment="1">
      <alignment horizontal="right" indent="1"/>
    </xf>
    <xf numFmtId="10" fontId="129" fillId="0" borderId="40" xfId="70" applyNumberFormat="1" applyFont="1" applyBorder="1" applyAlignment="1">
      <alignment horizontal="right" indent="1"/>
    </xf>
    <xf numFmtId="10" fontId="129" fillId="0" borderId="26" xfId="70" applyNumberFormat="1" applyFont="1" applyBorder="1" applyAlignment="1">
      <alignment horizontal="right" indent="1"/>
    </xf>
    <xf numFmtId="10" fontId="129" fillId="0" borderId="31" xfId="70" applyNumberFormat="1" applyFont="1" applyBorder="1" applyAlignment="1">
      <alignment horizontal="right" indent="1"/>
    </xf>
    <xf numFmtId="10" fontId="129" fillId="0" borderId="36" xfId="70" applyNumberFormat="1" applyFont="1" applyBorder="1" applyAlignment="1">
      <alignment horizontal="right" indent="1"/>
    </xf>
    <xf numFmtId="10" fontId="129" fillId="0" borderId="41" xfId="70" applyNumberFormat="1" applyFont="1" applyBorder="1" applyAlignment="1">
      <alignment horizontal="right" indent="1"/>
    </xf>
    <xf numFmtId="10" fontId="128" fillId="23" borderId="27" xfId="70" applyNumberFormat="1" applyFont="1" applyFill="1" applyBorder="1" applyAlignment="1">
      <alignment horizontal="right" indent="1"/>
    </xf>
    <xf numFmtId="10" fontId="128" fillId="23" borderId="32" xfId="70" applyNumberFormat="1" applyFont="1" applyFill="1" applyBorder="1" applyAlignment="1">
      <alignment horizontal="right" indent="1"/>
    </xf>
    <xf numFmtId="10" fontId="128" fillId="23" borderId="37" xfId="70" applyNumberFormat="1" applyFont="1" applyFill="1" applyBorder="1" applyAlignment="1">
      <alignment horizontal="right" indent="1"/>
    </xf>
    <xf numFmtId="10" fontId="128" fillId="23" borderId="42" xfId="70" applyNumberFormat="1" applyFont="1" applyFill="1" applyBorder="1" applyAlignment="1">
      <alignment horizontal="right" indent="1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horizontal="right" vertical="center" indent="1"/>
    </xf>
    <xf numFmtId="10" fontId="73" fillId="23" borderId="18" xfId="406" applyNumberFormat="1" applyFont="1" applyFill="1" applyBorder="1" applyAlignment="1">
      <alignment horizontal="center"/>
    </xf>
    <xf numFmtId="0" fontId="145" fillId="0" borderId="0" xfId="0" applyFont="1"/>
    <xf numFmtId="170" fontId="129" fillId="0" borderId="25" xfId="70" applyNumberFormat="1" applyFont="1" applyBorder="1" applyAlignment="1">
      <alignment horizontal="right" indent="1"/>
    </xf>
    <xf numFmtId="170" fontId="129" fillId="0" borderId="30" xfId="70" applyNumberFormat="1" applyFont="1" applyBorder="1" applyAlignment="1">
      <alignment horizontal="right" indent="1"/>
    </xf>
    <xf numFmtId="170" fontId="129" fillId="0" borderId="35" xfId="70" applyNumberFormat="1" applyFont="1" applyBorder="1" applyAlignment="1">
      <alignment horizontal="right" indent="1"/>
    </xf>
    <xf numFmtId="170" fontId="129" fillId="0" borderId="40" xfId="70" applyNumberFormat="1" applyFont="1" applyBorder="1" applyAlignment="1">
      <alignment horizontal="right" indent="1"/>
    </xf>
    <xf numFmtId="170" fontId="129" fillId="0" borderId="26" xfId="70" applyNumberFormat="1" applyFont="1" applyBorder="1" applyAlignment="1">
      <alignment horizontal="right" indent="1"/>
    </xf>
    <xf numFmtId="170" fontId="129" fillId="0" borderId="31" xfId="70" applyNumberFormat="1" applyFont="1" applyBorder="1" applyAlignment="1">
      <alignment horizontal="right" indent="1"/>
    </xf>
    <xf numFmtId="170" fontId="129" fillId="0" borderId="36" xfId="70" applyNumberFormat="1" applyFont="1" applyBorder="1" applyAlignment="1">
      <alignment horizontal="right" indent="1"/>
    </xf>
    <xf numFmtId="170" fontId="129" fillId="0" borderId="41" xfId="70" applyNumberFormat="1" applyFont="1" applyBorder="1" applyAlignment="1">
      <alignment horizontal="right" indent="1"/>
    </xf>
    <xf numFmtId="170" fontId="128" fillId="23" borderId="27" xfId="70" applyNumberFormat="1" applyFont="1" applyFill="1" applyBorder="1" applyAlignment="1">
      <alignment horizontal="right" indent="1"/>
    </xf>
    <xf numFmtId="170" fontId="128" fillId="23" borderId="32" xfId="70" applyNumberFormat="1" applyFont="1" applyFill="1" applyBorder="1" applyAlignment="1">
      <alignment horizontal="right" indent="1"/>
    </xf>
    <xf numFmtId="170" fontId="128" fillId="23" borderId="37" xfId="70" applyNumberFormat="1" applyFont="1" applyFill="1" applyBorder="1" applyAlignment="1">
      <alignment horizontal="right" indent="1"/>
    </xf>
    <xf numFmtId="170" fontId="128" fillId="23" borderId="42" xfId="70" applyNumberFormat="1" applyFont="1" applyFill="1" applyBorder="1" applyAlignment="1">
      <alignment horizontal="right" indent="1"/>
    </xf>
    <xf numFmtId="170" fontId="129" fillId="0" borderId="0" xfId="0" applyNumberFormat="1" applyFont="1" applyAlignment="1">
      <alignment horizontal="right" vertical="center" indent="1"/>
    </xf>
    <xf numFmtId="170" fontId="73" fillId="23" borderId="18" xfId="406" applyNumberFormat="1" applyFont="1" applyFill="1" applyBorder="1" applyAlignment="1">
      <alignment horizontal="center"/>
    </xf>
    <xf numFmtId="0" fontId="72" fillId="0" borderId="0" xfId="66" applyFont="1" applyFill="1" applyBorder="1"/>
    <xf numFmtId="0" fontId="145" fillId="0" borderId="0" xfId="0" applyFont="1" applyFill="1" applyBorder="1" applyAlignment="1">
      <alignment vertical="center"/>
    </xf>
    <xf numFmtId="0" fontId="137" fillId="0" borderId="0" xfId="45" applyFont="1" applyAlignment="1">
      <alignment vertical="center"/>
    </xf>
    <xf numFmtId="0" fontId="137" fillId="0" borderId="21" xfId="45" applyFont="1" applyFill="1" applyBorder="1" applyAlignment="1">
      <alignment horizontal="center" vertical="center"/>
    </xf>
    <xf numFmtId="0" fontId="131" fillId="0" borderId="0" xfId="66" applyFont="1" applyAlignment="1">
      <alignment horizontal="left" vertical="center"/>
    </xf>
    <xf numFmtId="0" fontId="132" fillId="23" borderId="19" xfId="0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29" fillId="0" borderId="0" xfId="0" applyFont="1" applyAlignment="1">
      <alignment horizontal="center" vertical="center"/>
    </xf>
    <xf numFmtId="0" fontId="129" fillId="0" borderId="45" xfId="0" applyFont="1" applyBorder="1" applyAlignment="1">
      <alignment horizontal="center" vertical="center"/>
    </xf>
    <xf numFmtId="0" fontId="129" fillId="0" borderId="46" xfId="0" applyFont="1" applyBorder="1" applyAlignment="1">
      <alignment horizontal="center" vertical="center"/>
    </xf>
    <xf numFmtId="0" fontId="129" fillId="0" borderId="48" xfId="0" applyFont="1" applyBorder="1" applyAlignment="1">
      <alignment horizontal="center" vertical="center"/>
    </xf>
    <xf numFmtId="0" fontId="129" fillId="0" borderId="62" xfId="0" applyFont="1" applyBorder="1" applyAlignment="1">
      <alignment horizontal="center" vertical="center"/>
    </xf>
    <xf numFmtId="0" fontId="129" fillId="0" borderId="63" xfId="0" applyFont="1" applyBorder="1" applyAlignment="1">
      <alignment horizontal="center" vertical="center"/>
    </xf>
    <xf numFmtId="0" fontId="129" fillId="0" borderId="64" xfId="0" applyFont="1" applyBorder="1" applyAlignment="1">
      <alignment horizontal="center" vertical="center"/>
    </xf>
    <xf numFmtId="0" fontId="128" fillId="0" borderId="23" xfId="73" applyFont="1" applyFill="1" applyBorder="1" applyAlignment="1">
      <alignment horizontal="center" vertical="center" wrapText="1"/>
    </xf>
    <xf numFmtId="0" fontId="43" fillId="0" borderId="0" xfId="73" applyFont="1" applyAlignment="1">
      <alignment horizontal="center" vertical="center"/>
    </xf>
    <xf numFmtId="0" fontId="43" fillId="0" borderId="0" xfId="73" applyFont="1" applyAlignment="1">
      <alignment vertical="center"/>
    </xf>
    <xf numFmtId="0" fontId="129" fillId="0" borderId="25" xfId="73" applyFont="1" applyBorder="1" applyAlignment="1">
      <alignment horizontal="right" vertical="center" indent="1"/>
    </xf>
    <xf numFmtId="43" fontId="129" fillId="0" borderId="35" xfId="34" applyFont="1" applyBorder="1" applyAlignment="1">
      <alignment horizontal="right" vertical="center" indent="1"/>
    </xf>
    <xf numFmtId="0" fontId="129" fillId="0" borderId="35" xfId="73" applyFont="1" applyBorder="1" applyAlignment="1">
      <alignment horizontal="right" vertical="center" indent="1"/>
    </xf>
    <xf numFmtId="0" fontId="128" fillId="0" borderId="40" xfId="73" applyFont="1" applyBorder="1" applyAlignment="1">
      <alignment horizontal="right" vertical="center" indent="1"/>
    </xf>
    <xf numFmtId="0" fontId="129" fillId="0" borderId="26" xfId="73" applyFont="1" applyBorder="1" applyAlignment="1">
      <alignment horizontal="right" vertical="center" indent="1"/>
    </xf>
    <xf numFmtId="0" fontId="129" fillId="0" borderId="36" xfId="73" applyFont="1" applyBorder="1" applyAlignment="1">
      <alignment horizontal="right" vertical="center" indent="1"/>
    </xf>
    <xf numFmtId="0" fontId="128" fillId="0" borderId="41" xfId="73" applyFont="1" applyBorder="1" applyAlignment="1">
      <alignment horizontal="right" vertical="center" indent="1"/>
    </xf>
    <xf numFmtId="0" fontId="129" fillId="0" borderId="27" xfId="73" applyFont="1" applyBorder="1" applyAlignment="1">
      <alignment horizontal="right" vertical="center" indent="1"/>
    </xf>
    <xf numFmtId="0" fontId="129" fillId="0" borderId="37" xfId="73" applyFont="1" applyBorder="1" applyAlignment="1">
      <alignment horizontal="right" vertical="center" indent="1"/>
    </xf>
    <xf numFmtId="0" fontId="128" fillId="0" borderId="42" xfId="73" applyFont="1" applyBorder="1" applyAlignment="1">
      <alignment horizontal="right" vertical="center" indent="1"/>
    </xf>
    <xf numFmtId="0" fontId="128" fillId="23" borderId="13" xfId="73" applyFont="1" applyFill="1" applyBorder="1" applyAlignment="1">
      <alignment horizontal="right" vertical="center" indent="1"/>
    </xf>
    <xf numFmtId="0" fontId="128" fillId="23" borderId="14" xfId="73" applyFont="1" applyFill="1" applyBorder="1" applyAlignment="1">
      <alignment horizontal="right" vertical="center" indent="1"/>
    </xf>
    <xf numFmtId="0" fontId="128" fillId="23" borderId="10" xfId="73" applyFont="1" applyFill="1" applyBorder="1" applyAlignment="1">
      <alignment horizontal="right" vertical="center" indent="1"/>
    </xf>
    <xf numFmtId="0" fontId="128" fillId="0" borderId="27" xfId="73" applyFont="1" applyBorder="1" applyAlignment="1">
      <alignment horizontal="right" vertical="center" indent="1"/>
    </xf>
    <xf numFmtId="0" fontId="128" fillId="0" borderId="37" xfId="73" applyFont="1" applyBorder="1" applyAlignment="1">
      <alignment horizontal="right" vertical="center" indent="1"/>
    </xf>
    <xf numFmtId="0" fontId="129" fillId="0" borderId="0" xfId="73" applyFont="1" applyAlignment="1">
      <alignment horizontal="left" vertical="center"/>
    </xf>
    <xf numFmtId="0" fontId="128" fillId="0" borderId="0" xfId="73" applyFont="1" applyFill="1" applyBorder="1" applyAlignment="1">
      <alignment horizontal="right" vertical="center"/>
    </xf>
    <xf numFmtId="0" fontId="129" fillId="0" borderId="0" xfId="73" applyFont="1" applyAlignment="1">
      <alignment vertical="center"/>
    </xf>
    <xf numFmtId="0" fontId="129" fillId="23" borderId="13" xfId="73" applyFont="1" applyFill="1" applyBorder="1" applyAlignment="1">
      <alignment horizontal="center" vertical="center" wrapText="1"/>
    </xf>
    <xf numFmtId="0" fontId="129" fillId="23" borderId="14" xfId="73" applyFont="1" applyFill="1" applyBorder="1" applyAlignment="1">
      <alignment horizontal="center" vertical="center" wrapText="1"/>
    </xf>
    <xf numFmtId="0" fontId="129" fillId="23" borderId="10" xfId="73" applyFont="1" applyFill="1" applyBorder="1" applyAlignment="1">
      <alignment horizontal="center" vertical="center" wrapText="1"/>
    </xf>
    <xf numFmtId="0" fontId="43" fillId="23" borderId="13" xfId="0" applyFont="1" applyFill="1" applyBorder="1" applyAlignment="1">
      <alignment horizontal="center" vertical="center"/>
    </xf>
    <xf numFmtId="4" fontId="43" fillId="23" borderId="18" xfId="0" applyNumberFormat="1" applyFont="1" applyFill="1" applyBorder="1"/>
    <xf numFmtId="0" fontId="43" fillId="23" borderId="19" xfId="0" applyFont="1" applyFill="1" applyBorder="1" applyAlignment="1">
      <alignment horizontal="center" vertical="center"/>
    </xf>
    <xf numFmtId="4" fontId="43" fillId="23" borderId="12" xfId="0" applyNumberFormat="1" applyFont="1" applyFill="1" applyBorder="1"/>
    <xf numFmtId="4" fontId="43" fillId="23" borderId="19" xfId="0" applyNumberFormat="1" applyFont="1" applyFill="1" applyBorder="1"/>
    <xf numFmtId="0" fontId="145" fillId="0" borderId="0" xfId="66" applyFont="1" applyFill="1" applyBorder="1" applyAlignment="1">
      <alignment horizontal="center" vertical="center"/>
    </xf>
    <xf numFmtId="0" fontId="186" fillId="23" borderId="18" xfId="0" applyFont="1" applyFill="1" applyBorder="1" applyAlignment="1">
      <alignment horizontal="center" vertical="center"/>
    </xf>
    <xf numFmtId="4" fontId="130" fillId="0" borderId="17" xfId="0" applyNumberFormat="1" applyFont="1" applyBorder="1" applyAlignment="1">
      <alignment vertical="center"/>
    </xf>
    <xf numFmtId="4" fontId="130" fillId="0" borderId="0" xfId="0" applyNumberFormat="1" applyFont="1" applyBorder="1" applyAlignment="1">
      <alignment vertical="center"/>
    </xf>
    <xf numFmtId="4" fontId="130" fillId="0" borderId="21" xfId="0" applyNumberFormat="1" applyFont="1" applyBorder="1" applyAlignment="1">
      <alignment vertical="center"/>
    </xf>
    <xf numFmtId="4" fontId="130" fillId="0" borderId="22" xfId="0" applyNumberFormat="1" applyFont="1" applyBorder="1" applyAlignment="1">
      <alignment vertical="center"/>
    </xf>
    <xf numFmtId="4" fontId="130" fillId="0" borderId="24" xfId="0" applyNumberFormat="1" applyFont="1" applyBorder="1" applyAlignment="1">
      <alignment vertical="center"/>
    </xf>
    <xf numFmtId="4" fontId="130" fillId="0" borderId="23" xfId="0" applyNumberFormat="1" applyFont="1" applyBorder="1" applyAlignment="1">
      <alignment vertical="center"/>
    </xf>
    <xf numFmtId="4" fontId="130" fillId="0" borderId="21" xfId="0" applyNumberFormat="1" applyFont="1" applyFill="1" applyBorder="1" applyAlignment="1">
      <alignment vertical="center"/>
    </xf>
    <xf numFmtId="4" fontId="130" fillId="0" borderId="23" xfId="0" applyNumberFormat="1" applyFont="1" applyFill="1" applyBorder="1" applyAlignment="1">
      <alignment vertical="center"/>
    </xf>
    <xf numFmtId="0" fontId="130" fillId="0" borderId="21" xfId="0" applyFont="1" applyBorder="1" applyAlignment="1">
      <alignment horizontal="center" vertical="center"/>
    </xf>
    <xf numFmtId="4" fontId="130" fillId="0" borderId="0" xfId="0" applyNumberFormat="1" applyFont="1" applyBorder="1"/>
    <xf numFmtId="4" fontId="130" fillId="0" borderId="21" xfId="0" applyNumberFormat="1" applyFont="1" applyBorder="1"/>
    <xf numFmtId="4" fontId="130" fillId="0" borderId="17" xfId="0" applyNumberFormat="1" applyFont="1" applyBorder="1"/>
    <xf numFmtId="0" fontId="130" fillId="0" borderId="23" xfId="0" applyFont="1" applyBorder="1" applyAlignment="1">
      <alignment horizontal="center" vertical="center"/>
    </xf>
    <xf numFmtId="4" fontId="130" fillId="0" borderId="24" xfId="0" applyNumberFormat="1" applyFont="1" applyBorder="1"/>
    <xf numFmtId="4" fontId="130" fillId="0" borderId="23" xfId="0" applyNumberFormat="1" applyFont="1" applyBorder="1"/>
    <xf numFmtId="4" fontId="130" fillId="0" borderId="22" xfId="0" applyNumberFormat="1" applyFont="1" applyBorder="1"/>
    <xf numFmtId="4" fontId="130" fillId="0" borderId="21" xfId="0" applyNumberFormat="1" applyFont="1" applyFill="1" applyBorder="1"/>
    <xf numFmtId="4" fontId="130" fillId="0" borderId="23" xfId="0" applyNumberFormat="1" applyFont="1" applyFill="1" applyBorder="1"/>
    <xf numFmtId="0" fontId="130" fillId="0" borderId="16" xfId="0" applyFont="1" applyBorder="1" applyAlignment="1">
      <alignment horizontal="center" vertical="center"/>
    </xf>
    <xf numFmtId="0" fontId="130" fillId="0" borderId="20" xfId="0" applyFont="1" applyBorder="1" applyAlignment="1">
      <alignment horizontal="center" vertical="center"/>
    </xf>
    <xf numFmtId="4" fontId="130" fillId="0" borderId="24" xfId="0" applyNumberFormat="1" applyFont="1" applyFill="1" applyBorder="1"/>
    <xf numFmtId="0" fontId="185" fillId="0" borderId="19" xfId="0" applyFont="1" applyBorder="1" applyAlignment="1">
      <alignment horizontal="center"/>
    </xf>
    <xf numFmtId="4" fontId="185" fillId="0" borderId="12" xfId="0" applyNumberFormat="1" applyFont="1" applyBorder="1" applyAlignment="1">
      <alignment horizontal="right" indent="1"/>
    </xf>
    <xf numFmtId="4" fontId="185" fillId="0" borderId="19" xfId="0" applyNumberFormat="1" applyFont="1" applyBorder="1" applyAlignment="1">
      <alignment horizontal="right" indent="1"/>
    </xf>
    <xf numFmtId="0" fontId="185" fillId="0" borderId="21" xfId="0" applyFont="1" applyBorder="1" applyAlignment="1">
      <alignment horizontal="center"/>
    </xf>
    <xf numFmtId="4" fontId="185" fillId="0" borderId="0" xfId="0" applyNumberFormat="1" applyFont="1" applyBorder="1" applyAlignment="1">
      <alignment horizontal="right" indent="1"/>
    </xf>
    <xf numFmtId="4" fontId="185" fillId="0" borderId="21" xfId="0" applyNumberFormat="1" applyFont="1" applyBorder="1" applyAlignment="1">
      <alignment horizontal="right" indent="1"/>
    </xf>
    <xf numFmtId="0" fontId="185" fillId="23" borderId="23" xfId="0" applyFont="1" applyFill="1" applyBorder="1" applyAlignment="1">
      <alignment horizontal="center"/>
    </xf>
    <xf numFmtId="4" fontId="185" fillId="23" borderId="24" xfId="0" applyNumberFormat="1" applyFont="1" applyFill="1" applyBorder="1" applyAlignment="1">
      <alignment horizontal="right" indent="1"/>
    </xf>
    <xf numFmtId="4" fontId="185" fillId="23" borderId="23" xfId="0" applyNumberFormat="1" applyFont="1" applyFill="1" applyBorder="1" applyAlignment="1">
      <alignment horizontal="right" indent="1"/>
    </xf>
    <xf numFmtId="0" fontId="185" fillId="0" borderId="18" xfId="0" applyFont="1" applyBorder="1" applyAlignment="1">
      <alignment horizontal="center"/>
    </xf>
    <xf numFmtId="0" fontId="185" fillId="0" borderId="14" xfId="0" applyFont="1" applyBorder="1" applyAlignment="1">
      <alignment horizontal="center"/>
    </xf>
    <xf numFmtId="4" fontId="185" fillId="0" borderId="18" xfId="0" applyNumberFormat="1" applyFont="1" applyBorder="1" applyAlignment="1">
      <alignment horizontal="right" indent="1"/>
    </xf>
    <xf numFmtId="0" fontId="185" fillId="23" borderId="18" xfId="0" applyFont="1" applyFill="1" applyBorder="1" applyAlignment="1">
      <alignment horizontal="center"/>
    </xf>
    <xf numFmtId="4" fontId="185" fillId="23" borderId="18" xfId="0" applyNumberFormat="1" applyFont="1" applyFill="1" applyBorder="1" applyAlignment="1">
      <alignment horizontal="right" indent="1"/>
    </xf>
    <xf numFmtId="4" fontId="186" fillId="23" borderId="18" xfId="0" applyNumberFormat="1" applyFont="1" applyFill="1" applyBorder="1" applyAlignment="1">
      <alignment horizontal="right" vertical="center" indent="1"/>
    </xf>
    <xf numFmtId="49" fontId="143" fillId="24" borderId="19" xfId="66" applyNumberFormat="1" applyFont="1" applyFill="1" applyBorder="1" applyAlignment="1">
      <alignment horizontal="center" vertical="center" wrapText="1"/>
    </xf>
    <xf numFmtId="49" fontId="143" fillId="24" borderId="11" xfId="66" applyNumberFormat="1" applyFont="1" applyFill="1" applyBorder="1" applyAlignment="1">
      <alignment horizontal="center" vertical="center" wrapText="1"/>
    </xf>
    <xf numFmtId="49" fontId="143" fillId="24" borderId="12" xfId="66" applyNumberFormat="1" applyFont="1" applyFill="1" applyBorder="1" applyAlignment="1">
      <alignment horizontal="center" vertical="center" wrapText="1"/>
    </xf>
    <xf numFmtId="49" fontId="143" fillId="24" borderId="15" xfId="66" applyNumberFormat="1" applyFont="1" applyFill="1" applyBorder="1" applyAlignment="1">
      <alignment horizontal="center" vertical="center" wrapText="1"/>
    </xf>
    <xf numFmtId="49" fontId="143" fillId="24" borderId="18" xfId="66" applyNumberFormat="1" applyFont="1" applyFill="1" applyBorder="1" applyAlignment="1">
      <alignment horizontal="center" vertical="center" wrapText="1"/>
    </xf>
    <xf numFmtId="0" fontId="130" fillId="0" borderId="30" xfId="66" applyFont="1" applyBorder="1" applyAlignment="1">
      <alignment horizontal="center" vertical="center"/>
    </xf>
    <xf numFmtId="4" fontId="130" fillId="0" borderId="35" xfId="66" applyNumberFormat="1" applyFont="1" applyBorder="1" applyAlignment="1">
      <alignment horizontal="right" vertical="center"/>
    </xf>
    <xf numFmtId="4" fontId="143" fillId="0" borderId="33" xfId="191" applyNumberFormat="1" applyFont="1" applyBorder="1" applyAlignment="1">
      <alignment horizontal="right" vertical="center"/>
    </xf>
    <xf numFmtId="0" fontId="130" fillId="0" borderId="31" xfId="66" applyFont="1" applyBorder="1" applyAlignment="1">
      <alignment horizontal="center" vertical="center"/>
    </xf>
    <xf numFmtId="4" fontId="130" fillId="0" borderId="36" xfId="66" applyNumberFormat="1" applyFont="1" applyBorder="1" applyAlignment="1">
      <alignment horizontal="right" vertical="center"/>
    </xf>
    <xf numFmtId="4" fontId="143" fillId="0" borderId="31" xfId="191" applyNumberFormat="1" applyFont="1" applyBorder="1" applyAlignment="1">
      <alignment horizontal="right" vertical="center"/>
    </xf>
    <xf numFmtId="0" fontId="130" fillId="0" borderId="36" xfId="0" applyFont="1" applyBorder="1" applyAlignment="1">
      <alignment vertical="center"/>
    </xf>
    <xf numFmtId="0" fontId="143" fillId="28" borderId="13" xfId="66" applyFont="1" applyFill="1" applyBorder="1" applyAlignment="1">
      <alignment horizontal="center" vertical="center"/>
    </xf>
    <xf numFmtId="4" fontId="143" fillId="28" borderId="13" xfId="191" applyNumberFormat="1" applyFont="1" applyFill="1" applyBorder="1" applyAlignment="1">
      <alignment horizontal="right" vertical="center"/>
    </xf>
    <xf numFmtId="4" fontId="143" fillId="28" borderId="14" xfId="191" applyNumberFormat="1" applyFont="1" applyFill="1" applyBorder="1" applyAlignment="1">
      <alignment horizontal="right" vertical="center"/>
    </xf>
    <xf numFmtId="4" fontId="143" fillId="28" borderId="10" xfId="191" applyNumberFormat="1" applyFont="1" applyFill="1" applyBorder="1" applyAlignment="1">
      <alignment horizontal="right" vertical="center"/>
    </xf>
    <xf numFmtId="4" fontId="130" fillId="0" borderId="26" xfId="66" applyNumberFormat="1" applyFont="1" applyBorder="1" applyAlignment="1">
      <alignment horizontal="right" vertical="center"/>
    </xf>
    <xf numFmtId="4" fontId="130" fillId="0" borderId="36" xfId="191" applyNumberFormat="1" applyFont="1" applyBorder="1" applyAlignment="1">
      <alignment horizontal="right" vertical="center"/>
    </xf>
    <xf numFmtId="4" fontId="130" fillId="0" borderId="41" xfId="66" applyNumberFormat="1" applyFont="1" applyBorder="1" applyAlignment="1">
      <alignment horizontal="right" vertical="center"/>
    </xf>
    <xf numFmtId="4" fontId="130" fillId="0" borderId="26" xfId="191" applyNumberFormat="1" applyFont="1" applyBorder="1" applyAlignment="1">
      <alignment horizontal="right" vertical="center"/>
    </xf>
    <xf numFmtId="4" fontId="130" fillId="0" borderId="41" xfId="191" applyNumberFormat="1" applyFont="1" applyBorder="1" applyAlignment="1">
      <alignment horizontal="right" vertical="center"/>
    </xf>
    <xf numFmtId="4" fontId="130" fillId="0" borderId="36" xfId="191" applyNumberFormat="1" applyFont="1" applyFill="1" applyBorder="1" applyAlignment="1">
      <alignment horizontal="right" vertical="center"/>
    </xf>
    <xf numFmtId="4" fontId="130" fillId="0" borderId="41" xfId="191" applyNumberFormat="1" applyFont="1" applyFill="1" applyBorder="1" applyAlignment="1">
      <alignment horizontal="right" vertical="center"/>
    </xf>
    <xf numFmtId="4" fontId="143" fillId="0" borderId="31" xfId="191" applyNumberFormat="1" applyFont="1" applyFill="1" applyBorder="1" applyAlignment="1">
      <alignment horizontal="right" vertical="center"/>
    </xf>
    <xf numFmtId="0" fontId="130" fillId="0" borderId="34" xfId="66" applyFont="1" applyBorder="1" applyAlignment="1">
      <alignment horizontal="center" vertical="center"/>
    </xf>
    <xf numFmtId="4" fontId="130" fillId="0" borderId="29" xfId="191" applyNumberFormat="1" applyFont="1" applyBorder="1" applyAlignment="1">
      <alignment horizontal="right" vertical="center"/>
    </xf>
    <xf numFmtId="4" fontId="130" fillId="0" borderId="39" xfId="191" applyNumberFormat="1" applyFont="1" applyBorder="1" applyAlignment="1">
      <alignment horizontal="right" vertical="center"/>
    </xf>
    <xf numFmtId="4" fontId="130" fillId="0" borderId="44" xfId="191" applyNumberFormat="1" applyFont="1" applyBorder="1" applyAlignment="1">
      <alignment horizontal="right" vertical="center"/>
    </xf>
    <xf numFmtId="4" fontId="143" fillId="0" borderId="34" xfId="191" applyNumberFormat="1" applyFont="1" applyBorder="1" applyAlignment="1">
      <alignment horizontal="right" vertical="center"/>
    </xf>
    <xf numFmtId="0" fontId="144" fillId="0" borderId="0" xfId="66" applyFont="1" applyFill="1" applyBorder="1" applyAlignment="1">
      <alignment horizontal="left" vertical="center"/>
    </xf>
    <xf numFmtId="4" fontId="143" fillId="0" borderId="0" xfId="191" applyNumberFormat="1" applyFont="1" applyFill="1" applyBorder="1" applyAlignment="1">
      <alignment horizontal="right" vertical="center"/>
    </xf>
    <xf numFmtId="0" fontId="131" fillId="0" borderId="0" xfId="66" applyFont="1" applyBorder="1" applyAlignment="1">
      <alignment horizontal="left" vertical="center"/>
    </xf>
    <xf numFmtId="4" fontId="131" fillId="0" borderId="0" xfId="66" applyNumberFormat="1" applyFont="1" applyBorder="1" applyAlignment="1">
      <alignment horizontal="left" vertical="center"/>
    </xf>
    <xf numFmtId="0" fontId="147" fillId="0" borderId="21" xfId="0" applyFont="1" applyBorder="1" applyAlignment="1">
      <alignment horizontal="center" vertical="center"/>
    </xf>
    <xf numFmtId="0" fontId="147" fillId="0" borderId="23" xfId="0" applyFont="1" applyBorder="1" applyAlignment="1">
      <alignment horizontal="center" vertical="center"/>
    </xf>
    <xf numFmtId="180" fontId="124" fillId="23" borderId="89" xfId="633" applyNumberFormat="1" applyFont="1" applyFill="1" applyBorder="1" applyAlignment="1">
      <alignment horizontal="center" vertical="center"/>
    </xf>
    <xf numFmtId="180" fontId="124" fillId="23" borderId="90" xfId="633" applyNumberFormat="1" applyFont="1" applyFill="1" applyBorder="1" applyAlignment="1">
      <alignment horizontal="center" vertical="center"/>
    </xf>
    <xf numFmtId="180" fontId="124" fillId="23" borderId="91" xfId="633" applyNumberFormat="1" applyFont="1" applyFill="1" applyBorder="1" applyAlignment="1">
      <alignment horizontal="center" vertical="center"/>
    </xf>
    <xf numFmtId="180" fontId="124" fillId="23" borderId="92" xfId="633" applyNumberFormat="1" applyFont="1" applyFill="1" applyBorder="1" applyAlignment="1">
      <alignment horizontal="center" vertical="center"/>
    </xf>
    <xf numFmtId="180" fontId="124" fillId="23" borderId="89" xfId="636" applyNumberFormat="1" applyFont="1" applyFill="1" applyBorder="1" applyAlignment="1">
      <alignment horizontal="center" vertical="center"/>
    </xf>
    <xf numFmtId="180" fontId="124" fillId="23" borderId="90" xfId="636" applyNumberFormat="1" applyFont="1" applyFill="1" applyBorder="1" applyAlignment="1">
      <alignment horizontal="center" vertical="center"/>
    </xf>
    <xf numFmtId="180" fontId="124" fillId="23" borderId="92" xfId="636" applyNumberFormat="1" applyFont="1" applyFill="1" applyBorder="1" applyAlignment="1">
      <alignment horizontal="center" vertical="center"/>
    </xf>
    <xf numFmtId="0" fontId="129" fillId="0" borderId="19" xfId="374" applyFont="1" applyBorder="1" applyAlignment="1">
      <alignment horizontal="center" vertical="center"/>
    </xf>
    <xf numFmtId="0" fontId="129" fillId="0" borderId="21" xfId="374" applyFont="1" applyBorder="1" applyAlignment="1">
      <alignment horizontal="center" vertical="center"/>
    </xf>
    <xf numFmtId="0" fontId="129" fillId="23" borderId="23" xfId="374" applyFont="1" applyFill="1" applyBorder="1" applyAlignment="1">
      <alignment horizontal="center" vertical="center"/>
    </xf>
    <xf numFmtId="0" fontId="202" fillId="0" borderId="0" xfId="0" applyFont="1"/>
    <xf numFmtId="0" fontId="144" fillId="0" borderId="0" xfId="0" applyFont="1" applyFill="1" applyBorder="1" applyAlignment="1">
      <alignment vertical="center"/>
    </xf>
    <xf numFmtId="3" fontId="129" fillId="0" borderId="104" xfId="374" applyNumberFormat="1" applyFont="1" applyBorder="1" applyAlignment="1">
      <alignment horizontal="center" vertical="center"/>
    </xf>
    <xf numFmtId="3" fontId="128" fillId="0" borderId="13" xfId="374" applyNumberFormat="1" applyFont="1" applyBorder="1" applyAlignment="1">
      <alignment horizontal="center" vertical="center"/>
    </xf>
    <xf numFmtId="0" fontId="129" fillId="0" borderId="24" xfId="374" applyFont="1" applyBorder="1" applyAlignment="1">
      <alignment horizontal="center" vertical="center"/>
    </xf>
    <xf numFmtId="0" fontId="129" fillId="0" borderId="22" xfId="374" applyFont="1" applyBorder="1" applyAlignment="1">
      <alignment horizontal="center" vertical="center"/>
    </xf>
    <xf numFmtId="0" fontId="166" fillId="0" borderId="21" xfId="52" applyFont="1" applyFill="1" applyBorder="1" applyAlignment="1">
      <alignment horizontal="center"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0" fontId="73" fillId="23" borderId="13" xfId="66" applyFont="1" applyFill="1" applyBorder="1" applyAlignment="1">
      <alignment horizontal="center" vertical="center"/>
    </xf>
    <xf numFmtId="0" fontId="73" fillId="23" borderId="10" xfId="66" applyFont="1" applyFill="1" applyBorder="1" applyAlignment="1">
      <alignment horizontal="center" vertical="center"/>
    </xf>
    <xf numFmtId="0" fontId="128" fillId="23" borderId="13" xfId="374" applyFont="1" applyFill="1" applyBorder="1" applyAlignment="1">
      <alignment horizontal="center" vertical="center"/>
    </xf>
    <xf numFmtId="0" fontId="73" fillId="23" borderId="14" xfId="66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 wrapText="1"/>
    </xf>
    <xf numFmtId="0" fontId="128" fillId="23" borderId="13" xfId="0" applyFont="1" applyFill="1" applyBorder="1" applyAlignment="1">
      <alignment horizontal="center" vertical="center" wrapText="1"/>
    </xf>
    <xf numFmtId="0" fontId="128" fillId="23" borderId="10" xfId="0" applyFont="1" applyFill="1" applyBorder="1" applyAlignment="1">
      <alignment horizontal="center" vertical="center" wrapText="1"/>
    </xf>
    <xf numFmtId="0" fontId="130" fillId="0" borderId="0" xfId="0" applyFont="1"/>
    <xf numFmtId="0" fontId="147" fillId="0" borderId="73" xfId="0" applyFont="1" applyBorder="1" applyAlignment="1">
      <alignment horizontal="center" vertical="center" wrapText="1" readingOrder="1"/>
    </xf>
    <xf numFmtId="0" fontId="147" fillId="0" borderId="73" xfId="0" applyFont="1" applyBorder="1" applyAlignment="1">
      <alignment horizontal="right" vertical="center" wrapText="1" indent="1" readingOrder="1"/>
    </xf>
    <xf numFmtId="0" fontId="147" fillId="0" borderId="74" xfId="0" applyFont="1" applyBorder="1" applyAlignment="1">
      <alignment horizontal="center" vertical="center" wrapText="1" readingOrder="1"/>
    </xf>
    <xf numFmtId="0" fontId="147" fillId="0" borderId="74" xfId="0" applyFont="1" applyBorder="1" applyAlignment="1">
      <alignment horizontal="right" vertical="center" wrapText="1" indent="1" readingOrder="1"/>
    </xf>
    <xf numFmtId="0" fontId="146" fillId="23" borderId="75" xfId="0" applyFont="1" applyFill="1" applyBorder="1" applyAlignment="1">
      <alignment horizontal="center" vertical="center" wrapText="1" readingOrder="1"/>
    </xf>
    <xf numFmtId="0" fontId="146" fillId="23" borderId="75" xfId="0" applyFont="1" applyFill="1" applyBorder="1" applyAlignment="1">
      <alignment horizontal="right" vertical="center" wrapText="1" indent="1" readingOrder="1"/>
    </xf>
    <xf numFmtId="0" fontId="41" fillId="0" borderId="0" xfId="0" applyFont="1" applyBorder="1" applyAlignment="1">
      <alignment horizontal="center" readingOrder="1"/>
    </xf>
    <xf numFmtId="0" fontId="41" fillId="0" borderId="0" xfId="0" applyFont="1" applyBorder="1" applyAlignment="1">
      <alignment horizontal="right" indent="1"/>
    </xf>
    <xf numFmtId="0" fontId="41" fillId="0" borderId="0" xfId="0" applyFont="1" applyAlignment="1">
      <alignment horizontal="center" readingOrder="1"/>
    </xf>
    <xf numFmtId="0" fontId="41" fillId="0" borderId="0" xfId="0" applyFont="1"/>
    <xf numFmtId="0" fontId="147" fillId="0" borderId="0" xfId="0" applyFont="1" applyBorder="1" applyAlignment="1">
      <alignment horizontal="center" vertical="center" wrapText="1" readingOrder="1"/>
    </xf>
    <xf numFmtId="0" fontId="147" fillId="0" borderId="0" xfId="0" applyFont="1" applyBorder="1" applyAlignment="1">
      <alignment horizontal="right" vertical="center" wrapText="1" indent="1"/>
    </xf>
    <xf numFmtId="3" fontId="147" fillId="0" borderId="73" xfId="0" applyNumberFormat="1" applyFont="1" applyBorder="1" applyAlignment="1">
      <alignment horizontal="center" vertical="center" wrapText="1" readingOrder="1"/>
    </xf>
    <xf numFmtId="3" fontId="147" fillId="0" borderId="73" xfId="0" applyNumberFormat="1" applyFont="1" applyBorder="1" applyAlignment="1">
      <alignment horizontal="right" vertical="center" wrapText="1" indent="1" readingOrder="1"/>
    </xf>
    <xf numFmtId="3" fontId="147" fillId="0" borderId="74" xfId="0" applyNumberFormat="1" applyFont="1" applyBorder="1" applyAlignment="1">
      <alignment horizontal="center" vertical="center" wrapText="1" readingOrder="1"/>
    </xf>
    <xf numFmtId="3" fontId="147" fillId="0" borderId="74" xfId="0" applyNumberFormat="1" applyFont="1" applyBorder="1" applyAlignment="1">
      <alignment horizontal="right" vertical="center" wrapText="1" indent="1" readingOrder="1"/>
    </xf>
    <xf numFmtId="3" fontId="147" fillId="0" borderId="75" xfId="0" applyNumberFormat="1" applyFont="1" applyBorder="1" applyAlignment="1">
      <alignment horizontal="center" vertical="center" wrapText="1" readingOrder="1"/>
    </xf>
    <xf numFmtId="3" fontId="147" fillId="0" borderId="75" xfId="0" applyNumberFormat="1" applyFont="1" applyBorder="1" applyAlignment="1">
      <alignment horizontal="right" vertical="center" wrapText="1" indent="1" readingOrder="1"/>
    </xf>
    <xf numFmtId="3" fontId="146" fillId="23" borderId="75" xfId="0" applyNumberFormat="1" applyFont="1" applyFill="1" applyBorder="1" applyAlignment="1">
      <alignment horizontal="center" vertical="center" wrapText="1" readingOrder="1"/>
    </xf>
    <xf numFmtId="3" fontId="146" fillId="23" borderId="75" xfId="0" applyNumberFormat="1" applyFont="1" applyFill="1" applyBorder="1" applyAlignment="1">
      <alignment horizontal="right" vertical="center" wrapText="1" indent="1" readingOrder="1"/>
    </xf>
    <xf numFmtId="3" fontId="41" fillId="0" borderId="0" xfId="0" applyNumberFormat="1" applyFont="1" applyBorder="1" applyAlignment="1">
      <alignment horizontal="center"/>
    </xf>
    <xf numFmtId="3" fontId="41" fillId="0" borderId="0" xfId="0" applyNumberFormat="1" applyFont="1" applyBorder="1" applyAlignment="1">
      <alignment horizontal="right" indent="1"/>
    </xf>
    <xf numFmtId="0" fontId="41" fillId="0" borderId="0" xfId="0" applyFont="1" applyAlignment="1">
      <alignment horizontal="center"/>
    </xf>
    <xf numFmtId="3" fontId="147" fillId="0" borderId="0" xfId="0" applyNumberFormat="1" applyFont="1" applyBorder="1" applyAlignment="1">
      <alignment horizontal="center" vertical="center" wrapText="1"/>
    </xf>
    <xf numFmtId="3" fontId="147" fillId="0" borderId="0" xfId="0" applyNumberFormat="1" applyFont="1" applyBorder="1" applyAlignment="1">
      <alignment horizontal="right" vertical="center" wrapText="1" indent="1"/>
    </xf>
    <xf numFmtId="3" fontId="137" fillId="0" borderId="25" xfId="53" applyNumberFormat="1" applyFont="1" applyFill="1" applyBorder="1" applyAlignment="1">
      <alignment horizontal="right" vertical="center" indent="1"/>
    </xf>
    <xf numFmtId="3" fontId="137" fillId="0" borderId="30" xfId="53" applyNumberFormat="1" applyFont="1" applyFill="1" applyBorder="1" applyAlignment="1">
      <alignment horizontal="right" vertical="center" indent="1"/>
    </xf>
    <xf numFmtId="3" fontId="137" fillId="0" borderId="26" xfId="53" applyNumberFormat="1" applyFont="1" applyFill="1" applyBorder="1" applyAlignment="1">
      <alignment horizontal="right" vertical="center" indent="1"/>
    </xf>
    <xf numFmtId="3" fontId="137" fillId="0" borderId="31" xfId="53" applyNumberFormat="1" applyFont="1" applyFill="1" applyBorder="1" applyAlignment="1">
      <alignment horizontal="right" vertical="center" indent="1"/>
    </xf>
    <xf numFmtId="3" fontId="137" fillId="0" borderId="29" xfId="53" applyNumberFormat="1" applyFont="1" applyFill="1" applyBorder="1" applyAlignment="1">
      <alignment horizontal="right" vertical="center" indent="1"/>
    </xf>
    <xf numFmtId="3" fontId="137" fillId="0" borderId="34" xfId="53" applyNumberFormat="1" applyFont="1" applyFill="1" applyBorder="1" applyAlignment="1">
      <alignment horizontal="right" vertical="center" indent="1"/>
    </xf>
    <xf numFmtId="3" fontId="137" fillId="23" borderId="16" xfId="53" applyNumberFormat="1" applyFont="1" applyFill="1" applyBorder="1" applyAlignment="1">
      <alignment horizontal="right" vertical="center" indent="1"/>
    </xf>
    <xf numFmtId="3" fontId="137" fillId="23" borderId="20" xfId="53" applyNumberFormat="1" applyFont="1" applyFill="1" applyBorder="1" applyAlignment="1">
      <alignment horizontal="right" vertical="center" indent="1"/>
    </xf>
    <xf numFmtId="3" fontId="137" fillId="0" borderId="28" xfId="53" applyNumberFormat="1" applyFont="1" applyFill="1" applyBorder="1" applyAlignment="1">
      <alignment horizontal="right" vertical="center" indent="1"/>
    </xf>
    <xf numFmtId="3" fontId="137" fillId="0" borderId="33" xfId="53" applyNumberFormat="1" applyFont="1" applyFill="1" applyBorder="1" applyAlignment="1">
      <alignment horizontal="right" vertical="center" indent="1"/>
    </xf>
    <xf numFmtId="3" fontId="137" fillId="23" borderId="24" xfId="53" applyNumberFormat="1" applyFont="1" applyFill="1" applyBorder="1" applyAlignment="1">
      <alignment horizontal="right" vertical="center" indent="1"/>
    </xf>
    <xf numFmtId="0" fontId="128" fillId="0" borderId="0" xfId="66" applyFont="1" applyFill="1" applyBorder="1"/>
    <xf numFmtId="0" fontId="129" fillId="0" borderId="30" xfId="52" applyFont="1" applyFill="1" applyBorder="1" applyAlignment="1">
      <alignment horizontal="left" vertical="center"/>
    </xf>
    <xf numFmtId="0" fontId="129" fillId="0" borderId="31" xfId="52" applyFont="1" applyFill="1" applyBorder="1" applyAlignment="1">
      <alignment horizontal="left" vertical="center"/>
    </xf>
    <xf numFmtId="0" fontId="129" fillId="0" borderId="34" xfId="52" applyFont="1" applyFill="1" applyBorder="1" applyAlignment="1">
      <alignment horizontal="left" vertical="center"/>
    </xf>
    <xf numFmtId="0" fontId="129" fillId="0" borderId="33" xfId="52" applyFont="1" applyFill="1" applyBorder="1" applyAlignment="1">
      <alignment horizontal="left" vertical="center"/>
    </xf>
    <xf numFmtId="0" fontId="129" fillId="0" borderId="17" xfId="52" applyFont="1" applyFill="1" applyBorder="1" applyAlignment="1">
      <alignment horizontal="center" vertical="center"/>
    </xf>
    <xf numFmtId="0" fontId="128" fillId="23" borderId="13" xfId="374" applyFont="1" applyFill="1" applyBorder="1" applyAlignment="1">
      <alignment horizontal="center" vertical="center" wrapText="1"/>
    </xf>
    <xf numFmtId="0" fontId="128" fillId="23" borderId="18" xfId="374" applyFont="1" applyFill="1" applyBorder="1" applyAlignment="1">
      <alignment horizontal="center" vertical="center"/>
    </xf>
    <xf numFmtId="0" fontId="129" fillId="0" borderId="11" xfId="374" applyFont="1" applyBorder="1" applyAlignment="1">
      <alignment horizontal="left" vertical="center" indent="1"/>
    </xf>
    <xf numFmtId="0" fontId="129" fillId="0" borderId="19" xfId="374" applyFont="1" applyBorder="1" applyAlignment="1">
      <alignment horizontal="left" vertical="center" indent="1"/>
    </xf>
    <xf numFmtId="3" fontId="129" fillId="0" borderId="19" xfId="374" applyNumberFormat="1" applyFont="1" applyBorder="1" applyAlignment="1">
      <alignment horizontal="right" vertical="center" indent="1"/>
    </xf>
    <xf numFmtId="3" fontId="129" fillId="0" borderId="15" xfId="374" applyNumberFormat="1" applyFont="1" applyBorder="1" applyAlignment="1">
      <alignment horizontal="right" vertical="center" indent="1"/>
    </xf>
    <xf numFmtId="0" fontId="129" fillId="0" borderId="16" xfId="374" applyFont="1" applyBorder="1" applyAlignment="1">
      <alignment horizontal="left" vertical="center" indent="1"/>
    </xf>
    <xf numFmtId="0" fontId="129" fillId="0" borderId="21" xfId="374" applyFont="1" applyBorder="1" applyAlignment="1">
      <alignment horizontal="left" vertical="center" indent="1"/>
    </xf>
    <xf numFmtId="3" fontId="129" fillId="0" borderId="21" xfId="374" applyNumberFormat="1" applyFont="1" applyBorder="1" applyAlignment="1">
      <alignment horizontal="right" vertical="center" indent="1"/>
    </xf>
    <xf numFmtId="3" fontId="129" fillId="0" borderId="17" xfId="374" applyNumberFormat="1" applyFont="1" applyBorder="1" applyAlignment="1">
      <alignment horizontal="right" vertical="center" indent="1"/>
    </xf>
    <xf numFmtId="0" fontId="128" fillId="23" borderId="20" xfId="374" applyFont="1" applyFill="1" applyBorder="1" applyAlignment="1">
      <alignment horizontal="center" vertical="center"/>
    </xf>
    <xf numFmtId="0" fontId="129" fillId="23" borderId="23" xfId="374" applyFont="1" applyFill="1" applyBorder="1" applyAlignment="1">
      <alignment horizontal="left" vertical="center" indent="1"/>
    </xf>
    <xf numFmtId="3" fontId="128" fillId="23" borderId="23" xfId="374" applyNumberFormat="1" applyFont="1" applyFill="1" applyBorder="1" applyAlignment="1">
      <alignment horizontal="right" vertical="center" indent="1"/>
    </xf>
    <xf numFmtId="0" fontId="129" fillId="0" borderId="0" xfId="374" applyFont="1" applyBorder="1" applyAlignment="1">
      <alignment horizontal="left" vertical="center" indent="1"/>
    </xf>
    <xf numFmtId="0" fontId="129" fillId="0" borderId="21" xfId="374" applyFont="1" applyFill="1" applyBorder="1" applyAlignment="1">
      <alignment horizontal="left" vertical="center" indent="1"/>
    </xf>
    <xf numFmtId="0" fontId="129" fillId="0" borderId="12" xfId="374" applyFont="1" applyBorder="1" applyAlignment="1">
      <alignment horizontal="left" vertical="center" indent="1"/>
    </xf>
    <xf numFmtId="0" fontId="129" fillId="0" borderId="0" xfId="374" applyFont="1" applyFill="1" applyBorder="1" applyAlignment="1">
      <alignment horizontal="left" vertical="center" indent="1"/>
    </xf>
    <xf numFmtId="3" fontId="129" fillId="0" borderId="12" xfId="374" applyNumberFormat="1" applyFont="1" applyBorder="1" applyAlignment="1">
      <alignment horizontal="right" vertical="center" indent="1"/>
    </xf>
    <xf numFmtId="3" fontId="129" fillId="0" borderId="0" xfId="374" applyNumberFormat="1" applyFont="1" applyBorder="1" applyAlignment="1">
      <alignment horizontal="right" vertical="center" indent="1"/>
    </xf>
    <xf numFmtId="0" fontId="129" fillId="0" borderId="0" xfId="374" applyFont="1" applyBorder="1" applyAlignment="1">
      <alignment horizontal="center" vertical="center"/>
    </xf>
    <xf numFmtId="3" fontId="129" fillId="0" borderId="0" xfId="374" applyNumberFormat="1" applyFont="1" applyAlignment="1">
      <alignment horizontal="right" vertical="center" indent="1"/>
    </xf>
    <xf numFmtId="0" fontId="132" fillId="23" borderId="10" xfId="374" applyFont="1" applyFill="1" applyBorder="1" applyAlignment="1">
      <alignment horizontal="center" vertical="center"/>
    </xf>
    <xf numFmtId="3" fontId="132" fillId="23" borderId="18" xfId="374" applyNumberFormat="1" applyFont="1" applyFill="1" applyBorder="1" applyAlignment="1">
      <alignment horizontal="right" vertical="center" indent="1"/>
    </xf>
    <xf numFmtId="3" fontId="129" fillId="0" borderId="30" xfId="0" applyNumberFormat="1" applyFont="1" applyFill="1" applyBorder="1" applyAlignment="1">
      <alignment horizontal="right" vertical="center" indent="1"/>
    </xf>
    <xf numFmtId="3" fontId="129" fillId="0" borderId="31" xfId="0" applyNumberFormat="1" applyFont="1" applyFill="1" applyBorder="1" applyAlignment="1">
      <alignment horizontal="right" vertical="center" indent="1"/>
    </xf>
    <xf numFmtId="0" fontId="130" fillId="0" borderId="0" xfId="0" applyFont="1" applyAlignment="1">
      <alignment horizontal="right" indent="1"/>
    </xf>
    <xf numFmtId="0" fontId="129" fillId="0" borderId="25" xfId="0" applyFont="1" applyFill="1" applyBorder="1" applyAlignment="1">
      <alignment horizontal="right" vertical="center" indent="1"/>
    </xf>
    <xf numFmtId="0" fontId="129" fillId="0" borderId="35" xfId="0" applyFont="1" applyFill="1" applyBorder="1" applyAlignment="1">
      <alignment horizontal="right" vertical="center" indent="1"/>
    </xf>
    <xf numFmtId="0" fontId="129" fillId="0" borderId="26" xfId="0" applyFont="1" applyFill="1" applyBorder="1" applyAlignment="1">
      <alignment horizontal="right" vertical="center" indent="1"/>
    </xf>
    <xf numFmtId="0" fontId="129" fillId="0" borderId="36" xfId="0" applyFont="1" applyFill="1" applyBorder="1" applyAlignment="1">
      <alignment horizontal="right" vertical="center" indent="1"/>
    </xf>
    <xf numFmtId="0" fontId="128" fillId="0" borderId="0" xfId="0" applyFont="1" applyFill="1" applyBorder="1" applyAlignment="1">
      <alignment horizontal="right" vertical="center" indent="1"/>
    </xf>
    <xf numFmtId="0" fontId="129" fillId="0" borderId="0" xfId="0" applyFont="1" applyFill="1" applyBorder="1" applyAlignment="1">
      <alignment horizontal="right" vertical="center" indent="1"/>
    </xf>
    <xf numFmtId="3" fontId="129" fillId="0" borderId="32" xfId="0" applyNumberFormat="1" applyFont="1" applyFill="1" applyBorder="1" applyAlignment="1">
      <alignment horizontal="right" vertical="center" indent="1"/>
    </xf>
    <xf numFmtId="3" fontId="128" fillId="23" borderId="18" xfId="0" applyNumberFormat="1" applyFont="1" applyFill="1" applyBorder="1" applyAlignment="1">
      <alignment horizontal="right" vertical="center" indent="1"/>
    </xf>
    <xf numFmtId="4" fontId="150" fillId="23" borderId="13" xfId="53" applyNumberFormat="1" applyFont="1" applyFill="1" applyBorder="1" applyAlignment="1">
      <alignment horizontal="right" vertical="center" indent="1"/>
    </xf>
    <xf numFmtId="4" fontId="150" fillId="23" borderId="18" xfId="53" applyNumberFormat="1" applyFont="1" applyFill="1" applyBorder="1" applyAlignment="1">
      <alignment horizontal="right" vertical="center" indent="1"/>
    </xf>
    <xf numFmtId="4" fontId="150" fillId="23" borderId="10" xfId="53" applyNumberFormat="1" applyFont="1" applyFill="1" applyBorder="1" applyAlignment="1">
      <alignment horizontal="right" vertical="center" indent="1"/>
    </xf>
    <xf numFmtId="4" fontId="128" fillId="23" borderId="18" xfId="0" applyNumberFormat="1" applyFont="1" applyFill="1" applyBorder="1" applyAlignment="1">
      <alignment horizontal="right" inden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1" fontId="132" fillId="23" borderId="18" xfId="50" applyNumberFormat="1" applyFont="1" applyFill="1" applyBorder="1" applyAlignment="1">
      <alignment horizontal="center" vertical="center" wrapText="1"/>
    </xf>
    <xf numFmtId="0" fontId="203" fillId="0" borderId="0" xfId="0" applyFont="1"/>
    <xf numFmtId="0" fontId="40" fillId="0" borderId="0" xfId="646"/>
    <xf numFmtId="0" fontId="124" fillId="23" borderId="18" xfId="646" applyFont="1" applyFill="1" applyBorder="1" applyAlignment="1">
      <alignment horizontal="center" vertical="center"/>
    </xf>
    <xf numFmtId="0" fontId="206" fillId="23" borderId="18" xfId="646" applyFont="1" applyFill="1" applyBorder="1" applyAlignment="1">
      <alignment horizontal="center" vertical="center"/>
    </xf>
    <xf numFmtId="0" fontId="40" fillId="0" borderId="105" xfId="646" applyFont="1" applyBorder="1" applyAlignment="1">
      <alignment horizontal="center" vertical="center"/>
    </xf>
    <xf numFmtId="9" fontId="40" fillId="0" borderId="106" xfId="647" applyFont="1" applyBorder="1" applyAlignment="1">
      <alignment horizontal="center" vertical="center"/>
    </xf>
    <xf numFmtId="9" fontId="40" fillId="0" borderId="107" xfId="647" applyFont="1" applyBorder="1" applyAlignment="1">
      <alignment horizontal="center" vertical="center"/>
    </xf>
    <xf numFmtId="43" fontId="0" fillId="0" borderId="0" xfId="648" applyFont="1"/>
    <xf numFmtId="181" fontId="187" fillId="0" borderId="105" xfId="648" applyNumberFormat="1" applyFont="1" applyBorder="1" applyAlignment="1">
      <alignment vertical="center"/>
    </xf>
    <xf numFmtId="181" fontId="187" fillId="0" borderId="106" xfId="648" applyNumberFormat="1" applyFont="1" applyBorder="1" applyAlignment="1">
      <alignment vertical="center"/>
    </xf>
    <xf numFmtId="181" fontId="187" fillId="0" borderId="107" xfId="648" applyNumberFormat="1" applyFont="1" applyBorder="1" applyAlignment="1">
      <alignment vertical="center"/>
    </xf>
    <xf numFmtId="0" fontId="132" fillId="0" borderId="108" xfId="646" applyFont="1" applyBorder="1" applyAlignment="1">
      <alignment horizontal="center" vertical="center"/>
    </xf>
    <xf numFmtId="9" fontId="40" fillId="0" borderId="109" xfId="647" applyFont="1" applyBorder="1" applyAlignment="1">
      <alignment horizontal="center" vertical="center"/>
    </xf>
    <xf numFmtId="9" fontId="40" fillId="0" borderId="110" xfId="647" applyFont="1" applyBorder="1" applyAlignment="1">
      <alignment horizontal="center" vertical="center"/>
    </xf>
    <xf numFmtId="181" fontId="187" fillId="0" borderId="108" xfId="648" applyNumberFormat="1" applyFont="1" applyBorder="1" applyAlignment="1">
      <alignment vertical="center"/>
    </xf>
    <xf numFmtId="181" fontId="187" fillId="0" borderId="109" xfId="648" applyNumberFormat="1" applyFont="1" applyBorder="1" applyAlignment="1">
      <alignment vertical="center"/>
    </xf>
    <xf numFmtId="181" fontId="187" fillId="0" borderId="110" xfId="648" applyNumberFormat="1" applyFont="1" applyBorder="1" applyAlignment="1">
      <alignment vertical="center"/>
    </xf>
    <xf numFmtId="181" fontId="207" fillId="0" borderId="108" xfId="648" applyNumberFormat="1" applyFont="1" applyBorder="1" applyAlignment="1">
      <alignment vertical="center"/>
    </xf>
    <xf numFmtId="181" fontId="207" fillId="0" borderId="109" xfId="648" applyNumberFormat="1" applyFont="1" applyBorder="1" applyAlignment="1">
      <alignment vertical="center"/>
    </xf>
    <xf numFmtId="181" fontId="207" fillId="0" borderId="110" xfId="648" applyNumberFormat="1" applyFont="1" applyBorder="1" applyAlignment="1">
      <alignment vertical="center"/>
    </xf>
    <xf numFmtId="0" fontId="129" fillId="0" borderId="108" xfId="646" applyFont="1" applyBorder="1" applyAlignment="1">
      <alignment horizontal="center" vertical="center"/>
    </xf>
    <xf numFmtId="0" fontId="132" fillId="29" borderId="114" xfId="646" applyFont="1" applyFill="1" applyBorder="1" applyAlignment="1">
      <alignment horizontal="center" vertical="center"/>
    </xf>
    <xf numFmtId="9" fontId="132" fillId="29" borderId="115" xfId="647" applyFont="1" applyFill="1" applyBorder="1" applyAlignment="1">
      <alignment horizontal="center" vertical="center"/>
    </xf>
    <xf numFmtId="9" fontId="132" fillId="29" borderId="116" xfId="647" applyFont="1" applyFill="1" applyBorder="1" applyAlignment="1">
      <alignment horizontal="center" vertical="center"/>
    </xf>
    <xf numFmtId="181" fontId="206" fillId="29" borderId="114" xfId="648" applyNumberFormat="1" applyFont="1" applyFill="1" applyBorder="1" applyAlignment="1">
      <alignment vertical="center"/>
    </xf>
    <xf numFmtId="181" fontId="206" fillId="29" borderId="115" xfId="648" applyNumberFormat="1" applyFont="1" applyFill="1" applyBorder="1" applyAlignment="1">
      <alignment vertical="center"/>
    </xf>
    <xf numFmtId="181" fontId="206" fillId="29" borderId="116" xfId="648" applyNumberFormat="1" applyFont="1" applyFill="1" applyBorder="1" applyAlignment="1">
      <alignment vertical="center"/>
    </xf>
    <xf numFmtId="0" fontId="129" fillId="0" borderId="79" xfId="646" applyFont="1" applyBorder="1" applyAlignment="1">
      <alignment horizontal="center" vertical="center"/>
    </xf>
    <xf numFmtId="0" fontId="40" fillId="0" borderId="80" xfId="646" applyFont="1" applyBorder="1" applyAlignment="1">
      <alignment horizontal="center" vertical="center"/>
    </xf>
    <xf numFmtId="9" fontId="0" fillId="0" borderId="80" xfId="647" applyFont="1" applyBorder="1" applyAlignment="1">
      <alignment horizontal="center" vertical="center"/>
    </xf>
    <xf numFmtId="9" fontId="40" fillId="0" borderId="80" xfId="647" applyFont="1" applyBorder="1" applyAlignment="1">
      <alignment horizontal="center" vertical="center"/>
    </xf>
    <xf numFmtId="9" fontId="40" fillId="0" borderId="81" xfId="647" applyFont="1" applyBorder="1" applyAlignment="1">
      <alignment horizontal="center" vertical="center"/>
    </xf>
    <xf numFmtId="0" fontId="187" fillId="0" borderId="79" xfId="646" applyFont="1" applyBorder="1" applyAlignment="1">
      <alignment vertical="center"/>
    </xf>
    <xf numFmtId="181" fontId="187" fillId="0" borderId="80" xfId="648" applyNumberFormat="1" applyFont="1" applyBorder="1" applyAlignment="1">
      <alignment vertical="center"/>
    </xf>
    <xf numFmtId="181" fontId="187" fillId="0" borderId="81" xfId="648" applyNumberFormat="1" applyFont="1" applyBorder="1" applyAlignment="1">
      <alignment vertical="center"/>
    </xf>
    <xf numFmtId="181" fontId="206" fillId="29" borderId="79" xfId="648" applyNumberFormat="1" applyFont="1" applyFill="1" applyBorder="1" applyAlignment="1">
      <alignment vertical="center"/>
    </xf>
    <xf numFmtId="181" fontId="206" fillId="29" borderId="80" xfId="648" applyNumberFormat="1" applyFont="1" applyFill="1" applyBorder="1" applyAlignment="1">
      <alignment vertical="center"/>
    </xf>
    <xf numFmtId="181" fontId="206" fillId="29" borderId="81" xfId="648" applyNumberFormat="1" applyFont="1" applyFill="1" applyBorder="1" applyAlignment="1">
      <alignment vertical="center"/>
    </xf>
    <xf numFmtId="181" fontId="187" fillId="0" borderId="79" xfId="648" applyNumberFormat="1" applyFont="1" applyBorder="1" applyAlignment="1">
      <alignment vertical="center"/>
    </xf>
    <xf numFmtId="9" fontId="40" fillId="0" borderId="83" xfId="647" applyFont="1" applyBorder="1" applyAlignment="1">
      <alignment horizontal="center" vertical="center"/>
    </xf>
    <xf numFmtId="9" fontId="40" fillId="0" borderId="84" xfId="647" applyFont="1" applyBorder="1" applyAlignment="1">
      <alignment horizontal="center" vertical="center"/>
    </xf>
    <xf numFmtId="181" fontId="187" fillId="0" borderId="82" xfId="648" applyNumberFormat="1" applyFont="1" applyBorder="1" applyAlignment="1">
      <alignment vertical="center"/>
    </xf>
    <xf numFmtId="181" fontId="187" fillId="0" borderId="83" xfId="648" applyNumberFormat="1" applyFont="1" applyBorder="1" applyAlignment="1">
      <alignment vertical="center"/>
    </xf>
    <xf numFmtId="181" fontId="187" fillId="0" borderId="84" xfId="648" applyNumberFormat="1" applyFont="1" applyBorder="1" applyAlignment="1">
      <alignment vertical="center"/>
    </xf>
    <xf numFmtId="9" fontId="40" fillId="0" borderId="119" xfId="647" applyFont="1" applyBorder="1" applyAlignment="1">
      <alignment horizontal="center" vertical="center"/>
    </xf>
    <xf numFmtId="9" fontId="40" fillId="0" borderId="120" xfId="647" applyFont="1" applyBorder="1" applyAlignment="1">
      <alignment horizontal="center" vertical="center"/>
    </xf>
    <xf numFmtId="0" fontId="40" fillId="0" borderId="112" xfId="646" applyFont="1" applyBorder="1" applyAlignment="1">
      <alignment horizontal="center" vertical="center"/>
    </xf>
    <xf numFmtId="9" fontId="0" fillId="0" borderId="0" xfId="647" applyFont="1" applyAlignment="1">
      <alignment horizontal="center" vertical="center"/>
    </xf>
    <xf numFmtId="9" fontId="40" fillId="0" borderId="123" xfId="647" applyFont="1" applyBorder="1" applyAlignment="1">
      <alignment horizontal="center" vertical="center"/>
    </xf>
    <xf numFmtId="0" fontId="129" fillId="0" borderId="124" xfId="646" applyFont="1" applyBorder="1" applyAlignment="1">
      <alignment horizontal="center" vertical="center"/>
    </xf>
    <xf numFmtId="9" fontId="40" fillId="0" borderId="77" xfId="647" applyFont="1" applyBorder="1" applyAlignment="1">
      <alignment horizontal="center" vertical="center"/>
    </xf>
    <xf numFmtId="9" fontId="40" fillId="0" borderId="78" xfId="647" applyFont="1" applyBorder="1" applyAlignment="1">
      <alignment horizontal="center" vertical="center"/>
    </xf>
    <xf numFmtId="0" fontId="40" fillId="0" borderId="125" xfId="646" applyFont="1" applyBorder="1" applyAlignment="1">
      <alignment horizontal="center" vertical="center"/>
    </xf>
    <xf numFmtId="0" fontId="40" fillId="0" borderId="126" xfId="646" applyFont="1" applyBorder="1" applyAlignment="1">
      <alignment horizontal="center" vertical="center"/>
    </xf>
    <xf numFmtId="0" fontId="40" fillId="0" borderId="0" xfId="646" applyAlignment="1">
      <alignment horizontal="center" vertical="center"/>
    </xf>
    <xf numFmtId="9" fontId="0" fillId="0" borderId="0" xfId="647" applyFont="1"/>
    <xf numFmtId="0" fontId="205" fillId="0" borderId="0" xfId="646" applyFont="1" applyAlignment="1"/>
    <xf numFmtId="181" fontId="40" fillId="0" borderId="0" xfId="646" applyNumberFormat="1"/>
    <xf numFmtId="0" fontId="124" fillId="23" borderId="18" xfId="646" applyFont="1" applyFill="1" applyBorder="1" applyAlignment="1">
      <alignment horizontal="center" vertical="center" wrapText="1"/>
    </xf>
    <xf numFmtId="0" fontId="124" fillId="23" borderId="19" xfId="646" applyFont="1" applyFill="1" applyBorder="1" applyAlignment="1">
      <alignment horizontal="center" vertical="center"/>
    </xf>
    <xf numFmtId="0" fontId="206" fillId="23" borderId="19" xfId="646" applyFont="1" applyFill="1" applyBorder="1" applyAlignment="1">
      <alignment horizontal="center" vertical="center"/>
    </xf>
    <xf numFmtId="0" fontId="40" fillId="0" borderId="85" xfId="646" applyFont="1" applyBorder="1" applyAlignment="1">
      <alignment horizontal="center" vertical="center"/>
    </xf>
    <xf numFmtId="9" fontId="40" fillId="0" borderId="76" xfId="647" applyFont="1" applyBorder="1" applyAlignment="1">
      <alignment vertical="center"/>
    </xf>
    <xf numFmtId="9" fontId="40" fillId="0" borderId="127" xfId="647" applyFont="1" applyBorder="1" applyAlignment="1">
      <alignment horizontal="center" vertical="center"/>
    </xf>
    <xf numFmtId="9" fontId="40" fillId="0" borderId="128" xfId="647" applyFont="1" applyBorder="1" applyAlignment="1">
      <alignment horizontal="center" vertical="center"/>
    </xf>
    <xf numFmtId="181" fontId="187" fillId="0" borderId="76" xfId="648" applyNumberFormat="1" applyFont="1" applyFill="1" applyBorder="1" applyAlignment="1">
      <alignment vertical="center"/>
    </xf>
    <xf numFmtId="181" fontId="187" fillId="0" borderId="77" xfId="648" applyNumberFormat="1" applyFont="1" applyFill="1" applyBorder="1" applyAlignment="1">
      <alignment vertical="center"/>
    </xf>
    <xf numFmtId="181" fontId="187" fillId="0" borderId="77" xfId="648" applyNumberFormat="1" applyFont="1" applyBorder="1" applyAlignment="1">
      <alignment vertical="center"/>
    </xf>
    <xf numFmtId="181" fontId="187" fillId="0" borderId="78" xfId="648" applyNumberFormat="1" applyFont="1" applyBorder="1" applyAlignment="1">
      <alignment vertical="center"/>
    </xf>
    <xf numFmtId="0" fontId="128" fillId="0" borderId="86" xfId="646" applyFont="1" applyBorder="1" applyAlignment="1">
      <alignment horizontal="center" vertical="center"/>
    </xf>
    <xf numFmtId="0" fontId="40" fillId="0" borderId="79" xfId="646" applyFont="1" applyBorder="1" applyAlignment="1">
      <alignment vertical="center"/>
    </xf>
    <xf numFmtId="9" fontId="40" fillId="0" borderId="129" xfId="647" applyFont="1" applyBorder="1" applyAlignment="1">
      <alignment horizontal="center" vertical="center"/>
    </xf>
    <xf numFmtId="9" fontId="40" fillId="0" borderId="130" xfId="647" applyFont="1" applyBorder="1" applyAlignment="1">
      <alignment horizontal="center" vertical="center"/>
    </xf>
    <xf numFmtId="0" fontId="144" fillId="0" borderId="86" xfId="646" applyFont="1" applyBorder="1" applyAlignment="1">
      <alignment horizontal="center" vertical="center"/>
    </xf>
    <xf numFmtId="9" fontId="40" fillId="0" borderId="129" xfId="646" applyNumberFormat="1" applyFont="1" applyBorder="1" applyAlignment="1">
      <alignment horizontal="center" vertical="center"/>
    </xf>
    <xf numFmtId="9" fontId="207" fillId="0" borderId="129" xfId="646" applyNumberFormat="1" applyFont="1" applyBorder="1" applyAlignment="1">
      <alignment horizontal="center" vertical="center"/>
    </xf>
    <xf numFmtId="9" fontId="207" fillId="0" borderId="130" xfId="646" applyNumberFormat="1" applyFont="1" applyBorder="1" applyAlignment="1">
      <alignment horizontal="center" vertical="center"/>
    </xf>
    <xf numFmtId="181" fontId="207" fillId="0" borderId="79" xfId="648" applyNumberFormat="1" applyFont="1" applyBorder="1" applyAlignment="1">
      <alignment vertical="center"/>
    </xf>
    <xf numFmtId="181" fontId="207" fillId="0" borderId="80" xfId="648" applyNumberFormat="1" applyFont="1" applyBorder="1" applyAlignment="1">
      <alignment vertical="center"/>
    </xf>
    <xf numFmtId="181" fontId="207" fillId="0" borderId="81" xfId="648" applyNumberFormat="1" applyFont="1" applyBorder="1" applyAlignment="1">
      <alignment vertical="center"/>
    </xf>
    <xf numFmtId="0" fontId="132" fillId="29" borderId="118" xfId="646" applyFont="1" applyFill="1" applyBorder="1" applyAlignment="1">
      <alignment horizontal="center" vertical="center"/>
    </xf>
    <xf numFmtId="9" fontId="132" fillId="29" borderId="131" xfId="647" applyFont="1" applyFill="1" applyBorder="1" applyAlignment="1">
      <alignment vertical="center"/>
    </xf>
    <xf numFmtId="9" fontId="40" fillId="29" borderId="129" xfId="647" applyFont="1" applyFill="1" applyBorder="1" applyAlignment="1">
      <alignment horizontal="center" vertical="center"/>
    </xf>
    <xf numFmtId="9" fontId="40" fillId="29" borderId="130" xfId="647" applyFont="1" applyFill="1" applyBorder="1" applyAlignment="1">
      <alignment horizontal="center" vertical="center"/>
    </xf>
    <xf numFmtId="181" fontId="187" fillId="29" borderId="131" xfId="648" applyNumberFormat="1" applyFont="1" applyFill="1" applyBorder="1" applyAlignment="1">
      <alignment vertical="center"/>
    </xf>
    <xf numFmtId="181" fontId="187" fillId="29" borderId="132" xfId="648" applyNumberFormat="1" applyFont="1" applyFill="1" applyBorder="1" applyAlignment="1">
      <alignment vertical="center"/>
    </xf>
    <xf numFmtId="181" fontId="187" fillId="29" borderId="133" xfId="648" applyNumberFormat="1" applyFont="1" applyFill="1" applyBorder="1" applyAlignment="1">
      <alignment vertical="center"/>
    </xf>
    <xf numFmtId="0" fontId="129" fillId="0" borderId="86" xfId="646" applyFont="1" applyBorder="1" applyAlignment="1">
      <alignment horizontal="center" vertical="center"/>
    </xf>
    <xf numFmtId="0" fontId="132" fillId="29" borderId="86" xfId="646" applyFont="1" applyFill="1" applyBorder="1" applyAlignment="1">
      <alignment horizontal="center" vertical="center"/>
    </xf>
    <xf numFmtId="9" fontId="132" fillId="29" borderId="79" xfId="647" applyFont="1" applyFill="1" applyBorder="1" applyAlignment="1">
      <alignment vertical="center"/>
    </xf>
    <xf numFmtId="181" fontId="187" fillId="29" borderId="79" xfId="648" applyNumberFormat="1" applyFont="1" applyFill="1" applyBorder="1" applyAlignment="1">
      <alignment vertical="center"/>
    </xf>
    <xf numFmtId="181" fontId="187" fillId="29" borderId="80" xfId="648" applyNumberFormat="1" applyFont="1" applyFill="1" applyBorder="1" applyAlignment="1">
      <alignment vertical="center"/>
    </xf>
    <xf numFmtId="181" fontId="187" fillId="29" borderId="81" xfId="648" applyNumberFormat="1" applyFont="1" applyFill="1" applyBorder="1" applyAlignment="1">
      <alignment vertical="center"/>
    </xf>
    <xf numFmtId="9" fontId="40" fillId="0" borderId="79" xfId="647" applyFont="1" applyBorder="1" applyAlignment="1">
      <alignment vertical="center"/>
    </xf>
    <xf numFmtId="0" fontId="129" fillId="0" borderId="87" xfId="646" applyFont="1" applyBorder="1" applyAlignment="1">
      <alignment horizontal="center" vertical="center"/>
    </xf>
    <xf numFmtId="9" fontId="40" fillId="0" borderId="82" xfId="647" applyFont="1" applyBorder="1" applyAlignment="1">
      <alignment vertical="center"/>
    </xf>
    <xf numFmtId="9" fontId="40" fillId="0" borderId="134" xfId="647" applyFont="1" applyBorder="1" applyAlignment="1">
      <alignment horizontal="center" vertical="center"/>
    </xf>
    <xf numFmtId="9" fontId="40" fillId="0" borderId="135" xfId="647" applyFont="1" applyBorder="1" applyAlignment="1">
      <alignment horizontal="center" vertical="center"/>
    </xf>
    <xf numFmtId="9" fontId="40" fillId="0" borderId="136" xfId="647" applyFont="1" applyBorder="1" applyAlignment="1">
      <alignment vertical="center"/>
    </xf>
    <xf numFmtId="9" fontId="40" fillId="0" borderId="137" xfId="647" applyFont="1" applyBorder="1" applyAlignment="1">
      <alignment horizontal="center" vertical="center"/>
    </xf>
    <xf numFmtId="9" fontId="40" fillId="0" borderId="138" xfId="647" applyFont="1" applyBorder="1" applyAlignment="1">
      <alignment horizontal="center" vertical="center"/>
    </xf>
    <xf numFmtId="9" fontId="40" fillId="0" borderId="139" xfId="647" applyFont="1" applyBorder="1" applyAlignment="1">
      <alignment vertical="center"/>
    </xf>
    <xf numFmtId="181" fontId="187" fillId="0" borderId="119" xfId="648" applyNumberFormat="1" applyFont="1" applyBorder="1" applyAlignment="1">
      <alignment vertical="center"/>
    </xf>
    <xf numFmtId="9" fontId="40" fillId="0" borderId="140" xfId="647" applyFont="1" applyBorder="1" applyAlignment="1">
      <alignment vertical="center"/>
    </xf>
    <xf numFmtId="181" fontId="187" fillId="0" borderId="141" xfId="648" applyNumberFormat="1" applyFont="1" applyBorder="1" applyAlignment="1">
      <alignment vertical="center"/>
    </xf>
    <xf numFmtId="181" fontId="187" fillId="0" borderId="142" xfId="648" applyNumberFormat="1" applyFont="1" applyBorder="1" applyAlignment="1">
      <alignment vertical="center"/>
    </xf>
    <xf numFmtId="181" fontId="187" fillId="0" borderId="143" xfId="648" applyNumberFormat="1" applyFont="1" applyBorder="1" applyAlignment="1">
      <alignment vertical="center"/>
    </xf>
    <xf numFmtId="9" fontId="187" fillId="0" borderId="141" xfId="647" applyFont="1" applyBorder="1" applyAlignment="1">
      <alignment vertical="center"/>
    </xf>
    <xf numFmtId="9" fontId="187" fillId="0" borderId="142" xfId="647" applyFont="1" applyBorder="1" applyAlignment="1">
      <alignment vertical="center"/>
    </xf>
    <xf numFmtId="9" fontId="40" fillId="0" borderId="144" xfId="647" applyFont="1" applyBorder="1" applyAlignment="1">
      <alignment vertical="center"/>
    </xf>
    <xf numFmtId="9" fontId="187" fillId="0" borderId="145" xfId="647" applyFont="1" applyBorder="1" applyAlignment="1">
      <alignment vertical="center"/>
    </xf>
    <xf numFmtId="9" fontId="187" fillId="0" borderId="123" xfId="647" applyFont="1" applyBorder="1" applyAlignment="1">
      <alignment vertical="center"/>
    </xf>
    <xf numFmtId="181" fontId="187" fillId="0" borderId="123" xfId="648" applyNumberFormat="1" applyFont="1" applyBorder="1" applyAlignment="1">
      <alignment vertical="center"/>
    </xf>
    <xf numFmtId="181" fontId="187" fillId="0" borderId="146" xfId="648" applyNumberFormat="1" applyFont="1" applyBorder="1" applyAlignment="1">
      <alignment vertical="center"/>
    </xf>
    <xf numFmtId="181" fontId="187" fillId="0" borderId="147" xfId="648" applyNumberFormat="1" applyFont="1" applyBorder="1" applyAlignment="1">
      <alignment vertical="center"/>
    </xf>
    <xf numFmtId="0" fontId="129" fillId="0" borderId="85" xfId="646" applyFont="1" applyBorder="1" applyAlignment="1">
      <alignment horizontal="center" vertical="center"/>
    </xf>
    <xf numFmtId="9" fontId="40" fillId="0" borderId="124" xfId="647" applyFont="1" applyBorder="1" applyAlignment="1">
      <alignment vertical="center"/>
    </xf>
    <xf numFmtId="0" fontId="40" fillId="0" borderId="86" xfId="646" applyFont="1" applyBorder="1" applyAlignment="1">
      <alignment horizontal="center" vertical="center"/>
    </xf>
    <xf numFmtId="9" fontId="40" fillId="0" borderId="125" xfId="647" applyFont="1" applyBorder="1" applyAlignment="1">
      <alignment vertical="center"/>
    </xf>
    <xf numFmtId="0" fontId="40" fillId="0" borderId="87" xfId="646" applyFont="1" applyBorder="1" applyAlignment="1">
      <alignment horizontal="center" vertical="center"/>
    </xf>
    <xf numFmtId="9" fontId="40" fillId="0" borderId="126" xfId="647" applyFont="1" applyBorder="1" applyAlignment="1">
      <alignment vertical="center"/>
    </xf>
    <xf numFmtId="0" fontId="40" fillId="0" borderId="0" xfId="646" applyProtection="1">
      <protection hidden="1"/>
    </xf>
    <xf numFmtId="0" fontId="208" fillId="0" borderId="0" xfId="374" applyFont="1" applyBorder="1" applyAlignment="1">
      <alignment horizontal="center" vertical="center"/>
    </xf>
    <xf numFmtId="0" fontId="208" fillId="0" borderId="0" xfId="374" applyFont="1" applyBorder="1" applyAlignment="1">
      <alignment horizontal="center" vertical="center"/>
    </xf>
    <xf numFmtId="0" fontId="129" fillId="0" borderId="0" xfId="374" applyFont="1" applyBorder="1" applyAlignment="1">
      <alignment vertical="center"/>
    </xf>
    <xf numFmtId="0" fontId="204" fillId="0" borderId="0" xfId="32" applyFont="1" applyAlignment="1" applyProtection="1">
      <alignment horizontal="center" vertical="center"/>
    </xf>
    <xf numFmtId="0" fontId="204" fillId="0" borderId="24" xfId="32" applyFont="1" applyBorder="1" applyAlignment="1" applyProtection="1">
      <alignment horizontal="center" vertical="center"/>
    </xf>
    <xf numFmtId="0" fontId="204" fillId="0" borderId="14" xfId="32" applyFont="1" applyBorder="1" applyAlignment="1" applyProtection="1">
      <alignment horizontal="center" vertical="center"/>
    </xf>
    <xf numFmtId="0" fontId="204" fillId="0" borderId="0" xfId="32" applyFont="1" applyBorder="1" applyAlignment="1" applyProtection="1">
      <alignment horizontal="center" vertical="center"/>
    </xf>
    <xf numFmtId="0" fontId="129" fillId="0" borderId="0" xfId="374" applyFont="1" applyAlignment="1">
      <alignment horizontal="left" vertical="center"/>
    </xf>
    <xf numFmtId="0" fontId="129" fillId="0" borderId="24" xfId="374" applyFont="1" applyBorder="1" applyAlignment="1">
      <alignment horizontal="left" vertical="center"/>
    </xf>
    <xf numFmtId="0" fontId="129" fillId="0" borderId="14" xfId="374" applyFont="1" applyBorder="1" applyAlignment="1">
      <alignment horizontal="left" vertical="center"/>
    </xf>
    <xf numFmtId="0" fontId="129" fillId="0" borderId="104" xfId="374" applyFont="1" applyBorder="1" applyAlignment="1">
      <alignment horizontal="left" vertical="center"/>
    </xf>
    <xf numFmtId="0" fontId="129" fillId="0" borderId="0" xfId="374" applyFont="1" applyBorder="1" applyAlignment="1">
      <alignment horizontal="left" vertical="center"/>
    </xf>
    <xf numFmtId="0" fontId="133" fillId="0" borderId="0" xfId="466" applyFont="1" applyAlignment="1">
      <alignment horizontal="left"/>
    </xf>
    <xf numFmtId="0" fontId="195" fillId="0" borderId="0" xfId="635" applyFont="1" applyAlignment="1">
      <alignment vertical="center"/>
    </xf>
    <xf numFmtId="0" fontId="74" fillId="0" borderId="0" xfId="374" applyFont="1" applyAlignment="1">
      <alignment horizontal="right" vertical="center" indent="1"/>
    </xf>
    <xf numFmtId="0" fontId="74" fillId="0" borderId="0" xfId="374" applyFont="1" applyAlignment="1">
      <alignment horizontal="right" indent="1"/>
    </xf>
    <xf numFmtId="3" fontId="128" fillId="23" borderId="13" xfId="374" applyNumberFormat="1" applyFont="1" applyFill="1" applyBorder="1" applyAlignment="1">
      <alignment horizontal="right" vertical="center" wrapText="1" indent="1"/>
    </xf>
    <xf numFmtId="3" fontId="128" fillId="23" borderId="10" xfId="374" applyNumberFormat="1" applyFont="1" applyFill="1" applyBorder="1" applyAlignment="1">
      <alignment horizontal="right" vertical="center" wrapText="1" indent="1"/>
    </xf>
    <xf numFmtId="0" fontId="209" fillId="0" borderId="0" xfId="374" applyFont="1" applyBorder="1" applyAlignment="1">
      <alignment vertical="center"/>
    </xf>
    <xf numFmtId="0" fontId="124" fillId="23" borderId="13" xfId="374" applyFont="1" applyFill="1" applyBorder="1" applyAlignment="1">
      <alignment horizontal="center" vertical="center" wrapText="1"/>
    </xf>
    <xf numFmtId="0" fontId="124" fillId="23" borderId="18" xfId="374" applyFont="1" applyFill="1" applyBorder="1" applyAlignment="1">
      <alignment horizontal="center" vertical="center" wrapText="1"/>
    </xf>
    <xf numFmtId="0" fontId="147" fillId="0" borderId="25" xfId="374" applyFont="1" applyBorder="1" applyAlignment="1">
      <alignment horizontal="left" vertical="center" readingOrder="1"/>
    </xf>
    <xf numFmtId="182" fontId="129" fillId="0" borderId="30" xfId="374" applyNumberFormat="1" applyFont="1" applyBorder="1" applyAlignment="1">
      <alignment vertical="center"/>
    </xf>
    <xf numFmtId="0" fontId="147" fillId="0" borderId="26" xfId="374" applyFont="1" applyBorder="1" applyAlignment="1">
      <alignment horizontal="left" vertical="center" readingOrder="1"/>
    </xf>
    <xf numFmtId="182" fontId="129" fillId="0" borderId="31" xfId="374" applyNumberFormat="1" applyFont="1" applyBorder="1" applyAlignment="1">
      <alignment vertical="center"/>
    </xf>
    <xf numFmtId="0" fontId="147" fillId="0" borderId="27" xfId="374" applyFont="1" applyBorder="1" applyAlignment="1">
      <alignment horizontal="left" vertical="center" readingOrder="1"/>
    </xf>
    <xf numFmtId="182" fontId="129" fillId="0" borderId="32" xfId="374" applyNumberFormat="1" applyFont="1" applyBorder="1" applyAlignment="1">
      <alignment vertical="center"/>
    </xf>
    <xf numFmtId="0" fontId="136" fillId="0" borderId="12" xfId="374" applyFont="1" applyBorder="1" applyAlignment="1">
      <alignment vertical="center" wrapText="1" readingOrder="1"/>
    </xf>
    <xf numFmtId="0" fontId="204" fillId="0" borderId="104" xfId="32" applyFont="1" applyBorder="1" applyAlignment="1" applyProtection="1">
      <alignment horizontal="center" vertical="center"/>
    </xf>
    <xf numFmtId="0" fontId="195" fillId="0" borderId="0" xfId="632" applyFont="1" applyAlignment="1">
      <alignment vertical="center"/>
    </xf>
    <xf numFmtId="0" fontId="128" fillId="23" borderId="19" xfId="0" applyFont="1" applyFill="1" applyBorder="1" applyAlignment="1">
      <alignment horizontal="center" vertical="center"/>
    </xf>
    <xf numFmtId="3" fontId="129" fillId="23" borderId="57" xfId="0" applyNumberFormat="1" applyFont="1" applyFill="1" applyBorder="1" applyAlignment="1">
      <alignment horizontal="right" indent="1"/>
    </xf>
    <xf numFmtId="3" fontId="129" fillId="23" borderId="47" xfId="0" applyNumberFormat="1" applyFont="1" applyFill="1" applyBorder="1" applyAlignment="1">
      <alignment horizontal="right" indent="1"/>
    </xf>
    <xf numFmtId="3" fontId="85" fillId="0" borderId="53" xfId="50" applyNumberFormat="1" applyFont="1" applyFill="1" applyBorder="1" applyAlignment="1">
      <alignment horizontal="right" vertical="center" wrapText="1" indent="1"/>
    </xf>
    <xf numFmtId="3" fontId="85" fillId="0" borderId="55" xfId="50" applyNumberFormat="1" applyFont="1" applyFill="1" applyBorder="1" applyAlignment="1">
      <alignment horizontal="right" vertical="center" wrapText="1" indent="1"/>
    </xf>
    <xf numFmtId="3" fontId="129" fillId="23" borderId="58" xfId="0" applyNumberFormat="1" applyFont="1" applyFill="1" applyBorder="1" applyAlignment="1">
      <alignment horizontal="right" indent="1"/>
    </xf>
    <xf numFmtId="3" fontId="137" fillId="23" borderId="0" xfId="54" applyNumberFormat="1" applyFont="1" applyFill="1" applyBorder="1" applyAlignment="1">
      <alignment horizontal="right" wrapText="1" indent="1"/>
    </xf>
    <xf numFmtId="3" fontId="129" fillId="23" borderId="55" xfId="0" applyNumberFormat="1" applyFont="1" applyFill="1" applyBorder="1" applyAlignment="1">
      <alignment horizontal="right" indent="1"/>
    </xf>
    <xf numFmtId="0" fontId="176" fillId="23" borderId="13" xfId="73" applyFont="1" applyFill="1" applyBorder="1" applyAlignment="1">
      <alignment horizontal="right" vertical="center" indent="1"/>
    </xf>
    <xf numFmtId="0" fontId="176" fillId="23" borderId="14" xfId="73" applyFont="1" applyFill="1" applyBorder="1" applyAlignment="1">
      <alignment horizontal="right" vertical="center" indent="1"/>
    </xf>
    <xf numFmtId="0" fontId="176" fillId="23" borderId="10" xfId="73" applyFont="1" applyFill="1" applyBorder="1" applyAlignment="1">
      <alignment horizontal="right" vertical="center" indent="1"/>
    </xf>
    <xf numFmtId="0" fontId="175" fillId="23" borderId="13" xfId="73" applyFont="1" applyFill="1" applyBorder="1" applyAlignment="1">
      <alignment horizontal="right" vertical="center" indent="1"/>
    </xf>
    <xf numFmtId="0" fontId="175" fillId="23" borderId="14" xfId="73" applyFont="1" applyFill="1" applyBorder="1" applyAlignment="1">
      <alignment horizontal="right" vertical="center" indent="1"/>
    </xf>
    <xf numFmtId="0" fontId="175" fillId="23" borderId="10" xfId="73" applyFont="1" applyFill="1" applyBorder="1" applyAlignment="1">
      <alignment horizontal="right" vertical="center" indent="1"/>
    </xf>
    <xf numFmtId="0" fontId="179" fillId="23" borderId="13" xfId="73" applyFont="1" applyFill="1" applyBorder="1" applyAlignment="1">
      <alignment horizontal="right" vertical="center" indent="1"/>
    </xf>
    <xf numFmtId="0" fontId="179" fillId="23" borderId="14" xfId="73" applyFont="1" applyFill="1" applyBorder="1" applyAlignment="1">
      <alignment horizontal="right" vertical="center" indent="1"/>
    </xf>
    <xf numFmtId="0" fontId="179" fillId="23" borderId="10" xfId="73" applyFont="1" applyFill="1" applyBorder="1" applyAlignment="1">
      <alignment horizontal="right" vertical="center" indent="1"/>
    </xf>
    <xf numFmtId="0" fontId="177" fillId="23" borderId="13" xfId="73" applyFont="1" applyFill="1" applyBorder="1" applyAlignment="1">
      <alignment horizontal="right" vertical="center" indent="1"/>
    </xf>
    <xf numFmtId="0" fontId="177" fillId="23" borderId="14" xfId="73" applyFont="1" applyFill="1" applyBorder="1" applyAlignment="1">
      <alignment horizontal="right" vertical="center" indent="1"/>
    </xf>
    <xf numFmtId="0" fontId="177" fillId="23" borderId="10" xfId="73" applyFont="1" applyFill="1" applyBorder="1" applyAlignment="1">
      <alignment horizontal="right" vertical="center" indent="1"/>
    </xf>
    <xf numFmtId="0" fontId="177" fillId="23" borderId="32" xfId="0" applyFont="1" applyFill="1" applyBorder="1" applyAlignment="1">
      <alignment horizontal="center" vertical="center"/>
    </xf>
    <xf numFmtId="3" fontId="177" fillId="23" borderId="27" xfId="0" applyNumberFormat="1" applyFont="1" applyFill="1" applyBorder="1" applyAlignment="1">
      <alignment horizontal="right" vertical="center" indent="1"/>
    </xf>
    <xf numFmtId="3" fontId="177" fillId="23" borderId="37" xfId="0" applyNumberFormat="1" applyFont="1" applyFill="1" applyBorder="1" applyAlignment="1">
      <alignment horizontal="right" vertical="center" indent="1"/>
    </xf>
    <xf numFmtId="3" fontId="177" fillId="23" borderId="42" xfId="0" applyNumberFormat="1" applyFont="1" applyFill="1" applyBorder="1" applyAlignment="1">
      <alignment horizontal="right" vertical="center" indent="1"/>
    </xf>
    <xf numFmtId="0" fontId="179" fillId="23" borderId="32" xfId="0" applyFont="1" applyFill="1" applyBorder="1" applyAlignment="1">
      <alignment horizontal="center" vertical="center"/>
    </xf>
    <xf numFmtId="3" fontId="179" fillId="23" borderId="27" xfId="0" applyNumberFormat="1" applyFont="1" applyFill="1" applyBorder="1" applyAlignment="1">
      <alignment horizontal="right" vertical="center" indent="1"/>
    </xf>
    <xf numFmtId="3" fontId="179" fillId="23" borderId="37" xfId="0" applyNumberFormat="1" applyFont="1" applyFill="1" applyBorder="1" applyAlignment="1">
      <alignment horizontal="right" vertical="center" indent="1"/>
    </xf>
    <xf numFmtId="3" fontId="179" fillId="23" borderId="42" xfId="0" applyNumberFormat="1" applyFont="1" applyFill="1" applyBorder="1" applyAlignment="1">
      <alignment horizontal="right" vertical="center" indent="1"/>
    </xf>
    <xf numFmtId="0" fontId="175" fillId="23" borderId="32" xfId="0" applyFont="1" applyFill="1" applyBorder="1" applyAlignment="1">
      <alignment horizontal="center" vertical="center"/>
    </xf>
    <xf numFmtId="3" fontId="175" fillId="23" borderId="27" xfId="0" applyNumberFormat="1" applyFont="1" applyFill="1" applyBorder="1" applyAlignment="1">
      <alignment horizontal="right" vertical="center" indent="1"/>
    </xf>
    <xf numFmtId="3" fontId="175" fillId="23" borderId="37" xfId="0" applyNumberFormat="1" applyFont="1" applyFill="1" applyBorder="1" applyAlignment="1">
      <alignment horizontal="right" vertical="center" indent="1"/>
    </xf>
    <xf numFmtId="3" fontId="175" fillId="23" borderId="42" xfId="0" applyNumberFormat="1" applyFont="1" applyFill="1" applyBorder="1" applyAlignment="1">
      <alignment horizontal="right" vertical="center" indent="1"/>
    </xf>
    <xf numFmtId="0" fontId="176" fillId="23" borderId="32" xfId="0" applyFont="1" applyFill="1" applyBorder="1" applyAlignment="1">
      <alignment horizontal="center" vertical="center"/>
    </xf>
    <xf numFmtId="3" fontId="176" fillId="0" borderId="20" xfId="0" applyNumberFormat="1" applyFont="1" applyFill="1" applyBorder="1" applyAlignment="1">
      <alignment horizontal="right" vertical="center" indent="1"/>
    </xf>
    <xf numFmtId="3" fontId="176" fillId="0" borderId="24" xfId="0" applyNumberFormat="1" applyFont="1" applyFill="1" applyBorder="1" applyAlignment="1">
      <alignment horizontal="right" vertical="center" indent="1"/>
    </xf>
    <xf numFmtId="3" fontId="176" fillId="0" borderId="22" xfId="0" applyNumberFormat="1" applyFont="1" applyFill="1" applyBorder="1" applyAlignment="1">
      <alignment horizontal="right" vertical="center" indent="1"/>
    </xf>
    <xf numFmtId="3" fontId="176" fillId="23" borderId="27" xfId="0" applyNumberFormat="1" applyFont="1" applyFill="1" applyBorder="1" applyAlignment="1">
      <alignment horizontal="right" vertical="center" indent="1"/>
    </xf>
    <xf numFmtId="3" fontId="176" fillId="23" borderId="37" xfId="0" applyNumberFormat="1" applyFont="1" applyFill="1" applyBorder="1" applyAlignment="1">
      <alignment horizontal="right" vertical="center" indent="1"/>
    </xf>
    <xf numFmtId="3" fontId="176" fillId="23" borderId="42" xfId="0" applyNumberFormat="1" applyFont="1" applyFill="1" applyBorder="1" applyAlignment="1">
      <alignment horizontal="right" vertical="center" indent="1"/>
    </xf>
    <xf numFmtId="0" fontId="70" fillId="0" borderId="0" xfId="0" applyFont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131" fillId="0" borderId="0" xfId="0" applyFont="1" applyAlignment="1">
      <alignment horizontal="left" vertical="center"/>
    </xf>
    <xf numFmtId="0" fontId="81" fillId="0" borderId="0" xfId="66" applyFont="1" applyAlignment="1">
      <alignment horizontal="left" vertical="center"/>
    </xf>
    <xf numFmtId="0" fontId="72" fillId="0" borderId="0" xfId="0" applyFont="1" applyBorder="1" applyAlignment="1">
      <alignment vertical="center"/>
    </xf>
    <xf numFmtId="0" fontId="210" fillId="0" borderId="0" xfId="73" applyFont="1" applyAlignment="1">
      <alignment vertical="center"/>
    </xf>
    <xf numFmtId="0" fontId="81" fillId="0" borderId="0" xfId="0" applyFont="1" applyAlignment="1">
      <alignment horizontal="left" vertical="center" indent="1"/>
    </xf>
    <xf numFmtId="0" fontId="81" fillId="0" borderId="0" xfId="0" applyFont="1"/>
    <xf numFmtId="0" fontId="213" fillId="0" borderId="0" xfId="0" applyFont="1" applyAlignment="1">
      <alignment horizontal="left" readingOrder="1"/>
    </xf>
    <xf numFmtId="0" fontId="81" fillId="0" borderId="0" xfId="66" applyFont="1" applyFill="1" applyBorder="1" applyAlignment="1">
      <alignment vertical="center"/>
    </xf>
    <xf numFmtId="0" fontId="185" fillId="0" borderId="0" xfId="0" applyFont="1"/>
    <xf numFmtId="3" fontId="185" fillId="0" borderId="0" xfId="0" applyNumberFormat="1" applyFont="1"/>
    <xf numFmtId="0" fontId="214" fillId="0" borderId="0" xfId="0" applyFont="1" applyAlignment="1">
      <alignment horizontal="left" vertical="center" readingOrder="1"/>
    </xf>
    <xf numFmtId="1" fontId="128" fillId="23" borderId="13" xfId="50" applyNumberFormat="1" applyFont="1" applyFill="1" applyBorder="1" applyAlignment="1">
      <alignment horizontal="center" vertical="center" wrapText="1"/>
    </xf>
    <xf numFmtId="1" fontId="128" fillId="23" borderId="14" xfId="50" applyNumberFormat="1" applyFont="1" applyFill="1" applyBorder="1" applyAlignment="1">
      <alignment horizontal="center" vertical="center" wrapText="1"/>
    </xf>
    <xf numFmtId="0" fontId="179" fillId="0" borderId="10" xfId="52" applyFont="1" applyFill="1" applyBorder="1" applyAlignment="1">
      <alignment horizontal="center" vertical="center"/>
    </xf>
    <xf numFmtId="3" fontId="179" fillId="0" borderId="13" xfId="53" applyNumberFormat="1" applyFont="1" applyFill="1" applyBorder="1" applyAlignment="1">
      <alignment horizontal="right" vertical="center" indent="1"/>
    </xf>
    <xf numFmtId="3" fontId="179" fillId="0" borderId="18" xfId="53" applyNumberFormat="1" applyFont="1" applyFill="1" applyBorder="1" applyAlignment="1">
      <alignment horizontal="right" vertical="center" indent="1"/>
    </xf>
    <xf numFmtId="0" fontId="178" fillId="0" borderId="10" xfId="52" applyFont="1" applyFill="1" applyBorder="1" applyAlignment="1">
      <alignment horizontal="center" vertical="center"/>
    </xf>
    <xf numFmtId="3" fontId="178" fillId="0" borderId="13" xfId="53" applyNumberFormat="1" applyFont="1" applyFill="1" applyBorder="1" applyAlignment="1">
      <alignment horizontal="right" vertical="center" indent="1"/>
    </xf>
    <xf numFmtId="3" fontId="178" fillId="0" borderId="18" xfId="53" applyNumberFormat="1" applyFont="1" applyFill="1" applyBorder="1" applyAlignment="1">
      <alignment horizontal="right" vertical="center" indent="1"/>
    </xf>
    <xf numFmtId="0" fontId="128" fillId="29" borderId="23" xfId="52" applyFont="1" applyFill="1" applyBorder="1" applyAlignment="1">
      <alignment horizontal="center" vertical="center"/>
    </xf>
    <xf numFmtId="3" fontId="137" fillId="29" borderId="20" xfId="53" applyNumberFormat="1" applyFont="1" applyFill="1" applyBorder="1" applyAlignment="1">
      <alignment horizontal="right" vertical="center" indent="1"/>
    </xf>
    <xf numFmtId="3" fontId="137" fillId="29" borderId="23" xfId="53" applyNumberFormat="1" applyFont="1" applyFill="1" applyBorder="1" applyAlignment="1">
      <alignment horizontal="right" vertical="center" indent="1"/>
    </xf>
    <xf numFmtId="0" fontId="178" fillId="23" borderId="32" xfId="66" applyFont="1" applyFill="1" applyBorder="1" applyAlignment="1">
      <alignment horizontal="center" vertical="center"/>
    </xf>
    <xf numFmtId="3" fontId="178" fillId="23" borderId="27" xfId="66" applyNumberFormat="1" applyFont="1" applyFill="1" applyBorder="1" applyAlignment="1">
      <alignment horizontal="right" vertical="center" indent="1"/>
    </xf>
    <xf numFmtId="0" fontId="179" fillId="23" borderId="32" xfId="66" applyFont="1" applyFill="1" applyBorder="1" applyAlignment="1">
      <alignment horizontal="center" vertical="center"/>
    </xf>
    <xf numFmtId="3" fontId="179" fillId="23" borderId="27" xfId="66" applyNumberFormat="1" applyFont="1" applyFill="1" applyBorder="1" applyAlignment="1">
      <alignment horizontal="right" vertical="center" indent="1"/>
    </xf>
    <xf numFmtId="3" fontId="179" fillId="23" borderId="32" xfId="66" applyNumberFormat="1" applyFont="1" applyFill="1" applyBorder="1" applyAlignment="1">
      <alignment horizontal="right" vertical="center" indent="1"/>
    </xf>
    <xf numFmtId="0" fontId="176" fillId="23" borderId="32" xfId="66" applyFont="1" applyFill="1" applyBorder="1" applyAlignment="1">
      <alignment horizontal="center" vertical="center"/>
    </xf>
    <xf numFmtId="3" fontId="176" fillId="23" borderId="27" xfId="66" applyNumberFormat="1" applyFont="1" applyFill="1" applyBorder="1" applyAlignment="1">
      <alignment horizontal="right" vertical="center" indent="1"/>
    </xf>
    <xf numFmtId="3" fontId="176" fillId="23" borderId="32" xfId="66" applyNumberFormat="1" applyFont="1" applyFill="1" applyBorder="1" applyAlignment="1">
      <alignment horizontal="right" vertical="center" indent="1"/>
    </xf>
    <xf numFmtId="0" fontId="175" fillId="23" borderId="32" xfId="66" applyFont="1" applyFill="1" applyBorder="1" applyAlignment="1">
      <alignment horizontal="center" vertical="center"/>
    </xf>
    <xf numFmtId="3" fontId="175" fillId="23" borderId="27" xfId="66" applyNumberFormat="1" applyFont="1" applyFill="1" applyBorder="1" applyAlignment="1">
      <alignment horizontal="right" vertical="center" indent="1"/>
    </xf>
    <xf numFmtId="3" fontId="175" fillId="23" borderId="32" xfId="66" applyNumberFormat="1" applyFont="1" applyFill="1" applyBorder="1" applyAlignment="1">
      <alignment horizontal="right" vertical="center" indent="1"/>
    </xf>
    <xf numFmtId="3" fontId="178" fillId="23" borderId="42" xfId="66" applyNumberFormat="1" applyFont="1" applyFill="1" applyBorder="1" applyAlignment="1">
      <alignment horizontal="right" vertical="center" indent="1"/>
    </xf>
    <xf numFmtId="0" fontId="177" fillId="23" borderId="32" xfId="66" applyFont="1" applyFill="1" applyBorder="1" applyAlignment="1">
      <alignment horizontal="center" vertical="center"/>
    </xf>
    <xf numFmtId="3" fontId="177" fillId="23" borderId="27" xfId="66" applyNumberFormat="1" applyFont="1" applyFill="1" applyBorder="1" applyAlignment="1">
      <alignment horizontal="right" vertical="center" indent="1"/>
    </xf>
    <xf numFmtId="3" fontId="177" fillId="23" borderId="32" xfId="66" applyNumberFormat="1" applyFont="1" applyFill="1" applyBorder="1" applyAlignment="1">
      <alignment horizontal="right" vertical="center" indent="1"/>
    </xf>
    <xf numFmtId="3" fontId="175" fillId="23" borderId="27" xfId="0" applyNumberFormat="1" applyFont="1" applyFill="1" applyBorder="1" applyAlignment="1">
      <alignment horizontal="right" indent="1"/>
    </xf>
    <xf numFmtId="3" fontId="175" fillId="23" borderId="37" xfId="0" applyNumberFormat="1" applyFont="1" applyFill="1" applyBorder="1" applyAlignment="1">
      <alignment horizontal="right" indent="1"/>
    </xf>
    <xf numFmtId="3" fontId="175" fillId="23" borderId="42" xfId="0" applyNumberFormat="1" applyFont="1" applyFill="1" applyBorder="1" applyAlignment="1">
      <alignment horizontal="right" indent="1"/>
    </xf>
    <xf numFmtId="3" fontId="176" fillId="23" borderId="27" xfId="0" applyNumberFormat="1" applyFont="1" applyFill="1" applyBorder="1" applyAlignment="1">
      <alignment horizontal="right" indent="1"/>
    </xf>
    <xf numFmtId="3" fontId="176" fillId="23" borderId="37" xfId="0" applyNumberFormat="1" applyFont="1" applyFill="1" applyBorder="1" applyAlignment="1">
      <alignment horizontal="right" indent="1"/>
    </xf>
    <xf numFmtId="3" fontId="176" fillId="23" borderId="42" xfId="0" applyNumberFormat="1" applyFont="1" applyFill="1" applyBorder="1" applyAlignment="1">
      <alignment horizontal="right" indent="1"/>
    </xf>
    <xf numFmtId="3" fontId="179" fillId="23" borderId="27" xfId="0" applyNumberFormat="1" applyFont="1" applyFill="1" applyBorder="1" applyAlignment="1">
      <alignment horizontal="right" indent="1"/>
    </xf>
    <xf numFmtId="3" fontId="179" fillId="23" borderId="37" xfId="0" applyNumberFormat="1" applyFont="1" applyFill="1" applyBorder="1" applyAlignment="1">
      <alignment horizontal="right" indent="1"/>
    </xf>
    <xf numFmtId="3" fontId="179" fillId="23" borderId="42" xfId="0" applyNumberFormat="1" applyFont="1" applyFill="1" applyBorder="1" applyAlignment="1">
      <alignment horizontal="right" indent="1"/>
    </xf>
    <xf numFmtId="0" fontId="178" fillId="23" borderId="32" xfId="0" applyFont="1" applyFill="1" applyBorder="1" applyAlignment="1">
      <alignment horizontal="center" vertical="center"/>
    </xf>
    <xf numFmtId="3" fontId="178" fillId="0" borderId="20" xfId="0" applyNumberFormat="1" applyFont="1" applyFill="1" applyBorder="1" applyAlignment="1">
      <alignment horizontal="right" indent="1"/>
    </xf>
    <xf numFmtId="3" fontId="178" fillId="0" borderId="24" xfId="0" applyNumberFormat="1" applyFont="1" applyFill="1" applyBorder="1" applyAlignment="1">
      <alignment horizontal="right" indent="1"/>
    </xf>
    <xf numFmtId="3" fontId="178" fillId="0" borderId="22" xfId="0" applyNumberFormat="1" applyFont="1" applyFill="1" applyBorder="1" applyAlignment="1">
      <alignment horizontal="right" indent="1"/>
    </xf>
    <xf numFmtId="3" fontId="178" fillId="23" borderId="27" xfId="0" applyNumberFormat="1" applyFont="1" applyFill="1" applyBorder="1" applyAlignment="1">
      <alignment horizontal="right" indent="1"/>
    </xf>
    <xf numFmtId="3" fontId="178" fillId="23" borderId="37" xfId="0" applyNumberFormat="1" applyFont="1" applyFill="1" applyBorder="1" applyAlignment="1">
      <alignment horizontal="right" indent="1"/>
    </xf>
    <xf numFmtId="3" fontId="178" fillId="23" borderId="42" xfId="0" applyNumberFormat="1" applyFont="1" applyFill="1" applyBorder="1" applyAlignment="1">
      <alignment horizontal="right" indent="1"/>
    </xf>
    <xf numFmtId="3" fontId="177" fillId="23" borderId="27" xfId="0" applyNumberFormat="1" applyFont="1" applyFill="1" applyBorder="1" applyAlignment="1">
      <alignment horizontal="right" indent="1"/>
    </xf>
    <xf numFmtId="3" fontId="177" fillId="23" borderId="37" xfId="0" applyNumberFormat="1" applyFont="1" applyFill="1" applyBorder="1" applyAlignment="1">
      <alignment horizontal="right" indent="1"/>
    </xf>
    <xf numFmtId="3" fontId="177" fillId="23" borderId="42" xfId="0" applyNumberFormat="1" applyFont="1" applyFill="1" applyBorder="1" applyAlignment="1">
      <alignment horizontal="right" indent="1"/>
    </xf>
    <xf numFmtId="0" fontId="175" fillId="29" borderId="10" xfId="52" applyFont="1" applyFill="1" applyBorder="1" applyAlignment="1">
      <alignment horizontal="center" vertical="center"/>
    </xf>
    <xf numFmtId="3" fontId="175" fillId="29" borderId="13" xfId="54" applyNumberFormat="1" applyFont="1" applyFill="1" applyBorder="1" applyAlignment="1">
      <alignment horizontal="right" wrapText="1" indent="1"/>
    </xf>
    <xf numFmtId="3" fontId="175" fillId="29" borderId="14" xfId="54" applyNumberFormat="1" applyFont="1" applyFill="1" applyBorder="1" applyAlignment="1">
      <alignment horizontal="right" wrapText="1" indent="1"/>
    </xf>
    <xf numFmtId="3" fontId="175" fillId="29" borderId="10" xfId="54" applyNumberFormat="1" applyFont="1" applyFill="1" applyBorder="1" applyAlignment="1">
      <alignment horizontal="right" wrapText="1" indent="1"/>
    </xf>
    <xf numFmtId="0" fontId="176" fillId="29" borderId="10" xfId="52" applyFont="1" applyFill="1" applyBorder="1" applyAlignment="1">
      <alignment horizontal="center" vertical="center"/>
    </xf>
    <xf numFmtId="3" fontId="176" fillId="29" borderId="13" xfId="54" applyNumberFormat="1" applyFont="1" applyFill="1" applyBorder="1" applyAlignment="1">
      <alignment horizontal="right" wrapText="1" indent="1"/>
    </xf>
    <xf numFmtId="3" fontId="176" fillId="29" borderId="14" xfId="54" applyNumberFormat="1" applyFont="1" applyFill="1" applyBorder="1" applyAlignment="1">
      <alignment horizontal="right" wrapText="1" indent="1"/>
    </xf>
    <xf numFmtId="3" fontId="176" fillId="29" borderId="10" xfId="54" applyNumberFormat="1" applyFont="1" applyFill="1" applyBorder="1" applyAlignment="1">
      <alignment horizontal="right" wrapText="1" indent="1"/>
    </xf>
    <xf numFmtId="0" fontId="179" fillId="29" borderId="10" xfId="52" applyFont="1" applyFill="1" applyBorder="1" applyAlignment="1">
      <alignment horizontal="center" vertical="center"/>
    </xf>
    <xf numFmtId="3" fontId="179" fillId="29" borderId="13" xfId="54" applyNumberFormat="1" applyFont="1" applyFill="1" applyBorder="1" applyAlignment="1">
      <alignment horizontal="right" wrapText="1" indent="1"/>
    </xf>
    <xf numFmtId="3" fontId="179" fillId="29" borderId="14" xfId="54" applyNumberFormat="1" applyFont="1" applyFill="1" applyBorder="1" applyAlignment="1">
      <alignment horizontal="right" wrapText="1" indent="1"/>
    </xf>
    <xf numFmtId="3" fontId="179" fillId="29" borderId="10" xfId="54" applyNumberFormat="1" applyFont="1" applyFill="1" applyBorder="1" applyAlignment="1">
      <alignment horizontal="right" wrapText="1" indent="1"/>
    </xf>
    <xf numFmtId="0" fontId="178" fillId="29" borderId="10" xfId="52" applyFont="1" applyFill="1" applyBorder="1" applyAlignment="1">
      <alignment horizontal="center" vertical="center"/>
    </xf>
    <xf numFmtId="3" fontId="178" fillId="29" borderId="13" xfId="54" applyNumberFormat="1" applyFont="1" applyFill="1" applyBorder="1" applyAlignment="1">
      <alignment horizontal="right" wrapText="1" indent="1"/>
    </xf>
    <xf numFmtId="3" fontId="178" fillId="29" borderId="14" xfId="54" applyNumberFormat="1" applyFont="1" applyFill="1" applyBorder="1" applyAlignment="1">
      <alignment horizontal="right" wrapText="1" indent="1"/>
    </xf>
    <xf numFmtId="3" fontId="178" fillId="29" borderId="10" xfId="54" applyNumberFormat="1" applyFont="1" applyFill="1" applyBorder="1" applyAlignment="1">
      <alignment horizontal="right" wrapText="1" indent="1"/>
    </xf>
    <xf numFmtId="0" fontId="177" fillId="29" borderId="10" xfId="52" applyFont="1" applyFill="1" applyBorder="1" applyAlignment="1">
      <alignment horizontal="center" vertical="center"/>
    </xf>
    <xf numFmtId="3" fontId="177" fillId="29" borderId="13" xfId="54" applyNumberFormat="1" applyFont="1" applyFill="1" applyBorder="1" applyAlignment="1">
      <alignment horizontal="right" wrapText="1" indent="1"/>
    </xf>
    <xf numFmtId="3" fontId="177" fillId="29" borderId="14" xfId="54" applyNumberFormat="1" applyFont="1" applyFill="1" applyBorder="1" applyAlignment="1">
      <alignment horizontal="right" wrapText="1" indent="1"/>
    </xf>
    <xf numFmtId="3" fontId="177" fillId="29" borderId="10" xfId="54" applyNumberFormat="1" applyFont="1" applyFill="1" applyBorder="1" applyAlignment="1">
      <alignment horizontal="right" wrapText="1" indent="1"/>
    </xf>
    <xf numFmtId="0" fontId="176" fillId="23" borderId="23" xfId="66" applyFont="1" applyFill="1" applyBorder="1" applyAlignment="1">
      <alignment horizontal="center" vertical="center"/>
    </xf>
    <xf numFmtId="3" fontId="176" fillId="23" borderId="20" xfId="66" applyNumberFormat="1" applyFont="1" applyFill="1" applyBorder="1" applyAlignment="1">
      <alignment horizontal="right" vertical="center" indent="1"/>
    </xf>
    <xf numFmtId="3" fontId="176" fillId="23" borderId="24" xfId="66" applyNumberFormat="1" applyFont="1" applyFill="1" applyBorder="1" applyAlignment="1">
      <alignment horizontal="right" vertical="center" indent="1"/>
    </xf>
    <xf numFmtId="3" fontId="176" fillId="23" borderId="22" xfId="66" applyNumberFormat="1" applyFont="1" applyFill="1" applyBorder="1" applyAlignment="1">
      <alignment horizontal="right" vertical="center" indent="1"/>
    </xf>
    <xf numFmtId="3" fontId="176" fillId="23" borderId="20" xfId="66" applyNumberFormat="1" applyFont="1" applyFill="1" applyBorder="1" applyAlignment="1">
      <alignment vertical="center"/>
    </xf>
    <xf numFmtId="3" fontId="176" fillId="23" borderId="24" xfId="66" applyNumberFormat="1" applyFont="1" applyFill="1" applyBorder="1" applyAlignment="1">
      <alignment vertical="center"/>
    </xf>
    <xf numFmtId="3" fontId="176" fillId="23" borderId="22" xfId="66" applyNumberFormat="1" applyFont="1" applyFill="1" applyBorder="1" applyAlignment="1">
      <alignment vertical="center"/>
    </xf>
    <xf numFmtId="0" fontId="175" fillId="23" borderId="23" xfId="66" applyFont="1" applyFill="1" applyBorder="1" applyAlignment="1">
      <alignment horizontal="center" vertical="center"/>
    </xf>
    <xf numFmtId="3" fontId="175" fillId="23" borderId="20" xfId="66" applyNumberFormat="1" applyFont="1" applyFill="1" applyBorder="1" applyAlignment="1">
      <alignment horizontal="right" vertical="center" indent="1"/>
    </xf>
    <xf numFmtId="3" fontId="175" fillId="23" borderId="24" xfId="66" applyNumberFormat="1" applyFont="1" applyFill="1" applyBorder="1" applyAlignment="1">
      <alignment horizontal="right" vertical="center" indent="1"/>
    </xf>
    <xf numFmtId="3" fontId="175" fillId="23" borderId="22" xfId="66" applyNumberFormat="1" applyFont="1" applyFill="1" applyBorder="1" applyAlignment="1">
      <alignment horizontal="right" vertical="center" indent="1"/>
    </xf>
    <xf numFmtId="3" fontId="175" fillId="23" borderId="20" xfId="66" applyNumberFormat="1" applyFont="1" applyFill="1" applyBorder="1" applyAlignment="1">
      <alignment vertical="center"/>
    </xf>
    <xf numFmtId="3" fontId="175" fillId="23" borderId="24" xfId="66" applyNumberFormat="1" applyFont="1" applyFill="1" applyBorder="1" applyAlignment="1">
      <alignment vertical="center"/>
    </xf>
    <xf numFmtId="3" fontId="175" fillId="23" borderId="22" xfId="66" applyNumberFormat="1" applyFont="1" applyFill="1" applyBorder="1" applyAlignment="1">
      <alignment vertical="center"/>
    </xf>
    <xf numFmtId="0" fontId="179" fillId="23" borderId="23" xfId="66" applyFont="1" applyFill="1" applyBorder="1" applyAlignment="1">
      <alignment horizontal="center" vertical="center"/>
    </xf>
    <xf numFmtId="3" fontId="179" fillId="23" borderId="20" xfId="66" applyNumberFormat="1" applyFont="1" applyFill="1" applyBorder="1" applyAlignment="1">
      <alignment horizontal="right" vertical="center" indent="1"/>
    </xf>
    <xf numFmtId="3" fontId="179" fillId="23" borderId="24" xfId="66" applyNumberFormat="1" applyFont="1" applyFill="1" applyBorder="1" applyAlignment="1">
      <alignment horizontal="right" vertical="center" indent="1"/>
    </xf>
    <xf numFmtId="3" fontId="179" fillId="23" borderId="22" xfId="66" applyNumberFormat="1" applyFont="1" applyFill="1" applyBorder="1" applyAlignment="1">
      <alignment horizontal="right" vertical="center" indent="1"/>
    </xf>
    <xf numFmtId="3" fontId="179" fillId="23" borderId="20" xfId="66" applyNumberFormat="1" applyFont="1" applyFill="1" applyBorder="1" applyAlignment="1">
      <alignment vertical="center"/>
    </xf>
    <xf numFmtId="3" fontId="179" fillId="23" borderId="24" xfId="66" applyNumberFormat="1" applyFont="1" applyFill="1" applyBorder="1" applyAlignment="1">
      <alignment vertical="center"/>
    </xf>
    <xf numFmtId="3" fontId="179" fillId="23" borderId="22" xfId="66" applyNumberFormat="1" applyFont="1" applyFill="1" applyBorder="1" applyAlignment="1">
      <alignment vertical="center"/>
    </xf>
    <xf numFmtId="3" fontId="177" fillId="23" borderId="20" xfId="66" applyNumberFormat="1" applyFont="1" applyFill="1" applyBorder="1" applyAlignment="1">
      <alignment horizontal="right" vertical="center" indent="1"/>
    </xf>
    <xf numFmtId="3" fontId="177" fillId="23" borderId="24" xfId="66" applyNumberFormat="1" applyFont="1" applyFill="1" applyBorder="1" applyAlignment="1">
      <alignment horizontal="right" vertical="center" indent="1"/>
    </xf>
    <xf numFmtId="3" fontId="177" fillId="23" borderId="22" xfId="66" applyNumberFormat="1" applyFont="1" applyFill="1" applyBorder="1" applyAlignment="1">
      <alignment horizontal="right" vertical="center" indent="1"/>
    </xf>
    <xf numFmtId="3" fontId="178" fillId="0" borderId="20" xfId="66" applyNumberFormat="1" applyFont="1" applyFill="1" applyBorder="1" applyAlignment="1">
      <alignment horizontal="right" vertical="center" indent="1"/>
    </xf>
    <xf numFmtId="3" fontId="178" fillId="0" borderId="24" xfId="66" applyNumberFormat="1" applyFont="1" applyFill="1" applyBorder="1" applyAlignment="1">
      <alignment horizontal="right" vertical="center" indent="1"/>
    </xf>
    <xf numFmtId="3" fontId="178" fillId="0" borderId="22" xfId="66" applyNumberFormat="1" applyFont="1" applyFill="1" applyBorder="1" applyAlignment="1">
      <alignment horizontal="right" vertical="center" indent="1"/>
    </xf>
    <xf numFmtId="3" fontId="178" fillId="23" borderId="20" xfId="66" applyNumberFormat="1" applyFont="1" applyFill="1" applyBorder="1" applyAlignment="1">
      <alignment horizontal="right" vertical="center" indent="1"/>
    </xf>
    <xf numFmtId="3" fontId="178" fillId="23" borderId="24" xfId="66" applyNumberFormat="1" applyFont="1" applyFill="1" applyBorder="1" applyAlignment="1">
      <alignment horizontal="right" vertical="center" indent="1"/>
    </xf>
    <xf numFmtId="3" fontId="178" fillId="23" borderId="22" xfId="66" applyNumberFormat="1" applyFont="1" applyFill="1" applyBorder="1" applyAlignment="1">
      <alignment horizontal="right" vertical="center" indent="1"/>
    </xf>
    <xf numFmtId="0" fontId="177" fillId="23" borderId="23" xfId="66" applyFont="1" applyFill="1" applyBorder="1" applyAlignment="1">
      <alignment horizontal="center" vertical="center"/>
    </xf>
    <xf numFmtId="3" fontId="177" fillId="23" borderId="20" xfId="66" applyNumberFormat="1" applyFont="1" applyFill="1" applyBorder="1" applyAlignment="1">
      <alignment vertical="center"/>
    </xf>
    <xf numFmtId="3" fontId="177" fillId="23" borderId="24" xfId="66" applyNumberFormat="1" applyFont="1" applyFill="1" applyBorder="1" applyAlignment="1">
      <alignment vertical="center"/>
    </xf>
    <xf numFmtId="3" fontId="177" fillId="23" borderId="22" xfId="66" applyNumberFormat="1" applyFont="1" applyFill="1" applyBorder="1" applyAlignment="1">
      <alignment vertical="center"/>
    </xf>
    <xf numFmtId="3" fontId="177" fillId="23" borderId="37" xfId="66" applyNumberFormat="1" applyFont="1" applyFill="1" applyBorder="1" applyAlignment="1">
      <alignment horizontal="right" vertical="center" indent="1"/>
    </xf>
    <xf numFmtId="3" fontId="177" fillId="23" borderId="42" xfId="66" applyNumberFormat="1" applyFont="1" applyFill="1" applyBorder="1" applyAlignment="1">
      <alignment horizontal="right" vertical="center" indent="1"/>
    </xf>
    <xf numFmtId="3" fontId="179" fillId="23" borderId="37" xfId="66" applyNumberFormat="1" applyFont="1" applyFill="1" applyBorder="1" applyAlignment="1">
      <alignment horizontal="right" vertical="center" indent="1"/>
    </xf>
    <xf numFmtId="3" fontId="179" fillId="23" borderId="42" xfId="66" applyNumberFormat="1" applyFont="1" applyFill="1" applyBorder="1" applyAlignment="1">
      <alignment horizontal="right" vertical="center" indent="1"/>
    </xf>
    <xf numFmtId="3" fontId="175" fillId="23" borderId="37" xfId="66" applyNumberFormat="1" applyFont="1" applyFill="1" applyBorder="1" applyAlignment="1">
      <alignment horizontal="right" vertical="center" indent="1"/>
    </xf>
    <xf numFmtId="3" fontId="175" fillId="23" borderId="42" xfId="66" applyNumberFormat="1" applyFont="1" applyFill="1" applyBorder="1" applyAlignment="1">
      <alignment horizontal="right" vertical="center" indent="1"/>
    </xf>
    <xf numFmtId="3" fontId="176" fillId="23" borderId="37" xfId="66" applyNumberFormat="1" applyFont="1" applyFill="1" applyBorder="1" applyAlignment="1">
      <alignment horizontal="right" vertical="center" indent="1"/>
    </xf>
    <xf numFmtId="3" fontId="176" fillId="23" borderId="42" xfId="66" applyNumberFormat="1" applyFont="1" applyFill="1" applyBorder="1" applyAlignment="1">
      <alignment horizontal="right" vertical="center" indent="1"/>
    </xf>
    <xf numFmtId="3" fontId="178" fillId="23" borderId="37" xfId="66" applyNumberFormat="1" applyFont="1" applyFill="1" applyBorder="1" applyAlignment="1">
      <alignment horizontal="right" vertical="center" indent="1"/>
    </xf>
    <xf numFmtId="0" fontId="179" fillId="23" borderId="32" xfId="640" applyFont="1" applyFill="1" applyBorder="1" applyAlignment="1">
      <alignment horizontal="center" vertical="center"/>
    </xf>
    <xf numFmtId="3" fontId="179" fillId="23" borderId="27" xfId="640" applyNumberFormat="1" applyFont="1" applyFill="1" applyBorder="1" applyAlignment="1">
      <alignment horizontal="right" vertical="center" indent="1"/>
    </xf>
    <xf numFmtId="3" fontId="179" fillId="23" borderId="37" xfId="640" applyNumberFormat="1" applyFont="1" applyFill="1" applyBorder="1" applyAlignment="1">
      <alignment horizontal="right" vertical="center" indent="1"/>
    </xf>
    <xf numFmtId="3" fontId="179" fillId="23" borderId="42" xfId="640" applyNumberFormat="1" applyFont="1" applyFill="1" applyBorder="1" applyAlignment="1">
      <alignment horizontal="right" vertical="center" indent="1"/>
    </xf>
    <xf numFmtId="0" fontId="175" fillId="23" borderId="32" xfId="640" applyFont="1" applyFill="1" applyBorder="1" applyAlignment="1">
      <alignment horizontal="center" vertical="center"/>
    </xf>
    <xf numFmtId="3" fontId="175" fillId="23" borderId="27" xfId="640" applyNumberFormat="1" applyFont="1" applyFill="1" applyBorder="1" applyAlignment="1">
      <alignment horizontal="right" vertical="center" indent="1"/>
    </xf>
    <xf numFmtId="3" fontId="175" fillId="23" borderId="37" xfId="640" applyNumberFormat="1" applyFont="1" applyFill="1" applyBorder="1" applyAlignment="1">
      <alignment horizontal="right" vertical="center" indent="1"/>
    </xf>
    <xf numFmtId="3" fontId="175" fillId="23" borderId="42" xfId="640" applyNumberFormat="1" applyFont="1" applyFill="1" applyBorder="1" applyAlignment="1">
      <alignment horizontal="right" vertical="center" indent="1"/>
    </xf>
    <xf numFmtId="0" fontId="177" fillId="23" borderId="32" xfId="640" applyFont="1" applyFill="1" applyBorder="1" applyAlignment="1">
      <alignment horizontal="center" vertical="center"/>
    </xf>
    <xf numFmtId="3" fontId="177" fillId="23" borderId="27" xfId="640" applyNumberFormat="1" applyFont="1" applyFill="1" applyBorder="1" applyAlignment="1">
      <alignment horizontal="right" vertical="center" indent="1"/>
    </xf>
    <xf numFmtId="3" fontId="177" fillId="23" borderId="37" xfId="640" applyNumberFormat="1" applyFont="1" applyFill="1" applyBorder="1" applyAlignment="1">
      <alignment horizontal="right" vertical="center" indent="1"/>
    </xf>
    <xf numFmtId="3" fontId="177" fillId="23" borderId="42" xfId="640" applyNumberFormat="1" applyFont="1" applyFill="1" applyBorder="1" applyAlignment="1">
      <alignment horizontal="right" vertical="center" indent="1"/>
    </xf>
    <xf numFmtId="0" fontId="176" fillId="23" borderId="32" xfId="640" applyFont="1" applyFill="1" applyBorder="1" applyAlignment="1">
      <alignment horizontal="center" vertical="center"/>
    </xf>
    <xf numFmtId="3" fontId="176" fillId="23" borderId="27" xfId="640" applyNumberFormat="1" applyFont="1" applyFill="1" applyBorder="1" applyAlignment="1">
      <alignment horizontal="right" vertical="center" indent="1"/>
    </xf>
    <xf numFmtId="3" fontId="176" fillId="23" borderId="37" xfId="640" applyNumberFormat="1" applyFont="1" applyFill="1" applyBorder="1" applyAlignment="1">
      <alignment horizontal="right" vertical="center" indent="1"/>
    </xf>
    <xf numFmtId="3" fontId="176" fillId="23" borderId="42" xfId="640" applyNumberFormat="1" applyFont="1" applyFill="1" applyBorder="1" applyAlignment="1">
      <alignment horizontal="right" vertical="center" indent="1"/>
    </xf>
    <xf numFmtId="0" fontId="129" fillId="0" borderId="51" xfId="52" applyFont="1" applyFill="1" applyBorder="1" applyAlignment="1">
      <alignment horizontal="left" vertical="center"/>
    </xf>
    <xf numFmtId="3" fontId="137" fillId="0" borderId="45" xfId="53" applyNumberFormat="1" applyFont="1" applyFill="1" applyBorder="1" applyAlignment="1">
      <alignment horizontal="right" vertical="center" indent="1"/>
    </xf>
    <xf numFmtId="3" fontId="129" fillId="0" borderId="45" xfId="48" applyNumberFormat="1" applyFont="1" applyFill="1" applyBorder="1" applyAlignment="1">
      <alignment horizontal="right" vertical="center" indent="1"/>
    </xf>
    <xf numFmtId="3" fontId="129" fillId="0" borderId="52" xfId="48" applyNumberFormat="1" applyFont="1" applyFill="1" applyBorder="1" applyAlignment="1">
      <alignment horizontal="right" vertical="center" indent="1"/>
    </xf>
    <xf numFmtId="3" fontId="129" fillId="0" borderId="53" xfId="48" applyNumberFormat="1" applyFont="1" applyFill="1" applyBorder="1" applyAlignment="1">
      <alignment horizontal="right" vertical="center" indent="1"/>
    </xf>
    <xf numFmtId="3" fontId="129" fillId="0" borderId="51" xfId="48" applyNumberFormat="1" applyFont="1" applyFill="1" applyBorder="1" applyAlignment="1">
      <alignment horizontal="right" vertical="center" indent="1"/>
    </xf>
    <xf numFmtId="0" fontId="129" fillId="0" borderId="54" xfId="52" applyFont="1" applyFill="1" applyBorder="1" applyAlignment="1">
      <alignment horizontal="left" vertical="center"/>
    </xf>
    <xf numFmtId="3" fontId="137" fillId="0" borderId="46" xfId="53" applyNumberFormat="1" applyFont="1" applyFill="1" applyBorder="1" applyAlignment="1">
      <alignment horizontal="right" vertical="center" indent="1"/>
    </xf>
    <xf numFmtId="3" fontId="129" fillId="0" borderId="46" xfId="48" applyNumberFormat="1" applyFont="1" applyFill="1" applyBorder="1" applyAlignment="1">
      <alignment horizontal="right" vertical="center" indent="1"/>
    </xf>
    <xf numFmtId="3" fontId="129" fillId="0" borderId="47" xfId="48" applyNumberFormat="1" applyFont="1" applyFill="1" applyBorder="1" applyAlignment="1">
      <alignment horizontal="right" vertical="center" indent="1"/>
    </xf>
    <xf numFmtId="3" fontId="129" fillId="0" borderId="55" xfId="48" applyNumberFormat="1" applyFont="1" applyFill="1" applyBorder="1" applyAlignment="1">
      <alignment horizontal="right" vertical="center" indent="1"/>
    </xf>
    <xf numFmtId="3" fontId="129" fillId="0" borderId="54" xfId="48" applyNumberFormat="1" applyFont="1" applyFill="1" applyBorder="1" applyAlignment="1">
      <alignment horizontal="right" vertical="center" indent="1"/>
    </xf>
    <xf numFmtId="0" fontId="128" fillId="23" borderId="46" xfId="52" applyFont="1" applyFill="1" applyBorder="1" applyAlignment="1">
      <alignment horizontal="center" vertical="center"/>
    </xf>
    <xf numFmtId="3" fontId="128" fillId="23" borderId="47" xfId="48" applyNumberFormat="1" applyFont="1" applyFill="1" applyBorder="1" applyAlignment="1">
      <alignment horizontal="right" vertical="center" indent="1"/>
    </xf>
    <xf numFmtId="3" fontId="128" fillId="23" borderId="46" xfId="48" applyNumberFormat="1" applyFont="1" applyFill="1" applyBorder="1" applyAlignment="1">
      <alignment horizontal="right" vertical="center" indent="1"/>
    </xf>
    <xf numFmtId="3" fontId="128" fillId="23" borderId="55" xfId="48" applyNumberFormat="1" applyFont="1" applyFill="1" applyBorder="1" applyAlignment="1">
      <alignment horizontal="right" vertical="center" indent="1"/>
    </xf>
    <xf numFmtId="3" fontId="128" fillId="23" borderId="54" xfId="48" applyNumberFormat="1" applyFont="1" applyFill="1" applyBorder="1" applyAlignment="1">
      <alignment horizontal="right" vertical="center" indent="1"/>
    </xf>
    <xf numFmtId="3" fontId="129" fillId="0" borderId="46" xfId="0" applyNumberFormat="1" applyFont="1" applyBorder="1"/>
    <xf numFmtId="3" fontId="129" fillId="0" borderId="54" xfId="0" applyNumberFormat="1" applyFont="1" applyBorder="1"/>
    <xf numFmtId="3" fontId="129" fillId="0" borderId="65" xfId="0" applyNumberFormat="1" applyFont="1" applyBorder="1"/>
    <xf numFmtId="3" fontId="129" fillId="0" borderId="65" xfId="48" applyNumberFormat="1" applyFont="1" applyFill="1" applyBorder="1" applyAlignment="1">
      <alignment horizontal="right" vertical="center" indent="1"/>
    </xf>
    <xf numFmtId="3" fontId="129" fillId="0" borderId="66" xfId="48" applyNumberFormat="1" applyFont="1" applyFill="1" applyBorder="1" applyAlignment="1">
      <alignment horizontal="right" vertical="center" indent="1"/>
    </xf>
    <xf numFmtId="3" fontId="129" fillId="0" borderId="67" xfId="48" applyNumberFormat="1" applyFont="1" applyFill="1" applyBorder="1" applyAlignment="1">
      <alignment horizontal="right" vertical="center" indent="1"/>
    </xf>
    <xf numFmtId="3" fontId="129" fillId="0" borderId="68" xfId="48" applyNumberFormat="1" applyFont="1" applyFill="1" applyBorder="1" applyAlignment="1">
      <alignment horizontal="right" vertical="center" indent="1"/>
    </xf>
    <xf numFmtId="3" fontId="137" fillId="0" borderId="65" xfId="53" applyNumberFormat="1" applyFont="1" applyFill="1" applyBorder="1" applyAlignment="1">
      <alignment horizontal="right" vertical="center" indent="1"/>
    </xf>
    <xf numFmtId="0" fontId="129" fillId="0" borderId="68" xfId="52" applyFont="1" applyFill="1" applyBorder="1" applyAlignment="1">
      <alignment horizontal="left" vertical="center"/>
    </xf>
    <xf numFmtId="0" fontId="175" fillId="23" borderId="23" xfId="48" applyFont="1" applyFill="1" applyBorder="1" applyAlignment="1">
      <alignment horizontal="center" vertical="center"/>
    </xf>
    <xf numFmtId="3" fontId="175" fillId="23" borderId="23" xfId="48" applyNumberFormat="1" applyFont="1" applyFill="1" applyBorder="1" applyAlignment="1">
      <alignment horizontal="right" vertical="center" indent="1"/>
    </xf>
    <xf numFmtId="3" fontId="175" fillId="23" borderId="20" xfId="48" applyNumberFormat="1" applyFont="1" applyFill="1" applyBorder="1" applyAlignment="1">
      <alignment horizontal="right" vertical="center" indent="1"/>
    </xf>
    <xf numFmtId="3" fontId="175" fillId="23" borderId="24" xfId="48" applyNumberFormat="1" applyFont="1" applyFill="1" applyBorder="1" applyAlignment="1">
      <alignment horizontal="right" vertical="center" indent="1"/>
    </xf>
    <xf numFmtId="3" fontId="175" fillId="23" borderId="22" xfId="48" applyNumberFormat="1" applyFont="1" applyFill="1" applyBorder="1" applyAlignment="1">
      <alignment horizontal="right" vertical="center" indent="1"/>
    </xf>
    <xf numFmtId="0" fontId="179" fillId="23" borderId="23" xfId="48" applyFont="1" applyFill="1" applyBorder="1" applyAlignment="1">
      <alignment horizontal="center" vertical="center"/>
    </xf>
    <xf numFmtId="3" fontId="179" fillId="23" borderId="23" xfId="48" applyNumberFormat="1" applyFont="1" applyFill="1" applyBorder="1" applyAlignment="1">
      <alignment horizontal="right" vertical="center" indent="1"/>
    </xf>
    <xf numFmtId="3" fontId="179" fillId="23" borderId="20" xfId="48" applyNumberFormat="1" applyFont="1" applyFill="1" applyBorder="1" applyAlignment="1">
      <alignment horizontal="right" vertical="center" indent="1"/>
    </xf>
    <xf numFmtId="3" fontId="179" fillId="23" borderId="24" xfId="48" applyNumberFormat="1" applyFont="1" applyFill="1" applyBorder="1" applyAlignment="1">
      <alignment horizontal="right" vertical="center" indent="1"/>
    </xf>
    <xf numFmtId="3" fontId="179" fillId="23" borderId="22" xfId="48" applyNumberFormat="1" applyFont="1" applyFill="1" applyBorder="1" applyAlignment="1">
      <alignment horizontal="right" vertical="center" indent="1"/>
    </xf>
    <xf numFmtId="0" fontId="176" fillId="23" borderId="23" xfId="48" applyFont="1" applyFill="1" applyBorder="1" applyAlignment="1">
      <alignment horizontal="center" vertical="center"/>
    </xf>
    <xf numFmtId="3" fontId="176" fillId="23" borderId="23" xfId="48" applyNumberFormat="1" applyFont="1" applyFill="1" applyBorder="1" applyAlignment="1">
      <alignment horizontal="right" vertical="center" indent="1"/>
    </xf>
    <xf numFmtId="3" fontId="176" fillId="23" borderId="20" xfId="48" applyNumberFormat="1" applyFont="1" applyFill="1" applyBorder="1" applyAlignment="1">
      <alignment horizontal="right" vertical="center" indent="1"/>
    </xf>
    <xf numFmtId="3" fontId="176" fillId="23" borderId="24" xfId="48" applyNumberFormat="1" applyFont="1" applyFill="1" applyBorder="1" applyAlignment="1">
      <alignment horizontal="right" vertical="center" indent="1"/>
    </xf>
    <xf numFmtId="3" fontId="176" fillId="23" borderId="22" xfId="48" applyNumberFormat="1" applyFont="1" applyFill="1" applyBorder="1" applyAlignment="1">
      <alignment horizontal="right" vertical="center" indent="1"/>
    </xf>
    <xf numFmtId="0" fontId="177" fillId="23" borderId="23" xfId="48" applyFont="1" applyFill="1" applyBorder="1" applyAlignment="1">
      <alignment horizontal="center" vertical="center"/>
    </xf>
    <xf numFmtId="3" fontId="177" fillId="23" borderId="23" xfId="48" applyNumberFormat="1" applyFont="1" applyFill="1" applyBorder="1" applyAlignment="1">
      <alignment horizontal="right" vertical="center" indent="1"/>
    </xf>
    <xf numFmtId="3" fontId="177" fillId="23" borderId="20" xfId="48" applyNumberFormat="1" applyFont="1" applyFill="1" applyBorder="1" applyAlignment="1">
      <alignment horizontal="right" vertical="center" indent="1"/>
    </xf>
    <xf numFmtId="3" fontId="177" fillId="23" borderId="24" xfId="48" applyNumberFormat="1" applyFont="1" applyFill="1" applyBorder="1" applyAlignment="1">
      <alignment horizontal="right" vertical="center" indent="1"/>
    </xf>
    <xf numFmtId="3" fontId="177" fillId="23" borderId="22" xfId="48" applyNumberFormat="1" applyFont="1" applyFill="1" applyBorder="1" applyAlignment="1">
      <alignment horizontal="right" vertical="center" indent="1"/>
    </xf>
    <xf numFmtId="0" fontId="177" fillId="23" borderId="27" xfId="0" applyFont="1" applyFill="1" applyBorder="1" applyAlignment="1">
      <alignment horizontal="center" vertical="center"/>
    </xf>
    <xf numFmtId="3" fontId="177" fillId="23" borderId="32" xfId="0" applyNumberFormat="1" applyFont="1" applyFill="1" applyBorder="1" applyAlignment="1">
      <alignment horizontal="right" vertical="center" indent="1"/>
    </xf>
    <xf numFmtId="0" fontId="179" fillId="23" borderId="27" xfId="0" applyFont="1" applyFill="1" applyBorder="1" applyAlignment="1">
      <alignment horizontal="center" vertical="center"/>
    </xf>
    <xf numFmtId="3" fontId="179" fillId="23" borderId="32" xfId="0" applyNumberFormat="1" applyFont="1" applyFill="1" applyBorder="1" applyAlignment="1">
      <alignment horizontal="right" vertical="center" indent="1"/>
    </xf>
    <xf numFmtId="0" fontId="175" fillId="23" borderId="27" xfId="0" applyFont="1" applyFill="1" applyBorder="1" applyAlignment="1">
      <alignment horizontal="center" vertical="center"/>
    </xf>
    <xf numFmtId="3" fontId="175" fillId="23" borderId="32" xfId="0" applyNumberFormat="1" applyFont="1" applyFill="1" applyBorder="1" applyAlignment="1">
      <alignment horizontal="right" vertical="center" indent="1"/>
    </xf>
    <xf numFmtId="0" fontId="176" fillId="23" borderId="27" xfId="0" applyFont="1" applyFill="1" applyBorder="1" applyAlignment="1">
      <alignment horizontal="center" vertical="center"/>
    </xf>
    <xf numFmtId="0" fontId="176" fillId="23" borderId="27" xfId="0" applyFont="1" applyFill="1" applyBorder="1" applyAlignment="1">
      <alignment horizontal="right" vertical="center" indent="1"/>
    </xf>
    <xf numFmtId="0" fontId="176" fillId="23" borderId="37" xfId="0" applyFont="1" applyFill="1" applyBorder="1" applyAlignment="1">
      <alignment horizontal="right" vertical="center" indent="1"/>
    </xf>
    <xf numFmtId="3" fontId="176" fillId="23" borderId="32" xfId="0" applyNumberFormat="1" applyFont="1" applyFill="1" applyBorder="1" applyAlignment="1">
      <alignment horizontal="right" vertical="center" indent="1"/>
    </xf>
    <xf numFmtId="0" fontId="175" fillId="23" borderId="32" xfId="631" applyFont="1" applyFill="1" applyBorder="1" applyAlignment="1">
      <alignment horizontal="center" vertical="center"/>
    </xf>
    <xf numFmtId="179" fontId="175" fillId="23" borderId="27" xfId="631" applyNumberFormat="1" applyFont="1" applyFill="1" applyBorder="1" applyAlignment="1">
      <alignment horizontal="right" vertical="center" indent="1"/>
    </xf>
    <xf numFmtId="179" fontId="175" fillId="23" borderId="32" xfId="631" applyNumberFormat="1" applyFont="1" applyFill="1" applyBorder="1" applyAlignment="1">
      <alignment horizontal="right" vertical="center" indent="1"/>
    </xf>
    <xf numFmtId="0" fontId="176" fillId="23" borderId="32" xfId="631" applyFont="1" applyFill="1" applyBorder="1" applyAlignment="1">
      <alignment horizontal="center" vertical="center"/>
    </xf>
    <xf numFmtId="179" fontId="176" fillId="23" borderId="27" xfId="631" applyNumberFormat="1" applyFont="1" applyFill="1" applyBorder="1" applyAlignment="1">
      <alignment horizontal="right" vertical="center" indent="1"/>
    </xf>
    <xf numFmtId="179" fontId="176" fillId="23" borderId="37" xfId="631" applyNumberFormat="1" applyFont="1" applyFill="1" applyBorder="1" applyAlignment="1">
      <alignment horizontal="right" vertical="center" indent="1"/>
    </xf>
    <xf numFmtId="179" fontId="176" fillId="23" borderId="42" xfId="631" applyNumberFormat="1" applyFont="1" applyFill="1" applyBorder="1" applyAlignment="1">
      <alignment horizontal="right" vertical="center" indent="1"/>
    </xf>
    <xf numFmtId="179" fontId="176" fillId="23" borderId="32" xfId="631" applyNumberFormat="1" applyFont="1" applyFill="1" applyBorder="1" applyAlignment="1">
      <alignment horizontal="right" vertical="center" indent="1"/>
    </xf>
    <xf numFmtId="0" fontId="179" fillId="23" borderId="32" xfId="631" applyFont="1" applyFill="1" applyBorder="1" applyAlignment="1">
      <alignment horizontal="center" vertical="center"/>
    </xf>
    <xf numFmtId="179" fontId="179" fillId="23" borderId="27" xfId="631" applyNumberFormat="1" applyFont="1" applyFill="1" applyBorder="1" applyAlignment="1">
      <alignment horizontal="right" vertical="center" indent="1"/>
    </xf>
    <xf numFmtId="179" fontId="179" fillId="23" borderId="32" xfId="631" applyNumberFormat="1" applyFont="1" applyFill="1" applyBorder="1" applyAlignment="1">
      <alignment horizontal="right" vertical="center" indent="1"/>
    </xf>
    <xf numFmtId="0" fontId="177" fillId="23" borderId="32" xfId="631" applyFont="1" applyFill="1" applyBorder="1" applyAlignment="1">
      <alignment horizontal="center" vertical="center"/>
    </xf>
    <xf numFmtId="179" fontId="177" fillId="23" borderId="27" xfId="631" applyNumberFormat="1" applyFont="1" applyFill="1" applyBorder="1" applyAlignment="1">
      <alignment horizontal="right" vertical="center" indent="1"/>
    </xf>
    <xf numFmtId="179" fontId="177" fillId="23" borderId="32" xfId="631" applyNumberFormat="1" applyFont="1" applyFill="1" applyBorder="1" applyAlignment="1">
      <alignment horizontal="right" vertical="center" indent="1"/>
    </xf>
    <xf numFmtId="0" fontId="175" fillId="29" borderId="18" xfId="66" applyFont="1" applyFill="1" applyBorder="1" applyAlignment="1">
      <alignment horizontal="center" vertical="center"/>
    </xf>
    <xf numFmtId="3" fontId="175" fillId="29" borderId="13" xfId="66" applyNumberFormat="1" applyFont="1" applyFill="1" applyBorder="1" applyAlignment="1">
      <alignment horizontal="right" vertical="center" indent="1"/>
    </xf>
    <xf numFmtId="3" fontId="175" fillId="29" borderId="14" xfId="66" applyNumberFormat="1" applyFont="1" applyFill="1" applyBorder="1" applyAlignment="1">
      <alignment horizontal="right" vertical="center" indent="1"/>
    </xf>
    <xf numFmtId="3" fontId="175" fillId="29" borderId="10" xfId="66" applyNumberFormat="1" applyFont="1" applyFill="1" applyBorder="1" applyAlignment="1">
      <alignment horizontal="right" vertical="center" indent="1"/>
    </xf>
    <xf numFmtId="0" fontId="176" fillId="29" borderId="18" xfId="66" applyFont="1" applyFill="1" applyBorder="1" applyAlignment="1">
      <alignment horizontal="center" vertical="center"/>
    </xf>
    <xf numFmtId="3" fontId="176" fillId="29" borderId="13" xfId="66" applyNumberFormat="1" applyFont="1" applyFill="1" applyBorder="1" applyAlignment="1">
      <alignment horizontal="right" vertical="center" indent="1"/>
    </xf>
    <xf numFmtId="3" fontId="176" fillId="29" borderId="14" xfId="66" applyNumberFormat="1" applyFont="1" applyFill="1" applyBorder="1" applyAlignment="1">
      <alignment horizontal="right" vertical="center" indent="1"/>
    </xf>
    <xf numFmtId="3" fontId="176" fillId="29" borderId="10" xfId="66" applyNumberFormat="1" applyFont="1" applyFill="1" applyBorder="1" applyAlignment="1">
      <alignment horizontal="right" vertical="center" indent="1"/>
    </xf>
    <xf numFmtId="0" fontId="179" fillId="29" borderId="18" xfId="66" applyFont="1" applyFill="1" applyBorder="1" applyAlignment="1">
      <alignment horizontal="center" vertical="center"/>
    </xf>
    <xf numFmtId="3" fontId="179" fillId="29" borderId="13" xfId="66" applyNumberFormat="1" applyFont="1" applyFill="1" applyBorder="1" applyAlignment="1">
      <alignment horizontal="right" vertical="center" indent="1"/>
    </xf>
    <xf numFmtId="3" fontId="179" fillId="29" borderId="14" xfId="66" applyNumberFormat="1" applyFont="1" applyFill="1" applyBorder="1" applyAlignment="1">
      <alignment horizontal="right" vertical="center" indent="1"/>
    </xf>
    <xf numFmtId="3" fontId="179" fillId="29" borderId="10" xfId="66" applyNumberFormat="1" applyFont="1" applyFill="1" applyBorder="1" applyAlignment="1">
      <alignment horizontal="right" vertical="center" indent="1"/>
    </xf>
    <xf numFmtId="0" fontId="177" fillId="29" borderId="18" xfId="66" applyFont="1" applyFill="1" applyBorder="1" applyAlignment="1">
      <alignment horizontal="center" vertical="center"/>
    </xf>
    <xf numFmtId="3" fontId="177" fillId="29" borderId="13" xfId="66" applyNumberFormat="1" applyFont="1" applyFill="1" applyBorder="1" applyAlignment="1">
      <alignment horizontal="right" vertical="center" indent="1"/>
    </xf>
    <xf numFmtId="3" fontId="177" fillId="29" borderId="14" xfId="66" applyNumberFormat="1" applyFont="1" applyFill="1" applyBorder="1" applyAlignment="1">
      <alignment horizontal="right" vertical="center" indent="1"/>
    </xf>
    <xf numFmtId="3" fontId="177" fillId="29" borderId="10" xfId="66" applyNumberFormat="1" applyFont="1" applyFill="1" applyBorder="1" applyAlignment="1">
      <alignment horizontal="right" vertical="center" indent="1"/>
    </xf>
    <xf numFmtId="1" fontId="177" fillId="29" borderId="13" xfId="66" applyNumberFormat="1" applyFont="1" applyFill="1" applyBorder="1" applyAlignment="1">
      <alignment horizontal="right" vertical="center" indent="1"/>
    </xf>
    <xf numFmtId="1" fontId="177" fillId="29" borderId="14" xfId="66" applyNumberFormat="1" applyFont="1" applyFill="1" applyBorder="1" applyAlignment="1">
      <alignment horizontal="right" vertical="center" indent="1"/>
    </xf>
    <xf numFmtId="1" fontId="177" fillId="29" borderId="10" xfId="66" applyNumberFormat="1" applyFont="1" applyFill="1" applyBorder="1" applyAlignment="1">
      <alignment horizontal="right" vertical="center" indent="1"/>
    </xf>
    <xf numFmtId="1" fontId="179" fillId="29" borderId="13" xfId="66" applyNumberFormat="1" applyFont="1" applyFill="1" applyBorder="1" applyAlignment="1">
      <alignment horizontal="right" vertical="center" indent="1"/>
    </xf>
    <xf numFmtId="1" fontId="179" fillId="29" borderId="14" xfId="66" applyNumberFormat="1" applyFont="1" applyFill="1" applyBorder="1" applyAlignment="1">
      <alignment horizontal="right" vertical="center" indent="1"/>
    </xf>
    <xf numFmtId="1" fontId="179" fillId="29" borderId="10" xfId="66" applyNumberFormat="1" applyFont="1" applyFill="1" applyBorder="1" applyAlignment="1">
      <alignment horizontal="right" vertical="center" indent="1"/>
    </xf>
    <xf numFmtId="1" fontId="175" fillId="29" borderId="13" xfId="66" applyNumberFormat="1" applyFont="1" applyFill="1" applyBorder="1" applyAlignment="1">
      <alignment horizontal="right" vertical="center" indent="1"/>
    </xf>
    <xf numFmtId="1" fontId="175" fillId="29" borderId="14" xfId="66" applyNumberFormat="1" applyFont="1" applyFill="1" applyBorder="1" applyAlignment="1">
      <alignment horizontal="right" vertical="center" indent="1"/>
    </xf>
    <xf numFmtId="1" fontId="175" fillId="29" borderId="10" xfId="66" applyNumberFormat="1" applyFont="1" applyFill="1" applyBorder="1" applyAlignment="1">
      <alignment horizontal="right" vertical="center" indent="1"/>
    </xf>
    <xf numFmtId="0" fontId="177" fillId="29" borderId="13" xfId="66" applyFont="1" applyFill="1" applyBorder="1" applyAlignment="1">
      <alignment horizontal="center" vertical="center"/>
    </xf>
    <xf numFmtId="0" fontId="176" fillId="29" borderId="13" xfId="66" applyFont="1" applyFill="1" applyBorder="1" applyAlignment="1">
      <alignment horizontal="center" vertical="center"/>
    </xf>
    <xf numFmtId="0" fontId="179" fillId="29" borderId="13" xfId="66" applyFont="1" applyFill="1" applyBorder="1" applyAlignment="1">
      <alignment horizontal="center" vertical="center"/>
    </xf>
    <xf numFmtId="0" fontId="175" fillId="29" borderId="13" xfId="66" applyFont="1" applyFill="1" applyBorder="1" applyAlignment="1">
      <alignment horizontal="center" vertical="center"/>
    </xf>
    <xf numFmtId="3" fontId="176" fillId="29" borderId="18" xfId="66" applyNumberFormat="1" applyFont="1" applyFill="1" applyBorder="1" applyAlignment="1">
      <alignment horizontal="right" vertical="center" indent="1"/>
    </xf>
    <xf numFmtId="3" fontId="177" fillId="29" borderId="18" xfId="66" applyNumberFormat="1" applyFont="1" applyFill="1" applyBorder="1" applyAlignment="1">
      <alignment horizontal="right" vertical="center" indent="1"/>
    </xf>
    <xf numFmtId="3" fontId="179" fillId="29" borderId="18" xfId="66" applyNumberFormat="1" applyFont="1" applyFill="1" applyBorder="1" applyAlignment="1">
      <alignment horizontal="right" vertical="center" indent="1"/>
    </xf>
    <xf numFmtId="3" fontId="175" fillId="29" borderId="18" xfId="66" applyNumberFormat="1" applyFont="1" applyFill="1" applyBorder="1" applyAlignment="1">
      <alignment horizontal="right" vertical="center" indent="1"/>
    </xf>
    <xf numFmtId="1" fontId="176" fillId="29" borderId="13" xfId="66" applyNumberFormat="1" applyFont="1" applyFill="1" applyBorder="1" applyAlignment="1">
      <alignment horizontal="right" vertical="center" indent="1"/>
    </xf>
    <xf numFmtId="1" fontId="176" fillId="29" borderId="14" xfId="66" applyNumberFormat="1" applyFont="1" applyFill="1" applyBorder="1" applyAlignment="1">
      <alignment horizontal="right" vertical="center" indent="1"/>
    </xf>
    <xf numFmtId="1" fontId="176" fillId="29" borderId="10" xfId="66" applyNumberFormat="1" applyFont="1" applyFill="1" applyBorder="1" applyAlignment="1">
      <alignment horizontal="right" vertical="center" indent="1"/>
    </xf>
    <xf numFmtId="0" fontId="179" fillId="29" borderId="50" xfId="0" applyFont="1" applyFill="1" applyBorder="1" applyAlignment="1">
      <alignment horizontal="center" vertical="center" wrapText="1" readingOrder="1"/>
    </xf>
    <xf numFmtId="3" fontId="179" fillId="29" borderId="27" xfId="0" applyNumberFormat="1" applyFont="1" applyFill="1" applyBorder="1" applyAlignment="1">
      <alignment horizontal="right" vertical="center" wrapText="1" indent="1"/>
    </xf>
    <xf numFmtId="3" fontId="179" fillId="29" borderId="37" xfId="0" applyNumberFormat="1" applyFont="1" applyFill="1" applyBorder="1" applyAlignment="1">
      <alignment horizontal="right" vertical="center" wrapText="1" indent="1"/>
    </xf>
    <xf numFmtId="3" fontId="179" fillId="29" borderId="42" xfId="0" applyNumberFormat="1" applyFont="1" applyFill="1" applyBorder="1" applyAlignment="1">
      <alignment horizontal="right" vertical="center" wrapText="1" indent="1"/>
    </xf>
    <xf numFmtId="0" fontId="175" fillId="29" borderId="50" xfId="0" applyFont="1" applyFill="1" applyBorder="1" applyAlignment="1">
      <alignment horizontal="center" vertical="center" wrapText="1" readingOrder="1"/>
    </xf>
    <xf numFmtId="3" fontId="175" fillId="29" borderId="27" xfId="0" applyNumberFormat="1" applyFont="1" applyFill="1" applyBorder="1" applyAlignment="1">
      <alignment horizontal="right" vertical="center" wrapText="1" indent="1"/>
    </xf>
    <xf numFmtId="3" fontId="175" fillId="29" borderId="37" xfId="0" applyNumberFormat="1" applyFont="1" applyFill="1" applyBorder="1" applyAlignment="1">
      <alignment horizontal="right" vertical="center" wrapText="1" indent="1"/>
    </xf>
    <xf numFmtId="3" fontId="175" fillId="29" borderId="42" xfId="0" applyNumberFormat="1" applyFont="1" applyFill="1" applyBorder="1" applyAlignment="1">
      <alignment horizontal="right" vertical="center" wrapText="1" indent="1"/>
    </xf>
    <xf numFmtId="0" fontId="176" fillId="29" borderId="50" xfId="0" applyFont="1" applyFill="1" applyBorder="1" applyAlignment="1">
      <alignment horizontal="center" vertical="center" wrapText="1" readingOrder="1"/>
    </xf>
    <xf numFmtId="3" fontId="176" fillId="29" borderId="27" xfId="0" applyNumberFormat="1" applyFont="1" applyFill="1" applyBorder="1" applyAlignment="1">
      <alignment horizontal="right" vertical="center" wrapText="1" indent="1"/>
    </xf>
    <xf numFmtId="3" fontId="176" fillId="29" borderId="37" xfId="0" applyNumberFormat="1" applyFont="1" applyFill="1" applyBorder="1" applyAlignment="1">
      <alignment horizontal="right" vertical="center" wrapText="1" indent="1"/>
    </xf>
    <xf numFmtId="3" fontId="176" fillId="29" borderId="42" xfId="0" applyNumberFormat="1" applyFont="1" applyFill="1" applyBorder="1" applyAlignment="1">
      <alignment horizontal="right" vertical="center" wrapText="1" indent="1"/>
    </xf>
    <xf numFmtId="0" fontId="177" fillId="23" borderId="50" xfId="0" applyFont="1" applyFill="1" applyBorder="1" applyAlignment="1">
      <alignment horizontal="center" vertical="center" wrapText="1" readingOrder="1"/>
    </xf>
    <xf numFmtId="3" fontId="177" fillId="23" borderId="27" xfId="0" applyNumberFormat="1" applyFont="1" applyFill="1" applyBorder="1" applyAlignment="1">
      <alignment horizontal="right" vertical="center" wrapText="1" indent="1"/>
    </xf>
    <xf numFmtId="3" fontId="177" fillId="23" borderId="37" xfId="0" applyNumberFormat="1" applyFont="1" applyFill="1" applyBorder="1" applyAlignment="1">
      <alignment horizontal="right" vertical="center" wrapText="1" indent="1"/>
    </xf>
    <xf numFmtId="3" fontId="177" fillId="23" borderId="42" xfId="0" applyNumberFormat="1" applyFont="1" applyFill="1" applyBorder="1" applyAlignment="1">
      <alignment horizontal="right" vertical="center" wrapText="1" indent="1"/>
    </xf>
    <xf numFmtId="0" fontId="177" fillId="23" borderId="32" xfId="464" applyFont="1" applyFill="1" applyBorder="1" applyAlignment="1">
      <alignment horizontal="center" vertical="center"/>
    </xf>
    <xf numFmtId="0" fontId="177" fillId="23" borderId="27" xfId="464" applyFont="1" applyFill="1" applyBorder="1" applyAlignment="1">
      <alignment horizontal="center" vertical="center"/>
    </xf>
    <xf numFmtId="0" fontId="177" fillId="23" borderId="42" xfId="464" applyFont="1" applyFill="1" applyBorder="1" applyAlignment="1">
      <alignment horizontal="center" vertical="center"/>
    </xf>
    <xf numFmtId="0" fontId="179" fillId="23" borderId="32" xfId="464" applyFont="1" applyFill="1" applyBorder="1" applyAlignment="1">
      <alignment horizontal="center" vertical="center"/>
    </xf>
    <xf numFmtId="0" fontId="179" fillId="23" borderId="27" xfId="464" applyFont="1" applyFill="1" applyBorder="1" applyAlignment="1">
      <alignment horizontal="center" vertical="center"/>
    </xf>
    <xf numFmtId="0" fontId="179" fillId="23" borderId="42" xfId="464" applyFont="1" applyFill="1" applyBorder="1" applyAlignment="1">
      <alignment horizontal="center" vertical="center"/>
    </xf>
    <xf numFmtId="0" fontId="176" fillId="23" borderId="32" xfId="464" applyFont="1" applyFill="1" applyBorder="1" applyAlignment="1">
      <alignment horizontal="center" vertical="center"/>
    </xf>
    <xf numFmtId="0" fontId="176" fillId="23" borderId="27" xfId="464" applyFont="1" applyFill="1" applyBorder="1" applyAlignment="1">
      <alignment horizontal="center" vertical="center"/>
    </xf>
    <xf numFmtId="0" fontId="176" fillId="23" borderId="42" xfId="464" applyFont="1" applyFill="1" applyBorder="1" applyAlignment="1">
      <alignment horizontal="center" vertical="center"/>
    </xf>
    <xf numFmtId="0" fontId="175" fillId="23" borderId="32" xfId="464" applyFont="1" applyFill="1" applyBorder="1" applyAlignment="1">
      <alignment horizontal="center" vertical="center"/>
    </xf>
    <xf numFmtId="0" fontId="175" fillId="23" borderId="27" xfId="464" applyFont="1" applyFill="1" applyBorder="1" applyAlignment="1">
      <alignment horizontal="center" vertical="center"/>
    </xf>
    <xf numFmtId="0" fontId="175" fillId="23" borderId="42" xfId="464" applyFont="1" applyFill="1" applyBorder="1" applyAlignment="1">
      <alignment horizontal="center" vertical="center"/>
    </xf>
    <xf numFmtId="0" fontId="175" fillId="23" borderId="27" xfId="638" applyFont="1" applyFill="1" applyBorder="1" applyAlignment="1">
      <alignment horizontal="center" vertical="center"/>
    </xf>
    <xf numFmtId="0" fontId="175" fillId="23" borderId="27" xfId="638" applyFont="1" applyFill="1" applyBorder="1" applyAlignment="1">
      <alignment horizontal="right" vertical="center" indent="1"/>
    </xf>
    <xf numFmtId="0" fontId="175" fillId="23" borderId="37" xfId="638" applyFont="1" applyFill="1" applyBorder="1" applyAlignment="1">
      <alignment horizontal="right" vertical="center" indent="1"/>
    </xf>
    <xf numFmtId="0" fontId="175" fillId="23" borderId="42" xfId="638" applyFont="1" applyFill="1" applyBorder="1" applyAlignment="1">
      <alignment horizontal="right" vertical="center" indent="1"/>
    </xf>
    <xf numFmtId="3" fontId="175" fillId="23" borderId="27" xfId="638" applyNumberFormat="1" applyFont="1" applyFill="1" applyBorder="1" applyAlignment="1">
      <alignment horizontal="right" vertical="center" indent="1"/>
    </xf>
    <xf numFmtId="3" fontId="175" fillId="23" borderId="37" xfId="638" applyNumberFormat="1" applyFont="1" applyFill="1" applyBorder="1" applyAlignment="1">
      <alignment horizontal="right" vertical="center" indent="1"/>
    </xf>
    <xf numFmtId="3" fontId="175" fillId="23" borderId="42" xfId="638" applyNumberFormat="1" applyFont="1" applyFill="1" applyBorder="1" applyAlignment="1">
      <alignment horizontal="right" vertical="center" indent="1"/>
    </xf>
    <xf numFmtId="3" fontId="175" fillId="23" borderId="37" xfId="635" applyNumberFormat="1" applyFont="1" applyFill="1" applyBorder="1" applyAlignment="1">
      <alignment horizontal="right" vertical="center" indent="1"/>
    </xf>
    <xf numFmtId="3" fontId="175" fillId="23" borderId="42" xfId="635" applyNumberFormat="1" applyFont="1" applyFill="1" applyBorder="1" applyAlignment="1">
      <alignment horizontal="right" vertical="center" indent="1"/>
    </xf>
    <xf numFmtId="0" fontId="176" fillId="23" borderId="27" xfId="638" applyFont="1" applyFill="1" applyBorder="1" applyAlignment="1">
      <alignment horizontal="center" vertical="center"/>
    </xf>
    <xf numFmtId="0" fontId="176" fillId="23" borderId="27" xfId="638" applyFont="1" applyFill="1" applyBorder="1" applyAlignment="1">
      <alignment horizontal="right" vertical="center" indent="1"/>
    </xf>
    <xf numFmtId="0" fontId="176" fillId="23" borderId="37" xfId="638" applyFont="1" applyFill="1" applyBorder="1" applyAlignment="1">
      <alignment horizontal="right" vertical="center" indent="1"/>
    </xf>
    <xf numFmtId="0" fontId="176" fillId="23" borderId="42" xfId="638" applyFont="1" applyFill="1" applyBorder="1" applyAlignment="1">
      <alignment horizontal="right" vertical="center" indent="1"/>
    </xf>
    <xf numFmtId="3" fontId="176" fillId="23" borderId="27" xfId="638" applyNumberFormat="1" applyFont="1" applyFill="1" applyBorder="1" applyAlignment="1">
      <alignment horizontal="right" vertical="center" indent="1"/>
    </xf>
    <xf numFmtId="3" fontId="176" fillId="23" borderId="37" xfId="638" applyNumberFormat="1" applyFont="1" applyFill="1" applyBorder="1" applyAlignment="1">
      <alignment horizontal="right" vertical="center" indent="1"/>
    </xf>
    <xf numFmtId="3" fontId="176" fillId="23" borderId="42" xfId="638" applyNumberFormat="1" applyFont="1" applyFill="1" applyBorder="1" applyAlignment="1">
      <alignment horizontal="right" vertical="center" indent="1"/>
    </xf>
    <xf numFmtId="3" fontId="176" fillId="23" borderId="37" xfId="635" applyNumberFormat="1" applyFont="1" applyFill="1" applyBorder="1" applyAlignment="1">
      <alignment horizontal="right" vertical="center" indent="1"/>
    </xf>
    <xf numFmtId="3" fontId="176" fillId="23" borderId="42" xfId="635" applyNumberFormat="1" applyFont="1" applyFill="1" applyBorder="1" applyAlignment="1">
      <alignment horizontal="right" vertical="center" indent="1"/>
    </xf>
    <xf numFmtId="0" fontId="179" fillId="23" borderId="27" xfId="638" applyFont="1" applyFill="1" applyBorder="1" applyAlignment="1">
      <alignment horizontal="center" vertical="center"/>
    </xf>
    <xf numFmtId="0" fontId="179" fillId="23" borderId="27" xfId="638" applyFont="1" applyFill="1" applyBorder="1" applyAlignment="1">
      <alignment horizontal="right" vertical="center" indent="1"/>
    </xf>
    <xf numFmtId="0" fontId="179" fillId="23" borderId="37" xfId="638" applyFont="1" applyFill="1" applyBorder="1" applyAlignment="1">
      <alignment horizontal="right" vertical="center" indent="1"/>
    </xf>
    <xf numFmtId="0" fontId="179" fillId="23" borderId="42" xfId="638" applyFont="1" applyFill="1" applyBorder="1" applyAlignment="1">
      <alignment horizontal="right" vertical="center" indent="1"/>
    </xf>
    <xf numFmtId="3" fontId="179" fillId="23" borderId="27" xfId="638" applyNumberFormat="1" applyFont="1" applyFill="1" applyBorder="1" applyAlignment="1">
      <alignment horizontal="right" vertical="center" indent="1"/>
    </xf>
    <xf numFmtId="3" fontId="179" fillId="23" borderId="37" xfId="638" applyNumberFormat="1" applyFont="1" applyFill="1" applyBorder="1" applyAlignment="1">
      <alignment horizontal="right" vertical="center" indent="1"/>
    </xf>
    <xf numFmtId="3" fontId="179" fillId="23" borderId="42" xfId="638" applyNumberFormat="1" applyFont="1" applyFill="1" applyBorder="1" applyAlignment="1">
      <alignment horizontal="right" vertical="center" indent="1"/>
    </xf>
    <xf numFmtId="3" fontId="179" fillId="23" borderId="37" xfId="635" applyNumberFormat="1" applyFont="1" applyFill="1" applyBorder="1" applyAlignment="1">
      <alignment horizontal="right" vertical="center" indent="1"/>
    </xf>
    <xf numFmtId="3" fontId="179" fillId="23" borderId="42" xfId="635" applyNumberFormat="1" applyFont="1" applyFill="1" applyBorder="1" applyAlignment="1">
      <alignment horizontal="right" vertical="center" indent="1"/>
    </xf>
    <xf numFmtId="0" fontId="178" fillId="23" borderId="27" xfId="638" applyFont="1" applyFill="1" applyBorder="1" applyAlignment="1">
      <alignment horizontal="center" vertical="center"/>
    </xf>
    <xf numFmtId="0" fontId="178" fillId="23" borderId="27" xfId="638" applyFont="1" applyFill="1" applyBorder="1" applyAlignment="1">
      <alignment horizontal="right" vertical="center" indent="1"/>
    </xf>
    <xf numFmtId="0" fontId="178" fillId="23" borderId="37" xfId="638" applyFont="1" applyFill="1" applyBorder="1" applyAlignment="1">
      <alignment horizontal="right" vertical="center" indent="1"/>
    </xf>
    <xf numFmtId="0" fontId="178" fillId="23" borderId="42" xfId="638" applyFont="1" applyFill="1" applyBorder="1" applyAlignment="1">
      <alignment horizontal="right" vertical="center" indent="1"/>
    </xf>
    <xf numFmtId="3" fontId="178" fillId="23" borderId="27" xfId="638" applyNumberFormat="1" applyFont="1" applyFill="1" applyBorder="1" applyAlignment="1">
      <alignment horizontal="right" vertical="center" indent="1"/>
    </xf>
    <xf numFmtId="3" fontId="178" fillId="23" borderId="37" xfId="638" applyNumberFormat="1" applyFont="1" applyFill="1" applyBorder="1" applyAlignment="1">
      <alignment horizontal="right" vertical="center" indent="1"/>
    </xf>
    <xf numFmtId="3" fontId="178" fillId="23" borderId="42" xfId="638" applyNumberFormat="1" applyFont="1" applyFill="1" applyBorder="1" applyAlignment="1">
      <alignment horizontal="right" vertical="center" indent="1"/>
    </xf>
    <xf numFmtId="3" fontId="178" fillId="23" borderId="37" xfId="635" applyNumberFormat="1" applyFont="1" applyFill="1" applyBorder="1" applyAlignment="1">
      <alignment horizontal="right" vertical="center" indent="1"/>
    </xf>
    <xf numFmtId="3" fontId="178" fillId="23" borderId="42" xfId="635" applyNumberFormat="1" applyFont="1" applyFill="1" applyBorder="1" applyAlignment="1">
      <alignment horizontal="right" vertical="center" indent="1"/>
    </xf>
    <xf numFmtId="0" fontId="177" fillId="23" borderId="27" xfId="638" applyFont="1" applyFill="1" applyBorder="1" applyAlignment="1">
      <alignment horizontal="center" vertical="center"/>
    </xf>
    <xf numFmtId="0" fontId="177" fillId="23" borderId="27" xfId="638" applyFont="1" applyFill="1" applyBorder="1" applyAlignment="1">
      <alignment horizontal="right" vertical="center" indent="1"/>
    </xf>
    <xf numFmtId="0" fontId="177" fillId="23" borderId="37" xfId="638" applyFont="1" applyFill="1" applyBorder="1" applyAlignment="1">
      <alignment horizontal="right" vertical="center" indent="1"/>
    </xf>
    <xf numFmtId="0" fontId="177" fillId="23" borderId="42" xfId="638" applyFont="1" applyFill="1" applyBorder="1" applyAlignment="1">
      <alignment horizontal="right" vertical="center" indent="1"/>
    </xf>
    <xf numFmtId="3" fontId="177" fillId="23" borderId="27" xfId="638" applyNumberFormat="1" applyFont="1" applyFill="1" applyBorder="1" applyAlignment="1">
      <alignment horizontal="right" vertical="center" indent="1"/>
    </xf>
    <xf numFmtId="3" fontId="177" fillId="23" borderId="37" xfId="638" applyNumberFormat="1" applyFont="1" applyFill="1" applyBorder="1" applyAlignment="1">
      <alignment horizontal="right" vertical="center" indent="1"/>
    </xf>
    <xf numFmtId="3" fontId="177" fillId="23" borderId="42" xfId="638" applyNumberFormat="1" applyFont="1" applyFill="1" applyBorder="1" applyAlignment="1">
      <alignment horizontal="right" vertical="center" indent="1"/>
    </xf>
    <xf numFmtId="3" fontId="177" fillId="23" borderId="37" xfId="635" applyNumberFormat="1" applyFont="1" applyFill="1" applyBorder="1" applyAlignment="1">
      <alignment horizontal="right" vertical="center" indent="1"/>
    </xf>
    <xf numFmtId="3" fontId="177" fillId="23" borderId="42" xfId="635" applyNumberFormat="1" applyFont="1" applyFill="1" applyBorder="1" applyAlignment="1">
      <alignment horizontal="right" vertical="center" indent="1"/>
    </xf>
    <xf numFmtId="0" fontId="179" fillId="23" borderId="32" xfId="635" applyFont="1" applyFill="1" applyBorder="1" applyAlignment="1">
      <alignment horizontal="center" vertical="center"/>
    </xf>
    <xf numFmtId="0" fontId="179" fillId="23" borderId="27" xfId="635" applyFont="1" applyFill="1" applyBorder="1" applyAlignment="1">
      <alignment horizontal="right" vertical="center" indent="1"/>
    </xf>
    <xf numFmtId="0" fontId="179" fillId="23" borderId="37" xfId="635" applyFont="1" applyFill="1" applyBorder="1" applyAlignment="1">
      <alignment horizontal="right" vertical="center" indent="1"/>
    </xf>
    <xf numFmtId="0" fontId="179" fillId="23" borderId="42" xfId="635" applyFont="1" applyFill="1" applyBorder="1" applyAlignment="1">
      <alignment horizontal="right" vertical="center" indent="1"/>
    </xf>
    <xf numFmtId="3" fontId="179" fillId="23" borderId="27" xfId="635" applyNumberFormat="1" applyFont="1" applyFill="1" applyBorder="1" applyAlignment="1">
      <alignment horizontal="right" vertical="center" indent="1"/>
    </xf>
    <xf numFmtId="3" fontId="178" fillId="23" borderId="27" xfId="635" applyNumberFormat="1" applyFont="1" applyFill="1" applyBorder="1" applyAlignment="1">
      <alignment horizontal="right" vertical="center" indent="1"/>
    </xf>
    <xf numFmtId="0" fontId="177" fillId="23" borderId="32" xfId="635" applyFont="1" applyFill="1" applyBorder="1" applyAlignment="1">
      <alignment horizontal="center" vertical="center"/>
    </xf>
    <xf numFmtId="0" fontId="177" fillId="23" borderId="27" xfId="635" applyFont="1" applyFill="1" applyBorder="1" applyAlignment="1">
      <alignment horizontal="right" vertical="center" indent="1"/>
    </xf>
    <xf numFmtId="0" fontId="177" fillId="23" borderId="37" xfId="635" applyFont="1" applyFill="1" applyBorder="1" applyAlignment="1">
      <alignment horizontal="right" vertical="center" indent="1"/>
    </xf>
    <xf numFmtId="0" fontId="177" fillId="23" borderId="42" xfId="635" applyFont="1" applyFill="1" applyBorder="1" applyAlignment="1">
      <alignment horizontal="right" vertical="center" indent="1"/>
    </xf>
    <xf numFmtId="3" fontId="177" fillId="23" borderId="27" xfId="635" applyNumberFormat="1" applyFont="1" applyFill="1" applyBorder="1" applyAlignment="1">
      <alignment horizontal="right" vertical="center" indent="1"/>
    </xf>
    <xf numFmtId="0" fontId="176" fillId="23" borderId="32" xfId="635" applyFont="1" applyFill="1" applyBorder="1" applyAlignment="1">
      <alignment horizontal="center" vertical="center"/>
    </xf>
    <xf numFmtId="0" fontId="176" fillId="23" borderId="27" xfId="635" applyFont="1" applyFill="1" applyBorder="1" applyAlignment="1">
      <alignment horizontal="right" vertical="center" indent="1"/>
    </xf>
    <xf numFmtId="0" fontId="176" fillId="23" borderId="37" xfId="635" applyFont="1" applyFill="1" applyBorder="1" applyAlignment="1">
      <alignment horizontal="right" vertical="center" indent="1"/>
    </xf>
    <xf numFmtId="0" fontId="176" fillId="23" borderId="42" xfId="635" applyFont="1" applyFill="1" applyBorder="1" applyAlignment="1">
      <alignment horizontal="right" vertical="center" indent="1"/>
    </xf>
    <xf numFmtId="3" fontId="176" fillId="23" borderId="27" xfId="635" applyNumberFormat="1" applyFont="1" applyFill="1" applyBorder="1" applyAlignment="1">
      <alignment horizontal="right" vertical="center" indent="1"/>
    </xf>
    <xf numFmtId="0" fontId="175" fillId="23" borderId="32" xfId="635" applyFont="1" applyFill="1" applyBorder="1" applyAlignment="1">
      <alignment horizontal="center" vertical="center"/>
    </xf>
    <xf numFmtId="0" fontId="175" fillId="23" borderId="27" xfId="635" applyFont="1" applyFill="1" applyBorder="1" applyAlignment="1">
      <alignment horizontal="right" vertical="center" indent="1"/>
    </xf>
    <xf numFmtId="0" fontId="175" fillId="23" borderId="37" xfId="635" applyFont="1" applyFill="1" applyBorder="1" applyAlignment="1">
      <alignment horizontal="right" vertical="center" indent="1"/>
    </xf>
    <xf numFmtId="0" fontId="175" fillId="23" borderId="42" xfId="635" applyFont="1" applyFill="1" applyBorder="1" applyAlignment="1">
      <alignment horizontal="right" vertical="center" indent="1"/>
    </xf>
    <xf numFmtId="3" fontId="175" fillId="23" borderId="27" xfId="635" applyNumberFormat="1" applyFont="1" applyFill="1" applyBorder="1" applyAlignment="1">
      <alignment horizontal="right" vertical="center" indent="1"/>
    </xf>
    <xf numFmtId="0" fontId="177" fillId="23" borderId="10" xfId="0" applyFont="1" applyFill="1" applyBorder="1" applyAlignment="1">
      <alignment horizontal="center"/>
    </xf>
    <xf numFmtId="3" fontId="177" fillId="23" borderId="18" xfId="0" applyNumberFormat="1" applyFont="1" applyFill="1" applyBorder="1" applyAlignment="1">
      <alignment horizontal="right" indent="1"/>
    </xf>
    <xf numFmtId="0" fontId="178" fillId="23" borderId="10" xfId="0" applyFont="1" applyFill="1" applyBorder="1" applyAlignment="1">
      <alignment horizontal="center"/>
    </xf>
    <xf numFmtId="3" fontId="178" fillId="23" borderId="13" xfId="0" applyNumberFormat="1" applyFont="1" applyFill="1" applyBorder="1" applyAlignment="1">
      <alignment horizontal="right" indent="1"/>
    </xf>
    <xf numFmtId="3" fontId="178" fillId="23" borderId="14" xfId="0" applyNumberFormat="1" applyFont="1" applyFill="1" applyBorder="1" applyAlignment="1">
      <alignment horizontal="right" indent="1"/>
    </xf>
    <xf numFmtId="3" fontId="178" fillId="23" borderId="18" xfId="0" applyNumberFormat="1" applyFont="1" applyFill="1" applyBorder="1" applyAlignment="1">
      <alignment horizontal="right" indent="1"/>
    </xf>
    <xf numFmtId="0" fontId="179" fillId="23" borderId="10" xfId="0" applyFont="1" applyFill="1" applyBorder="1" applyAlignment="1">
      <alignment horizontal="center"/>
    </xf>
    <xf numFmtId="3" fontId="179" fillId="23" borderId="18" xfId="0" applyNumberFormat="1" applyFont="1" applyFill="1" applyBorder="1" applyAlignment="1">
      <alignment horizontal="right" indent="1"/>
    </xf>
    <xf numFmtId="0" fontId="176" fillId="23" borderId="10" xfId="0" applyFont="1" applyFill="1" applyBorder="1" applyAlignment="1">
      <alignment horizontal="center"/>
    </xf>
    <xf numFmtId="3" fontId="176" fillId="23" borderId="18" xfId="0" applyNumberFormat="1" applyFont="1" applyFill="1" applyBorder="1" applyAlignment="1">
      <alignment horizontal="right" indent="1"/>
    </xf>
    <xf numFmtId="0" fontId="175" fillId="23" borderId="10" xfId="0" applyFont="1" applyFill="1" applyBorder="1" applyAlignment="1">
      <alignment horizontal="center"/>
    </xf>
    <xf numFmtId="3" fontId="175" fillId="23" borderId="18" xfId="0" applyNumberFormat="1" applyFont="1" applyFill="1" applyBorder="1" applyAlignment="1">
      <alignment horizontal="right" indent="1"/>
    </xf>
    <xf numFmtId="0" fontId="74" fillId="0" borderId="0" xfId="0" applyFont="1" applyAlignment="1">
      <alignment horizontal="justify" vertical="center"/>
    </xf>
    <xf numFmtId="0" fontId="81" fillId="0" borderId="0" xfId="0" applyFont="1" applyAlignment="1"/>
    <xf numFmtId="0" fontId="133" fillId="0" borderId="0" xfId="635" applyFont="1" applyAlignment="1">
      <alignment horizontal="right" vertical="center"/>
    </xf>
    <xf numFmtId="0" fontId="215" fillId="23" borderId="32" xfId="635" applyFont="1" applyFill="1" applyBorder="1" applyAlignment="1">
      <alignment horizontal="center" vertical="center"/>
    </xf>
    <xf numFmtId="0" fontId="215" fillId="23" borderId="27" xfId="635" applyFont="1" applyFill="1" applyBorder="1" applyAlignment="1">
      <alignment horizontal="right" vertical="center" indent="1"/>
    </xf>
    <xf numFmtId="0" fontId="215" fillId="23" borderId="37" xfId="635" applyFont="1" applyFill="1" applyBorder="1" applyAlignment="1">
      <alignment horizontal="right" vertical="center" indent="1"/>
    </xf>
    <xf numFmtId="0" fontId="215" fillId="23" borderId="42" xfId="635" applyFont="1" applyFill="1" applyBorder="1" applyAlignment="1">
      <alignment horizontal="right" vertical="center" indent="1"/>
    </xf>
    <xf numFmtId="3" fontId="215" fillId="23" borderId="27" xfId="635" applyNumberFormat="1" applyFont="1" applyFill="1" applyBorder="1" applyAlignment="1">
      <alignment horizontal="right" vertical="center" indent="1"/>
    </xf>
    <xf numFmtId="3" fontId="215" fillId="23" borderId="37" xfId="635" applyNumberFormat="1" applyFont="1" applyFill="1" applyBorder="1" applyAlignment="1">
      <alignment horizontal="right" vertical="center" indent="1"/>
    </xf>
    <xf numFmtId="3" fontId="215" fillId="23" borderId="42" xfId="635" applyNumberFormat="1" applyFont="1" applyFill="1" applyBorder="1" applyAlignment="1">
      <alignment horizontal="right" vertical="center" indent="1"/>
    </xf>
    <xf numFmtId="183" fontId="124" fillId="23" borderId="92" xfId="34" applyNumberFormat="1" applyFont="1" applyFill="1" applyBorder="1" applyAlignment="1">
      <alignment horizontal="center" vertical="center"/>
    </xf>
    <xf numFmtId="0" fontId="73" fillId="23" borderId="13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/>
    </xf>
    <xf numFmtId="0" fontId="175" fillId="0" borderId="19" xfId="0" applyFont="1" applyBorder="1" applyAlignment="1">
      <alignment horizontal="center" vertical="center"/>
    </xf>
    <xf numFmtId="0" fontId="179" fillId="0" borderId="21" xfId="0" applyFont="1" applyBorder="1" applyAlignment="1">
      <alignment horizontal="center" vertical="center"/>
    </xf>
    <xf numFmtId="0" fontId="176" fillId="0" borderId="19" xfId="0" applyFont="1" applyBorder="1" applyAlignment="1">
      <alignment horizontal="center" vertical="center"/>
    </xf>
    <xf numFmtId="0" fontId="178" fillId="0" borderId="19" xfId="0" applyFont="1" applyBorder="1" applyAlignment="1">
      <alignment horizontal="center" vertical="center"/>
    </xf>
    <xf numFmtId="0" fontId="144" fillId="0" borderId="104" xfId="66" applyFont="1" applyBorder="1" applyAlignment="1"/>
    <xf numFmtId="0" fontId="219" fillId="0" borderId="25" xfId="0" applyFont="1" applyBorder="1" applyAlignment="1">
      <alignment horizontal="center" vertical="center"/>
    </xf>
    <xf numFmtId="0" fontId="221" fillId="0" borderId="26" xfId="0" applyFont="1" applyBorder="1" applyAlignment="1">
      <alignment horizontal="center" vertical="center"/>
    </xf>
    <xf numFmtId="0" fontId="217" fillId="0" borderId="26" xfId="0" applyFont="1" applyBorder="1" applyAlignment="1">
      <alignment horizontal="center" vertical="center"/>
    </xf>
    <xf numFmtId="0" fontId="225" fillId="0" borderId="26" xfId="0" applyFont="1" applyBorder="1" applyAlignment="1">
      <alignment horizontal="center" vertical="center"/>
    </xf>
    <xf numFmtId="0" fontId="223" fillId="0" borderId="27" xfId="0" applyFont="1" applyBorder="1" applyAlignment="1">
      <alignment horizontal="center" vertical="center"/>
    </xf>
    <xf numFmtId="0" fontId="223" fillId="0" borderId="29" xfId="0" applyFont="1" applyBorder="1" applyAlignment="1">
      <alignment horizontal="center" vertical="center"/>
    </xf>
    <xf numFmtId="0" fontId="81" fillId="23" borderId="18" xfId="0" applyFont="1" applyFill="1" applyBorder="1" applyAlignment="1">
      <alignment horizontal="center" vertical="center" wrapText="1"/>
    </xf>
    <xf numFmtId="4" fontId="175" fillId="0" borderId="15" xfId="0" applyNumberFormat="1" applyFont="1" applyBorder="1" applyAlignment="1">
      <alignment vertical="center"/>
    </xf>
    <xf numFmtId="4" fontId="175" fillId="0" borderId="104" xfId="0" applyNumberFormat="1" applyFont="1" applyBorder="1" applyAlignment="1">
      <alignment vertical="center"/>
    </xf>
    <xf numFmtId="4" fontId="175" fillId="0" borderId="19" xfId="0" applyNumberFormat="1" applyFont="1" applyBorder="1" applyAlignment="1">
      <alignment vertical="center"/>
    </xf>
    <xf numFmtId="4" fontId="176" fillId="0" borderId="15" xfId="0" applyNumberFormat="1" applyFont="1" applyBorder="1" applyAlignment="1">
      <alignment vertical="center"/>
    </xf>
    <xf numFmtId="4" fontId="176" fillId="0" borderId="104" xfId="0" applyNumberFormat="1" applyFont="1" applyBorder="1" applyAlignment="1">
      <alignment vertical="center"/>
    </xf>
    <xf numFmtId="4" fontId="176" fillId="0" borderId="19" xfId="0" applyNumberFormat="1" applyFont="1" applyBorder="1" applyAlignment="1">
      <alignment vertical="center"/>
    </xf>
    <xf numFmtId="4" fontId="177" fillId="0" borderId="15" xfId="0" applyNumberFormat="1" applyFont="1" applyBorder="1" applyAlignment="1">
      <alignment vertical="center"/>
    </xf>
    <xf numFmtId="4" fontId="177" fillId="0" borderId="104" xfId="0" applyNumberFormat="1" applyFont="1" applyBorder="1" applyAlignment="1">
      <alignment vertical="center"/>
    </xf>
    <xf numFmtId="4" fontId="177" fillId="0" borderId="19" xfId="0" applyNumberFormat="1" applyFont="1" applyBorder="1" applyAlignment="1">
      <alignment vertical="center"/>
    </xf>
    <xf numFmtId="4" fontId="179" fillId="0" borderId="15" xfId="0" applyNumberFormat="1" applyFont="1" applyBorder="1" applyAlignment="1">
      <alignment vertical="center"/>
    </xf>
    <xf numFmtId="4" fontId="179" fillId="0" borderId="104" xfId="0" applyNumberFormat="1" applyFont="1" applyBorder="1" applyAlignment="1">
      <alignment vertical="center"/>
    </xf>
    <xf numFmtId="4" fontId="179" fillId="0" borderId="19" xfId="0" applyNumberFormat="1" applyFont="1" applyBorder="1" applyAlignment="1">
      <alignment vertical="center"/>
    </xf>
    <xf numFmtId="4" fontId="178" fillId="0" borderId="15" xfId="0" applyNumberFormat="1" applyFont="1" applyBorder="1" applyAlignment="1">
      <alignment vertical="center"/>
    </xf>
    <xf numFmtId="4" fontId="178" fillId="0" borderId="104" xfId="0" applyNumberFormat="1" applyFont="1" applyBorder="1" applyAlignment="1">
      <alignment vertical="center"/>
    </xf>
    <xf numFmtId="4" fontId="178" fillId="0" borderId="19" xfId="0" applyNumberFormat="1" applyFont="1" applyBorder="1" applyAlignment="1">
      <alignment vertical="center"/>
    </xf>
    <xf numFmtId="0" fontId="227" fillId="0" borderId="13" xfId="0" applyFont="1" applyBorder="1" applyAlignment="1">
      <alignment horizontal="center" vertical="center"/>
    </xf>
    <xf numFmtId="0" fontId="227" fillId="0" borderId="23" xfId="0" applyFont="1" applyBorder="1" applyAlignment="1">
      <alignment horizontal="center" vertical="center"/>
    </xf>
    <xf numFmtId="4" fontId="227" fillId="0" borderId="18" xfId="0" applyNumberFormat="1" applyFont="1" applyBorder="1" applyAlignment="1">
      <alignment vertical="center"/>
    </xf>
    <xf numFmtId="4" fontId="227" fillId="0" borderId="14" xfId="0" applyNumberFormat="1" applyFont="1" applyBorder="1" applyAlignment="1">
      <alignment vertical="center"/>
    </xf>
    <xf numFmtId="4" fontId="227" fillId="0" borderId="10" xfId="0" applyNumberFormat="1" applyFont="1" applyBorder="1" applyAlignment="1">
      <alignment vertical="center"/>
    </xf>
    <xf numFmtId="0" fontId="130" fillId="0" borderId="33" xfId="66" applyFont="1" applyBorder="1" applyAlignment="1">
      <alignment horizontal="center" vertical="center"/>
    </xf>
    <xf numFmtId="4" fontId="130" fillId="0" borderId="28" xfId="66" applyNumberFormat="1" applyFont="1" applyBorder="1" applyAlignment="1">
      <alignment horizontal="right" vertical="center"/>
    </xf>
    <xf numFmtId="4" fontId="130" fillId="0" borderId="38" xfId="66" applyNumberFormat="1" applyFont="1" applyBorder="1" applyAlignment="1">
      <alignment horizontal="right" vertical="center"/>
    </xf>
    <xf numFmtId="4" fontId="130" fillId="0" borderId="38" xfId="191" applyNumberFormat="1" applyFont="1" applyBorder="1" applyAlignment="1">
      <alignment horizontal="right" vertical="center"/>
    </xf>
    <xf numFmtId="4" fontId="130" fillId="0" borderId="43" xfId="66" applyNumberFormat="1" applyFont="1" applyBorder="1" applyAlignment="1">
      <alignment horizontal="right" vertical="center"/>
    </xf>
    <xf numFmtId="49" fontId="143" fillId="24" borderId="13" xfId="66" applyNumberFormat="1" applyFont="1" applyFill="1" applyBorder="1" applyAlignment="1">
      <alignment horizontal="center" vertical="center" wrapText="1"/>
    </xf>
    <xf numFmtId="49" fontId="143" fillId="24" borderId="14" xfId="66" applyNumberFormat="1" applyFont="1" applyFill="1" applyBorder="1" applyAlignment="1">
      <alignment horizontal="center" vertical="center" wrapText="1"/>
    </xf>
    <xf numFmtId="49" fontId="143" fillId="24" borderId="10" xfId="66" applyNumberFormat="1" applyFont="1" applyFill="1" applyBorder="1" applyAlignment="1">
      <alignment horizontal="center" vertical="center" wrapText="1"/>
    </xf>
    <xf numFmtId="0" fontId="145" fillId="0" borderId="0" xfId="66" applyFont="1" applyFill="1" applyBorder="1" applyAlignment="1">
      <alignment vertical="center"/>
    </xf>
    <xf numFmtId="0" fontId="160" fillId="0" borderId="0" xfId="66" applyFont="1" applyFill="1" applyBorder="1" applyAlignment="1">
      <alignment vertical="center"/>
    </xf>
    <xf numFmtId="0" fontId="131" fillId="0" borderId="104" xfId="66" applyFont="1" applyBorder="1" applyAlignment="1">
      <alignment horizontal="right" indent="1"/>
    </xf>
    <xf numFmtId="0" fontId="81" fillId="0" borderId="0" xfId="66" applyFont="1" applyAlignment="1">
      <alignment horizontal="right" indent="1"/>
    </xf>
    <xf numFmtId="0" fontId="81" fillId="0" borderId="0" xfId="66" applyFont="1" applyFill="1" applyBorder="1" applyAlignment="1">
      <alignment horizontal="right" indent="1"/>
    </xf>
    <xf numFmtId="3" fontId="216" fillId="0" borderId="0" xfId="66" applyNumberFormat="1" applyFont="1" applyAlignment="1">
      <alignment horizontal="right" vertical="center" indent="1"/>
    </xf>
    <xf numFmtId="0" fontId="175" fillId="23" borderId="23" xfId="0" applyFont="1" applyFill="1" applyBorder="1" applyAlignment="1">
      <alignment horizontal="center" vertical="center"/>
    </xf>
    <xf numFmtId="0" fontId="176" fillId="23" borderId="23" xfId="0" applyFont="1" applyFill="1" applyBorder="1" applyAlignment="1">
      <alignment horizontal="center" vertical="center"/>
    </xf>
    <xf numFmtId="0" fontId="179" fillId="23" borderId="23" xfId="0" applyFont="1" applyFill="1" applyBorder="1" applyAlignment="1">
      <alignment horizontal="center" vertical="center"/>
    </xf>
    <xf numFmtId="0" fontId="178" fillId="23" borderId="23" xfId="0" applyFont="1" applyFill="1" applyBorder="1" applyAlignment="1">
      <alignment horizontal="center" vertical="center"/>
    </xf>
    <xf numFmtId="0" fontId="177" fillId="23" borderId="23" xfId="0" applyFont="1" applyFill="1" applyBorder="1" applyAlignment="1">
      <alignment horizontal="center" vertical="center"/>
    </xf>
    <xf numFmtId="0" fontId="128" fillId="23" borderId="23" xfId="0" applyFont="1" applyFill="1" applyBorder="1" applyAlignment="1">
      <alignment horizontal="center" vertical="center"/>
    </xf>
    <xf numFmtId="169" fontId="206" fillId="23" borderId="13" xfId="67" applyNumberFormat="1" applyFont="1" applyFill="1" applyBorder="1" applyAlignment="1">
      <alignment horizontal="center" vertical="center"/>
    </xf>
    <xf numFmtId="169" fontId="206" fillId="23" borderId="14" xfId="67" applyNumberFormat="1" applyFont="1" applyFill="1" applyBorder="1" applyAlignment="1">
      <alignment horizontal="center" vertical="center"/>
    </xf>
    <xf numFmtId="169" fontId="206" fillId="23" borderId="10" xfId="67" applyNumberFormat="1" applyFont="1" applyFill="1" applyBorder="1" applyAlignment="1">
      <alignment horizontal="center" vertical="center"/>
    </xf>
    <xf numFmtId="9" fontId="187" fillId="0" borderId="17" xfId="57" applyNumberFormat="1" applyFont="1" applyFill="1" applyBorder="1" applyAlignment="1">
      <alignment vertical="center"/>
    </xf>
    <xf numFmtId="9" fontId="187" fillId="0" borderId="0" xfId="57" applyNumberFormat="1" applyFont="1" applyFill="1" applyBorder="1" applyAlignment="1">
      <alignment vertical="center"/>
    </xf>
    <xf numFmtId="170" fontId="187" fillId="0" borderId="16" xfId="57" applyNumberFormat="1" applyFont="1" applyFill="1" applyBorder="1" applyAlignment="1">
      <alignment vertical="center"/>
    </xf>
    <xf numFmtId="167" fontId="51" fillId="0" borderId="148" xfId="67" applyNumberFormat="1" applyFont="1" applyFill="1" applyBorder="1" applyAlignment="1">
      <alignment vertical="center"/>
    </xf>
    <xf numFmtId="167" fontId="132" fillId="0" borderId="149" xfId="67" applyNumberFormat="1" applyFont="1" applyFill="1" applyBorder="1" applyAlignment="1">
      <alignment vertical="center"/>
    </xf>
    <xf numFmtId="167" fontId="51" fillId="0" borderId="148" xfId="78" applyNumberFormat="1" applyFont="1" applyFill="1" applyBorder="1" applyAlignment="1">
      <alignment vertical="center"/>
    </xf>
    <xf numFmtId="167" fontId="132" fillId="0" borderId="149" xfId="78" applyNumberFormat="1" applyFont="1" applyFill="1" applyBorder="1" applyAlignment="1">
      <alignment vertical="center"/>
    </xf>
    <xf numFmtId="167" fontId="51" fillId="0" borderId="150" xfId="78" applyNumberFormat="1" applyFont="1" applyFill="1" applyBorder="1" applyAlignment="1">
      <alignment vertical="center"/>
    </xf>
    <xf numFmtId="170" fontId="187" fillId="0" borderId="151" xfId="57" applyNumberFormat="1" applyFont="1" applyFill="1" applyBorder="1" applyAlignment="1">
      <alignment vertical="center"/>
    </xf>
    <xf numFmtId="9" fontId="187" fillId="0" borderId="152" xfId="57" applyNumberFormat="1" applyFont="1" applyFill="1" applyBorder="1" applyAlignment="1">
      <alignment vertical="center"/>
    </xf>
    <xf numFmtId="9" fontId="187" fillId="0" borderId="151" xfId="57" applyNumberFormat="1" applyFont="1" applyFill="1" applyBorder="1" applyAlignment="1">
      <alignment vertical="center"/>
    </xf>
    <xf numFmtId="170" fontId="187" fillId="0" borderId="153" xfId="57" applyNumberFormat="1" applyFont="1" applyFill="1" applyBorder="1" applyAlignment="1">
      <alignment vertical="center"/>
    </xf>
    <xf numFmtId="167" fontId="132" fillId="23" borderId="11" xfId="67" applyNumberFormat="1" applyFont="1" applyFill="1" applyBorder="1" applyAlignment="1">
      <alignment vertical="center"/>
    </xf>
    <xf numFmtId="167" fontId="132" fillId="23" borderId="12" xfId="67" applyNumberFormat="1" applyFont="1" applyFill="1" applyBorder="1" applyAlignment="1">
      <alignment vertical="center"/>
    </xf>
    <xf numFmtId="167" fontId="132" fillId="23" borderId="11" xfId="78" applyNumberFormat="1" applyFont="1" applyFill="1" applyBorder="1" applyAlignment="1">
      <alignment vertical="center"/>
    </xf>
    <xf numFmtId="167" fontId="132" fillId="23" borderId="12" xfId="78" applyNumberFormat="1" applyFont="1" applyFill="1" applyBorder="1" applyAlignment="1">
      <alignment vertical="center"/>
    </xf>
    <xf numFmtId="167" fontId="132" fillId="23" borderId="15" xfId="78" applyNumberFormat="1" applyFont="1" applyFill="1" applyBorder="1" applyAlignment="1">
      <alignment vertical="center"/>
    </xf>
    <xf numFmtId="170" fontId="130" fillId="0" borderId="20" xfId="57" applyNumberFormat="1" applyFont="1" applyBorder="1" applyAlignment="1">
      <alignment vertical="center"/>
    </xf>
    <xf numFmtId="170" fontId="130" fillId="0" borderId="24" xfId="57" applyNumberFormat="1" applyFont="1" applyBorder="1" applyAlignment="1">
      <alignment vertical="center"/>
    </xf>
    <xf numFmtId="9" fontId="130" fillId="0" borderId="22" xfId="57" applyNumberFormat="1" applyFont="1" applyBorder="1" applyAlignment="1">
      <alignment vertical="center"/>
    </xf>
    <xf numFmtId="170" fontId="187" fillId="0" borderId="22" xfId="57" applyNumberFormat="1" applyFont="1" applyFill="1" applyBorder="1" applyAlignment="1">
      <alignment vertical="center"/>
    </xf>
    <xf numFmtId="167" fontId="132" fillId="23" borderId="16" xfId="67" applyNumberFormat="1" applyFont="1" applyFill="1" applyBorder="1" applyAlignment="1">
      <alignment vertical="center"/>
    </xf>
    <xf numFmtId="167" fontId="132" fillId="23" borderId="0" xfId="67" applyNumberFormat="1" applyFont="1" applyFill="1" applyBorder="1" applyAlignment="1">
      <alignment vertical="center"/>
    </xf>
    <xf numFmtId="167" fontId="132" fillId="23" borderId="16" xfId="78" applyNumberFormat="1" applyFont="1" applyFill="1" applyBorder="1" applyAlignment="1">
      <alignment vertical="center"/>
    </xf>
    <xf numFmtId="167" fontId="132" fillId="23" borderId="0" xfId="78" applyNumberFormat="1" applyFont="1" applyFill="1" applyBorder="1" applyAlignment="1">
      <alignment vertical="center"/>
    </xf>
    <xf numFmtId="167" fontId="132" fillId="23" borderId="17" xfId="78" applyNumberFormat="1" applyFont="1" applyFill="1" applyBorder="1" applyAlignment="1">
      <alignment vertical="center"/>
    </xf>
    <xf numFmtId="9" fontId="51" fillId="0" borderId="22" xfId="57" applyNumberFormat="1" applyFont="1" applyFill="1" applyBorder="1" applyAlignment="1">
      <alignment vertical="center"/>
    </xf>
    <xf numFmtId="167" fontId="175" fillId="23" borderId="20" xfId="67" applyNumberFormat="1" applyFont="1" applyFill="1" applyBorder="1" applyAlignment="1">
      <alignment vertical="center"/>
    </xf>
    <xf numFmtId="167" fontId="175" fillId="23" borderId="24" xfId="67" applyNumberFormat="1" applyFont="1" applyFill="1" applyBorder="1" applyAlignment="1">
      <alignment vertical="center"/>
    </xf>
    <xf numFmtId="167" fontId="175" fillId="23" borderId="20" xfId="68" applyNumberFormat="1" applyFont="1" applyFill="1" applyBorder="1" applyAlignment="1">
      <alignment vertical="center"/>
    </xf>
    <xf numFmtId="167" fontId="175" fillId="23" borderId="24" xfId="68" applyNumberFormat="1" applyFont="1" applyFill="1" applyBorder="1" applyAlignment="1">
      <alignment vertical="center"/>
    </xf>
    <xf numFmtId="167" fontId="175" fillId="23" borderId="22" xfId="68" applyNumberFormat="1" applyFont="1" applyFill="1" applyBorder="1" applyAlignment="1">
      <alignment vertical="center"/>
    </xf>
    <xf numFmtId="167" fontId="175" fillId="23" borderId="20" xfId="78" applyNumberFormat="1" applyFont="1" applyFill="1" applyBorder="1" applyAlignment="1">
      <alignment vertical="center"/>
    </xf>
    <xf numFmtId="167" fontId="175" fillId="23" borderId="24" xfId="78" applyNumberFormat="1" applyFont="1" applyFill="1" applyBorder="1" applyAlignment="1">
      <alignment vertical="center"/>
    </xf>
    <xf numFmtId="167" fontId="175" fillId="23" borderId="22" xfId="78" applyNumberFormat="1" applyFont="1" applyFill="1" applyBorder="1" applyAlignment="1">
      <alignment vertical="center"/>
    </xf>
    <xf numFmtId="167" fontId="177" fillId="23" borderId="20" xfId="67" applyNumberFormat="1" applyFont="1" applyFill="1" applyBorder="1" applyAlignment="1">
      <alignment vertical="center"/>
    </xf>
    <xf numFmtId="167" fontId="177" fillId="23" borderId="24" xfId="67" applyNumberFormat="1" applyFont="1" applyFill="1" applyBorder="1" applyAlignment="1">
      <alignment vertical="center"/>
    </xf>
    <xf numFmtId="167" fontId="177" fillId="23" borderId="20" xfId="68" applyNumberFormat="1" applyFont="1" applyFill="1" applyBorder="1" applyAlignment="1">
      <alignment vertical="center"/>
    </xf>
    <xf numFmtId="167" fontId="177" fillId="23" borderId="24" xfId="68" applyNumberFormat="1" applyFont="1" applyFill="1" applyBorder="1" applyAlignment="1">
      <alignment vertical="center"/>
    </xf>
    <xf numFmtId="167" fontId="177" fillId="23" borderId="22" xfId="68" applyNumberFormat="1" applyFont="1" applyFill="1" applyBorder="1" applyAlignment="1">
      <alignment vertical="center"/>
    </xf>
    <xf numFmtId="167" fontId="177" fillId="23" borderId="20" xfId="78" applyNumberFormat="1" applyFont="1" applyFill="1" applyBorder="1" applyAlignment="1">
      <alignment vertical="center"/>
    </xf>
    <xf numFmtId="167" fontId="177" fillId="23" borderId="24" xfId="78" applyNumberFormat="1" applyFont="1" applyFill="1" applyBorder="1" applyAlignment="1">
      <alignment vertical="center"/>
    </xf>
    <xf numFmtId="167" fontId="177" fillId="23" borderId="22" xfId="78" applyNumberFormat="1" applyFont="1" applyFill="1" applyBorder="1" applyAlignment="1">
      <alignment vertical="center"/>
    </xf>
    <xf numFmtId="167" fontId="178" fillId="23" borderId="20" xfId="67" applyNumberFormat="1" applyFont="1" applyFill="1" applyBorder="1" applyAlignment="1">
      <alignment vertical="center"/>
    </xf>
    <xf numFmtId="167" fontId="178" fillId="23" borderId="24" xfId="67" applyNumberFormat="1" applyFont="1" applyFill="1" applyBorder="1" applyAlignment="1">
      <alignment vertical="center"/>
    </xf>
    <xf numFmtId="167" fontId="178" fillId="23" borderId="20" xfId="68" applyNumberFormat="1" applyFont="1" applyFill="1" applyBorder="1" applyAlignment="1">
      <alignment vertical="center"/>
    </xf>
    <xf numFmtId="167" fontId="178" fillId="23" borderId="24" xfId="68" applyNumberFormat="1" applyFont="1" applyFill="1" applyBorder="1" applyAlignment="1">
      <alignment vertical="center"/>
    </xf>
    <xf numFmtId="167" fontId="178" fillId="23" borderId="22" xfId="68" applyNumberFormat="1" applyFont="1" applyFill="1" applyBorder="1" applyAlignment="1">
      <alignment vertical="center"/>
    </xf>
    <xf numFmtId="167" fontId="178" fillId="23" borderId="20" xfId="78" applyNumberFormat="1" applyFont="1" applyFill="1" applyBorder="1" applyAlignment="1">
      <alignment vertical="center"/>
    </xf>
    <xf numFmtId="167" fontId="178" fillId="23" borderId="24" xfId="78" applyNumberFormat="1" applyFont="1" applyFill="1" applyBorder="1" applyAlignment="1">
      <alignment vertical="center"/>
    </xf>
    <xf numFmtId="167" fontId="178" fillId="23" borderId="22" xfId="78" applyNumberFormat="1" applyFont="1" applyFill="1" applyBorder="1" applyAlignment="1">
      <alignment vertical="center"/>
    </xf>
    <xf numFmtId="167" fontId="179" fillId="23" borderId="20" xfId="67" applyNumberFormat="1" applyFont="1" applyFill="1" applyBorder="1" applyAlignment="1">
      <alignment vertical="center"/>
    </xf>
    <xf numFmtId="167" fontId="179" fillId="23" borderId="24" xfId="67" applyNumberFormat="1" applyFont="1" applyFill="1" applyBorder="1" applyAlignment="1">
      <alignment vertical="center"/>
    </xf>
    <xf numFmtId="167" fontId="179" fillId="23" borderId="20" xfId="68" applyNumberFormat="1" applyFont="1" applyFill="1" applyBorder="1" applyAlignment="1">
      <alignment vertical="center"/>
    </xf>
    <xf numFmtId="167" fontId="179" fillId="23" borderId="24" xfId="68" applyNumberFormat="1" applyFont="1" applyFill="1" applyBorder="1" applyAlignment="1">
      <alignment vertical="center"/>
    </xf>
    <xf numFmtId="167" fontId="179" fillId="23" borderId="22" xfId="68" applyNumberFormat="1" applyFont="1" applyFill="1" applyBorder="1" applyAlignment="1">
      <alignment vertical="center"/>
    </xf>
    <xf numFmtId="167" fontId="179" fillId="23" borderId="20" xfId="78" applyNumberFormat="1" applyFont="1" applyFill="1" applyBorder="1" applyAlignment="1">
      <alignment vertical="center"/>
    </xf>
    <xf numFmtId="167" fontId="179" fillId="23" borderId="24" xfId="78" applyNumberFormat="1" applyFont="1" applyFill="1" applyBorder="1" applyAlignment="1">
      <alignment vertical="center"/>
    </xf>
    <xf numFmtId="167" fontId="179" fillId="23" borderId="22" xfId="78" applyNumberFormat="1" applyFont="1" applyFill="1" applyBorder="1" applyAlignment="1">
      <alignment vertical="center"/>
    </xf>
    <xf numFmtId="167" fontId="176" fillId="23" borderId="20" xfId="67" applyNumberFormat="1" applyFont="1" applyFill="1" applyBorder="1" applyAlignment="1">
      <alignment vertical="center"/>
    </xf>
    <xf numFmtId="167" fontId="176" fillId="23" borderId="24" xfId="67" applyNumberFormat="1" applyFont="1" applyFill="1" applyBorder="1" applyAlignment="1">
      <alignment vertical="center"/>
    </xf>
    <xf numFmtId="167" fontId="176" fillId="23" borderId="20" xfId="68" applyNumberFormat="1" applyFont="1" applyFill="1" applyBorder="1" applyAlignment="1">
      <alignment vertical="center"/>
    </xf>
    <xf numFmtId="167" fontId="176" fillId="23" borderId="24" xfId="68" applyNumberFormat="1" applyFont="1" applyFill="1" applyBorder="1" applyAlignment="1">
      <alignment vertical="center"/>
    </xf>
    <xf numFmtId="167" fontId="176" fillId="23" borderId="22" xfId="68" applyNumberFormat="1" applyFont="1" applyFill="1" applyBorder="1" applyAlignment="1">
      <alignment vertical="center"/>
    </xf>
    <xf numFmtId="167" fontId="176" fillId="23" borderId="20" xfId="78" applyNumberFormat="1" applyFont="1" applyFill="1" applyBorder="1" applyAlignment="1">
      <alignment vertical="center"/>
    </xf>
    <xf numFmtId="167" fontId="176" fillId="23" borderId="24" xfId="78" applyNumberFormat="1" applyFont="1" applyFill="1" applyBorder="1" applyAlignment="1">
      <alignment vertical="center"/>
    </xf>
    <xf numFmtId="167" fontId="176" fillId="23" borderId="22" xfId="78" applyNumberFormat="1" applyFont="1" applyFill="1" applyBorder="1" applyAlignment="1">
      <alignment vertical="center"/>
    </xf>
    <xf numFmtId="0" fontId="128" fillId="23" borderId="18" xfId="0" applyFont="1" applyFill="1" applyBorder="1" applyAlignment="1">
      <alignment horizontal="center" vertical="center"/>
    </xf>
    <xf numFmtId="0" fontId="228" fillId="23" borderId="18" xfId="0" applyFont="1" applyFill="1" applyBorder="1" applyAlignment="1">
      <alignment horizontal="center" vertical="center"/>
    </xf>
    <xf numFmtId="0" fontId="136" fillId="0" borderId="0" xfId="374" applyFont="1" applyBorder="1" applyAlignment="1">
      <alignment horizontal="left" vertical="center" readingOrder="1"/>
    </xf>
    <xf numFmtId="0" fontId="129" fillId="0" borderId="111" xfId="646" applyFont="1" applyBorder="1" applyAlignment="1">
      <alignment horizontal="center" vertical="center"/>
    </xf>
    <xf numFmtId="0" fontId="132" fillId="29" borderId="145" xfId="646" applyFont="1" applyFill="1" applyBorder="1" applyAlignment="1">
      <alignment horizontal="center" vertical="center"/>
    </xf>
    <xf numFmtId="9" fontId="132" fillId="29" borderId="123" xfId="647" applyFont="1" applyFill="1" applyBorder="1" applyAlignment="1">
      <alignment horizontal="center" vertical="center"/>
    </xf>
    <xf numFmtId="9" fontId="132" fillId="29" borderId="147" xfId="647" applyFont="1" applyFill="1" applyBorder="1" applyAlignment="1">
      <alignment horizontal="center" vertical="center"/>
    </xf>
    <xf numFmtId="0" fontId="207" fillId="29" borderId="108" xfId="646" applyFont="1" applyFill="1" applyBorder="1" applyAlignment="1">
      <alignment horizontal="center" vertical="center"/>
    </xf>
    <xf numFmtId="9" fontId="207" fillId="29" borderId="109" xfId="647" applyFont="1" applyFill="1" applyBorder="1" applyAlignment="1">
      <alignment horizontal="center" vertical="center"/>
    </xf>
    <xf numFmtId="9" fontId="207" fillId="29" borderId="110" xfId="647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179" fontId="129" fillId="0" borderId="25" xfId="0" applyNumberFormat="1" applyFont="1" applyFill="1" applyBorder="1" applyAlignment="1">
      <alignment horizontal="right" vertical="center" indent="1"/>
    </xf>
    <xf numFmtId="179" fontId="129" fillId="0" borderId="30" xfId="0" applyNumberFormat="1" applyFont="1" applyFill="1" applyBorder="1" applyAlignment="1">
      <alignment horizontal="right" vertical="center" indent="1"/>
    </xf>
    <xf numFmtId="179" fontId="129" fillId="0" borderId="40" xfId="0" applyNumberFormat="1" applyFont="1" applyFill="1" applyBorder="1" applyAlignment="1">
      <alignment horizontal="right" vertical="center" indent="1"/>
    </xf>
    <xf numFmtId="179" fontId="129" fillId="0" borderId="26" xfId="0" applyNumberFormat="1" applyFont="1" applyFill="1" applyBorder="1" applyAlignment="1">
      <alignment horizontal="right" vertical="center" indent="1"/>
    </xf>
    <xf numFmtId="179" fontId="129" fillId="0" borderId="31" xfId="0" applyNumberFormat="1" applyFont="1" applyFill="1" applyBorder="1" applyAlignment="1">
      <alignment horizontal="right" vertical="center" indent="1"/>
    </xf>
    <xf numFmtId="179" fontId="129" fillId="0" borderId="41" xfId="0" applyNumberFormat="1" applyFont="1" applyFill="1" applyBorder="1" applyAlignment="1">
      <alignment horizontal="right" vertical="center" indent="1"/>
    </xf>
    <xf numFmtId="179" fontId="175" fillId="23" borderId="27" xfId="0" applyNumberFormat="1" applyFont="1" applyFill="1" applyBorder="1" applyAlignment="1">
      <alignment horizontal="right" vertical="center" indent="1"/>
    </xf>
    <xf numFmtId="179" fontId="175" fillId="23" borderId="32" xfId="0" applyNumberFormat="1" applyFont="1" applyFill="1" applyBorder="1" applyAlignment="1">
      <alignment horizontal="right" vertical="center" indent="1"/>
    </xf>
    <xf numFmtId="179" fontId="175" fillId="23" borderId="42" xfId="0" applyNumberFormat="1" applyFont="1" applyFill="1" applyBorder="1" applyAlignment="1">
      <alignment horizontal="right" vertical="center" indent="1"/>
    </xf>
    <xf numFmtId="179" fontId="0" fillId="0" borderId="0" xfId="0" applyNumberFormat="1" applyAlignment="1">
      <alignment vertical="center"/>
    </xf>
    <xf numFmtId="179" fontId="176" fillId="23" borderId="42" xfId="0" applyNumberFormat="1" applyFont="1" applyFill="1" applyBorder="1" applyAlignment="1">
      <alignment horizontal="right" vertical="center" indent="1"/>
    </xf>
    <xf numFmtId="179" fontId="176" fillId="23" borderId="32" xfId="0" applyNumberFormat="1" applyFont="1" applyFill="1" applyBorder="1" applyAlignment="1">
      <alignment horizontal="right" vertical="center" indent="1"/>
    </xf>
    <xf numFmtId="179" fontId="0" fillId="0" borderId="0" xfId="0" applyNumberFormat="1"/>
    <xf numFmtId="179" fontId="179" fillId="23" borderId="27" xfId="0" applyNumberFormat="1" applyFont="1" applyFill="1" applyBorder="1" applyAlignment="1">
      <alignment horizontal="right" vertical="center" indent="1"/>
    </xf>
    <xf numFmtId="179" fontId="179" fillId="23" borderId="32" xfId="0" applyNumberFormat="1" applyFont="1" applyFill="1" applyBorder="1" applyAlignment="1">
      <alignment horizontal="right" vertical="center" indent="1"/>
    </xf>
    <xf numFmtId="179" fontId="179" fillId="23" borderId="42" xfId="0" applyNumberFormat="1" applyFont="1" applyFill="1" applyBorder="1" applyAlignment="1">
      <alignment horizontal="right" vertical="center" indent="1"/>
    </xf>
    <xf numFmtId="179" fontId="177" fillId="23" borderId="27" xfId="0" applyNumberFormat="1" applyFont="1" applyFill="1" applyBorder="1" applyAlignment="1">
      <alignment horizontal="right" vertical="center" indent="1"/>
    </xf>
    <xf numFmtId="179" fontId="177" fillId="23" borderId="32" xfId="0" applyNumberFormat="1" applyFont="1" applyFill="1" applyBorder="1" applyAlignment="1">
      <alignment horizontal="right" vertical="center" indent="1"/>
    </xf>
    <xf numFmtId="179" fontId="177" fillId="23" borderId="42" xfId="0" applyNumberFormat="1" applyFont="1" applyFill="1" applyBorder="1" applyAlignment="1">
      <alignment horizontal="right" vertical="center" indent="1"/>
    </xf>
    <xf numFmtId="179" fontId="129" fillId="0" borderId="27" xfId="0" applyNumberFormat="1" applyFont="1" applyFill="1" applyBorder="1" applyAlignment="1">
      <alignment horizontal="right" vertical="center" indent="1"/>
    </xf>
    <xf numFmtId="179" fontId="129" fillId="0" borderId="32" xfId="0" applyNumberFormat="1" applyFont="1" applyFill="1" applyBorder="1" applyAlignment="1">
      <alignment horizontal="right" vertical="center" indent="1"/>
    </xf>
    <xf numFmtId="179" fontId="129" fillId="0" borderId="42" xfId="0" applyNumberFormat="1" applyFont="1" applyFill="1" applyBorder="1" applyAlignment="1">
      <alignment horizontal="right" vertical="center" indent="1"/>
    </xf>
    <xf numFmtId="179" fontId="128" fillId="23" borderId="27" xfId="0" applyNumberFormat="1" applyFont="1" applyFill="1" applyBorder="1" applyAlignment="1">
      <alignment horizontal="right" vertical="center" indent="1"/>
    </xf>
    <xf numFmtId="179" fontId="128" fillId="23" borderId="32" xfId="0" applyNumberFormat="1" applyFont="1" applyFill="1" applyBorder="1" applyAlignment="1">
      <alignment horizontal="right" vertical="center" indent="1"/>
    </xf>
    <xf numFmtId="179" fontId="128" fillId="23" borderId="42" xfId="0" applyNumberFormat="1" applyFont="1" applyFill="1" applyBorder="1" applyAlignment="1">
      <alignment horizontal="right" vertical="center" indent="1"/>
    </xf>
    <xf numFmtId="179" fontId="128" fillId="23" borderId="18" xfId="0" applyNumberFormat="1" applyFont="1" applyFill="1" applyBorder="1" applyAlignment="1">
      <alignment horizontal="right" vertical="center" indent="1"/>
    </xf>
    <xf numFmtId="184" fontId="47" fillId="0" borderId="0" xfId="631" applyNumberFormat="1"/>
    <xf numFmtId="0" fontId="175" fillId="23" borderId="23" xfId="45" applyFont="1" applyFill="1" applyBorder="1" applyAlignment="1">
      <alignment horizontal="centerContinuous" vertical="center"/>
    </xf>
    <xf numFmtId="0" fontId="177" fillId="23" borderId="23" xfId="45" applyFont="1" applyFill="1" applyBorder="1" applyAlignment="1">
      <alignment horizontal="centerContinuous" vertical="center"/>
    </xf>
    <xf numFmtId="0" fontId="179" fillId="23" borderId="23" xfId="45" applyFont="1" applyFill="1" applyBorder="1" applyAlignment="1">
      <alignment horizontal="centerContinuous" vertical="center"/>
    </xf>
    <xf numFmtId="0" fontId="176" fillId="23" borderId="23" xfId="45" applyFont="1" applyFill="1" applyBorder="1" applyAlignment="1">
      <alignment horizontal="centerContinuous" vertical="center"/>
    </xf>
    <xf numFmtId="0" fontId="178" fillId="23" borderId="23" xfId="45" applyFont="1" applyFill="1" applyBorder="1" applyAlignment="1">
      <alignment horizontal="centerContinuous" vertical="center"/>
    </xf>
    <xf numFmtId="184" fontId="128" fillId="23" borderId="18" xfId="0" applyNumberFormat="1" applyFont="1" applyFill="1" applyBorder="1" applyAlignment="1">
      <alignment horizontal="right" vertical="center" indent="1"/>
    </xf>
    <xf numFmtId="0" fontId="230" fillId="0" borderId="0" xfId="66" applyFont="1" applyAlignment="1">
      <alignment vertical="center"/>
    </xf>
    <xf numFmtId="0" fontId="38" fillId="0" borderId="31" xfId="0" applyFont="1" applyBorder="1" applyAlignment="1">
      <alignment vertical="center" wrapText="1"/>
    </xf>
    <xf numFmtId="0" fontId="52" fillId="23" borderId="24" xfId="0" applyFont="1" applyFill="1" applyBorder="1" applyAlignment="1">
      <alignment horizontal="center" vertical="center" wrapText="1"/>
    </xf>
    <xf numFmtId="3" fontId="52" fillId="23" borderId="23" xfId="0" applyNumberFormat="1" applyFont="1" applyFill="1" applyBorder="1" applyAlignment="1">
      <alignment horizontal="right" vertical="center" wrapText="1" indent="1"/>
    </xf>
    <xf numFmtId="3" fontId="52" fillId="23" borderId="24" xfId="0" applyNumberFormat="1" applyFont="1" applyFill="1" applyBorder="1" applyAlignment="1">
      <alignment horizontal="right" vertical="center" wrapText="1" indent="1"/>
    </xf>
    <xf numFmtId="0" fontId="38" fillId="0" borderId="0" xfId="0" applyFont="1" applyFill="1" applyBorder="1" applyAlignment="1">
      <alignment horizontal="left" vertical="center" wrapText="1"/>
    </xf>
    <xf numFmtId="0" fontId="128" fillId="23" borderId="18" xfId="0" applyFont="1" applyFill="1" applyBorder="1" applyAlignment="1">
      <alignment horizontal="center" vertical="center"/>
    </xf>
    <xf numFmtId="0" fontId="232" fillId="0" borderId="0" xfId="66" applyFont="1"/>
    <xf numFmtId="1" fontId="232" fillId="0" borderId="0" xfId="66" applyNumberFormat="1" applyFont="1"/>
    <xf numFmtId="0" fontId="129" fillId="0" borderId="36" xfId="66" applyFont="1" applyBorder="1" applyAlignment="1">
      <alignment vertical="center"/>
    </xf>
    <xf numFmtId="0" fontId="129" fillId="23" borderId="36" xfId="66" applyFont="1" applyFill="1" applyBorder="1" applyAlignment="1">
      <alignment horizontal="center" vertical="center"/>
    </xf>
    <xf numFmtId="3" fontId="129" fillId="23" borderId="31" xfId="66" applyNumberFormat="1" applyFont="1" applyFill="1" applyBorder="1" applyAlignment="1">
      <alignment horizontal="center" vertical="center"/>
    </xf>
    <xf numFmtId="0" fontId="129" fillId="23" borderId="39" xfId="66" applyFont="1" applyFill="1" applyBorder="1" applyAlignment="1">
      <alignment horizontal="center" vertical="center"/>
    </xf>
    <xf numFmtId="3" fontId="129" fillId="23" borderId="34" xfId="66" applyNumberFormat="1" applyFont="1" applyFill="1" applyBorder="1" applyAlignment="1">
      <alignment horizontal="center" vertical="center"/>
    </xf>
    <xf numFmtId="3" fontId="129" fillId="0" borderId="33" xfId="66" applyNumberFormat="1" applyFont="1" applyBorder="1" applyAlignment="1">
      <alignment horizontal="center" vertical="center"/>
    </xf>
    <xf numFmtId="10" fontId="129" fillId="0" borderId="36" xfId="66" applyNumberFormat="1" applyFont="1" applyBorder="1" applyAlignment="1">
      <alignment vertical="center"/>
    </xf>
    <xf numFmtId="10" fontId="129" fillId="0" borderId="38" xfId="66" applyNumberFormat="1" applyFont="1" applyBorder="1" applyAlignment="1">
      <alignment vertical="center"/>
    </xf>
    <xf numFmtId="0" fontId="129" fillId="0" borderId="26" xfId="66" applyFont="1" applyBorder="1" applyAlignment="1">
      <alignment vertical="center"/>
    </xf>
    <xf numFmtId="1" fontId="129" fillId="0" borderId="31" xfId="66" applyNumberFormat="1" applyFont="1" applyBorder="1" applyAlignment="1">
      <alignment horizontal="center" vertical="center"/>
    </xf>
    <xf numFmtId="0" fontId="129" fillId="23" borderId="26" xfId="66" applyFont="1" applyFill="1" applyBorder="1" applyAlignment="1">
      <alignment horizontal="center" vertical="center"/>
    </xf>
    <xf numFmtId="1" fontId="129" fillId="23" borderId="31" xfId="66" applyNumberFormat="1" applyFont="1" applyFill="1" applyBorder="1" applyAlignment="1">
      <alignment horizontal="center" vertical="center"/>
    </xf>
    <xf numFmtId="0" fontId="129" fillId="23" borderId="29" xfId="66" applyFont="1" applyFill="1" applyBorder="1" applyAlignment="1">
      <alignment horizontal="center" vertical="center"/>
    </xf>
    <xf numFmtId="1" fontId="129" fillId="23" borderId="34" xfId="66" applyNumberFormat="1" applyFont="1" applyFill="1" applyBorder="1" applyAlignment="1">
      <alignment horizontal="center" vertical="center"/>
    </xf>
    <xf numFmtId="1" fontId="129" fillId="0" borderId="33" xfId="66" applyNumberFormat="1" applyFont="1" applyFill="1" applyBorder="1" applyAlignment="1">
      <alignment horizontal="center" vertical="center"/>
    </xf>
    <xf numFmtId="1" fontId="129" fillId="0" borderId="31" xfId="66" applyNumberFormat="1" applyFont="1" applyFill="1" applyBorder="1" applyAlignment="1">
      <alignment horizontal="center" vertical="center"/>
    </xf>
    <xf numFmtId="10" fontId="129" fillId="0" borderId="26" xfId="66" applyNumberFormat="1" applyFont="1" applyBorder="1" applyAlignment="1">
      <alignment vertical="center"/>
    </xf>
    <xf numFmtId="10" fontId="129" fillId="0" borderId="28" xfId="66" applyNumberFormat="1" applyFont="1" applyBorder="1" applyAlignment="1">
      <alignment vertical="center"/>
    </xf>
    <xf numFmtId="1" fontId="129" fillId="0" borderId="33" xfId="66" applyNumberFormat="1" applyFont="1" applyBorder="1" applyAlignment="1">
      <alignment horizontal="center" vertical="center"/>
    </xf>
    <xf numFmtId="0" fontId="37" fillId="0" borderId="0" xfId="655"/>
    <xf numFmtId="0" fontId="147" fillId="0" borderId="30" xfId="655" applyFont="1" applyBorder="1" applyAlignment="1">
      <alignment vertical="center"/>
    </xf>
    <xf numFmtId="0" fontId="147" fillId="0" borderId="30" xfId="655" applyFont="1" applyBorder="1" applyAlignment="1">
      <alignment horizontal="center" vertical="center"/>
    </xf>
    <xf numFmtId="0" fontId="147" fillId="0" borderId="31" xfId="655" applyFont="1" applyBorder="1" applyAlignment="1">
      <alignment vertical="center"/>
    </xf>
    <xf numFmtId="0" fontId="147" fillId="0" borderId="31" xfId="655" applyFont="1" applyBorder="1" applyAlignment="1">
      <alignment horizontal="center" vertical="center"/>
    </xf>
    <xf numFmtId="3" fontId="129" fillId="0" borderId="29" xfId="66" applyNumberFormat="1" applyFont="1" applyFill="1" applyBorder="1" applyAlignment="1">
      <alignment horizontal="right" vertical="center" indent="1"/>
    </xf>
    <xf numFmtId="3" fontId="129" fillId="0" borderId="39" xfId="66" applyNumberFormat="1" applyFont="1" applyFill="1" applyBorder="1" applyAlignment="1">
      <alignment horizontal="right" vertical="center" indent="1"/>
    </xf>
    <xf numFmtId="3" fontId="129" fillId="0" borderId="44" xfId="66" applyNumberFormat="1" applyFont="1" applyFill="1" applyBorder="1" applyAlignment="1">
      <alignment horizontal="right" vertical="center" indent="1"/>
    </xf>
    <xf numFmtId="0" fontId="187" fillId="23" borderId="18" xfId="655" applyFont="1" applyFill="1" applyBorder="1" applyAlignment="1">
      <alignment horizontal="center" vertical="center"/>
    </xf>
    <xf numFmtId="0" fontId="133" fillId="0" borderId="24" xfId="655" applyFont="1" applyFill="1" applyBorder="1" applyAlignment="1">
      <alignment vertical="center"/>
    </xf>
    <xf numFmtId="0" fontId="129" fillId="0" borderId="24" xfId="374" applyFont="1" applyBorder="1" applyAlignment="1">
      <alignment vertical="center"/>
    </xf>
    <xf numFmtId="0" fontId="49" fillId="0" borderId="0" xfId="466" applyAlignment="1">
      <alignment horizontal="center"/>
    </xf>
    <xf numFmtId="0" fontId="105" fillId="0" borderId="24" xfId="32" applyBorder="1" applyAlignment="1" applyProtection="1">
      <alignment horizontal="center" vertical="center"/>
    </xf>
    <xf numFmtId="0" fontId="177" fillId="0" borderId="18" xfId="0" applyFont="1" applyFill="1" applyBorder="1" applyAlignment="1">
      <alignment horizontal="center" vertical="center" wrapText="1"/>
    </xf>
    <xf numFmtId="1" fontId="130" fillId="23" borderId="18" xfId="66" applyNumberFormat="1" applyFont="1" applyFill="1" applyBorder="1" applyAlignment="1">
      <alignment horizontal="center" vertical="center" wrapText="1"/>
    </xf>
    <xf numFmtId="0" fontId="146" fillId="23" borderId="13" xfId="66" applyFont="1" applyFill="1" applyBorder="1" applyAlignment="1">
      <alignment horizontal="center" vertical="center"/>
    </xf>
    <xf numFmtId="0" fontId="146" fillId="23" borderId="14" xfId="66" applyFont="1" applyFill="1" applyBorder="1" applyAlignment="1">
      <alignment horizontal="center" vertical="center"/>
    </xf>
    <xf numFmtId="0" fontId="146" fillId="23" borderId="10" xfId="66" applyFont="1" applyFill="1" applyBorder="1" applyAlignment="1">
      <alignment horizontal="center" vertical="center"/>
    </xf>
    <xf numFmtId="0" fontId="50" fillId="0" borderId="35" xfId="464" applyFont="1" applyBorder="1" applyAlignment="1">
      <alignment horizontal="center" vertical="center"/>
    </xf>
    <xf numFmtId="0" fontId="50" fillId="0" borderId="36" xfId="464" applyFont="1" applyBorder="1" applyAlignment="1">
      <alignment horizontal="center" vertical="center"/>
    </xf>
    <xf numFmtId="0" fontId="175" fillId="23" borderId="37" xfId="464" applyFont="1" applyFill="1" applyBorder="1" applyAlignment="1">
      <alignment horizontal="center" vertical="center"/>
    </xf>
    <xf numFmtId="0" fontId="176" fillId="23" borderId="37" xfId="464" applyFont="1" applyFill="1" applyBorder="1" applyAlignment="1">
      <alignment horizontal="center" vertical="center"/>
    </xf>
    <xf numFmtId="0" fontId="179" fillId="23" borderId="37" xfId="464" applyFont="1" applyFill="1" applyBorder="1" applyAlignment="1">
      <alignment horizontal="center" vertical="center"/>
    </xf>
    <xf numFmtId="0" fontId="177" fillId="23" borderId="37" xfId="464" applyFont="1" applyFill="1" applyBorder="1" applyAlignment="1">
      <alignment horizontal="center" vertical="center"/>
    </xf>
    <xf numFmtId="0" fontId="50" fillId="0" borderId="39" xfId="464" applyFont="1" applyBorder="1" applyAlignment="1">
      <alignment horizontal="center" vertical="center"/>
    </xf>
    <xf numFmtId="0" fontId="132" fillId="23" borderId="14" xfId="464" applyFont="1" applyFill="1" applyBorder="1" applyAlignment="1">
      <alignment horizontal="center" vertical="center"/>
    </xf>
    <xf numFmtId="0" fontId="130" fillId="0" borderId="0" xfId="66" applyFont="1" applyBorder="1"/>
    <xf numFmtId="0" fontId="124" fillId="0" borderId="0" xfId="635" applyFont="1"/>
    <xf numFmtId="0" fontId="233" fillId="0" borderId="0" xfId="635" applyFont="1"/>
    <xf numFmtId="0" fontId="210" fillId="0" borderId="0" xfId="635" applyFont="1" applyAlignment="1">
      <alignment horizontal="center" vertical="center"/>
    </xf>
    <xf numFmtId="0" fontId="45" fillId="0" borderId="0" xfId="635" applyAlignment="1">
      <alignment wrapText="1"/>
    </xf>
    <xf numFmtId="0" fontId="35" fillId="0" borderId="0" xfId="635" applyFont="1" applyAlignment="1">
      <alignment wrapText="1"/>
    </xf>
    <xf numFmtId="0" fontId="190" fillId="0" borderId="0" xfId="635" applyFont="1" applyAlignment="1">
      <alignment wrapText="1"/>
    </xf>
    <xf numFmtId="0" fontId="210" fillId="0" borderId="0" xfId="635" applyFont="1"/>
    <xf numFmtId="0" fontId="185" fillId="0" borderId="0" xfId="466" applyFont="1" applyAlignment="1">
      <alignment vertical="center"/>
    </xf>
    <xf numFmtId="178" fontId="130" fillId="0" borderId="19" xfId="0" applyNumberFormat="1" applyFont="1" applyBorder="1" applyAlignment="1">
      <alignment horizontal="center" vertical="center"/>
    </xf>
    <xf numFmtId="0" fontId="130" fillId="0" borderId="19" xfId="66" applyFont="1" applyBorder="1" applyAlignment="1">
      <alignment horizontal="center" vertical="center"/>
    </xf>
    <xf numFmtId="0" fontId="143" fillId="23" borderId="19" xfId="66" applyFont="1" applyFill="1" applyBorder="1" applyAlignment="1">
      <alignment horizontal="center" vertical="center"/>
    </xf>
    <xf numFmtId="3" fontId="130" fillId="0" borderId="31" xfId="0" applyNumberFormat="1" applyFont="1" applyBorder="1" applyAlignment="1">
      <alignment horizontal="center"/>
    </xf>
    <xf numFmtId="178" fontId="130" fillId="0" borderId="30" xfId="0" applyNumberFormat="1" applyFont="1" applyBorder="1" applyAlignment="1">
      <alignment horizontal="left"/>
    </xf>
    <xf numFmtId="0" fontId="130" fillId="0" borderId="160" xfId="0" applyFont="1" applyBorder="1" applyAlignment="1">
      <alignment horizontal="center"/>
    </xf>
    <xf numFmtId="178" fontId="130" fillId="0" borderId="30" xfId="0" applyNumberFormat="1" applyFont="1" applyBorder="1" applyAlignment="1">
      <alignment horizontal="center" vertical="center"/>
    </xf>
    <xf numFmtId="0" fontId="130" fillId="0" borderId="18" xfId="66" applyFont="1" applyBorder="1" applyAlignment="1">
      <alignment horizontal="center"/>
    </xf>
    <xf numFmtId="0" fontId="130" fillId="23" borderId="18" xfId="0" applyFont="1" applyFill="1" applyBorder="1" applyAlignment="1">
      <alignment horizontal="center"/>
    </xf>
    <xf numFmtId="3" fontId="130" fillId="0" borderId="0" xfId="0" applyNumberFormat="1" applyFont="1"/>
    <xf numFmtId="0" fontId="130" fillId="0" borderId="0" xfId="0" applyFont="1" applyAlignment="1"/>
    <xf numFmtId="0" fontId="185" fillId="0" borderId="0" xfId="0" applyFont="1" applyAlignment="1"/>
    <xf numFmtId="3" fontId="143" fillId="23" borderId="18" xfId="377" applyNumberFormat="1" applyFont="1" applyFill="1" applyBorder="1" applyAlignment="1">
      <alignment horizontal="center" vertical="center"/>
    </xf>
    <xf numFmtId="178" fontId="130" fillId="0" borderId="18" xfId="0" applyNumberFormat="1" applyFont="1" applyBorder="1" applyAlignment="1">
      <alignment horizontal="center" vertical="center" wrapText="1"/>
    </xf>
    <xf numFmtId="0" fontId="185" fillId="0" borderId="0" xfId="0" applyFont="1" applyAlignment="1">
      <alignment horizontal="center"/>
    </xf>
    <xf numFmtId="178" fontId="130" fillId="0" borderId="18" xfId="0" applyNumberFormat="1" applyFont="1" applyBorder="1" applyAlignment="1">
      <alignment horizontal="left"/>
    </xf>
    <xf numFmtId="178" fontId="130" fillId="0" borderId="18" xfId="66" applyNumberFormat="1" applyFont="1" applyBorder="1" applyAlignment="1">
      <alignment horizontal="left" vertical="center"/>
    </xf>
    <xf numFmtId="3" fontId="130" fillId="0" borderId="18" xfId="66" applyNumberFormat="1" applyFont="1" applyBorder="1" applyAlignment="1">
      <alignment horizontal="center" vertical="center"/>
    </xf>
    <xf numFmtId="178" fontId="143" fillId="0" borderId="11" xfId="0" applyNumberFormat="1" applyFont="1" applyBorder="1" applyAlignment="1">
      <alignment vertical="center"/>
    </xf>
    <xf numFmtId="178" fontId="130" fillId="0" borderId="31" xfId="0" applyNumberFormat="1" applyFont="1" applyBorder="1" applyAlignment="1">
      <alignment horizontal="left"/>
    </xf>
    <xf numFmtId="3" fontId="130" fillId="0" borderId="155" xfId="0" applyNumberFormat="1" applyFont="1" applyBorder="1" applyAlignment="1">
      <alignment horizontal="center" vertical="center"/>
    </xf>
    <xf numFmtId="0" fontId="130" fillId="0" borderId="32" xfId="0" applyFont="1" applyBorder="1" applyAlignment="1">
      <alignment horizontal="center" vertical="center"/>
    </xf>
    <xf numFmtId="178" fontId="130" fillId="0" borderId="154" xfId="0" applyNumberFormat="1" applyFont="1" applyBorder="1" applyAlignment="1">
      <alignment horizontal="center" vertical="center"/>
    </xf>
    <xf numFmtId="0" fontId="143" fillId="23" borderId="19" xfId="66" applyFont="1" applyFill="1" applyBorder="1" applyAlignment="1">
      <alignment horizontal="center" vertical="center" wrapText="1"/>
    </xf>
    <xf numFmtId="3" fontId="130" fillId="0" borderId="32" xfId="0" applyNumberFormat="1" applyFont="1" applyBorder="1" applyAlignment="1">
      <alignment horizontal="center"/>
    </xf>
    <xf numFmtId="178" fontId="130" fillId="0" borderId="32" xfId="0" applyNumberFormat="1" applyFont="1" applyBorder="1" applyAlignment="1"/>
    <xf numFmtId="0" fontId="130" fillId="0" borderId="159" xfId="0" applyFont="1" applyBorder="1" applyAlignment="1">
      <alignment horizontal="center" vertical="center"/>
    </xf>
    <xf numFmtId="3" fontId="130" fillId="0" borderId="158" xfId="0" applyNumberFormat="1" applyFont="1" applyBorder="1" applyAlignment="1">
      <alignment horizontal="center" vertical="center"/>
    </xf>
    <xf numFmtId="178" fontId="130" fillId="0" borderId="157" xfId="0" applyNumberFormat="1" applyFont="1" applyBorder="1" applyAlignment="1">
      <alignment horizontal="center" vertical="center"/>
    </xf>
    <xf numFmtId="0" fontId="130" fillId="0" borderId="156" xfId="0" applyFont="1" applyBorder="1" applyAlignment="1">
      <alignment horizontal="center" vertical="center"/>
    </xf>
    <xf numFmtId="3" fontId="130" fillId="0" borderId="31" xfId="0" applyNumberFormat="1" applyFont="1" applyBorder="1" applyAlignment="1">
      <alignment horizontal="center" vertical="center"/>
    </xf>
    <xf numFmtId="178" fontId="130" fillId="0" borderId="31" xfId="0" applyNumberFormat="1" applyFont="1" applyBorder="1" applyAlignment="1">
      <alignment horizontal="center" vertical="center"/>
    </xf>
    <xf numFmtId="0" fontId="130" fillId="0" borderId="30" xfId="0" applyFont="1" applyBorder="1" applyAlignment="1">
      <alignment horizontal="center" vertical="center"/>
    </xf>
    <xf numFmtId="3" fontId="130" fillId="0" borderId="48" xfId="66" applyNumberFormat="1" applyFont="1" applyFill="1" applyBorder="1" applyAlignment="1">
      <alignment horizontal="center" vertical="center"/>
    </xf>
    <xf numFmtId="0" fontId="130" fillId="0" borderId="48" xfId="66" applyFont="1" applyBorder="1" applyAlignment="1">
      <alignment horizontal="center" vertical="center"/>
    </xf>
    <xf numFmtId="178" fontId="130" fillId="0" borderId="48" xfId="66" applyNumberFormat="1" applyFont="1" applyBorder="1" applyAlignment="1">
      <alignment horizontal="center" vertical="center"/>
    </xf>
    <xf numFmtId="178" fontId="130" fillId="0" borderId="47" xfId="66" applyNumberFormat="1" applyFont="1" applyFill="1" applyBorder="1" applyAlignment="1">
      <alignment horizontal="center" vertical="center"/>
    </xf>
    <xf numFmtId="3" fontId="130" fillId="0" borderId="46" xfId="66" applyNumberFormat="1" applyFont="1" applyFill="1" applyBorder="1" applyAlignment="1">
      <alignment horizontal="center" vertical="center"/>
    </xf>
    <xf numFmtId="0" fontId="130" fillId="0" borderId="46" xfId="66" applyFont="1" applyBorder="1" applyAlignment="1">
      <alignment horizontal="center" vertical="center"/>
    </xf>
    <xf numFmtId="3" fontId="130" fillId="0" borderId="45" xfId="66" applyNumberFormat="1" applyFont="1" applyFill="1" applyBorder="1" applyAlignment="1">
      <alignment horizontal="center" vertical="center"/>
    </xf>
    <xf numFmtId="0" fontId="130" fillId="0" borderId="45" xfId="66" applyFont="1" applyBorder="1" applyAlignment="1">
      <alignment horizontal="center" vertical="center"/>
    </xf>
    <xf numFmtId="0" fontId="143" fillId="23" borderId="18" xfId="66" applyFont="1" applyFill="1" applyBorder="1" applyAlignment="1">
      <alignment horizontal="center" vertical="center" wrapText="1"/>
    </xf>
    <xf numFmtId="178" fontId="130" fillId="0" borderId="18" xfId="66" applyNumberFormat="1" applyFont="1" applyBorder="1" applyAlignment="1">
      <alignment horizontal="center" vertical="center"/>
    </xf>
    <xf numFmtId="0" fontId="186" fillId="0" borderId="18" xfId="0" applyFont="1" applyFill="1" applyBorder="1" applyAlignment="1">
      <alignment horizontal="center" vertical="center"/>
    </xf>
    <xf numFmtId="0" fontId="143" fillId="0" borderId="23" xfId="66" applyFont="1" applyFill="1" applyBorder="1" applyAlignment="1">
      <alignment horizontal="center" vertical="center"/>
    </xf>
    <xf numFmtId="178" fontId="130" fillId="0" borderId="12" xfId="0" applyNumberFormat="1" applyFont="1" applyBorder="1" applyAlignment="1">
      <alignment wrapText="1"/>
    </xf>
    <xf numFmtId="178" fontId="143" fillId="0" borderId="19" xfId="0" applyNumberFormat="1" applyFont="1" applyBorder="1" applyAlignment="1">
      <alignment vertical="center"/>
    </xf>
    <xf numFmtId="0" fontId="143" fillId="23" borderId="23" xfId="66" applyFont="1" applyFill="1" applyBorder="1" applyAlignment="1">
      <alignment horizontal="center" vertical="center"/>
    </xf>
    <xf numFmtId="0" fontId="185" fillId="0" borderId="0" xfId="0" applyFont="1" applyAlignment="1">
      <alignment horizontal="left"/>
    </xf>
    <xf numFmtId="0" fontId="185" fillId="0" borderId="18" xfId="0" applyFont="1" applyBorder="1"/>
    <xf numFmtId="0" fontId="130" fillId="0" borderId="18" xfId="66" applyFont="1" applyBorder="1" applyAlignment="1">
      <alignment horizontal="center" vertical="center"/>
    </xf>
    <xf numFmtId="3" fontId="143" fillId="23" borderId="19" xfId="66" applyNumberFormat="1" applyFont="1" applyFill="1" applyBorder="1" applyAlignment="1">
      <alignment horizontal="center" vertical="center"/>
    </xf>
    <xf numFmtId="178" fontId="130" fillId="0" borderId="45" xfId="66" applyNumberFormat="1" applyFont="1" applyBorder="1" applyAlignment="1">
      <alignment horizontal="center" vertical="center"/>
    </xf>
    <xf numFmtId="0" fontId="235" fillId="0" borderId="0" xfId="466" applyFont="1" applyAlignment="1">
      <alignment horizontal="center"/>
    </xf>
    <xf numFmtId="178" fontId="130" fillId="0" borderId="18" xfId="66" applyNumberFormat="1" applyFont="1" applyBorder="1" applyAlignment="1">
      <alignment vertical="center"/>
    </xf>
    <xf numFmtId="0" fontId="130" fillId="23" borderId="23" xfId="66" applyFont="1" applyFill="1" applyBorder="1" applyAlignment="1">
      <alignment horizontal="center" vertical="center"/>
    </xf>
    <xf numFmtId="3" fontId="130" fillId="0" borderId="32" xfId="0" applyNumberFormat="1" applyFont="1" applyBorder="1" applyAlignment="1">
      <alignment horizontal="center" vertical="center"/>
    </xf>
    <xf numFmtId="0" fontId="130" fillId="0" borderId="21" xfId="66" applyFont="1" applyBorder="1" applyAlignment="1">
      <alignment horizontal="center" vertical="center"/>
    </xf>
    <xf numFmtId="178" fontId="130" fillId="0" borderId="21" xfId="66" applyNumberFormat="1" applyFont="1" applyBorder="1" applyAlignment="1">
      <alignment horizontal="center" vertical="center"/>
    </xf>
    <xf numFmtId="3" fontId="130" fillId="0" borderId="19" xfId="66" applyNumberFormat="1" applyFont="1" applyFill="1" applyBorder="1" applyAlignment="1">
      <alignment horizontal="center" vertical="center"/>
    </xf>
    <xf numFmtId="178" fontId="130" fillId="0" borderId="19" xfId="66" applyNumberFormat="1" applyFont="1" applyBorder="1" applyAlignment="1">
      <alignment horizontal="center" vertical="center"/>
    </xf>
    <xf numFmtId="3" fontId="130" fillId="0" borderId="30" xfId="0" applyNumberFormat="1" applyFont="1" applyBorder="1" applyAlignment="1">
      <alignment horizontal="center"/>
    </xf>
    <xf numFmtId="0" fontId="130" fillId="0" borderId="161" xfId="0" applyFont="1" applyBorder="1" applyAlignment="1">
      <alignment horizontal="center"/>
    </xf>
    <xf numFmtId="0" fontId="130" fillId="0" borderId="31" xfId="0" applyFont="1" applyBorder="1" applyAlignment="1">
      <alignment horizontal="center" vertical="center"/>
    </xf>
    <xf numFmtId="0" fontId="130" fillId="0" borderId="0" xfId="0" applyFont="1" applyAlignment="1">
      <alignment vertical="center" wrapText="1"/>
    </xf>
    <xf numFmtId="3" fontId="130" fillId="0" borderId="0" xfId="66" applyNumberFormat="1" applyFont="1" applyAlignment="1">
      <alignment vertical="center"/>
    </xf>
    <xf numFmtId="0" fontId="130" fillId="0" borderId="18" xfId="66" applyFont="1" applyBorder="1" applyAlignment="1">
      <alignment vertical="center"/>
    </xf>
    <xf numFmtId="3" fontId="130" fillId="0" borderId="18" xfId="66" applyNumberFormat="1" applyFont="1" applyBorder="1" applyAlignment="1">
      <alignment horizontal="center"/>
    </xf>
    <xf numFmtId="178" fontId="143" fillId="0" borderId="19" xfId="66" applyNumberFormat="1" applyFont="1" applyBorder="1" applyAlignment="1">
      <alignment horizontal="center" vertical="center"/>
    </xf>
    <xf numFmtId="0" fontId="185" fillId="0" borderId="18" xfId="0" applyFont="1" applyBorder="1" applyAlignment="1">
      <alignment horizontal="center" vertical="center"/>
    </xf>
    <xf numFmtId="0" fontId="130" fillId="0" borderId="162" xfId="0" applyFont="1" applyBorder="1" applyAlignment="1">
      <alignment horizontal="center" vertical="center"/>
    </xf>
    <xf numFmtId="178" fontId="130" fillId="0" borderId="32" xfId="0" applyNumberFormat="1" applyFont="1" applyBorder="1" applyAlignment="1">
      <alignment horizontal="center" vertical="center"/>
    </xf>
    <xf numFmtId="3" fontId="130" fillId="0" borderId="30" xfId="0" applyNumberFormat="1" applyFont="1" applyBorder="1" applyAlignment="1">
      <alignment horizontal="center" vertical="center"/>
    </xf>
    <xf numFmtId="178" fontId="130" fillId="0" borderId="46" xfId="66" applyNumberFormat="1" applyFont="1" applyBorder="1" applyAlignment="1">
      <alignment horizontal="center" vertical="center"/>
    </xf>
    <xf numFmtId="3" fontId="130" fillId="0" borderId="18" xfId="0" applyNumberFormat="1" applyFont="1" applyBorder="1" applyAlignment="1">
      <alignment horizontal="center" vertical="center" wrapText="1"/>
    </xf>
    <xf numFmtId="0" fontId="185" fillId="0" borderId="0" xfId="0" applyFont="1" applyAlignment="1">
      <alignment vertical="center"/>
    </xf>
    <xf numFmtId="178" fontId="130" fillId="0" borderId="18" xfId="0" applyNumberFormat="1" applyFont="1" applyBorder="1" applyAlignment="1">
      <alignment vertical="center" wrapText="1"/>
    </xf>
    <xf numFmtId="178" fontId="130" fillId="0" borderId="18" xfId="0" applyNumberFormat="1" applyFont="1" applyBorder="1" applyAlignment="1">
      <alignment horizontal="left" vertical="center" wrapText="1"/>
    </xf>
    <xf numFmtId="0" fontId="130" fillId="0" borderId="18" xfId="0" applyFont="1" applyBorder="1" applyAlignment="1">
      <alignment horizontal="left" indent="2"/>
    </xf>
    <xf numFmtId="3" fontId="130" fillId="0" borderId="18" xfId="377" applyNumberFormat="1" applyFont="1" applyBorder="1" applyAlignment="1">
      <alignment horizontal="center"/>
    </xf>
    <xf numFmtId="0" fontId="130" fillId="0" borderId="18" xfId="377" applyFont="1" applyBorder="1" applyAlignment="1">
      <alignment horizontal="center" vertical="center"/>
    </xf>
    <xf numFmtId="3" fontId="143" fillId="0" borderId="0" xfId="66" applyNumberFormat="1" applyFont="1" applyFill="1" applyBorder="1" applyAlignment="1">
      <alignment horizontal="center" vertical="center"/>
    </xf>
    <xf numFmtId="178" fontId="130" fillId="0" borderId="16" xfId="0" applyNumberFormat="1" applyFont="1" applyBorder="1" applyAlignment="1">
      <alignment horizontal="center" vertical="center"/>
    </xf>
    <xf numFmtId="178" fontId="130" fillId="0" borderId="16" xfId="0" applyNumberFormat="1" applyFont="1" applyBorder="1" applyAlignment="1">
      <alignment vertical="center" wrapText="1"/>
    </xf>
    <xf numFmtId="0" fontId="130" fillId="0" borderId="18" xfId="377" applyFont="1" applyBorder="1" applyAlignment="1">
      <alignment horizontal="center"/>
    </xf>
    <xf numFmtId="178" fontId="130" fillId="0" borderId="18" xfId="377" applyNumberFormat="1" applyFont="1" applyBorder="1" applyAlignment="1">
      <alignment horizontal="center" vertical="center"/>
    </xf>
    <xf numFmtId="3" fontId="130" fillId="0" borderId="0" xfId="66" applyNumberFormat="1" applyFont="1"/>
    <xf numFmtId="0" fontId="143" fillId="23" borderId="18" xfId="377" applyFont="1" applyFill="1" applyBorder="1" applyAlignment="1">
      <alignment horizontal="center" vertical="center"/>
    </xf>
    <xf numFmtId="0" fontId="185" fillId="0" borderId="18" xfId="466" applyFont="1" applyBorder="1" applyAlignment="1">
      <alignment horizontal="center" wrapText="1"/>
    </xf>
    <xf numFmtId="0" fontId="185" fillId="0" borderId="19" xfId="0" applyFont="1" applyBorder="1" applyAlignment="1">
      <alignment horizontal="center" vertical="center" wrapText="1"/>
    </xf>
    <xf numFmtId="0" fontId="185" fillId="0" borderId="18" xfId="0" applyFont="1" applyBorder="1" applyAlignment="1">
      <alignment horizontal="center" vertical="center" wrapText="1"/>
    </xf>
    <xf numFmtId="0" fontId="130" fillId="0" borderId="23" xfId="66" applyFont="1" applyBorder="1" applyAlignment="1">
      <alignment horizontal="center" vertical="center"/>
    </xf>
    <xf numFmtId="178" fontId="130" fillId="0" borderId="16" xfId="66" applyNumberFormat="1" applyFont="1" applyBorder="1" applyAlignment="1">
      <alignment horizontal="center" vertical="center"/>
    </xf>
    <xf numFmtId="3" fontId="130" fillId="0" borderId="23" xfId="0" applyNumberFormat="1" applyFont="1" applyBorder="1" applyAlignment="1">
      <alignment horizontal="center" vertical="center"/>
    </xf>
    <xf numFmtId="178" fontId="130" fillId="0" borderId="23" xfId="0" applyNumberFormat="1" applyFont="1" applyBorder="1" applyAlignment="1">
      <alignment horizontal="center" vertical="center"/>
    </xf>
    <xf numFmtId="3" fontId="130" fillId="0" borderId="21" xfId="0" applyNumberFormat="1" applyFont="1" applyBorder="1" applyAlignment="1">
      <alignment horizontal="center" vertical="center"/>
    </xf>
    <xf numFmtId="178" fontId="130" fillId="0" borderId="21" xfId="0" applyNumberFormat="1" applyFont="1" applyBorder="1" applyAlignment="1">
      <alignment horizontal="center" vertical="center"/>
    </xf>
    <xf numFmtId="0" fontId="130" fillId="0" borderId="19" xfId="0" applyFont="1" applyBorder="1" applyAlignment="1">
      <alignment horizontal="center" vertical="center"/>
    </xf>
    <xf numFmtId="3" fontId="130" fillId="0" borderId="19" xfId="0" applyNumberFormat="1" applyFont="1" applyBorder="1" applyAlignment="1">
      <alignment horizontal="center" vertical="center"/>
    </xf>
    <xf numFmtId="3" fontId="130" fillId="0" borderId="21" xfId="66" applyNumberFormat="1" applyFont="1" applyFill="1" applyBorder="1" applyAlignment="1">
      <alignment horizontal="center" vertical="center"/>
    </xf>
    <xf numFmtId="178" fontId="130" fillId="0" borderId="31" xfId="0" applyNumberFormat="1" applyFont="1" applyBorder="1" applyAlignment="1"/>
    <xf numFmtId="178" fontId="143" fillId="0" borderId="18" xfId="377" applyNumberFormat="1" applyFont="1" applyBorder="1" applyAlignment="1">
      <alignment horizontal="center" vertical="center"/>
    </xf>
    <xf numFmtId="178" fontId="130" fillId="0" borderId="18" xfId="0" applyNumberFormat="1" applyFont="1" applyBorder="1" applyAlignment="1">
      <alignment horizontal="center" vertical="center"/>
    </xf>
    <xf numFmtId="3" fontId="185" fillId="0" borderId="18" xfId="0" applyNumberFormat="1" applyFont="1" applyBorder="1" applyAlignment="1">
      <alignment horizontal="center" vertical="center"/>
    </xf>
    <xf numFmtId="3" fontId="130" fillId="0" borderId="18" xfId="377" applyNumberFormat="1" applyFont="1" applyBorder="1" applyAlignment="1">
      <alignment horizontal="center" vertical="center"/>
    </xf>
    <xf numFmtId="0" fontId="143" fillId="0" borderId="18" xfId="377" applyFont="1" applyFill="1" applyBorder="1" applyAlignment="1">
      <alignment horizontal="center" vertical="center"/>
    </xf>
    <xf numFmtId="0" fontId="130" fillId="0" borderId="0" xfId="0" applyFont="1" applyAlignment="1">
      <alignment horizontal="center"/>
    </xf>
    <xf numFmtId="0" fontId="143" fillId="23" borderId="23" xfId="377" applyFont="1" applyFill="1" applyBorder="1" applyAlignment="1">
      <alignment horizontal="center" vertical="center"/>
    </xf>
    <xf numFmtId="0" fontId="186" fillId="0" borderId="0" xfId="0" applyFont="1" applyAlignment="1"/>
    <xf numFmtId="3" fontId="130" fillId="0" borderId="11" xfId="0" applyNumberFormat="1" applyFont="1" applyBorder="1" applyAlignment="1">
      <alignment horizontal="center" vertical="center" wrapText="1"/>
    </xf>
    <xf numFmtId="3" fontId="143" fillId="23" borderId="23" xfId="66" applyNumberFormat="1" applyFont="1" applyFill="1" applyBorder="1" applyAlignment="1">
      <alignment horizontal="center" vertical="center"/>
    </xf>
    <xf numFmtId="0" fontId="185" fillId="0" borderId="18" xfId="466" applyFont="1" applyBorder="1" applyAlignment="1">
      <alignment horizontal="center" vertical="center"/>
    </xf>
    <xf numFmtId="3" fontId="130" fillId="0" borderId="11" xfId="0" applyNumberFormat="1" applyFont="1" applyBorder="1" applyAlignment="1">
      <alignment horizontal="center" vertical="center"/>
    </xf>
    <xf numFmtId="3" fontId="130" fillId="0" borderId="13" xfId="0" applyNumberFormat="1" applyFont="1" applyBorder="1" applyAlignment="1">
      <alignment horizontal="center" vertical="center" wrapText="1"/>
    </xf>
    <xf numFmtId="3" fontId="130" fillId="0" borderId="19" xfId="66" applyNumberFormat="1" applyFont="1" applyBorder="1" applyAlignment="1">
      <alignment horizontal="center" vertical="center"/>
    </xf>
    <xf numFmtId="0" fontId="130" fillId="0" borderId="18" xfId="66" applyFont="1" applyBorder="1" applyAlignment="1">
      <alignment horizontal="left" indent="2"/>
    </xf>
    <xf numFmtId="178" fontId="130" fillId="0" borderId="18" xfId="0" applyNumberFormat="1" applyFont="1" applyBorder="1" applyAlignment="1">
      <alignment horizontal="center" wrapText="1"/>
    </xf>
    <xf numFmtId="3" fontId="143" fillId="23" borderId="18" xfId="66" applyNumberFormat="1" applyFont="1" applyFill="1" applyBorder="1" applyAlignment="1">
      <alignment horizontal="center" vertical="center"/>
    </xf>
    <xf numFmtId="0" fontId="143" fillId="23" borderId="18" xfId="66" applyFont="1" applyFill="1" applyBorder="1" applyAlignment="1">
      <alignment horizontal="center" vertical="center"/>
    </xf>
    <xf numFmtId="3" fontId="130" fillId="0" borderId="19" xfId="0" applyNumberFormat="1" applyFont="1" applyBorder="1" applyAlignment="1">
      <alignment horizontal="center"/>
    </xf>
    <xf numFmtId="178" fontId="130" fillId="0" borderId="19" xfId="0" applyNumberFormat="1" applyFont="1" applyBorder="1" applyAlignment="1"/>
    <xf numFmtId="178" fontId="130" fillId="0" borderId="20" xfId="0" applyNumberFormat="1" applyFont="1" applyBorder="1" applyAlignment="1">
      <alignment vertical="center" wrapText="1"/>
    </xf>
    <xf numFmtId="178" fontId="130" fillId="0" borderId="18" xfId="0" applyNumberFormat="1" applyFont="1" applyBorder="1" applyAlignment="1">
      <alignment vertical="center"/>
    </xf>
    <xf numFmtId="178" fontId="130" fillId="0" borderId="18" xfId="0" applyNumberFormat="1" applyFont="1" applyBorder="1" applyAlignment="1"/>
    <xf numFmtId="3" fontId="130" fillId="0" borderId="18" xfId="0" applyNumberFormat="1" applyFont="1" applyBorder="1" applyAlignment="1">
      <alignment horizontal="center" vertical="center"/>
    </xf>
    <xf numFmtId="178" fontId="130" fillId="0" borderId="18" xfId="0" applyNumberFormat="1" applyFont="1" applyBorder="1" applyAlignment="1">
      <alignment horizontal="left" vertical="center"/>
    </xf>
    <xf numFmtId="0" fontId="185" fillId="0" borderId="18" xfId="0" applyFont="1" applyBorder="1" applyAlignment="1">
      <alignment vertical="center"/>
    </xf>
    <xf numFmtId="3" fontId="185" fillId="0" borderId="18" xfId="0" applyNumberFormat="1" applyFont="1" applyBorder="1" applyAlignment="1">
      <alignment horizontal="center"/>
    </xf>
    <xf numFmtId="0" fontId="185" fillId="0" borderId="18" xfId="0" applyFont="1" applyBorder="1" applyAlignment="1">
      <alignment horizontal="left" indent="2"/>
    </xf>
    <xf numFmtId="3" fontId="130" fillId="0" borderId="18" xfId="0" applyNumberFormat="1" applyFont="1" applyBorder="1" applyAlignment="1">
      <alignment horizontal="center"/>
    </xf>
    <xf numFmtId="0" fontId="185" fillId="0" borderId="0" xfId="466" applyFont="1"/>
    <xf numFmtId="0" fontId="186" fillId="0" borderId="18" xfId="0" applyFont="1" applyFill="1" applyBorder="1" applyAlignment="1">
      <alignment horizontal="center"/>
    </xf>
    <xf numFmtId="0" fontId="186" fillId="23" borderId="18" xfId="0" applyFont="1" applyFill="1" applyBorder="1" applyAlignment="1">
      <alignment horizontal="center"/>
    </xf>
    <xf numFmtId="0" fontId="190" fillId="0" borderId="0" xfId="466" applyFont="1" applyAlignment="1">
      <alignment vertical="center"/>
    </xf>
    <xf numFmtId="0" fontId="130" fillId="0" borderId="0" xfId="0" applyFont="1" applyAlignment="1">
      <alignment vertical="center"/>
    </xf>
    <xf numFmtId="0" fontId="130" fillId="0" borderId="0" xfId="66" applyFont="1"/>
    <xf numFmtId="0" fontId="130" fillId="0" borderId="0" xfId="66" applyFont="1" applyBorder="1" applyAlignment="1">
      <alignment vertical="center"/>
    </xf>
    <xf numFmtId="0" fontId="130" fillId="0" borderId="0" xfId="66" applyFont="1" applyAlignment="1">
      <alignment vertical="center"/>
    </xf>
    <xf numFmtId="0" fontId="130" fillId="0" borderId="0" xfId="0" applyFont="1"/>
    <xf numFmtId="178" fontId="73" fillId="0" borderId="18" xfId="797" applyNumberFormat="1" applyFont="1" applyBorder="1" applyAlignment="1">
      <alignment horizontal="center" vertical="center"/>
    </xf>
    <xf numFmtId="3" fontId="70" fillId="0" borderId="18" xfId="797" applyNumberFormat="1" applyFont="1" applyBorder="1" applyAlignment="1">
      <alignment horizontal="center" vertical="center" wrapText="1"/>
    </xf>
    <xf numFmtId="178" fontId="73" fillId="0" borderId="18" xfId="377" applyNumberFormat="1" applyFont="1" applyBorder="1" applyAlignment="1">
      <alignment horizontal="center" vertical="center"/>
    </xf>
    <xf numFmtId="178" fontId="73" fillId="0" borderId="18" xfId="797" applyNumberFormat="1" applyFont="1" applyBorder="1" applyAlignment="1">
      <alignment horizontal="center" vertical="center" wrapText="1"/>
    </xf>
    <xf numFmtId="3" fontId="73" fillId="23" borderId="18" xfId="377" applyNumberFormat="1" applyFont="1" applyFill="1" applyBorder="1" applyAlignment="1">
      <alignment horizontal="center" vertical="center"/>
    </xf>
    <xf numFmtId="0" fontId="130" fillId="0" borderId="0" xfId="0" applyFont="1" applyAlignment="1">
      <alignment horizontal="center" vertical="center"/>
    </xf>
    <xf numFmtId="0" fontId="186" fillId="23" borderId="18" xfId="0" applyFont="1" applyFill="1" applyBorder="1" applyAlignment="1">
      <alignment horizontal="center" vertical="center"/>
    </xf>
    <xf numFmtId="0" fontId="130" fillId="0" borderId="21" xfId="0" applyFont="1" applyBorder="1" applyAlignment="1">
      <alignment horizontal="center" vertical="center"/>
    </xf>
    <xf numFmtId="0" fontId="130" fillId="0" borderId="23" xfId="0" applyFont="1" applyBorder="1" applyAlignment="1">
      <alignment horizontal="center" vertical="center"/>
    </xf>
    <xf numFmtId="0" fontId="185" fillId="0" borderId="18" xfId="0" applyFont="1" applyBorder="1" applyAlignment="1">
      <alignment horizontal="center"/>
    </xf>
    <xf numFmtId="0" fontId="81" fillId="23" borderId="18" xfId="377" applyFont="1" applyFill="1" applyBorder="1" applyAlignment="1">
      <alignment horizontal="center" vertical="center"/>
    </xf>
    <xf numFmtId="0" fontId="210" fillId="23" borderId="18" xfId="797" applyFont="1" applyFill="1" applyBorder="1" applyAlignment="1">
      <alignment horizontal="center" vertical="center"/>
    </xf>
    <xf numFmtId="0" fontId="185" fillId="0" borderId="0" xfId="0" applyFont="1"/>
    <xf numFmtId="0" fontId="129" fillId="23" borderId="27" xfId="0" applyFont="1" applyFill="1" applyBorder="1" applyAlignment="1">
      <alignment horizontal="center" vertical="center"/>
    </xf>
    <xf numFmtId="170" fontId="128" fillId="23" borderId="13" xfId="70" applyNumberFormat="1" applyFont="1" applyFill="1" applyBorder="1" applyAlignment="1">
      <alignment horizontal="right" vertical="center" indent="1"/>
    </xf>
    <xf numFmtId="170" fontId="128" fillId="23" borderId="18" xfId="70" applyNumberFormat="1" applyFont="1" applyFill="1" applyBorder="1" applyAlignment="1">
      <alignment horizontal="right" vertical="center" indent="1"/>
    </xf>
    <xf numFmtId="0" fontId="65" fillId="0" borderId="0" xfId="76" applyAlignment="1">
      <alignment horizontal="center"/>
    </xf>
    <xf numFmtId="0" fontId="101" fillId="0" borderId="0" xfId="76" applyFont="1"/>
    <xf numFmtId="0" fontId="104" fillId="0" borderId="0" xfId="76" applyFont="1"/>
    <xf numFmtId="0" fontId="101" fillId="0" borderId="25" xfId="76" applyFont="1" applyBorder="1" applyAlignment="1">
      <alignment horizontal="center"/>
    </xf>
    <xf numFmtId="0" fontId="101" fillId="0" borderId="30" xfId="76" applyFont="1" applyBorder="1" applyAlignment="1">
      <alignment horizontal="center"/>
    </xf>
    <xf numFmtId="0" fontId="101" fillId="0" borderId="35" xfId="76" applyFont="1" applyBorder="1" applyAlignment="1">
      <alignment horizontal="center"/>
    </xf>
    <xf numFmtId="170" fontId="101" fillId="0" borderId="40" xfId="213" applyNumberFormat="1" applyFont="1" applyBorder="1" applyAlignment="1">
      <alignment horizontal="center"/>
    </xf>
    <xf numFmtId="170" fontId="104" fillId="0" borderId="40" xfId="213" applyNumberFormat="1" applyFont="1" applyBorder="1" applyAlignment="1">
      <alignment horizontal="center"/>
    </xf>
    <xf numFmtId="0" fontId="101" fillId="0" borderId="26" xfId="76" applyFont="1" applyBorder="1" applyAlignment="1">
      <alignment horizontal="center"/>
    </xf>
    <xf numFmtId="0" fontId="101" fillId="0" borderId="31" xfId="76" applyFont="1" applyBorder="1" applyAlignment="1">
      <alignment horizontal="center"/>
    </xf>
    <xf numFmtId="0" fontId="101" fillId="0" borderId="36" xfId="76" applyFont="1" applyBorder="1" applyAlignment="1">
      <alignment horizontal="center"/>
    </xf>
    <xf numFmtId="170" fontId="101" fillId="0" borderId="41" xfId="213" applyNumberFormat="1" applyFont="1" applyBorder="1" applyAlignment="1">
      <alignment horizontal="center"/>
    </xf>
    <xf numFmtId="170" fontId="104" fillId="0" borderId="41" xfId="213" applyNumberFormat="1" applyFont="1" applyBorder="1" applyAlignment="1">
      <alignment horizontal="center"/>
    </xf>
    <xf numFmtId="0" fontId="101" fillId="0" borderId="27" xfId="76" applyFont="1" applyBorder="1" applyAlignment="1">
      <alignment horizontal="center"/>
    </xf>
    <xf numFmtId="0" fontId="101" fillId="0" borderId="32" xfId="76" applyFont="1" applyBorder="1" applyAlignment="1">
      <alignment horizontal="center"/>
    </xf>
    <xf numFmtId="0" fontId="101" fillId="0" borderId="37" xfId="76" applyFont="1" applyBorder="1" applyAlignment="1">
      <alignment horizontal="center"/>
    </xf>
    <xf numFmtId="170" fontId="101" fillId="0" borderId="42" xfId="213" applyNumberFormat="1" applyFont="1" applyBorder="1" applyAlignment="1">
      <alignment horizontal="center"/>
    </xf>
    <xf numFmtId="170" fontId="104" fillId="0" borderId="42" xfId="213" applyNumberFormat="1" applyFont="1" applyBorder="1" applyAlignment="1">
      <alignment horizontal="center"/>
    </xf>
    <xf numFmtId="0" fontId="102" fillId="23" borderId="13" xfId="76" applyFont="1" applyFill="1" applyBorder="1" applyAlignment="1">
      <alignment horizontal="center"/>
    </xf>
    <xf numFmtId="0" fontId="102" fillId="23" borderId="18" xfId="76" applyFont="1" applyFill="1" applyBorder="1" applyAlignment="1">
      <alignment horizontal="center"/>
    </xf>
    <xf numFmtId="0" fontId="102" fillId="23" borderId="14" xfId="76" applyFont="1" applyFill="1" applyBorder="1" applyAlignment="1">
      <alignment horizontal="center"/>
    </xf>
    <xf numFmtId="170" fontId="102" fillId="23" borderId="10" xfId="213" applyNumberFormat="1" applyFont="1" applyFill="1" applyBorder="1" applyAlignment="1">
      <alignment horizontal="center"/>
    </xf>
    <xf numFmtId="170" fontId="244" fillId="23" borderId="10" xfId="213" applyNumberFormat="1" applyFont="1" applyFill="1" applyBorder="1" applyAlignment="1">
      <alignment horizontal="center"/>
    </xf>
    <xf numFmtId="170" fontId="65" fillId="0" borderId="0" xfId="76" applyNumberFormat="1"/>
    <xf numFmtId="0" fontId="102" fillId="0" borderId="0" xfId="76" applyFont="1" applyAlignment="1">
      <alignment horizontal="center"/>
    </xf>
    <xf numFmtId="0" fontId="101" fillId="0" borderId="0" xfId="76" applyFont="1" applyAlignment="1">
      <alignment horizontal="center"/>
    </xf>
    <xf numFmtId="3" fontId="102" fillId="0" borderId="0" xfId="76" applyNumberFormat="1" applyFont="1" applyAlignment="1">
      <alignment horizontal="center"/>
    </xf>
    <xf numFmtId="3" fontId="101" fillId="0" borderId="0" xfId="76" applyNumberFormat="1" applyFont="1" applyAlignment="1">
      <alignment horizontal="center"/>
    </xf>
    <xf numFmtId="0" fontId="245" fillId="0" borderId="0" xfId="76" applyFont="1"/>
    <xf numFmtId="0" fontId="65" fillId="0" borderId="0" xfId="76"/>
    <xf numFmtId="0" fontId="187" fillId="0" borderId="0" xfId="76" applyFont="1"/>
    <xf numFmtId="0" fontId="33" fillId="0" borderId="0" xfId="76" applyFont="1" applyAlignment="1">
      <alignment horizontal="center"/>
    </xf>
    <xf numFmtId="170" fontId="33" fillId="0" borderId="0" xfId="76" applyNumberFormat="1" applyFont="1"/>
    <xf numFmtId="170" fontId="33" fillId="0" borderId="0" xfId="76" applyNumberFormat="1" applyFont="1" applyBorder="1"/>
    <xf numFmtId="0" fontId="33" fillId="0" borderId="0" xfId="76" applyFont="1" applyBorder="1"/>
    <xf numFmtId="0" fontId="33" fillId="0" borderId="0" xfId="76" applyFont="1"/>
    <xf numFmtId="0" fontId="150" fillId="0" borderId="0" xfId="76" applyFont="1" applyBorder="1" applyAlignment="1">
      <alignment horizontal="center"/>
    </xf>
    <xf numFmtId="0" fontId="150" fillId="0" borderId="18" xfId="76" applyFont="1" applyFill="1" applyBorder="1" applyAlignment="1">
      <alignment horizontal="center" vertical="center" wrapText="1"/>
    </xf>
    <xf numFmtId="0" fontId="137" fillId="0" borderId="0" xfId="76" applyFont="1"/>
    <xf numFmtId="0" fontId="137" fillId="0" borderId="25" xfId="76" applyFont="1" applyBorder="1" applyAlignment="1">
      <alignment horizontal="center"/>
    </xf>
    <xf numFmtId="0" fontId="137" fillId="0" borderId="30" xfId="76" applyFont="1" applyBorder="1" applyAlignment="1">
      <alignment horizontal="center"/>
    </xf>
    <xf numFmtId="0" fontId="137" fillId="0" borderId="35" xfId="76" applyFont="1" applyBorder="1" applyAlignment="1">
      <alignment horizontal="center"/>
    </xf>
    <xf numFmtId="170" fontId="137" fillId="0" borderId="40" xfId="213" applyNumberFormat="1" applyFont="1" applyBorder="1" applyAlignment="1">
      <alignment horizontal="center"/>
    </xf>
    <xf numFmtId="0" fontId="137" fillId="0" borderId="26" xfId="76" applyFont="1" applyBorder="1" applyAlignment="1">
      <alignment horizontal="center"/>
    </xf>
    <xf numFmtId="0" fontId="137" fillId="0" borderId="31" xfId="76" applyFont="1" applyBorder="1" applyAlignment="1">
      <alignment horizontal="center"/>
    </xf>
    <xf numFmtId="0" fontId="137" fillId="0" borderId="36" xfId="76" applyFont="1" applyBorder="1" applyAlignment="1">
      <alignment horizontal="center"/>
    </xf>
    <xf numFmtId="170" fontId="137" fillId="0" borderId="41" xfId="213" applyNumberFormat="1" applyFont="1" applyBorder="1" applyAlignment="1">
      <alignment horizontal="center"/>
    </xf>
    <xf numFmtId="0" fontId="137" fillId="0" borderId="27" xfId="76" applyFont="1" applyBorder="1" applyAlignment="1">
      <alignment horizontal="center"/>
    </xf>
    <xf numFmtId="0" fontId="137" fillId="0" borderId="32" xfId="76" applyFont="1" applyBorder="1" applyAlignment="1">
      <alignment horizontal="center"/>
    </xf>
    <xf numFmtId="0" fontId="137" fillId="0" borderId="37" xfId="76" applyFont="1" applyBorder="1" applyAlignment="1">
      <alignment horizontal="center"/>
    </xf>
    <xf numFmtId="170" fontId="137" fillId="0" borderId="42" xfId="213" applyNumberFormat="1" applyFont="1" applyBorder="1" applyAlignment="1">
      <alignment horizontal="center"/>
    </xf>
    <xf numFmtId="0" fontId="150" fillId="23" borderId="13" xfId="76" applyFont="1" applyFill="1" applyBorder="1" applyAlignment="1">
      <alignment horizontal="center"/>
    </xf>
    <xf numFmtId="0" fontId="150" fillId="23" borderId="18" xfId="76" applyFont="1" applyFill="1" applyBorder="1" applyAlignment="1">
      <alignment horizontal="center"/>
    </xf>
    <xf numFmtId="0" fontId="150" fillId="23" borderId="14" xfId="76" applyFont="1" applyFill="1" applyBorder="1" applyAlignment="1">
      <alignment horizontal="center"/>
    </xf>
    <xf numFmtId="170" fontId="150" fillId="23" borderId="10" xfId="213" applyNumberFormat="1" applyFont="1" applyFill="1" applyBorder="1" applyAlignment="1">
      <alignment horizontal="center"/>
    </xf>
    <xf numFmtId="0" fontId="150" fillId="0" borderId="0" xfId="76" applyFont="1" applyAlignment="1">
      <alignment horizontal="center"/>
    </xf>
    <xf numFmtId="0" fontId="137" fillId="0" borderId="0" xfId="76" applyFont="1" applyAlignment="1">
      <alignment horizontal="center"/>
    </xf>
    <xf numFmtId="0" fontId="137" fillId="0" borderId="0" xfId="76" applyFont="1" applyBorder="1" applyAlignment="1">
      <alignment horizontal="center"/>
    </xf>
    <xf numFmtId="3" fontId="150" fillId="0" borderId="0" xfId="76" applyNumberFormat="1" applyFont="1" applyAlignment="1">
      <alignment horizontal="center"/>
    </xf>
    <xf numFmtId="3" fontId="137" fillId="0" borderId="0" xfId="76" applyNumberFormat="1" applyFont="1" applyAlignment="1">
      <alignment horizontal="center"/>
    </xf>
    <xf numFmtId="0" fontId="132" fillId="0" borderId="0" xfId="76" applyFont="1"/>
    <xf numFmtId="0" fontId="104" fillId="0" borderId="18" xfId="76" applyFont="1" applyFill="1" applyBorder="1" applyAlignment="1">
      <alignment horizontal="center" vertical="center" wrapText="1"/>
    </xf>
    <xf numFmtId="0" fontId="102" fillId="23" borderId="18" xfId="76" applyFont="1" applyFill="1" applyBorder="1" applyAlignment="1">
      <alignment horizontal="center" vertical="center"/>
    </xf>
    <xf numFmtId="0" fontId="102" fillId="0" borderId="0" xfId="76" applyFont="1" applyBorder="1" applyAlignment="1">
      <alignment horizontal="center" vertical="center"/>
    </xf>
    <xf numFmtId="0" fontId="102" fillId="23" borderId="18" xfId="0" applyFont="1" applyFill="1" applyBorder="1" applyAlignment="1">
      <alignment horizontal="center" vertical="center" wrapText="1"/>
    </xf>
    <xf numFmtId="0" fontId="101" fillId="0" borderId="0" xfId="0" applyFont="1"/>
    <xf numFmtId="0" fontId="101" fillId="0" borderId="19" xfId="0" applyFont="1" applyBorder="1" applyAlignment="1">
      <alignment horizontal="center"/>
    </xf>
    <xf numFmtId="0" fontId="101" fillId="0" borderId="12" xfId="0" applyFont="1" applyBorder="1" applyAlignment="1">
      <alignment horizontal="center"/>
    </xf>
    <xf numFmtId="170" fontId="101" fillId="0" borderId="19" xfId="57" applyNumberFormat="1" applyFont="1" applyBorder="1" applyAlignment="1">
      <alignment horizontal="center"/>
    </xf>
    <xf numFmtId="0" fontId="101" fillId="0" borderId="21" xfId="0" applyFont="1" applyBorder="1" applyAlignment="1">
      <alignment horizontal="center"/>
    </xf>
    <xf numFmtId="0" fontId="101" fillId="0" borderId="0" xfId="0" applyFont="1" applyBorder="1" applyAlignment="1">
      <alignment horizontal="center"/>
    </xf>
    <xf numFmtId="170" fontId="101" fillId="0" borderId="21" xfId="57" applyNumberFormat="1" applyFont="1" applyBorder="1" applyAlignment="1">
      <alignment horizontal="center"/>
    </xf>
    <xf numFmtId="0" fontId="101" fillId="0" borderId="23" xfId="0" applyFont="1" applyBorder="1" applyAlignment="1">
      <alignment horizontal="center"/>
    </xf>
    <xf numFmtId="0" fontId="101" fillId="0" borderId="24" xfId="0" applyFont="1" applyBorder="1" applyAlignment="1">
      <alignment horizontal="center"/>
    </xf>
    <xf numFmtId="170" fontId="101" fillId="0" borderId="23" xfId="57" applyNumberFormat="1" applyFont="1" applyBorder="1" applyAlignment="1">
      <alignment horizontal="center"/>
    </xf>
    <xf numFmtId="0" fontId="102" fillId="23" borderId="18" xfId="0" applyFont="1" applyFill="1" applyBorder="1" applyAlignment="1">
      <alignment horizontal="center"/>
    </xf>
    <xf numFmtId="0" fontId="102" fillId="23" borderId="14" xfId="0" applyFont="1" applyFill="1" applyBorder="1" applyAlignment="1">
      <alignment horizontal="center"/>
    </xf>
    <xf numFmtId="0" fontId="102" fillId="23" borderId="10" xfId="0" applyFont="1" applyFill="1" applyBorder="1" applyAlignment="1">
      <alignment horizontal="center"/>
    </xf>
    <xf numFmtId="170" fontId="102" fillId="23" borderId="18" xfId="57" applyNumberFormat="1" applyFont="1" applyFill="1" applyBorder="1" applyAlignment="1">
      <alignment horizontal="center"/>
    </xf>
    <xf numFmtId="0" fontId="101" fillId="0" borderId="0" xfId="0" applyFont="1" applyAlignment="1">
      <alignment horizontal="center"/>
    </xf>
    <xf numFmtId="3" fontId="101" fillId="0" borderId="0" xfId="0" applyNumberFormat="1" applyFont="1" applyAlignment="1">
      <alignment horizontal="center"/>
    </xf>
    <xf numFmtId="0" fontId="129" fillId="0" borderId="30" xfId="0" applyFont="1" applyFill="1" applyBorder="1" applyAlignment="1">
      <alignment horizontal="left" vertical="center" indent="1"/>
    </xf>
    <xf numFmtId="0" fontId="137" fillId="0" borderId="35" xfId="0" applyFont="1" applyFill="1" applyBorder="1" applyAlignment="1">
      <alignment horizontal="center" vertical="center"/>
    </xf>
    <xf numFmtId="0" fontId="137" fillId="0" borderId="30" xfId="0" applyFont="1" applyFill="1" applyBorder="1" applyAlignment="1">
      <alignment horizontal="center" vertical="center"/>
    </xf>
    <xf numFmtId="185" fontId="137" fillId="0" borderId="35" xfId="0" applyNumberFormat="1" applyFont="1" applyFill="1" applyBorder="1" applyAlignment="1">
      <alignment horizontal="center" vertical="center"/>
    </xf>
    <xf numFmtId="185" fontId="137" fillId="0" borderId="30" xfId="0" applyNumberFormat="1" applyFont="1" applyFill="1" applyBorder="1" applyAlignment="1">
      <alignment horizontal="center" vertical="center"/>
    </xf>
    <xf numFmtId="185" fontId="129" fillId="0" borderId="40" xfId="0" applyNumberFormat="1" applyFont="1" applyFill="1" applyBorder="1" applyAlignment="1">
      <alignment horizontal="center" vertical="center"/>
    </xf>
    <xf numFmtId="0" fontId="129" fillId="0" borderId="31" xfId="0" applyFont="1" applyFill="1" applyBorder="1" applyAlignment="1">
      <alignment horizontal="left" vertical="center" indent="1"/>
    </xf>
    <xf numFmtId="0" fontId="137" fillId="0" borderId="36" xfId="0" applyFont="1" applyFill="1" applyBorder="1" applyAlignment="1">
      <alignment horizontal="center" vertical="center"/>
    </xf>
    <xf numFmtId="0" fontId="137" fillId="0" borderId="31" xfId="0" applyFont="1" applyFill="1" applyBorder="1" applyAlignment="1">
      <alignment horizontal="center" vertical="center"/>
    </xf>
    <xf numFmtId="185" fontId="137" fillId="0" borderId="36" xfId="0" applyNumberFormat="1" applyFont="1" applyFill="1" applyBorder="1" applyAlignment="1">
      <alignment horizontal="center" vertical="center"/>
    </xf>
    <xf numFmtId="185" fontId="129" fillId="0" borderId="41" xfId="0" applyNumberFormat="1" applyFont="1" applyFill="1" applyBorder="1" applyAlignment="1">
      <alignment horizontal="center" vertical="center"/>
    </xf>
    <xf numFmtId="185" fontId="137" fillId="0" borderId="31" xfId="0" applyNumberFormat="1" applyFont="1" applyFill="1" applyBorder="1" applyAlignment="1">
      <alignment horizontal="center" vertical="center"/>
    </xf>
    <xf numFmtId="0" fontId="129" fillId="20" borderId="32" xfId="0" applyFont="1" applyFill="1" applyBorder="1" applyAlignment="1">
      <alignment horizontal="left" vertical="center" indent="1"/>
    </xf>
    <xf numFmtId="0" fontId="129" fillId="20" borderId="37" xfId="0" applyFont="1" applyFill="1" applyBorder="1" applyAlignment="1">
      <alignment horizontal="center" vertical="center"/>
    </xf>
    <xf numFmtId="0" fontId="137" fillId="20" borderId="32" xfId="0" applyFont="1" applyFill="1" applyBorder="1" applyAlignment="1">
      <alignment horizontal="center" vertical="center"/>
    </xf>
    <xf numFmtId="185" fontId="129" fillId="20" borderId="37" xfId="0" applyNumberFormat="1" applyFont="1" applyFill="1" applyBorder="1" applyAlignment="1">
      <alignment horizontal="center" vertical="center"/>
    </xf>
    <xf numFmtId="0" fontId="129" fillId="0" borderId="36" xfId="0" applyFont="1" applyFill="1" applyBorder="1" applyAlignment="1">
      <alignment horizontal="center" vertical="center"/>
    </xf>
    <xf numFmtId="0" fontId="129" fillId="0" borderId="32" xfId="0" applyFont="1" applyFill="1" applyBorder="1" applyAlignment="1">
      <alignment horizontal="left" vertical="center" indent="1"/>
    </xf>
    <xf numFmtId="0" fontId="129" fillId="0" borderId="37" xfId="0" applyFont="1" applyFill="1" applyBorder="1" applyAlignment="1">
      <alignment horizontal="center" vertical="center"/>
    </xf>
    <xf numFmtId="185" fontId="137" fillId="0" borderId="37" xfId="0" applyNumberFormat="1" applyFont="1" applyFill="1" applyBorder="1" applyAlignment="1">
      <alignment horizontal="center" vertical="center"/>
    </xf>
    <xf numFmtId="185" fontId="137" fillId="0" borderId="32" xfId="0" applyNumberFormat="1" applyFont="1" applyFill="1" applyBorder="1" applyAlignment="1">
      <alignment horizontal="center" vertical="center"/>
    </xf>
    <xf numFmtId="185" fontId="129" fillId="0" borderId="42" xfId="0" applyNumberFormat="1" applyFont="1" applyFill="1" applyBorder="1" applyAlignment="1">
      <alignment horizontal="center" vertical="center"/>
    </xf>
    <xf numFmtId="0" fontId="129" fillId="0" borderId="33" xfId="0" applyFont="1" applyFill="1" applyBorder="1" applyAlignment="1">
      <alignment horizontal="left" vertical="center" indent="1"/>
    </xf>
    <xf numFmtId="0" fontId="129" fillId="0" borderId="38" xfId="0" applyFont="1" applyFill="1" applyBorder="1" applyAlignment="1">
      <alignment horizontal="center" vertical="center"/>
    </xf>
    <xf numFmtId="0" fontId="129" fillId="0" borderId="33" xfId="0" applyFont="1" applyFill="1" applyBorder="1" applyAlignment="1">
      <alignment horizontal="center" vertical="center"/>
    </xf>
    <xf numFmtId="185" fontId="137" fillId="0" borderId="38" xfId="0" applyNumberFormat="1" applyFont="1" applyFill="1" applyBorder="1" applyAlignment="1">
      <alignment horizontal="center" vertical="center"/>
    </xf>
    <xf numFmtId="185" fontId="137" fillId="0" borderId="33" xfId="0" applyNumberFormat="1" applyFont="1" applyFill="1" applyBorder="1" applyAlignment="1">
      <alignment horizontal="center" vertical="center"/>
    </xf>
    <xf numFmtId="185" fontId="129" fillId="0" borderId="34" xfId="0" applyNumberFormat="1" applyFont="1" applyFill="1" applyBorder="1" applyAlignment="1">
      <alignment horizontal="center" vertical="center"/>
    </xf>
    <xf numFmtId="0" fontId="129" fillId="0" borderId="34" xfId="0" applyFont="1" applyFill="1" applyBorder="1" applyAlignment="1">
      <alignment horizontal="left" vertical="center" indent="1"/>
    </xf>
    <xf numFmtId="0" fontId="129" fillId="0" borderId="39" xfId="0" applyFont="1" applyFill="1" applyBorder="1" applyAlignment="1">
      <alignment horizontal="center" vertical="center"/>
    </xf>
    <xf numFmtId="185" fontId="137" fillId="0" borderId="39" xfId="0" applyNumberFormat="1" applyFont="1" applyFill="1" applyBorder="1" applyAlignment="1">
      <alignment horizontal="center" vertical="center"/>
    </xf>
    <xf numFmtId="0" fontId="144" fillId="0" borderId="0" xfId="0" applyFont="1" applyBorder="1" applyAlignment="1">
      <alignment vertical="center"/>
    </xf>
    <xf numFmtId="0" fontId="129" fillId="0" borderId="30" xfId="0" applyFont="1" applyBorder="1" applyAlignment="1">
      <alignment horizontal="left" vertical="center" indent="1"/>
    </xf>
    <xf numFmtId="0" fontId="129" fillId="0" borderId="30" xfId="0" applyFont="1" applyBorder="1" applyAlignment="1">
      <alignment horizontal="center"/>
    </xf>
    <xf numFmtId="185" fontId="129" fillId="0" borderId="30" xfId="0" applyNumberFormat="1" applyFont="1" applyBorder="1" applyAlignment="1">
      <alignment horizontal="center"/>
    </xf>
    <xf numFmtId="0" fontId="129" fillId="0" borderId="31" xfId="0" applyFont="1" applyBorder="1" applyAlignment="1">
      <alignment horizontal="left" vertical="center" indent="1"/>
    </xf>
    <xf numFmtId="0" fontId="129" fillId="0" borderId="36" xfId="0" applyFont="1" applyBorder="1" applyAlignment="1">
      <alignment horizontal="center"/>
    </xf>
    <xf numFmtId="0" fontId="129" fillId="0" borderId="31" xfId="0" applyFont="1" applyBorder="1" applyAlignment="1">
      <alignment horizontal="center"/>
    </xf>
    <xf numFmtId="185" fontId="129" fillId="0" borderId="31" xfId="0" applyNumberFormat="1" applyFont="1" applyBorder="1" applyAlignment="1">
      <alignment horizontal="center"/>
    </xf>
    <xf numFmtId="0" fontId="129" fillId="0" borderId="32" xfId="0" applyFont="1" applyBorder="1" applyAlignment="1">
      <alignment horizontal="left" vertical="center" indent="1"/>
    </xf>
    <xf numFmtId="0" fontId="129" fillId="0" borderId="37" xfId="0" applyFont="1" applyBorder="1" applyAlignment="1">
      <alignment horizontal="center"/>
    </xf>
    <xf numFmtId="0" fontId="129" fillId="0" borderId="32" xfId="0" applyFont="1" applyBorder="1" applyAlignment="1">
      <alignment horizontal="center"/>
    </xf>
    <xf numFmtId="185" fontId="129" fillId="0" borderId="32" xfId="0" applyNumberFormat="1" applyFont="1" applyBorder="1" applyAlignment="1">
      <alignment horizontal="center"/>
    </xf>
    <xf numFmtId="0" fontId="129" fillId="0" borderId="33" xfId="0" applyFont="1" applyBorder="1" applyAlignment="1">
      <alignment horizontal="center"/>
    </xf>
    <xf numFmtId="0" fontId="129" fillId="0" borderId="39" xfId="0" applyFont="1" applyBorder="1" applyAlignment="1">
      <alignment horizontal="center"/>
    </xf>
    <xf numFmtId="0" fontId="129" fillId="0" borderId="34" xfId="0" applyFont="1" applyBorder="1" applyAlignment="1">
      <alignment horizontal="center"/>
    </xf>
    <xf numFmtId="185" fontId="129" fillId="0" borderId="34" xfId="0" applyNumberFormat="1" applyFont="1" applyBorder="1" applyAlignment="1">
      <alignment horizontal="center"/>
    </xf>
    <xf numFmtId="0" fontId="77" fillId="0" borderId="0" xfId="0" applyFont="1" applyAlignment="1">
      <alignment horizontal="left" vertical="center"/>
    </xf>
    <xf numFmtId="185" fontId="129" fillId="0" borderId="31" xfId="0" applyNumberFormat="1" applyFont="1" applyFill="1" applyBorder="1" applyAlignment="1">
      <alignment horizontal="center" vertical="center"/>
    </xf>
    <xf numFmtId="0" fontId="251" fillId="0" borderId="31" xfId="0" applyFont="1" applyFill="1" applyBorder="1" applyAlignment="1">
      <alignment horizontal="center" vertical="center"/>
    </xf>
    <xf numFmtId="185" fontId="129" fillId="0" borderId="32" xfId="0" applyNumberFormat="1" applyFont="1" applyFill="1" applyBorder="1" applyAlignment="1">
      <alignment horizontal="center" vertical="center"/>
    </xf>
    <xf numFmtId="185" fontId="129" fillId="0" borderId="30" xfId="0" applyNumberFormat="1" applyFont="1" applyFill="1" applyBorder="1" applyAlignment="1">
      <alignment horizontal="center" vertical="center"/>
    </xf>
    <xf numFmtId="0" fontId="81" fillId="0" borderId="31" xfId="0" applyFont="1" applyFill="1" applyBorder="1" applyAlignment="1">
      <alignment horizontal="center" vertical="center"/>
    </xf>
    <xf numFmtId="0" fontId="81" fillId="0" borderId="32" xfId="0" applyFont="1" applyFill="1" applyBorder="1" applyAlignment="1">
      <alignment horizontal="center" vertical="center"/>
    </xf>
    <xf numFmtId="0" fontId="77" fillId="0" borderId="0" xfId="0" applyFont="1" applyAlignment="1">
      <alignment vertical="center"/>
    </xf>
    <xf numFmtId="0" fontId="253" fillId="0" borderId="0" xfId="0" applyFont="1" applyFill="1" applyBorder="1" applyAlignment="1">
      <alignment horizontal="left" vertical="center"/>
    </xf>
    <xf numFmtId="0" fontId="129" fillId="0" borderId="35" xfId="0" applyFont="1" applyFill="1" applyBorder="1" applyAlignment="1">
      <alignment horizontal="left" vertical="center"/>
    </xf>
    <xf numFmtId="0" fontId="129" fillId="0" borderId="30" xfId="0" applyFont="1" applyFill="1" applyBorder="1" applyAlignment="1">
      <alignment horizontal="left" vertical="center"/>
    </xf>
    <xf numFmtId="185" fontId="129" fillId="0" borderId="30" xfId="0" applyNumberFormat="1" applyFont="1" applyFill="1" applyBorder="1" applyAlignment="1">
      <alignment horizontal="left" vertical="center"/>
    </xf>
    <xf numFmtId="0" fontId="129" fillId="0" borderId="37" xfId="0" applyFont="1" applyFill="1" applyBorder="1" applyAlignment="1">
      <alignment horizontal="left" vertical="center"/>
    </xf>
    <xf numFmtId="0" fontId="129" fillId="0" borderId="32" xfId="0" applyFont="1" applyFill="1" applyBorder="1" applyAlignment="1">
      <alignment horizontal="left" vertical="center"/>
    </xf>
    <xf numFmtId="185" fontId="129" fillId="0" borderId="32" xfId="0" applyNumberFormat="1" applyFont="1" applyFill="1" applyBorder="1" applyAlignment="1">
      <alignment horizontal="left" vertical="center"/>
    </xf>
    <xf numFmtId="0" fontId="129" fillId="0" borderId="35" xfId="0" applyFont="1" applyFill="1" applyBorder="1" applyAlignment="1">
      <alignment horizontal="center" vertical="center"/>
    </xf>
    <xf numFmtId="170" fontId="102" fillId="23" borderId="10" xfId="213" applyNumberFormat="1" applyFont="1" applyFill="1" applyBorder="1" applyAlignment="1">
      <alignment horizontal="center" vertical="center"/>
    </xf>
    <xf numFmtId="170" fontId="244" fillId="23" borderId="10" xfId="213" applyNumberFormat="1" applyFont="1" applyFill="1" applyBorder="1" applyAlignment="1">
      <alignment horizontal="center" vertical="center"/>
    </xf>
    <xf numFmtId="0" fontId="102" fillId="23" borderId="13" xfId="76" applyFont="1" applyFill="1" applyBorder="1" applyAlignment="1">
      <alignment horizontal="center" vertical="center"/>
    </xf>
    <xf numFmtId="0" fontId="102" fillId="23" borderId="14" xfId="76" applyFont="1" applyFill="1" applyBorder="1" applyAlignment="1">
      <alignment horizontal="center" vertical="center"/>
    </xf>
    <xf numFmtId="0" fontId="101" fillId="0" borderId="30" xfId="76" applyFont="1" applyBorder="1" applyAlignment="1">
      <alignment horizontal="center" vertical="center"/>
    </xf>
    <xf numFmtId="0" fontId="101" fillId="0" borderId="35" xfId="76" applyFont="1" applyBorder="1" applyAlignment="1">
      <alignment horizontal="center" vertical="center"/>
    </xf>
    <xf numFmtId="170" fontId="101" fillId="0" borderId="40" xfId="213" applyNumberFormat="1" applyFont="1" applyBorder="1" applyAlignment="1">
      <alignment horizontal="center" vertical="center"/>
    </xf>
    <xf numFmtId="0" fontId="129" fillId="0" borderId="30" xfId="826" applyFont="1" applyFill="1" applyBorder="1" applyAlignment="1">
      <alignment horizontal="left" vertical="center" indent="1"/>
    </xf>
    <xf numFmtId="0" fontId="129" fillId="0" borderId="40" xfId="826" applyFont="1" applyFill="1" applyBorder="1" applyAlignment="1">
      <alignment horizontal="center" vertical="center"/>
    </xf>
    <xf numFmtId="0" fontId="129" fillId="0" borderId="41" xfId="826" applyFont="1" applyFill="1" applyBorder="1" applyAlignment="1">
      <alignment horizontal="left" vertical="center" indent="1"/>
    </xf>
    <xf numFmtId="0" fontId="129" fillId="0" borderId="31" xfId="826" applyFont="1" applyFill="1" applyBorder="1" applyAlignment="1">
      <alignment horizontal="center" vertical="center"/>
    </xf>
    <xf numFmtId="0" fontId="129" fillId="0" borderId="41" xfId="826" applyFont="1" applyFill="1" applyBorder="1" applyAlignment="1">
      <alignment horizontal="center" vertical="center"/>
    </xf>
    <xf numFmtId="0" fontId="129" fillId="0" borderId="34" xfId="826" applyFont="1" applyFill="1" applyBorder="1" applyAlignment="1">
      <alignment horizontal="center" vertical="center"/>
    </xf>
    <xf numFmtId="0" fontId="129" fillId="0" borderId="44" xfId="826" applyFont="1" applyFill="1" applyBorder="1" applyAlignment="1">
      <alignment horizontal="center" vertical="center" wrapText="1"/>
    </xf>
    <xf numFmtId="0" fontId="129" fillId="0" borderId="44" xfId="826" applyFont="1" applyFill="1" applyBorder="1" applyAlignment="1">
      <alignment horizontal="center" vertical="center"/>
    </xf>
    <xf numFmtId="0" fontId="129" fillId="0" borderId="41" xfId="826" applyFont="1" applyFill="1" applyBorder="1" applyAlignment="1">
      <alignment horizontal="center" vertical="center" wrapText="1"/>
    </xf>
    <xf numFmtId="0" fontId="129" fillId="0" borderId="42" xfId="826" applyFont="1" applyFill="1" applyBorder="1" applyAlignment="1">
      <alignment horizontal="left" vertical="center" indent="1"/>
    </xf>
    <xf numFmtId="0" fontId="129" fillId="0" borderId="32" xfId="826" applyFont="1" applyFill="1" applyBorder="1" applyAlignment="1">
      <alignment horizontal="center" vertical="center"/>
    </xf>
    <xf numFmtId="0" fontId="129" fillId="0" borderId="42" xfId="826" applyFont="1" applyFill="1" applyBorder="1" applyAlignment="1">
      <alignment horizontal="center" vertical="center"/>
    </xf>
    <xf numFmtId="0" fontId="129" fillId="0" borderId="30" xfId="826" applyFont="1" applyFill="1" applyBorder="1" applyAlignment="1">
      <alignment horizontal="center" vertical="center"/>
    </xf>
    <xf numFmtId="0" fontId="129" fillId="0" borderId="33" xfId="826" applyFont="1" applyFill="1" applyBorder="1" applyAlignment="1">
      <alignment horizontal="center" vertical="center"/>
    </xf>
    <xf numFmtId="0" fontId="129" fillId="0" borderId="43" xfId="826" applyFont="1" applyFill="1" applyBorder="1" applyAlignment="1">
      <alignment horizontal="center" vertical="center"/>
    </xf>
    <xf numFmtId="0" fontId="129" fillId="0" borderId="34" xfId="826" applyFont="1" applyFill="1" applyBorder="1" applyAlignment="1">
      <alignment horizontal="left" vertical="center"/>
    </xf>
    <xf numFmtId="0" fontId="144" fillId="0" borderId="0" xfId="826" applyFont="1" applyBorder="1" applyAlignment="1">
      <alignment vertical="center"/>
    </xf>
    <xf numFmtId="0" fontId="144" fillId="0" borderId="0" xfId="826" applyFont="1" applyAlignment="1">
      <alignment vertical="center"/>
    </xf>
    <xf numFmtId="0" fontId="101" fillId="0" borderId="19" xfId="0" applyFont="1" applyBorder="1" applyAlignment="1">
      <alignment horizontal="center" vertical="center"/>
    </xf>
    <xf numFmtId="0" fontId="101" fillId="0" borderId="21" xfId="0" applyFont="1" applyBorder="1" applyAlignment="1">
      <alignment horizontal="center" vertical="center"/>
    </xf>
    <xf numFmtId="0" fontId="101" fillId="0" borderId="23" xfId="0" applyFont="1" applyBorder="1" applyAlignment="1">
      <alignment horizontal="center" vertical="center"/>
    </xf>
    <xf numFmtId="0" fontId="150" fillId="23" borderId="18" xfId="76" applyFont="1" applyFill="1" applyBorder="1" applyAlignment="1">
      <alignment horizontal="center" vertical="center" wrapText="1"/>
    </xf>
    <xf numFmtId="0" fontId="70" fillId="0" borderId="0" xfId="76" applyFont="1" applyFill="1" applyBorder="1" applyAlignment="1">
      <alignment horizontal="center" vertical="top"/>
    </xf>
    <xf numFmtId="0" fontId="150" fillId="0" borderId="0" xfId="827" applyFont="1" applyAlignment="1">
      <alignment horizontal="center"/>
    </xf>
    <xf numFmtId="0" fontId="32" fillId="0" borderId="0" xfId="827"/>
    <xf numFmtId="0" fontId="32" fillId="0" borderId="0" xfId="827" applyFont="1"/>
    <xf numFmtId="0" fontId="150" fillId="23" borderId="23" xfId="827" applyFont="1" applyFill="1" applyBorder="1" applyAlignment="1">
      <alignment horizontal="center" vertical="center" wrapText="1"/>
    </xf>
    <xf numFmtId="0" fontId="150" fillId="0" borderId="23" xfId="827" applyFont="1" applyFill="1" applyBorder="1" applyAlignment="1">
      <alignment horizontal="center" vertical="center" wrapText="1"/>
    </xf>
    <xf numFmtId="0" fontId="150" fillId="23" borderId="18" xfId="827" applyFont="1" applyFill="1" applyBorder="1" applyAlignment="1">
      <alignment horizontal="center" vertical="center" wrapText="1"/>
    </xf>
    <xf numFmtId="0" fontId="150" fillId="0" borderId="18" xfId="827" applyFont="1" applyFill="1" applyBorder="1" applyAlignment="1">
      <alignment horizontal="center" vertical="center" wrapText="1"/>
    </xf>
    <xf numFmtId="0" fontId="182" fillId="0" borderId="18" xfId="827" applyFont="1" applyBorder="1" applyAlignment="1">
      <alignment horizontal="center" vertical="center" wrapText="1"/>
    </xf>
    <xf numFmtId="0" fontId="137" fillId="0" borderId="0" xfId="827" applyFont="1"/>
    <xf numFmtId="0" fontId="182" fillId="0" borderId="0" xfId="827" applyFont="1" applyAlignment="1">
      <alignment horizontal="center"/>
    </xf>
    <xf numFmtId="0" fontId="137" fillId="0" borderId="30" xfId="827" applyFont="1" applyBorder="1" applyAlignment="1">
      <alignment horizontal="center"/>
    </xf>
    <xf numFmtId="0" fontId="32" fillId="0" borderId="25" xfId="827" applyFont="1" applyBorder="1" applyAlignment="1">
      <alignment horizontal="center"/>
    </xf>
    <xf numFmtId="0" fontId="32" fillId="0" borderId="30" xfId="827" applyFont="1" applyBorder="1" applyAlignment="1">
      <alignment horizontal="center"/>
    </xf>
    <xf numFmtId="0" fontId="150" fillId="0" borderId="30" xfId="827" applyFont="1" applyBorder="1" applyAlignment="1">
      <alignment horizontal="center" vertical="center"/>
    </xf>
    <xf numFmtId="0" fontId="137" fillId="0" borderId="30" xfId="827" applyFont="1" applyBorder="1" applyAlignment="1">
      <alignment horizontal="center" vertical="center"/>
    </xf>
    <xf numFmtId="0" fontId="137" fillId="0" borderId="25" xfId="827" applyFont="1" applyBorder="1" applyAlignment="1">
      <alignment horizontal="center" vertical="center"/>
    </xf>
    <xf numFmtId="0" fontId="166" fillId="0" borderId="35" xfId="827" applyFont="1" applyBorder="1" applyAlignment="1">
      <alignment horizontal="center" vertical="center"/>
    </xf>
    <xf numFmtId="170" fontId="137" fillId="0" borderId="40" xfId="213" applyNumberFormat="1" applyFont="1" applyBorder="1" applyAlignment="1">
      <alignment horizontal="right" vertical="center" indent="1"/>
    </xf>
    <xf numFmtId="170" fontId="182" fillId="0" borderId="40" xfId="213" applyNumberFormat="1" applyFont="1" applyBorder="1" applyAlignment="1">
      <alignment horizontal="right" vertical="center" indent="1"/>
    </xf>
    <xf numFmtId="0" fontId="137" fillId="0" borderId="31" xfId="827" applyFont="1" applyBorder="1" applyAlignment="1">
      <alignment horizontal="center"/>
    </xf>
    <xf numFmtId="0" fontId="32" fillId="0" borderId="26" xfId="827" applyFont="1" applyBorder="1" applyAlignment="1">
      <alignment horizontal="center"/>
    </xf>
    <xf numFmtId="0" fontId="32" fillId="0" borderId="31" xfId="827" applyFont="1" applyBorder="1" applyAlignment="1">
      <alignment horizontal="center"/>
    </xf>
    <xf numFmtId="0" fontId="150" fillId="0" borderId="31" xfId="827" applyFont="1" applyBorder="1" applyAlignment="1">
      <alignment horizontal="center" vertical="center"/>
    </xf>
    <xf numFmtId="0" fontId="137" fillId="0" borderId="31" xfId="827" applyFont="1" applyBorder="1" applyAlignment="1">
      <alignment horizontal="center" vertical="center"/>
    </xf>
    <xf numFmtId="0" fontId="137" fillId="0" borderId="26" xfId="827" applyFont="1" applyBorder="1" applyAlignment="1">
      <alignment horizontal="center" vertical="center"/>
    </xf>
    <xf numFmtId="0" fontId="166" fillId="0" borderId="31" xfId="827" applyFont="1" applyBorder="1" applyAlignment="1">
      <alignment horizontal="center" vertical="center"/>
    </xf>
    <xf numFmtId="0" fontId="137" fillId="0" borderId="36" xfId="827" applyFont="1" applyBorder="1" applyAlignment="1">
      <alignment horizontal="center" vertical="center"/>
    </xf>
    <xf numFmtId="170" fontId="137" fillId="0" borderId="41" xfId="213" applyNumberFormat="1" applyFont="1" applyBorder="1" applyAlignment="1">
      <alignment horizontal="right" vertical="center" indent="1"/>
    </xf>
    <xf numFmtId="170" fontId="182" fillId="0" borderId="41" xfId="213" applyNumberFormat="1" applyFont="1" applyBorder="1" applyAlignment="1">
      <alignment horizontal="right" vertical="center" indent="1"/>
    </xf>
    <xf numFmtId="0" fontId="137" fillId="0" borderId="32" xfId="827" applyFont="1" applyBorder="1" applyAlignment="1">
      <alignment horizontal="center"/>
    </xf>
    <xf numFmtId="0" fontId="32" fillId="0" borderId="27" xfId="827" applyFont="1" applyBorder="1" applyAlignment="1">
      <alignment horizontal="center"/>
    </xf>
    <xf numFmtId="0" fontId="32" fillId="0" borderId="32" xfId="827" applyFont="1" applyBorder="1" applyAlignment="1">
      <alignment horizontal="center"/>
    </xf>
    <xf numFmtId="0" fontId="150" fillId="0" borderId="32" xfId="827" applyFont="1" applyBorder="1" applyAlignment="1">
      <alignment horizontal="center" vertical="center"/>
    </xf>
    <xf numFmtId="0" fontId="137" fillId="0" borderId="32" xfId="827" applyFont="1" applyBorder="1" applyAlignment="1">
      <alignment horizontal="center" vertical="center"/>
    </xf>
    <xf numFmtId="0" fontId="137" fillId="0" borderId="27" xfId="827" applyFont="1" applyBorder="1" applyAlignment="1">
      <alignment horizontal="center" vertical="center"/>
    </xf>
    <xf numFmtId="0" fontId="137" fillId="0" borderId="37" xfId="827" applyFont="1" applyBorder="1" applyAlignment="1">
      <alignment horizontal="center" vertical="center"/>
    </xf>
    <xf numFmtId="170" fontId="137" fillId="0" borderId="42" xfId="213" applyNumberFormat="1" applyFont="1" applyBorder="1" applyAlignment="1">
      <alignment horizontal="right" vertical="center" indent="1"/>
    </xf>
    <xf numFmtId="170" fontId="182" fillId="0" borderId="42" xfId="213" applyNumberFormat="1" applyFont="1" applyBorder="1" applyAlignment="1">
      <alignment horizontal="right" vertical="center" indent="1"/>
    </xf>
    <xf numFmtId="0" fontId="150" fillId="23" borderId="18" xfId="827" applyFont="1" applyFill="1" applyBorder="1" applyAlignment="1">
      <alignment horizontal="center"/>
    </xf>
    <xf numFmtId="0" fontId="150" fillId="23" borderId="18" xfId="827" applyFont="1" applyFill="1" applyBorder="1" applyAlignment="1">
      <alignment horizontal="center" vertical="center"/>
    </xf>
    <xf numFmtId="0" fontId="150" fillId="23" borderId="13" xfId="827" applyFont="1" applyFill="1" applyBorder="1" applyAlignment="1">
      <alignment horizontal="center" vertical="center"/>
    </xf>
    <xf numFmtId="0" fontId="150" fillId="23" borderId="10" xfId="827" applyFont="1" applyFill="1" applyBorder="1" applyAlignment="1">
      <alignment horizontal="center" vertical="center"/>
    </xf>
    <xf numFmtId="170" fontId="150" fillId="23" borderId="18" xfId="213" applyNumberFormat="1" applyFont="1" applyFill="1" applyBorder="1" applyAlignment="1">
      <alignment horizontal="right" vertical="center" indent="1"/>
    </xf>
    <xf numFmtId="170" fontId="257" fillId="23" borderId="18" xfId="213" applyNumberFormat="1" applyFont="1" applyFill="1" applyBorder="1" applyAlignment="1">
      <alignment horizontal="right" vertical="center" indent="1"/>
    </xf>
    <xf numFmtId="0" fontId="139" fillId="0" borderId="0" xfId="827" applyFont="1" applyBorder="1" applyAlignment="1">
      <alignment horizontal="center" vertical="center"/>
    </xf>
    <xf numFmtId="0" fontId="137" fillId="0" borderId="35" xfId="827" applyFont="1" applyBorder="1" applyAlignment="1">
      <alignment horizontal="center" vertical="center"/>
    </xf>
    <xf numFmtId="0" fontId="150" fillId="0" borderId="0" xfId="827" applyFont="1"/>
    <xf numFmtId="0" fontId="132" fillId="0" borderId="0" xfId="827" applyFont="1"/>
    <xf numFmtId="0" fontId="181" fillId="0" borderId="0" xfId="827" applyFont="1" applyAlignment="1">
      <alignment horizontal="right" indent="1"/>
    </xf>
    <xf numFmtId="0" fontId="129" fillId="0" borderId="25" xfId="827" applyFont="1" applyBorder="1" applyAlignment="1">
      <alignment horizontal="center" vertical="center"/>
    </xf>
    <xf numFmtId="3" fontId="150" fillId="0" borderId="0" xfId="827" applyNumberFormat="1" applyFont="1" applyAlignment="1">
      <alignment horizontal="center"/>
    </xf>
    <xf numFmtId="3" fontId="137" fillId="0" borderId="0" xfId="827" applyNumberFormat="1" applyFont="1" applyAlignment="1">
      <alignment horizontal="center"/>
    </xf>
    <xf numFmtId="0" fontId="32" fillId="0" borderId="0" xfId="827" applyFont="1" applyAlignment="1">
      <alignment horizontal="center"/>
    </xf>
    <xf numFmtId="0" fontId="150" fillId="0" borderId="0" xfId="827" applyFont="1" applyAlignment="1">
      <alignment horizontal="center" vertical="center"/>
    </xf>
    <xf numFmtId="0" fontId="137" fillId="0" borderId="0" xfId="827" applyFont="1" applyAlignment="1">
      <alignment horizontal="center" vertical="center"/>
    </xf>
    <xf numFmtId="170" fontId="137" fillId="0" borderId="0" xfId="213" applyNumberFormat="1" applyFont="1" applyAlignment="1">
      <alignment horizontal="center" vertical="center"/>
    </xf>
    <xf numFmtId="170" fontId="150" fillId="0" borderId="0" xfId="213" applyNumberFormat="1" applyFont="1" applyAlignment="1">
      <alignment horizontal="center" vertical="center"/>
    </xf>
    <xf numFmtId="170" fontId="137" fillId="0" borderId="0" xfId="213" applyNumberFormat="1" applyFont="1" applyAlignment="1">
      <alignment horizontal="right" vertical="center" indent="1"/>
    </xf>
    <xf numFmtId="170" fontId="182" fillId="0" borderId="0" xfId="213" applyNumberFormat="1" applyFont="1" applyAlignment="1">
      <alignment horizontal="right" vertical="center" indent="1"/>
    </xf>
    <xf numFmtId="0" fontId="255" fillId="0" borderId="0" xfId="827" applyFont="1" applyBorder="1" applyAlignment="1">
      <alignment horizontal="center" vertical="center"/>
    </xf>
    <xf numFmtId="0" fontId="258" fillId="0" borderId="0" xfId="827" applyFont="1" applyBorder="1" applyAlignment="1">
      <alignment horizontal="right" vertical="center" indent="1"/>
    </xf>
    <xf numFmtId="0" fontId="259" fillId="0" borderId="0" xfId="827" applyFont="1" applyBorder="1" applyAlignment="1">
      <alignment horizontal="center" vertical="center"/>
    </xf>
    <xf numFmtId="170" fontId="137" fillId="0" borderId="0" xfId="827" applyNumberFormat="1" applyFont="1" applyAlignment="1">
      <alignment horizontal="center"/>
    </xf>
    <xf numFmtId="0" fontId="32" fillId="0" borderId="10" xfId="827" applyBorder="1" applyAlignment="1">
      <alignment horizontal="center" vertical="center"/>
    </xf>
    <xf numFmtId="0" fontId="32" fillId="0" borderId="18" xfId="827" applyBorder="1" applyAlignment="1">
      <alignment horizontal="center" vertical="center"/>
    </xf>
    <xf numFmtId="0" fontId="132" fillId="23" borderId="18" xfId="827" applyFont="1" applyFill="1" applyBorder="1" applyAlignment="1">
      <alignment horizontal="center" vertical="center"/>
    </xf>
    <xf numFmtId="0" fontId="128" fillId="23" borderId="163" xfId="827" applyFont="1" applyFill="1" applyBorder="1" applyAlignment="1">
      <alignment horizontal="center"/>
    </xf>
    <xf numFmtId="0" fontId="101" fillId="0" borderId="0" xfId="827" applyFont="1" applyAlignment="1">
      <alignment horizontal="center"/>
    </xf>
    <xf numFmtId="0" fontId="32" fillId="0" borderId="27" xfId="827" applyFont="1" applyBorder="1" applyAlignment="1">
      <alignment horizontal="center" vertical="center"/>
    </xf>
    <xf numFmtId="0" fontId="32" fillId="0" borderId="32" xfId="827" applyFont="1" applyBorder="1" applyAlignment="1">
      <alignment horizontal="center" vertical="center"/>
    </xf>
    <xf numFmtId="0" fontId="32" fillId="0" borderId="0" xfId="827" applyFont="1" applyAlignment="1">
      <alignment vertical="center"/>
    </xf>
    <xf numFmtId="170" fontId="137" fillId="0" borderId="42" xfId="213" applyNumberFormat="1" applyFont="1" applyBorder="1" applyAlignment="1">
      <alignment horizontal="right" vertical="center"/>
    </xf>
    <xf numFmtId="170" fontId="182" fillId="0" borderId="42" xfId="213" applyNumberFormat="1" applyFont="1" applyBorder="1" applyAlignment="1">
      <alignment horizontal="right" vertical="center"/>
    </xf>
    <xf numFmtId="170" fontId="150" fillId="23" borderId="18" xfId="213" applyNumberFormat="1" applyFont="1" applyFill="1" applyBorder="1" applyAlignment="1">
      <alignment horizontal="right" vertical="center"/>
    </xf>
    <xf numFmtId="170" fontId="257" fillId="23" borderId="18" xfId="213" applyNumberFormat="1" applyFont="1" applyFill="1" applyBorder="1" applyAlignment="1">
      <alignment horizontal="right" vertical="center"/>
    </xf>
    <xf numFmtId="0" fontId="32" fillId="0" borderId="25" xfId="827" applyFont="1" applyBorder="1" applyAlignment="1">
      <alignment horizontal="center" vertical="center"/>
    </xf>
    <xf numFmtId="0" fontId="32" fillId="0" borderId="30" xfId="827" applyFont="1" applyBorder="1" applyAlignment="1">
      <alignment horizontal="center" vertical="center"/>
    </xf>
    <xf numFmtId="170" fontId="137" fillId="0" borderId="40" xfId="213" applyNumberFormat="1" applyFont="1" applyBorder="1" applyAlignment="1">
      <alignment horizontal="right" vertical="center"/>
    </xf>
    <xf numFmtId="170" fontId="182" fillId="0" borderId="40" xfId="213" applyNumberFormat="1" applyFont="1" applyBorder="1" applyAlignment="1">
      <alignment horizontal="right" vertical="center"/>
    </xf>
    <xf numFmtId="0" fontId="32" fillId="0" borderId="26" xfId="827" applyFont="1" applyBorder="1" applyAlignment="1">
      <alignment horizontal="center" vertical="center"/>
    </xf>
    <xf numFmtId="0" fontId="32" fillId="0" borderId="31" xfId="827" applyFont="1" applyBorder="1" applyAlignment="1">
      <alignment horizontal="center" vertical="center"/>
    </xf>
    <xf numFmtId="170" fontId="137" fillId="0" borderId="41" xfId="213" applyNumberFormat="1" applyFont="1" applyBorder="1" applyAlignment="1">
      <alignment horizontal="right" vertical="center"/>
    </xf>
    <xf numFmtId="170" fontId="182" fillId="0" borderId="41" xfId="213" applyNumberFormat="1" applyFont="1" applyBorder="1" applyAlignment="1">
      <alignment horizontal="right" vertical="center"/>
    </xf>
    <xf numFmtId="0" fontId="129" fillId="0" borderId="23" xfId="826" applyFont="1" applyFill="1" applyBorder="1" applyAlignment="1">
      <alignment horizontal="center" vertical="center"/>
    </xf>
    <xf numFmtId="0" fontId="129" fillId="0" borderId="22" xfId="826" applyFont="1" applyFill="1" applyBorder="1" applyAlignment="1">
      <alignment horizontal="center" vertical="center" wrapText="1"/>
    </xf>
    <xf numFmtId="0" fontId="137" fillId="0" borderId="41" xfId="826" applyFont="1" applyFill="1" applyBorder="1" applyAlignment="1">
      <alignment horizontal="left" vertical="center" indent="1"/>
    </xf>
    <xf numFmtId="0" fontId="129" fillId="0" borderId="43" xfId="826" applyFont="1" applyFill="1" applyBorder="1" applyAlignment="1">
      <alignment horizontal="center" vertical="center" wrapText="1"/>
    </xf>
    <xf numFmtId="0" fontId="260" fillId="0" borderId="41" xfId="826" applyFont="1" applyFill="1" applyBorder="1" applyAlignment="1">
      <alignment horizontal="center" vertical="center" wrapText="1"/>
    </xf>
    <xf numFmtId="0" fontId="200" fillId="0" borderId="41" xfId="826" applyFont="1" applyFill="1" applyBorder="1" applyAlignment="1">
      <alignment horizontal="center" vertical="center"/>
    </xf>
    <xf numFmtId="0" fontId="129" fillId="0" borderId="42" xfId="826" applyFont="1" applyFill="1" applyBorder="1" applyAlignment="1">
      <alignment horizontal="center" vertical="center" wrapText="1"/>
    </xf>
    <xf numFmtId="0" fontId="129" fillId="0" borderId="38" xfId="826" applyFont="1" applyFill="1" applyBorder="1" applyAlignment="1">
      <alignment horizontal="left" vertical="center" indent="1"/>
    </xf>
    <xf numFmtId="0" fontId="129" fillId="0" borderId="36" xfId="826" applyFont="1" applyFill="1" applyBorder="1" applyAlignment="1">
      <alignment horizontal="left" vertical="center" indent="1"/>
    </xf>
    <xf numFmtId="0" fontId="129" fillId="0" borderId="32" xfId="826" applyFont="1" applyFill="1" applyBorder="1" applyAlignment="1">
      <alignment horizontal="left" vertical="center" indent="1"/>
    </xf>
    <xf numFmtId="0" fontId="261" fillId="0" borderId="41" xfId="826" applyFont="1" applyFill="1" applyBorder="1" applyAlignment="1">
      <alignment horizontal="center" vertical="center" wrapText="1"/>
    </xf>
    <xf numFmtId="0" fontId="261" fillId="0" borderId="41" xfId="826" applyFont="1" applyFill="1" applyBorder="1" applyAlignment="1">
      <alignment horizontal="center" vertical="center"/>
    </xf>
    <xf numFmtId="0" fontId="192" fillId="0" borderId="0" xfId="827" applyFont="1"/>
    <xf numFmtId="170" fontId="102" fillId="23" borderId="18" xfId="57" applyNumberFormat="1" applyFont="1" applyFill="1" applyBorder="1" applyAlignment="1">
      <alignment horizontal="right" vertical="center" indent="1"/>
    </xf>
    <xf numFmtId="170" fontId="101" fillId="0" borderId="0" xfId="57" applyNumberFormat="1" applyFont="1" applyAlignment="1">
      <alignment horizontal="right" vertical="center" indent="1"/>
    </xf>
    <xf numFmtId="170" fontId="101" fillId="0" borderId="0" xfId="57" applyNumberFormat="1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2" fillId="23" borderId="10" xfId="0" applyFont="1" applyFill="1" applyBorder="1" applyAlignment="1">
      <alignment horizontal="center" vertical="center"/>
    </xf>
    <xf numFmtId="0" fontId="102" fillId="23" borderId="13" xfId="0" applyFont="1" applyFill="1" applyBorder="1" applyAlignment="1">
      <alignment horizontal="center" vertical="center"/>
    </xf>
    <xf numFmtId="0" fontId="0" fillId="0" borderId="0" xfId="0" applyAlignment="1">
      <alignment horizontal="right" indent="1"/>
    </xf>
    <xf numFmtId="0" fontId="244" fillId="23" borderId="18" xfId="0" applyFont="1" applyFill="1" applyBorder="1" applyAlignment="1">
      <alignment horizontal="center" vertical="center" wrapText="1"/>
    </xf>
    <xf numFmtId="0" fontId="102" fillId="0" borderId="23" xfId="827" applyFont="1" applyFill="1" applyBorder="1" applyAlignment="1">
      <alignment horizontal="center" vertical="center" wrapText="1"/>
    </xf>
    <xf numFmtId="0" fontId="244" fillId="23" borderId="23" xfId="827" applyFont="1" applyFill="1" applyBorder="1" applyAlignment="1">
      <alignment horizontal="center" vertical="center" wrapText="1"/>
    </xf>
    <xf numFmtId="0" fontId="102" fillId="23" borderId="18" xfId="0" applyFont="1" applyFill="1" applyBorder="1" applyAlignment="1">
      <alignment horizontal="center" vertical="center"/>
    </xf>
    <xf numFmtId="0" fontId="104" fillId="0" borderId="0" xfId="827" applyFont="1"/>
    <xf numFmtId="170" fontId="102" fillId="23" borderId="18" xfId="213" applyNumberFormat="1" applyFont="1" applyFill="1" applyBorder="1" applyAlignment="1">
      <alignment horizontal="right" vertical="center" indent="1"/>
    </xf>
    <xf numFmtId="0" fontId="102" fillId="23" borderId="18" xfId="827" applyFont="1" applyFill="1" applyBorder="1" applyAlignment="1">
      <alignment horizontal="center"/>
    </xf>
    <xf numFmtId="170" fontId="101" fillId="0" borderId="0" xfId="213" applyNumberFormat="1" applyFont="1" applyAlignment="1">
      <alignment horizontal="right" vertical="center" indent="1"/>
    </xf>
    <xf numFmtId="170" fontId="102" fillId="0" borderId="0" xfId="213" applyNumberFormat="1" applyFont="1" applyAlignment="1">
      <alignment horizontal="center" vertical="center"/>
    </xf>
    <xf numFmtId="170" fontId="101" fillId="0" borderId="0" xfId="213" applyNumberFormat="1" applyFont="1" applyAlignment="1">
      <alignment horizontal="center" vertical="center"/>
    </xf>
    <xf numFmtId="0" fontId="101" fillId="0" borderId="0" xfId="827" applyFont="1" applyAlignment="1">
      <alignment horizontal="center" vertical="center"/>
    </xf>
    <xf numFmtId="0" fontId="102" fillId="0" borderId="0" xfId="827" applyFont="1" applyAlignment="1">
      <alignment horizontal="center" vertical="center"/>
    </xf>
    <xf numFmtId="0" fontId="263" fillId="0" borderId="0" xfId="827" applyFont="1" applyAlignment="1">
      <alignment horizontal="center"/>
    </xf>
    <xf numFmtId="3" fontId="101" fillId="0" borderId="0" xfId="827" applyNumberFormat="1" applyFont="1" applyAlignment="1">
      <alignment horizontal="center"/>
    </xf>
    <xf numFmtId="0" fontId="102" fillId="23" borderId="13" xfId="827" applyFont="1" applyFill="1" applyBorder="1" applyAlignment="1">
      <alignment horizontal="center" vertical="center"/>
    </xf>
    <xf numFmtId="170" fontId="101" fillId="0" borderId="42" xfId="213" applyNumberFormat="1" applyFont="1" applyBorder="1" applyAlignment="1">
      <alignment horizontal="right" vertical="center" indent="1"/>
    </xf>
    <xf numFmtId="0" fontId="102" fillId="0" borderId="32" xfId="827" applyFont="1" applyBorder="1" applyAlignment="1">
      <alignment horizontal="center" vertical="center"/>
    </xf>
    <xf numFmtId="0" fontId="101" fillId="0" borderId="37" xfId="827" applyFont="1" applyBorder="1" applyAlignment="1">
      <alignment horizontal="center" vertical="center"/>
    </xf>
    <xf numFmtId="0" fontId="101" fillId="0" borderId="32" xfId="827" applyFont="1" applyBorder="1" applyAlignment="1">
      <alignment horizontal="center" vertical="center"/>
    </xf>
    <xf numFmtId="0" fontId="101" fillId="0" borderId="27" xfId="827" applyFont="1" applyBorder="1" applyAlignment="1">
      <alignment horizontal="center" vertical="center"/>
    </xf>
    <xf numFmtId="0" fontId="263" fillId="0" borderId="32" xfId="827" applyFont="1" applyBorder="1" applyAlignment="1">
      <alignment horizontal="center"/>
    </xf>
    <xf numFmtId="0" fontId="263" fillId="0" borderId="27" xfId="827" applyFont="1" applyBorder="1" applyAlignment="1">
      <alignment horizontal="center"/>
    </xf>
    <xf numFmtId="0" fontId="101" fillId="0" borderId="32" xfId="827" applyFont="1" applyBorder="1" applyAlignment="1">
      <alignment horizontal="center"/>
    </xf>
    <xf numFmtId="170" fontId="101" fillId="0" borderId="41" xfId="213" applyNumberFormat="1" applyFont="1" applyBorder="1" applyAlignment="1">
      <alignment horizontal="right" vertical="center" indent="1"/>
    </xf>
    <xf numFmtId="0" fontId="102" fillId="0" borderId="31" xfId="827" applyFont="1" applyBorder="1" applyAlignment="1">
      <alignment horizontal="center" vertical="center"/>
    </xf>
    <xf numFmtId="0" fontId="101" fillId="0" borderId="36" xfId="827" applyFont="1" applyBorder="1" applyAlignment="1">
      <alignment horizontal="center" vertical="center"/>
    </xf>
    <xf numFmtId="0" fontId="101" fillId="0" borderId="31" xfId="827" applyFont="1" applyBorder="1" applyAlignment="1">
      <alignment horizontal="center" vertical="center"/>
    </xf>
    <xf numFmtId="0" fontId="101" fillId="0" borderId="26" xfId="827" applyFont="1" applyBorder="1" applyAlignment="1">
      <alignment horizontal="center" vertical="center"/>
    </xf>
    <xf numFmtId="0" fontId="263" fillId="0" borderId="31" xfId="827" applyFont="1" applyBorder="1" applyAlignment="1">
      <alignment horizontal="center"/>
    </xf>
    <xf numFmtId="0" fontId="263" fillId="0" borderId="26" xfId="827" applyFont="1" applyBorder="1" applyAlignment="1">
      <alignment horizontal="center"/>
    </xf>
    <xf numFmtId="0" fontId="101" fillId="0" borderId="31" xfId="827" applyFont="1" applyBorder="1" applyAlignment="1">
      <alignment horizontal="center"/>
    </xf>
    <xf numFmtId="170" fontId="101" fillId="0" borderId="40" xfId="213" applyNumberFormat="1" applyFont="1" applyBorder="1" applyAlignment="1">
      <alignment horizontal="right" vertical="center" indent="1"/>
    </xf>
    <xf numFmtId="0" fontId="102" fillId="0" borderId="30" xfId="827" applyFont="1" applyBorder="1" applyAlignment="1">
      <alignment horizontal="center" vertical="center"/>
    </xf>
    <xf numFmtId="0" fontId="101" fillId="0" borderId="35" xfId="827" applyFont="1" applyBorder="1" applyAlignment="1">
      <alignment horizontal="center" vertical="center"/>
    </xf>
    <xf numFmtId="0" fontId="101" fillId="0" borderId="30" xfId="827" applyFont="1" applyBorder="1" applyAlignment="1">
      <alignment horizontal="center" vertical="center"/>
    </xf>
    <xf numFmtId="0" fontId="101" fillId="0" borderId="25" xfId="827" applyFont="1" applyBorder="1" applyAlignment="1">
      <alignment horizontal="center" vertical="center"/>
    </xf>
    <xf numFmtId="0" fontId="263" fillId="0" borderId="30" xfId="827" applyFont="1" applyBorder="1" applyAlignment="1">
      <alignment horizontal="center"/>
    </xf>
    <xf numFmtId="0" fontId="263" fillId="0" borderId="25" xfId="827" applyFont="1" applyBorder="1" applyAlignment="1">
      <alignment horizontal="center"/>
    </xf>
    <xf numFmtId="0" fontId="101" fillId="0" borderId="30" xfId="827" applyFont="1" applyBorder="1" applyAlignment="1">
      <alignment horizontal="center"/>
    </xf>
    <xf numFmtId="0" fontId="102" fillId="0" borderId="0" xfId="827" applyFont="1"/>
    <xf numFmtId="3" fontId="102" fillId="0" borderId="0" xfId="827" applyNumberFormat="1" applyFont="1" applyAlignment="1">
      <alignment horizontal="center"/>
    </xf>
    <xf numFmtId="0" fontId="102" fillId="23" borderId="10" xfId="827" applyFont="1" applyFill="1" applyBorder="1" applyAlignment="1">
      <alignment horizontal="center" vertical="center"/>
    </xf>
    <xf numFmtId="0" fontId="101" fillId="0" borderId="0" xfId="827" applyFont="1"/>
    <xf numFmtId="0" fontId="102" fillId="23" borderId="18" xfId="827" applyFont="1" applyFill="1" applyBorder="1" applyAlignment="1">
      <alignment horizontal="center" vertical="center" wrapText="1"/>
    </xf>
    <xf numFmtId="0" fontId="102" fillId="0" borderId="18" xfId="827" applyFont="1" applyFill="1" applyBorder="1" applyAlignment="1">
      <alignment horizontal="center" vertical="center" wrapText="1"/>
    </xf>
    <xf numFmtId="0" fontId="244" fillId="23" borderId="18" xfId="827" applyFont="1" applyFill="1" applyBorder="1" applyAlignment="1">
      <alignment horizontal="center" vertical="center" wrapText="1"/>
    </xf>
    <xf numFmtId="0" fontId="102" fillId="23" borderId="18" xfId="827" applyFont="1" applyFill="1" applyBorder="1" applyAlignment="1">
      <alignment horizontal="center" vertical="center"/>
    </xf>
    <xf numFmtId="0" fontId="150" fillId="0" borderId="0" xfId="827" applyFont="1" applyAlignment="1">
      <alignment vertical="center"/>
    </xf>
    <xf numFmtId="0" fontId="132" fillId="0" borderId="0" xfId="827" applyFont="1" applyAlignment="1">
      <alignment vertical="center"/>
    </xf>
    <xf numFmtId="0" fontId="263" fillId="0" borderId="25" xfId="827" applyFont="1" applyBorder="1" applyAlignment="1">
      <alignment horizontal="center" vertical="center"/>
    </xf>
    <xf numFmtId="0" fontId="263" fillId="0" borderId="30" xfId="827" applyFont="1" applyBorder="1" applyAlignment="1">
      <alignment horizontal="center" vertical="center"/>
    </xf>
    <xf numFmtId="0" fontId="32" fillId="0" borderId="0" xfId="827" applyAlignment="1">
      <alignment vertical="center"/>
    </xf>
    <xf numFmtId="0" fontId="263" fillId="0" borderId="26" xfId="827" applyFont="1" applyBorder="1" applyAlignment="1">
      <alignment horizontal="center" vertical="center"/>
    </xf>
    <xf numFmtId="0" fontId="263" fillId="0" borderId="31" xfId="827" applyFont="1" applyBorder="1" applyAlignment="1">
      <alignment horizontal="center" vertical="center"/>
    </xf>
    <xf numFmtId="0" fontId="263" fillId="0" borderId="27" xfId="827" applyFont="1" applyBorder="1" applyAlignment="1">
      <alignment horizontal="center" vertical="center"/>
    </xf>
    <xf numFmtId="0" fontId="263" fillId="0" borderId="32" xfId="827" applyFont="1" applyBorder="1" applyAlignment="1">
      <alignment horizontal="center" vertical="center"/>
    </xf>
    <xf numFmtId="0" fontId="100" fillId="23" borderId="18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0" fontId="101" fillId="0" borderId="164" xfId="0" applyFont="1" applyBorder="1" applyAlignment="1">
      <alignment horizontal="center" vertical="center"/>
    </xf>
    <xf numFmtId="0" fontId="0" fillId="0" borderId="165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100" fillId="0" borderId="164" xfId="0" applyFont="1" applyBorder="1" applyAlignment="1">
      <alignment horizontal="center" vertical="center"/>
    </xf>
    <xf numFmtId="0" fontId="101" fillId="0" borderId="165" xfId="0" applyFont="1" applyBorder="1" applyAlignment="1">
      <alignment horizontal="center" vertical="center"/>
    </xf>
    <xf numFmtId="0" fontId="101" fillId="0" borderId="166" xfId="0" applyFont="1" applyBorder="1" applyAlignment="1">
      <alignment horizontal="center" vertical="center"/>
    </xf>
    <xf numFmtId="170" fontId="101" fillId="0" borderId="167" xfId="57" applyNumberFormat="1" applyFont="1" applyBorder="1" applyAlignment="1">
      <alignment horizontal="right" vertical="center" indent="1"/>
    </xf>
    <xf numFmtId="0" fontId="101" fillId="0" borderId="168" xfId="0" applyFont="1" applyBorder="1" applyAlignment="1">
      <alignment horizontal="center" vertical="center"/>
    </xf>
    <xf numFmtId="0" fontId="0" fillId="0" borderId="169" xfId="0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00" fillId="0" borderId="168" xfId="0" applyFont="1" applyBorder="1" applyAlignment="1">
      <alignment horizontal="center" vertical="center"/>
    </xf>
    <xf numFmtId="0" fontId="101" fillId="0" borderId="169" xfId="0" applyFont="1" applyBorder="1" applyAlignment="1">
      <alignment horizontal="center" vertical="center"/>
    </xf>
    <xf numFmtId="0" fontId="101" fillId="0" borderId="170" xfId="0" applyFont="1" applyBorder="1" applyAlignment="1">
      <alignment horizontal="center" vertical="center"/>
    </xf>
    <xf numFmtId="170" fontId="101" fillId="0" borderId="171" xfId="57" applyNumberFormat="1" applyFont="1" applyBorder="1" applyAlignment="1">
      <alignment horizontal="right" vertical="center" indent="1"/>
    </xf>
    <xf numFmtId="0" fontId="101" fillId="0" borderId="172" xfId="0" applyFont="1" applyBorder="1" applyAlignment="1">
      <alignment horizontal="center" vertical="center"/>
    </xf>
    <xf numFmtId="0" fontId="0" fillId="0" borderId="173" xfId="0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0" fontId="0" fillId="0" borderId="174" xfId="0" applyBorder="1" applyAlignment="1">
      <alignment horizontal="center" vertical="center"/>
    </xf>
    <xf numFmtId="0" fontId="100" fillId="0" borderId="172" xfId="0" applyFont="1" applyBorder="1" applyAlignment="1">
      <alignment horizontal="center" vertical="center"/>
    </xf>
    <xf numFmtId="0" fontId="101" fillId="0" borderId="173" xfId="0" applyFont="1" applyBorder="1" applyAlignment="1">
      <alignment horizontal="center" vertical="center"/>
    </xf>
    <xf numFmtId="0" fontId="101" fillId="0" borderId="174" xfId="0" applyFont="1" applyBorder="1" applyAlignment="1">
      <alignment horizontal="center" vertical="center"/>
    </xf>
    <xf numFmtId="170" fontId="101" fillId="0" borderId="175" xfId="57" applyNumberFormat="1" applyFont="1" applyBorder="1" applyAlignment="1">
      <alignment horizontal="right" vertical="center" indent="1"/>
    </xf>
    <xf numFmtId="170" fontId="102" fillId="23" borderId="18" xfId="57" applyNumberFormat="1" applyFont="1" applyFill="1" applyBorder="1" applyAlignment="1">
      <alignment horizontal="right" vertical="center"/>
    </xf>
    <xf numFmtId="0" fontId="129" fillId="0" borderId="30" xfId="374" applyFont="1" applyBorder="1" applyAlignment="1">
      <alignment horizontal="left" vertical="center" wrapText="1"/>
    </xf>
    <xf numFmtId="3" fontId="129" fillId="0" borderId="25" xfId="374" applyNumberFormat="1" applyFont="1" applyBorder="1" applyAlignment="1">
      <alignment horizontal="right" vertical="center" wrapText="1" indent="1"/>
    </xf>
    <xf numFmtId="3" fontId="129" fillId="0" borderId="40" xfId="374" applyNumberFormat="1" applyFont="1" applyBorder="1" applyAlignment="1">
      <alignment horizontal="right" vertical="center" wrapText="1" indent="1"/>
    </xf>
    <xf numFmtId="0" fontId="129" fillId="0" borderId="31" xfId="374" applyFont="1" applyBorder="1" applyAlignment="1">
      <alignment horizontal="left" vertical="center" wrapText="1"/>
    </xf>
    <xf numFmtId="3" fontId="129" fillId="0" borderId="26" xfId="374" applyNumberFormat="1" applyFont="1" applyBorder="1" applyAlignment="1">
      <alignment horizontal="right" vertical="center" wrapText="1" indent="1"/>
    </xf>
    <xf numFmtId="3" fontId="129" fillId="0" borderId="41" xfId="374" applyNumberFormat="1" applyFont="1" applyBorder="1" applyAlignment="1">
      <alignment horizontal="right" vertical="center" wrapText="1" indent="1"/>
    </xf>
    <xf numFmtId="0" fontId="129" fillId="0" borderId="31" xfId="374" applyFont="1" applyBorder="1" applyAlignment="1">
      <alignment horizontal="left" vertical="center"/>
    </xf>
    <xf numFmtId="3" fontId="129" fillId="0" borderId="26" xfId="374" applyNumberFormat="1" applyFont="1" applyBorder="1" applyAlignment="1">
      <alignment horizontal="right" vertical="center" indent="1"/>
    </xf>
    <xf numFmtId="3" fontId="129" fillId="0" borderId="41" xfId="374" applyNumberFormat="1" applyFont="1" applyBorder="1" applyAlignment="1">
      <alignment horizontal="right" vertical="center" indent="1"/>
    </xf>
    <xf numFmtId="0" fontId="128" fillId="23" borderId="31" xfId="374" applyFont="1" applyFill="1" applyBorder="1" applyAlignment="1">
      <alignment horizontal="center" vertical="center" wrapText="1"/>
    </xf>
    <xf numFmtId="3" fontId="129" fillId="23" borderId="26" xfId="374" applyNumberFormat="1" applyFont="1" applyFill="1" applyBorder="1" applyAlignment="1">
      <alignment horizontal="right" vertical="center" wrapText="1" indent="1"/>
    </xf>
    <xf numFmtId="3" fontId="129" fillId="23" borderId="41" xfId="374" applyNumberFormat="1" applyFont="1" applyFill="1" applyBorder="1" applyAlignment="1">
      <alignment horizontal="right" vertical="center" wrapText="1" indent="1"/>
    </xf>
    <xf numFmtId="0" fontId="128" fillId="23" borderId="34" xfId="374" applyFont="1" applyFill="1" applyBorder="1" applyAlignment="1">
      <alignment horizontal="center" vertical="center" wrapText="1"/>
    </xf>
    <xf numFmtId="3" fontId="129" fillId="23" borderId="29" xfId="374" applyNumberFormat="1" applyFont="1" applyFill="1" applyBorder="1" applyAlignment="1">
      <alignment horizontal="right" vertical="center" wrapText="1" indent="1"/>
    </xf>
    <xf numFmtId="3" fontId="129" fillId="23" borderId="44" xfId="374" applyNumberFormat="1" applyFont="1" applyFill="1" applyBorder="1" applyAlignment="1">
      <alignment horizontal="right" vertical="center" wrapText="1" indent="1"/>
    </xf>
    <xf numFmtId="0" fontId="129" fillId="0" borderId="33" xfId="374" applyFont="1" applyBorder="1" applyAlignment="1">
      <alignment horizontal="left" vertical="center"/>
    </xf>
    <xf numFmtId="3" fontId="129" fillId="0" borderId="28" xfId="374" applyNumberFormat="1" applyFont="1" applyBorder="1" applyAlignment="1">
      <alignment horizontal="right" vertical="center" indent="1"/>
    </xf>
    <xf numFmtId="3" fontId="129" fillId="0" borderId="43" xfId="374" applyNumberFormat="1" applyFont="1" applyBorder="1" applyAlignment="1">
      <alignment horizontal="right" vertical="center" indent="1"/>
    </xf>
    <xf numFmtId="0" fontId="129" fillId="0" borderId="33" xfId="374" applyFont="1" applyBorder="1" applyAlignment="1">
      <alignment horizontal="left" vertical="center" wrapText="1"/>
    </xf>
    <xf numFmtId="3" fontId="129" fillId="0" borderId="28" xfId="374" applyNumberFormat="1" applyFont="1" applyBorder="1" applyAlignment="1">
      <alignment horizontal="right" vertical="center" wrapText="1" indent="1"/>
    </xf>
    <xf numFmtId="3" fontId="129" fillId="0" borderId="43" xfId="374" applyNumberFormat="1" applyFont="1" applyBorder="1" applyAlignment="1">
      <alignment horizontal="right" vertical="center" wrapText="1" indent="1"/>
    </xf>
    <xf numFmtId="0" fontId="193" fillId="0" borderId="14" xfId="374" applyFont="1" applyFill="1" applyBorder="1" applyAlignment="1">
      <alignment horizontal="center" vertical="center"/>
    </xf>
    <xf numFmtId="0" fontId="178" fillId="0" borderId="10" xfId="374" applyFont="1" applyFill="1" applyBorder="1" applyAlignment="1">
      <alignment horizontal="center" vertical="center"/>
    </xf>
    <xf numFmtId="3" fontId="193" fillId="0" borderId="13" xfId="374" applyNumberFormat="1" applyFont="1" applyFill="1" applyBorder="1" applyAlignment="1">
      <alignment horizontal="right" vertical="center" indent="1"/>
    </xf>
    <xf numFmtId="3" fontId="193" fillId="0" borderId="10" xfId="374" applyNumberFormat="1" applyFont="1" applyFill="1" applyBorder="1" applyAlignment="1">
      <alignment horizontal="right" vertical="center" indent="1"/>
    </xf>
    <xf numFmtId="3" fontId="178" fillId="0" borderId="13" xfId="374" applyNumberFormat="1" applyFont="1" applyFill="1" applyBorder="1" applyAlignment="1">
      <alignment horizontal="right" vertical="center" wrapText="1" indent="1"/>
    </xf>
    <xf numFmtId="3" fontId="178" fillId="0" borderId="10" xfId="374" applyNumberFormat="1" applyFont="1" applyFill="1" applyBorder="1" applyAlignment="1">
      <alignment horizontal="right" vertical="center" wrapText="1" indent="1"/>
    </xf>
    <xf numFmtId="0" fontId="176" fillId="0" borderId="10" xfId="374" applyFont="1" applyFill="1" applyBorder="1" applyAlignment="1">
      <alignment horizontal="center" vertical="center" wrapText="1"/>
    </xf>
    <xf numFmtId="3" fontId="167" fillId="0" borderId="13" xfId="374" applyNumberFormat="1" applyFont="1" applyFill="1" applyBorder="1" applyAlignment="1">
      <alignment horizontal="right" vertical="center" wrapText="1" indent="1"/>
    </xf>
    <xf numFmtId="3" fontId="167" fillId="0" borderId="10" xfId="374" applyNumberFormat="1" applyFont="1" applyFill="1" applyBorder="1" applyAlignment="1">
      <alignment horizontal="right" vertical="center" wrapText="1" indent="1"/>
    </xf>
    <xf numFmtId="3" fontId="176" fillId="0" borderId="13" xfId="374" applyNumberFormat="1" applyFont="1" applyFill="1" applyBorder="1" applyAlignment="1">
      <alignment horizontal="right" vertical="center" wrapText="1" indent="1"/>
    </xf>
    <xf numFmtId="3" fontId="176" fillId="0" borderId="10" xfId="374" applyNumberFormat="1" applyFont="1" applyFill="1" applyBorder="1" applyAlignment="1">
      <alignment horizontal="right" vertical="center" wrapText="1" indent="1"/>
    </xf>
    <xf numFmtId="0" fontId="167" fillId="0" borderId="14" xfId="374" applyFont="1" applyFill="1" applyBorder="1" applyAlignment="1">
      <alignment horizontal="center" vertical="center" wrapText="1"/>
    </xf>
    <xf numFmtId="0" fontId="177" fillId="0" borderId="10" xfId="374" applyFont="1" applyFill="1" applyBorder="1" applyAlignment="1">
      <alignment horizontal="center" vertical="center" wrapText="1"/>
    </xf>
    <xf numFmtId="3" fontId="177" fillId="0" borderId="13" xfId="374" applyNumberFormat="1" applyFont="1" applyFill="1" applyBorder="1" applyAlignment="1">
      <alignment horizontal="right" vertical="center" wrapText="1" indent="1"/>
    </xf>
    <xf numFmtId="3" fontId="177" fillId="0" borderId="10" xfId="374" applyNumberFormat="1" applyFont="1" applyFill="1" applyBorder="1" applyAlignment="1">
      <alignment horizontal="right" vertical="center" wrapText="1" indent="1"/>
    </xf>
    <xf numFmtId="0" fontId="169" fillId="0" borderId="14" xfId="374" applyFont="1" applyFill="1" applyBorder="1" applyAlignment="1">
      <alignment horizontal="center" vertical="center" wrapText="1"/>
    </xf>
    <xf numFmtId="0" fontId="168" fillId="0" borderId="14" xfId="374" applyFont="1" applyFill="1" applyBorder="1" applyAlignment="1">
      <alignment horizontal="center" vertical="center" wrapText="1"/>
    </xf>
    <xf numFmtId="0" fontId="179" fillId="0" borderId="10" xfId="374" applyFont="1" applyFill="1" applyBorder="1" applyAlignment="1">
      <alignment horizontal="center" vertical="center" wrapText="1"/>
    </xf>
    <xf numFmtId="3" fontId="179" fillId="0" borderId="13" xfId="374" applyNumberFormat="1" applyFont="1" applyFill="1" applyBorder="1" applyAlignment="1">
      <alignment horizontal="right" vertical="center" wrapText="1" indent="1"/>
    </xf>
    <xf numFmtId="3" fontId="179" fillId="0" borderId="10" xfId="374" applyNumberFormat="1" applyFont="1" applyFill="1" applyBorder="1" applyAlignment="1">
      <alignment horizontal="right" vertical="center" wrapText="1" indent="1"/>
    </xf>
    <xf numFmtId="0" fontId="166" fillId="0" borderId="14" xfId="374" applyFont="1" applyFill="1" applyBorder="1" applyAlignment="1">
      <alignment horizontal="center" vertical="center" wrapText="1"/>
    </xf>
    <xf numFmtId="0" fontId="175" fillId="0" borderId="10" xfId="374" applyFont="1" applyFill="1" applyBorder="1" applyAlignment="1">
      <alignment horizontal="center" vertical="center" wrapText="1"/>
    </xf>
    <xf numFmtId="3" fontId="175" fillId="0" borderId="13" xfId="374" applyNumberFormat="1" applyFont="1" applyFill="1" applyBorder="1" applyAlignment="1">
      <alignment horizontal="right" vertical="center" wrapText="1" indent="1"/>
    </xf>
    <xf numFmtId="3" fontId="175" fillId="0" borderId="10" xfId="374" applyNumberFormat="1" applyFont="1" applyFill="1" applyBorder="1" applyAlignment="1">
      <alignment horizontal="right" vertical="center" wrapText="1" indent="1"/>
    </xf>
    <xf numFmtId="0" fontId="129" fillId="0" borderId="12" xfId="374" applyFont="1" applyBorder="1" applyAlignment="1">
      <alignment horizontal="left" vertical="center"/>
    </xf>
    <xf numFmtId="0" fontId="204" fillId="0" borderId="12" xfId="32" applyFont="1" applyBorder="1" applyAlignment="1" applyProtection="1">
      <alignment horizontal="center"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0" fontId="40" fillId="0" borderId="112" xfId="646" applyFont="1" applyBorder="1" applyAlignment="1">
      <alignment horizontal="center" vertical="center"/>
    </xf>
    <xf numFmtId="0" fontId="73" fillId="23" borderId="18" xfId="377" applyFont="1" applyFill="1" applyBorder="1" applyAlignment="1">
      <alignment horizontal="center" vertical="center"/>
    </xf>
    <xf numFmtId="0" fontId="49" fillId="0" borderId="0" xfId="466" applyAlignment="1">
      <alignment horizontal="center"/>
    </xf>
    <xf numFmtId="0" fontId="128" fillId="23" borderId="18" xfId="66" applyFont="1" applyFill="1" applyBorder="1" applyAlignment="1">
      <alignment horizontal="center" vertical="center"/>
    </xf>
    <xf numFmtId="0" fontId="31" fillId="0" borderId="0" xfId="828"/>
    <xf numFmtId="0" fontId="31" fillId="0" borderId="0" xfId="828" applyAlignment="1">
      <alignment vertical="center"/>
    </xf>
    <xf numFmtId="0" fontId="31" fillId="0" borderId="0" xfId="828" applyAlignment="1">
      <alignment wrapText="1"/>
    </xf>
    <xf numFmtId="0" fontId="31" fillId="0" borderId="121" xfId="646" applyFont="1" applyBorder="1" applyAlignment="1">
      <alignment horizontal="center" vertical="center"/>
    </xf>
    <xf numFmtId="0" fontId="265" fillId="0" borderId="0" xfId="0" applyFont="1" applyAlignment="1">
      <alignment wrapText="1"/>
    </xf>
    <xf numFmtId="0" fontId="31" fillId="0" borderId="112" xfId="646" applyFont="1" applyBorder="1" applyAlignment="1">
      <alignment horizontal="center" vertical="center"/>
    </xf>
    <xf numFmtId="9" fontId="40" fillId="0" borderId="0" xfId="57" applyFont="1" applyAlignment="1">
      <alignment horizontal="center" vertical="center"/>
    </xf>
    <xf numFmtId="0" fontId="129" fillId="0" borderId="30" xfId="827" applyFont="1" applyBorder="1" applyAlignment="1">
      <alignment horizontal="center" vertical="center"/>
    </xf>
    <xf numFmtId="0" fontId="128" fillId="0" borderId="24" xfId="0" applyFont="1" applyBorder="1" applyAlignment="1">
      <alignment horizontal="center" vertical="center"/>
    </xf>
    <xf numFmtId="0" fontId="129" fillId="0" borderId="0" xfId="0" applyFont="1" applyBorder="1" applyAlignment="1">
      <alignment horizontal="center"/>
    </xf>
    <xf numFmtId="0" fontId="128" fillId="0" borderId="18" xfId="0" applyFont="1" applyBorder="1" applyAlignment="1">
      <alignment horizontal="center"/>
    </xf>
    <xf numFmtId="3" fontId="129" fillId="0" borderId="18" xfId="0" applyNumberFormat="1" applyFont="1" applyBorder="1" applyAlignment="1">
      <alignment horizontal="right" vertical="center" indent="1"/>
    </xf>
    <xf numFmtId="0" fontId="129" fillId="0" borderId="0" xfId="0" applyFont="1" applyBorder="1"/>
    <xf numFmtId="0" fontId="177" fillId="0" borderId="21" xfId="0" applyFont="1" applyBorder="1" applyAlignment="1">
      <alignment horizontal="center" vertical="center"/>
    </xf>
    <xf numFmtId="0" fontId="175" fillId="0" borderId="19" xfId="0" applyFont="1" applyBorder="1" applyAlignment="1">
      <alignment horizontal="center" vertical="center"/>
    </xf>
    <xf numFmtId="0" fontId="179" fillId="0" borderId="21" xfId="0" applyFont="1" applyBorder="1" applyAlignment="1">
      <alignment horizontal="center" vertical="center"/>
    </xf>
    <xf numFmtId="0" fontId="132" fillId="23" borderId="18" xfId="0" applyFont="1" applyFill="1" applyBorder="1" applyAlignment="1">
      <alignment horizontal="center" vertical="center"/>
    </xf>
    <xf numFmtId="0" fontId="132" fillId="23" borderId="19" xfId="0" applyFont="1" applyFill="1" applyBorder="1" applyAlignment="1">
      <alignment horizontal="center" vertical="center"/>
    </xf>
    <xf numFmtId="0" fontId="176" fillId="0" borderId="19" xfId="0" applyFont="1" applyBorder="1" applyAlignment="1">
      <alignment horizontal="center" vertical="center"/>
    </xf>
    <xf numFmtId="0" fontId="178" fillId="0" borderId="19" xfId="0" applyFont="1" applyBorder="1" applyAlignment="1">
      <alignment horizontal="center" vertical="center"/>
    </xf>
    <xf numFmtId="0" fontId="70" fillId="0" borderId="0" xfId="0" applyFont="1" applyAlignment="1">
      <alignment horizontal="center" vertical="center"/>
    </xf>
    <xf numFmtId="0" fontId="268" fillId="23" borderId="18" xfId="0" applyFont="1" applyFill="1" applyBorder="1" applyAlignment="1">
      <alignment horizontal="center" vertical="center" wrapText="1" readingOrder="1"/>
    </xf>
    <xf numFmtId="0" fontId="185" fillId="23" borderId="18" xfId="0" applyFont="1" applyFill="1" applyBorder="1" applyAlignment="1">
      <alignment horizontal="center" vertical="center" wrapText="1" readingOrder="1"/>
    </xf>
    <xf numFmtId="0" fontId="233" fillId="23" borderId="18" xfId="0" applyFont="1" applyFill="1" applyBorder="1" applyAlignment="1">
      <alignment horizontal="center" vertical="center" wrapText="1" readingOrder="1"/>
    </xf>
    <xf numFmtId="0" fontId="132" fillId="23" borderId="18" xfId="0" applyFont="1" applyFill="1" applyBorder="1" applyAlignment="1">
      <alignment horizontal="center" vertical="center" wrapText="1" readingOrder="1"/>
    </xf>
    <xf numFmtId="0" fontId="147" fillId="0" borderId="25" xfId="829" applyFont="1" applyBorder="1" applyAlignment="1">
      <alignment horizontal="center" vertical="center" wrapText="1" readingOrder="1"/>
    </xf>
    <xf numFmtId="0" fontId="147" fillId="0" borderId="35" xfId="829" applyFont="1" applyBorder="1" applyAlignment="1">
      <alignment horizontal="center" vertical="center" wrapText="1"/>
    </xf>
    <xf numFmtId="0" fontId="146" fillId="0" borderId="40" xfId="829" applyFont="1" applyBorder="1" applyAlignment="1">
      <alignment horizontal="center" vertical="center" wrapText="1" readingOrder="1"/>
    </xf>
    <xf numFmtId="0" fontId="146" fillId="0" borderId="40" xfId="0" applyFont="1" applyBorder="1" applyAlignment="1">
      <alignment horizontal="center" vertical="center" wrapText="1" readingOrder="1"/>
    </xf>
    <xf numFmtId="0" fontId="147" fillId="0" borderId="26" xfId="829" applyFont="1" applyBorder="1" applyAlignment="1">
      <alignment horizontal="center" vertical="center" wrapText="1" readingOrder="1"/>
    </xf>
    <xf numFmtId="0" fontId="147" fillId="0" borderId="36" xfId="829" applyFont="1" applyBorder="1" applyAlignment="1">
      <alignment horizontal="center" vertical="center" wrapText="1"/>
    </xf>
    <xf numFmtId="0" fontId="146" fillId="0" borderId="41" xfId="829" applyFont="1" applyBorder="1" applyAlignment="1">
      <alignment horizontal="center" vertical="center" wrapText="1" readingOrder="1"/>
    </xf>
    <xf numFmtId="0" fontId="146" fillId="0" borderId="41" xfId="0" applyFont="1" applyBorder="1" applyAlignment="1">
      <alignment horizontal="center" vertical="center" wrapText="1" readingOrder="1"/>
    </xf>
    <xf numFmtId="0" fontId="147" fillId="0" borderId="36" xfId="829" applyFont="1" applyBorder="1" applyAlignment="1">
      <alignment horizontal="center" vertical="center" wrapText="1" readingOrder="1"/>
    </xf>
    <xf numFmtId="0" fontId="147" fillId="0" borderId="27" xfId="829" applyFont="1" applyBorder="1" applyAlignment="1">
      <alignment horizontal="center" vertical="center" wrapText="1" readingOrder="1"/>
    </xf>
    <xf numFmtId="0" fontId="147" fillId="0" borderId="37" xfId="829" applyFont="1" applyBorder="1" applyAlignment="1">
      <alignment horizontal="center" vertical="center" wrapText="1" readingOrder="1"/>
    </xf>
    <xf numFmtId="0" fontId="146" fillId="0" borderId="42" xfId="829" applyFont="1" applyBorder="1" applyAlignment="1">
      <alignment horizontal="center" vertical="center" wrapText="1" readingOrder="1"/>
    </xf>
    <xf numFmtId="0" fontId="146" fillId="0" borderId="42" xfId="0" applyFont="1" applyBorder="1" applyAlignment="1">
      <alignment horizontal="center" vertical="center" wrapText="1" readingOrder="1"/>
    </xf>
    <xf numFmtId="0" fontId="146" fillId="23" borderId="10" xfId="0" applyFont="1" applyFill="1" applyBorder="1" applyAlignment="1">
      <alignment horizontal="center" vertical="center" wrapText="1" readingOrder="1"/>
    </xf>
    <xf numFmtId="0" fontId="30" fillId="0" borderId="23" xfId="0" applyFont="1" applyFill="1" applyBorder="1" applyAlignment="1">
      <alignment horizontal="center" vertical="center" wrapText="1" readingOrder="1"/>
    </xf>
    <xf numFmtId="0" fontId="166" fillId="0" borderId="30" xfId="0" applyFont="1" applyFill="1" applyBorder="1" applyAlignment="1">
      <alignment horizontal="center" vertical="center"/>
    </xf>
    <xf numFmtId="0" fontId="167" fillId="0" borderId="31" xfId="0" applyFont="1" applyBorder="1" applyAlignment="1">
      <alignment horizontal="center" vertical="center"/>
    </xf>
    <xf numFmtId="0" fontId="168" fillId="0" borderId="31" xfId="0" applyFont="1" applyBorder="1" applyAlignment="1">
      <alignment horizontal="center" vertical="center"/>
    </xf>
    <xf numFmtId="0" fontId="193" fillId="0" borderId="31" xfId="0" applyFont="1" applyBorder="1" applyAlignment="1">
      <alignment horizontal="center" vertical="center"/>
    </xf>
    <xf numFmtId="0" fontId="169" fillId="0" borderId="31" xfId="0" applyFont="1" applyBorder="1" applyAlignment="1">
      <alignment horizontal="center" vertical="center"/>
    </xf>
    <xf numFmtId="0" fontId="267" fillId="0" borderId="18" xfId="0" applyFont="1" applyBorder="1" applyAlignment="1">
      <alignment horizontal="center" vertical="center" wrapText="1" readingOrder="1"/>
    </xf>
    <xf numFmtId="0" fontId="267" fillId="0" borderId="18" xfId="0" applyFont="1" applyBorder="1" applyAlignment="1">
      <alignment horizontal="center" vertical="center" wrapText="1"/>
    </xf>
    <xf numFmtId="0" fontId="268" fillId="0" borderId="18" xfId="0" applyFont="1" applyBorder="1" applyAlignment="1">
      <alignment horizontal="center" vertical="center" wrapText="1" readingOrder="1"/>
    </xf>
    <xf numFmtId="0" fontId="268" fillId="0" borderId="18" xfId="0" applyFont="1" applyBorder="1" applyAlignment="1">
      <alignment horizontal="center" vertical="center" wrapText="1"/>
    </xf>
    <xf numFmtId="0" fontId="269" fillId="0" borderId="18" xfId="0" applyFont="1" applyBorder="1" applyAlignment="1">
      <alignment horizontal="center" vertical="center" wrapText="1" readingOrder="1"/>
    </xf>
    <xf numFmtId="0" fontId="270" fillId="0" borderId="18" xfId="0" applyFont="1" applyBorder="1" applyAlignment="1">
      <alignment horizontal="center" vertical="center" wrapText="1" readingOrder="1"/>
    </xf>
    <xf numFmtId="0" fontId="271" fillId="0" borderId="18" xfId="0" applyFont="1" applyBorder="1" applyAlignment="1">
      <alignment horizontal="center" vertical="center" wrapText="1" readingOrder="1"/>
    </xf>
    <xf numFmtId="0" fontId="272" fillId="0" borderId="18" xfId="0" applyFont="1" applyBorder="1" applyAlignment="1">
      <alignment horizontal="center" vertical="center" wrapText="1" readingOrder="1"/>
    </xf>
    <xf numFmtId="0" fontId="273" fillId="0" borderId="18" xfId="0" applyFont="1" applyBorder="1" applyAlignment="1">
      <alignment horizontal="center" vertical="center" wrapText="1" readingOrder="1"/>
    </xf>
    <xf numFmtId="0" fontId="267" fillId="23" borderId="18" xfId="0" applyFont="1" applyFill="1" applyBorder="1" applyAlignment="1">
      <alignment horizontal="center" vertical="center" wrapText="1" readingOrder="1"/>
    </xf>
    <xf numFmtId="0" fontId="128" fillId="0" borderId="18" xfId="66" applyFont="1" applyFill="1" applyBorder="1" applyAlignment="1">
      <alignment horizontal="center" vertical="center"/>
    </xf>
    <xf numFmtId="0" fontId="128" fillId="0" borderId="23" xfId="0" applyFont="1" applyBorder="1" applyAlignment="1">
      <alignment horizontal="center" vertical="center"/>
    </xf>
    <xf numFmtId="4" fontId="175" fillId="0" borderId="15" xfId="759" applyNumberFormat="1" applyFont="1" applyBorder="1" applyAlignment="1">
      <alignment vertical="center"/>
    </xf>
    <xf numFmtId="4" fontId="175" fillId="0" borderId="12" xfId="759" applyNumberFormat="1" applyFont="1" applyBorder="1" applyAlignment="1">
      <alignment vertical="center"/>
    </xf>
    <xf numFmtId="4" fontId="175" fillId="0" borderId="19" xfId="759" applyNumberFormat="1" applyFont="1" applyBorder="1" applyAlignment="1">
      <alignment vertical="center"/>
    </xf>
    <xf numFmtId="4" fontId="130" fillId="0" borderId="17" xfId="759" applyNumberFormat="1" applyFont="1" applyBorder="1" applyAlignment="1">
      <alignment vertical="center"/>
    </xf>
    <xf numFmtId="4" fontId="130" fillId="0" borderId="0" xfId="759" applyNumberFormat="1" applyFont="1" applyBorder="1" applyAlignment="1">
      <alignment vertical="center"/>
    </xf>
    <xf numFmtId="4" fontId="130" fillId="0" borderId="21" xfId="759" applyNumberFormat="1" applyFont="1" applyBorder="1" applyAlignment="1">
      <alignment vertical="center"/>
    </xf>
    <xf numFmtId="4" fontId="130" fillId="0" borderId="22" xfId="759" applyNumberFormat="1" applyFont="1" applyBorder="1" applyAlignment="1">
      <alignment vertical="center"/>
    </xf>
    <xf numFmtId="4" fontId="130" fillId="0" borderId="24" xfId="759" applyNumberFormat="1" applyFont="1" applyBorder="1" applyAlignment="1">
      <alignment vertical="center"/>
    </xf>
    <xf numFmtId="4" fontId="130" fillId="0" borderId="23" xfId="759" applyNumberFormat="1" applyFont="1" applyBorder="1" applyAlignment="1">
      <alignment vertical="center"/>
    </xf>
    <xf numFmtId="4" fontId="176" fillId="0" borderId="15" xfId="759" applyNumberFormat="1" applyFont="1" applyBorder="1" applyAlignment="1">
      <alignment vertical="center"/>
    </xf>
    <xf numFmtId="4" fontId="176" fillId="0" borderId="12" xfId="759" applyNumberFormat="1" applyFont="1" applyBorder="1" applyAlignment="1">
      <alignment vertical="center"/>
    </xf>
    <xf numFmtId="4" fontId="176" fillId="0" borderId="19" xfId="759" applyNumberFormat="1" applyFont="1" applyBorder="1" applyAlignment="1">
      <alignment vertical="center"/>
    </xf>
    <xf numFmtId="4" fontId="179" fillId="0" borderId="15" xfId="759" applyNumberFormat="1" applyFont="1" applyBorder="1" applyAlignment="1">
      <alignment vertical="center"/>
    </xf>
    <xf numFmtId="4" fontId="179" fillId="0" borderId="12" xfId="759" applyNumberFormat="1" applyFont="1" applyBorder="1" applyAlignment="1">
      <alignment vertical="center"/>
    </xf>
    <xf numFmtId="4" fontId="179" fillId="0" borderId="19" xfId="759" applyNumberFormat="1" applyFont="1" applyBorder="1" applyAlignment="1">
      <alignment vertical="center"/>
    </xf>
    <xf numFmtId="4" fontId="178" fillId="0" borderId="15" xfId="759" applyNumberFormat="1" applyFont="1" applyBorder="1" applyAlignment="1">
      <alignment vertical="center"/>
    </xf>
    <xf numFmtId="4" fontId="130" fillId="0" borderId="21" xfId="759" applyNumberFormat="1" applyFont="1" applyFill="1" applyBorder="1" applyAlignment="1">
      <alignment vertical="center"/>
    </xf>
    <xf numFmtId="4" fontId="130" fillId="0" borderId="23" xfId="759" applyNumberFormat="1" applyFont="1" applyFill="1" applyBorder="1" applyAlignment="1">
      <alignment vertical="center"/>
    </xf>
    <xf numFmtId="4" fontId="177" fillId="0" borderId="15" xfId="759" applyNumberFormat="1" applyFont="1" applyBorder="1" applyAlignment="1">
      <alignment vertical="center"/>
    </xf>
    <xf numFmtId="4" fontId="177" fillId="0" borderId="12" xfId="759" applyNumberFormat="1" applyFont="1" applyBorder="1" applyAlignment="1">
      <alignment vertical="center"/>
    </xf>
    <xf numFmtId="4" fontId="177" fillId="0" borderId="19" xfId="759" applyNumberFormat="1" applyFont="1" applyBorder="1" applyAlignment="1">
      <alignment vertical="center"/>
    </xf>
    <xf numFmtId="4" fontId="128" fillId="0" borderId="10" xfId="0" applyNumberFormat="1" applyFont="1" applyBorder="1" applyAlignment="1">
      <alignment vertical="center"/>
    </xf>
    <xf numFmtId="0" fontId="129" fillId="0" borderId="18" xfId="0" applyFont="1" applyFill="1" applyBorder="1" applyAlignment="1">
      <alignment horizontal="center" vertical="center"/>
    </xf>
    <xf numFmtId="0" fontId="129" fillId="0" borderId="19" xfId="66" applyFont="1" applyFill="1" applyBorder="1" applyAlignment="1">
      <alignment horizontal="center" vertical="center"/>
    </xf>
    <xf numFmtId="0" fontId="129" fillId="0" borderId="21" xfId="66" applyFont="1" applyFill="1" applyBorder="1" applyAlignment="1">
      <alignment horizontal="center" vertical="center"/>
    </xf>
    <xf numFmtId="0" fontId="129" fillId="0" borderId="23" xfId="66" applyFont="1" applyFill="1" applyBorder="1" applyAlignment="1">
      <alignment horizontal="center" vertical="center"/>
    </xf>
    <xf numFmtId="0" fontId="274" fillId="0" borderId="0" xfId="0" applyFont="1"/>
    <xf numFmtId="0" fontId="29" fillId="0" borderId="121" xfId="646" applyFont="1" applyBorder="1" applyAlignment="1">
      <alignment horizontal="center" vertical="center"/>
    </xf>
    <xf numFmtId="0" fontId="29" fillId="0" borderId="122" xfId="646" applyFont="1" applyBorder="1" applyAlignment="1">
      <alignment horizontal="center" vertical="center"/>
    </xf>
    <xf numFmtId="0" fontId="144" fillId="0" borderId="12" xfId="0" applyFont="1" applyBorder="1" applyAlignment="1">
      <alignment horizontal="left" vertical="center"/>
    </xf>
    <xf numFmtId="3" fontId="132" fillId="23" borderId="13" xfId="640" applyNumberFormat="1" applyFont="1" applyFill="1" applyBorder="1" applyAlignment="1">
      <alignment horizontal="right" indent="1"/>
    </xf>
    <xf numFmtId="3" fontId="132" fillId="23" borderId="14" xfId="640" applyNumberFormat="1" applyFont="1" applyFill="1" applyBorder="1" applyAlignment="1">
      <alignment horizontal="right" indent="1"/>
    </xf>
    <xf numFmtId="3" fontId="128" fillId="23" borderId="10" xfId="640" applyNumberFormat="1" applyFont="1" applyFill="1" applyBorder="1" applyAlignment="1">
      <alignment horizontal="right" vertical="center" indent="1"/>
    </xf>
    <xf numFmtId="4" fontId="227" fillId="0" borderId="18" xfId="759" applyNumberFormat="1" applyFont="1" applyBorder="1" applyAlignment="1">
      <alignment vertical="center"/>
    </xf>
    <xf numFmtId="4" fontId="227" fillId="0" borderId="14" xfId="759" applyNumberFormat="1" applyFont="1" applyBorder="1" applyAlignment="1">
      <alignment vertical="center"/>
    </xf>
    <xf numFmtId="0" fontId="124" fillId="33" borderId="18" xfId="0" applyFont="1" applyFill="1" applyBorder="1" applyAlignment="1">
      <alignment horizontal="center" vertical="center"/>
    </xf>
    <xf numFmtId="0" fontId="124" fillId="33" borderId="18" xfId="0" applyFont="1" applyFill="1" applyBorder="1" applyAlignment="1">
      <alignment horizontal="center"/>
    </xf>
    <xf numFmtId="49" fontId="145" fillId="33" borderId="18" xfId="66" applyNumberFormat="1" applyFont="1" applyFill="1" applyBorder="1" applyAlignment="1">
      <alignment horizontal="center" vertical="center" wrapText="1"/>
    </xf>
    <xf numFmtId="3" fontId="129" fillId="0" borderId="65" xfId="374" applyNumberFormat="1" applyFont="1" applyBorder="1"/>
    <xf numFmtId="0" fontId="129" fillId="0" borderId="67" xfId="374" applyFont="1" applyBorder="1" applyAlignment="1">
      <alignment horizontal="right" vertical="center" indent="1"/>
    </xf>
    <xf numFmtId="0" fontId="129" fillId="0" borderId="68" xfId="374" applyFont="1" applyBorder="1" applyAlignment="1">
      <alignment horizontal="right" vertical="center" indent="1"/>
    </xf>
    <xf numFmtId="3" fontId="129" fillId="0" borderId="66" xfId="374" applyNumberFormat="1" applyFont="1" applyBorder="1" applyAlignment="1">
      <alignment horizontal="right" indent="1"/>
    </xf>
    <xf numFmtId="3" fontId="129" fillId="0" borderId="67" xfId="374" applyNumberFormat="1" applyFont="1" applyBorder="1" applyAlignment="1">
      <alignment horizontal="right" indent="1"/>
    </xf>
    <xf numFmtId="3" fontId="129" fillId="0" borderId="68" xfId="374" applyNumberFormat="1" applyFont="1" applyBorder="1" applyAlignment="1">
      <alignment horizontal="right" indent="1"/>
    </xf>
    <xf numFmtId="3" fontId="128" fillId="0" borderId="68" xfId="374" applyNumberFormat="1" applyFont="1" applyBorder="1" applyAlignment="1">
      <alignment horizontal="right" indent="1"/>
    </xf>
    <xf numFmtId="0" fontId="28" fillId="0" borderId="0" xfId="830" applyFont="1"/>
    <xf numFmtId="0" fontId="28" fillId="0" borderId="0" xfId="464" applyFont="1" applyAlignment="1">
      <alignment vertical="center"/>
    </xf>
    <xf numFmtId="0" fontId="28" fillId="0" borderId="30" xfId="464" applyFont="1" applyBorder="1" applyAlignment="1">
      <alignment horizontal="center" vertical="center"/>
    </xf>
    <xf numFmtId="0" fontId="28" fillId="0" borderId="25" xfId="464" applyFont="1" applyBorder="1" applyAlignment="1">
      <alignment horizontal="center" vertical="center"/>
    </xf>
    <xf numFmtId="0" fontId="28" fillId="0" borderId="40" xfId="464" applyFont="1" applyBorder="1" applyAlignment="1">
      <alignment horizontal="center" vertical="center"/>
    </xf>
    <xf numFmtId="0" fontId="28" fillId="0" borderId="31" xfId="464" applyFont="1" applyBorder="1" applyAlignment="1">
      <alignment horizontal="center" vertical="center"/>
    </xf>
    <xf numFmtId="0" fontId="28" fillId="0" borderId="26" xfId="464" applyFont="1" applyBorder="1" applyAlignment="1">
      <alignment horizontal="center" vertical="center"/>
    </xf>
    <xf numFmtId="0" fontId="28" fillId="0" borderId="41" xfId="464" applyFont="1" applyBorder="1" applyAlignment="1">
      <alignment horizontal="center" vertical="center"/>
    </xf>
    <xf numFmtId="0" fontId="28" fillId="0" borderId="0" xfId="464" applyFont="1" applyBorder="1" applyAlignment="1">
      <alignment horizontal="center" vertical="center"/>
    </xf>
    <xf numFmtId="0" fontId="28" fillId="0" borderId="0" xfId="464" applyFont="1" applyBorder="1" applyAlignment="1">
      <alignment vertical="center"/>
    </xf>
    <xf numFmtId="0" fontId="28" fillId="0" borderId="27" xfId="464" applyFont="1" applyBorder="1" applyAlignment="1">
      <alignment horizontal="center" vertical="center"/>
    </xf>
    <xf numFmtId="0" fontId="28" fillId="0" borderId="42" xfId="464" applyFont="1" applyBorder="1" applyAlignment="1">
      <alignment horizontal="center" vertical="center"/>
    </xf>
    <xf numFmtId="0" fontId="28" fillId="0" borderId="32" xfId="464" applyFont="1" applyBorder="1" applyAlignment="1">
      <alignment horizontal="center" vertical="center"/>
    </xf>
    <xf numFmtId="0" fontId="132" fillId="23" borderId="18" xfId="464" applyFont="1" applyFill="1" applyBorder="1" applyAlignment="1">
      <alignment horizontal="center" vertical="center"/>
    </xf>
    <xf numFmtId="0" fontId="28" fillId="0" borderId="23" xfId="655" applyFont="1" applyFill="1" applyBorder="1" applyAlignment="1">
      <alignment horizontal="center" vertical="center"/>
    </xf>
    <xf numFmtId="0" fontId="132" fillId="0" borderId="23" xfId="655" applyFont="1" applyFill="1" applyBorder="1" applyAlignment="1">
      <alignment horizontal="center" vertical="center" wrapText="1"/>
    </xf>
    <xf numFmtId="0" fontId="178" fillId="23" borderId="32" xfId="464" applyFont="1" applyFill="1" applyBorder="1" applyAlignment="1">
      <alignment horizontal="center" vertical="center"/>
    </xf>
    <xf numFmtId="0" fontId="178" fillId="23" borderId="27" xfId="464" applyFont="1" applyFill="1" applyBorder="1" applyAlignment="1">
      <alignment horizontal="center" vertical="center"/>
    </xf>
    <xf numFmtId="0" fontId="178" fillId="23" borderId="42" xfId="464" applyFont="1" applyFill="1" applyBorder="1" applyAlignment="1">
      <alignment horizontal="center" vertical="center"/>
    </xf>
    <xf numFmtId="0" fontId="28" fillId="0" borderId="0" xfId="830" applyFont="1" applyAlignment="1">
      <alignment horizontal="center" vertical="center"/>
    </xf>
    <xf numFmtId="0" fontId="28" fillId="0" borderId="23" xfId="830" applyFont="1" applyBorder="1" applyAlignment="1">
      <alignment horizontal="center" vertical="center"/>
    </xf>
    <xf numFmtId="0" fontId="132" fillId="0" borderId="0" xfId="830" applyFont="1" applyAlignment="1">
      <alignment horizontal="center" vertical="center"/>
    </xf>
    <xf numFmtId="0" fontId="132" fillId="0" borderId="23" xfId="830" applyFont="1" applyBorder="1" applyAlignment="1">
      <alignment horizontal="center" vertical="center"/>
    </xf>
    <xf numFmtId="0" fontId="132" fillId="23" borderId="18" xfId="830" applyFont="1" applyFill="1" applyBorder="1" applyAlignment="1">
      <alignment horizontal="center" vertical="center"/>
    </xf>
    <xf numFmtId="0" fontId="28" fillId="0" borderId="0" xfId="830" applyFont="1" applyAlignment="1">
      <alignment horizontal="left" vertical="center"/>
    </xf>
    <xf numFmtId="0" fontId="132" fillId="0" borderId="23" xfId="830" applyFont="1" applyFill="1" applyBorder="1" applyAlignment="1">
      <alignment horizontal="center" vertical="center"/>
    </xf>
    <xf numFmtId="0" fontId="175" fillId="0" borderId="18" xfId="830" applyFont="1" applyFill="1" applyBorder="1" applyAlignment="1">
      <alignment horizontal="center" vertical="center"/>
    </xf>
    <xf numFmtId="0" fontId="28" fillId="0" borderId="28" xfId="830" applyFont="1" applyBorder="1" applyAlignment="1">
      <alignment horizontal="center" vertical="center"/>
    </xf>
    <xf numFmtId="0" fontId="28" fillId="0" borderId="38" xfId="830" applyFont="1" applyBorder="1" applyAlignment="1">
      <alignment horizontal="center" vertical="center"/>
    </xf>
    <xf numFmtId="0" fontId="132" fillId="0" borderId="33" xfId="830" applyFont="1" applyBorder="1" applyAlignment="1">
      <alignment horizontal="center" vertical="center"/>
    </xf>
    <xf numFmtId="0" fontId="28" fillId="0" borderId="43" xfId="830" applyFont="1" applyBorder="1" applyAlignment="1">
      <alignment horizontal="center" vertical="center"/>
    </xf>
    <xf numFmtId="0" fontId="28" fillId="0" borderId="26" xfId="830" applyFont="1" applyBorder="1" applyAlignment="1">
      <alignment horizontal="left" vertical="center"/>
    </xf>
    <xf numFmtId="0" fontId="28" fillId="0" borderId="26" xfId="830" applyFont="1" applyBorder="1" applyAlignment="1">
      <alignment horizontal="center" vertical="center"/>
    </xf>
    <xf numFmtId="0" fontId="28" fillId="0" borderId="36" xfId="830" applyFont="1" applyBorder="1" applyAlignment="1">
      <alignment horizontal="center" vertical="center"/>
    </xf>
    <xf numFmtId="0" fontId="132" fillId="0" borderId="31" xfId="830" applyFont="1" applyBorder="1" applyAlignment="1">
      <alignment horizontal="center" vertical="center"/>
    </xf>
    <xf numFmtId="0" fontId="28" fillId="0" borderId="36" xfId="830" applyFont="1" applyFill="1" applyBorder="1" applyAlignment="1">
      <alignment horizontal="center" vertical="center"/>
    </xf>
    <xf numFmtId="0" fontId="28" fillId="0" borderId="41" xfId="830" applyFont="1" applyBorder="1" applyAlignment="1">
      <alignment horizontal="center" vertical="center"/>
    </xf>
    <xf numFmtId="0" fontId="28" fillId="0" borderId="41" xfId="830" applyFont="1" applyFill="1" applyBorder="1" applyAlignment="1">
      <alignment horizontal="center" vertical="center"/>
    </xf>
    <xf numFmtId="0" fontId="132" fillId="23" borderId="31" xfId="830" applyFont="1" applyFill="1" applyBorder="1" applyAlignment="1">
      <alignment horizontal="center" vertical="center"/>
    </xf>
    <xf numFmtId="0" fontId="132" fillId="23" borderId="32" xfId="830" applyFont="1" applyFill="1" applyBorder="1" applyAlignment="1">
      <alignment horizontal="center" vertical="center"/>
    </xf>
    <xf numFmtId="0" fontId="132" fillId="23" borderId="26" xfId="830" applyFont="1" applyFill="1" applyBorder="1" applyAlignment="1">
      <alignment horizontal="center" vertical="center"/>
    </xf>
    <xf numFmtId="0" fontId="132" fillId="23" borderId="41" xfId="830" applyFont="1" applyFill="1" applyBorder="1" applyAlignment="1">
      <alignment horizontal="center" vertical="center"/>
    </xf>
    <xf numFmtId="0" fontId="132" fillId="23" borderId="27" xfId="830" applyFont="1" applyFill="1" applyBorder="1" applyAlignment="1">
      <alignment horizontal="center" vertical="center"/>
    </xf>
    <xf numFmtId="0" fontId="132" fillId="23" borderId="42" xfId="830" applyFont="1" applyFill="1" applyBorder="1" applyAlignment="1">
      <alignment horizontal="center" vertical="center"/>
    </xf>
    <xf numFmtId="0" fontId="175" fillId="0" borderId="13" xfId="830" applyFont="1" applyFill="1" applyBorder="1" applyAlignment="1">
      <alignment horizontal="center" vertical="center"/>
    </xf>
    <xf numFmtId="0" fontId="175" fillId="0" borderId="10" xfId="830" applyFont="1" applyFill="1" applyBorder="1" applyAlignment="1">
      <alignment horizontal="center" vertical="center"/>
    </xf>
    <xf numFmtId="0" fontId="179" fillId="0" borderId="18" xfId="830" applyFont="1" applyFill="1" applyBorder="1" applyAlignment="1">
      <alignment horizontal="center" vertical="center"/>
    </xf>
    <xf numFmtId="0" fontId="176" fillId="0" borderId="18" xfId="830" applyFont="1" applyFill="1" applyBorder="1" applyAlignment="1">
      <alignment horizontal="center" vertical="center"/>
    </xf>
    <xf numFmtId="0" fontId="28" fillId="0" borderId="25" xfId="830" applyFont="1" applyBorder="1" applyAlignment="1">
      <alignment horizontal="center" vertical="center"/>
    </xf>
    <xf numFmtId="0" fontId="132" fillId="0" borderId="30" xfId="830" applyFont="1" applyBorder="1" applyAlignment="1">
      <alignment horizontal="center" vertical="center"/>
    </xf>
    <xf numFmtId="0" fontId="28" fillId="0" borderId="40" xfId="830" applyFont="1" applyBorder="1" applyAlignment="1">
      <alignment horizontal="center" vertical="center"/>
    </xf>
    <xf numFmtId="0" fontId="176" fillId="0" borderId="13" xfId="830" applyFont="1" applyFill="1" applyBorder="1" applyAlignment="1">
      <alignment horizontal="center" vertical="center"/>
    </xf>
    <xf numFmtId="0" fontId="176" fillId="0" borderId="10" xfId="830" applyFont="1" applyFill="1" applyBorder="1" applyAlignment="1">
      <alignment horizontal="center" vertical="center"/>
    </xf>
    <xf numFmtId="0" fontId="132" fillId="23" borderId="13" xfId="830" applyFont="1" applyFill="1" applyBorder="1" applyAlignment="1">
      <alignment horizontal="center" vertical="center"/>
    </xf>
    <xf numFmtId="0" fontId="132" fillId="23" borderId="10" xfId="830" applyFont="1" applyFill="1" applyBorder="1" applyAlignment="1">
      <alignment horizontal="center" vertical="center"/>
    </xf>
    <xf numFmtId="0" fontId="179" fillId="0" borderId="13" xfId="830" applyFont="1" applyFill="1" applyBorder="1" applyAlignment="1">
      <alignment horizontal="center" vertical="center"/>
    </xf>
    <xf numFmtId="0" fontId="179" fillId="0" borderId="10" xfId="830" applyFont="1" applyFill="1" applyBorder="1" applyAlignment="1">
      <alignment horizontal="center" vertical="center"/>
    </xf>
    <xf numFmtId="0" fontId="178" fillId="0" borderId="13" xfId="830" applyFont="1" applyFill="1" applyBorder="1" applyAlignment="1">
      <alignment horizontal="center" vertical="center"/>
    </xf>
    <xf numFmtId="0" fontId="178" fillId="0" borderId="10" xfId="830" applyFont="1" applyFill="1" applyBorder="1" applyAlignment="1">
      <alignment horizontal="center" vertical="center"/>
    </xf>
    <xf numFmtId="0" fontId="178" fillId="0" borderId="18" xfId="830" applyFont="1" applyFill="1" applyBorder="1" applyAlignment="1">
      <alignment horizontal="center" vertical="center"/>
    </xf>
    <xf numFmtId="0" fontId="177" fillId="0" borderId="13" xfId="830" applyFont="1" applyFill="1" applyBorder="1" applyAlignment="1">
      <alignment horizontal="center" vertical="center"/>
    </xf>
    <xf numFmtId="0" fontId="177" fillId="0" borderId="10" xfId="830" applyFont="1" applyFill="1" applyBorder="1" applyAlignment="1">
      <alignment horizontal="center" vertical="center"/>
    </xf>
    <xf numFmtId="0" fontId="177" fillId="0" borderId="18" xfId="830" applyFont="1" applyFill="1" applyBorder="1" applyAlignment="1">
      <alignment horizontal="center" vertical="center"/>
    </xf>
    <xf numFmtId="0" fontId="132" fillId="23" borderId="29" xfId="830" applyFont="1" applyFill="1" applyBorder="1" applyAlignment="1">
      <alignment horizontal="center" vertical="center"/>
    </xf>
    <xf numFmtId="0" fontId="132" fillId="23" borderId="44" xfId="830" applyFont="1" applyFill="1" applyBorder="1" applyAlignment="1">
      <alignment horizontal="center" vertical="center"/>
    </xf>
    <xf numFmtId="0" fontId="132" fillId="23" borderId="34" xfId="830" applyFont="1" applyFill="1" applyBorder="1" applyAlignment="1">
      <alignment horizontal="center" vertical="center"/>
    </xf>
    <xf numFmtId="0" fontId="132" fillId="0" borderId="23" xfId="830" applyFont="1" applyBorder="1" applyAlignment="1">
      <alignment horizontal="center"/>
    </xf>
    <xf numFmtId="0" fontId="28" fillId="0" borderId="30" xfId="830" applyFont="1" applyBorder="1" applyAlignment="1">
      <alignment horizontal="center" vertical="center"/>
    </xf>
    <xf numFmtId="0" fontId="28" fillId="0" borderId="32" xfId="830" applyFont="1" applyBorder="1" applyAlignment="1">
      <alignment horizontal="center" vertical="center"/>
    </xf>
    <xf numFmtId="0" fontId="168" fillId="0" borderId="18" xfId="830" applyFont="1" applyBorder="1" applyAlignment="1">
      <alignment horizontal="center" vertical="center"/>
    </xf>
    <xf numFmtId="0" fontId="169" fillId="0" borderId="18" xfId="830" applyFont="1" applyBorder="1" applyAlignment="1">
      <alignment horizontal="center" vertical="center"/>
    </xf>
    <xf numFmtId="0" fontId="124" fillId="0" borderId="0" xfId="830" applyFont="1" applyBorder="1" applyAlignment="1">
      <alignment vertical="center"/>
    </xf>
    <xf numFmtId="0" fontId="275" fillId="0" borderId="0" xfId="0" applyFont="1" applyAlignment="1">
      <alignment horizontal="center"/>
    </xf>
    <xf numFmtId="0" fontId="133" fillId="0" borderId="0" xfId="0" applyFont="1" applyAlignment="1">
      <alignment horizontal="center" vertical="center"/>
    </xf>
    <xf numFmtId="0" fontId="129" fillId="23" borderId="18" xfId="0" applyFont="1" applyFill="1" applyBorder="1" applyAlignment="1">
      <alignment horizontal="center" vertical="center" wrapText="1"/>
    </xf>
    <xf numFmtId="0" fontId="264" fillId="0" borderId="0" xfId="374" applyFont="1" applyBorder="1" applyAlignment="1">
      <alignment vertical="center"/>
    </xf>
    <xf numFmtId="0" fontId="175" fillId="29" borderId="14" xfId="52" applyFont="1" applyFill="1" applyBorder="1" applyAlignment="1">
      <alignment vertical="center"/>
    </xf>
    <xf numFmtId="0" fontId="179" fillId="29" borderId="14" xfId="52" applyFont="1" applyFill="1" applyBorder="1" applyAlignment="1">
      <alignment vertical="center"/>
    </xf>
    <xf numFmtId="0" fontId="177" fillId="29" borderId="14" xfId="52" applyFont="1" applyFill="1" applyBorder="1" applyAlignment="1">
      <alignment vertical="center"/>
    </xf>
    <xf numFmtId="0" fontId="178" fillId="29" borderId="14" xfId="52" applyFont="1" applyFill="1" applyBorder="1" applyAlignment="1">
      <alignment vertical="center"/>
    </xf>
    <xf numFmtId="0" fontId="176" fillId="29" borderId="14" xfId="52" applyFont="1" applyFill="1" applyBorder="1" applyAlignment="1">
      <alignment vertical="center"/>
    </xf>
    <xf numFmtId="0" fontId="276" fillId="0" borderId="0" xfId="66" applyFont="1" applyAlignment="1">
      <alignment vertical="center"/>
    </xf>
    <xf numFmtId="0" fontId="177" fillId="0" borderId="10" xfId="66" applyFont="1" applyFill="1" applyBorder="1" applyAlignment="1">
      <alignment horizontal="center" vertical="center" wrapText="1"/>
    </xf>
    <xf numFmtId="0" fontId="176" fillId="0" borderId="10" xfId="66" applyFont="1" applyFill="1" applyBorder="1" applyAlignment="1">
      <alignment horizontal="center" vertical="center" wrapText="1"/>
    </xf>
    <xf numFmtId="0" fontId="179" fillId="0" borderId="10" xfId="66" applyFont="1" applyFill="1" applyBorder="1" applyAlignment="1">
      <alignment horizontal="center" vertical="center" wrapText="1"/>
    </xf>
    <xf numFmtId="0" fontId="175" fillId="0" borderId="10" xfId="66" applyFont="1" applyFill="1" applyBorder="1" applyAlignment="1">
      <alignment horizontal="center" vertical="center" wrapText="1"/>
    </xf>
    <xf numFmtId="0" fontId="110" fillId="0" borderId="0" xfId="66" applyFont="1" applyBorder="1" applyAlignment="1">
      <alignment horizontal="left" vertical="center" wrapText="1"/>
    </xf>
    <xf numFmtId="0" fontId="175" fillId="0" borderId="14" xfId="52" applyFont="1" applyFill="1" applyBorder="1" applyAlignment="1">
      <alignment vertical="center"/>
    </xf>
    <xf numFmtId="0" fontId="175" fillId="0" borderId="10" xfId="52" applyFont="1" applyFill="1" applyBorder="1" applyAlignment="1">
      <alignment horizontal="center" vertical="center"/>
    </xf>
    <xf numFmtId="3" fontId="175" fillId="0" borderId="13" xfId="54" applyNumberFormat="1" applyFont="1" applyFill="1" applyBorder="1" applyAlignment="1">
      <alignment horizontal="right" wrapText="1" indent="1"/>
    </xf>
    <xf numFmtId="3" fontId="175" fillId="0" borderId="14" xfId="54" applyNumberFormat="1" applyFont="1" applyFill="1" applyBorder="1" applyAlignment="1">
      <alignment horizontal="right" wrapText="1" indent="1"/>
    </xf>
    <xf numFmtId="3" fontId="175" fillId="0" borderId="10" xfId="54" applyNumberFormat="1" applyFont="1" applyFill="1" applyBorder="1" applyAlignment="1">
      <alignment horizontal="right" wrapText="1" indent="1"/>
    </xf>
    <xf numFmtId="0" fontId="176" fillId="0" borderId="14" xfId="52" applyFont="1" applyFill="1" applyBorder="1" applyAlignment="1">
      <alignment vertical="center"/>
    </xf>
    <xf numFmtId="0" fontId="176" fillId="0" borderId="10" xfId="52" applyFont="1" applyFill="1" applyBorder="1" applyAlignment="1">
      <alignment horizontal="center" vertical="center"/>
    </xf>
    <xf numFmtId="3" fontId="176" fillId="0" borderId="13" xfId="54" applyNumberFormat="1" applyFont="1" applyFill="1" applyBorder="1" applyAlignment="1">
      <alignment horizontal="right" wrapText="1" indent="1"/>
    </xf>
    <xf numFmtId="3" fontId="176" fillId="0" borderId="14" xfId="54" applyNumberFormat="1" applyFont="1" applyFill="1" applyBorder="1" applyAlignment="1">
      <alignment horizontal="right" wrapText="1" indent="1"/>
    </xf>
    <xf numFmtId="3" fontId="176" fillId="0" borderId="10" xfId="54" applyNumberFormat="1" applyFont="1" applyFill="1" applyBorder="1" applyAlignment="1">
      <alignment horizontal="right" wrapText="1" indent="1"/>
    </xf>
    <xf numFmtId="0" fontId="179" fillId="0" borderId="14" xfId="52" applyFont="1" applyFill="1" applyBorder="1" applyAlignment="1">
      <alignment vertical="center"/>
    </xf>
    <xf numFmtId="3" fontId="179" fillId="0" borderId="13" xfId="54" applyNumberFormat="1" applyFont="1" applyFill="1" applyBorder="1" applyAlignment="1">
      <alignment horizontal="right" wrapText="1" indent="1"/>
    </xf>
    <xf numFmtId="3" fontId="179" fillId="0" borderId="14" xfId="54" applyNumberFormat="1" applyFont="1" applyFill="1" applyBorder="1" applyAlignment="1">
      <alignment horizontal="right" wrapText="1" indent="1"/>
    </xf>
    <xf numFmtId="3" fontId="179" fillId="0" borderId="10" xfId="54" applyNumberFormat="1" applyFont="1" applyFill="1" applyBorder="1" applyAlignment="1">
      <alignment horizontal="right" wrapText="1" indent="1"/>
    </xf>
    <xf numFmtId="0" fontId="178" fillId="0" borderId="14" xfId="52" applyFont="1" applyFill="1" applyBorder="1" applyAlignment="1">
      <alignment vertical="center"/>
    </xf>
    <xf numFmtId="3" fontId="178" fillId="0" borderId="13" xfId="54" applyNumberFormat="1" applyFont="1" applyFill="1" applyBorder="1" applyAlignment="1">
      <alignment horizontal="right" wrapText="1" indent="1"/>
    </xf>
    <xf numFmtId="3" fontId="178" fillId="0" borderId="14" xfId="54" applyNumberFormat="1" applyFont="1" applyFill="1" applyBorder="1" applyAlignment="1">
      <alignment horizontal="right" wrapText="1" indent="1"/>
    </xf>
    <xf numFmtId="3" fontId="178" fillId="0" borderId="10" xfId="54" applyNumberFormat="1" applyFont="1" applyFill="1" applyBorder="1" applyAlignment="1">
      <alignment horizontal="right" wrapText="1" indent="1"/>
    </xf>
    <xf numFmtId="0" fontId="177" fillId="0" borderId="14" xfId="52" applyFont="1" applyFill="1" applyBorder="1" applyAlignment="1">
      <alignment vertical="center"/>
    </xf>
    <xf numFmtId="0" fontId="177" fillId="0" borderId="10" xfId="52" applyFont="1" applyFill="1" applyBorder="1" applyAlignment="1">
      <alignment horizontal="center" vertical="center"/>
    </xf>
    <xf numFmtId="3" fontId="177" fillId="0" borderId="13" xfId="54" applyNumberFormat="1" applyFont="1" applyFill="1" applyBorder="1" applyAlignment="1">
      <alignment horizontal="right" wrapText="1" indent="1"/>
    </xf>
    <xf numFmtId="3" fontId="177" fillId="0" borderId="14" xfId="54" applyNumberFormat="1" applyFont="1" applyFill="1" applyBorder="1" applyAlignment="1">
      <alignment horizontal="right" wrapText="1" indent="1"/>
    </xf>
    <xf numFmtId="3" fontId="177" fillId="0" borderId="10" xfId="54" applyNumberFormat="1" applyFont="1" applyFill="1" applyBorder="1" applyAlignment="1">
      <alignment horizontal="right" wrapText="1" indent="1"/>
    </xf>
    <xf numFmtId="0" fontId="175" fillId="0" borderId="14" xfId="463" applyFont="1" applyFill="1" applyBorder="1" applyAlignment="1">
      <alignment vertical="center"/>
    </xf>
    <xf numFmtId="0" fontId="175" fillId="0" borderId="10" xfId="463" applyFont="1" applyFill="1" applyBorder="1" applyAlignment="1">
      <alignment horizontal="center" vertical="center"/>
    </xf>
    <xf numFmtId="3" fontId="175" fillId="0" borderId="13" xfId="374" applyNumberFormat="1" applyFont="1" applyFill="1" applyBorder="1" applyAlignment="1">
      <alignment horizontal="right" indent="1"/>
    </xf>
    <xf numFmtId="3" fontId="175" fillId="0" borderId="14" xfId="374" applyNumberFormat="1" applyFont="1" applyFill="1" applyBorder="1" applyAlignment="1">
      <alignment horizontal="right" indent="1"/>
    </xf>
    <xf numFmtId="3" fontId="175" fillId="0" borderId="10" xfId="374" applyNumberFormat="1" applyFont="1" applyFill="1" applyBorder="1" applyAlignment="1">
      <alignment horizontal="right" indent="1"/>
    </xf>
    <xf numFmtId="3" fontId="176" fillId="0" borderId="10" xfId="374" applyNumberFormat="1" applyFont="1" applyFill="1" applyBorder="1" applyAlignment="1">
      <alignment horizontal="center" vertical="center"/>
    </xf>
    <xf numFmtId="3" fontId="176" fillId="0" borderId="13" xfId="374" applyNumberFormat="1" applyFont="1" applyFill="1" applyBorder="1" applyAlignment="1">
      <alignment horizontal="right" indent="1"/>
    </xf>
    <xf numFmtId="3" fontId="176" fillId="0" borderId="14" xfId="374" applyNumberFormat="1" applyFont="1" applyFill="1" applyBorder="1" applyAlignment="1">
      <alignment horizontal="right" indent="1"/>
    </xf>
    <xf numFmtId="3" fontId="176" fillId="0" borderId="10" xfId="374" applyNumberFormat="1" applyFont="1" applyFill="1" applyBorder="1" applyAlignment="1">
      <alignment horizontal="right" indent="1"/>
    </xf>
    <xf numFmtId="3" fontId="176" fillId="0" borderId="14" xfId="374" applyNumberFormat="1" applyFont="1" applyFill="1" applyBorder="1" applyAlignment="1"/>
    <xf numFmtId="3" fontId="179" fillId="0" borderId="10" xfId="374" applyNumberFormat="1" applyFont="1" applyFill="1" applyBorder="1" applyAlignment="1">
      <alignment horizontal="center" vertical="center"/>
    </xf>
    <xf numFmtId="3" fontId="179" fillId="0" borderId="13" xfId="374" applyNumberFormat="1" applyFont="1" applyFill="1" applyBorder="1" applyAlignment="1">
      <alignment horizontal="right" indent="1"/>
    </xf>
    <xf numFmtId="3" fontId="179" fillId="0" borderId="14" xfId="374" applyNumberFormat="1" applyFont="1" applyFill="1" applyBorder="1" applyAlignment="1">
      <alignment horizontal="right" indent="1"/>
    </xf>
    <xf numFmtId="3" fontId="179" fillId="0" borderId="10" xfId="374" applyNumberFormat="1" applyFont="1" applyFill="1" applyBorder="1" applyAlignment="1">
      <alignment horizontal="right" indent="1"/>
    </xf>
    <xf numFmtId="3" fontId="179" fillId="0" borderId="14" xfId="374" applyNumberFormat="1" applyFont="1" applyFill="1" applyBorder="1" applyAlignment="1"/>
    <xf numFmtId="3" fontId="177" fillId="0" borderId="10" xfId="374" applyNumberFormat="1" applyFont="1" applyFill="1" applyBorder="1" applyAlignment="1">
      <alignment horizontal="center" vertical="center"/>
    </xf>
    <xf numFmtId="3" fontId="177" fillId="0" borderId="13" xfId="374" applyNumberFormat="1" applyFont="1" applyFill="1" applyBorder="1" applyAlignment="1">
      <alignment horizontal="right" indent="1"/>
    </xf>
    <xf numFmtId="3" fontId="177" fillId="0" borderId="14" xfId="374" applyNumberFormat="1" applyFont="1" applyFill="1" applyBorder="1" applyAlignment="1">
      <alignment horizontal="right" indent="1"/>
    </xf>
    <xf numFmtId="3" fontId="177" fillId="0" borderId="10" xfId="374" applyNumberFormat="1" applyFont="1" applyFill="1" applyBorder="1" applyAlignment="1">
      <alignment horizontal="right" indent="1"/>
    </xf>
    <xf numFmtId="3" fontId="177" fillId="0" borderId="14" xfId="374" applyNumberFormat="1" applyFont="1" applyFill="1" applyBorder="1" applyAlignment="1"/>
    <xf numFmtId="0" fontId="27" fillId="0" borderId="0" xfId="640" applyFont="1"/>
    <xf numFmtId="0" fontId="179" fillId="0" borderId="22" xfId="52" applyFont="1" applyFill="1" applyBorder="1" applyAlignment="1">
      <alignment horizontal="center" vertical="center"/>
    </xf>
    <xf numFmtId="3" fontId="179" fillId="0" borderId="20" xfId="48" applyNumberFormat="1" applyFont="1" applyFill="1" applyBorder="1" applyAlignment="1">
      <alignment horizontal="right" vertical="center" indent="1"/>
    </xf>
    <xf numFmtId="3" fontId="179" fillId="0" borderId="23" xfId="48" applyNumberFormat="1" applyFont="1" applyFill="1" applyBorder="1" applyAlignment="1">
      <alignment horizontal="right" vertical="center" indent="1"/>
    </xf>
    <xf numFmtId="3" fontId="179" fillId="0" borderId="24" xfId="48" applyNumberFormat="1" applyFont="1" applyFill="1" applyBorder="1" applyAlignment="1">
      <alignment horizontal="right" vertical="center" indent="1"/>
    </xf>
    <xf numFmtId="3" fontId="179" fillId="0" borderId="22" xfId="48" applyNumberFormat="1" applyFont="1" applyFill="1" applyBorder="1" applyAlignment="1">
      <alignment horizontal="right" vertical="center" indent="1"/>
    </xf>
    <xf numFmtId="3" fontId="128" fillId="23" borderId="57" xfId="48" applyNumberFormat="1" applyFont="1" applyFill="1" applyBorder="1" applyAlignment="1">
      <alignment horizontal="right" vertical="center" indent="1"/>
    </xf>
    <xf numFmtId="3" fontId="128" fillId="23" borderId="48" xfId="48" applyNumberFormat="1" applyFont="1" applyFill="1" applyBorder="1" applyAlignment="1">
      <alignment horizontal="right" vertical="center" indent="1"/>
    </xf>
    <xf numFmtId="3" fontId="128" fillId="23" borderId="58" xfId="48" applyNumberFormat="1" applyFont="1" applyFill="1" applyBorder="1" applyAlignment="1">
      <alignment horizontal="right" vertical="center" indent="1"/>
    </xf>
    <xf numFmtId="3" fontId="128" fillId="23" borderId="56" xfId="48" applyNumberFormat="1" applyFont="1" applyFill="1" applyBorder="1" applyAlignment="1">
      <alignment horizontal="right" vertical="center" indent="1"/>
    </xf>
    <xf numFmtId="3" fontId="177" fillId="0" borderId="13" xfId="48" applyNumberFormat="1" applyFont="1" applyFill="1" applyBorder="1" applyAlignment="1">
      <alignment horizontal="right" vertical="center" indent="1"/>
    </xf>
    <xf numFmtId="3" fontId="177" fillId="0" borderId="18" xfId="48" applyNumberFormat="1" applyFont="1" applyFill="1" applyBorder="1" applyAlignment="1">
      <alignment horizontal="right" vertical="center" indent="1"/>
    </xf>
    <xf numFmtId="3" fontId="177" fillId="0" borderId="14" xfId="48" applyNumberFormat="1" applyFont="1" applyFill="1" applyBorder="1" applyAlignment="1">
      <alignment horizontal="right" vertical="center" indent="1"/>
    </xf>
    <xf numFmtId="3" fontId="177" fillId="0" borderId="10" xfId="48" applyNumberFormat="1" applyFont="1" applyFill="1" applyBorder="1" applyAlignment="1">
      <alignment horizontal="right" vertical="center" indent="1"/>
    </xf>
    <xf numFmtId="0" fontId="176" fillId="0" borderId="22" xfId="52" applyFont="1" applyFill="1" applyBorder="1" applyAlignment="1">
      <alignment horizontal="center" vertical="center"/>
    </xf>
    <xf numFmtId="3" fontId="176" fillId="0" borderId="20" xfId="48" applyNumberFormat="1" applyFont="1" applyFill="1" applyBorder="1" applyAlignment="1">
      <alignment horizontal="right" vertical="center" indent="1"/>
    </xf>
    <xf numFmtId="3" fontId="176" fillId="0" borderId="23" xfId="48" applyNumberFormat="1" applyFont="1" applyFill="1" applyBorder="1" applyAlignment="1">
      <alignment horizontal="right" vertical="center" indent="1"/>
    </xf>
    <xf numFmtId="3" fontId="176" fillId="0" borderId="24" xfId="48" applyNumberFormat="1" applyFont="1" applyFill="1" applyBorder="1" applyAlignment="1">
      <alignment horizontal="right" vertical="center" indent="1"/>
    </xf>
    <xf numFmtId="3" fontId="176" fillId="0" borderId="22" xfId="48" applyNumberFormat="1" applyFont="1" applyFill="1" applyBorder="1" applyAlignment="1">
      <alignment horizontal="right" vertical="center" indent="1"/>
    </xf>
    <xf numFmtId="0" fontId="175" fillId="0" borderId="22" xfId="52" applyFont="1" applyFill="1" applyBorder="1" applyAlignment="1">
      <alignment horizontal="center" vertical="center"/>
    </xf>
    <xf numFmtId="3" fontId="175" fillId="0" borderId="20" xfId="48" applyNumberFormat="1" applyFont="1" applyFill="1" applyBorder="1" applyAlignment="1">
      <alignment horizontal="right" vertical="center" indent="1"/>
    </xf>
    <xf numFmtId="3" fontId="175" fillId="0" borderId="23" xfId="48" applyNumberFormat="1" applyFont="1" applyFill="1" applyBorder="1" applyAlignment="1">
      <alignment horizontal="right" vertical="center" indent="1"/>
    </xf>
    <xf numFmtId="3" fontId="175" fillId="0" borderId="24" xfId="48" applyNumberFormat="1" applyFont="1" applyFill="1" applyBorder="1" applyAlignment="1">
      <alignment horizontal="right" vertical="center" indent="1"/>
    </xf>
    <xf numFmtId="3" fontId="175" fillId="0" borderId="22" xfId="48" applyNumberFormat="1" applyFont="1" applyFill="1" applyBorder="1" applyAlignment="1">
      <alignment horizontal="right" vertical="center" indent="1"/>
    </xf>
    <xf numFmtId="3" fontId="175" fillId="0" borderId="13" xfId="53" applyNumberFormat="1" applyFont="1" applyFill="1" applyBorder="1" applyAlignment="1">
      <alignment horizontal="right" vertical="center" indent="1"/>
    </xf>
    <xf numFmtId="3" fontId="175" fillId="0" borderId="18" xfId="53" applyNumberFormat="1" applyFont="1" applyFill="1" applyBorder="1" applyAlignment="1">
      <alignment horizontal="right" vertical="center" indent="1"/>
    </xf>
    <xf numFmtId="3" fontId="167" fillId="0" borderId="13" xfId="53" applyNumberFormat="1" applyFont="1" applyFill="1" applyBorder="1" applyAlignment="1">
      <alignment horizontal="right" vertical="center" indent="1"/>
    </xf>
    <xf numFmtId="3" fontId="176" fillId="0" borderId="13" xfId="53" applyNumberFormat="1" applyFont="1" applyFill="1" applyBorder="1" applyAlignment="1">
      <alignment horizontal="right" vertical="center" indent="1"/>
    </xf>
    <xf numFmtId="3" fontId="176" fillId="0" borderId="18" xfId="53" applyNumberFormat="1" applyFont="1" applyFill="1" applyBorder="1" applyAlignment="1">
      <alignment horizontal="right" vertical="center" indent="1"/>
    </xf>
    <xf numFmtId="3" fontId="177" fillId="0" borderId="13" xfId="53" applyNumberFormat="1" applyFont="1" applyFill="1" applyBorder="1" applyAlignment="1">
      <alignment horizontal="right" vertical="center" indent="1"/>
    </xf>
    <xf numFmtId="3" fontId="177" fillId="0" borderId="18" xfId="53" applyNumberFormat="1" applyFont="1" applyFill="1" applyBorder="1" applyAlignment="1">
      <alignment horizontal="right" vertical="center" indent="1"/>
    </xf>
    <xf numFmtId="3" fontId="137" fillId="29" borderId="16" xfId="53" applyNumberFormat="1" applyFont="1" applyFill="1" applyBorder="1" applyAlignment="1">
      <alignment horizontal="right" vertical="center" indent="1"/>
    </xf>
    <xf numFmtId="3" fontId="137" fillId="29" borderId="21" xfId="53" applyNumberFormat="1" applyFont="1" applyFill="1" applyBorder="1" applyAlignment="1">
      <alignment horizontal="right" vertical="center" indent="1"/>
    </xf>
    <xf numFmtId="0" fontId="129" fillId="0" borderId="25" xfId="52" applyFont="1" applyFill="1" applyBorder="1" applyAlignment="1">
      <alignment horizontal="center" vertical="center"/>
    </xf>
    <xf numFmtId="0" fontId="129" fillId="0" borderId="40" xfId="52" applyFont="1" applyFill="1" applyBorder="1" applyAlignment="1">
      <alignment horizontal="left" vertical="center"/>
    </xf>
    <xf numFmtId="4" fontId="137" fillId="0" borderId="25" xfId="53" applyNumberFormat="1" applyFont="1" applyFill="1" applyBorder="1" applyAlignment="1">
      <alignment horizontal="right" vertical="center" indent="1"/>
    </xf>
    <xf numFmtId="4" fontId="129" fillId="0" borderId="30" xfId="66" applyNumberFormat="1" applyFont="1" applyFill="1" applyBorder="1" applyAlignment="1">
      <alignment horizontal="right" vertical="center" indent="1"/>
    </xf>
    <xf numFmtId="4" fontId="137" fillId="0" borderId="40" xfId="53" applyNumberFormat="1" applyFont="1" applyFill="1" applyBorder="1" applyAlignment="1">
      <alignment horizontal="right" vertical="center" indent="1"/>
    </xf>
    <xf numFmtId="4" fontId="129" fillId="0" borderId="30" xfId="0" applyNumberFormat="1" applyFont="1" applyBorder="1" applyAlignment="1">
      <alignment horizontal="right" indent="1"/>
    </xf>
    <xf numFmtId="0" fontId="129" fillId="0" borderId="26" xfId="52" applyFont="1" applyFill="1" applyBorder="1" applyAlignment="1">
      <alignment horizontal="center" vertical="center"/>
    </xf>
    <xf numFmtId="0" fontId="129" fillId="0" borderId="41" xfId="52" applyFont="1" applyFill="1" applyBorder="1" applyAlignment="1">
      <alignment horizontal="left" vertical="center"/>
    </xf>
    <xf numFmtId="4" fontId="137" fillId="0" borderId="26" xfId="53" applyNumberFormat="1" applyFont="1" applyFill="1" applyBorder="1" applyAlignment="1">
      <alignment horizontal="right" vertical="center" indent="1"/>
    </xf>
    <xf numFmtId="4" fontId="129" fillId="0" borderId="31" xfId="66" applyNumberFormat="1" applyFont="1" applyFill="1" applyBorder="1" applyAlignment="1">
      <alignment horizontal="right" vertical="center" indent="1"/>
    </xf>
    <xf numFmtId="4" fontId="137" fillId="0" borderId="41" xfId="53" applyNumberFormat="1" applyFont="1" applyFill="1" applyBorder="1" applyAlignment="1">
      <alignment horizontal="right" vertical="center" indent="1"/>
    </xf>
    <xf numFmtId="4" fontId="129" fillId="0" borderId="31" xfId="0" applyNumberFormat="1" applyFont="1" applyBorder="1" applyAlignment="1">
      <alignment horizontal="right" indent="1"/>
    </xf>
    <xf numFmtId="4" fontId="129" fillId="0" borderId="26" xfId="66" applyNumberFormat="1" applyFont="1" applyFill="1" applyBorder="1" applyAlignment="1">
      <alignment horizontal="right" vertical="center" indent="1"/>
    </xf>
    <xf numFmtId="4" fontId="129" fillId="0" borderId="41" xfId="66" applyNumberFormat="1" applyFont="1" applyFill="1" applyBorder="1" applyAlignment="1">
      <alignment horizontal="right" vertical="center" indent="1"/>
    </xf>
    <xf numFmtId="0" fontId="129" fillId="0" borderId="27" xfId="52" applyFont="1" applyFill="1" applyBorder="1" applyAlignment="1">
      <alignment horizontal="center" vertical="center"/>
    </xf>
    <xf numFmtId="0" fontId="129" fillId="0" borderId="42" xfId="52" applyFont="1" applyFill="1" applyBorder="1" applyAlignment="1">
      <alignment horizontal="left" vertical="center"/>
    </xf>
    <xf numFmtId="4" fontId="129" fillId="0" borderId="27" xfId="66" applyNumberFormat="1" applyFont="1" applyFill="1" applyBorder="1" applyAlignment="1">
      <alignment horizontal="right" vertical="center" indent="1"/>
    </xf>
    <xf numFmtId="4" fontId="129" fillId="0" borderId="32" xfId="66" applyNumberFormat="1" applyFont="1" applyFill="1" applyBorder="1" applyAlignment="1">
      <alignment horizontal="right" vertical="center" indent="1"/>
    </xf>
    <xf numFmtId="4" fontId="129" fillId="0" borderId="42" xfId="66" applyNumberFormat="1" applyFont="1" applyFill="1" applyBorder="1" applyAlignment="1">
      <alignment horizontal="right" vertical="center" indent="1"/>
    </xf>
    <xf numFmtId="0" fontId="129" fillId="0" borderId="28" xfId="52" applyFont="1" applyFill="1" applyBorder="1" applyAlignment="1">
      <alignment horizontal="center" vertical="center"/>
    </xf>
    <xf numFmtId="0" fontId="129" fillId="0" borderId="43" xfId="52" applyFont="1" applyFill="1" applyBorder="1" applyAlignment="1">
      <alignment horizontal="left" vertical="center"/>
    </xf>
    <xf numFmtId="4" fontId="137" fillId="0" borderId="28" xfId="53" applyNumberFormat="1" applyFont="1" applyFill="1" applyBorder="1" applyAlignment="1">
      <alignment horizontal="right" vertical="center" indent="1"/>
    </xf>
    <xf numFmtId="4" fontId="129" fillId="0" borderId="33" xfId="66" applyNumberFormat="1" applyFont="1" applyFill="1" applyBorder="1" applyAlignment="1">
      <alignment horizontal="right" vertical="center" indent="1"/>
    </xf>
    <xf numFmtId="4" fontId="137" fillId="0" borderId="43" xfId="53" applyNumberFormat="1" applyFont="1" applyFill="1" applyBorder="1" applyAlignment="1">
      <alignment horizontal="right" vertical="center" indent="1"/>
    </xf>
    <xf numFmtId="4" fontId="129" fillId="0" borderId="33" xfId="0" applyNumberFormat="1" applyFont="1" applyBorder="1" applyAlignment="1">
      <alignment horizontal="right" indent="1"/>
    </xf>
    <xf numFmtId="4" fontId="137" fillId="0" borderId="27" xfId="53" applyNumberFormat="1" applyFont="1" applyFill="1" applyBorder="1" applyAlignment="1">
      <alignment horizontal="right" vertical="center" indent="1"/>
    </xf>
    <xf numFmtId="4" fontId="137" fillId="0" borderId="42" xfId="53" applyNumberFormat="1" applyFont="1" applyFill="1" applyBorder="1" applyAlignment="1">
      <alignment horizontal="right" vertical="center" indent="1"/>
    </xf>
    <xf numFmtId="4" fontId="129" fillId="0" borderId="32" xfId="0" applyNumberFormat="1" applyFont="1" applyBorder="1" applyAlignment="1">
      <alignment horizontal="right" indent="1"/>
    </xf>
    <xf numFmtId="4" fontId="129" fillId="0" borderId="28" xfId="66" applyNumberFormat="1" applyFont="1" applyFill="1" applyBorder="1" applyAlignment="1">
      <alignment horizontal="right" vertical="center" indent="1"/>
    </xf>
    <xf numFmtId="4" fontId="129" fillId="0" borderId="43" xfId="66" applyNumberFormat="1" applyFont="1" applyFill="1" applyBorder="1" applyAlignment="1">
      <alignment horizontal="right" vertical="center" indent="1"/>
    </xf>
    <xf numFmtId="0" fontId="129" fillId="0" borderId="52" xfId="374" applyFont="1" applyBorder="1" applyAlignment="1">
      <alignment horizontal="right" vertical="center" indent="1"/>
    </xf>
    <xf numFmtId="0" fontId="129" fillId="0" borderId="66" xfId="374" applyFont="1" applyBorder="1" applyAlignment="1">
      <alignment horizontal="right" vertical="center" indent="1"/>
    </xf>
    <xf numFmtId="0" fontId="129" fillId="0" borderId="47" xfId="374" applyFont="1" applyBorder="1" applyAlignment="1">
      <alignment horizontal="right" vertical="center" indent="1"/>
    </xf>
    <xf numFmtId="0" fontId="128" fillId="23" borderId="18" xfId="0" applyFont="1" applyFill="1" applyBorder="1" applyAlignment="1">
      <alignment horizontal="center" vertical="center"/>
    </xf>
    <xf numFmtId="0" fontId="150" fillId="23" borderId="18" xfId="827" applyFont="1" applyFill="1" applyBorder="1" applyAlignment="1">
      <alignment horizontal="center" vertical="center"/>
    </xf>
    <xf numFmtId="0" fontId="102" fillId="23" borderId="18" xfId="827" applyFont="1" applyFill="1" applyBorder="1" applyAlignment="1">
      <alignment horizontal="center" vertical="center"/>
    </xf>
    <xf numFmtId="3" fontId="175" fillId="0" borderId="16" xfId="66" applyNumberFormat="1" applyFont="1" applyFill="1" applyBorder="1" applyAlignment="1" applyProtection="1">
      <alignment horizontal="center" vertical="center"/>
      <protection locked="0"/>
    </xf>
    <xf numFmtId="3" fontId="175" fillId="0" borderId="0" xfId="66" applyNumberFormat="1" applyFont="1" applyFill="1" applyBorder="1" applyAlignment="1" applyProtection="1">
      <alignment horizontal="center" vertical="center"/>
      <protection locked="0"/>
    </xf>
    <xf numFmtId="3" fontId="175" fillId="0" borderId="17" xfId="66" applyNumberFormat="1" applyFont="1" applyFill="1" applyBorder="1" applyAlignment="1" applyProtection="1">
      <alignment horizontal="center" vertical="center"/>
    </xf>
    <xf numFmtId="3" fontId="175" fillId="0" borderId="13" xfId="66" applyNumberFormat="1" applyFont="1" applyFill="1" applyBorder="1" applyAlignment="1">
      <alignment horizontal="center" vertical="center"/>
    </xf>
    <xf numFmtId="3" fontId="175" fillId="0" borderId="14" xfId="66" applyNumberFormat="1" applyFont="1" applyFill="1" applyBorder="1" applyAlignment="1">
      <alignment horizontal="center" vertical="center"/>
    </xf>
    <xf numFmtId="3" fontId="175" fillId="0" borderId="10" xfId="66" applyNumberFormat="1" applyFont="1" applyFill="1" applyBorder="1" applyAlignment="1">
      <alignment horizontal="center" vertical="center"/>
    </xf>
    <xf numFmtId="3" fontId="175" fillId="0" borderId="37" xfId="66" applyNumberFormat="1" applyFont="1" applyFill="1" applyBorder="1" applyAlignment="1">
      <alignment horizontal="center" vertical="center"/>
    </xf>
    <xf numFmtId="3" fontId="179" fillId="0" borderId="16" xfId="66" applyNumberFormat="1" applyFont="1" applyFill="1" applyBorder="1" applyAlignment="1" applyProtection="1">
      <alignment horizontal="center" vertical="center"/>
      <protection locked="0"/>
    </xf>
    <xf numFmtId="3" fontId="179" fillId="0" borderId="0" xfId="66" applyNumberFormat="1" applyFont="1" applyFill="1" applyBorder="1" applyAlignment="1" applyProtection="1">
      <alignment horizontal="center" vertical="center"/>
      <protection locked="0"/>
    </xf>
    <xf numFmtId="3" fontId="179" fillId="0" borderId="17" xfId="66" applyNumberFormat="1" applyFont="1" applyFill="1" applyBorder="1" applyAlignment="1" applyProtection="1">
      <alignment horizontal="center" vertical="center"/>
    </xf>
    <xf numFmtId="3" fontId="179" fillId="0" borderId="13" xfId="66" applyNumberFormat="1" applyFont="1" applyFill="1" applyBorder="1" applyAlignment="1">
      <alignment horizontal="center" vertical="center"/>
    </xf>
    <xf numFmtId="3" fontId="179" fillId="0" borderId="14" xfId="66" applyNumberFormat="1" applyFont="1" applyFill="1" applyBorder="1" applyAlignment="1">
      <alignment horizontal="center" vertical="center"/>
    </xf>
    <xf numFmtId="3" fontId="179" fillId="0" borderId="10" xfId="66" applyNumberFormat="1" applyFont="1" applyFill="1" applyBorder="1" applyAlignment="1">
      <alignment horizontal="center" vertical="center"/>
    </xf>
    <xf numFmtId="3" fontId="179" fillId="0" borderId="37" xfId="66" applyNumberFormat="1" applyFont="1" applyFill="1" applyBorder="1" applyAlignment="1">
      <alignment horizontal="center" vertical="center"/>
    </xf>
    <xf numFmtId="3" fontId="177" fillId="0" borderId="16" xfId="66" applyNumberFormat="1" applyFont="1" applyFill="1" applyBorder="1" applyAlignment="1" applyProtection="1">
      <alignment horizontal="center" vertical="center"/>
      <protection locked="0"/>
    </xf>
    <xf numFmtId="3" fontId="177" fillId="0" borderId="0" xfId="66" applyNumberFormat="1" applyFont="1" applyFill="1" applyBorder="1" applyAlignment="1" applyProtection="1">
      <alignment horizontal="center" vertical="center"/>
      <protection locked="0"/>
    </xf>
    <xf numFmtId="3" fontId="177" fillId="0" borderId="17" xfId="66" applyNumberFormat="1" applyFont="1" applyFill="1" applyBorder="1" applyAlignment="1" applyProtection="1">
      <alignment horizontal="center" vertical="center"/>
    </xf>
    <xf numFmtId="3" fontId="177" fillId="0" borderId="13" xfId="66" applyNumberFormat="1" applyFont="1" applyFill="1" applyBorder="1" applyAlignment="1">
      <alignment horizontal="center" vertical="center"/>
    </xf>
    <xf numFmtId="3" fontId="177" fillId="0" borderId="14" xfId="66" applyNumberFormat="1" applyFont="1" applyFill="1" applyBorder="1" applyAlignment="1">
      <alignment horizontal="center" vertical="center"/>
    </xf>
    <xf numFmtId="3" fontId="177" fillId="0" borderId="10" xfId="66" applyNumberFormat="1" applyFont="1" applyFill="1" applyBorder="1" applyAlignment="1">
      <alignment horizontal="center" vertical="center"/>
    </xf>
    <xf numFmtId="3" fontId="177" fillId="0" borderId="37" xfId="66" applyNumberFormat="1" applyFont="1" applyFill="1" applyBorder="1" applyAlignment="1">
      <alignment horizontal="center" vertical="center"/>
    </xf>
    <xf numFmtId="3" fontId="176" fillId="0" borderId="13" xfId="66" applyNumberFormat="1" applyFont="1" applyFill="1" applyBorder="1" applyAlignment="1" applyProtection="1">
      <alignment horizontal="center" vertical="center"/>
      <protection locked="0"/>
    </xf>
    <xf numFmtId="3" fontId="176" fillId="0" borderId="14" xfId="66" applyNumberFormat="1" applyFont="1" applyFill="1" applyBorder="1" applyAlignment="1" applyProtection="1">
      <alignment horizontal="center" vertical="center"/>
      <protection locked="0"/>
    </xf>
    <xf numFmtId="3" fontId="176" fillId="0" borderId="10" xfId="66" applyNumberFormat="1" applyFont="1" applyFill="1" applyBorder="1" applyAlignment="1" applyProtection="1">
      <alignment horizontal="center" vertical="center"/>
    </xf>
    <xf numFmtId="3" fontId="176" fillId="0" borderId="14" xfId="66" applyNumberFormat="1" applyFont="1" applyFill="1" applyBorder="1" applyAlignment="1" applyProtection="1">
      <alignment horizontal="center" vertical="center"/>
    </xf>
    <xf numFmtId="0" fontId="175" fillId="0" borderId="14" xfId="66" applyFont="1" applyFill="1" applyBorder="1" applyAlignment="1">
      <alignment vertical="center" wrapText="1"/>
    </xf>
    <xf numFmtId="0" fontId="168" fillId="0" borderId="14" xfId="66" applyFont="1" applyFill="1" applyBorder="1" applyAlignment="1">
      <alignment horizontal="center" vertical="center"/>
    </xf>
    <xf numFmtId="0" fontId="169" fillId="0" borderId="14" xfId="66" applyFont="1" applyFill="1" applyBorder="1" applyAlignment="1">
      <alignment horizontal="center" vertical="center"/>
    </xf>
    <xf numFmtId="0" fontId="167" fillId="0" borderId="14" xfId="66" applyFont="1" applyFill="1" applyBorder="1" applyAlignment="1">
      <alignment horizontal="center" vertical="center"/>
    </xf>
    <xf numFmtId="0" fontId="276" fillId="0" borderId="0" xfId="66" applyFont="1" applyAlignment="1">
      <alignment horizontal="center" vertical="center"/>
    </xf>
    <xf numFmtId="0" fontId="72" fillId="0" borderId="0" xfId="66" applyFont="1" applyAlignment="1">
      <alignment vertical="center" wrapText="1"/>
    </xf>
    <xf numFmtId="3" fontId="130" fillId="0" borderId="19" xfId="0" applyNumberFormat="1" applyFont="1" applyBorder="1" applyAlignment="1">
      <alignment horizontal="center" vertical="center"/>
    </xf>
    <xf numFmtId="3" fontId="130" fillId="0" borderId="23" xfId="0" applyNumberFormat="1" applyFont="1" applyBorder="1" applyAlignment="1">
      <alignment horizontal="center" vertical="center"/>
    </xf>
    <xf numFmtId="3" fontId="130" fillId="0" borderId="21" xfId="0" applyNumberFormat="1" applyFont="1" applyBorder="1" applyAlignment="1">
      <alignment horizontal="center" vertical="center"/>
    </xf>
    <xf numFmtId="0" fontId="277" fillId="0" borderId="0" xfId="66" applyFont="1" applyAlignment="1">
      <alignment vertical="center"/>
    </xf>
    <xf numFmtId="0" fontId="133" fillId="0" borderId="0" xfId="655" applyFont="1" applyFill="1" applyBorder="1" applyAlignment="1">
      <alignment vertical="center"/>
    </xf>
    <xf numFmtId="1" fontId="232" fillId="0" borderId="0" xfId="66" applyNumberFormat="1" applyFont="1" applyBorder="1"/>
    <xf numFmtId="0" fontId="232" fillId="0" borderId="0" xfId="66" applyFont="1" applyBorder="1"/>
    <xf numFmtId="0" fontId="133" fillId="0" borderId="0" xfId="830" applyFont="1" applyAlignment="1">
      <alignment horizontal="left" vertical="center"/>
    </xf>
    <xf numFmtId="0" fontId="160" fillId="0" borderId="0" xfId="0" applyFont="1"/>
    <xf numFmtId="0" fontId="133" fillId="0" borderId="0" xfId="830" applyFont="1" applyBorder="1" applyAlignment="1">
      <alignment vertical="center"/>
    </xf>
    <xf numFmtId="0" fontId="132" fillId="0" borderId="0" xfId="830" applyFont="1" applyBorder="1" applyAlignment="1">
      <alignment vertical="center" wrapText="1"/>
    </xf>
    <xf numFmtId="0" fontId="133" fillId="0" borderId="0" xfId="830" applyFont="1"/>
    <xf numFmtId="0" fontId="137" fillId="0" borderId="176" xfId="45" applyFont="1" applyFill="1" applyBorder="1" applyAlignment="1">
      <alignment horizontal="center" vertical="center"/>
    </xf>
    <xf numFmtId="0" fontId="150" fillId="23" borderId="179" xfId="45" applyFont="1" applyFill="1" applyBorder="1" applyAlignment="1">
      <alignment horizontal="centerContinuous" vertical="center"/>
    </xf>
    <xf numFmtId="0" fontId="150" fillId="23" borderId="181" xfId="45" applyFont="1" applyFill="1" applyBorder="1" applyAlignment="1">
      <alignment horizontal="centerContinuous" vertical="center"/>
    </xf>
    <xf numFmtId="0" fontId="279" fillId="23" borderId="19" xfId="632" applyFont="1" applyFill="1" applyBorder="1" applyAlignment="1">
      <alignment horizontal="center" vertical="center" wrapText="1"/>
    </xf>
    <xf numFmtId="0" fontId="233" fillId="0" borderId="0" xfId="632" applyFont="1" applyAlignment="1">
      <alignment horizontal="centerContinuous" vertical="center"/>
    </xf>
    <xf numFmtId="0" fontId="279" fillId="23" borderId="19" xfId="632" applyFont="1" applyFill="1" applyBorder="1" applyAlignment="1">
      <alignment horizontal="center" vertical="center"/>
    </xf>
    <xf numFmtId="0" fontId="233" fillId="20" borderId="19" xfId="632" applyFont="1" applyFill="1" applyBorder="1" applyAlignment="1">
      <alignment horizontal="center" vertical="center"/>
    </xf>
    <xf numFmtId="0" fontId="233" fillId="0" borderId="0" xfId="632" applyFont="1"/>
    <xf numFmtId="3" fontId="233" fillId="20" borderId="19" xfId="632" applyNumberFormat="1" applyFont="1" applyFill="1" applyBorder="1" applyAlignment="1">
      <alignment horizontal="right" vertical="center" indent="1"/>
    </xf>
    <xf numFmtId="0" fontId="233" fillId="20" borderId="21" xfId="632" applyFont="1" applyFill="1" applyBorder="1" applyAlignment="1">
      <alignment horizontal="center" vertical="center"/>
    </xf>
    <xf numFmtId="3" fontId="233" fillId="20" borderId="21" xfId="632" applyNumberFormat="1" applyFont="1" applyFill="1" applyBorder="1" applyAlignment="1">
      <alignment horizontal="right" vertical="center" indent="1"/>
    </xf>
    <xf numFmtId="0" fontId="233" fillId="20" borderId="23" xfId="632" applyFont="1" applyFill="1" applyBorder="1" applyAlignment="1">
      <alignment horizontal="center" vertical="center"/>
    </xf>
    <xf numFmtId="3" fontId="233" fillId="20" borderId="23" xfId="632" applyNumberFormat="1" applyFont="1" applyFill="1" applyBorder="1" applyAlignment="1">
      <alignment horizontal="right" vertical="center" indent="1"/>
    </xf>
    <xf numFmtId="0" fontId="279" fillId="23" borderId="23" xfId="632" applyFont="1" applyFill="1" applyBorder="1" applyAlignment="1">
      <alignment horizontal="center" vertical="center"/>
    </xf>
    <xf numFmtId="3" fontId="233" fillId="23" borderId="18" xfId="632" applyNumberFormat="1" applyFont="1" applyFill="1" applyBorder="1" applyAlignment="1">
      <alignment horizontal="right" vertical="center" indent="1"/>
    </xf>
    <xf numFmtId="0" fontId="279" fillId="23" borderId="18" xfId="632" applyFont="1" applyFill="1" applyBorder="1" applyAlignment="1">
      <alignment horizontal="center" vertical="center"/>
    </xf>
    <xf numFmtId="170" fontId="131" fillId="20" borderId="19" xfId="634" applyNumberFormat="1" applyFont="1" applyFill="1" applyBorder="1" applyAlignment="1">
      <alignment horizontal="center" vertical="center"/>
    </xf>
    <xf numFmtId="170" fontId="131" fillId="20" borderId="21" xfId="634" applyNumberFormat="1" applyFont="1" applyFill="1" applyBorder="1" applyAlignment="1">
      <alignment horizontal="center" vertical="center"/>
    </xf>
    <xf numFmtId="170" fontId="131" fillId="20" borderId="23" xfId="634" applyNumberFormat="1" applyFont="1" applyFill="1" applyBorder="1" applyAlignment="1">
      <alignment horizontal="center" vertical="center"/>
    </xf>
    <xf numFmtId="9" fontId="131" fillId="23" borderId="18" xfId="634" applyNumberFormat="1" applyFont="1" applyFill="1" applyBorder="1" applyAlignment="1">
      <alignment horizontal="center" vertical="center"/>
    </xf>
    <xf numFmtId="170" fontId="131" fillId="23" borderId="18" xfId="634" applyNumberFormat="1" applyFont="1" applyFill="1" applyBorder="1" applyAlignment="1">
      <alignment horizontal="center" vertical="center"/>
    </xf>
    <xf numFmtId="0" fontId="128" fillId="23" borderId="179" xfId="66" applyFont="1" applyFill="1" applyBorder="1" applyAlignment="1">
      <alignment horizontal="center" vertical="center" wrapText="1"/>
    </xf>
    <xf numFmtId="0" fontId="128" fillId="23" borderId="181" xfId="66" applyFont="1" applyFill="1" applyBorder="1" applyAlignment="1">
      <alignment horizontal="center" vertical="center" wrapText="1"/>
    </xf>
    <xf numFmtId="184" fontId="128" fillId="23" borderId="179" xfId="0" applyNumberFormat="1" applyFont="1" applyFill="1" applyBorder="1" applyAlignment="1">
      <alignment horizontal="right" vertical="center" indent="1"/>
    </xf>
    <xf numFmtId="170" fontId="131" fillId="0" borderId="0" xfId="374" applyNumberFormat="1" applyFont="1"/>
    <xf numFmtId="167" fontId="131" fillId="0" borderId="0" xfId="374" applyNumberFormat="1" applyFont="1"/>
    <xf numFmtId="0" fontId="131" fillId="0" borderId="0" xfId="374" applyFont="1"/>
    <xf numFmtId="9" fontId="131" fillId="0" borderId="0" xfId="57" applyFont="1"/>
    <xf numFmtId="0" fontId="152" fillId="0" borderId="0" xfId="374" applyFont="1" applyAlignment="1">
      <alignment horizontal="center"/>
    </xf>
    <xf numFmtId="0" fontId="148" fillId="0" borderId="104" xfId="32" applyFont="1" applyBorder="1" applyAlignment="1" applyProtection="1"/>
    <xf numFmtId="0" fontId="72" fillId="0" borderId="0" xfId="0" applyFont="1" applyBorder="1" applyAlignment="1">
      <alignment horizontal="left" vertical="center" wrapText="1"/>
    </xf>
    <xf numFmtId="0" fontId="278" fillId="0" borderId="0" xfId="73" applyFont="1" applyAlignment="1">
      <alignment vertical="center"/>
    </xf>
    <xf numFmtId="0" fontId="280" fillId="0" borderId="0" xfId="0" applyFont="1" applyAlignment="1">
      <alignment vertical="center"/>
    </xf>
    <xf numFmtId="0" fontId="276" fillId="0" borderId="0" xfId="0" applyFont="1" applyAlignment="1">
      <alignment vertical="center"/>
    </xf>
    <xf numFmtId="0" fontId="175" fillId="23" borderId="18" xfId="0" applyFont="1" applyFill="1" applyBorder="1" applyAlignment="1">
      <alignment horizontal="center" vertical="center"/>
    </xf>
    <xf numFmtId="0" fontId="176" fillId="23" borderId="18" xfId="0" applyFont="1" applyFill="1" applyBorder="1" applyAlignment="1">
      <alignment horizontal="center" vertical="center"/>
    </xf>
    <xf numFmtId="0" fontId="179" fillId="23" borderId="18" xfId="0" applyFont="1" applyFill="1" applyBorder="1" applyAlignment="1">
      <alignment horizontal="center" vertical="center"/>
    </xf>
    <xf numFmtId="0" fontId="177" fillId="23" borderId="18" xfId="0" applyFont="1" applyFill="1" applyBorder="1" applyAlignment="1">
      <alignment horizontal="center" vertical="center"/>
    </xf>
    <xf numFmtId="0" fontId="76" fillId="0" borderId="0" xfId="73" applyFont="1" applyBorder="1" applyAlignment="1">
      <alignment vertical="center" wrapText="1"/>
    </xf>
    <xf numFmtId="0" fontId="145" fillId="0" borderId="0" xfId="0" applyFont="1" applyAlignment="1"/>
    <xf numFmtId="0" fontId="131" fillId="0" borderId="0" xfId="0" applyFont="1"/>
    <xf numFmtId="0" fontId="160" fillId="0" borderId="0" xfId="0" applyFont="1" applyAlignment="1">
      <alignment vertical="center"/>
    </xf>
    <xf numFmtId="0" fontId="276" fillId="0" borderId="0" xfId="0" applyFont="1"/>
    <xf numFmtId="0" fontId="279" fillId="23" borderId="18" xfId="635" applyFont="1" applyFill="1" applyBorder="1" applyAlignment="1">
      <alignment horizontal="center" vertical="center" wrapText="1"/>
    </xf>
    <xf numFmtId="0" fontId="279" fillId="23" borderId="18" xfId="635" applyFont="1" applyFill="1" applyBorder="1" applyAlignment="1">
      <alignment horizontal="center" vertical="center"/>
    </xf>
    <xf numFmtId="0" fontId="233" fillId="20" borderId="19" xfId="635" applyFont="1" applyFill="1" applyBorder="1" applyAlignment="1">
      <alignment horizontal="center" vertical="center"/>
    </xf>
    <xf numFmtId="0" fontId="233" fillId="20" borderId="21" xfId="635" applyFont="1" applyFill="1" applyBorder="1" applyAlignment="1">
      <alignment horizontal="center" vertical="center"/>
    </xf>
    <xf numFmtId="0" fontId="233" fillId="20" borderId="23" xfId="635" applyFont="1" applyFill="1" applyBorder="1" applyAlignment="1">
      <alignment horizontal="center" vertical="center"/>
    </xf>
    <xf numFmtId="170" fontId="131" fillId="20" borderId="19" xfId="637" applyNumberFormat="1" applyFont="1" applyFill="1" applyBorder="1" applyAlignment="1">
      <alignment horizontal="center" vertical="center"/>
    </xf>
    <xf numFmtId="170" fontId="131" fillId="20" borderId="21" xfId="637" applyNumberFormat="1" applyFont="1" applyFill="1" applyBorder="1" applyAlignment="1">
      <alignment horizontal="center" vertical="center"/>
    </xf>
    <xf numFmtId="170" fontId="131" fillId="20" borderId="23" xfId="637" applyNumberFormat="1" applyFont="1" applyFill="1" applyBorder="1" applyAlignment="1">
      <alignment horizontal="center" vertical="center"/>
    </xf>
    <xf numFmtId="0" fontId="279" fillId="23" borderId="19" xfId="635" applyFont="1" applyFill="1" applyBorder="1" applyAlignment="1">
      <alignment horizontal="center" vertical="center" wrapText="1"/>
    </xf>
    <xf numFmtId="0" fontId="279" fillId="23" borderId="23" xfId="635" applyFont="1" applyFill="1" applyBorder="1" applyAlignment="1">
      <alignment horizontal="center" vertical="center"/>
    </xf>
    <xf numFmtId="9" fontId="131" fillId="23" borderId="18" xfId="637" applyFont="1" applyFill="1" applyBorder="1" applyAlignment="1">
      <alignment horizontal="center" vertical="center"/>
    </xf>
    <xf numFmtId="3" fontId="175" fillId="29" borderId="179" xfId="374" applyNumberFormat="1" applyFont="1" applyFill="1" applyBorder="1" applyAlignment="1">
      <alignment horizontal="right" indent="1"/>
    </xf>
    <xf numFmtId="3" fontId="175" fillId="29" borderId="180" xfId="374" applyNumberFormat="1" applyFont="1" applyFill="1" applyBorder="1" applyAlignment="1">
      <alignment horizontal="right" indent="1"/>
    </xf>
    <xf numFmtId="3" fontId="175" fillId="29" borderId="181" xfId="374" applyNumberFormat="1" applyFont="1" applyFill="1" applyBorder="1" applyAlignment="1">
      <alignment horizontal="right" indent="1"/>
    </xf>
    <xf numFmtId="3" fontId="176" fillId="29" borderId="179" xfId="374" applyNumberFormat="1" applyFont="1" applyFill="1" applyBorder="1" applyAlignment="1">
      <alignment horizontal="right" indent="1"/>
    </xf>
    <xf numFmtId="3" fontId="176" fillId="29" borderId="180" xfId="374" applyNumberFormat="1" applyFont="1" applyFill="1" applyBorder="1" applyAlignment="1">
      <alignment horizontal="right" indent="1"/>
    </xf>
    <xf numFmtId="3" fontId="176" fillId="29" borderId="181" xfId="374" applyNumberFormat="1" applyFont="1" applyFill="1" applyBorder="1" applyAlignment="1">
      <alignment horizontal="right" indent="1"/>
    </xf>
    <xf numFmtId="3" fontId="179" fillId="29" borderId="179" xfId="374" applyNumberFormat="1" applyFont="1" applyFill="1" applyBorder="1" applyAlignment="1">
      <alignment horizontal="right" indent="1"/>
    </xf>
    <xf numFmtId="3" fontId="179" fillId="29" borderId="180" xfId="374" applyNumberFormat="1" applyFont="1" applyFill="1" applyBorder="1" applyAlignment="1">
      <alignment horizontal="right" indent="1"/>
    </xf>
    <xf numFmtId="3" fontId="179" fillId="29" borderId="181" xfId="374" applyNumberFormat="1" applyFont="1" applyFill="1" applyBorder="1" applyAlignment="1">
      <alignment horizontal="right" indent="1"/>
    </xf>
    <xf numFmtId="3" fontId="177" fillId="29" borderId="179" xfId="374" applyNumberFormat="1" applyFont="1" applyFill="1" applyBorder="1" applyAlignment="1">
      <alignment horizontal="right" indent="1"/>
    </xf>
    <xf numFmtId="3" fontId="177" fillId="29" borderId="180" xfId="374" applyNumberFormat="1" applyFont="1" applyFill="1" applyBorder="1" applyAlignment="1">
      <alignment horizontal="right" indent="1"/>
    </xf>
    <xf numFmtId="3" fontId="177" fillId="29" borderId="181" xfId="374" applyNumberFormat="1" applyFont="1" applyFill="1" applyBorder="1" applyAlignment="1">
      <alignment horizontal="right" indent="1"/>
    </xf>
    <xf numFmtId="0" fontId="128" fillId="23" borderId="180" xfId="0" applyFont="1" applyFill="1" applyBorder="1" applyAlignment="1">
      <alignment horizontal="center" vertical="center" wrapText="1"/>
    </xf>
    <xf numFmtId="0" fontId="128" fillId="23" borderId="179" xfId="0" applyFont="1" applyFill="1" applyBorder="1" applyAlignment="1">
      <alignment horizontal="center" vertical="center" wrapText="1"/>
    </xf>
    <xf numFmtId="0" fontId="128" fillId="23" borderId="181" xfId="0" applyFont="1" applyFill="1" applyBorder="1" applyAlignment="1">
      <alignment horizontal="center" vertical="center" wrapText="1"/>
    </xf>
    <xf numFmtId="3" fontId="128" fillId="0" borderId="51" xfId="0" applyNumberFormat="1" applyFont="1" applyBorder="1" applyAlignment="1">
      <alignment horizontal="right" vertical="center" indent="1"/>
    </xf>
    <xf numFmtId="3" fontId="128" fillId="0" borderId="54" xfId="0" applyNumberFormat="1" applyFont="1" applyBorder="1" applyAlignment="1">
      <alignment horizontal="right" vertical="center" indent="1"/>
    </xf>
    <xf numFmtId="3" fontId="129" fillId="0" borderId="61" xfId="0" applyNumberFormat="1" applyFont="1" applyBorder="1" applyAlignment="1">
      <alignment horizontal="right" vertical="center" indent="1"/>
    </xf>
    <xf numFmtId="3" fontId="128" fillId="0" borderId="59" xfId="0" applyNumberFormat="1" applyFont="1" applyBorder="1" applyAlignment="1">
      <alignment horizontal="right" vertical="center" indent="1"/>
    </xf>
    <xf numFmtId="3" fontId="175" fillId="23" borderId="24" xfId="0" applyNumberFormat="1" applyFont="1" applyFill="1" applyBorder="1" applyAlignment="1">
      <alignment horizontal="right" vertical="center" indent="1"/>
    </xf>
    <xf numFmtId="3" fontId="175" fillId="23" borderId="22" xfId="0" applyNumberFormat="1" applyFont="1" applyFill="1" applyBorder="1" applyAlignment="1">
      <alignment horizontal="right" vertical="center" indent="1"/>
    </xf>
    <xf numFmtId="3" fontId="176" fillId="23" borderId="24" xfId="0" applyNumberFormat="1" applyFont="1" applyFill="1" applyBorder="1" applyAlignment="1">
      <alignment horizontal="right" vertical="center" indent="1"/>
    </xf>
    <xf numFmtId="3" fontId="179" fillId="23" borderId="24" xfId="0" applyNumberFormat="1" applyFont="1" applyFill="1" applyBorder="1" applyAlignment="1">
      <alignment horizontal="right" vertical="center" indent="1"/>
    </xf>
    <xf numFmtId="3" fontId="179" fillId="23" borderId="22" xfId="0" applyNumberFormat="1" applyFont="1" applyFill="1" applyBorder="1" applyAlignment="1">
      <alignment horizontal="right" vertical="center" indent="1"/>
    </xf>
    <xf numFmtId="3" fontId="178" fillId="23" borderId="24" xfId="0" applyNumberFormat="1" applyFont="1" applyFill="1" applyBorder="1" applyAlignment="1">
      <alignment horizontal="right" vertical="center" indent="1"/>
    </xf>
    <xf numFmtId="3" fontId="177" fillId="23" borderId="24" xfId="0" applyNumberFormat="1" applyFont="1" applyFill="1" applyBorder="1" applyAlignment="1">
      <alignment horizontal="right" vertical="center" indent="1"/>
    </xf>
    <xf numFmtId="3" fontId="177" fillId="23" borderId="22" xfId="0" applyNumberFormat="1" applyFont="1" applyFill="1" applyBorder="1" applyAlignment="1">
      <alignment horizontal="right" vertical="center" indent="1"/>
    </xf>
    <xf numFmtId="3" fontId="129" fillId="0" borderId="60" xfId="0" applyNumberFormat="1" applyFont="1" applyBorder="1" applyAlignment="1">
      <alignment horizontal="right" vertical="center" indent="1"/>
    </xf>
    <xf numFmtId="3" fontId="175" fillId="23" borderId="20" xfId="0" applyNumberFormat="1" applyFont="1" applyFill="1" applyBorder="1" applyAlignment="1">
      <alignment horizontal="right" vertical="center" indent="1"/>
    </xf>
    <xf numFmtId="3" fontId="176" fillId="23" borderId="20" xfId="0" applyNumberFormat="1" applyFont="1" applyFill="1" applyBorder="1" applyAlignment="1">
      <alignment horizontal="right" vertical="center" indent="1"/>
    </xf>
    <xf numFmtId="3" fontId="176" fillId="23" borderId="22" xfId="0" applyNumberFormat="1" applyFont="1" applyFill="1" applyBorder="1" applyAlignment="1">
      <alignment horizontal="right" vertical="center" indent="1"/>
    </xf>
    <xf numFmtId="3" fontId="179" fillId="23" borderId="20" xfId="0" applyNumberFormat="1" applyFont="1" applyFill="1" applyBorder="1" applyAlignment="1">
      <alignment horizontal="right" vertical="center" indent="1"/>
    </xf>
    <xf numFmtId="3" fontId="178" fillId="23" borderId="20" xfId="0" applyNumberFormat="1" applyFont="1" applyFill="1" applyBorder="1" applyAlignment="1">
      <alignment horizontal="right" vertical="center" indent="1"/>
    </xf>
    <xf numFmtId="3" fontId="178" fillId="23" borderId="22" xfId="0" applyNumberFormat="1" applyFont="1" applyFill="1" applyBorder="1" applyAlignment="1">
      <alignment horizontal="right" vertical="center" indent="1"/>
    </xf>
    <xf numFmtId="3" fontId="177" fillId="23" borderId="20" xfId="0" applyNumberFormat="1" applyFont="1" applyFill="1" applyBorder="1" applyAlignment="1">
      <alignment horizontal="right" vertical="center" indent="1"/>
    </xf>
    <xf numFmtId="0" fontId="85" fillId="0" borderId="0" xfId="45" applyAlignment="1">
      <alignment vertical="center"/>
    </xf>
    <xf numFmtId="0" fontId="281" fillId="0" borderId="0" xfId="45" applyFont="1" applyFill="1" applyBorder="1" applyAlignment="1">
      <alignment vertical="center"/>
    </xf>
    <xf numFmtId="0" fontId="112" fillId="0" borderId="0" xfId="45" applyFont="1" applyFill="1" applyBorder="1" applyAlignment="1">
      <alignment vertical="center"/>
    </xf>
    <xf numFmtId="0" fontId="85" fillId="0" borderId="0" xfId="45" applyFill="1" applyBorder="1" applyAlignment="1">
      <alignment vertical="center"/>
    </xf>
    <xf numFmtId="169" fontId="197" fillId="23" borderId="179" xfId="831" applyNumberFormat="1" applyFont="1" applyFill="1" applyBorder="1" applyAlignment="1">
      <alignment horizontal="center" vertical="center"/>
    </xf>
    <xf numFmtId="169" fontId="197" fillId="23" borderId="180" xfId="831" applyNumberFormat="1" applyFont="1" applyFill="1" applyBorder="1" applyAlignment="1">
      <alignment horizontal="center" vertical="center"/>
    </xf>
    <xf numFmtId="169" fontId="197" fillId="23" borderId="181" xfId="831" applyNumberFormat="1" applyFont="1" applyFill="1" applyBorder="1" applyAlignment="1">
      <alignment horizontal="center" vertical="center"/>
    </xf>
    <xf numFmtId="169" fontId="150" fillId="0" borderId="22" xfId="831" applyNumberFormat="1" applyFont="1" applyFill="1" applyBorder="1" applyAlignment="1">
      <alignment horizontal="center" vertical="center"/>
    </xf>
    <xf numFmtId="167" fontId="137" fillId="0" borderId="177" xfId="831" applyNumberFormat="1" applyFont="1" applyFill="1" applyBorder="1" applyAlignment="1">
      <alignment vertical="center"/>
    </xf>
    <xf numFmtId="167" fontId="137" fillId="0" borderId="104" xfId="831" applyNumberFormat="1" applyFont="1" applyFill="1" applyBorder="1" applyAlignment="1">
      <alignment vertical="center"/>
    </xf>
    <xf numFmtId="167" fontId="150" fillId="0" borderId="178" xfId="831" applyNumberFormat="1" applyFont="1" applyFill="1" applyBorder="1" applyAlignment="1">
      <alignment vertical="center"/>
    </xf>
    <xf numFmtId="167" fontId="150" fillId="0" borderId="104" xfId="831" applyNumberFormat="1" applyFont="1" applyFill="1" applyBorder="1" applyAlignment="1">
      <alignment vertical="center"/>
    </xf>
    <xf numFmtId="167" fontId="137" fillId="0" borderId="16" xfId="831" applyNumberFormat="1" applyFont="1" applyFill="1" applyBorder="1" applyAlignment="1">
      <alignment vertical="center"/>
    </xf>
    <xf numFmtId="167" fontId="137" fillId="0" borderId="0" xfId="831" applyNumberFormat="1" applyFont="1" applyFill="1" applyBorder="1" applyAlignment="1">
      <alignment vertical="center"/>
    </xf>
    <xf numFmtId="167" fontId="150" fillId="0" borderId="17" xfId="831" applyNumberFormat="1" applyFont="1" applyFill="1" applyBorder="1" applyAlignment="1">
      <alignment vertical="center"/>
    </xf>
    <xf numFmtId="167" fontId="150" fillId="0" borderId="0" xfId="831" applyNumberFormat="1" applyFont="1" applyFill="1" applyBorder="1" applyAlignment="1">
      <alignment vertical="center"/>
    </xf>
    <xf numFmtId="0" fontId="137" fillId="0" borderId="23" xfId="45" applyFont="1" applyFill="1" applyBorder="1" applyAlignment="1">
      <alignment horizontal="center" vertical="center"/>
    </xf>
    <xf numFmtId="167" fontId="137" fillId="0" borderId="24" xfId="831" applyNumberFormat="1" applyFont="1" applyFill="1" applyBorder="1" applyAlignment="1">
      <alignment vertical="center"/>
    </xf>
    <xf numFmtId="167" fontId="150" fillId="0" borderId="22" xfId="831" applyNumberFormat="1" applyFont="1" applyFill="1" applyBorder="1" applyAlignment="1">
      <alignment vertical="center"/>
    </xf>
    <xf numFmtId="0" fontId="175" fillId="23" borderId="181" xfId="45" applyFont="1" applyFill="1" applyBorder="1" applyAlignment="1">
      <alignment horizontal="centerContinuous" vertical="center"/>
    </xf>
    <xf numFmtId="167" fontId="175" fillId="23" borderId="179" xfId="831" applyNumberFormat="1" applyFont="1" applyFill="1" applyBorder="1" applyAlignment="1">
      <alignment vertical="center"/>
    </xf>
    <xf numFmtId="167" fontId="175" fillId="23" borderId="180" xfId="831" applyNumberFormat="1" applyFont="1" applyFill="1" applyBorder="1" applyAlignment="1">
      <alignment vertical="center"/>
    </xf>
    <xf numFmtId="167" fontId="175" fillId="23" borderId="181" xfId="831" applyNumberFormat="1" applyFont="1" applyFill="1" applyBorder="1" applyAlignment="1">
      <alignment vertical="center"/>
    </xf>
    <xf numFmtId="3" fontId="137" fillId="0" borderId="177" xfId="831" applyNumberFormat="1" applyFont="1" applyFill="1" applyBorder="1" applyAlignment="1">
      <alignment vertical="center"/>
    </xf>
    <xf numFmtId="3" fontId="137" fillId="0" borderId="104" xfId="831" applyNumberFormat="1" applyFont="1" applyFill="1" applyBorder="1" applyAlignment="1">
      <alignment vertical="center"/>
    </xf>
    <xf numFmtId="3" fontId="150" fillId="0" borderId="178" xfId="831" applyNumberFormat="1" applyFont="1" applyFill="1" applyBorder="1" applyAlignment="1">
      <alignment vertical="center"/>
    </xf>
    <xf numFmtId="3" fontId="137" fillId="0" borderId="16" xfId="831" applyNumberFormat="1" applyFont="1" applyFill="1" applyBorder="1" applyAlignment="1">
      <alignment vertical="center"/>
    </xf>
    <xf numFmtId="3" fontId="137" fillId="0" borderId="0" xfId="831" applyNumberFormat="1" applyFont="1" applyFill="1" applyBorder="1" applyAlignment="1">
      <alignment vertical="center"/>
    </xf>
    <xf numFmtId="3" fontId="150" fillId="0" borderId="17" xfId="831" applyNumberFormat="1" applyFont="1" applyFill="1" applyBorder="1" applyAlignment="1">
      <alignment vertical="center"/>
    </xf>
    <xf numFmtId="0" fontId="176" fillId="23" borderId="181" xfId="45" applyFont="1" applyFill="1" applyBorder="1" applyAlignment="1">
      <alignment horizontal="centerContinuous" vertical="center"/>
    </xf>
    <xf numFmtId="3" fontId="176" fillId="23" borderId="179" xfId="831" applyNumberFormat="1" applyFont="1" applyFill="1" applyBorder="1" applyAlignment="1">
      <alignment vertical="center"/>
    </xf>
    <xf numFmtId="3" fontId="176" fillId="23" borderId="180" xfId="831" applyNumberFormat="1" applyFont="1" applyFill="1" applyBorder="1" applyAlignment="1">
      <alignment vertical="center"/>
    </xf>
    <xf numFmtId="3" fontId="176" fillId="23" borderId="181" xfId="831" applyNumberFormat="1" applyFont="1" applyFill="1" applyBorder="1" applyAlignment="1">
      <alignment vertical="center"/>
    </xf>
    <xf numFmtId="167" fontId="176" fillId="23" borderId="180" xfId="831" applyNumberFormat="1" applyFont="1" applyFill="1" applyBorder="1" applyAlignment="1">
      <alignment vertical="center"/>
    </xf>
    <xf numFmtId="167" fontId="176" fillId="23" borderId="181" xfId="831" applyNumberFormat="1" applyFont="1" applyFill="1" applyBorder="1" applyAlignment="1">
      <alignment vertical="center"/>
    </xf>
    <xf numFmtId="167" fontId="176" fillId="23" borderId="179" xfId="831" applyNumberFormat="1" applyFont="1" applyFill="1" applyBorder="1" applyAlignment="1">
      <alignment vertical="center"/>
    </xf>
    <xf numFmtId="0" fontId="179" fillId="23" borderId="181" xfId="45" applyFont="1" applyFill="1" applyBorder="1" applyAlignment="1">
      <alignment horizontal="centerContinuous" vertical="center"/>
    </xf>
    <xf numFmtId="167" fontId="179" fillId="23" borderId="179" xfId="831" applyNumberFormat="1" applyFont="1" applyFill="1" applyBorder="1" applyAlignment="1">
      <alignment vertical="center"/>
    </xf>
    <xf numFmtId="167" fontId="179" fillId="23" borderId="180" xfId="831" applyNumberFormat="1" applyFont="1" applyFill="1" applyBorder="1" applyAlignment="1">
      <alignment vertical="center"/>
    </xf>
    <xf numFmtId="167" fontId="179" fillId="23" borderId="181" xfId="831" applyNumberFormat="1" applyFont="1" applyFill="1" applyBorder="1" applyAlignment="1">
      <alignment vertical="center"/>
    </xf>
    <xf numFmtId="3" fontId="137" fillId="0" borderId="20" xfId="831" applyNumberFormat="1" applyFont="1" applyFill="1" applyBorder="1" applyAlignment="1">
      <alignment vertical="center"/>
    </xf>
    <xf numFmtId="3" fontId="137" fillId="0" borderId="24" xfId="831" applyNumberFormat="1" applyFont="1" applyFill="1" applyBorder="1" applyAlignment="1">
      <alignment vertical="center"/>
    </xf>
    <xf numFmtId="3" fontId="150" fillId="0" borderId="22" xfId="831" applyNumberFormat="1" applyFont="1" applyFill="1" applyBorder="1" applyAlignment="1">
      <alignment vertical="center"/>
    </xf>
    <xf numFmtId="167" fontId="137" fillId="0" borderId="20" xfId="831" applyNumberFormat="1" applyFont="1" applyFill="1" applyBorder="1" applyAlignment="1">
      <alignment vertical="center"/>
    </xf>
    <xf numFmtId="0" fontId="178" fillId="23" borderId="181" xfId="45" applyFont="1" applyFill="1" applyBorder="1" applyAlignment="1">
      <alignment horizontal="centerContinuous" vertical="center"/>
    </xf>
    <xf numFmtId="3" fontId="178" fillId="23" borderId="179" xfId="831" applyNumberFormat="1" applyFont="1" applyFill="1" applyBorder="1" applyAlignment="1">
      <alignment vertical="center"/>
    </xf>
    <xf numFmtId="3" fontId="178" fillId="23" borderId="180" xfId="831" applyNumberFormat="1" applyFont="1" applyFill="1" applyBorder="1" applyAlignment="1">
      <alignment vertical="center"/>
    </xf>
    <xf numFmtId="3" fontId="178" fillId="23" borderId="181" xfId="831" applyNumberFormat="1" applyFont="1" applyFill="1" applyBorder="1" applyAlignment="1">
      <alignment vertical="center"/>
    </xf>
    <xf numFmtId="167" fontId="178" fillId="23" borderId="180" xfId="831" applyNumberFormat="1" applyFont="1" applyFill="1" applyBorder="1" applyAlignment="1">
      <alignment vertical="center"/>
    </xf>
    <xf numFmtId="167" fontId="178" fillId="23" borderId="181" xfId="831" applyNumberFormat="1" applyFont="1" applyFill="1" applyBorder="1" applyAlignment="1">
      <alignment vertical="center"/>
    </xf>
    <xf numFmtId="167" fontId="178" fillId="23" borderId="179" xfId="831" applyNumberFormat="1" applyFont="1" applyFill="1" applyBorder="1" applyAlignment="1">
      <alignment vertical="center"/>
    </xf>
    <xf numFmtId="0" fontId="177" fillId="23" borderId="181" xfId="45" applyFont="1" applyFill="1" applyBorder="1" applyAlignment="1">
      <alignment horizontal="centerContinuous" vertical="center"/>
    </xf>
    <xf numFmtId="167" fontId="177" fillId="23" borderId="179" xfId="831" applyNumberFormat="1" applyFont="1" applyFill="1" applyBorder="1" applyAlignment="1">
      <alignment vertical="center"/>
    </xf>
    <xf numFmtId="167" fontId="177" fillId="23" borderId="180" xfId="831" applyNumberFormat="1" applyFont="1" applyFill="1" applyBorder="1" applyAlignment="1">
      <alignment vertical="center"/>
    </xf>
    <xf numFmtId="167" fontId="177" fillId="23" borderId="181" xfId="831" applyNumberFormat="1" applyFont="1" applyFill="1" applyBorder="1" applyAlignment="1">
      <alignment vertical="center"/>
    </xf>
    <xf numFmtId="167" fontId="150" fillId="23" borderId="179" xfId="831" applyNumberFormat="1" applyFont="1" applyFill="1" applyBorder="1" applyAlignment="1">
      <alignment vertical="center"/>
    </xf>
    <xf numFmtId="167" fontId="150" fillId="23" borderId="180" xfId="831" applyNumberFormat="1" applyFont="1" applyFill="1" applyBorder="1" applyAlignment="1">
      <alignment vertical="center"/>
    </xf>
    <xf numFmtId="167" fontId="150" fillId="23" borderId="181" xfId="831" applyNumberFormat="1" applyFont="1" applyFill="1" applyBorder="1" applyAlignment="1">
      <alignment vertical="center"/>
    </xf>
    <xf numFmtId="0" fontId="147" fillId="0" borderId="0" xfId="0" applyFont="1" applyAlignment="1">
      <alignment horizontal="left" readingOrder="1"/>
    </xf>
    <xf numFmtId="0" fontId="137" fillId="0" borderId="0" xfId="45" applyFont="1" applyFill="1" applyBorder="1" applyAlignment="1">
      <alignment vertical="center"/>
    </xf>
    <xf numFmtId="0" fontId="129" fillId="0" borderId="0" xfId="45" applyFont="1" applyFill="1" applyBorder="1" applyAlignment="1">
      <alignment vertical="center"/>
    </xf>
    <xf numFmtId="0" fontId="150" fillId="0" borderId="0" xfId="45" applyFont="1" applyFill="1" applyBorder="1" applyAlignment="1">
      <alignment vertical="center"/>
    </xf>
    <xf numFmtId="0" fontId="281" fillId="0" borderId="0" xfId="45" applyFont="1" applyFill="1" applyBorder="1" applyAlignment="1">
      <alignment horizontal="right" vertical="center"/>
    </xf>
    <xf numFmtId="167" fontId="150" fillId="0" borderId="24" xfId="831" applyNumberFormat="1" applyFont="1" applyFill="1" applyBorder="1" applyAlignment="1">
      <alignment vertical="center"/>
    </xf>
    <xf numFmtId="3" fontId="179" fillId="23" borderId="180" xfId="831" applyNumberFormat="1" applyFont="1" applyFill="1" applyBorder="1" applyAlignment="1">
      <alignment vertical="center"/>
    </xf>
    <xf numFmtId="37" fontId="137" fillId="0" borderId="104" xfId="34" applyNumberFormat="1" applyFont="1" applyFill="1" applyBorder="1" applyAlignment="1">
      <alignment vertical="center"/>
    </xf>
    <xf numFmtId="37" fontId="150" fillId="0" borderId="178" xfId="34" applyNumberFormat="1" applyFont="1" applyFill="1" applyBorder="1" applyAlignment="1">
      <alignment vertical="center"/>
    </xf>
    <xf numFmtId="37" fontId="137" fillId="0" borderId="0" xfId="34" applyNumberFormat="1" applyFont="1" applyFill="1" applyBorder="1" applyAlignment="1">
      <alignment vertical="center"/>
    </xf>
    <xf numFmtId="37" fontId="150" fillId="0" borderId="17" xfId="34" applyNumberFormat="1" applyFont="1" applyFill="1" applyBorder="1" applyAlignment="1">
      <alignment vertical="center"/>
    </xf>
    <xf numFmtId="37" fontId="137" fillId="0" borderId="24" xfId="34" applyNumberFormat="1" applyFont="1" applyFill="1" applyBorder="1" applyAlignment="1">
      <alignment vertical="center"/>
    </xf>
    <xf numFmtId="37" fontId="150" fillId="0" borderId="22" xfId="34" applyNumberFormat="1" applyFont="1" applyFill="1" applyBorder="1" applyAlignment="1">
      <alignment vertical="center"/>
    </xf>
    <xf numFmtId="37" fontId="178" fillId="23" borderId="180" xfId="34" applyNumberFormat="1" applyFont="1" applyFill="1" applyBorder="1" applyAlignment="1">
      <alignment vertical="center"/>
    </xf>
    <xf numFmtId="37" fontId="178" fillId="23" borderId="181" xfId="34" applyNumberFormat="1" applyFont="1" applyFill="1" applyBorder="1" applyAlignment="1">
      <alignment vertical="center"/>
    </xf>
    <xf numFmtId="0" fontId="138" fillId="0" borderId="0" xfId="45" applyFont="1" applyFill="1" applyBorder="1" applyAlignment="1">
      <alignment horizontal="center" vertical="center"/>
    </xf>
    <xf numFmtId="0" fontId="137" fillId="0" borderId="17" xfId="45" applyFont="1" applyFill="1" applyBorder="1" applyAlignment="1">
      <alignment vertical="center"/>
    </xf>
    <xf numFmtId="3" fontId="150" fillId="0" borderId="104" xfId="831" applyNumberFormat="1" applyFont="1" applyFill="1" applyBorder="1" applyAlignment="1">
      <alignment vertical="center"/>
    </xf>
    <xf numFmtId="3" fontId="150" fillId="0" borderId="0" xfId="831" applyNumberFormat="1" applyFont="1" applyFill="1" applyBorder="1" applyAlignment="1">
      <alignment vertical="center"/>
    </xf>
    <xf numFmtId="1" fontId="137" fillId="0" borderId="104" xfId="831" applyNumberFormat="1" applyFont="1" applyFill="1" applyBorder="1" applyAlignment="1">
      <alignment vertical="center"/>
    </xf>
    <xf numFmtId="1" fontId="137" fillId="0" borderId="0" xfId="831" applyNumberFormat="1" applyFont="1" applyFill="1" applyBorder="1" applyAlignment="1">
      <alignment vertical="center"/>
    </xf>
    <xf numFmtId="1" fontId="178" fillId="23" borderId="179" xfId="831" applyNumberFormat="1" applyFont="1" applyFill="1" applyBorder="1" applyAlignment="1">
      <alignment vertical="center"/>
    </xf>
    <xf numFmtId="1" fontId="137" fillId="0" borderId="0" xfId="45" applyNumberFormat="1" applyFont="1" applyAlignment="1">
      <alignment vertical="center"/>
    </xf>
    <xf numFmtId="3" fontId="177" fillId="23" borderId="179" xfId="831" applyNumberFormat="1" applyFont="1" applyFill="1" applyBorder="1" applyAlignment="1">
      <alignment vertical="center"/>
    </xf>
    <xf numFmtId="0" fontId="282" fillId="0" borderId="0" xfId="0" applyFont="1" applyAlignment="1">
      <alignment horizontal="left" readingOrder="1"/>
    </xf>
    <xf numFmtId="0" fontId="106" fillId="0" borderId="0" xfId="45" applyFont="1" applyFill="1" applyBorder="1" applyAlignment="1">
      <alignment vertical="center"/>
    </xf>
    <xf numFmtId="0" fontId="136" fillId="0" borderId="0" xfId="0" applyFont="1" applyAlignment="1">
      <alignment horizontal="left" readingOrder="1"/>
    </xf>
    <xf numFmtId="0" fontId="85" fillId="0" borderId="0" xfId="45" applyFill="1" applyBorder="1" applyAlignment="1">
      <alignment horizontal="left" vertical="center"/>
    </xf>
    <xf numFmtId="0" fontId="287" fillId="0" borderId="0" xfId="45" applyFont="1" applyAlignment="1">
      <alignment horizontal="right" vertical="center"/>
    </xf>
    <xf numFmtId="0" fontId="178" fillId="23" borderId="32" xfId="640" applyFont="1" applyFill="1" applyBorder="1" applyAlignment="1">
      <alignment horizontal="center" vertical="center"/>
    </xf>
    <xf numFmtId="3" fontId="178" fillId="23" borderId="37" xfId="640" applyNumberFormat="1" applyFont="1" applyFill="1" applyBorder="1" applyAlignment="1">
      <alignment horizontal="right" vertical="center" indent="1"/>
    </xf>
    <xf numFmtId="3" fontId="178" fillId="23" borderId="27" xfId="640" applyNumberFormat="1" applyFont="1" applyFill="1" applyBorder="1" applyAlignment="1">
      <alignment horizontal="right" vertical="center" indent="1"/>
    </xf>
    <xf numFmtId="3" fontId="178" fillId="23" borderId="42" xfId="640" applyNumberFormat="1" applyFont="1" applyFill="1" applyBorder="1" applyAlignment="1">
      <alignment horizontal="right" vertical="center" indent="1"/>
    </xf>
    <xf numFmtId="3" fontId="178" fillId="23" borderId="27" xfId="640" applyNumberFormat="1" applyFont="1" applyFill="1" applyBorder="1" applyAlignment="1">
      <alignment horizontal="right" indent="1"/>
    </xf>
    <xf numFmtId="3" fontId="178" fillId="23" borderId="37" xfId="640" applyNumberFormat="1" applyFont="1" applyFill="1" applyBorder="1" applyAlignment="1">
      <alignment horizontal="right" indent="1"/>
    </xf>
    <xf numFmtId="3" fontId="175" fillId="23" borderId="27" xfId="640" applyNumberFormat="1" applyFont="1" applyFill="1" applyBorder="1" applyAlignment="1">
      <alignment horizontal="right" indent="1"/>
    </xf>
    <xf numFmtId="3" fontId="175" fillId="23" borderId="37" xfId="640" applyNumberFormat="1" applyFont="1" applyFill="1" applyBorder="1" applyAlignment="1">
      <alignment horizontal="right" indent="1"/>
    </xf>
    <xf numFmtId="3" fontId="176" fillId="23" borderId="27" xfId="640" applyNumberFormat="1" applyFont="1" applyFill="1" applyBorder="1" applyAlignment="1">
      <alignment horizontal="right" indent="1"/>
    </xf>
    <xf numFmtId="3" fontId="176" fillId="23" borderId="37" xfId="640" applyNumberFormat="1" applyFont="1" applyFill="1" applyBorder="1" applyAlignment="1">
      <alignment horizontal="right" indent="1"/>
    </xf>
    <xf numFmtId="3" fontId="177" fillId="23" borderId="27" xfId="640" applyNumberFormat="1" applyFont="1" applyFill="1" applyBorder="1" applyAlignment="1">
      <alignment horizontal="right" indent="1"/>
    </xf>
    <xf numFmtId="3" fontId="177" fillId="23" borderId="37" xfId="640" applyNumberFormat="1" applyFont="1" applyFill="1" applyBorder="1" applyAlignment="1">
      <alignment horizontal="right" indent="1"/>
    </xf>
    <xf numFmtId="3" fontId="179" fillId="23" borderId="27" xfId="640" applyNumberFormat="1" applyFont="1" applyFill="1" applyBorder="1" applyAlignment="1">
      <alignment horizontal="right" indent="1"/>
    </xf>
    <xf numFmtId="3" fontId="179" fillId="23" borderId="37" xfId="640" applyNumberFormat="1" applyFont="1" applyFill="1" applyBorder="1" applyAlignment="1">
      <alignment horizontal="right" indent="1"/>
    </xf>
    <xf numFmtId="0" fontId="288" fillId="0" borderId="0" xfId="640" applyFont="1"/>
    <xf numFmtId="3" fontId="176" fillId="23" borderId="42" xfId="640" applyNumberFormat="1" applyFont="1" applyFill="1" applyBorder="1" applyAlignment="1">
      <alignment horizontal="right" indent="1"/>
    </xf>
    <xf numFmtId="3" fontId="175" fillId="23" borderId="42" xfId="640" applyNumberFormat="1" applyFont="1" applyFill="1" applyBorder="1" applyAlignment="1">
      <alignment horizontal="right" indent="1"/>
    </xf>
    <xf numFmtId="3" fontId="178" fillId="23" borderId="42" xfId="640" applyNumberFormat="1" applyFont="1" applyFill="1" applyBorder="1" applyAlignment="1">
      <alignment horizontal="right" indent="1"/>
    </xf>
    <xf numFmtId="3" fontId="177" fillId="23" borderId="42" xfId="640" applyNumberFormat="1" applyFont="1" applyFill="1" applyBorder="1" applyAlignment="1">
      <alignment horizontal="right" indent="1"/>
    </xf>
    <xf numFmtId="3" fontId="179" fillId="23" borderId="42" xfId="640" applyNumberFormat="1" applyFont="1" applyFill="1" applyBorder="1" applyAlignment="1">
      <alignment horizontal="right" indent="1"/>
    </xf>
    <xf numFmtId="0" fontId="289" fillId="0" borderId="0" xfId="0" applyFont="1"/>
    <xf numFmtId="9" fontId="26" fillId="0" borderId="110" xfId="647" applyFont="1" applyBorder="1" applyAlignment="1">
      <alignment horizontal="center" vertical="center"/>
    </xf>
    <xf numFmtId="0" fontId="290" fillId="0" borderId="0" xfId="66" applyFont="1" applyAlignment="1">
      <alignment vertical="center"/>
    </xf>
    <xf numFmtId="3" fontId="289" fillId="0" borderId="0" xfId="0" applyNumberFormat="1" applyFont="1"/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290" fillId="0" borderId="0" xfId="66" applyFont="1" applyAlignment="1">
      <alignment horizontal="center" vertical="center"/>
    </xf>
    <xf numFmtId="0" fontId="291" fillId="0" borderId="0" xfId="45" applyFont="1" applyAlignment="1">
      <alignment vertical="center"/>
    </xf>
    <xf numFmtId="1" fontId="128" fillId="23" borderId="18" xfId="50" applyNumberFormat="1" applyFont="1" applyFill="1" applyBorder="1" applyAlignment="1">
      <alignment horizontal="center" vertical="center" wrapText="1"/>
    </xf>
    <xf numFmtId="0" fontId="289" fillId="0" borderId="0" xfId="66" applyFont="1" applyAlignment="1">
      <alignment horizontal="center" vertical="center"/>
    </xf>
    <xf numFmtId="3" fontId="137" fillId="0" borderId="21" xfId="66" applyNumberFormat="1" applyFont="1" applyFill="1" applyBorder="1" applyAlignment="1">
      <alignment horizontal="center" vertical="center"/>
    </xf>
    <xf numFmtId="0" fontId="184" fillId="0" borderId="30" xfId="66" applyFont="1" applyBorder="1" applyAlignment="1">
      <alignment wrapText="1"/>
    </xf>
    <xf numFmtId="3" fontId="178" fillId="23" borderId="24" xfId="78" applyNumberFormat="1" applyFont="1" applyFill="1" applyBorder="1" applyAlignment="1">
      <alignment vertical="center"/>
    </xf>
    <xf numFmtId="0" fontId="289" fillId="0" borderId="0" xfId="374" applyFont="1"/>
    <xf numFmtId="0" fontId="129" fillId="0" borderId="41" xfId="66" applyFont="1" applyBorder="1" applyAlignment="1">
      <alignment vertical="center"/>
    </xf>
    <xf numFmtId="0" fontId="129" fillId="0" borderId="41" xfId="66" applyFont="1" applyBorder="1" applyAlignment="1">
      <alignment vertical="center" wrapText="1"/>
    </xf>
    <xf numFmtId="0" fontId="130" fillId="0" borderId="0" xfId="0" applyFont="1"/>
    <xf numFmtId="0" fontId="292" fillId="0" borderId="0" xfId="66" applyFont="1" applyAlignment="1">
      <alignment horizontal="center" vertical="center"/>
    </xf>
    <xf numFmtId="0" fontId="0" fillId="0" borderId="0" xfId="0" applyBorder="1"/>
    <xf numFmtId="184" fontId="129" fillId="0" borderId="176" xfId="0" applyNumberFormat="1" applyFont="1" applyBorder="1" applyAlignment="1">
      <alignment horizontal="right" vertical="center" indent="1"/>
    </xf>
    <xf numFmtId="184" fontId="129" fillId="0" borderId="21" xfId="0" applyNumberFormat="1" applyFont="1" applyBorder="1" applyAlignment="1">
      <alignment horizontal="right" vertical="center" indent="1"/>
    </xf>
    <xf numFmtId="184" fontId="175" fillId="23" borderId="23" xfId="0" applyNumberFormat="1" applyFont="1" applyFill="1" applyBorder="1" applyAlignment="1">
      <alignment horizontal="right" vertical="center" indent="1"/>
    </xf>
    <xf numFmtId="184" fontId="176" fillId="23" borderId="23" xfId="0" applyNumberFormat="1" applyFont="1" applyFill="1" applyBorder="1" applyAlignment="1">
      <alignment horizontal="right" vertical="center" indent="1"/>
    </xf>
    <xf numFmtId="184" fontId="179" fillId="23" borderId="23" xfId="0" applyNumberFormat="1" applyFont="1" applyFill="1" applyBorder="1" applyAlignment="1">
      <alignment horizontal="right" vertical="center" indent="1"/>
    </xf>
    <xf numFmtId="184" fontId="178" fillId="23" borderId="23" xfId="0" applyNumberFormat="1" applyFont="1" applyFill="1" applyBorder="1" applyAlignment="1">
      <alignment horizontal="right" vertical="center" indent="1"/>
    </xf>
    <xf numFmtId="184" fontId="177" fillId="23" borderId="23" xfId="0" applyNumberFormat="1" applyFont="1" applyFill="1" applyBorder="1" applyAlignment="1">
      <alignment horizontal="right" vertical="center" indent="1"/>
    </xf>
    <xf numFmtId="0" fontId="144" fillId="0" borderId="0" xfId="0" applyFont="1" applyAlignment="1">
      <alignment horizontal="right" vertical="center"/>
    </xf>
    <xf numFmtId="0" fontId="252" fillId="0" borderId="0" xfId="0" applyFont="1" applyAlignment="1">
      <alignment horizontal="right" vertical="center"/>
    </xf>
    <xf numFmtId="0" fontId="144" fillId="0" borderId="0" xfId="0" applyFont="1"/>
    <xf numFmtId="0" fontId="252" fillId="0" borderId="0" xfId="0" applyFont="1"/>
    <xf numFmtId="184" fontId="144" fillId="0" borderId="0" xfId="0" applyNumberFormat="1" applyFont="1"/>
    <xf numFmtId="184" fontId="252" fillId="0" borderId="0" xfId="0" applyNumberFormat="1" applyFont="1"/>
    <xf numFmtId="184" fontId="128" fillId="23" borderId="182" xfId="0" applyNumberFormat="1" applyFont="1" applyFill="1" applyBorder="1" applyAlignment="1">
      <alignment horizontal="right" vertical="center" indent="1"/>
    </xf>
    <xf numFmtId="0" fontId="128" fillId="23" borderId="10" xfId="0" applyFont="1" applyFill="1" applyBorder="1" applyAlignment="1">
      <alignment horizontal="center" vertical="center" wrapText="1"/>
    </xf>
    <xf numFmtId="183" fontId="124" fillId="23" borderId="90" xfId="34" applyNumberFormat="1" applyFont="1" applyFill="1" applyBorder="1" applyAlignment="1">
      <alignment horizontal="center" vertical="center"/>
    </xf>
    <xf numFmtId="0" fontId="72" fillId="0" borderId="0" xfId="76" applyFont="1" applyAlignment="1">
      <alignment horizontal="center"/>
    </xf>
    <xf numFmtId="0" fontId="160" fillId="0" borderId="0" xfId="827" applyFont="1" applyAlignment="1">
      <alignment horizontal="center"/>
    </xf>
    <xf numFmtId="185" fontId="296" fillId="0" borderId="41" xfId="0" applyNumberFormat="1" applyFont="1" applyFill="1" applyBorder="1" applyAlignment="1">
      <alignment horizontal="center" vertical="center"/>
    </xf>
    <xf numFmtId="185" fontId="297" fillId="0" borderId="41" xfId="0" applyNumberFormat="1" applyFont="1" applyFill="1" applyBorder="1" applyAlignment="1">
      <alignment horizontal="center" vertical="center"/>
    </xf>
    <xf numFmtId="185" fontId="298" fillId="0" borderId="41" xfId="0" applyNumberFormat="1" applyFont="1" applyFill="1" applyBorder="1" applyAlignment="1">
      <alignment horizontal="center" vertical="center"/>
    </xf>
    <xf numFmtId="0" fontId="288" fillId="0" borderId="36" xfId="0" applyFont="1" applyFill="1" applyBorder="1" applyAlignment="1">
      <alignment horizontal="center" vertical="center"/>
    </xf>
    <xf numFmtId="0" fontId="288" fillId="0" borderId="31" xfId="0" applyFont="1" applyFill="1" applyBorder="1" applyAlignment="1">
      <alignment horizontal="center" vertical="center"/>
    </xf>
    <xf numFmtId="0" fontId="244" fillId="23" borderId="182" xfId="76" applyFont="1" applyFill="1" applyBorder="1" applyAlignment="1">
      <alignment horizontal="center" vertical="center" wrapText="1"/>
    </xf>
    <xf numFmtId="0" fontId="102" fillId="23" borderId="182" xfId="76" applyFont="1" applyFill="1" applyBorder="1" applyAlignment="1">
      <alignment horizontal="center" vertical="center" wrapText="1"/>
    </xf>
    <xf numFmtId="0" fontId="102" fillId="0" borderId="182" xfId="76" applyFont="1" applyFill="1" applyBorder="1" applyAlignment="1">
      <alignment horizontal="center" vertical="center" wrapText="1"/>
    </xf>
    <xf numFmtId="0" fontId="102" fillId="0" borderId="0" xfId="76" applyFont="1" applyAlignment="1">
      <alignment horizontal="center" vertical="center"/>
    </xf>
    <xf numFmtId="3" fontId="102" fillId="0" borderId="0" xfId="76" applyNumberFormat="1" applyFont="1" applyAlignment="1">
      <alignment horizontal="center" vertical="center"/>
    </xf>
    <xf numFmtId="0" fontId="245" fillId="0" borderId="0" xfId="76" applyFont="1" applyAlignment="1">
      <alignment vertical="center"/>
    </xf>
    <xf numFmtId="0" fontId="70" fillId="0" borderId="0" xfId="76" applyFont="1" applyFill="1" applyBorder="1" applyAlignment="1">
      <alignment horizontal="center" vertical="center"/>
    </xf>
    <xf numFmtId="0" fontId="65" fillId="0" borderId="0" xfId="76" applyAlignment="1">
      <alignment vertical="center"/>
    </xf>
    <xf numFmtId="0" fontId="101" fillId="0" borderId="0" xfId="76" applyFont="1" applyAlignment="1">
      <alignment vertical="center"/>
    </xf>
    <xf numFmtId="0" fontId="104" fillId="0" borderId="0" xfId="76" applyFont="1" applyAlignment="1">
      <alignment vertical="center"/>
    </xf>
    <xf numFmtId="0" fontId="101" fillId="0" borderId="25" xfId="76" applyFont="1" applyBorder="1" applyAlignment="1">
      <alignment horizontal="center" vertical="center"/>
    </xf>
    <xf numFmtId="170" fontId="101" fillId="0" borderId="30" xfId="213" applyNumberFormat="1" applyFont="1" applyBorder="1" applyAlignment="1">
      <alignment horizontal="center" vertical="center"/>
    </xf>
    <xf numFmtId="170" fontId="104" fillId="0" borderId="40" xfId="213" applyNumberFormat="1" applyFont="1" applyBorder="1" applyAlignment="1">
      <alignment horizontal="center" vertical="center"/>
    </xf>
    <xf numFmtId="0" fontId="101" fillId="0" borderId="26" xfId="76" applyFont="1" applyBorder="1" applyAlignment="1">
      <alignment horizontal="center" vertical="center"/>
    </xf>
    <xf numFmtId="0" fontId="101" fillId="0" borderId="31" xfId="76" applyFont="1" applyBorder="1" applyAlignment="1">
      <alignment horizontal="center" vertical="center"/>
    </xf>
    <xf numFmtId="0" fontId="101" fillId="0" borderId="36" xfId="76" applyFont="1" applyBorder="1" applyAlignment="1">
      <alignment horizontal="center" vertical="center"/>
    </xf>
    <xf numFmtId="170" fontId="101" fillId="0" borderId="31" xfId="213" applyNumberFormat="1" applyFont="1" applyBorder="1" applyAlignment="1">
      <alignment horizontal="center" vertical="center"/>
    </xf>
    <xf numFmtId="170" fontId="104" fillId="0" borderId="41" xfId="213" applyNumberFormat="1" applyFont="1" applyBorder="1" applyAlignment="1">
      <alignment horizontal="center" vertical="center"/>
    </xf>
    <xf numFmtId="0" fontId="101" fillId="0" borderId="27" xfId="76" applyFont="1" applyBorder="1" applyAlignment="1">
      <alignment horizontal="center" vertical="center"/>
    </xf>
    <xf numFmtId="0" fontId="101" fillId="0" borderId="32" xfId="76" applyFont="1" applyBorder="1" applyAlignment="1">
      <alignment horizontal="center" vertical="center"/>
    </xf>
    <xf numFmtId="0" fontId="101" fillId="0" borderId="37" xfId="76" applyFont="1" applyBorder="1" applyAlignment="1">
      <alignment horizontal="center" vertical="center"/>
    </xf>
    <xf numFmtId="170" fontId="101" fillId="0" borderId="32" xfId="213" applyNumberFormat="1" applyFont="1" applyBorder="1" applyAlignment="1">
      <alignment horizontal="center" vertical="center"/>
    </xf>
    <xf numFmtId="170" fontId="104" fillId="0" borderId="42" xfId="213" applyNumberFormat="1" applyFont="1" applyBorder="1" applyAlignment="1">
      <alignment horizontal="center" vertical="center"/>
    </xf>
    <xf numFmtId="0" fontId="102" fillId="23" borderId="179" xfId="76" applyFont="1" applyFill="1" applyBorder="1" applyAlignment="1">
      <alignment horizontal="center" vertical="center"/>
    </xf>
    <xf numFmtId="0" fontId="102" fillId="23" borderId="182" xfId="76" applyFont="1" applyFill="1" applyBorder="1" applyAlignment="1">
      <alignment horizontal="center" vertical="center"/>
    </xf>
    <xf numFmtId="0" fontId="102" fillId="23" borderId="180" xfId="76" applyFont="1" applyFill="1" applyBorder="1" applyAlignment="1">
      <alignment horizontal="center" vertical="center"/>
    </xf>
    <xf numFmtId="170" fontId="102" fillId="23" borderId="182" xfId="213" applyNumberFormat="1" applyFont="1" applyFill="1" applyBorder="1" applyAlignment="1">
      <alignment horizontal="center" vertical="center"/>
    </xf>
    <xf numFmtId="170" fontId="244" fillId="23" borderId="181" xfId="213" applyNumberFormat="1" applyFont="1" applyFill="1" applyBorder="1" applyAlignment="1">
      <alignment horizontal="center" vertical="center"/>
    </xf>
    <xf numFmtId="170" fontId="65" fillId="0" borderId="0" xfId="76" applyNumberFormat="1" applyAlignment="1">
      <alignment vertical="center"/>
    </xf>
    <xf numFmtId="170" fontId="65" fillId="0" borderId="0" xfId="76" applyNumberFormat="1" applyBorder="1" applyAlignment="1">
      <alignment vertical="center"/>
    </xf>
    <xf numFmtId="0" fontId="101" fillId="0" borderId="0" xfId="76" applyFont="1" applyAlignment="1">
      <alignment horizontal="center" vertical="center"/>
    </xf>
    <xf numFmtId="0" fontId="101" fillId="0" borderId="0" xfId="76" applyFont="1" applyBorder="1" applyAlignment="1">
      <alignment horizontal="center" vertical="center"/>
    </xf>
    <xf numFmtId="0" fontId="65" fillId="0" borderId="0" xfId="76" applyBorder="1" applyAlignment="1">
      <alignment vertical="center"/>
    </xf>
    <xf numFmtId="0" fontId="187" fillId="0" borderId="0" xfId="76" applyFont="1" applyBorder="1" applyAlignment="1">
      <alignment vertical="center"/>
    </xf>
    <xf numFmtId="3" fontId="101" fillId="0" borderId="0" xfId="76" applyNumberFormat="1" applyFont="1" applyAlignment="1">
      <alignment horizontal="center" vertical="center"/>
    </xf>
    <xf numFmtId="0" fontId="102" fillId="33" borderId="182" xfId="76" applyFont="1" applyFill="1" applyBorder="1" applyAlignment="1">
      <alignment horizontal="center" vertical="center"/>
    </xf>
    <xf numFmtId="170" fontId="102" fillId="33" borderId="182" xfId="213" applyNumberFormat="1" applyFont="1" applyFill="1" applyBorder="1" applyAlignment="1">
      <alignment horizontal="center" vertical="center"/>
    </xf>
    <xf numFmtId="0" fontId="128" fillId="23" borderId="182" xfId="826" applyFont="1" applyFill="1" applyBorder="1" applyAlignment="1">
      <alignment horizontal="center" vertical="center" wrapText="1"/>
    </xf>
    <xf numFmtId="0" fontId="129" fillId="0" borderId="17" xfId="826" applyFont="1" applyFill="1" applyBorder="1" applyAlignment="1">
      <alignment horizontal="center" vertical="center" wrapText="1"/>
    </xf>
    <xf numFmtId="0" fontId="129" fillId="0" borderId="182" xfId="826" applyFont="1" applyFill="1" applyBorder="1" applyAlignment="1">
      <alignment horizontal="center" vertical="center"/>
    </xf>
    <xf numFmtId="0" fontId="129" fillId="0" borderId="17" xfId="826" applyFont="1" applyFill="1" applyBorder="1" applyAlignment="1">
      <alignment horizontal="center" vertical="center"/>
    </xf>
    <xf numFmtId="0" fontId="129" fillId="0" borderId="183" xfId="826" applyFont="1" applyFill="1" applyBorder="1" applyAlignment="1">
      <alignment horizontal="center" vertical="center"/>
    </xf>
    <xf numFmtId="0" fontId="129" fillId="0" borderId="168" xfId="826" applyFont="1" applyFill="1" applyBorder="1" applyAlignment="1">
      <alignment horizontal="left" vertical="center"/>
    </xf>
    <xf numFmtId="0" fontId="129" fillId="0" borderId="182" xfId="826" applyFont="1" applyFill="1" applyBorder="1" applyAlignment="1">
      <alignment horizontal="left" vertical="center" indent="1"/>
    </xf>
    <xf numFmtId="0" fontId="137" fillId="0" borderId="32" xfId="826" applyFont="1" applyFill="1" applyBorder="1" applyAlignment="1">
      <alignment horizontal="left" vertical="center" indent="1"/>
    </xf>
    <xf numFmtId="0" fontId="200" fillId="0" borderId="41" xfId="826" applyFont="1" applyFill="1" applyBorder="1" applyAlignment="1">
      <alignment horizontal="center" vertical="center" wrapText="1"/>
    </xf>
    <xf numFmtId="0" fontId="129" fillId="0" borderId="17" xfId="826" applyFont="1" applyFill="1" applyBorder="1" applyAlignment="1">
      <alignment horizontal="left" vertical="center" indent="1"/>
    </xf>
    <xf numFmtId="0" fontId="129" fillId="0" borderId="22" xfId="826" applyFont="1" applyFill="1" applyBorder="1" applyAlignment="1">
      <alignment horizontal="left" vertical="center" indent="1"/>
    </xf>
    <xf numFmtId="0" fontId="150" fillId="0" borderId="178" xfId="76" applyFont="1" applyFill="1" applyBorder="1" applyAlignment="1">
      <alignment vertical="center"/>
    </xf>
    <xf numFmtId="0" fontId="23" fillId="0" borderId="0" xfId="76" applyFont="1"/>
    <xf numFmtId="0" fontId="150" fillId="23" borderId="182" xfId="76" applyFont="1" applyFill="1" applyBorder="1" applyAlignment="1">
      <alignment horizontal="center" vertical="center" wrapText="1"/>
    </xf>
    <xf numFmtId="0" fontId="150" fillId="0" borderId="23" xfId="76" applyFont="1" applyFill="1" applyBorder="1" applyAlignment="1">
      <alignment horizontal="center" vertical="center" wrapText="1"/>
    </xf>
    <xf numFmtId="0" fontId="150" fillId="0" borderId="182" xfId="76" applyFont="1" applyFill="1" applyBorder="1" applyAlignment="1">
      <alignment horizontal="center" vertical="center" wrapText="1"/>
    </xf>
    <xf numFmtId="0" fontId="182" fillId="0" borderId="182" xfId="76" applyFont="1" applyBorder="1" applyAlignment="1">
      <alignment horizontal="center" vertical="center" wrapText="1"/>
    </xf>
    <xf numFmtId="0" fontId="182" fillId="0" borderId="0" xfId="76" applyFont="1" applyAlignment="1">
      <alignment horizontal="center"/>
    </xf>
    <xf numFmtId="0" fontId="23" fillId="0" borderId="25" xfId="76" applyFont="1" applyBorder="1" applyAlignment="1">
      <alignment horizontal="center"/>
    </xf>
    <xf numFmtId="0" fontId="23" fillId="0" borderId="30" xfId="76" applyFont="1" applyBorder="1" applyAlignment="1">
      <alignment horizontal="center"/>
    </xf>
    <xf numFmtId="0" fontId="150" fillId="0" borderId="30" xfId="76" applyFont="1" applyBorder="1" applyAlignment="1">
      <alignment horizontal="center" vertical="center"/>
    </xf>
    <xf numFmtId="0" fontId="137" fillId="0" borderId="30" xfId="76" applyFont="1" applyBorder="1" applyAlignment="1">
      <alignment horizontal="center" vertical="center"/>
    </xf>
    <xf numFmtId="0" fontId="137" fillId="0" borderId="25" xfId="76" applyFont="1" applyBorder="1" applyAlignment="1">
      <alignment horizontal="center" vertical="center"/>
    </xf>
    <xf numFmtId="0" fontId="129" fillId="0" borderId="35" xfId="76" applyFont="1" applyBorder="1" applyAlignment="1">
      <alignment horizontal="center" vertical="center"/>
    </xf>
    <xf numFmtId="0" fontId="23" fillId="0" borderId="26" xfId="76" applyFont="1" applyBorder="1" applyAlignment="1">
      <alignment horizontal="center"/>
    </xf>
    <xf numFmtId="0" fontId="23" fillId="0" borderId="31" xfId="76" applyFont="1" applyBorder="1" applyAlignment="1">
      <alignment horizontal="center"/>
    </xf>
    <xf numFmtId="0" fontId="150" fillId="0" borderId="31" xfId="76" applyFont="1" applyBorder="1" applyAlignment="1">
      <alignment horizontal="center" vertical="center"/>
    </xf>
    <xf numFmtId="0" fontId="137" fillId="0" borderId="31" xfId="76" applyFont="1" applyBorder="1" applyAlignment="1">
      <alignment horizontal="center" vertical="center"/>
    </xf>
    <xf numFmtId="0" fontId="137" fillId="0" borderId="26" xfId="76" applyFont="1" applyBorder="1" applyAlignment="1">
      <alignment horizontal="center" vertical="center"/>
    </xf>
    <xf numFmtId="0" fontId="129" fillId="0" borderId="31" xfId="76" applyFont="1" applyBorder="1" applyAlignment="1">
      <alignment horizontal="center" vertical="center"/>
    </xf>
    <xf numFmtId="0" fontId="137" fillId="0" borderId="36" xfId="76" applyFont="1" applyBorder="1" applyAlignment="1">
      <alignment horizontal="center" vertical="center"/>
    </xf>
    <xf numFmtId="0" fontId="23" fillId="0" borderId="27" xfId="76" applyFont="1" applyBorder="1" applyAlignment="1">
      <alignment horizontal="center"/>
    </xf>
    <xf numFmtId="0" fontId="23" fillId="0" borderId="32" xfId="76" applyFont="1" applyBorder="1" applyAlignment="1">
      <alignment horizontal="center"/>
    </xf>
    <xf numFmtId="0" fontId="150" fillId="0" borderId="32" xfId="76" applyFont="1" applyBorder="1" applyAlignment="1">
      <alignment horizontal="center" vertical="center"/>
    </xf>
    <xf numFmtId="0" fontId="137" fillId="0" borderId="32" xfId="76" applyFont="1" applyBorder="1" applyAlignment="1">
      <alignment horizontal="center" vertical="center"/>
    </xf>
    <xf numFmtId="0" fontId="137" fillId="0" borderId="27" xfId="76" applyFont="1" applyBorder="1" applyAlignment="1">
      <alignment horizontal="center" vertical="center"/>
    </xf>
    <xf numFmtId="0" fontId="137" fillId="0" borderId="37" xfId="76" applyFont="1" applyBorder="1" applyAlignment="1">
      <alignment horizontal="center" vertical="center"/>
    </xf>
    <xf numFmtId="0" fontId="150" fillId="23" borderId="182" xfId="76" applyFont="1" applyFill="1" applyBorder="1" applyAlignment="1">
      <alignment horizontal="center"/>
    </xf>
    <xf numFmtId="0" fontId="150" fillId="23" borderId="182" xfId="76" applyFont="1" applyFill="1" applyBorder="1" applyAlignment="1">
      <alignment horizontal="center" vertical="center"/>
    </xf>
    <xf numFmtId="0" fontId="150" fillId="23" borderId="179" xfId="76" applyFont="1" applyFill="1" applyBorder="1" applyAlignment="1">
      <alignment horizontal="center" vertical="center"/>
    </xf>
    <xf numFmtId="170" fontId="150" fillId="23" borderId="182" xfId="213" applyNumberFormat="1" applyFont="1" applyFill="1" applyBorder="1" applyAlignment="1">
      <alignment horizontal="right" vertical="center" indent="1"/>
    </xf>
    <xf numFmtId="170" fontId="257" fillId="23" borderId="182" xfId="213" applyNumberFormat="1" applyFont="1" applyFill="1" applyBorder="1" applyAlignment="1">
      <alignment horizontal="right" vertical="center" indent="1"/>
    </xf>
    <xf numFmtId="0" fontId="139" fillId="0" borderId="0" xfId="76" applyFont="1" applyBorder="1" applyAlignment="1">
      <alignment horizontal="center" vertical="center"/>
    </xf>
    <xf numFmtId="0" fontId="137" fillId="0" borderId="35" xfId="76" applyFont="1" applyBorder="1" applyAlignment="1">
      <alignment horizontal="center" vertical="center"/>
    </xf>
    <xf numFmtId="0" fontId="150" fillId="0" borderId="0" xfId="76" applyFont="1"/>
    <xf numFmtId="0" fontId="181" fillId="0" borderId="0" xfId="76" applyFont="1" applyAlignment="1">
      <alignment horizontal="right" indent="1"/>
    </xf>
    <xf numFmtId="0" fontId="129" fillId="0" borderId="25" xfId="76" applyFont="1" applyBorder="1" applyAlignment="1">
      <alignment horizontal="center" vertical="center"/>
    </xf>
    <xf numFmtId="0" fontId="129" fillId="0" borderId="30" xfId="76" applyFont="1" applyBorder="1" applyAlignment="1">
      <alignment horizontal="center" vertical="center"/>
    </xf>
    <xf numFmtId="0" fontId="23" fillId="0" borderId="0" xfId="76" applyFont="1" applyAlignment="1">
      <alignment horizontal="center"/>
    </xf>
    <xf numFmtId="0" fontId="150" fillId="0" borderId="0" xfId="76" applyFont="1" applyAlignment="1">
      <alignment horizontal="center" vertical="center"/>
    </xf>
    <xf numFmtId="0" fontId="137" fillId="0" borderId="0" xfId="76" applyFont="1" applyAlignment="1">
      <alignment horizontal="center" vertical="center"/>
    </xf>
    <xf numFmtId="0" fontId="255" fillId="0" borderId="0" xfId="76" applyFont="1" applyBorder="1" applyAlignment="1">
      <alignment horizontal="center" vertical="center"/>
    </xf>
    <xf numFmtId="0" fontId="258" fillId="0" borderId="0" xfId="76" applyFont="1" applyBorder="1" applyAlignment="1">
      <alignment horizontal="right" vertical="center" indent="1"/>
    </xf>
    <xf numFmtId="170" fontId="150" fillId="33" borderId="182" xfId="213" applyNumberFormat="1" applyFont="1" applyFill="1" applyBorder="1" applyAlignment="1">
      <alignment horizontal="right" vertical="center" indent="1"/>
    </xf>
    <xf numFmtId="170" fontId="137" fillId="0" borderId="0" xfId="76" applyNumberFormat="1" applyFont="1" applyAlignment="1">
      <alignment horizontal="center"/>
    </xf>
    <xf numFmtId="0" fontId="65" fillId="0" borderId="181" xfId="76" applyBorder="1" applyAlignment="1">
      <alignment horizontal="center" vertical="center"/>
    </xf>
    <xf numFmtId="0" fontId="65" fillId="0" borderId="182" xfId="76" applyBorder="1" applyAlignment="1">
      <alignment horizontal="center" vertical="center"/>
    </xf>
    <xf numFmtId="0" fontId="132" fillId="23" borderId="182" xfId="76" applyFont="1" applyFill="1" applyBorder="1" applyAlignment="1">
      <alignment horizontal="center" vertical="center"/>
    </xf>
    <xf numFmtId="0" fontId="128" fillId="23" borderId="163" xfId="76" applyFont="1" applyFill="1" applyBorder="1" applyAlignment="1">
      <alignment horizontal="center"/>
    </xf>
    <xf numFmtId="0" fontId="299" fillId="0" borderId="0" xfId="0" applyFont="1"/>
    <xf numFmtId="0" fontId="300" fillId="0" borderId="0" xfId="0" applyFont="1"/>
    <xf numFmtId="0" fontId="301" fillId="0" borderId="0" xfId="0" applyFont="1"/>
    <xf numFmtId="0" fontId="302" fillId="0" borderId="0" xfId="0" applyFont="1"/>
    <xf numFmtId="0" fontId="303" fillId="0" borderId="0" xfId="0" applyFont="1"/>
    <xf numFmtId="0" fontId="304" fillId="0" borderId="0" xfId="0" applyFont="1"/>
    <xf numFmtId="184" fontId="132" fillId="23" borderId="182" xfId="0" applyNumberFormat="1" applyFont="1" applyFill="1" applyBorder="1" applyAlignment="1">
      <alignment horizontal="right" vertical="center" indent="1"/>
    </xf>
    <xf numFmtId="184" fontId="0" fillId="0" borderId="0" xfId="0" applyNumberFormat="1"/>
    <xf numFmtId="0" fontId="166" fillId="0" borderId="0" xfId="374" applyFont="1" applyAlignment="1">
      <alignment vertical="center"/>
    </xf>
    <xf numFmtId="3" fontId="128" fillId="0" borderId="43" xfId="66" applyNumberFormat="1" applyFont="1" applyFill="1" applyBorder="1" applyAlignment="1">
      <alignment horizontal="center" vertical="center"/>
    </xf>
    <xf numFmtId="0" fontId="85" fillId="0" borderId="70" xfId="52" applyFont="1" applyFill="1" applyBorder="1" applyAlignment="1">
      <alignment wrapText="1"/>
    </xf>
    <xf numFmtId="0" fontId="178" fillId="0" borderId="14" xfId="66" applyFont="1" applyFill="1" applyBorder="1" applyAlignment="1">
      <alignment horizontal="center" vertical="center"/>
    </xf>
    <xf numFmtId="1" fontId="178" fillId="0" borderId="10" xfId="66" applyNumberFormat="1" applyFont="1" applyFill="1" applyBorder="1" applyAlignment="1">
      <alignment horizontal="center" vertical="center"/>
    </xf>
    <xf numFmtId="0" fontId="129" fillId="0" borderId="34" xfId="66" applyFont="1" applyFill="1" applyBorder="1" applyAlignment="1">
      <alignment horizontal="center" vertical="center"/>
    </xf>
    <xf numFmtId="0" fontId="22" fillId="0" borderId="30" xfId="464" applyFont="1" applyBorder="1" applyAlignment="1">
      <alignment horizontal="center" vertical="center"/>
    </xf>
    <xf numFmtId="0" fontId="22" fillId="0" borderId="31" xfId="464" applyFont="1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79" fillId="0" borderId="14" xfId="66" applyFont="1" applyFill="1" applyBorder="1" applyAlignment="1">
      <alignment horizontal="center" vertical="center"/>
    </xf>
    <xf numFmtId="0" fontId="288" fillId="0" borderId="0" xfId="73" applyFont="1" applyAlignment="1">
      <alignment vertical="center"/>
    </xf>
    <xf numFmtId="0" fontId="168" fillId="0" borderId="0" xfId="374" applyFont="1" applyAlignment="1">
      <alignment vertical="center"/>
    </xf>
    <xf numFmtId="3" fontId="130" fillId="23" borderId="184" xfId="50" applyNumberFormat="1" applyFont="1" applyFill="1" applyBorder="1" applyAlignment="1">
      <alignment horizontal="center" vertical="center" wrapText="1"/>
    </xf>
    <xf numFmtId="3" fontId="130" fillId="23" borderId="182" xfId="50" applyNumberFormat="1" applyFont="1" applyFill="1" applyBorder="1" applyAlignment="1">
      <alignment horizontal="center" vertical="center" wrapText="1"/>
    </xf>
    <xf numFmtId="0" fontId="129" fillId="0" borderId="35" xfId="66" applyFont="1" applyBorder="1" applyAlignment="1">
      <alignment vertical="center"/>
    </xf>
    <xf numFmtId="3" fontId="129" fillId="0" borderId="30" xfId="66" applyNumberFormat="1" applyFont="1" applyBorder="1" applyAlignment="1">
      <alignment horizontal="center" vertical="center"/>
    </xf>
    <xf numFmtId="3" fontId="175" fillId="0" borderId="182" xfId="66" applyNumberFormat="1" applyFont="1" applyFill="1" applyBorder="1" applyAlignment="1">
      <alignment horizontal="center" vertical="center"/>
    </xf>
    <xf numFmtId="3" fontId="179" fillId="0" borderId="182" xfId="66" applyNumberFormat="1" applyFont="1" applyFill="1" applyBorder="1" applyAlignment="1">
      <alignment horizontal="center" vertical="center"/>
    </xf>
    <xf numFmtId="3" fontId="177" fillId="0" borderId="182" xfId="66" applyNumberFormat="1" applyFont="1" applyFill="1" applyBorder="1" applyAlignment="1">
      <alignment horizontal="center" vertical="center"/>
    </xf>
    <xf numFmtId="3" fontId="176" fillId="0" borderId="182" xfId="66" applyNumberFormat="1" applyFont="1" applyFill="1" applyBorder="1" applyAlignment="1">
      <alignment horizontal="center" vertical="center"/>
    </xf>
    <xf numFmtId="3" fontId="178" fillId="0" borderId="182" xfId="66" applyNumberFormat="1" applyFont="1" applyFill="1" applyBorder="1" applyAlignment="1">
      <alignment horizontal="center" vertical="center"/>
    </xf>
    <xf numFmtId="3" fontId="128" fillId="23" borderId="182" xfId="66" applyNumberFormat="1" applyFont="1" applyFill="1" applyBorder="1" applyAlignment="1">
      <alignment horizontal="center" vertical="center"/>
    </xf>
    <xf numFmtId="1" fontId="175" fillId="0" borderId="182" xfId="66" applyNumberFormat="1" applyFont="1" applyFill="1" applyBorder="1" applyAlignment="1">
      <alignment horizontal="center" vertical="center"/>
    </xf>
    <xf numFmtId="1" fontId="179" fillId="0" borderId="182" xfId="66" applyNumberFormat="1" applyFont="1" applyFill="1" applyBorder="1" applyAlignment="1">
      <alignment horizontal="center" vertical="center"/>
    </xf>
    <xf numFmtId="1" fontId="177" fillId="0" borderId="182" xfId="66" applyNumberFormat="1" applyFont="1" applyFill="1" applyBorder="1" applyAlignment="1">
      <alignment horizontal="center" vertical="center"/>
    </xf>
    <xf numFmtId="1" fontId="176" fillId="0" borderId="182" xfId="66" applyNumberFormat="1" applyFont="1" applyFill="1" applyBorder="1" applyAlignment="1">
      <alignment horizontal="center" vertical="center"/>
    </xf>
    <xf numFmtId="1" fontId="128" fillId="23" borderId="182" xfId="66" applyNumberFormat="1" applyFont="1" applyFill="1" applyBorder="1" applyAlignment="1">
      <alignment horizontal="center" vertical="center"/>
    </xf>
    <xf numFmtId="1" fontId="129" fillId="0" borderId="28" xfId="66" applyNumberFormat="1" applyFont="1" applyBorder="1" applyAlignment="1">
      <alignment horizontal="center" vertical="center"/>
    </xf>
    <xf numFmtId="1" fontId="129" fillId="0" borderId="43" xfId="66" applyNumberFormat="1" applyFont="1" applyBorder="1" applyAlignment="1">
      <alignment horizontal="center" vertical="center"/>
    </xf>
    <xf numFmtId="1" fontId="129" fillId="0" borderId="26" xfId="66" applyNumberFormat="1" applyFont="1" applyBorder="1" applyAlignment="1">
      <alignment horizontal="center" vertical="center"/>
    </xf>
    <xf numFmtId="1" fontId="129" fillId="0" borderId="41" xfId="66" applyNumberFormat="1" applyFont="1" applyBorder="1" applyAlignment="1">
      <alignment horizontal="center" vertical="center"/>
    </xf>
    <xf numFmtId="1" fontId="129" fillId="23" borderId="26" xfId="66" applyNumberFormat="1" applyFont="1" applyFill="1" applyBorder="1" applyAlignment="1">
      <alignment horizontal="center" vertical="center"/>
    </xf>
    <xf numFmtId="1" fontId="129" fillId="23" borderId="41" xfId="66" applyNumberFormat="1" applyFont="1" applyFill="1" applyBorder="1" applyAlignment="1">
      <alignment horizontal="center" vertical="center"/>
    </xf>
    <xf numFmtId="1" fontId="129" fillId="23" borderId="29" xfId="66" applyNumberFormat="1" applyFont="1" applyFill="1" applyBorder="1" applyAlignment="1">
      <alignment horizontal="center" vertical="center"/>
    </xf>
    <xf numFmtId="1" fontId="129" fillId="23" borderId="44" xfId="66" applyNumberFormat="1" applyFont="1" applyFill="1" applyBorder="1" applyAlignment="1">
      <alignment horizontal="center" vertical="center"/>
    </xf>
    <xf numFmtId="1" fontId="175" fillId="0" borderId="184" xfId="66" applyNumberFormat="1" applyFont="1" applyFill="1" applyBorder="1" applyAlignment="1">
      <alignment horizontal="center" vertical="center"/>
    </xf>
    <xf numFmtId="1" fontId="175" fillId="0" borderId="187" xfId="66" applyNumberFormat="1" applyFont="1" applyFill="1" applyBorder="1" applyAlignment="1">
      <alignment horizontal="center" vertical="center"/>
    </xf>
    <xf numFmtId="1" fontId="129" fillId="0" borderId="28" xfId="66" applyNumberFormat="1" applyFont="1" applyFill="1" applyBorder="1" applyAlignment="1">
      <alignment horizontal="center" vertical="center"/>
    </xf>
    <xf numFmtId="1" fontId="129" fillId="0" borderId="43" xfId="66" applyNumberFormat="1" applyFont="1" applyFill="1" applyBorder="1" applyAlignment="1">
      <alignment horizontal="center" vertical="center"/>
    </xf>
    <xf numFmtId="1" fontId="129" fillId="0" borderId="26" xfId="66" applyNumberFormat="1" applyFont="1" applyFill="1" applyBorder="1" applyAlignment="1">
      <alignment horizontal="center" vertical="center"/>
    </xf>
    <xf numFmtId="1" fontId="129" fillId="0" borderId="41" xfId="66" applyNumberFormat="1" applyFont="1" applyFill="1" applyBorder="1" applyAlignment="1">
      <alignment horizontal="center" vertical="center"/>
    </xf>
    <xf numFmtId="1" fontId="179" fillId="0" borderId="184" xfId="66" applyNumberFormat="1" applyFont="1" applyFill="1" applyBorder="1" applyAlignment="1">
      <alignment horizontal="center" vertical="center"/>
    </xf>
    <xf numFmtId="1" fontId="179" fillId="0" borderId="187" xfId="66" applyNumberFormat="1" applyFont="1" applyFill="1" applyBorder="1" applyAlignment="1">
      <alignment horizontal="center" vertical="center"/>
    </xf>
    <xf numFmtId="1" fontId="129" fillId="0" borderId="29" xfId="66" applyNumberFormat="1" applyFont="1" applyFill="1" applyBorder="1" applyAlignment="1">
      <alignment horizontal="center" vertical="center"/>
    </xf>
    <xf numFmtId="1" fontId="177" fillId="0" borderId="184" xfId="66" applyNumberFormat="1" applyFont="1" applyFill="1" applyBorder="1" applyAlignment="1">
      <alignment horizontal="center" vertical="center"/>
    </xf>
    <xf numFmtId="1" fontId="177" fillId="0" borderId="187" xfId="66" applyNumberFormat="1" applyFont="1" applyFill="1" applyBorder="1" applyAlignment="1">
      <alignment horizontal="center" vertical="center"/>
    </xf>
    <xf numFmtId="1" fontId="176" fillId="0" borderId="184" xfId="66" applyNumberFormat="1" applyFont="1" applyFill="1" applyBorder="1" applyAlignment="1">
      <alignment horizontal="center" vertical="center"/>
    </xf>
    <xf numFmtId="1" fontId="176" fillId="0" borderId="187" xfId="66" applyNumberFormat="1" applyFont="1" applyFill="1" applyBorder="1" applyAlignment="1">
      <alignment horizontal="center" vertical="center"/>
    </xf>
    <xf numFmtId="1" fontId="178" fillId="0" borderId="186" xfId="66" applyNumberFormat="1" applyFont="1" applyFill="1" applyBorder="1" applyAlignment="1">
      <alignment horizontal="center" vertical="center"/>
    </xf>
    <xf numFmtId="1" fontId="178" fillId="0" borderId="187" xfId="66" applyNumberFormat="1" applyFont="1" applyFill="1" applyBorder="1" applyAlignment="1">
      <alignment horizontal="center" vertical="center"/>
    </xf>
    <xf numFmtId="1" fontId="128" fillId="23" borderId="184" xfId="66" applyNumberFormat="1" applyFont="1" applyFill="1" applyBorder="1" applyAlignment="1">
      <alignment horizontal="center" vertical="center"/>
    </xf>
    <xf numFmtId="1" fontId="128" fillId="23" borderId="187" xfId="66" applyNumberFormat="1" applyFont="1" applyFill="1" applyBorder="1" applyAlignment="1">
      <alignment horizontal="center" vertical="center"/>
    </xf>
    <xf numFmtId="1" fontId="129" fillId="0" borderId="44" xfId="66" applyNumberFormat="1" applyFont="1" applyFill="1" applyBorder="1" applyAlignment="1">
      <alignment horizontal="center" vertical="center"/>
    </xf>
    <xf numFmtId="1" fontId="178" fillId="0" borderId="184" xfId="66" applyNumberFormat="1" applyFont="1" applyFill="1" applyBorder="1" applyAlignment="1">
      <alignment horizontal="center" vertical="center"/>
    </xf>
    <xf numFmtId="0" fontId="21" fillId="0" borderId="28" xfId="830" applyFont="1" applyBorder="1" applyAlignment="1">
      <alignment horizontal="left" vertical="center"/>
    </xf>
    <xf numFmtId="0" fontId="21" fillId="0" borderId="28" xfId="830" applyFont="1" applyBorder="1" applyAlignment="1">
      <alignment horizontal="center" vertical="center"/>
    </xf>
    <xf numFmtId="0" fontId="21" fillId="0" borderId="38" xfId="830" applyFont="1" applyBorder="1" applyAlignment="1">
      <alignment horizontal="center" vertical="center"/>
    </xf>
    <xf numFmtId="0" fontId="21" fillId="0" borderId="26" xfId="830" applyFont="1" applyBorder="1" applyAlignment="1">
      <alignment horizontal="left" vertical="center"/>
    </xf>
    <xf numFmtId="0" fontId="21" fillId="0" borderId="26" xfId="830" applyFont="1" applyBorder="1" applyAlignment="1">
      <alignment horizontal="center" vertical="center"/>
    </xf>
    <xf numFmtId="0" fontId="21" fillId="0" borderId="36" xfId="830" applyFont="1" applyBorder="1" applyAlignment="1">
      <alignment horizontal="center" vertical="center"/>
    </xf>
    <xf numFmtId="0" fontId="21" fillId="0" borderId="36" xfId="830" applyFont="1" applyFill="1" applyBorder="1" applyAlignment="1">
      <alignment horizontal="center" vertical="center"/>
    </xf>
    <xf numFmtId="0" fontId="21" fillId="23" borderId="26" xfId="830" applyFont="1" applyFill="1" applyBorder="1" applyAlignment="1">
      <alignment horizontal="center" vertical="center"/>
    </xf>
    <xf numFmtId="0" fontId="21" fillId="0" borderId="41" xfId="830" applyFont="1" applyBorder="1" applyAlignment="1">
      <alignment horizontal="center" vertical="center"/>
    </xf>
    <xf numFmtId="0" fontId="175" fillId="0" borderId="184" xfId="830" applyFont="1" applyFill="1" applyBorder="1" applyAlignment="1">
      <alignment horizontal="center" vertical="center"/>
    </xf>
    <xf numFmtId="0" fontId="175" fillId="0" borderId="187" xfId="830" applyFont="1" applyFill="1" applyBorder="1" applyAlignment="1">
      <alignment horizontal="center" vertical="center"/>
    </xf>
    <xf numFmtId="0" fontId="175" fillId="0" borderId="182" xfId="830" applyFont="1" applyFill="1" applyBorder="1" applyAlignment="1">
      <alignment horizontal="center" vertical="center"/>
    </xf>
    <xf numFmtId="0" fontId="21" fillId="0" borderId="25" xfId="830" applyFont="1" applyBorder="1" applyAlignment="1">
      <alignment horizontal="left" vertical="center"/>
    </xf>
    <xf numFmtId="0" fontId="21" fillId="0" borderId="25" xfId="830" applyFont="1" applyBorder="1" applyAlignment="1">
      <alignment horizontal="center" vertical="center"/>
    </xf>
    <xf numFmtId="0" fontId="21" fillId="0" borderId="40" xfId="830" applyFont="1" applyBorder="1" applyAlignment="1">
      <alignment horizontal="center" vertical="center"/>
    </xf>
    <xf numFmtId="0" fontId="21" fillId="0" borderId="41" xfId="830" applyFont="1" applyFill="1" applyBorder="1" applyAlignment="1">
      <alignment horizontal="center" vertical="center"/>
    </xf>
    <xf numFmtId="0" fontId="176" fillId="0" borderId="184" xfId="830" applyFont="1" applyFill="1" applyBorder="1" applyAlignment="1">
      <alignment horizontal="center" vertical="center"/>
    </xf>
    <xf numFmtId="0" fontId="176" fillId="0" borderId="187" xfId="830" applyFont="1" applyFill="1" applyBorder="1" applyAlignment="1">
      <alignment horizontal="center" vertical="center"/>
    </xf>
    <xf numFmtId="0" fontId="176" fillId="0" borderId="182" xfId="830" applyFont="1" applyFill="1" applyBorder="1" applyAlignment="1">
      <alignment horizontal="center" vertical="center"/>
    </xf>
    <xf numFmtId="0" fontId="21" fillId="23" borderId="27" xfId="830" applyFont="1" applyFill="1" applyBorder="1" applyAlignment="1">
      <alignment horizontal="center" vertical="center"/>
    </xf>
    <xf numFmtId="0" fontId="179" fillId="0" borderId="184" xfId="830" applyFont="1" applyFill="1" applyBorder="1" applyAlignment="1">
      <alignment horizontal="center" vertical="center"/>
    </xf>
    <xf numFmtId="0" fontId="179" fillId="0" borderId="187" xfId="830" applyFont="1" applyFill="1" applyBorder="1" applyAlignment="1">
      <alignment horizontal="center" vertical="center"/>
    </xf>
    <xf numFmtId="0" fontId="179" fillId="0" borderId="182" xfId="830" applyFont="1" applyFill="1" applyBorder="1" applyAlignment="1">
      <alignment horizontal="center" vertical="center"/>
    </xf>
    <xf numFmtId="0" fontId="178" fillId="0" borderId="184" xfId="830" applyFont="1" applyFill="1" applyBorder="1" applyAlignment="1">
      <alignment horizontal="center" vertical="center"/>
    </xf>
    <xf numFmtId="0" fontId="178" fillId="0" borderId="187" xfId="830" applyFont="1" applyFill="1" applyBorder="1" applyAlignment="1">
      <alignment horizontal="center" vertical="center"/>
    </xf>
    <xf numFmtId="0" fontId="178" fillId="0" borderId="182" xfId="830" applyFont="1" applyFill="1" applyBorder="1" applyAlignment="1">
      <alignment horizontal="center" vertical="center"/>
    </xf>
    <xf numFmtId="0" fontId="21" fillId="0" borderId="43" xfId="830" applyFont="1" applyBorder="1" applyAlignment="1">
      <alignment horizontal="center" vertical="center"/>
    </xf>
    <xf numFmtId="0" fontId="177" fillId="0" borderId="184" xfId="830" applyFont="1" applyFill="1" applyBorder="1" applyAlignment="1">
      <alignment horizontal="center" vertical="center"/>
    </xf>
    <xf numFmtId="0" fontId="177" fillId="0" borderId="187" xfId="830" applyFont="1" applyFill="1" applyBorder="1" applyAlignment="1">
      <alignment horizontal="center" vertical="center"/>
    </xf>
    <xf numFmtId="0" fontId="177" fillId="0" borderId="182" xfId="83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132" fillId="23" borderId="182" xfId="830" applyFont="1" applyFill="1" applyBorder="1" applyAlignment="1">
      <alignment horizontal="center" vertical="center"/>
    </xf>
    <xf numFmtId="0" fontId="21" fillId="0" borderId="23" xfId="830" applyFont="1" applyBorder="1" applyAlignment="1">
      <alignment horizontal="center" vertical="center"/>
    </xf>
    <xf numFmtId="1" fontId="128" fillId="0" borderId="23" xfId="66" applyNumberFormat="1" applyFont="1" applyFill="1" applyBorder="1" applyAlignment="1">
      <alignment horizontal="center" vertical="center" wrapText="1"/>
    </xf>
    <xf numFmtId="3" fontId="130" fillId="0" borderId="23" xfId="50" applyNumberFormat="1" applyFont="1" applyFill="1" applyBorder="1" applyAlignment="1">
      <alignment horizontal="center" vertical="center" wrapText="1"/>
    </xf>
    <xf numFmtId="0" fontId="21" fillId="0" borderId="0" xfId="830" applyFont="1" applyAlignment="1">
      <alignment horizontal="center" vertical="center"/>
    </xf>
    <xf numFmtId="0" fontId="21" fillId="0" borderId="0" xfId="830" applyFont="1" applyAlignment="1">
      <alignment horizontal="left" vertical="center"/>
    </xf>
    <xf numFmtId="0" fontId="147" fillId="0" borderId="34" xfId="655" applyFont="1" applyBorder="1" applyAlignment="1">
      <alignment vertical="center"/>
    </xf>
    <xf numFmtId="0" fontId="147" fillId="0" borderId="34" xfId="655" applyFont="1" applyBorder="1" applyAlignment="1">
      <alignment horizontal="center" vertical="center"/>
    </xf>
    <xf numFmtId="0" fontId="160" fillId="0" borderId="0" xfId="0" applyFont="1" applyAlignment="1">
      <alignment horizontal="left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19" xfId="0" applyFont="1" applyBorder="1" applyAlignment="1">
      <alignment horizontal="center" vertical="center"/>
    </xf>
    <xf numFmtId="3" fontId="21" fillId="23" borderId="18" xfId="828" applyNumberFormat="1" applyFont="1" applyFill="1" applyBorder="1" applyAlignment="1">
      <alignment horizontal="center" vertical="center" wrapText="1"/>
    </xf>
    <xf numFmtId="1" fontId="128" fillId="0" borderId="23" xfId="0" applyNumberFormat="1" applyFont="1" applyFill="1" applyBorder="1" applyAlignment="1">
      <alignment horizontal="center" wrapText="1"/>
    </xf>
    <xf numFmtId="1" fontId="130" fillId="23" borderId="182" xfId="0" applyNumberFormat="1" applyFont="1" applyFill="1" applyBorder="1" applyAlignment="1">
      <alignment horizontal="center" wrapText="1"/>
    </xf>
    <xf numFmtId="3" fontId="129" fillId="0" borderId="34" xfId="66" applyNumberFormat="1" applyFont="1" applyFill="1" applyBorder="1" applyAlignment="1">
      <alignment horizontal="right" vertical="center" indent="1"/>
    </xf>
    <xf numFmtId="3" fontId="175" fillId="23" borderId="23" xfId="66" applyNumberFormat="1" applyFont="1" applyFill="1" applyBorder="1" applyAlignment="1">
      <alignment horizontal="right" vertical="center" indent="1"/>
    </xf>
    <xf numFmtId="3" fontId="176" fillId="23" borderId="23" xfId="66" applyNumberFormat="1" applyFont="1" applyFill="1" applyBorder="1" applyAlignment="1">
      <alignment horizontal="right" vertical="center" indent="1"/>
    </xf>
    <xf numFmtId="3" fontId="128" fillId="23" borderId="182" xfId="66" applyNumberFormat="1" applyFont="1" applyFill="1" applyBorder="1" applyAlignment="1">
      <alignment horizontal="right" vertical="center" indent="1"/>
    </xf>
    <xf numFmtId="3" fontId="179" fillId="23" borderId="23" xfId="66" applyNumberFormat="1" applyFont="1" applyFill="1" applyBorder="1" applyAlignment="1">
      <alignment horizontal="right" vertical="center" indent="1"/>
    </xf>
    <xf numFmtId="3" fontId="177" fillId="23" borderId="23" xfId="66" applyNumberFormat="1" applyFont="1" applyFill="1" applyBorder="1" applyAlignment="1">
      <alignment horizontal="right" vertical="center" indent="1"/>
    </xf>
    <xf numFmtId="3" fontId="178" fillId="23" borderId="23" xfId="66" applyNumberFormat="1" applyFont="1" applyFill="1" applyBorder="1" applyAlignment="1">
      <alignment horizontal="right" vertical="center" indent="1"/>
    </xf>
    <xf numFmtId="3" fontId="128" fillId="23" borderId="187" xfId="66" applyNumberFormat="1" applyFont="1" applyFill="1" applyBorder="1" applyAlignment="1">
      <alignment horizontal="right" vertical="center" indent="1"/>
    </xf>
    <xf numFmtId="3" fontId="128" fillId="23" borderId="184" xfId="66" applyNumberFormat="1" applyFont="1" applyFill="1" applyBorder="1" applyAlignment="1">
      <alignment horizontal="right" vertical="center" indent="1"/>
    </xf>
    <xf numFmtId="0" fontId="144" fillId="23" borderId="18" xfId="0" applyFont="1" applyFill="1" applyBorder="1" applyAlignment="1">
      <alignment horizontal="center" vertical="center"/>
    </xf>
    <xf numFmtId="0" fontId="179" fillId="0" borderId="21" xfId="631" applyFont="1" applyFill="1" applyBorder="1" applyAlignment="1">
      <alignment horizontal="center" vertical="center"/>
    </xf>
    <xf numFmtId="0" fontId="128" fillId="23" borderId="10" xfId="0" applyFont="1" applyFill="1" applyBorder="1" applyAlignment="1">
      <alignment horizontal="center" vertical="center" wrapText="1"/>
    </xf>
    <xf numFmtId="3" fontId="179" fillId="0" borderId="188" xfId="374" applyNumberFormat="1" applyFont="1" applyFill="1" applyBorder="1" applyAlignment="1">
      <alignment horizontal="right" indent="1"/>
    </xf>
    <xf numFmtId="3" fontId="179" fillId="0" borderId="189" xfId="374" applyNumberFormat="1" applyFont="1" applyFill="1" applyBorder="1" applyAlignment="1">
      <alignment horizontal="right" indent="1"/>
    </xf>
    <xf numFmtId="3" fontId="179" fillId="0" borderId="190" xfId="374" applyNumberFormat="1" applyFont="1" applyFill="1" applyBorder="1" applyAlignment="1">
      <alignment horizontal="right" indent="1"/>
    </xf>
    <xf numFmtId="3" fontId="179" fillId="29" borderId="189" xfId="374" applyNumberFormat="1" applyFont="1" applyFill="1" applyBorder="1" applyAlignment="1">
      <alignment horizontal="right" indent="1"/>
    </xf>
    <xf numFmtId="3" fontId="179" fillId="29" borderId="190" xfId="374" applyNumberFormat="1" applyFont="1" applyFill="1" applyBorder="1" applyAlignment="1">
      <alignment horizontal="right" indent="1"/>
    </xf>
    <xf numFmtId="0" fontId="129" fillId="0" borderId="185" xfId="52" applyFont="1" applyFill="1" applyBorder="1" applyAlignment="1">
      <alignment horizontal="center" vertical="center"/>
    </xf>
    <xf numFmtId="3" fontId="129" fillId="0" borderId="188" xfId="374" applyNumberFormat="1" applyFont="1" applyFill="1" applyBorder="1" applyAlignment="1">
      <alignment horizontal="right" indent="1"/>
    </xf>
    <xf numFmtId="3" fontId="129" fillId="0" borderId="189" xfId="374" applyNumberFormat="1" applyFont="1" applyFill="1" applyBorder="1" applyAlignment="1">
      <alignment horizontal="right" indent="1"/>
    </xf>
    <xf numFmtId="3" fontId="128" fillId="0" borderId="190" xfId="374" applyNumberFormat="1" applyFont="1" applyFill="1" applyBorder="1" applyAlignment="1">
      <alignment horizontal="right" indent="1"/>
    </xf>
    <xf numFmtId="3" fontId="178" fillId="0" borderId="13" xfId="374" applyNumberFormat="1" applyFont="1" applyFill="1" applyBorder="1" applyAlignment="1">
      <alignment horizontal="right" indent="1"/>
    </xf>
    <xf numFmtId="3" fontId="178" fillId="0" borderId="14" xfId="374" applyNumberFormat="1" applyFont="1" applyFill="1" applyBorder="1" applyAlignment="1">
      <alignment horizontal="right" indent="1"/>
    </xf>
    <xf numFmtId="3" fontId="178" fillId="0" borderId="10" xfId="374" applyNumberFormat="1" applyFont="1" applyFill="1" applyBorder="1" applyAlignment="1">
      <alignment horizontal="right" indent="1"/>
    </xf>
    <xf numFmtId="3" fontId="178" fillId="23" borderId="27" xfId="0" applyNumberFormat="1" applyFont="1" applyFill="1" applyBorder="1" applyAlignment="1">
      <alignment horizontal="right" vertical="center" indent="1"/>
    </xf>
    <xf numFmtId="3" fontId="178" fillId="23" borderId="37" xfId="0" applyNumberFormat="1" applyFont="1" applyFill="1" applyBorder="1" applyAlignment="1">
      <alignment horizontal="right" vertical="center" indent="1"/>
    </xf>
    <xf numFmtId="3" fontId="178" fillId="23" borderId="42" xfId="0" applyNumberFormat="1" applyFont="1" applyFill="1" applyBorder="1" applyAlignment="1">
      <alignment horizontal="right" vertical="center" indent="1"/>
    </xf>
    <xf numFmtId="0" fontId="179" fillId="0" borderId="0" xfId="641" applyFont="1" applyFill="1" applyBorder="1" applyAlignment="1">
      <alignment horizontal="center" vertical="center"/>
    </xf>
    <xf numFmtId="0" fontId="179" fillId="23" borderId="0" xfId="640" applyFont="1" applyFill="1" applyBorder="1" applyAlignment="1">
      <alignment horizontal="center" vertical="center"/>
    </xf>
    <xf numFmtId="3" fontId="179" fillId="23" borderId="0" xfId="640" applyNumberFormat="1" applyFont="1" applyFill="1" applyBorder="1" applyAlignment="1">
      <alignment horizontal="right" vertical="center" indent="1"/>
    </xf>
    <xf numFmtId="0" fontId="305" fillId="0" borderId="0" xfId="640" applyFont="1"/>
    <xf numFmtId="0" fontId="129" fillId="0" borderId="46" xfId="463" applyFont="1" applyFill="1" applyBorder="1" applyAlignment="1">
      <alignment horizontal="left" vertical="center"/>
    </xf>
    <xf numFmtId="0" fontId="129" fillId="0" borderId="185" xfId="463" applyFont="1" applyFill="1" applyBorder="1" applyAlignment="1">
      <alignment horizontal="right" vertical="center" indent="1"/>
    </xf>
    <xf numFmtId="0" fontId="128" fillId="23" borderId="48" xfId="463" applyFont="1" applyFill="1" applyBorder="1" applyAlignment="1">
      <alignment horizontal="right" vertical="center" indent="1"/>
    </xf>
    <xf numFmtId="0" fontId="129" fillId="0" borderId="46" xfId="463" applyFont="1" applyFill="1" applyBorder="1" applyAlignment="1">
      <alignment horizontal="right" vertical="center" indent="1"/>
    </xf>
    <xf numFmtId="0" fontId="129" fillId="0" borderId="62" xfId="463" applyFont="1" applyFill="1" applyBorder="1" applyAlignment="1">
      <alignment horizontal="right" vertical="center" indent="1"/>
    </xf>
    <xf numFmtId="0" fontId="178" fillId="0" borderId="48" xfId="463" applyFont="1" applyFill="1" applyBorder="1" applyAlignment="1">
      <alignment horizontal="right" vertical="center" indent="1"/>
    </xf>
    <xf numFmtId="3" fontId="178" fillId="23" borderId="23" xfId="48" applyNumberFormat="1" applyFont="1" applyFill="1" applyBorder="1" applyAlignment="1">
      <alignment horizontal="right" vertical="center" indent="1"/>
    </xf>
    <xf numFmtId="3" fontId="178" fillId="23" borderId="20" xfId="48" applyNumberFormat="1" applyFont="1" applyFill="1" applyBorder="1" applyAlignment="1">
      <alignment horizontal="right" vertical="center" indent="1"/>
    </xf>
    <xf numFmtId="3" fontId="178" fillId="23" borderId="24" xfId="48" applyNumberFormat="1" applyFont="1" applyFill="1" applyBorder="1" applyAlignment="1">
      <alignment horizontal="right" vertical="center" indent="1"/>
    </xf>
    <xf numFmtId="3" fontId="178" fillId="23" borderId="22" xfId="48" applyNumberFormat="1" applyFont="1" applyFill="1" applyBorder="1" applyAlignment="1">
      <alignment horizontal="right" vertical="center" indent="1"/>
    </xf>
    <xf numFmtId="0" fontId="178" fillId="23" borderId="23" xfId="48" applyFont="1" applyFill="1" applyBorder="1" applyAlignment="1">
      <alignment horizontal="center" vertical="center"/>
    </xf>
    <xf numFmtId="0" fontId="289" fillId="0" borderId="0" xfId="0" applyFont="1" applyAlignment="1">
      <alignment vertical="center"/>
    </xf>
    <xf numFmtId="0" fontId="167" fillId="29" borderId="0" xfId="374" applyFont="1" applyFill="1" applyBorder="1" applyAlignment="1">
      <alignment horizontal="left" vertical="center" indent="1"/>
    </xf>
    <xf numFmtId="0" fontId="178" fillId="23" borderId="27" xfId="0" applyFont="1" applyFill="1" applyBorder="1" applyAlignment="1">
      <alignment horizontal="center" vertical="center"/>
    </xf>
    <xf numFmtId="3" fontId="178" fillId="23" borderId="32" xfId="0" applyNumberFormat="1" applyFont="1" applyFill="1" applyBorder="1" applyAlignment="1">
      <alignment horizontal="right" vertical="center" indent="1"/>
    </xf>
    <xf numFmtId="0" fontId="176" fillId="0" borderId="0" xfId="52" applyFont="1" applyFill="1" applyBorder="1" applyAlignment="1">
      <alignment horizontal="center" vertical="center"/>
    </xf>
    <xf numFmtId="0" fontId="167" fillId="0" borderId="0" xfId="52" applyFont="1" applyFill="1" applyBorder="1" applyAlignment="1">
      <alignment horizontal="center" vertical="center"/>
    </xf>
    <xf numFmtId="0" fontId="129" fillId="0" borderId="0" xfId="52" applyFont="1" applyFill="1" applyBorder="1" applyAlignment="1">
      <alignment horizontal="center" vertical="center"/>
    </xf>
    <xf numFmtId="4" fontId="129" fillId="0" borderId="0" xfId="66" applyNumberFormat="1" applyFont="1" applyFill="1" applyBorder="1" applyAlignment="1">
      <alignment horizontal="right" vertical="center" indent="1"/>
    </xf>
    <xf numFmtId="0" fontId="129" fillId="0" borderId="182" xfId="52" applyFont="1" applyFill="1" applyBorder="1" applyAlignment="1">
      <alignment horizontal="center" vertical="center"/>
    </xf>
    <xf numFmtId="179" fontId="178" fillId="23" borderId="27" xfId="0" applyNumberFormat="1" applyFont="1" applyFill="1" applyBorder="1" applyAlignment="1">
      <alignment horizontal="right" vertical="center" indent="1"/>
    </xf>
    <xf numFmtId="179" fontId="178" fillId="23" borderId="32" xfId="0" applyNumberFormat="1" applyFont="1" applyFill="1" applyBorder="1" applyAlignment="1">
      <alignment horizontal="right" vertical="center" indent="1"/>
    </xf>
    <xf numFmtId="179" fontId="178" fillId="23" borderId="42" xfId="0" applyNumberFormat="1" applyFont="1" applyFill="1" applyBorder="1" applyAlignment="1">
      <alignment horizontal="right" vertical="center" indent="1"/>
    </xf>
    <xf numFmtId="0" fontId="178" fillId="23" borderId="32" xfId="631" applyFont="1" applyFill="1" applyBorder="1" applyAlignment="1">
      <alignment horizontal="center" vertical="center"/>
    </xf>
    <xf numFmtId="179" fontId="178" fillId="23" borderId="27" xfId="631" applyNumberFormat="1" applyFont="1" applyFill="1" applyBorder="1" applyAlignment="1">
      <alignment horizontal="right" vertical="center" indent="1"/>
    </xf>
    <xf numFmtId="179" fontId="178" fillId="23" borderId="32" xfId="631" applyNumberFormat="1" applyFont="1" applyFill="1" applyBorder="1" applyAlignment="1">
      <alignment horizontal="right" vertical="center" indent="1"/>
    </xf>
    <xf numFmtId="0" fontId="128" fillId="23" borderId="18" xfId="0" applyFont="1" applyFill="1" applyBorder="1" applyAlignment="1">
      <alignment horizontal="center" vertical="center"/>
    </xf>
    <xf numFmtId="0" fontId="177" fillId="0" borderId="18" xfId="0" applyFont="1" applyFill="1" applyBorder="1" applyAlignment="1">
      <alignment horizontal="center" vertical="center" wrapText="1"/>
    </xf>
    <xf numFmtId="0" fontId="175" fillId="0" borderId="182" xfId="0" applyFont="1" applyFill="1" applyBorder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76" fillId="0" borderId="182" xfId="0" applyFont="1" applyFill="1" applyBorder="1" applyAlignment="1">
      <alignment horizontal="center" vertical="center"/>
    </xf>
    <xf numFmtId="0" fontId="179" fillId="0" borderId="182" xfId="0" applyFont="1" applyFill="1" applyBorder="1" applyAlignment="1">
      <alignment horizontal="center" vertical="center"/>
    </xf>
    <xf numFmtId="0" fontId="129" fillId="0" borderId="45" xfId="0" applyFont="1" applyBorder="1" applyAlignment="1">
      <alignment horizontal="center" vertical="center" wrapText="1"/>
    </xf>
    <xf numFmtId="0" fontId="129" fillId="0" borderId="46" xfId="0" applyFont="1" applyBorder="1" applyAlignment="1">
      <alignment horizontal="center" vertical="center" wrapText="1"/>
    </xf>
    <xf numFmtId="0" fontId="175" fillId="0" borderId="46" xfId="0" applyFont="1" applyFill="1" applyBorder="1" applyAlignment="1">
      <alignment horizontal="center" vertical="center"/>
    </xf>
    <xf numFmtId="0" fontId="129" fillId="0" borderId="46" xfId="0" applyFont="1" applyFill="1" applyBorder="1" applyAlignment="1">
      <alignment horizontal="center" vertical="center"/>
    </xf>
    <xf numFmtId="0" fontId="176" fillId="0" borderId="46" xfId="0" applyFont="1" applyFill="1" applyBorder="1" applyAlignment="1">
      <alignment horizontal="center" vertical="center"/>
    </xf>
    <xf numFmtId="0" fontId="147" fillId="0" borderId="46" xfId="0" applyFont="1" applyFill="1" applyBorder="1" applyAlignment="1">
      <alignment horizontal="center" vertical="center"/>
    </xf>
    <xf numFmtId="0" fontId="129" fillId="20" borderId="46" xfId="0" applyFont="1" applyFill="1" applyBorder="1" applyAlignment="1">
      <alignment horizontal="center"/>
    </xf>
    <xf numFmtId="0" fontId="147" fillId="0" borderId="46" xfId="0" applyFont="1" applyFill="1" applyBorder="1" applyAlignment="1">
      <alignment vertical="center"/>
    </xf>
    <xf numFmtId="0" fontId="129" fillId="0" borderId="46" xfId="0" applyFont="1" applyBorder="1" applyAlignment="1">
      <alignment vertical="center"/>
    </xf>
    <xf numFmtId="0" fontId="129" fillId="0" borderId="45" xfId="0" applyFont="1" applyFill="1" applyBorder="1" applyAlignment="1">
      <alignment horizontal="left" vertical="center" wrapText="1"/>
    </xf>
    <xf numFmtId="0" fontId="129" fillId="0" borderId="46" xfId="0" applyFont="1" applyFill="1" applyBorder="1" applyAlignment="1">
      <alignment horizontal="left" vertical="center" wrapText="1"/>
    </xf>
    <xf numFmtId="0" fontId="36" fillId="0" borderId="45" xfId="0" applyFont="1" applyFill="1" applyBorder="1" applyAlignment="1">
      <alignment vertical="center"/>
    </xf>
    <xf numFmtId="0" fontId="129" fillId="0" borderId="51" xfId="0" applyFont="1" applyBorder="1" applyAlignment="1">
      <alignment vertical="center"/>
    </xf>
    <xf numFmtId="0" fontId="129" fillId="0" borderId="54" xfId="0" applyFont="1" applyBorder="1" applyAlignment="1">
      <alignment vertical="center"/>
    </xf>
    <xf numFmtId="0" fontId="129" fillId="0" borderId="65" xfId="0" applyFont="1" applyBorder="1" applyAlignment="1">
      <alignment horizontal="center" vertical="center"/>
    </xf>
    <xf numFmtId="0" fontId="175" fillId="0" borderId="65" xfId="0" applyFont="1" applyFill="1" applyBorder="1" applyAlignment="1">
      <alignment horizontal="center" vertical="center"/>
    </xf>
    <xf numFmtId="0" fontId="176" fillId="0" borderId="65" xfId="0" applyFont="1" applyFill="1" applyBorder="1" applyAlignment="1">
      <alignment horizontal="center" vertical="center"/>
    </xf>
    <xf numFmtId="0" fontId="129" fillId="0" borderId="65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28" fillId="0" borderId="18" xfId="66" applyFont="1" applyFill="1" applyBorder="1" applyAlignment="1">
      <alignment horizontal="center" vertical="center"/>
    </xf>
    <xf numFmtId="0" fontId="137" fillId="0" borderId="29" xfId="374" applyFont="1" applyFill="1" applyBorder="1" applyAlignment="1">
      <alignment vertical="center" wrapText="1"/>
    </xf>
    <xf numFmtId="0" fontId="129" fillId="0" borderId="12" xfId="374" applyFont="1" applyFill="1" applyBorder="1" applyAlignment="1">
      <alignment horizontal="right" vertical="center" indent="1"/>
    </xf>
    <xf numFmtId="0" fontId="129" fillId="0" borderId="0" xfId="374" applyFont="1" applyFill="1" applyBorder="1" applyAlignment="1">
      <alignment horizontal="right" vertical="center" indent="1"/>
    </xf>
    <xf numFmtId="0" fontId="129" fillId="0" borderId="0" xfId="374" applyFont="1" applyBorder="1" applyAlignment="1">
      <alignment vertical="center" wrapText="1"/>
    </xf>
    <xf numFmtId="0" fontId="129" fillId="0" borderId="16" xfId="374" applyFont="1" applyBorder="1" applyAlignment="1">
      <alignment vertical="center" wrapText="1"/>
    </xf>
    <xf numFmtId="0" fontId="129" fillId="0" borderId="17" xfId="374" applyFont="1" applyBorder="1" applyAlignment="1">
      <alignment vertical="center" wrapText="1"/>
    </xf>
    <xf numFmtId="0" fontId="52" fillId="0" borderId="34" xfId="0" applyFont="1" applyBorder="1" applyAlignment="1">
      <alignment vertical="center" wrapText="1"/>
    </xf>
    <xf numFmtId="3" fontId="52" fillId="0" borderId="34" xfId="0" applyNumberFormat="1" applyFont="1" applyBorder="1" applyAlignment="1">
      <alignment horizontal="right" vertical="center" wrapText="1" indent="1"/>
    </xf>
    <xf numFmtId="0" fontId="20" fillId="0" borderId="31" xfId="0" applyFont="1" applyBorder="1" applyAlignment="1">
      <alignment vertical="center" wrapText="1"/>
    </xf>
    <xf numFmtId="0" fontId="73" fillId="23" borderId="18" xfId="0" applyFont="1" applyFill="1" applyBorder="1" applyAlignment="1">
      <alignment horizontal="center" vertical="center" wrapText="1" readingOrder="1"/>
    </xf>
    <xf numFmtId="1" fontId="128" fillId="23" borderId="18" xfId="50" applyNumberFormat="1" applyFont="1" applyFill="1" applyBorder="1" applyAlignment="1">
      <alignment horizontal="center" vertical="center" wrapText="1"/>
    </xf>
    <xf numFmtId="0" fontId="73" fillId="23" borderId="13" xfId="0" applyFont="1" applyFill="1" applyBorder="1" applyAlignment="1">
      <alignment horizontal="center" vertical="center"/>
    </xf>
    <xf numFmtId="0" fontId="128" fillId="23" borderId="32" xfId="374" applyFont="1" applyFill="1" applyBorder="1" applyAlignment="1">
      <alignment horizontal="center" vertical="center" wrapText="1"/>
    </xf>
    <xf numFmtId="3" fontId="129" fillId="23" borderId="27" xfId="374" applyNumberFormat="1" applyFont="1" applyFill="1" applyBorder="1" applyAlignment="1">
      <alignment horizontal="right" vertical="center" wrapText="1" indent="1"/>
    </xf>
    <xf numFmtId="3" fontId="129" fillId="23" borderId="42" xfId="374" applyNumberFormat="1" applyFont="1" applyFill="1" applyBorder="1" applyAlignment="1">
      <alignment horizontal="right" vertical="center" wrapText="1" indent="1"/>
    </xf>
    <xf numFmtId="0" fontId="187" fillId="23" borderId="182" xfId="830" applyFont="1" applyFill="1" applyBorder="1" applyAlignment="1">
      <alignment horizontal="center" vertical="center"/>
    </xf>
    <xf numFmtId="0" fontId="187" fillId="23" borderId="18" xfId="830" applyFont="1" applyFill="1" applyBorder="1" applyAlignment="1">
      <alignment horizontal="center" vertical="center"/>
    </xf>
    <xf numFmtId="0" fontId="129" fillId="20" borderId="30" xfId="0" applyFont="1" applyFill="1" applyBorder="1" applyAlignment="1">
      <alignment horizontal="center"/>
    </xf>
    <xf numFmtId="0" fontId="129" fillId="20" borderId="31" xfId="0" applyFont="1" applyFill="1" applyBorder="1" applyAlignment="1">
      <alignment horizontal="center"/>
    </xf>
    <xf numFmtId="0" fontId="129" fillId="23" borderId="32" xfId="0" applyFont="1" applyFill="1" applyBorder="1" applyAlignment="1">
      <alignment horizontal="center"/>
    </xf>
    <xf numFmtId="0" fontId="129" fillId="23" borderId="32" xfId="0" applyFont="1" applyFill="1" applyBorder="1" applyAlignment="1">
      <alignment horizontal="center" vertical="center"/>
    </xf>
    <xf numFmtId="0" fontId="128" fillId="0" borderId="187" xfId="0" applyFont="1" applyBorder="1" applyAlignment="1">
      <alignment horizontal="center"/>
    </xf>
    <xf numFmtId="3" fontId="129" fillId="0" borderId="182" xfId="0" applyNumberFormat="1" applyFont="1" applyBorder="1" applyAlignment="1">
      <alignment horizontal="right" vertical="center" indent="1"/>
    </xf>
    <xf numFmtId="3" fontId="128" fillId="0" borderId="18" xfId="0" applyNumberFormat="1" applyFont="1" applyBorder="1" applyAlignment="1">
      <alignment horizontal="right" vertical="center" indent="1"/>
    </xf>
    <xf numFmtId="0" fontId="130" fillId="0" borderId="0" xfId="0" applyFont="1"/>
    <xf numFmtId="3" fontId="130" fillId="0" borderId="18" xfId="0" applyNumberFormat="1" applyFont="1" applyBorder="1" applyAlignment="1">
      <alignment horizontal="center" vertical="center"/>
    </xf>
    <xf numFmtId="0" fontId="143" fillId="23" borderId="23" xfId="377" applyFont="1" applyFill="1" applyBorder="1" applyAlignment="1">
      <alignment horizontal="center" vertical="center"/>
    </xf>
    <xf numFmtId="0" fontId="49" fillId="0" borderId="0" xfId="466" applyAlignment="1">
      <alignment horizontal="center"/>
    </xf>
    <xf numFmtId="0" fontId="129" fillId="0" borderId="186" xfId="374" applyFont="1" applyBorder="1" applyAlignment="1">
      <alignment vertical="center"/>
    </xf>
    <xf numFmtId="0" fontId="19" fillId="0" borderId="0" xfId="835"/>
    <xf numFmtId="0" fontId="307" fillId="0" borderId="0" xfId="835" applyFont="1" applyAlignment="1">
      <alignment vertical="center"/>
    </xf>
    <xf numFmtId="0" fontId="189" fillId="0" borderId="0" xfId="835" applyFont="1" applyAlignment="1">
      <alignment horizontal="center" vertical="center"/>
    </xf>
    <xf numFmtId="184" fontId="192" fillId="0" borderId="0" xfId="835" applyNumberFormat="1" applyFont="1" applyAlignment="1">
      <alignment vertical="center"/>
    </xf>
    <xf numFmtId="0" fontId="19" fillId="0" borderId="0" xfId="835" applyFont="1"/>
    <xf numFmtId="0" fontId="128" fillId="23" borderId="182" xfId="835" applyFont="1" applyFill="1" applyBorder="1" applyAlignment="1">
      <alignment horizontal="center" vertical="center"/>
    </xf>
    <xf numFmtId="0" fontId="128" fillId="23" borderId="182" xfId="835" applyFont="1" applyFill="1" applyBorder="1" applyAlignment="1">
      <alignment horizontal="center" vertical="center" wrapText="1"/>
    </xf>
    <xf numFmtId="10" fontId="128" fillId="23" borderId="182" xfId="835" applyNumberFormat="1" applyFont="1" applyFill="1" applyBorder="1" applyAlignment="1">
      <alignment horizontal="center" vertical="center"/>
    </xf>
    <xf numFmtId="10" fontId="128" fillId="23" borderId="182" xfId="835" applyNumberFormat="1" applyFont="1" applyFill="1" applyBorder="1" applyAlignment="1">
      <alignment horizontal="center" vertical="center" wrapText="1"/>
    </xf>
    <xf numFmtId="0" fontId="128" fillId="23" borderId="23" xfId="835" applyFont="1" applyFill="1" applyBorder="1" applyAlignment="1">
      <alignment horizontal="center" vertical="center" wrapText="1"/>
    </xf>
    <xf numFmtId="10" fontId="128" fillId="23" borderId="23" xfId="835" applyNumberFormat="1" applyFont="1" applyFill="1" applyBorder="1" applyAlignment="1">
      <alignment horizontal="center" vertical="center"/>
    </xf>
    <xf numFmtId="0" fontId="19" fillId="0" borderId="182" xfId="835" applyFont="1" applyBorder="1" applyAlignment="1">
      <alignment horizontal="center" vertical="center"/>
    </xf>
    <xf numFmtId="0" fontId="129" fillId="0" borderId="182" xfId="835" applyFont="1" applyBorder="1" applyAlignment="1">
      <alignment horizontal="left" vertical="center" wrapText="1"/>
    </xf>
    <xf numFmtId="3" fontId="147" fillId="0" borderId="184" xfId="835" applyNumberFormat="1" applyFont="1" applyFill="1" applyBorder="1" applyAlignment="1">
      <alignment horizontal="center" vertical="center" wrapText="1" readingOrder="1"/>
    </xf>
    <xf numFmtId="184" fontId="147" fillId="0" borderId="186" xfId="835" applyNumberFormat="1" applyFont="1" applyFill="1" applyBorder="1" applyAlignment="1">
      <alignment horizontal="center" vertical="center" wrapText="1" readingOrder="1"/>
    </xf>
    <xf numFmtId="3" fontId="129" fillId="0" borderId="184" xfId="835" applyNumberFormat="1" applyFont="1" applyFill="1" applyBorder="1" applyAlignment="1">
      <alignment horizontal="center" vertical="center"/>
    </xf>
    <xf numFmtId="184" fontId="129" fillId="0" borderId="186" xfId="835" applyNumberFormat="1" applyFont="1" applyFill="1" applyBorder="1" applyAlignment="1">
      <alignment horizontal="center" vertical="center"/>
    </xf>
    <xf numFmtId="0" fontId="235" fillId="0" borderId="182" xfId="835" applyFont="1" applyBorder="1" applyAlignment="1">
      <alignment horizontal="left" vertical="center" wrapText="1"/>
    </xf>
    <xf numFmtId="0" fontId="129" fillId="0" borderId="184" xfId="835" applyFont="1" applyFill="1" applyBorder="1" applyAlignment="1">
      <alignment horizontal="left" vertical="center"/>
    </xf>
    <xf numFmtId="0" fontId="129" fillId="0" borderId="187" xfId="835" applyFont="1" applyFill="1" applyBorder="1" applyAlignment="1">
      <alignment horizontal="left" vertical="center"/>
    </xf>
    <xf numFmtId="0" fontId="129" fillId="0" borderId="187" xfId="835" applyFont="1" applyBorder="1" applyAlignment="1">
      <alignment horizontal="left" vertical="center" wrapText="1"/>
    </xf>
    <xf numFmtId="3" fontId="128" fillId="23" borderId="182" xfId="835" applyNumberFormat="1" applyFont="1" applyFill="1" applyBorder="1" applyAlignment="1">
      <alignment horizontal="center" vertical="center"/>
    </xf>
    <xf numFmtId="9" fontId="128" fillId="23" borderId="182" xfId="836" applyFont="1" applyFill="1" applyBorder="1" applyAlignment="1">
      <alignment horizontal="center" vertical="center"/>
    </xf>
    <xf numFmtId="3" fontId="146" fillId="23" borderId="182" xfId="835" applyNumberFormat="1" applyFont="1" applyFill="1" applyBorder="1" applyAlignment="1">
      <alignment horizontal="center" vertical="center" wrapText="1" readingOrder="1"/>
    </xf>
    <xf numFmtId="0" fontId="146" fillId="23" borderId="182" xfId="835" applyFont="1" applyFill="1" applyBorder="1" applyAlignment="1">
      <alignment horizontal="center" vertical="center" wrapText="1" readingOrder="1"/>
    </xf>
    <xf numFmtId="170" fontId="132" fillId="23" borderId="182" xfId="836" applyNumberFormat="1" applyFont="1" applyFill="1" applyBorder="1" applyAlignment="1">
      <alignment vertical="center"/>
    </xf>
    <xf numFmtId="184" fontId="128" fillId="23" borderId="182" xfId="835" applyNumberFormat="1" applyFont="1" applyFill="1" applyBorder="1" applyAlignment="1">
      <alignment horizontal="center" vertical="center"/>
    </xf>
    <xf numFmtId="170" fontId="132" fillId="33" borderId="182" xfId="836" applyNumberFormat="1" applyFont="1" applyFill="1" applyBorder="1" applyAlignment="1">
      <alignment vertical="center"/>
    </xf>
    <xf numFmtId="0" fontId="131" fillId="0" borderId="0" xfId="835" applyFont="1" applyFill="1" applyBorder="1" applyAlignment="1">
      <alignment vertical="center"/>
    </xf>
    <xf numFmtId="0" fontId="129" fillId="20" borderId="0" xfId="835" applyFont="1" applyFill="1" applyBorder="1" applyAlignment="1">
      <alignment vertical="center"/>
    </xf>
    <xf numFmtId="0" fontId="129" fillId="20" borderId="0" xfId="835" applyFont="1" applyFill="1" applyBorder="1"/>
    <xf numFmtId="10" fontId="129" fillId="20" borderId="0" xfId="835" applyNumberFormat="1" applyFont="1" applyFill="1" applyBorder="1"/>
    <xf numFmtId="178" fontId="130" fillId="0" borderId="182" xfId="377" applyNumberFormat="1" applyFont="1" applyBorder="1" applyAlignment="1">
      <alignment horizontal="center" vertical="center"/>
    </xf>
    <xf numFmtId="0" fontId="130" fillId="0" borderId="182" xfId="377" applyFont="1" applyBorder="1" applyAlignment="1">
      <alignment horizontal="center" vertical="center"/>
    </xf>
    <xf numFmtId="3" fontId="130" fillId="0" borderId="182" xfId="377" applyNumberFormat="1" applyFont="1" applyBorder="1" applyAlignment="1">
      <alignment horizontal="center" vertical="center"/>
    </xf>
    <xf numFmtId="0" fontId="185" fillId="0" borderId="182" xfId="0" applyFont="1" applyBorder="1" applyAlignment="1">
      <alignment horizontal="center" vertical="center"/>
    </xf>
    <xf numFmtId="3" fontId="185" fillId="0" borderId="182" xfId="0" applyNumberFormat="1" applyFont="1" applyBorder="1" applyAlignment="1">
      <alignment horizontal="center" vertical="center"/>
    </xf>
    <xf numFmtId="178" fontId="130" fillId="0" borderId="182" xfId="0" applyNumberFormat="1" applyFont="1" applyBorder="1" applyAlignment="1">
      <alignment horizontal="center" vertical="center"/>
    </xf>
    <xf numFmtId="3" fontId="130" fillId="0" borderId="182" xfId="0" applyNumberFormat="1" applyFont="1" applyBorder="1" applyAlignment="1">
      <alignment horizontal="center" vertical="center"/>
    </xf>
    <xf numFmtId="0" fontId="130" fillId="0" borderId="182" xfId="0" applyFont="1" applyBorder="1" applyAlignment="1">
      <alignment horizontal="center"/>
    </xf>
    <xf numFmtId="178" fontId="130" fillId="0" borderId="182" xfId="0" applyNumberFormat="1" applyFont="1" applyBorder="1" applyAlignment="1">
      <alignment horizontal="center" vertical="center" wrapText="1"/>
    </xf>
    <xf numFmtId="0" fontId="143" fillId="23" borderId="182" xfId="377" applyFont="1" applyFill="1" applyBorder="1" applyAlignment="1">
      <alignment horizontal="center" vertical="center"/>
    </xf>
    <xf numFmtId="3" fontId="143" fillId="41" borderId="182" xfId="377" applyNumberFormat="1" applyFont="1" applyFill="1" applyBorder="1" applyAlignment="1">
      <alignment horizontal="center" vertical="center"/>
    </xf>
    <xf numFmtId="3" fontId="143" fillId="23" borderId="182" xfId="377" applyNumberFormat="1" applyFont="1" applyFill="1" applyBorder="1" applyAlignment="1">
      <alignment horizontal="center" vertical="center"/>
    </xf>
    <xf numFmtId="0" fontId="130" fillId="0" borderId="0" xfId="0" applyFont="1" applyAlignment="1">
      <alignment wrapText="1"/>
    </xf>
    <xf numFmtId="0" fontId="185" fillId="0" borderId="0" xfId="0" applyFont="1" applyAlignment="1">
      <alignment wrapText="1"/>
    </xf>
    <xf numFmtId="0" fontId="130" fillId="0" borderId="182" xfId="377" applyFont="1" applyBorder="1" applyAlignment="1">
      <alignment horizontal="center"/>
    </xf>
    <xf numFmtId="3" fontId="130" fillId="0" borderId="182" xfId="377" applyNumberFormat="1" applyFont="1" applyBorder="1" applyAlignment="1">
      <alignment horizontal="center"/>
    </xf>
    <xf numFmtId="3" fontId="130" fillId="0" borderId="185" xfId="0" applyNumberFormat="1" applyFont="1" applyBorder="1" applyAlignment="1">
      <alignment horizontal="center"/>
    </xf>
    <xf numFmtId="178" fontId="143" fillId="0" borderId="182" xfId="377" applyNumberFormat="1" applyFont="1" applyBorder="1" applyAlignment="1">
      <alignment horizontal="center" vertical="center"/>
    </xf>
    <xf numFmtId="0" fontId="186" fillId="23" borderId="182" xfId="0" applyFont="1" applyFill="1" applyBorder="1" applyAlignment="1">
      <alignment horizontal="center"/>
    </xf>
    <xf numFmtId="0" fontId="179" fillId="0" borderId="21" xfId="66" applyFont="1" applyBorder="1" applyAlignment="1">
      <alignment horizontal="center" vertical="center"/>
    </xf>
    <xf numFmtId="0" fontId="177" fillId="0" borderId="21" xfId="66" applyFont="1" applyBorder="1" applyAlignment="1">
      <alignment horizontal="center" vertical="center"/>
    </xf>
    <xf numFmtId="0" fontId="176" fillId="0" borderId="185" xfId="66" applyFont="1" applyBorder="1" applyAlignment="1">
      <alignment horizontal="center" vertical="center"/>
    </xf>
    <xf numFmtId="0" fontId="132" fillId="23" borderId="182" xfId="66" applyFont="1" applyFill="1" applyBorder="1" applyAlignment="1">
      <alignment horizontal="center" vertical="center"/>
    </xf>
    <xf numFmtId="0" fontId="132" fillId="23" borderId="185" xfId="66" applyFont="1" applyFill="1" applyBorder="1" applyAlignment="1">
      <alignment horizontal="center" vertical="center"/>
    </xf>
    <xf numFmtId="0" fontId="124" fillId="33" borderId="182" xfId="66" applyFont="1" applyFill="1" applyBorder="1" applyAlignment="1">
      <alignment horizontal="center" vertical="center"/>
    </xf>
    <xf numFmtId="0" fontId="175" fillId="0" borderId="185" xfId="66" applyFont="1" applyBorder="1" applyAlignment="1">
      <alignment horizontal="center" vertical="center"/>
    </xf>
    <xf numFmtId="4" fontId="175" fillId="0" borderId="190" xfId="759" applyNumberFormat="1" applyFont="1" applyBorder="1" applyAlignment="1">
      <alignment vertical="center"/>
    </xf>
    <xf numFmtId="4" fontId="175" fillId="0" borderId="190" xfId="66" applyNumberFormat="1" applyFont="1" applyBorder="1" applyAlignment="1">
      <alignment vertical="center"/>
    </xf>
    <xf numFmtId="0" fontId="147" fillId="0" borderId="21" xfId="66" applyFont="1" applyBorder="1" applyAlignment="1">
      <alignment horizontal="center" vertical="center"/>
    </xf>
    <xf numFmtId="4" fontId="130" fillId="0" borderId="17" xfId="66" applyNumberFormat="1" applyFont="1" applyBorder="1" applyAlignment="1">
      <alignment vertical="center"/>
    </xf>
    <xf numFmtId="4" fontId="130" fillId="0" borderId="22" xfId="66" applyNumberFormat="1" applyFont="1" applyBorder="1" applyAlignment="1">
      <alignment vertical="center"/>
    </xf>
    <xf numFmtId="4" fontId="176" fillId="0" borderId="190" xfId="759" applyNumberFormat="1" applyFont="1" applyBorder="1" applyAlignment="1">
      <alignment vertical="center"/>
    </xf>
    <xf numFmtId="4" fontId="176" fillId="0" borderId="190" xfId="66" applyNumberFormat="1" applyFont="1" applyBorder="1" applyAlignment="1">
      <alignment vertical="center"/>
    </xf>
    <xf numFmtId="0" fontId="147" fillId="0" borderId="23" xfId="66" applyFont="1" applyBorder="1" applyAlignment="1">
      <alignment horizontal="center" vertical="center"/>
    </xf>
    <xf numFmtId="4" fontId="179" fillId="0" borderId="190" xfId="759" applyNumberFormat="1" applyFont="1" applyBorder="1" applyAlignment="1">
      <alignment vertical="center"/>
    </xf>
    <xf numFmtId="4" fontId="179" fillId="0" borderId="190" xfId="66" applyNumberFormat="1" applyFont="1" applyBorder="1" applyAlignment="1">
      <alignment vertical="center"/>
    </xf>
    <xf numFmtId="0" fontId="178" fillId="0" borderId="185" xfId="66" applyFont="1" applyBorder="1" applyAlignment="1">
      <alignment horizontal="center" vertical="center"/>
    </xf>
    <xf numFmtId="4" fontId="178" fillId="0" borderId="190" xfId="759" applyNumberFormat="1" applyFont="1" applyBorder="1" applyAlignment="1">
      <alignment vertical="center"/>
    </xf>
    <xf numFmtId="4" fontId="178" fillId="0" borderId="190" xfId="66" applyNumberFormat="1" applyFont="1" applyBorder="1" applyAlignment="1">
      <alignment vertical="center"/>
    </xf>
    <xf numFmtId="4" fontId="177" fillId="0" borderId="190" xfId="759" applyNumberFormat="1" applyFont="1" applyBorder="1" applyAlignment="1">
      <alignment vertical="center"/>
    </xf>
    <xf numFmtId="4" fontId="177" fillId="0" borderId="190" xfId="66" applyNumberFormat="1" applyFont="1" applyBorder="1" applyAlignment="1">
      <alignment vertical="center"/>
    </xf>
    <xf numFmtId="0" fontId="128" fillId="0" borderId="23" xfId="66" applyFont="1" applyBorder="1" applyAlignment="1">
      <alignment horizontal="center" vertical="center"/>
    </xf>
    <xf numFmtId="4" fontId="132" fillId="23" borderId="182" xfId="66" applyNumberFormat="1" applyFont="1" applyFill="1" applyBorder="1" applyAlignment="1">
      <alignment vertical="center"/>
    </xf>
    <xf numFmtId="0" fontId="70" fillId="0" borderId="0" xfId="66" applyAlignment="1">
      <alignment horizontal="left" vertical="center"/>
    </xf>
    <xf numFmtId="43" fontId="70" fillId="0" borderId="0" xfId="66" applyNumberFormat="1" applyAlignment="1">
      <alignment vertical="center"/>
    </xf>
    <xf numFmtId="4" fontId="314" fillId="0" borderId="182" xfId="759" applyNumberFormat="1" applyFont="1" applyBorder="1" applyAlignment="1">
      <alignment vertical="center"/>
    </xf>
    <xf numFmtId="4" fontId="314" fillId="0" borderId="186" xfId="759" applyNumberFormat="1" applyFont="1" applyBorder="1" applyAlignment="1">
      <alignment vertical="center"/>
    </xf>
    <xf numFmtId="4" fontId="314" fillId="0" borderId="187" xfId="66" applyNumberFormat="1" applyFont="1" applyBorder="1" applyAlignment="1">
      <alignment vertical="center"/>
    </xf>
    <xf numFmtId="0" fontId="314" fillId="0" borderId="184" xfId="66" applyFont="1" applyBorder="1" applyAlignment="1">
      <alignment horizontal="center" vertical="center"/>
    </xf>
    <xf numFmtId="0" fontId="132" fillId="23" borderId="188" xfId="0" applyFont="1" applyFill="1" applyBorder="1" applyAlignment="1">
      <alignment horizontal="center" vertical="center"/>
    </xf>
    <xf numFmtId="0" fontId="43" fillId="23" borderId="185" xfId="0" applyFont="1" applyFill="1" applyBorder="1" applyAlignment="1">
      <alignment horizontal="center" vertical="center"/>
    </xf>
    <xf numFmtId="4" fontId="43" fillId="23" borderId="189" xfId="0" applyNumberFormat="1" applyFont="1" applyFill="1" applyBorder="1"/>
    <xf numFmtId="4" fontId="43" fillId="23" borderId="185" xfId="0" applyNumberFormat="1" applyFont="1" applyFill="1" applyBorder="1"/>
    <xf numFmtId="4" fontId="132" fillId="0" borderId="182" xfId="0" applyNumberFormat="1" applyFont="1" applyBorder="1"/>
    <xf numFmtId="4" fontId="132" fillId="0" borderId="186" xfId="0" applyNumberFormat="1" applyFont="1" applyBorder="1"/>
    <xf numFmtId="0" fontId="315" fillId="0" borderId="0" xfId="374" applyFont="1" applyAlignment="1">
      <alignment vertical="center"/>
    </xf>
    <xf numFmtId="0" fontId="179" fillId="0" borderId="187" xfId="830" applyFont="1" applyFill="1" applyBorder="1" applyAlignment="1">
      <alignment horizontal="center" vertical="center"/>
    </xf>
    <xf numFmtId="0" fontId="177" fillId="0" borderId="187" xfId="830" applyFont="1" applyFill="1" applyBorder="1" applyAlignment="1">
      <alignment horizontal="center" vertical="center"/>
    </xf>
    <xf numFmtId="0" fontId="178" fillId="0" borderId="187" xfId="830" applyFont="1" applyFill="1" applyBorder="1" applyAlignment="1">
      <alignment horizontal="center" vertical="center"/>
    </xf>
    <xf numFmtId="0" fontId="132" fillId="23" borderId="182" xfId="83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175" fillId="0" borderId="187" xfId="830" applyFont="1" applyFill="1" applyBorder="1" applyAlignment="1">
      <alignment horizontal="center" vertical="center"/>
    </xf>
    <xf numFmtId="0" fontId="176" fillId="0" borderId="187" xfId="830" applyFont="1" applyFill="1" applyBorder="1" applyAlignment="1">
      <alignment horizontal="center" vertical="center"/>
    </xf>
    <xf numFmtId="0" fontId="105" fillId="0" borderId="0" xfId="32" applyAlignment="1" applyProtection="1">
      <alignment horizontal="center" vertical="center"/>
    </xf>
    <xf numFmtId="0" fontId="28" fillId="0" borderId="182" xfId="830" applyFont="1" applyBorder="1"/>
    <xf numFmtId="0" fontId="28" fillId="0" borderId="31" xfId="830" applyFont="1" applyBorder="1"/>
    <xf numFmtId="0" fontId="28" fillId="0" borderId="31" xfId="830" applyFont="1" applyBorder="1" applyAlignment="1">
      <alignment horizontal="center" vertical="center"/>
    </xf>
    <xf numFmtId="0" fontId="178" fillId="23" borderId="18" xfId="0" applyFont="1" applyFill="1" applyBorder="1" applyAlignment="1">
      <alignment horizontal="center" vertical="center"/>
    </xf>
    <xf numFmtId="0" fontId="178" fillId="23" borderId="13" xfId="73" applyFont="1" applyFill="1" applyBorder="1" applyAlignment="1">
      <alignment horizontal="right" vertical="center" indent="1"/>
    </xf>
    <xf numFmtId="0" fontId="178" fillId="23" borderId="14" xfId="73" applyFont="1" applyFill="1" applyBorder="1" applyAlignment="1">
      <alignment horizontal="right" vertical="center" indent="1"/>
    </xf>
    <xf numFmtId="0" fontId="178" fillId="23" borderId="10" xfId="73" applyFont="1" applyFill="1" applyBorder="1" applyAlignment="1">
      <alignment horizontal="right" vertical="center" indent="1"/>
    </xf>
    <xf numFmtId="0" fontId="193" fillId="0" borderId="0" xfId="73" applyFont="1" applyAlignment="1">
      <alignment vertical="center"/>
    </xf>
    <xf numFmtId="3" fontId="129" fillId="0" borderId="45" xfId="66" applyNumberFormat="1" applyFont="1" applyBorder="1" applyAlignment="1">
      <alignment horizontal="right" vertical="center" indent="1"/>
    </xf>
    <xf numFmtId="3" fontId="128" fillId="0" borderId="45" xfId="66" applyNumberFormat="1" applyFont="1" applyBorder="1" applyAlignment="1">
      <alignment horizontal="right" vertical="center" indent="1"/>
    </xf>
    <xf numFmtId="3" fontId="129" fillId="0" borderId="46" xfId="66" applyNumberFormat="1" applyFont="1" applyBorder="1" applyAlignment="1">
      <alignment horizontal="right" vertical="center" indent="1"/>
    </xf>
    <xf numFmtId="3" fontId="128" fillId="23" borderId="48" xfId="66" applyNumberFormat="1" applyFont="1" applyFill="1" applyBorder="1" applyAlignment="1">
      <alignment horizontal="right" vertical="center" indent="1"/>
    </xf>
    <xf numFmtId="0" fontId="128" fillId="23" borderId="184" xfId="66" applyFont="1" applyFill="1" applyBorder="1" applyAlignment="1">
      <alignment horizontal="center" vertical="center" wrapText="1"/>
    </xf>
    <xf numFmtId="0" fontId="128" fillId="23" borderId="187" xfId="66" applyFont="1" applyFill="1" applyBorder="1" applyAlignment="1">
      <alignment horizontal="center" vertical="center" wrapText="1"/>
    </xf>
    <xf numFmtId="3" fontId="176" fillId="29" borderId="186" xfId="66" applyNumberFormat="1" applyFont="1" applyFill="1" applyBorder="1" applyAlignment="1">
      <alignment horizontal="right" vertical="center" indent="1"/>
    </xf>
    <xf numFmtId="3" fontId="176" fillId="29" borderId="184" xfId="66" applyNumberFormat="1" applyFont="1" applyFill="1" applyBorder="1" applyAlignment="1">
      <alignment horizontal="right" vertical="center" indent="1"/>
    </xf>
    <xf numFmtId="3" fontId="176" fillId="29" borderId="187" xfId="66" applyNumberFormat="1" applyFont="1" applyFill="1" applyBorder="1" applyAlignment="1">
      <alignment horizontal="right" vertical="center" indent="1"/>
    </xf>
    <xf numFmtId="3" fontId="70" fillId="0" borderId="25" xfId="0" applyNumberFormat="1" applyFont="1" applyBorder="1" applyAlignment="1">
      <alignment horizontal="right" vertical="center"/>
    </xf>
    <xf numFmtId="3" fontId="70" fillId="0" borderId="35" xfId="0" applyNumberFormat="1" applyFont="1" applyBorder="1" applyAlignment="1">
      <alignment horizontal="right" vertical="center"/>
    </xf>
    <xf numFmtId="3" fontId="220" fillId="0" borderId="30" xfId="0" applyNumberFormat="1" applyFont="1" applyBorder="1" applyAlignment="1">
      <alignment horizontal="right" vertical="center"/>
    </xf>
    <xf numFmtId="3" fontId="70" fillId="0" borderId="26" xfId="0" applyNumberFormat="1" applyFont="1" applyBorder="1" applyAlignment="1">
      <alignment horizontal="right" vertical="center"/>
    </xf>
    <xf numFmtId="3" fontId="70" fillId="0" borderId="36" xfId="0" applyNumberFormat="1" applyFont="1" applyBorder="1" applyAlignment="1">
      <alignment horizontal="right" vertical="center"/>
    </xf>
    <xf numFmtId="3" fontId="218" fillId="0" borderId="31" xfId="0" applyNumberFormat="1" applyFont="1" applyBorder="1" applyAlignment="1">
      <alignment horizontal="right" vertical="center"/>
    </xf>
    <xf numFmtId="3" fontId="222" fillId="0" borderId="31" xfId="0" applyNumberFormat="1" applyFont="1" applyBorder="1" applyAlignment="1">
      <alignment horizontal="right" vertical="center"/>
    </xf>
    <xf numFmtId="3" fontId="70" fillId="0" borderId="29" xfId="0" applyNumberFormat="1" applyFont="1" applyBorder="1" applyAlignment="1">
      <alignment horizontal="right" vertical="center"/>
    </xf>
    <xf numFmtId="3" fontId="70" fillId="0" borderId="39" xfId="0" applyNumberFormat="1" applyFont="1" applyBorder="1" applyAlignment="1">
      <alignment horizontal="right" vertical="center"/>
    </xf>
    <xf numFmtId="3" fontId="224" fillId="0" borderId="34" xfId="0" applyNumberFormat="1" applyFont="1" applyBorder="1" applyAlignment="1">
      <alignment horizontal="right" vertical="center"/>
    </xf>
    <xf numFmtId="3" fontId="73" fillId="23" borderId="13" xfId="0" applyNumberFormat="1" applyFont="1" applyFill="1" applyBorder="1" applyAlignment="1">
      <alignment horizontal="right" vertical="center"/>
    </xf>
    <xf numFmtId="3" fontId="73" fillId="23" borderId="14" xfId="0" applyNumberFormat="1" applyFont="1" applyFill="1" applyBorder="1" applyAlignment="1">
      <alignment horizontal="right" vertical="center"/>
    </xf>
    <xf numFmtId="3" fontId="73" fillId="23" borderId="18" xfId="0" applyNumberFormat="1" applyFont="1" applyFill="1" applyBorder="1" applyAlignment="1">
      <alignment horizontal="right" vertical="center"/>
    </xf>
    <xf numFmtId="3" fontId="226" fillId="0" borderId="31" xfId="0" applyNumberFormat="1" applyFont="1" applyBorder="1" applyAlignment="1">
      <alignment horizontal="right" vertical="center"/>
    </xf>
    <xf numFmtId="3" fontId="70" fillId="0" borderId="27" xfId="0" applyNumberFormat="1" applyFont="1" applyBorder="1" applyAlignment="1">
      <alignment horizontal="right" vertical="center"/>
    </xf>
    <xf numFmtId="3" fontId="70" fillId="0" borderId="37" xfId="0" applyNumberFormat="1" applyFont="1" applyBorder="1" applyAlignment="1">
      <alignment horizontal="right" vertical="center"/>
    </xf>
    <xf numFmtId="3" fontId="224" fillId="0" borderId="32" xfId="0" applyNumberFormat="1" applyFont="1" applyBorder="1" applyAlignment="1">
      <alignment horizontal="right" vertical="center"/>
    </xf>
    <xf numFmtId="3" fontId="179" fillId="0" borderId="184" xfId="374" applyNumberFormat="1" applyFont="1" applyFill="1" applyBorder="1" applyAlignment="1">
      <alignment horizontal="right" indent="1"/>
    </xf>
    <xf numFmtId="3" fontId="179" fillId="0" borderId="186" xfId="374" applyNumberFormat="1" applyFont="1" applyFill="1" applyBorder="1" applyAlignment="1">
      <alignment horizontal="right" indent="1"/>
    </xf>
    <xf numFmtId="3" fontId="179" fillId="0" borderId="187" xfId="374" applyNumberFormat="1" applyFont="1" applyFill="1" applyBorder="1" applyAlignment="1">
      <alignment horizontal="right" indent="1"/>
    </xf>
    <xf numFmtId="3" fontId="177" fillId="0" borderId="184" xfId="374" applyNumberFormat="1" applyFont="1" applyFill="1" applyBorder="1" applyAlignment="1">
      <alignment horizontal="right" indent="1"/>
    </xf>
    <xf numFmtId="3" fontId="177" fillId="0" borderId="186" xfId="374" applyNumberFormat="1" applyFont="1" applyFill="1" applyBorder="1" applyAlignment="1">
      <alignment horizontal="right" indent="1"/>
    </xf>
    <xf numFmtId="3" fontId="177" fillId="0" borderId="187" xfId="374" applyNumberFormat="1" applyFont="1" applyFill="1" applyBorder="1" applyAlignment="1">
      <alignment horizontal="right" indent="1"/>
    </xf>
    <xf numFmtId="0" fontId="73" fillId="23" borderId="184" xfId="66" applyFont="1" applyFill="1" applyBorder="1" applyAlignment="1">
      <alignment horizontal="center" vertical="center"/>
    </xf>
    <xf numFmtId="0" fontId="73" fillId="23" borderId="186" xfId="66" applyFont="1" applyFill="1" applyBorder="1" applyAlignment="1">
      <alignment horizontal="center" vertical="center"/>
    </xf>
    <xf numFmtId="0" fontId="73" fillId="23" borderId="187" xfId="66" applyFont="1" applyFill="1" applyBorder="1" applyAlignment="1">
      <alignment horizontal="center" vertical="center"/>
    </xf>
    <xf numFmtId="3" fontId="175" fillId="0" borderId="184" xfId="374" applyNumberFormat="1" applyFont="1" applyFill="1" applyBorder="1" applyAlignment="1">
      <alignment horizontal="right" indent="1"/>
    </xf>
    <xf numFmtId="3" fontId="175" fillId="0" borderId="186" xfId="374" applyNumberFormat="1" applyFont="1" applyFill="1" applyBorder="1" applyAlignment="1">
      <alignment horizontal="right" indent="1"/>
    </xf>
    <xf numFmtId="3" fontId="175" fillId="0" borderId="187" xfId="374" applyNumberFormat="1" applyFont="1" applyFill="1" applyBorder="1" applyAlignment="1">
      <alignment horizontal="right" indent="1"/>
    </xf>
    <xf numFmtId="3" fontId="176" fillId="0" borderId="184" xfId="374" applyNumberFormat="1" applyFont="1" applyFill="1" applyBorder="1" applyAlignment="1">
      <alignment horizontal="right" indent="1"/>
    </xf>
    <xf numFmtId="3" fontId="176" fillId="0" borderId="186" xfId="374" applyNumberFormat="1" applyFont="1" applyFill="1" applyBorder="1" applyAlignment="1">
      <alignment horizontal="right" indent="1"/>
    </xf>
    <xf numFmtId="3" fontId="176" fillId="0" borderId="187" xfId="374" applyNumberFormat="1" applyFont="1" applyFill="1" applyBorder="1" applyAlignment="1">
      <alignment horizontal="right" indent="1"/>
    </xf>
    <xf numFmtId="3" fontId="175" fillId="29" borderId="184" xfId="374" applyNumberFormat="1" applyFont="1" applyFill="1" applyBorder="1" applyAlignment="1">
      <alignment horizontal="right" indent="1"/>
    </xf>
    <xf numFmtId="3" fontId="175" fillId="29" borderId="186" xfId="374" applyNumberFormat="1" applyFont="1" applyFill="1" applyBorder="1" applyAlignment="1">
      <alignment horizontal="right" indent="1"/>
    </xf>
    <xf numFmtId="3" fontId="175" fillId="29" borderId="187" xfId="374" applyNumberFormat="1" applyFont="1" applyFill="1" applyBorder="1" applyAlignment="1">
      <alignment horizontal="right" indent="1"/>
    </xf>
    <xf numFmtId="3" fontId="176" fillId="29" borderId="184" xfId="374" applyNumberFormat="1" applyFont="1" applyFill="1" applyBorder="1" applyAlignment="1">
      <alignment horizontal="right" indent="1"/>
    </xf>
    <xf numFmtId="3" fontId="176" fillId="29" borderId="186" xfId="374" applyNumberFormat="1" applyFont="1" applyFill="1" applyBorder="1" applyAlignment="1">
      <alignment horizontal="right" indent="1"/>
    </xf>
    <xf numFmtId="3" fontId="176" fillId="29" borderId="187" xfId="374" applyNumberFormat="1" applyFont="1" applyFill="1" applyBorder="1" applyAlignment="1">
      <alignment horizontal="right" indent="1"/>
    </xf>
    <xf numFmtId="3" fontId="179" fillId="29" borderId="184" xfId="374" applyNumberFormat="1" applyFont="1" applyFill="1" applyBorder="1" applyAlignment="1">
      <alignment horizontal="right" indent="1"/>
    </xf>
    <xf numFmtId="3" fontId="179" fillId="29" borderId="186" xfId="374" applyNumberFormat="1" applyFont="1" applyFill="1" applyBorder="1" applyAlignment="1">
      <alignment horizontal="right" indent="1"/>
    </xf>
    <xf numFmtId="3" fontId="179" fillId="29" borderId="187" xfId="374" applyNumberFormat="1" applyFont="1" applyFill="1" applyBorder="1" applyAlignment="1">
      <alignment horizontal="right" indent="1"/>
    </xf>
    <xf numFmtId="3" fontId="179" fillId="29" borderId="188" xfId="374" applyNumberFormat="1" applyFont="1" applyFill="1" applyBorder="1" applyAlignment="1">
      <alignment horizontal="right" indent="1"/>
    </xf>
    <xf numFmtId="3" fontId="177" fillId="29" borderId="184" xfId="374" applyNumberFormat="1" applyFont="1" applyFill="1" applyBorder="1" applyAlignment="1">
      <alignment horizontal="right" indent="1"/>
    </xf>
    <xf numFmtId="3" fontId="177" fillId="29" borderId="186" xfId="374" applyNumberFormat="1" applyFont="1" applyFill="1" applyBorder="1" applyAlignment="1">
      <alignment horizontal="right" indent="1"/>
    </xf>
    <xf numFmtId="3" fontId="177" fillId="29" borderId="187" xfId="374" applyNumberFormat="1" applyFont="1" applyFill="1" applyBorder="1" applyAlignment="1">
      <alignment horizontal="right" indent="1"/>
    </xf>
    <xf numFmtId="0" fontId="0" fillId="0" borderId="0" xfId="0" applyAlignment="1">
      <alignment horizontal="right" vertical="center"/>
    </xf>
    <xf numFmtId="0" fontId="129" fillId="0" borderId="0" xfId="0" applyFont="1" applyAlignment="1">
      <alignment horizontal="right" vertical="center"/>
    </xf>
    <xf numFmtId="1" fontId="130" fillId="23" borderId="18" xfId="50" applyNumberFormat="1" applyFont="1" applyFill="1" applyBorder="1" applyAlignment="1">
      <alignment horizontal="center" vertical="center" wrapText="1"/>
    </xf>
    <xf numFmtId="0" fontId="144" fillId="0" borderId="0" xfId="826" applyFont="1" applyBorder="1" applyAlignment="1">
      <alignment horizontal="right" vertical="center"/>
    </xf>
    <xf numFmtId="0" fontId="187" fillId="23" borderId="182" xfId="655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28" fillId="23" borderId="32" xfId="464" applyFont="1" applyFill="1" applyBorder="1" applyAlignment="1">
      <alignment horizontal="center" vertical="center"/>
    </xf>
    <xf numFmtId="0" fontId="129" fillId="23" borderId="34" xfId="655" applyFont="1" applyFill="1" applyBorder="1" applyAlignment="1">
      <alignment horizontal="center" vertical="center"/>
    </xf>
    <xf numFmtId="0" fontId="147" fillId="23" borderId="31" xfId="655" applyFont="1" applyFill="1" applyBorder="1" applyAlignment="1">
      <alignment horizontal="center" vertical="center"/>
    </xf>
    <xf numFmtId="0" fontId="147" fillId="23" borderId="34" xfId="655" applyFont="1" applyFill="1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 wrapText="1"/>
    </xf>
    <xf numFmtId="0" fontId="176" fillId="0" borderId="187" xfId="66" applyFont="1" applyFill="1" applyBorder="1" applyAlignment="1">
      <alignment horizontal="center" vertical="center"/>
    </xf>
    <xf numFmtId="0" fontId="177" fillId="0" borderId="187" xfId="66" applyFont="1" applyFill="1" applyBorder="1" applyAlignment="1">
      <alignment horizontal="center" vertical="center"/>
    </xf>
    <xf numFmtId="0" fontId="175" fillId="0" borderId="187" xfId="66" applyFont="1" applyFill="1" applyBorder="1" applyAlignment="1">
      <alignment horizontal="center" vertical="center"/>
    </xf>
    <xf numFmtId="0" fontId="179" fillId="0" borderId="187" xfId="66" applyFont="1" applyFill="1" applyBorder="1" applyAlignment="1">
      <alignment horizontal="center" vertical="center"/>
    </xf>
    <xf numFmtId="0" fontId="129" fillId="0" borderId="26" xfId="66" applyFont="1" applyBorder="1" applyAlignment="1">
      <alignment horizontal="center" vertical="center"/>
    </xf>
    <xf numFmtId="0" fontId="147" fillId="0" borderId="31" xfId="66" applyFont="1" applyBorder="1" applyAlignment="1">
      <alignment vertical="center"/>
    </xf>
    <xf numFmtId="0" fontId="233" fillId="23" borderId="18" xfId="0" applyFont="1" applyFill="1" applyBorder="1" applyAlignment="1">
      <alignment horizontal="center" vertical="center" wrapText="1"/>
    </xf>
    <xf numFmtId="0" fontId="147" fillId="0" borderId="33" xfId="66" applyFont="1" applyBorder="1" applyAlignment="1">
      <alignment vertical="center"/>
    </xf>
    <xf numFmtId="0" fontId="129" fillId="0" borderId="28" xfId="66" applyFont="1" applyBorder="1" applyAlignment="1">
      <alignment horizontal="center" vertical="center"/>
    </xf>
    <xf numFmtId="0" fontId="129" fillId="0" borderId="38" xfId="66" applyFont="1" applyBorder="1" applyAlignment="1">
      <alignment horizontal="center" vertical="center"/>
    </xf>
    <xf numFmtId="0" fontId="129" fillId="0" borderId="43" xfId="66" applyFont="1" applyBorder="1" applyAlignment="1">
      <alignment horizontal="center" vertical="center"/>
    </xf>
    <xf numFmtId="0" fontId="175" fillId="0" borderId="184" xfId="66" applyFont="1" applyFill="1" applyBorder="1" applyAlignment="1">
      <alignment horizontal="center" vertical="center"/>
    </xf>
    <xf numFmtId="0" fontId="175" fillId="0" borderId="196" xfId="66" applyFont="1" applyFill="1" applyBorder="1" applyAlignment="1">
      <alignment horizontal="center" vertical="center"/>
    </xf>
    <xf numFmtId="0" fontId="176" fillId="0" borderId="184" xfId="66" applyFont="1" applyFill="1" applyBorder="1" applyAlignment="1">
      <alignment horizontal="center" vertical="center"/>
    </xf>
    <xf numFmtId="0" fontId="176" fillId="0" borderId="196" xfId="66" applyFont="1" applyFill="1" applyBorder="1" applyAlignment="1">
      <alignment horizontal="center" vertical="center"/>
    </xf>
    <xf numFmtId="0" fontId="179" fillId="0" borderId="184" xfId="66" applyFont="1" applyFill="1" applyBorder="1" applyAlignment="1">
      <alignment horizontal="center" vertical="center"/>
    </xf>
    <xf numFmtId="0" fontId="179" fillId="0" borderId="196" xfId="66" applyFont="1" applyFill="1" applyBorder="1" applyAlignment="1">
      <alignment horizontal="center" vertical="center"/>
    </xf>
    <xf numFmtId="0" fontId="177" fillId="0" borderId="184" xfId="66" applyFont="1" applyFill="1" applyBorder="1" applyAlignment="1">
      <alignment horizontal="center" vertical="center"/>
    </xf>
    <xf numFmtId="0" fontId="177" fillId="0" borderId="196" xfId="66" applyFont="1" applyFill="1" applyBorder="1" applyAlignment="1">
      <alignment horizontal="center" vertical="center"/>
    </xf>
    <xf numFmtId="0" fontId="110" fillId="0" borderId="0" xfId="0" applyFont="1"/>
    <xf numFmtId="0" fontId="147" fillId="0" borderId="31" xfId="0" applyFont="1" applyBorder="1" applyAlignment="1">
      <alignment horizontal="left" vertical="center" wrapText="1"/>
    </xf>
    <xf numFmtId="0" fontId="129" fillId="20" borderId="68" xfId="0" applyFont="1" applyFill="1" applyBorder="1"/>
    <xf numFmtId="0" fontId="129" fillId="20" borderId="54" xfId="0" applyFont="1" applyFill="1" applyBorder="1"/>
    <xf numFmtId="0" fontId="147" fillId="0" borderId="198" xfId="0" applyFont="1" applyFill="1" applyBorder="1" applyAlignment="1">
      <alignment vertical="center"/>
    </xf>
    <xf numFmtId="0" fontId="129" fillId="0" borderId="59" xfId="0" applyFont="1" applyBorder="1" applyAlignment="1">
      <alignment vertical="center"/>
    </xf>
    <xf numFmtId="0" fontId="129" fillId="0" borderId="199" xfId="0" applyFont="1" applyBorder="1" applyAlignment="1">
      <alignment vertical="center"/>
    </xf>
    <xf numFmtId="0" fontId="129" fillId="0" borderId="198" xfId="0" applyFont="1" applyBorder="1" applyAlignment="1">
      <alignment vertical="center"/>
    </xf>
    <xf numFmtId="0" fontId="129" fillId="20" borderId="62" xfId="0" applyFont="1" applyFill="1" applyBorder="1"/>
    <xf numFmtId="0" fontId="129" fillId="29" borderId="31" xfId="0" applyFont="1" applyFill="1" applyBorder="1" applyAlignment="1">
      <alignment horizontal="center" vertical="center" wrapText="1"/>
    </xf>
    <xf numFmtId="0" fontId="129" fillId="29" borderId="46" xfId="0" applyFont="1" applyFill="1" applyBorder="1" applyAlignment="1">
      <alignment horizontal="center" vertical="center" wrapText="1"/>
    </xf>
    <xf numFmtId="0" fontId="129" fillId="29" borderId="32" xfId="0" applyFont="1" applyFill="1" applyBorder="1" applyAlignment="1">
      <alignment horizontal="center" vertical="center" wrapText="1"/>
    </xf>
    <xf numFmtId="0" fontId="129" fillId="29" borderId="62" xfId="0" applyFont="1" applyFill="1" applyBorder="1" applyAlignment="1">
      <alignment horizontal="center" vertical="center" wrapText="1"/>
    </xf>
    <xf numFmtId="0" fontId="147" fillId="0" borderId="31" xfId="0" applyFont="1" applyBorder="1" applyAlignment="1">
      <alignment vertical="center" wrapTex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33" xfId="52" applyFont="1" applyFill="1" applyBorder="1" applyAlignment="1">
      <alignment horizontal="center" vertical="center"/>
    </xf>
    <xf numFmtId="3" fontId="150" fillId="23" borderId="28" xfId="53" applyNumberFormat="1" applyFont="1" applyFill="1" applyBorder="1" applyAlignment="1">
      <alignment horizontal="right" vertical="center" indent="1"/>
    </xf>
    <xf numFmtId="3" fontId="150" fillId="23" borderId="38" xfId="54" applyNumberFormat="1" applyFont="1" applyFill="1" applyBorder="1" applyAlignment="1">
      <alignment horizontal="right" wrapText="1" indent="1"/>
    </xf>
    <xf numFmtId="3" fontId="128" fillId="23" borderId="43" xfId="66" applyNumberFormat="1" applyFont="1" applyFill="1" applyBorder="1" applyAlignment="1">
      <alignment horizontal="right" vertical="center" indent="1"/>
    </xf>
    <xf numFmtId="3" fontId="129" fillId="23" borderId="200" xfId="0" applyNumberFormat="1" applyFont="1" applyFill="1" applyBorder="1" applyAlignment="1">
      <alignment horizontal="right" indent="1"/>
    </xf>
    <xf numFmtId="3" fontId="129" fillId="23" borderId="201" xfId="0" applyNumberFormat="1" applyFont="1" applyFill="1" applyBorder="1" applyAlignment="1">
      <alignment horizontal="right" indent="1"/>
    </xf>
    <xf numFmtId="0" fontId="129" fillId="0" borderId="199" xfId="52" applyFont="1" applyFill="1" applyBorder="1" applyAlignment="1">
      <alignment horizontal="left" vertical="center"/>
    </xf>
    <xf numFmtId="3" fontId="137" fillId="0" borderId="202" xfId="53" applyNumberFormat="1" applyFont="1" applyFill="1" applyBorder="1" applyAlignment="1">
      <alignment horizontal="right" vertical="center" indent="1"/>
    </xf>
    <xf numFmtId="3" fontId="137" fillId="0" borderId="203" xfId="53" applyNumberFormat="1" applyFont="1" applyFill="1" applyBorder="1" applyAlignment="1">
      <alignment horizontal="right" vertical="center" indent="1"/>
    </xf>
    <xf numFmtId="3" fontId="128" fillId="0" borderId="204" xfId="66" applyNumberFormat="1" applyFont="1" applyFill="1" applyBorder="1" applyAlignment="1">
      <alignment horizontal="right" vertical="center" indent="1"/>
    </xf>
    <xf numFmtId="3" fontId="129" fillId="0" borderId="202" xfId="0" applyNumberFormat="1" applyFont="1" applyBorder="1" applyAlignment="1">
      <alignment horizontal="right" indent="1"/>
    </xf>
    <xf numFmtId="3" fontId="129" fillId="0" borderId="203" xfId="0" applyNumberFormat="1" applyFont="1" applyBorder="1" applyAlignment="1">
      <alignment horizontal="right" indent="1"/>
    </xf>
    <xf numFmtId="3" fontId="137" fillId="0" borderId="35" xfId="53" applyNumberFormat="1" applyFont="1" applyFill="1" applyBorder="1" applyAlignment="1">
      <alignment horizontal="right" vertical="center" indent="1"/>
    </xf>
    <xf numFmtId="3" fontId="128" fillId="0" borderId="35" xfId="66" applyNumberFormat="1" applyFont="1" applyFill="1" applyBorder="1" applyAlignment="1">
      <alignment horizontal="right" vertical="center" indent="1"/>
    </xf>
    <xf numFmtId="3" fontId="128" fillId="0" borderId="40" xfId="66" applyNumberFormat="1" applyFont="1" applyFill="1" applyBorder="1" applyAlignment="1">
      <alignment horizontal="right" vertical="center" indent="1"/>
    </xf>
    <xf numFmtId="3" fontId="129" fillId="0" borderId="202" xfId="66" applyNumberFormat="1" applyFont="1" applyFill="1" applyBorder="1" applyAlignment="1">
      <alignment horizontal="right" vertical="center" indent="1"/>
    </xf>
    <xf numFmtId="3" fontId="129" fillId="0" borderId="203" xfId="66" applyNumberFormat="1" applyFont="1" applyFill="1" applyBorder="1" applyAlignment="1">
      <alignment horizontal="right" vertical="center" indent="1"/>
    </xf>
    <xf numFmtId="3" fontId="129" fillId="0" borderId="202" xfId="66" applyNumberFormat="1" applyFont="1" applyFill="1" applyBorder="1" applyAlignment="1">
      <alignment vertical="center"/>
    </xf>
    <xf numFmtId="0" fontId="176" fillId="29" borderId="186" xfId="52" applyFont="1" applyFill="1" applyBorder="1" applyAlignment="1">
      <alignment vertical="center"/>
    </xf>
    <xf numFmtId="0" fontId="150" fillId="23" borderId="38" xfId="54" applyFont="1" applyFill="1" applyBorder="1" applyAlignment="1">
      <alignment horizontal="right" wrapText="1" indent="1"/>
    </xf>
    <xf numFmtId="0" fontId="137" fillId="0" borderId="202" xfId="54" applyFont="1" applyFill="1" applyBorder="1" applyAlignment="1">
      <alignment horizontal="right" wrapText="1" indent="1"/>
    </xf>
    <xf numFmtId="0" fontId="137" fillId="0" borderId="203" xfId="54" applyFont="1" applyFill="1" applyBorder="1" applyAlignment="1">
      <alignment horizontal="right" wrapText="1" indent="1"/>
    </xf>
    <xf numFmtId="0" fontId="156" fillId="0" borderId="25" xfId="50" applyFont="1" applyFill="1" applyBorder="1" applyAlignment="1">
      <alignment vertical="center" wrapText="1"/>
    </xf>
    <xf numFmtId="0" fontId="128" fillId="23" borderId="28" xfId="52" applyFont="1" applyFill="1" applyBorder="1" applyAlignment="1">
      <alignment horizontal="center" vertical="center"/>
    </xf>
    <xf numFmtId="3" fontId="150" fillId="23" borderId="36" xfId="53" applyNumberFormat="1" applyFont="1" applyFill="1" applyBorder="1" applyAlignment="1">
      <alignment horizontal="right" vertical="center" indent="1"/>
    </xf>
    <xf numFmtId="0" fontId="150" fillId="23" borderId="36" xfId="54" applyFont="1" applyFill="1" applyBorder="1" applyAlignment="1">
      <alignment horizontal="right" wrapText="1" indent="1"/>
    </xf>
    <xf numFmtId="3" fontId="128" fillId="23" borderId="36" xfId="66" applyNumberFormat="1" applyFont="1" applyFill="1" applyBorder="1" applyAlignment="1">
      <alignment horizontal="right" vertical="center" indent="1"/>
    </xf>
    <xf numFmtId="3" fontId="128" fillId="23" borderId="41" xfId="66" applyNumberFormat="1" applyFont="1" applyFill="1" applyBorder="1" applyAlignment="1">
      <alignment horizontal="right" vertical="center" indent="1"/>
    </xf>
    <xf numFmtId="3" fontId="128" fillId="0" borderId="203" xfId="66" applyNumberFormat="1" applyFont="1" applyFill="1" applyBorder="1" applyAlignment="1">
      <alignment horizontal="right" vertical="center" indent="1"/>
    </xf>
    <xf numFmtId="3" fontId="128" fillId="23" borderId="38" xfId="66" applyNumberFormat="1" applyFont="1" applyFill="1" applyBorder="1" applyAlignment="1">
      <alignment horizontal="right" vertical="center" indent="1"/>
    </xf>
    <xf numFmtId="3" fontId="178" fillId="29" borderId="186" xfId="54" applyNumberFormat="1" applyFont="1" applyFill="1" applyBorder="1" applyAlignment="1">
      <alignment horizontal="right" wrapText="1" indent="1"/>
    </xf>
    <xf numFmtId="3" fontId="150" fillId="23" borderId="26" xfId="53" applyNumberFormat="1" applyFont="1" applyFill="1" applyBorder="1" applyAlignment="1">
      <alignment horizontal="right" vertical="center" indent="1"/>
    </xf>
    <xf numFmtId="3" fontId="150" fillId="23" borderId="38" xfId="53" applyNumberFormat="1" applyFont="1" applyFill="1" applyBorder="1" applyAlignment="1">
      <alignment horizontal="right" vertical="center" inden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76" fillId="0" borderId="0" xfId="0" applyFont="1" applyAlignment="1"/>
    <xf numFmtId="0" fontId="76" fillId="0" borderId="0" xfId="48" applyFont="1" applyAlignment="1">
      <alignment vertical="center"/>
    </xf>
    <xf numFmtId="0" fontId="76" fillId="0" borderId="0" xfId="374" applyFont="1" applyAlignment="1"/>
    <xf numFmtId="3" fontId="137" fillId="0" borderId="55" xfId="54" applyNumberFormat="1" applyFont="1" applyFill="1" applyBorder="1" applyAlignment="1">
      <alignment horizontal="right" wrapText="1" indent="1"/>
    </xf>
    <xf numFmtId="3" fontId="137" fillId="0" borderId="47" xfId="54" applyNumberFormat="1" applyFont="1" applyFill="1" applyBorder="1" applyAlignment="1">
      <alignment horizontal="right" wrapText="1" indent="1"/>
    </xf>
    <xf numFmtId="0" fontId="128" fillId="23" borderId="184" xfId="66" applyFont="1" applyFill="1" applyBorder="1" applyAlignment="1">
      <alignment horizontal="center" vertical="center"/>
    </xf>
    <xf numFmtId="0" fontId="128" fillId="23" borderId="186" xfId="66" applyFont="1" applyFill="1" applyBorder="1" applyAlignment="1">
      <alignment horizontal="center" vertical="center"/>
    </xf>
    <xf numFmtId="0" fontId="128" fillId="23" borderId="187" xfId="66" applyFont="1" applyFill="1" applyBorder="1" applyAlignment="1">
      <alignment horizontal="center" vertical="center"/>
    </xf>
    <xf numFmtId="0" fontId="129" fillId="0" borderId="182" xfId="66" applyFont="1" applyBorder="1" applyAlignment="1">
      <alignment horizontal="center" vertical="center"/>
    </xf>
    <xf numFmtId="0" fontId="147" fillId="0" borderId="30" xfId="796" applyFont="1" applyBorder="1" applyAlignment="1"/>
    <xf numFmtId="0" fontId="129" fillId="0" borderId="31" xfId="796" applyFont="1" applyBorder="1" applyAlignment="1"/>
    <xf numFmtId="0" fontId="129" fillId="0" borderId="29" xfId="796" applyFont="1" applyBorder="1" applyAlignment="1"/>
    <xf numFmtId="0" fontId="147" fillId="0" borderId="31" xfId="796" applyFont="1" applyBorder="1" applyAlignment="1"/>
    <xf numFmtId="0" fontId="129" fillId="0" borderId="28" xfId="796" applyFont="1" applyBorder="1" applyAlignment="1"/>
    <xf numFmtId="0" fontId="129" fillId="0" borderId="26" xfId="796" applyFont="1" applyBorder="1" applyAlignment="1"/>
    <xf numFmtId="0" fontId="129" fillId="0" borderId="30" xfId="796" applyFont="1" applyBorder="1" applyAlignment="1"/>
    <xf numFmtId="0" fontId="129" fillId="0" borderId="33" xfId="796" applyFont="1" applyBorder="1" applyAlignment="1"/>
    <xf numFmtId="3" fontId="129" fillId="23" borderId="184" xfId="66" applyNumberFormat="1" applyFont="1" applyFill="1" applyBorder="1" applyAlignment="1">
      <alignment horizontal="center" vertical="center"/>
    </xf>
    <xf numFmtId="3" fontId="129" fillId="23" borderId="186" xfId="66" applyNumberFormat="1" applyFont="1" applyFill="1" applyBorder="1" applyAlignment="1">
      <alignment horizontal="center" vertical="center"/>
    </xf>
    <xf numFmtId="3" fontId="129" fillId="23" borderId="187" xfId="66" applyNumberFormat="1" applyFont="1" applyFill="1" applyBorder="1" applyAlignment="1">
      <alignment horizontal="center" vertical="center"/>
    </xf>
    <xf numFmtId="0" fontId="129" fillId="0" borderId="25" xfId="796" applyFont="1" applyBorder="1" applyAlignment="1"/>
    <xf numFmtId="0" fontId="147" fillId="0" borderId="28" xfId="796" applyFont="1" applyBorder="1" applyAlignment="1"/>
    <xf numFmtId="0" fontId="147" fillId="0" borderId="26" xfId="796" applyFont="1" applyBorder="1" applyAlignment="1"/>
    <xf numFmtId="0" fontId="129" fillId="0" borderId="40" xfId="796" applyFont="1" applyBorder="1" applyAlignment="1"/>
    <xf numFmtId="0" fontId="129" fillId="0" borderId="36" xfId="796" applyFont="1" applyBorder="1" applyAlignment="1"/>
    <xf numFmtId="0" fontId="129" fillId="0" borderId="39" xfId="796" applyFont="1" applyBorder="1" applyAlignment="1"/>
    <xf numFmtId="0" fontId="147" fillId="0" borderId="36" xfId="796" applyFont="1" applyBorder="1" applyAlignment="1"/>
    <xf numFmtId="0" fontId="128" fillId="23" borderId="24" xfId="796" applyFont="1" applyFill="1" applyBorder="1" applyAlignment="1">
      <alignment horizontal="center" vertical="center"/>
    </xf>
    <xf numFmtId="0" fontId="129" fillId="0" borderId="22" xfId="796" applyFont="1" applyBorder="1" applyAlignment="1"/>
    <xf numFmtId="3" fontId="128" fillId="23" borderId="184" xfId="66" applyNumberFormat="1" applyFont="1" applyFill="1" applyBorder="1" applyAlignment="1">
      <alignment horizontal="center" vertical="center"/>
    </xf>
    <xf numFmtId="3" fontId="128" fillId="23" borderId="186" xfId="66" applyNumberFormat="1" applyFont="1" applyFill="1" applyBorder="1" applyAlignment="1">
      <alignment horizontal="center" vertical="center"/>
    </xf>
    <xf numFmtId="3" fontId="128" fillId="23" borderId="187" xfId="66" applyNumberFormat="1" applyFont="1" applyFill="1" applyBorder="1" applyAlignment="1">
      <alignment horizontal="center" vertical="center"/>
    </xf>
    <xf numFmtId="3" fontId="175" fillId="29" borderId="184" xfId="66" applyNumberFormat="1" applyFont="1" applyFill="1" applyBorder="1" applyAlignment="1">
      <alignment horizontal="right" vertical="center" indent="1"/>
    </xf>
    <xf numFmtId="3" fontId="175" fillId="29" borderId="186" xfId="66" applyNumberFormat="1" applyFont="1" applyFill="1" applyBorder="1" applyAlignment="1">
      <alignment horizontal="right" vertical="center" indent="1"/>
    </xf>
    <xf numFmtId="3" fontId="175" fillId="29" borderId="187" xfId="66" applyNumberFormat="1" applyFont="1" applyFill="1" applyBorder="1" applyAlignment="1">
      <alignment horizontal="right" vertical="center" indent="1"/>
    </xf>
    <xf numFmtId="3" fontId="179" fillId="29" borderId="184" xfId="66" applyNumberFormat="1" applyFont="1" applyFill="1" applyBorder="1" applyAlignment="1">
      <alignment horizontal="right" vertical="center" indent="1"/>
    </xf>
    <xf numFmtId="3" fontId="179" fillId="29" borderId="186" xfId="66" applyNumberFormat="1" applyFont="1" applyFill="1" applyBorder="1" applyAlignment="1">
      <alignment horizontal="right" vertical="center" indent="1"/>
    </xf>
    <xf numFmtId="3" fontId="179" fillId="29" borderId="187" xfId="66" applyNumberFormat="1" applyFont="1" applyFill="1" applyBorder="1" applyAlignment="1">
      <alignment horizontal="right" vertical="center" indent="1"/>
    </xf>
    <xf numFmtId="3" fontId="177" fillId="29" borderId="184" xfId="66" applyNumberFormat="1" applyFont="1" applyFill="1" applyBorder="1" applyAlignment="1">
      <alignment horizontal="right" vertical="center" indent="1"/>
    </xf>
    <xf numFmtId="3" fontId="177" fillId="29" borderId="186" xfId="66" applyNumberFormat="1" applyFont="1" applyFill="1" applyBorder="1" applyAlignment="1">
      <alignment horizontal="right" vertical="center" indent="1"/>
    </xf>
    <xf numFmtId="3" fontId="177" fillId="29" borderId="187" xfId="66" applyNumberFormat="1" applyFont="1" applyFill="1" applyBorder="1" applyAlignment="1">
      <alignment horizontal="right" vertical="center" indent="1"/>
    </xf>
    <xf numFmtId="3" fontId="128" fillId="23" borderId="186" xfId="66" applyNumberFormat="1" applyFont="1" applyFill="1" applyBorder="1" applyAlignment="1">
      <alignment horizontal="right" vertical="center" indent="1"/>
    </xf>
    <xf numFmtId="0" fontId="129" fillId="0" borderId="45" xfId="66" applyFont="1" applyBorder="1" applyAlignment="1">
      <alignment horizontal="center" vertical="center"/>
    </xf>
    <xf numFmtId="3" fontId="129" fillId="0" borderId="52" xfId="66" applyNumberFormat="1" applyFont="1" applyBorder="1" applyAlignment="1">
      <alignment horizontal="right" vertical="center" indent="1"/>
    </xf>
    <xf numFmtId="3" fontId="129" fillId="0" borderId="53" xfId="66" applyNumberFormat="1" applyFont="1" applyBorder="1" applyAlignment="1">
      <alignment horizontal="right" vertical="center" indent="1"/>
    </xf>
    <xf numFmtId="3" fontId="129" fillId="0" borderId="51" xfId="66" applyNumberFormat="1" applyFont="1" applyBorder="1" applyAlignment="1">
      <alignment horizontal="right" vertical="center" indent="1"/>
    </xf>
    <xf numFmtId="0" fontId="129" fillId="0" borderId="46" xfId="66" applyFont="1" applyBorder="1" applyAlignment="1">
      <alignment horizontal="center" vertical="center"/>
    </xf>
    <xf numFmtId="3" fontId="129" fillId="0" borderId="47" xfId="66" applyNumberFormat="1" applyFont="1" applyBorder="1" applyAlignment="1">
      <alignment horizontal="right" vertical="center" indent="1"/>
    </xf>
    <xf numFmtId="3" fontId="129" fillId="0" borderId="55" xfId="66" applyNumberFormat="1" applyFont="1" applyBorder="1" applyAlignment="1">
      <alignment horizontal="right" vertical="center" indent="1"/>
    </xf>
    <xf numFmtId="3" fontId="129" fillId="0" borderId="54" xfId="66" applyNumberFormat="1" applyFont="1" applyBorder="1" applyAlignment="1">
      <alignment horizontal="right" vertical="center" indent="1"/>
    </xf>
    <xf numFmtId="0" fontId="129" fillId="0" borderId="62" xfId="66" applyFont="1" applyBorder="1" applyAlignment="1">
      <alignment horizontal="center" vertical="center"/>
    </xf>
    <xf numFmtId="3" fontId="129" fillId="0" borderId="60" xfId="66" applyNumberFormat="1" applyFont="1" applyBorder="1" applyAlignment="1">
      <alignment horizontal="right" vertical="center" indent="1"/>
    </xf>
    <xf numFmtId="3" fontId="129" fillId="0" borderId="61" xfId="66" applyNumberFormat="1" applyFont="1" applyBorder="1" applyAlignment="1">
      <alignment horizontal="right" vertical="center" indent="1"/>
    </xf>
    <xf numFmtId="3" fontId="129" fillId="0" borderId="59" xfId="66" applyNumberFormat="1" applyFont="1" applyBorder="1" applyAlignment="1">
      <alignment horizontal="right" vertical="center" indent="1"/>
    </xf>
    <xf numFmtId="3" fontId="129" fillId="0" borderId="59" xfId="66" applyNumberFormat="1" applyFont="1" applyFill="1" applyBorder="1" applyAlignment="1">
      <alignment horizontal="right" vertical="center" indent="1"/>
    </xf>
    <xf numFmtId="0" fontId="129" fillId="0" borderId="176" xfId="66" applyFont="1" applyFill="1" applyBorder="1" applyAlignment="1">
      <alignment horizontal="center" vertical="center"/>
    </xf>
    <xf numFmtId="0" fontId="129" fillId="0" borderId="21" xfId="66" applyFont="1" applyBorder="1" applyAlignment="1">
      <alignment horizontal="center" vertical="center"/>
    </xf>
    <xf numFmtId="0" fontId="129" fillId="0" borderId="43" xfId="0" applyFont="1" applyBorder="1" applyAlignment="1">
      <alignment wrapText="1"/>
    </xf>
    <xf numFmtId="0" fontId="129" fillId="0" borderId="41" xfId="0" applyFont="1" applyBorder="1" applyAlignment="1">
      <alignment wrapTex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1" fontId="129" fillId="0" borderId="28" xfId="66" applyNumberFormat="1" applyFont="1" applyFill="1" applyBorder="1" applyAlignment="1" applyProtection="1">
      <alignment horizontal="right" vertical="center" indent="1"/>
    </xf>
    <xf numFmtId="1" fontId="129" fillId="0" borderId="26" xfId="66" applyNumberFormat="1" applyFont="1" applyFill="1" applyBorder="1" applyAlignment="1" applyProtection="1">
      <alignment horizontal="right" vertical="center" indent="1"/>
    </xf>
    <xf numFmtId="1" fontId="129" fillId="0" borderId="29" xfId="66" applyNumberFormat="1" applyFont="1" applyFill="1" applyBorder="1" applyAlignment="1" applyProtection="1">
      <alignment horizontal="right" vertical="center" inden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3" fontId="129" fillId="0" borderId="16" xfId="66" applyNumberFormat="1" applyFont="1" applyFill="1" applyBorder="1" applyAlignment="1" applyProtection="1">
      <alignment horizontal="center" vertical="center"/>
      <protection locked="0"/>
    </xf>
    <xf numFmtId="3" fontId="129" fillId="0" borderId="0" xfId="66" applyNumberFormat="1" applyFont="1" applyFill="1" applyBorder="1" applyAlignment="1" applyProtection="1">
      <alignment horizontal="center" vertical="center"/>
      <protection locked="0"/>
    </xf>
    <xf numFmtId="3" fontId="128" fillId="0" borderId="17" xfId="66" applyNumberFormat="1" applyFont="1" applyFill="1" applyBorder="1" applyAlignment="1" applyProtection="1">
      <alignment horizontal="center" vertical="center"/>
    </xf>
    <xf numFmtId="3" fontId="129" fillId="0" borderId="16" xfId="66" applyNumberFormat="1" applyFont="1" applyFill="1" applyBorder="1" applyAlignment="1" applyProtection="1">
      <alignment horizontal="center" vertical="center"/>
    </xf>
    <xf numFmtId="0" fontId="279" fillId="23" borderId="182" xfId="632" applyFont="1" applyFill="1" applyBorder="1" applyAlignment="1">
      <alignment horizontal="center" vertical="center" wrapText="1"/>
    </xf>
    <xf numFmtId="0" fontId="320" fillId="0" borderId="0" xfId="635" applyFont="1" applyAlignment="1">
      <alignment horizontal="center"/>
    </xf>
    <xf numFmtId="0" fontId="281" fillId="0" borderId="0" xfId="45" applyFont="1" applyFill="1" applyBorder="1" applyAlignment="1">
      <alignment horizontal="center"/>
    </xf>
    <xf numFmtId="0" fontId="144" fillId="0" borderId="0" xfId="0" applyFont="1" applyAlignment="1">
      <alignment horizontal="center"/>
    </xf>
    <xf numFmtId="0" fontId="321" fillId="0" borderId="0" xfId="632" applyFont="1" applyFill="1" applyBorder="1"/>
    <xf numFmtId="0" fontId="233" fillId="0" borderId="0" xfId="632" applyFont="1" applyFill="1" applyBorder="1"/>
    <xf numFmtId="0" fontId="233" fillId="20" borderId="176" xfId="632" applyFont="1" applyFill="1" applyBorder="1" applyAlignment="1">
      <alignment horizontal="center" vertical="center"/>
    </xf>
    <xf numFmtId="0" fontId="196" fillId="20" borderId="205" xfId="632" applyFont="1" applyFill="1" applyBorder="1" applyAlignment="1">
      <alignment horizontal="center" vertical="center"/>
    </xf>
    <xf numFmtId="0" fontId="196" fillId="20" borderId="206" xfId="632" applyFont="1" applyFill="1" applyBorder="1" applyAlignment="1">
      <alignment horizontal="center" vertical="center"/>
    </xf>
    <xf numFmtId="0" fontId="196" fillId="20" borderId="207" xfId="632" applyFont="1" applyFill="1" applyBorder="1" applyAlignment="1">
      <alignment horizontal="center" vertical="center"/>
    </xf>
    <xf numFmtId="3" fontId="254" fillId="20" borderId="0" xfId="632" applyNumberFormat="1" applyFont="1" applyFill="1" applyBorder="1" applyAlignment="1">
      <alignment horizontal="right" vertical="center" indent="1"/>
    </xf>
    <xf numFmtId="0" fontId="254" fillId="0" borderId="0" xfId="632" applyFont="1"/>
    <xf numFmtId="3" fontId="46" fillId="20" borderId="208" xfId="632" applyNumberFormat="1" applyFill="1" applyBorder="1" applyAlignment="1">
      <alignment horizontal="right" vertical="center" indent="1"/>
    </xf>
    <xf numFmtId="3" fontId="46" fillId="20" borderId="209" xfId="632" applyNumberFormat="1" applyFill="1" applyBorder="1" applyAlignment="1">
      <alignment horizontal="right" vertical="center" indent="1"/>
    </xf>
    <xf numFmtId="3" fontId="46" fillId="20" borderId="210" xfId="632" applyNumberFormat="1" applyFill="1" applyBorder="1" applyAlignment="1">
      <alignment horizontal="right" vertical="center" indent="1"/>
    </xf>
    <xf numFmtId="3" fontId="46" fillId="20" borderId="211" xfId="632" applyNumberFormat="1" applyFill="1" applyBorder="1" applyAlignment="1">
      <alignment horizontal="right" vertical="center" indent="1"/>
    </xf>
    <xf numFmtId="3" fontId="46" fillId="20" borderId="212" xfId="632" applyNumberFormat="1" applyFill="1" applyBorder="1" applyAlignment="1">
      <alignment horizontal="right" vertical="center" indent="1"/>
    </xf>
    <xf numFmtId="3" fontId="46" fillId="20" borderId="168" xfId="632" applyNumberFormat="1" applyFill="1" applyBorder="1" applyAlignment="1">
      <alignment horizontal="right" vertical="center" indent="1"/>
    </xf>
    <xf numFmtId="3" fontId="46" fillId="20" borderId="169" xfId="632" applyNumberFormat="1" applyFill="1" applyBorder="1" applyAlignment="1">
      <alignment horizontal="right" vertical="center" indent="1"/>
    </xf>
    <xf numFmtId="3" fontId="46" fillId="20" borderId="213" xfId="632" applyNumberFormat="1" applyFill="1" applyBorder="1" applyAlignment="1">
      <alignment horizontal="right" vertical="center" indent="1"/>
    </xf>
    <xf numFmtId="3" fontId="46" fillId="20" borderId="214" xfId="632" applyNumberFormat="1" applyFill="1" applyBorder="1" applyAlignment="1">
      <alignment horizontal="right" vertical="center" indent="1"/>
    </xf>
    <xf numFmtId="3" fontId="46" fillId="20" borderId="215" xfId="632" applyNumberFormat="1" applyFill="1" applyBorder="1" applyAlignment="1">
      <alignment horizontal="right" vertical="center" indent="1"/>
    </xf>
    <xf numFmtId="3" fontId="46" fillId="20" borderId="216" xfId="632" applyNumberFormat="1" applyFill="1" applyBorder="1" applyAlignment="1">
      <alignment horizontal="right" vertical="center" indent="1"/>
    </xf>
    <xf numFmtId="3" fontId="46" fillId="20" borderId="217" xfId="632" applyNumberFormat="1" applyFill="1" applyBorder="1" applyAlignment="1">
      <alignment horizontal="right" vertical="center" indent="1"/>
    </xf>
    <xf numFmtId="0" fontId="128" fillId="0" borderId="23" xfId="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28" fillId="0" borderId="184" xfId="830" applyFont="1" applyBorder="1"/>
    <xf numFmtId="0" fontId="18" fillId="0" borderId="25" xfId="830" applyFont="1" applyBorder="1"/>
    <xf numFmtId="0" fontId="18" fillId="0" borderId="26" xfId="830" applyFont="1" applyBorder="1"/>
    <xf numFmtId="0" fontId="28" fillId="0" borderId="26" xfId="830" applyFont="1" applyBorder="1"/>
    <xf numFmtId="0" fontId="28" fillId="0" borderId="30" xfId="830" applyFont="1" applyBorder="1" applyAlignment="1">
      <alignment horizontal="left" vertical="center"/>
    </xf>
    <xf numFmtId="0" fontId="28" fillId="0" borderId="32" xfId="830" applyFont="1" applyBorder="1" applyAlignment="1">
      <alignment horizontal="left" vertical="center"/>
    </xf>
    <xf numFmtId="0" fontId="129" fillId="0" borderId="27" xfId="465" applyFont="1" applyBorder="1" applyAlignment="1"/>
    <xf numFmtId="0" fontId="21" fillId="0" borderId="30" xfId="0" applyFont="1" applyBorder="1" applyAlignment="1">
      <alignment horizontal="left" vertical="center"/>
    </xf>
    <xf numFmtId="0" fontId="21" fillId="0" borderId="32" xfId="0" applyFont="1" applyBorder="1" applyAlignment="1">
      <alignment horizontal="left" vertical="center"/>
    </xf>
    <xf numFmtId="0" fontId="21" fillId="0" borderId="30" xfId="0" applyFont="1" applyFill="1" applyBorder="1" applyAlignment="1">
      <alignment horizontal="left" vertical="center"/>
    </xf>
    <xf numFmtId="0" fontId="21" fillId="20" borderId="31" xfId="0" applyFont="1" applyFill="1" applyBorder="1" applyAlignment="1">
      <alignment horizontal="left" vertical="center"/>
    </xf>
    <xf numFmtId="0" fontId="21" fillId="0" borderId="31" xfId="0" applyFont="1" applyFill="1" applyBorder="1" applyAlignment="1">
      <alignment horizontal="left" vertical="center"/>
    </xf>
    <xf numFmtId="0" fontId="21" fillId="0" borderId="31" xfId="0" applyFont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0" fontId="21" fillId="20" borderId="26" xfId="0" applyFont="1" applyFill="1" applyBorder="1" applyAlignment="1">
      <alignment horizontal="left" vertical="center"/>
    </xf>
    <xf numFmtId="0" fontId="21" fillId="0" borderId="26" xfId="0" applyFont="1" applyBorder="1" applyAlignment="1">
      <alignment horizontal="left" vertical="center"/>
    </xf>
    <xf numFmtId="0" fontId="21" fillId="0" borderId="26" xfId="0" applyFont="1" applyFill="1" applyBorder="1" applyAlignment="1">
      <alignment horizontal="left" vertical="center"/>
    </xf>
    <xf numFmtId="0" fontId="21" fillId="0" borderId="27" xfId="0" applyFont="1" applyFill="1" applyBorder="1" applyAlignment="1">
      <alignment horizontal="left" vertical="center"/>
    </xf>
    <xf numFmtId="0" fontId="129" fillId="0" borderId="26" xfId="465" applyFont="1" applyBorder="1" applyAlignment="1"/>
    <xf numFmtId="0" fontId="129" fillId="0" borderId="184" xfId="0" applyFont="1" applyBorder="1" applyAlignment="1">
      <alignment horizontal="center" vertical="center"/>
    </xf>
    <xf numFmtId="0" fontId="129" fillId="0" borderId="187" xfId="0" applyFont="1" applyBorder="1" applyAlignment="1">
      <alignment horizontal="center" vertical="center"/>
    </xf>
    <xf numFmtId="0" fontId="129" fillId="0" borderId="0" xfId="0" applyFont="1" applyBorder="1" applyAlignment="1">
      <alignment horizontal="center" vertical="center"/>
    </xf>
    <xf numFmtId="0" fontId="129" fillId="0" borderId="25" xfId="0" applyFont="1" applyBorder="1" applyAlignment="1">
      <alignment horizontal="center" vertical="center"/>
    </xf>
    <xf numFmtId="0" fontId="129" fillId="0" borderId="40" xfId="0" applyFont="1" applyBorder="1" applyAlignment="1">
      <alignment horizontal="center" vertical="center"/>
    </xf>
    <xf numFmtId="0" fontId="129" fillId="0" borderId="27" xfId="0" applyFont="1" applyBorder="1" applyAlignment="1">
      <alignment horizontal="center" vertical="center"/>
    </xf>
    <xf numFmtId="0" fontId="129" fillId="0" borderId="42" xfId="0" applyFont="1" applyBorder="1" applyAlignment="1">
      <alignment horizontal="center" vertical="center"/>
    </xf>
    <xf numFmtId="0" fontId="129" fillId="0" borderId="26" xfId="0" applyFont="1" applyBorder="1" applyAlignment="1">
      <alignment horizontal="center" vertical="center"/>
    </xf>
    <xf numFmtId="0" fontId="129" fillId="0" borderId="41" xfId="0" applyFont="1" applyBorder="1" applyAlignment="1">
      <alignment horizontal="center" vertical="center"/>
    </xf>
    <xf numFmtId="0" fontId="128" fillId="23" borderId="184" xfId="0" applyFont="1" applyFill="1" applyBorder="1" applyAlignment="1">
      <alignment horizontal="center" vertical="center"/>
    </xf>
    <xf numFmtId="0" fontId="128" fillId="23" borderId="187" xfId="0" applyFont="1" applyFill="1" applyBorder="1" applyAlignment="1">
      <alignment horizontal="center" vertical="center"/>
    </xf>
    <xf numFmtId="0" fontId="129" fillId="23" borderId="42" xfId="0" applyFont="1" applyFill="1" applyBorder="1" applyAlignment="1">
      <alignment horizontal="center" vertical="center"/>
    </xf>
    <xf numFmtId="0" fontId="28" fillId="0" borderId="27" xfId="830" applyFont="1" applyBorder="1" applyAlignment="1">
      <alignment horizontal="center" vertical="center"/>
    </xf>
    <xf numFmtId="0" fontId="28" fillId="0" borderId="42" xfId="830" applyFont="1" applyBorder="1" applyAlignment="1">
      <alignment horizontal="center" vertical="center"/>
    </xf>
    <xf numFmtId="0" fontId="168" fillId="0" borderId="184" xfId="830" applyFont="1" applyBorder="1" applyAlignment="1">
      <alignment horizontal="center" vertical="center"/>
    </xf>
    <xf numFmtId="0" fontId="168" fillId="0" borderId="187" xfId="830" applyFont="1" applyBorder="1" applyAlignment="1">
      <alignment horizontal="center" vertical="center"/>
    </xf>
    <xf numFmtId="0" fontId="169" fillId="0" borderId="184" xfId="830" applyFont="1" applyBorder="1" applyAlignment="1">
      <alignment horizontal="center" vertical="center"/>
    </xf>
    <xf numFmtId="0" fontId="169" fillId="0" borderId="187" xfId="830" applyFont="1" applyBorder="1" applyAlignment="1">
      <alignment horizontal="center" vertical="center"/>
    </xf>
    <xf numFmtId="0" fontId="28" fillId="0" borderId="25" xfId="830" applyFont="1" applyFill="1" applyBorder="1" applyAlignment="1">
      <alignment horizontal="center" vertical="center"/>
    </xf>
    <xf numFmtId="0" fontId="28" fillId="0" borderId="40" xfId="830" applyFont="1" applyFill="1" applyBorder="1" applyAlignment="1">
      <alignment horizontal="center" vertical="center"/>
    </xf>
    <xf numFmtId="0" fontId="28" fillId="0" borderId="187" xfId="830" applyFont="1" applyBorder="1"/>
    <xf numFmtId="0" fontId="147" fillId="0" borderId="25" xfId="655" applyFont="1" applyBorder="1" applyAlignment="1">
      <alignment horizontal="center" vertical="center"/>
    </xf>
    <xf numFmtId="0" fontId="147" fillId="0" borderId="40" xfId="655" applyFont="1" applyBorder="1" applyAlignment="1">
      <alignment horizontal="center" vertical="center"/>
    </xf>
    <xf numFmtId="0" fontId="147" fillId="0" borderId="26" xfId="655" applyFont="1" applyBorder="1" applyAlignment="1">
      <alignment horizontal="center" vertical="center"/>
    </xf>
    <xf numFmtId="0" fontId="147" fillId="0" borderId="41" xfId="655" applyFont="1" applyBorder="1" applyAlignment="1">
      <alignment horizontal="center" vertical="center"/>
    </xf>
    <xf numFmtId="0" fontId="147" fillId="0" borderId="29" xfId="655" applyFont="1" applyBorder="1" applyAlignment="1">
      <alignment horizontal="center" vertical="center"/>
    </xf>
    <xf numFmtId="0" fontId="147" fillId="0" borderId="44" xfId="655" applyFont="1" applyBorder="1" applyAlignment="1">
      <alignment horizontal="center" vertical="center"/>
    </xf>
    <xf numFmtId="0" fontId="129" fillId="23" borderId="29" xfId="655" applyFont="1" applyFill="1" applyBorder="1" applyAlignment="1">
      <alignment horizontal="center" vertical="center"/>
    </xf>
    <xf numFmtId="0" fontId="129" fillId="23" borderId="44" xfId="655" applyFont="1" applyFill="1" applyBorder="1" applyAlignment="1">
      <alignment horizontal="center" vertical="center"/>
    </xf>
    <xf numFmtId="0" fontId="147" fillId="23" borderId="26" xfId="655" applyFont="1" applyFill="1" applyBorder="1" applyAlignment="1">
      <alignment horizontal="center" vertical="center"/>
    </xf>
    <xf numFmtId="0" fontId="147" fillId="23" borderId="41" xfId="655" applyFont="1" applyFill="1" applyBorder="1" applyAlignment="1">
      <alignment horizontal="center" vertical="center"/>
    </xf>
    <xf numFmtId="0" fontId="147" fillId="23" borderId="29" xfId="655" applyFont="1" applyFill="1" applyBorder="1" applyAlignment="1">
      <alignment horizontal="center" vertical="center"/>
    </xf>
    <xf numFmtId="0" fontId="147" fillId="23" borderId="44" xfId="655" applyFont="1" applyFill="1" applyBorder="1" applyAlignment="1">
      <alignment horizontal="center" vertical="center"/>
    </xf>
    <xf numFmtId="0" fontId="129" fillId="0" borderId="25" xfId="655" applyFont="1" applyBorder="1" applyAlignment="1">
      <alignment horizontal="center" vertical="center"/>
    </xf>
    <xf numFmtId="0" fontId="129" fillId="0" borderId="40" xfId="655" applyFont="1" applyBorder="1" applyAlignment="1">
      <alignment horizontal="center" vertical="center"/>
    </xf>
    <xf numFmtId="0" fontId="129" fillId="0" borderId="26" xfId="655" applyFont="1" applyBorder="1" applyAlignment="1">
      <alignment horizontal="center" vertical="center"/>
    </xf>
    <xf numFmtId="0" fontId="129" fillId="0" borderId="41" xfId="655" applyFont="1" applyBorder="1" applyAlignment="1">
      <alignment horizontal="center" vertical="center"/>
    </xf>
    <xf numFmtId="0" fontId="129" fillId="0" borderId="29" xfId="655" applyFont="1" applyBorder="1" applyAlignment="1">
      <alignment horizontal="center" vertical="center"/>
    </xf>
    <xf numFmtId="0" fontId="129" fillId="0" borderId="44" xfId="655" applyFont="1" applyBorder="1" applyAlignment="1">
      <alignment horizontal="center" vertical="center"/>
    </xf>
    <xf numFmtId="0" fontId="147" fillId="0" borderId="43" xfId="655" applyFont="1" applyBorder="1" applyAlignment="1">
      <alignment horizontal="center" vertical="center"/>
    </xf>
    <xf numFmtId="3" fontId="129" fillId="23" borderId="26" xfId="66" applyNumberFormat="1" applyFont="1" applyFill="1" applyBorder="1" applyAlignment="1">
      <alignment horizontal="center" vertical="center"/>
    </xf>
    <xf numFmtId="3" fontId="129" fillId="23" borderId="41" xfId="66" applyNumberFormat="1" applyFont="1" applyFill="1" applyBorder="1" applyAlignment="1">
      <alignment horizontal="center" vertical="center"/>
    </xf>
    <xf numFmtId="3" fontId="129" fillId="23" borderId="29" xfId="66" applyNumberFormat="1" applyFont="1" applyFill="1" applyBorder="1" applyAlignment="1">
      <alignment horizontal="center" vertical="center"/>
    </xf>
    <xf numFmtId="3" fontId="129" fillId="23" borderId="44" xfId="66" applyNumberFormat="1" applyFont="1" applyFill="1" applyBorder="1" applyAlignment="1">
      <alignment horizontal="center" vertical="center"/>
    </xf>
    <xf numFmtId="3" fontId="175" fillId="0" borderId="184" xfId="66" applyNumberFormat="1" applyFont="1" applyFill="1" applyBorder="1" applyAlignment="1">
      <alignment horizontal="center" vertical="center"/>
    </xf>
    <xf numFmtId="3" fontId="175" fillId="0" borderId="187" xfId="66" applyNumberFormat="1" applyFont="1" applyFill="1" applyBorder="1" applyAlignment="1">
      <alignment horizontal="center" vertical="center"/>
    </xf>
    <xf numFmtId="3" fontId="179" fillId="0" borderId="184" xfId="66" applyNumberFormat="1" applyFont="1" applyFill="1" applyBorder="1" applyAlignment="1">
      <alignment horizontal="center" vertical="center"/>
    </xf>
    <xf numFmtId="3" fontId="179" fillId="0" borderId="187" xfId="66" applyNumberFormat="1" applyFont="1" applyFill="1" applyBorder="1" applyAlignment="1">
      <alignment horizontal="center" vertical="center"/>
    </xf>
    <xf numFmtId="3" fontId="177" fillId="0" borderId="184" xfId="66" applyNumberFormat="1" applyFont="1" applyFill="1" applyBorder="1" applyAlignment="1">
      <alignment horizontal="center" vertical="center"/>
    </xf>
    <xf numFmtId="3" fontId="177" fillId="0" borderId="187" xfId="66" applyNumberFormat="1" applyFont="1" applyFill="1" applyBorder="1" applyAlignment="1">
      <alignment horizontal="center" vertical="center"/>
    </xf>
    <xf numFmtId="3" fontId="176" fillId="0" borderId="184" xfId="66" applyNumberFormat="1" applyFont="1" applyFill="1" applyBorder="1" applyAlignment="1">
      <alignment horizontal="center" vertical="center"/>
    </xf>
    <xf numFmtId="3" fontId="176" fillId="0" borderId="187" xfId="66" applyNumberFormat="1" applyFont="1" applyFill="1" applyBorder="1" applyAlignment="1">
      <alignment horizontal="center" vertical="center"/>
    </xf>
    <xf numFmtId="3" fontId="178" fillId="0" borderId="184" xfId="66" applyNumberFormat="1" applyFont="1" applyFill="1" applyBorder="1" applyAlignment="1">
      <alignment horizontal="center" vertical="center"/>
    </xf>
    <xf numFmtId="3" fontId="178" fillId="0" borderId="187" xfId="66" applyNumberFormat="1" applyFont="1" applyFill="1" applyBorder="1" applyAlignment="1">
      <alignment horizontal="center" vertical="center"/>
    </xf>
    <xf numFmtId="1" fontId="130" fillId="23" borderId="182" xfId="66" applyNumberFormat="1" applyFont="1" applyFill="1" applyBorder="1" applyAlignment="1">
      <alignment horizontal="center" vertical="center" wrapText="1"/>
    </xf>
    <xf numFmtId="1" fontId="130" fillId="23" borderId="187" xfId="66" applyNumberFormat="1" applyFont="1" applyFill="1" applyBorder="1" applyAlignment="1">
      <alignment horizontal="center" vertical="center" wrapText="1"/>
    </xf>
    <xf numFmtId="0" fontId="185" fillId="23" borderId="182" xfId="830" applyFont="1" applyFill="1" applyBorder="1" applyAlignment="1">
      <alignment horizontal="center" vertical="center"/>
    </xf>
    <xf numFmtId="0" fontId="185" fillId="23" borderId="18" xfId="830" applyFont="1" applyFill="1" applyBorder="1" applyAlignment="1">
      <alignment horizontal="center" vertical="center"/>
    </xf>
    <xf numFmtId="0" fontId="185" fillId="23" borderId="18" xfId="655" applyFont="1" applyFill="1" applyBorder="1" applyAlignment="1">
      <alignment horizontal="center" vertical="center"/>
    </xf>
    <xf numFmtId="0" fontId="16" fillId="0" borderId="31" xfId="0" applyFont="1" applyBorder="1" applyAlignment="1">
      <alignment vertical="center" wrapText="1"/>
    </xf>
    <xf numFmtId="0" fontId="166" fillId="0" borderId="196" xfId="66" applyFont="1" applyFill="1" applyBorder="1" applyAlignment="1">
      <alignment horizontal="center" vertical="center"/>
    </xf>
    <xf numFmtId="0" fontId="175" fillId="0" borderId="197" xfId="66" applyFont="1" applyFill="1" applyBorder="1" applyAlignment="1">
      <alignment horizontal="center" vertical="center" wrapText="1"/>
    </xf>
    <xf numFmtId="1" fontId="175" fillId="0" borderId="184" xfId="66" applyNumberFormat="1" applyFont="1" applyFill="1" applyBorder="1" applyAlignment="1">
      <alignment horizontal="right" vertical="center" indent="1"/>
    </xf>
    <xf numFmtId="1" fontId="175" fillId="0" borderId="196" xfId="66" applyNumberFormat="1" applyFont="1" applyFill="1" applyBorder="1" applyAlignment="1">
      <alignment horizontal="right" vertical="center" indent="1"/>
    </xf>
    <xf numFmtId="1" fontId="175" fillId="0" borderId="197" xfId="66" applyNumberFormat="1" applyFont="1" applyFill="1" applyBorder="1" applyAlignment="1">
      <alignment horizontal="right" vertical="center" indent="1"/>
    </xf>
    <xf numFmtId="0" fontId="167" fillId="0" borderId="196" xfId="66" applyFont="1" applyFill="1" applyBorder="1" applyAlignment="1">
      <alignment horizontal="center" vertical="center"/>
    </xf>
    <xf numFmtId="0" fontId="176" fillId="0" borderId="197" xfId="66" applyFont="1" applyFill="1" applyBorder="1" applyAlignment="1">
      <alignment horizontal="center" vertical="center" wrapText="1"/>
    </xf>
    <xf numFmtId="1" fontId="176" fillId="0" borderId="184" xfId="66" applyNumberFormat="1" applyFont="1" applyFill="1" applyBorder="1" applyAlignment="1">
      <alignment horizontal="right" vertical="center" indent="1"/>
    </xf>
    <xf numFmtId="1" fontId="176" fillId="0" borderId="196" xfId="66" applyNumberFormat="1" applyFont="1" applyFill="1" applyBorder="1" applyAlignment="1">
      <alignment horizontal="right" vertical="center" indent="1"/>
    </xf>
    <xf numFmtId="1" fontId="176" fillId="0" borderId="197" xfId="66" applyNumberFormat="1" applyFont="1" applyFill="1" applyBorder="1" applyAlignment="1">
      <alignment horizontal="right" vertical="center" indent="1"/>
    </xf>
    <xf numFmtId="0" fontId="168" fillId="0" borderId="196" xfId="66" applyFont="1" applyFill="1" applyBorder="1" applyAlignment="1">
      <alignment horizontal="center" vertical="center"/>
    </xf>
    <xf numFmtId="0" fontId="179" fillId="0" borderId="197" xfId="66" applyFont="1" applyFill="1" applyBorder="1" applyAlignment="1">
      <alignment horizontal="center" vertical="center" wrapText="1"/>
    </xf>
    <xf numFmtId="1" fontId="179" fillId="0" borderId="184" xfId="66" applyNumberFormat="1" applyFont="1" applyFill="1" applyBorder="1" applyAlignment="1">
      <alignment horizontal="right" vertical="center" indent="1"/>
    </xf>
    <xf numFmtId="1" fontId="179" fillId="0" borderId="196" xfId="66" applyNumberFormat="1" applyFont="1" applyFill="1" applyBorder="1" applyAlignment="1">
      <alignment horizontal="right" vertical="center" indent="1"/>
    </xf>
    <xf numFmtId="1" fontId="179" fillId="0" borderId="197" xfId="66" applyNumberFormat="1" applyFont="1" applyFill="1" applyBorder="1" applyAlignment="1">
      <alignment horizontal="right" vertical="center" indent="1"/>
    </xf>
    <xf numFmtId="0" fontId="169" fillId="0" borderId="196" xfId="66" applyFont="1" applyFill="1" applyBorder="1" applyAlignment="1">
      <alignment horizontal="center" vertical="center"/>
    </xf>
    <xf numFmtId="0" fontId="177" fillId="0" borderId="197" xfId="66" applyFont="1" applyFill="1" applyBorder="1" applyAlignment="1">
      <alignment horizontal="center" vertical="center" wrapText="1"/>
    </xf>
    <xf numFmtId="1" fontId="177" fillId="0" borderId="184" xfId="66" applyNumberFormat="1" applyFont="1" applyFill="1" applyBorder="1" applyAlignment="1">
      <alignment horizontal="right" vertical="center" indent="1"/>
    </xf>
    <xf numFmtId="1" fontId="177" fillId="0" borderId="196" xfId="66" applyNumberFormat="1" applyFont="1" applyFill="1" applyBorder="1" applyAlignment="1">
      <alignment horizontal="right" vertical="center" indent="1"/>
    </xf>
    <xf numFmtId="1" fontId="177" fillId="0" borderId="197" xfId="66" applyNumberFormat="1" applyFont="1" applyFill="1" applyBorder="1" applyAlignment="1">
      <alignment horizontal="right" vertical="center" indent="1"/>
    </xf>
    <xf numFmtId="0" fontId="175" fillId="0" borderId="197" xfId="796" applyFont="1" applyFill="1" applyBorder="1" applyAlignment="1">
      <alignment horizontal="center" vertical="center"/>
    </xf>
    <xf numFmtId="3" fontId="175" fillId="0" borderId="196" xfId="66" applyNumberFormat="1" applyFont="1" applyFill="1" applyBorder="1" applyAlignment="1">
      <alignment horizontal="center" vertical="center"/>
    </xf>
    <xf numFmtId="3" fontId="175" fillId="0" borderId="197" xfId="66" applyNumberFormat="1" applyFont="1" applyFill="1" applyBorder="1" applyAlignment="1">
      <alignment horizontal="center" vertical="center"/>
    </xf>
    <xf numFmtId="3" fontId="167" fillId="0" borderId="184" xfId="66" applyNumberFormat="1" applyFont="1" applyFill="1" applyBorder="1" applyAlignment="1">
      <alignment horizontal="center" vertical="center"/>
    </xf>
    <xf numFmtId="0" fontId="176" fillId="0" borderId="197" xfId="796" applyFont="1" applyFill="1" applyBorder="1" applyAlignment="1">
      <alignment horizontal="center" vertical="center"/>
    </xf>
    <xf numFmtId="3" fontId="167" fillId="0" borderId="196" xfId="66" applyNumberFormat="1" applyFont="1" applyFill="1" applyBorder="1" applyAlignment="1">
      <alignment horizontal="center" vertical="center"/>
    </xf>
    <xf numFmtId="3" fontId="167" fillId="0" borderId="197" xfId="66" applyNumberFormat="1" applyFont="1" applyFill="1" applyBorder="1" applyAlignment="1">
      <alignment horizontal="center" vertical="center"/>
    </xf>
    <xf numFmtId="3" fontId="176" fillId="0" borderId="196" xfId="66" applyNumberFormat="1" applyFont="1" applyFill="1" applyBorder="1" applyAlignment="1">
      <alignment horizontal="center" vertical="center"/>
    </xf>
    <xf numFmtId="3" fontId="176" fillId="0" borderId="197" xfId="66" applyNumberFormat="1" applyFont="1" applyFill="1" applyBorder="1" applyAlignment="1">
      <alignment horizontal="center" vertical="center"/>
    </xf>
    <xf numFmtId="0" fontId="179" fillId="0" borderId="197" xfId="796" applyFont="1" applyFill="1" applyBorder="1" applyAlignment="1">
      <alignment horizontal="center" vertical="center"/>
    </xf>
    <xf numFmtId="3" fontId="179" fillId="0" borderId="196" xfId="66" applyNumberFormat="1" applyFont="1" applyFill="1" applyBorder="1" applyAlignment="1">
      <alignment horizontal="center" vertical="center"/>
    </xf>
    <xf numFmtId="3" fontId="179" fillId="0" borderId="197" xfId="66" applyNumberFormat="1" applyFont="1" applyFill="1" applyBorder="1" applyAlignment="1">
      <alignment horizontal="center" vertical="center"/>
    </xf>
    <xf numFmtId="0" fontId="177" fillId="0" borderId="197" xfId="796" applyFont="1" applyFill="1" applyBorder="1" applyAlignment="1">
      <alignment horizontal="center" vertical="center"/>
    </xf>
    <xf numFmtId="3" fontId="177" fillId="0" borderId="196" xfId="66" applyNumberFormat="1" applyFont="1" applyFill="1" applyBorder="1" applyAlignment="1">
      <alignment horizontal="center" vertical="center"/>
    </xf>
    <xf numFmtId="3" fontId="177" fillId="0" borderId="197" xfId="66" applyNumberFormat="1" applyFont="1" applyFill="1" applyBorder="1" applyAlignment="1">
      <alignment horizontal="center" vertical="center"/>
    </xf>
    <xf numFmtId="0" fontId="175" fillId="0" borderId="197" xfId="0" applyFont="1" applyFill="1" applyBorder="1" applyAlignment="1">
      <alignment horizontal="center" vertical="center" wrapText="1"/>
    </xf>
    <xf numFmtId="0" fontId="179" fillId="0" borderId="197" xfId="0" applyFont="1" applyFill="1" applyBorder="1" applyAlignment="1">
      <alignment horizontal="center" vertical="center" wrapText="1"/>
    </xf>
    <xf numFmtId="0" fontId="177" fillId="0" borderId="197" xfId="0" applyFont="1" applyFill="1" applyBorder="1" applyAlignment="1">
      <alignment horizontal="center" vertical="center" wrapText="1"/>
    </xf>
    <xf numFmtId="0" fontId="167" fillId="0" borderId="196" xfId="66" applyFont="1" applyFill="1" applyBorder="1" applyAlignment="1">
      <alignment vertical="center"/>
    </xf>
    <xf numFmtId="0" fontId="176" fillId="0" borderId="197" xfId="66" applyFont="1" applyFill="1" applyBorder="1" applyAlignment="1">
      <alignment horizontal="center" vertical="center"/>
    </xf>
    <xf numFmtId="0" fontId="167" fillId="0" borderId="196" xfId="374" applyFont="1" applyFill="1" applyBorder="1" applyAlignment="1">
      <alignment vertical="center"/>
    </xf>
    <xf numFmtId="0" fontId="176" fillId="0" borderId="196" xfId="374" applyFont="1" applyFill="1" applyBorder="1" applyAlignment="1">
      <alignment horizontal="center" vertical="center"/>
    </xf>
    <xf numFmtId="0" fontId="176" fillId="0" borderId="196" xfId="374" applyFont="1" applyFill="1" applyBorder="1" applyAlignment="1">
      <alignment horizontal="right" vertical="center" indent="1"/>
    </xf>
    <xf numFmtId="0" fontId="176" fillId="0" borderId="197" xfId="374" applyFont="1" applyFill="1" applyBorder="1" applyAlignment="1">
      <alignment horizontal="right" vertical="center" indent="1"/>
    </xf>
    <xf numFmtId="0" fontId="169" fillId="0" borderId="196" xfId="374" applyFont="1" applyFill="1" applyBorder="1" applyAlignment="1">
      <alignment horizontal="center" vertical="center"/>
    </xf>
    <xf numFmtId="0" fontId="177" fillId="0" borderId="197" xfId="374" applyFont="1" applyFill="1" applyBorder="1" applyAlignment="1">
      <alignment horizontal="center" vertical="center" wrapText="1"/>
    </xf>
    <xf numFmtId="0" fontId="177" fillId="0" borderId="184" xfId="374" applyFont="1" applyFill="1" applyBorder="1" applyAlignment="1">
      <alignment horizontal="right" vertical="center" indent="1"/>
    </xf>
    <xf numFmtId="0" fontId="177" fillId="0" borderId="196" xfId="374" applyFont="1" applyFill="1" applyBorder="1" applyAlignment="1">
      <alignment horizontal="right" vertical="center" indent="1"/>
    </xf>
    <xf numFmtId="0" fontId="177" fillId="0" borderId="197" xfId="374" applyFont="1" applyFill="1" applyBorder="1" applyAlignment="1">
      <alignment horizontal="right" vertical="center" indent="1"/>
    </xf>
    <xf numFmtId="0" fontId="168" fillId="0" borderId="196" xfId="374" applyFont="1" applyFill="1" applyBorder="1" applyAlignment="1">
      <alignment horizontal="center" vertical="center"/>
    </xf>
    <xf numFmtId="0" fontId="179" fillId="0" borderId="197" xfId="374" applyFont="1" applyFill="1" applyBorder="1" applyAlignment="1">
      <alignment horizontal="center" vertical="center" wrapText="1"/>
    </xf>
    <xf numFmtId="0" fontId="179" fillId="0" borderId="184" xfId="374" applyFont="1" applyFill="1" applyBorder="1" applyAlignment="1">
      <alignment horizontal="right" vertical="center" indent="1"/>
    </xf>
    <xf numFmtId="0" fontId="179" fillId="0" borderId="196" xfId="374" applyFont="1" applyFill="1" applyBorder="1" applyAlignment="1">
      <alignment horizontal="right" vertical="center" indent="1"/>
    </xf>
    <xf numFmtId="0" fontId="179" fillId="0" borderId="197" xfId="374" applyFont="1" applyFill="1" applyBorder="1" applyAlignment="1">
      <alignment horizontal="right" vertical="center" indent="1"/>
    </xf>
    <xf numFmtId="0" fontId="166" fillId="0" borderId="196" xfId="374" applyFont="1" applyFill="1" applyBorder="1" applyAlignment="1">
      <alignment horizontal="center" vertical="center"/>
    </xf>
    <xf numFmtId="0" fontId="175" fillId="0" borderId="197" xfId="374" applyFont="1" applyFill="1" applyBorder="1" applyAlignment="1">
      <alignment horizontal="center" vertical="center" wrapText="1"/>
    </xf>
    <xf numFmtId="0" fontId="175" fillId="0" borderId="184" xfId="374" applyFont="1" applyFill="1" applyBorder="1" applyAlignment="1">
      <alignment horizontal="right" vertical="center" indent="1"/>
    </xf>
    <xf numFmtId="0" fontId="175" fillId="0" borderId="196" xfId="374" applyFont="1" applyFill="1" applyBorder="1" applyAlignment="1">
      <alignment horizontal="right" vertical="center" indent="1"/>
    </xf>
    <xf numFmtId="0" fontId="175" fillId="0" borderId="197" xfId="374" applyFont="1" applyFill="1" applyBorder="1" applyAlignment="1">
      <alignment horizontal="right" vertical="center" indent="1"/>
    </xf>
    <xf numFmtId="0" fontId="166" fillId="0" borderId="196" xfId="0" applyFont="1" applyFill="1" applyBorder="1" applyAlignment="1">
      <alignment horizontal="center" vertical="center" wrapText="1"/>
    </xf>
    <xf numFmtId="3" fontId="175" fillId="0" borderId="182" xfId="0" applyNumberFormat="1" applyFont="1" applyFill="1" applyBorder="1" applyAlignment="1">
      <alignment horizontal="right" vertical="center" wrapText="1" indent="1"/>
    </xf>
    <xf numFmtId="0" fontId="168" fillId="0" borderId="196" xfId="0" applyFont="1" applyFill="1" applyBorder="1" applyAlignment="1">
      <alignment horizontal="center" vertical="center" wrapText="1"/>
    </xf>
    <xf numFmtId="3" fontId="179" fillId="0" borderId="182" xfId="0" applyNumberFormat="1" applyFont="1" applyFill="1" applyBorder="1" applyAlignment="1">
      <alignment horizontal="right" vertical="center" wrapText="1" indent="1"/>
    </xf>
    <xf numFmtId="0" fontId="169" fillId="0" borderId="196" xfId="0" applyFont="1" applyFill="1" applyBorder="1" applyAlignment="1">
      <alignment horizontal="center" vertical="center" wrapText="1"/>
    </xf>
    <xf numFmtId="3" fontId="177" fillId="0" borderId="182" xfId="0" applyNumberFormat="1" applyFont="1" applyFill="1" applyBorder="1" applyAlignment="1">
      <alignment horizontal="right" vertical="center" wrapText="1" indent="1"/>
    </xf>
    <xf numFmtId="0" fontId="167" fillId="0" borderId="196" xfId="0" applyFont="1" applyFill="1" applyBorder="1" applyAlignment="1">
      <alignment horizontal="center" vertical="center" wrapText="1"/>
    </xf>
    <xf numFmtId="0" fontId="176" fillId="0" borderId="197" xfId="0" applyFont="1" applyFill="1" applyBorder="1" applyAlignment="1">
      <alignment horizontal="center" vertical="center" wrapText="1"/>
    </xf>
    <xf numFmtId="3" fontId="176" fillId="0" borderId="182" xfId="0" applyNumberFormat="1" applyFont="1" applyFill="1" applyBorder="1" applyAlignment="1">
      <alignment horizontal="right" vertical="center" wrapText="1" indent="1"/>
    </xf>
    <xf numFmtId="3" fontId="176" fillId="0" borderId="196" xfId="0" applyNumberFormat="1" applyFont="1" applyFill="1" applyBorder="1" applyAlignment="1">
      <alignment horizontal="right" vertical="center" wrapText="1" indent="1"/>
    </xf>
    <xf numFmtId="0" fontId="324" fillId="0" borderId="0" xfId="374" applyFont="1" applyAlignment="1">
      <alignment vertical="center"/>
    </xf>
    <xf numFmtId="0" fontId="131" fillId="0" borderId="0" xfId="374" applyFont="1" applyAlignment="1">
      <alignment vertical="center"/>
    </xf>
    <xf numFmtId="0" fontId="72" fillId="0" borderId="0" xfId="76" applyFont="1" applyAlignment="1">
      <alignment horizontal="center"/>
    </xf>
    <xf numFmtId="0" fontId="150" fillId="23" borderId="18" xfId="76" applyFont="1" applyFill="1" applyBorder="1" applyAlignment="1">
      <alignment horizontal="center" vertical="center" wrapText="1"/>
    </xf>
    <xf numFmtId="0" fontId="129" fillId="23" borderId="23" xfId="826" applyFont="1" applyFill="1" applyBorder="1" applyAlignment="1">
      <alignment horizontal="center" vertical="center" wrapText="1"/>
    </xf>
    <xf numFmtId="0" fontId="160" fillId="0" borderId="0" xfId="827" applyFont="1" applyAlignment="1">
      <alignment horizontal="center"/>
    </xf>
    <xf numFmtId="0" fontId="150" fillId="23" borderId="182" xfId="76" applyFont="1" applyFill="1" applyBorder="1" applyAlignment="1">
      <alignment horizontal="center" vertical="center"/>
    </xf>
    <xf numFmtId="185" fontId="129" fillId="20" borderId="42" xfId="0" applyNumberFormat="1" applyFont="1" applyFill="1" applyBorder="1" applyAlignment="1">
      <alignment horizontal="center" vertical="center"/>
    </xf>
    <xf numFmtId="185" fontId="129" fillId="0" borderId="35" xfId="0" applyNumberFormat="1" applyFont="1" applyFill="1" applyBorder="1" applyAlignment="1">
      <alignment horizontal="center" vertical="center"/>
    </xf>
    <xf numFmtId="185" fontId="294" fillId="0" borderId="41" xfId="0" applyNumberFormat="1" applyFont="1" applyFill="1" applyBorder="1" applyAlignment="1">
      <alignment horizontal="center" vertical="center"/>
    </xf>
    <xf numFmtId="185" fontId="295" fillId="0" borderId="43" xfId="0" applyNumberFormat="1" applyFont="1" applyFill="1" applyBorder="1" applyAlignment="1">
      <alignment horizontal="center" vertical="center"/>
    </xf>
    <xf numFmtId="185" fontId="250" fillId="0" borderId="35" xfId="0" applyNumberFormat="1" applyFont="1" applyBorder="1" applyAlignment="1">
      <alignment horizontal="center" vertical="center"/>
    </xf>
    <xf numFmtId="185" fontId="325" fillId="0" borderId="30" xfId="0" applyNumberFormat="1" applyFont="1" applyBorder="1" applyAlignment="1">
      <alignment horizontal="center" vertical="center"/>
    </xf>
    <xf numFmtId="185" fontId="129" fillId="0" borderId="36" xfId="0" applyNumberFormat="1" applyFont="1" applyBorder="1" applyAlignment="1">
      <alignment horizontal="center" vertical="center"/>
    </xf>
    <xf numFmtId="185" fontId="325" fillId="0" borderId="41" xfId="0" applyNumberFormat="1" applyFont="1" applyBorder="1" applyAlignment="1">
      <alignment horizontal="center" vertical="center"/>
    </xf>
    <xf numFmtId="185" fontId="137" fillId="0" borderId="37" xfId="0" applyNumberFormat="1" applyFont="1" applyBorder="1" applyAlignment="1">
      <alignment horizontal="center"/>
    </xf>
    <xf numFmtId="185" fontId="261" fillId="0" borderId="42" xfId="0" applyNumberFormat="1" applyFont="1" applyBorder="1" applyAlignment="1">
      <alignment horizontal="center" vertical="center"/>
    </xf>
    <xf numFmtId="0" fontId="129" fillId="0" borderId="30" xfId="0" applyFont="1" applyFill="1" applyBorder="1" applyAlignment="1">
      <alignment horizontal="center"/>
    </xf>
    <xf numFmtId="0" fontId="129" fillId="0" borderId="36" xfId="0" applyFont="1" applyFill="1" applyBorder="1" applyAlignment="1">
      <alignment horizontal="center"/>
    </xf>
    <xf numFmtId="0" fontId="129" fillId="0" borderId="31" xfId="0" applyFont="1" applyFill="1" applyBorder="1" applyAlignment="1">
      <alignment horizontal="center"/>
    </xf>
    <xf numFmtId="185" fontId="129" fillId="0" borderId="36" xfId="0" applyNumberFormat="1" applyFont="1" applyFill="1" applyBorder="1" applyAlignment="1">
      <alignment horizontal="center" vertical="center"/>
    </xf>
    <xf numFmtId="185" fontId="129" fillId="0" borderId="31" xfId="0" applyNumberFormat="1" applyFont="1" applyFill="1" applyBorder="1" applyAlignment="1">
      <alignment horizontal="center"/>
    </xf>
    <xf numFmtId="0" fontId="129" fillId="0" borderId="37" xfId="0" applyFont="1" applyFill="1" applyBorder="1" applyAlignment="1">
      <alignment horizontal="center"/>
    </xf>
    <xf numFmtId="0" fontId="129" fillId="0" borderId="32" xfId="0" applyFont="1" applyFill="1" applyBorder="1" applyAlignment="1">
      <alignment horizontal="center"/>
    </xf>
    <xf numFmtId="185" fontId="137" fillId="0" borderId="37" xfId="0" applyNumberFormat="1" applyFont="1" applyFill="1" applyBorder="1" applyAlignment="1">
      <alignment horizontal="center"/>
    </xf>
    <xf numFmtId="185" fontId="129" fillId="0" borderId="32" xfId="0" applyNumberFormat="1" applyFont="1" applyFill="1" applyBorder="1" applyAlignment="1">
      <alignment horizontal="center"/>
    </xf>
    <xf numFmtId="185" fontId="261" fillId="0" borderId="42" xfId="0" applyNumberFormat="1" applyFont="1" applyFill="1" applyBorder="1" applyAlignment="1">
      <alignment horizontal="center" vertical="center"/>
    </xf>
    <xf numFmtId="185" fontId="250" fillId="0" borderId="38" xfId="0" applyNumberFormat="1" applyFont="1" applyBorder="1" applyAlignment="1">
      <alignment horizontal="center" vertical="center"/>
    </xf>
    <xf numFmtId="185" fontId="129" fillId="0" borderId="39" xfId="0" applyNumberFormat="1" applyFont="1" applyBorder="1" applyAlignment="1">
      <alignment horizontal="center" vertical="center"/>
    </xf>
    <xf numFmtId="0" fontId="158" fillId="0" borderId="36" xfId="0" applyFont="1" applyFill="1" applyBorder="1" applyAlignment="1">
      <alignment horizontal="center" vertical="center"/>
    </xf>
    <xf numFmtId="0" fontId="158" fillId="0" borderId="31" xfId="0" applyFont="1" applyFill="1" applyBorder="1" applyAlignment="1">
      <alignment horizontal="center" vertical="center"/>
    </xf>
    <xf numFmtId="185" fontId="158" fillId="0" borderId="36" xfId="0" applyNumberFormat="1" applyFont="1" applyFill="1" applyBorder="1" applyAlignment="1">
      <alignment horizontal="center" vertical="center"/>
    </xf>
    <xf numFmtId="0" fontId="158" fillId="0" borderId="37" xfId="0" applyFont="1" applyFill="1" applyBorder="1" applyAlignment="1">
      <alignment horizontal="center" vertical="center"/>
    </xf>
    <xf numFmtId="0" fontId="158" fillId="0" borderId="32" xfId="0" applyFont="1" applyFill="1" applyBorder="1" applyAlignment="1">
      <alignment horizontal="center" vertical="center"/>
    </xf>
    <xf numFmtId="185" fontId="158" fillId="0" borderId="37" xfId="0" applyNumberFormat="1" applyFont="1" applyFill="1" applyBorder="1" applyAlignment="1">
      <alignment horizontal="center" vertical="center"/>
    </xf>
    <xf numFmtId="185" fontId="326" fillId="0" borderId="42" xfId="0" applyNumberFormat="1" applyFont="1" applyFill="1" applyBorder="1" applyAlignment="1">
      <alignment horizontal="center" vertical="center"/>
    </xf>
    <xf numFmtId="0" fontId="158" fillId="0" borderId="38" xfId="0" applyFont="1" applyFill="1" applyBorder="1" applyAlignment="1">
      <alignment horizontal="center" vertical="center"/>
    </xf>
    <xf numFmtId="0" fontId="158" fillId="0" borderId="33" xfId="0" applyFont="1" applyFill="1" applyBorder="1" applyAlignment="1">
      <alignment horizontal="center" vertical="center"/>
    </xf>
    <xf numFmtId="185" fontId="158" fillId="0" borderId="38" xfId="0" applyNumberFormat="1" applyFont="1" applyFill="1" applyBorder="1" applyAlignment="1">
      <alignment horizontal="center" vertical="center"/>
    </xf>
    <xf numFmtId="185" fontId="296" fillId="0" borderId="43" xfId="0" applyNumberFormat="1" applyFont="1" applyFill="1" applyBorder="1" applyAlignment="1">
      <alignment horizontal="center" vertical="center"/>
    </xf>
    <xf numFmtId="185" fontId="251" fillId="0" borderId="36" xfId="0" applyNumberFormat="1" applyFont="1" applyFill="1" applyBorder="1" applyAlignment="1">
      <alignment horizontal="center" vertical="center"/>
    </xf>
    <xf numFmtId="185" fontId="129" fillId="0" borderId="37" xfId="0" applyNumberFormat="1" applyFont="1" applyFill="1" applyBorder="1" applyAlignment="1">
      <alignment horizontal="center" vertical="center"/>
    </xf>
    <xf numFmtId="185" fontId="129" fillId="0" borderId="35" xfId="0" applyNumberFormat="1" applyFont="1" applyFill="1" applyBorder="1" applyAlignment="1">
      <alignment horizontal="left" vertical="center"/>
    </xf>
    <xf numFmtId="185" fontId="261" fillId="0" borderId="40" xfId="0" applyNumberFormat="1" applyFont="1" applyFill="1" applyBorder="1" applyAlignment="1">
      <alignment horizontal="center" vertical="center"/>
    </xf>
    <xf numFmtId="185" fontId="129" fillId="0" borderId="37" xfId="0" applyNumberFormat="1" applyFont="1" applyFill="1" applyBorder="1" applyAlignment="1">
      <alignment horizontal="left" vertical="center"/>
    </xf>
    <xf numFmtId="185" fontId="200" fillId="0" borderId="40" xfId="0" applyNumberFormat="1" applyFont="1" applyFill="1" applyBorder="1" applyAlignment="1">
      <alignment horizontal="center" vertical="center"/>
    </xf>
    <xf numFmtId="185" fontId="200" fillId="0" borderId="41" xfId="0" applyNumberFormat="1" applyFont="1" applyFill="1" applyBorder="1" applyAlignment="1">
      <alignment horizontal="center" vertical="center"/>
    </xf>
    <xf numFmtId="185" fontId="180" fillId="0" borderId="41" xfId="0" applyNumberFormat="1" applyFont="1" applyFill="1" applyBorder="1" applyAlignment="1">
      <alignment horizontal="center" vertical="center"/>
    </xf>
    <xf numFmtId="185" fontId="327" fillId="0" borderId="41" xfId="0" applyNumberFormat="1" applyFont="1" applyFill="1" applyBorder="1" applyAlignment="1">
      <alignment horizontal="center" vertical="center"/>
    </xf>
    <xf numFmtId="185" fontId="328" fillId="0" borderId="41" xfId="0" applyNumberFormat="1" applyFont="1" applyFill="1" applyBorder="1" applyAlignment="1">
      <alignment horizontal="center" vertical="center"/>
    </xf>
    <xf numFmtId="185" fontId="288" fillId="0" borderId="36" xfId="0" applyNumberFormat="1" applyFont="1" applyFill="1" applyBorder="1" applyAlignment="1">
      <alignment horizontal="center" vertical="center"/>
    </xf>
    <xf numFmtId="185" fontId="328" fillId="0" borderId="32" xfId="0" applyNumberFormat="1" applyFont="1" applyFill="1" applyBorder="1" applyAlignment="1">
      <alignment horizontal="center" vertical="center"/>
    </xf>
    <xf numFmtId="185" fontId="327" fillId="0" borderId="43" xfId="0" applyNumberFormat="1" applyFont="1" applyFill="1" applyBorder="1" applyAlignment="1">
      <alignment horizontal="center" vertical="center"/>
    </xf>
    <xf numFmtId="0" fontId="158" fillId="0" borderId="39" xfId="0" applyFont="1" applyFill="1" applyBorder="1" applyAlignment="1">
      <alignment horizontal="center" vertical="center"/>
    </xf>
    <xf numFmtId="0" fontId="158" fillId="0" borderId="34" xfId="0" applyFont="1" applyFill="1" applyBorder="1" applyAlignment="1">
      <alignment horizontal="center" vertical="center"/>
    </xf>
    <xf numFmtId="185" fontId="158" fillId="0" borderId="39" xfId="0" applyNumberFormat="1" applyFont="1" applyFill="1" applyBorder="1" applyAlignment="1">
      <alignment horizontal="center" vertical="center"/>
    </xf>
    <xf numFmtId="185" fontId="192" fillId="0" borderId="34" xfId="0" applyNumberFormat="1" applyFont="1" applyFill="1" applyBorder="1" applyAlignment="1">
      <alignment horizontal="center" vertical="center"/>
    </xf>
    <xf numFmtId="185" fontId="330" fillId="0" borderId="41" xfId="0" applyNumberFormat="1" applyFont="1" applyFill="1" applyBorder="1" applyAlignment="1">
      <alignment horizontal="center" vertical="center"/>
    </xf>
    <xf numFmtId="0" fontId="15" fillId="0" borderId="0" xfId="76" applyFont="1"/>
    <xf numFmtId="0" fontId="15" fillId="0" borderId="0" xfId="76" applyFont="1" applyAlignment="1">
      <alignment horizontal="center"/>
    </xf>
    <xf numFmtId="0" fontId="150" fillId="0" borderId="20" xfId="76" applyFont="1" applyFill="1" applyBorder="1" applyAlignment="1">
      <alignment horizontal="center" vertical="center" wrapText="1"/>
    </xf>
    <xf numFmtId="0" fontId="150" fillId="0" borderId="22" xfId="76" applyFont="1" applyFill="1" applyBorder="1" applyAlignment="1">
      <alignment horizontal="center" vertical="center" wrapText="1"/>
    </xf>
    <xf numFmtId="0" fontId="150" fillId="23" borderId="184" xfId="76" applyFont="1" applyFill="1" applyBorder="1" applyAlignment="1">
      <alignment horizontal="center"/>
    </xf>
    <xf numFmtId="0" fontId="150" fillId="23" borderId="186" xfId="76" applyFont="1" applyFill="1" applyBorder="1" applyAlignment="1">
      <alignment horizontal="center"/>
    </xf>
    <xf numFmtId="170" fontId="150" fillId="23" borderId="187" xfId="213" applyNumberFormat="1" applyFont="1" applyFill="1" applyBorder="1" applyAlignment="1">
      <alignment horizontal="center"/>
    </xf>
    <xf numFmtId="170" fontId="15" fillId="0" borderId="0" xfId="76" applyNumberFormat="1" applyFont="1"/>
    <xf numFmtId="170" fontId="15" fillId="0" borderId="0" xfId="76" applyNumberFormat="1" applyFont="1" applyBorder="1"/>
    <xf numFmtId="3" fontId="150" fillId="0" borderId="0" xfId="76" applyNumberFormat="1" applyFont="1" applyAlignment="1">
      <alignment horizontal="center" vertical="center"/>
    </xf>
    <xf numFmtId="0" fontId="15" fillId="0" borderId="0" xfId="76" applyFont="1" applyBorder="1"/>
    <xf numFmtId="0" fontId="158" fillId="0" borderId="25" xfId="76" applyFont="1" applyBorder="1" applyAlignment="1">
      <alignment horizontal="center"/>
    </xf>
    <xf numFmtId="0" fontId="158" fillId="0" borderId="26" xfId="76" applyFont="1" applyBorder="1" applyAlignment="1">
      <alignment horizontal="center"/>
    </xf>
    <xf numFmtId="0" fontId="158" fillId="0" borderId="27" xfId="76" applyFont="1" applyBorder="1" applyAlignment="1">
      <alignment horizontal="center"/>
    </xf>
    <xf numFmtId="0" fontId="132" fillId="0" borderId="0" xfId="76" applyFont="1" applyAlignment="1">
      <alignment vertical="center"/>
    </xf>
    <xf numFmtId="0" fontId="150" fillId="0" borderId="0" xfId="76" applyFont="1" applyBorder="1" applyAlignment="1">
      <alignment horizontal="center" vertical="center"/>
    </xf>
    <xf numFmtId="0" fontId="150" fillId="33" borderId="182" xfId="76" applyFont="1" applyFill="1" applyBorder="1" applyAlignment="1">
      <alignment horizontal="center"/>
    </xf>
    <xf numFmtId="170" fontId="150" fillId="33" borderId="187" xfId="213" applyNumberFormat="1" applyFont="1" applyFill="1" applyBorder="1" applyAlignment="1">
      <alignment horizontal="center"/>
    </xf>
    <xf numFmtId="0" fontId="129" fillId="0" borderId="40" xfId="826" applyFont="1" applyFill="1" applyBorder="1" applyAlignment="1">
      <alignment horizontal="left" vertical="center" indent="1"/>
    </xf>
    <xf numFmtId="0" fontId="129" fillId="42" borderId="40" xfId="826" applyFont="1" applyFill="1" applyBorder="1" applyAlignment="1">
      <alignment horizontal="left" vertical="center" indent="1"/>
    </xf>
    <xf numFmtId="0" fontId="129" fillId="42" borderId="30" xfId="826" applyFont="1" applyFill="1" applyBorder="1" applyAlignment="1">
      <alignment horizontal="left" vertical="center" indent="1"/>
    </xf>
    <xf numFmtId="0" fontId="129" fillId="42" borderId="40" xfId="826" applyFont="1" applyFill="1" applyBorder="1" applyAlignment="1">
      <alignment horizontal="center" vertical="center"/>
    </xf>
    <xf numFmtId="0" fontId="129" fillId="42" borderId="41" xfId="826" applyFont="1" applyFill="1" applyBorder="1" applyAlignment="1">
      <alignment horizontal="left" vertical="center" indent="1"/>
    </xf>
    <xf numFmtId="0" fontId="129" fillId="42" borderId="31" xfId="826" applyFont="1" applyFill="1" applyBorder="1" applyAlignment="1">
      <alignment horizontal="center" vertical="center"/>
    </xf>
    <xf numFmtId="0" fontId="129" fillId="42" borderId="41" xfId="826" applyFont="1" applyFill="1" applyBorder="1" applyAlignment="1">
      <alignment horizontal="center" vertical="center"/>
    </xf>
    <xf numFmtId="0" fontId="129" fillId="42" borderId="32" xfId="826" applyFont="1" applyFill="1" applyBorder="1" applyAlignment="1">
      <alignment horizontal="left" vertical="center" indent="1"/>
    </xf>
    <xf numFmtId="0" fontId="129" fillId="42" borderId="32" xfId="826" applyFont="1" applyFill="1" applyBorder="1" applyAlignment="1">
      <alignment horizontal="center" vertical="center"/>
    </xf>
    <xf numFmtId="0" fontId="254" fillId="42" borderId="42" xfId="826" applyFont="1" applyFill="1" applyBorder="1" applyAlignment="1">
      <alignment horizontal="center" vertical="center"/>
    </xf>
    <xf numFmtId="0" fontId="129" fillId="42" borderId="43" xfId="826" applyFont="1" applyFill="1" applyBorder="1" applyAlignment="1">
      <alignment horizontal="left" vertical="center" indent="1"/>
    </xf>
    <xf numFmtId="0" fontId="129" fillId="42" borderId="33" xfId="826" applyFont="1" applyFill="1" applyBorder="1" applyAlignment="1">
      <alignment horizontal="center" vertical="center"/>
    </xf>
    <xf numFmtId="0" fontId="129" fillId="42" borderId="41" xfId="826" applyFont="1" applyFill="1" applyBorder="1" applyAlignment="1">
      <alignment horizontal="center" vertical="center" wrapText="1"/>
    </xf>
    <xf numFmtId="0" fontId="129" fillId="42" borderId="42" xfId="826" applyFont="1" applyFill="1" applyBorder="1" applyAlignment="1">
      <alignment horizontal="center" vertical="center" wrapText="1"/>
    </xf>
    <xf numFmtId="0" fontId="129" fillId="42" borderId="30" xfId="826" applyFont="1" applyFill="1" applyBorder="1" applyAlignment="1">
      <alignment horizontal="center" vertical="center" wrapText="1"/>
    </xf>
    <xf numFmtId="0" fontId="70" fillId="0" borderId="0" xfId="826" applyFont="1" applyAlignment="1">
      <alignment vertical="center"/>
    </xf>
    <xf numFmtId="0" fontId="144" fillId="0" borderId="0" xfId="826" applyFont="1" applyBorder="1" applyAlignment="1">
      <alignment vertical="center" wrapText="1"/>
    </xf>
    <xf numFmtId="0" fontId="129" fillId="44" borderId="182" xfId="826" applyFont="1" applyFill="1" applyBorder="1" applyAlignment="1">
      <alignment horizontal="left" vertical="center" indent="1"/>
    </xf>
    <xf numFmtId="0" fontId="129" fillId="44" borderId="43" xfId="826" applyFont="1" applyFill="1" applyBorder="1" applyAlignment="1">
      <alignment horizontal="left" vertical="center" indent="1"/>
    </xf>
    <xf numFmtId="0" fontId="129" fillId="44" borderId="33" xfId="826" applyFont="1" applyFill="1" applyBorder="1" applyAlignment="1">
      <alignment horizontal="center" vertical="center"/>
    </xf>
    <xf numFmtId="0" fontId="129" fillId="44" borderId="41" xfId="826" applyFont="1" applyFill="1" applyBorder="1" applyAlignment="1">
      <alignment horizontal="left" vertical="center" indent="1"/>
    </xf>
    <xf numFmtId="0" fontId="129" fillId="44" borderId="31" xfId="826" applyFont="1" applyFill="1" applyBorder="1" applyAlignment="1">
      <alignment horizontal="center" vertical="center"/>
    </xf>
    <xf numFmtId="0" fontId="251" fillId="44" borderId="41" xfId="826" applyFont="1" applyFill="1" applyBorder="1" applyAlignment="1">
      <alignment horizontal="center" vertical="center"/>
    </xf>
    <xf numFmtId="0" fontId="129" fillId="44" borderId="41" xfId="826" applyFont="1" applyFill="1" applyBorder="1" applyAlignment="1">
      <alignment horizontal="center" vertical="center" wrapText="1"/>
    </xf>
    <xf numFmtId="0" fontId="129" fillId="44" borderId="32" xfId="826" applyFont="1" applyFill="1" applyBorder="1" applyAlignment="1">
      <alignment horizontal="left" vertical="center" indent="1"/>
    </xf>
    <xf numFmtId="0" fontId="129" fillId="44" borderId="32" xfId="826" applyFont="1" applyFill="1" applyBorder="1" applyAlignment="1">
      <alignment horizontal="center" vertical="center"/>
    </xf>
    <xf numFmtId="0" fontId="129" fillId="44" borderId="30" xfId="826" applyFont="1" applyFill="1" applyBorder="1" applyAlignment="1">
      <alignment horizontal="center" vertical="center" wrapText="1"/>
    </xf>
    <xf numFmtId="0" fontId="129" fillId="44" borderId="31" xfId="826" applyFont="1" applyFill="1" applyBorder="1" applyAlignment="1">
      <alignment horizontal="center" vertical="center" wrapText="1"/>
    </xf>
    <xf numFmtId="0" fontId="129" fillId="44" borderId="41" xfId="826" applyFont="1" applyFill="1" applyBorder="1" applyAlignment="1">
      <alignment horizontal="center" vertical="center"/>
    </xf>
    <xf numFmtId="0" fontId="129" fillId="44" borderId="42" xfId="826" applyFont="1" applyFill="1" applyBorder="1" applyAlignment="1">
      <alignment horizontal="left" vertical="center" indent="1"/>
    </xf>
    <xf numFmtId="0" fontId="129" fillId="44" borderId="32" xfId="826" applyFont="1" applyFill="1" applyBorder="1" applyAlignment="1">
      <alignment horizontal="center" vertical="center" wrapText="1"/>
    </xf>
    <xf numFmtId="0" fontId="129" fillId="41" borderId="40" xfId="826" applyFont="1" applyFill="1" applyBorder="1" applyAlignment="1">
      <alignment horizontal="left" vertical="center" wrapText="1" indent="1"/>
    </xf>
    <xf numFmtId="0" fontId="129" fillId="41" borderId="30" xfId="826" applyFont="1" applyFill="1" applyBorder="1" applyAlignment="1">
      <alignment horizontal="left" vertical="center" wrapText="1" indent="1"/>
    </xf>
    <xf numFmtId="0" fontId="129" fillId="41" borderId="40" xfId="826" applyFont="1" applyFill="1" applyBorder="1" applyAlignment="1">
      <alignment horizontal="center" vertical="center"/>
    </xf>
    <xf numFmtId="0" fontId="129" fillId="41" borderId="41" xfId="826" applyFont="1" applyFill="1" applyBorder="1" applyAlignment="1">
      <alignment horizontal="left" vertical="center" indent="1"/>
    </xf>
    <xf numFmtId="0" fontId="129" fillId="41" borderId="31" xfId="826" applyFont="1" applyFill="1" applyBorder="1" applyAlignment="1">
      <alignment horizontal="center" vertical="center"/>
    </xf>
    <xf numFmtId="0" fontId="260" fillId="41" borderId="41" xfId="826" applyFont="1" applyFill="1" applyBorder="1" applyAlignment="1">
      <alignment horizontal="center" vertical="center" wrapText="1"/>
    </xf>
    <xf numFmtId="0" fontId="129" fillId="41" borderId="32" xfId="826" applyFont="1" applyFill="1" applyBorder="1" applyAlignment="1">
      <alignment horizontal="left" vertical="center" indent="1"/>
    </xf>
    <xf numFmtId="0" fontId="129" fillId="41" borderId="32" xfId="826" applyFont="1" applyFill="1" applyBorder="1" applyAlignment="1">
      <alignment horizontal="center" vertical="center"/>
    </xf>
    <xf numFmtId="0" fontId="260" fillId="41" borderId="42" xfId="826" applyFont="1" applyFill="1" applyBorder="1" applyAlignment="1">
      <alignment horizontal="center" vertical="center" wrapText="1"/>
    </xf>
    <xf numFmtId="0" fontId="129" fillId="41" borderId="43" xfId="826" applyFont="1" applyFill="1" applyBorder="1" applyAlignment="1">
      <alignment horizontal="left" vertical="center" indent="1"/>
    </xf>
    <xf numFmtId="0" fontId="129" fillId="41" borderId="33" xfId="826" applyFont="1" applyFill="1" applyBorder="1" applyAlignment="1">
      <alignment horizontal="center" vertical="center"/>
    </xf>
    <xf numFmtId="0" fontId="260" fillId="41" borderId="43" xfId="826" applyFont="1" applyFill="1" applyBorder="1" applyAlignment="1">
      <alignment horizontal="center" vertical="center" wrapText="1"/>
    </xf>
    <xf numFmtId="0" fontId="129" fillId="41" borderId="41" xfId="826" applyFont="1" applyFill="1" applyBorder="1" applyAlignment="1">
      <alignment horizontal="left" vertical="center" wrapText="1" indent="1"/>
    </xf>
    <xf numFmtId="0" fontId="129" fillId="41" borderId="41" xfId="826" applyFont="1" applyFill="1" applyBorder="1" applyAlignment="1">
      <alignment horizontal="center" vertical="center"/>
    </xf>
    <xf numFmtId="0" fontId="329" fillId="41" borderId="41" xfId="826" applyFont="1" applyFill="1" applyBorder="1" applyAlignment="1">
      <alignment horizontal="center" vertical="center"/>
    </xf>
    <xf numFmtId="15" fontId="261" fillId="41" borderId="42" xfId="826" applyNumberFormat="1" applyFont="1" applyFill="1" applyBorder="1" applyAlignment="1">
      <alignment horizontal="center" vertical="center"/>
    </xf>
    <xf numFmtId="15" fontId="261" fillId="41" borderId="43" xfId="826" applyNumberFormat="1" applyFont="1" applyFill="1" applyBorder="1" applyAlignment="1">
      <alignment horizontal="center" vertical="center"/>
    </xf>
    <xf numFmtId="0" fontId="129" fillId="41" borderId="42" xfId="826" applyFont="1" applyFill="1" applyBorder="1" applyAlignment="1">
      <alignment horizontal="left" vertical="center" indent="1"/>
    </xf>
    <xf numFmtId="0" fontId="129" fillId="41" borderId="23" xfId="826" applyFont="1" applyFill="1" applyBorder="1" applyAlignment="1">
      <alignment horizontal="center" vertical="center"/>
    </xf>
    <xf numFmtId="0" fontId="129" fillId="41" borderId="22" xfId="826" applyFont="1" applyFill="1" applyBorder="1" applyAlignment="1">
      <alignment horizontal="center" vertical="center" wrapText="1"/>
    </xf>
    <xf numFmtId="0" fontId="327" fillId="0" borderId="22" xfId="826" applyFont="1" applyFill="1" applyBorder="1" applyAlignment="1">
      <alignment horizontal="center" vertical="center"/>
    </xf>
    <xf numFmtId="0" fontId="129" fillId="23" borderId="32" xfId="826" applyFont="1" applyFill="1" applyBorder="1" applyAlignment="1">
      <alignment horizontal="left" vertical="center" indent="1"/>
    </xf>
    <xf numFmtId="0" fontId="129" fillId="23" borderId="23" xfId="826" applyFont="1" applyFill="1" applyBorder="1" applyAlignment="1">
      <alignment horizontal="center" vertical="center"/>
    </xf>
    <xf numFmtId="0" fontId="129" fillId="23" borderId="22" xfId="826" applyFont="1" applyFill="1" applyBorder="1" applyAlignment="1">
      <alignment horizontal="center" vertical="center" wrapText="1"/>
    </xf>
    <xf numFmtId="0" fontId="137" fillId="0" borderId="0" xfId="76" applyFont="1" applyBorder="1"/>
    <xf numFmtId="0" fontId="15" fillId="0" borderId="25" xfId="76" applyFont="1" applyBorder="1" applyAlignment="1">
      <alignment horizontal="center"/>
    </xf>
    <xf numFmtId="0" fontId="15" fillId="0" borderId="30" xfId="76" applyFont="1" applyBorder="1" applyAlignment="1">
      <alignment horizontal="center"/>
    </xf>
    <xf numFmtId="0" fontId="150" fillId="0" borderId="25" xfId="76" applyFont="1" applyBorder="1" applyAlignment="1">
      <alignment horizontal="center" vertical="center"/>
    </xf>
    <xf numFmtId="0" fontId="15" fillId="0" borderId="26" xfId="76" applyFont="1" applyBorder="1" applyAlignment="1">
      <alignment horizontal="center"/>
    </xf>
    <xf numFmtId="0" fontId="15" fillId="0" borderId="31" xfId="76" applyFont="1" applyBorder="1" applyAlignment="1">
      <alignment horizontal="center"/>
    </xf>
    <xf numFmtId="0" fontId="150" fillId="0" borderId="26" xfId="76" applyFont="1" applyBorder="1" applyAlignment="1">
      <alignment horizontal="center" vertical="center"/>
    </xf>
    <xf numFmtId="0" fontId="15" fillId="0" borderId="27" xfId="76" applyFont="1" applyBorder="1" applyAlignment="1">
      <alignment horizontal="center"/>
    </xf>
    <xf numFmtId="0" fontId="15" fillId="0" borderId="32" xfId="76" applyFont="1" applyBorder="1" applyAlignment="1">
      <alignment horizontal="center"/>
    </xf>
    <xf numFmtId="0" fontId="150" fillId="0" borderId="27" xfId="76" applyFont="1" applyBorder="1" applyAlignment="1">
      <alignment horizontal="center" vertical="center"/>
    </xf>
    <xf numFmtId="0" fontId="150" fillId="23" borderId="184" xfId="76" applyFont="1" applyFill="1" applyBorder="1" applyAlignment="1">
      <alignment horizontal="center" vertical="center"/>
    </xf>
    <xf numFmtId="170" fontId="150" fillId="23" borderId="187" xfId="213" applyNumberFormat="1" applyFont="1" applyFill="1" applyBorder="1" applyAlignment="1">
      <alignment horizontal="right" vertical="center" indent="1"/>
    </xf>
    <xf numFmtId="0" fontId="132" fillId="0" borderId="0" xfId="76" applyFont="1" applyBorder="1"/>
    <xf numFmtId="170" fontId="150" fillId="0" borderId="0" xfId="213" applyNumberFormat="1" applyFont="1" applyBorder="1" applyAlignment="1">
      <alignment horizontal="center" vertical="center"/>
    </xf>
    <xf numFmtId="170" fontId="137" fillId="0" borderId="0" xfId="213" applyNumberFormat="1" applyFont="1" applyBorder="1" applyAlignment="1">
      <alignment horizontal="right" vertical="center" indent="1"/>
    </xf>
    <xf numFmtId="170" fontId="150" fillId="33" borderId="187" xfId="213" applyNumberFormat="1" applyFont="1" applyFill="1" applyBorder="1" applyAlignment="1">
      <alignment horizontal="right" vertical="center" indent="1"/>
    </xf>
    <xf numFmtId="0" fontId="65" fillId="0" borderId="187" xfId="76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 wrapText="1"/>
    </xf>
    <xf numFmtId="0" fontId="175" fillId="0" borderId="187" xfId="66" applyFont="1" applyFill="1" applyBorder="1" applyAlignment="1">
      <alignment horizontal="center" vertical="center"/>
    </xf>
    <xf numFmtId="0" fontId="179" fillId="0" borderId="187" xfId="66" applyFont="1" applyFill="1" applyBorder="1" applyAlignment="1">
      <alignment horizontal="center" vertical="center"/>
    </xf>
    <xf numFmtId="0" fontId="176" fillId="0" borderId="187" xfId="66" applyFont="1" applyFill="1" applyBorder="1" applyAlignment="1">
      <alignment horizontal="center" vertical="center"/>
    </xf>
    <xf numFmtId="0" fontId="177" fillId="0" borderId="187" xfId="66" applyFont="1" applyFill="1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29" fillId="0" borderId="21" xfId="0" applyFont="1" applyBorder="1" applyAlignment="1">
      <alignment horizontal="center" vertical="center"/>
    </xf>
    <xf numFmtId="3" fontId="175" fillId="0" borderId="195" xfId="66" applyNumberFormat="1" applyFont="1" applyFill="1" applyBorder="1" applyAlignment="1">
      <alignment horizontal="center" vertical="center"/>
    </xf>
    <xf numFmtId="3" fontId="179" fillId="0" borderId="195" xfId="66" applyNumberFormat="1" applyFont="1" applyFill="1" applyBorder="1" applyAlignment="1">
      <alignment horizontal="center" vertical="center"/>
    </xf>
    <xf numFmtId="3" fontId="177" fillId="0" borderId="195" xfId="66" applyNumberFormat="1" applyFont="1" applyFill="1" applyBorder="1" applyAlignment="1">
      <alignment horizontal="center" vertical="center"/>
    </xf>
    <xf numFmtId="3" fontId="176" fillId="0" borderId="195" xfId="66" applyNumberFormat="1" applyFont="1" applyFill="1" applyBorder="1" applyAlignment="1">
      <alignment horizontal="center" vertical="center"/>
    </xf>
    <xf numFmtId="3" fontId="178" fillId="0" borderId="195" xfId="66" applyNumberFormat="1" applyFont="1" applyFill="1" applyBorder="1" applyAlignment="1">
      <alignment horizontal="center" vertical="center"/>
    </xf>
    <xf numFmtId="3" fontId="178" fillId="0" borderId="197" xfId="66" applyNumberFormat="1" applyFont="1" applyFill="1" applyBorder="1" applyAlignment="1">
      <alignment horizontal="center" vertical="center"/>
    </xf>
    <xf numFmtId="3" fontId="128" fillId="23" borderId="195" xfId="66" applyNumberFormat="1" applyFont="1" applyFill="1" applyBorder="1" applyAlignment="1">
      <alignment horizontal="center" vertical="center"/>
    </xf>
    <xf numFmtId="3" fontId="128" fillId="23" borderId="197" xfId="66" applyNumberFormat="1" applyFont="1" applyFill="1" applyBorder="1" applyAlignment="1">
      <alignment horizontal="center" vertical="center"/>
    </xf>
    <xf numFmtId="1" fontId="129" fillId="23" borderId="16" xfId="66" applyNumberFormat="1" applyFont="1" applyFill="1" applyBorder="1" applyAlignment="1">
      <alignment horizontal="center" vertical="center"/>
    </xf>
    <xf numFmtId="1" fontId="129" fillId="23" borderId="17" xfId="66" applyNumberFormat="1" applyFont="1" applyFill="1" applyBorder="1" applyAlignment="1">
      <alignment horizontal="center" vertical="center"/>
    </xf>
    <xf numFmtId="1" fontId="129" fillId="23" borderId="21" xfId="66" applyNumberFormat="1" applyFont="1" applyFill="1" applyBorder="1" applyAlignment="1">
      <alignment horizontal="center" vertical="center"/>
    </xf>
    <xf numFmtId="0" fontId="129" fillId="0" borderId="54" xfId="0" applyFont="1" applyFill="1" applyBorder="1" applyAlignment="1">
      <alignment horizontal="left" vertical="center" wrapText="1"/>
    </xf>
    <xf numFmtId="0" fontId="129" fillId="29" borderId="42" xfId="0" applyFont="1" applyFill="1" applyBorder="1" applyAlignment="1">
      <alignment horizontal="center" vertical="center" wrapText="1"/>
    </xf>
    <xf numFmtId="0" fontId="184" fillId="23" borderId="31" xfId="66" applyFont="1" applyFill="1" applyBorder="1" applyAlignment="1">
      <alignment horizontal="center" vertical="center"/>
    </xf>
    <xf numFmtId="0" fontId="129" fillId="23" borderId="41" xfId="66" applyFont="1" applyFill="1" applyBorder="1" applyAlignment="1">
      <alignment horizontal="center" vertical="center"/>
    </xf>
    <xf numFmtId="0" fontId="184" fillId="23" borderId="34" xfId="66" applyFont="1" applyFill="1" applyBorder="1" applyAlignment="1">
      <alignment horizontal="center" vertical="center"/>
    </xf>
    <xf numFmtId="0" fontId="129" fillId="23" borderId="44" xfId="66" applyFont="1" applyFill="1" applyBorder="1" applyAlignment="1">
      <alignment horizontal="center" vertical="center"/>
    </xf>
    <xf numFmtId="0" fontId="85" fillId="0" borderId="0" xfId="834" applyFont="1" applyFill="1" applyBorder="1" applyAlignment="1">
      <alignment wrapText="1"/>
    </xf>
    <xf numFmtId="0" fontId="128" fillId="23" borderId="10" xfId="0" applyFont="1" applyFill="1" applyBorder="1" applyAlignment="1">
      <alignment horizontal="center" vertical="center" wrapText="1"/>
    </xf>
    <xf numFmtId="0" fontId="129" fillId="20" borderId="25" xfId="0" applyFont="1" applyFill="1" applyBorder="1" applyAlignment="1">
      <alignment horizontal="center"/>
    </xf>
    <xf numFmtId="0" fontId="129" fillId="20" borderId="26" xfId="0" applyFont="1" applyFill="1" applyBorder="1" applyAlignment="1">
      <alignment horizontal="center"/>
    </xf>
    <xf numFmtId="0" fontId="129" fillId="23" borderId="27" xfId="0" applyFont="1" applyFill="1" applyBorder="1" applyAlignment="1">
      <alignment horizontal="center"/>
    </xf>
    <xf numFmtId="0" fontId="129" fillId="20" borderId="33" xfId="0" applyFont="1" applyFill="1" applyBorder="1" applyAlignment="1">
      <alignment horizontal="center"/>
    </xf>
    <xf numFmtId="0" fontId="129" fillId="0" borderId="28" xfId="0" applyFont="1" applyBorder="1" applyAlignment="1">
      <alignment horizontal="center" vertical="center"/>
    </xf>
    <xf numFmtId="0" fontId="129" fillId="0" borderId="43" xfId="0" applyFont="1" applyBorder="1" applyAlignment="1">
      <alignment horizontal="center" vertical="center"/>
    </xf>
    <xf numFmtId="0" fontId="129" fillId="0" borderId="33" xfId="0" applyFont="1" applyBorder="1" applyAlignment="1">
      <alignment horizontal="center" vertical="center"/>
    </xf>
    <xf numFmtId="0" fontId="129" fillId="20" borderId="25" xfId="0" applyFont="1" applyFill="1" applyBorder="1" applyAlignment="1">
      <alignment horizontal="left"/>
    </xf>
    <xf numFmtId="0" fontId="129" fillId="20" borderId="26" xfId="0" applyFont="1" applyFill="1" applyBorder="1" applyAlignment="1">
      <alignment horizontal="left"/>
    </xf>
    <xf numFmtId="0" fontId="129" fillId="20" borderId="21" xfId="0" applyFont="1" applyFill="1" applyBorder="1" applyAlignment="1">
      <alignment horizontal="center"/>
    </xf>
    <xf numFmtId="0" fontId="129" fillId="0" borderId="17" xfId="0" applyFont="1" applyBorder="1" applyAlignment="1">
      <alignment horizontal="center" vertical="center"/>
    </xf>
    <xf numFmtId="0" fontId="129" fillId="20" borderId="34" xfId="0" applyFont="1" applyFill="1" applyBorder="1" applyAlignment="1">
      <alignment horizontal="center"/>
    </xf>
    <xf numFmtId="0" fontId="129" fillId="0" borderId="29" xfId="0" applyFont="1" applyBorder="1" applyAlignment="1">
      <alignment horizontal="center" vertical="center"/>
    </xf>
    <xf numFmtId="0" fontId="129" fillId="0" borderId="44" xfId="0" applyFont="1" applyBorder="1" applyAlignment="1">
      <alignment horizontal="center" vertical="center"/>
    </xf>
    <xf numFmtId="0" fontId="129" fillId="0" borderId="34" xfId="0" applyFont="1" applyBorder="1" applyAlignment="1">
      <alignment horizontal="center" vertical="center"/>
    </xf>
    <xf numFmtId="0" fontId="129" fillId="20" borderId="29" xfId="0" applyFont="1" applyFill="1" applyBorder="1" applyAlignment="1">
      <alignment horizontal="left" vertical="center"/>
    </xf>
    <xf numFmtId="0" fontId="128" fillId="0" borderId="18" xfId="66" applyFont="1" applyFill="1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32" fillId="23" borderId="182" xfId="83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21" fillId="0" borderId="23" xfId="830" applyFont="1" applyBorder="1" applyAlignment="1">
      <alignment horizontal="center" vertical="center"/>
    </xf>
    <xf numFmtId="0" fontId="175" fillId="0" borderId="187" xfId="830" applyFont="1" applyFill="1" applyBorder="1" applyAlignment="1">
      <alignment horizontal="center" vertical="center"/>
    </xf>
    <xf numFmtId="0" fontId="176" fillId="0" borderId="187" xfId="830" applyFont="1" applyFill="1" applyBorder="1" applyAlignment="1">
      <alignment horizontal="center" vertical="center"/>
    </xf>
    <xf numFmtId="0" fontId="178" fillId="0" borderId="187" xfId="830" applyFont="1" applyFill="1" applyBorder="1" applyAlignment="1">
      <alignment horizontal="center" vertical="center"/>
    </xf>
    <xf numFmtId="0" fontId="177" fillId="0" borderId="187" xfId="830" applyFont="1" applyFill="1" applyBorder="1" applyAlignment="1">
      <alignment horizontal="center" vertical="center"/>
    </xf>
    <xf numFmtId="0" fontId="179" fillId="0" borderId="187" xfId="830" applyFont="1" applyFill="1" applyBorder="1" applyAlignment="1">
      <alignment horizontal="center" vertical="center"/>
    </xf>
    <xf numFmtId="0" fontId="21" fillId="0" borderId="21" xfId="830" applyFont="1" applyBorder="1" applyAlignment="1">
      <alignment horizontal="center" vertical="center"/>
    </xf>
    <xf numFmtId="0" fontId="132" fillId="23" borderId="13" xfId="830" applyFont="1" applyFill="1" applyBorder="1" applyAlignment="1">
      <alignment horizontal="center" vertical="center"/>
    </xf>
    <xf numFmtId="0" fontId="132" fillId="23" borderId="10" xfId="830" applyFont="1" applyFill="1" applyBorder="1" applyAlignment="1">
      <alignment horizontal="center" vertical="center"/>
    </xf>
    <xf numFmtId="0" fontId="28" fillId="0" borderId="23" xfId="830" applyFont="1" applyBorder="1" applyAlignment="1">
      <alignment horizontal="center" vertical="center"/>
    </xf>
    <xf numFmtId="0" fontId="14" fillId="0" borderId="12" xfId="0" applyFont="1" applyBorder="1" applyAlignment="1">
      <alignment horizontal="left" vertical="center"/>
    </xf>
    <xf numFmtId="3" fontId="129" fillId="0" borderId="219" xfId="0" applyNumberFormat="1" applyFont="1" applyBorder="1" applyAlignment="1">
      <alignment horizontal="center" vertical="center"/>
    </xf>
    <xf numFmtId="3" fontId="129" fillId="0" borderId="220" xfId="0" applyNumberFormat="1" applyFont="1" applyBorder="1" applyAlignment="1">
      <alignment horizontal="center" vertical="center"/>
    </xf>
    <xf numFmtId="3" fontId="129" fillId="0" borderId="221" xfId="0" applyNumberFormat="1" applyFont="1" applyBorder="1" applyAlignment="1">
      <alignment horizontal="center" vertical="center"/>
    </xf>
    <xf numFmtId="3" fontId="129" fillId="0" borderId="222" xfId="0" applyNumberFormat="1" applyFont="1" applyBorder="1" applyAlignment="1">
      <alignment horizontal="center" vertical="center"/>
    </xf>
    <xf numFmtId="3" fontId="129" fillId="0" borderId="223" xfId="0" applyNumberFormat="1" applyFont="1" applyBorder="1" applyAlignment="1">
      <alignment horizontal="center" vertical="center"/>
    </xf>
    <xf numFmtId="3" fontId="129" fillId="0" borderId="224" xfId="0" applyNumberFormat="1" applyFont="1" applyBorder="1" applyAlignment="1">
      <alignment horizontal="center" vertical="center"/>
    </xf>
    <xf numFmtId="3" fontId="129" fillId="0" borderId="228" xfId="0" applyNumberFormat="1" applyFont="1" applyBorder="1" applyAlignment="1">
      <alignment horizontal="center" vertical="center"/>
    </xf>
    <xf numFmtId="3" fontId="129" fillId="0" borderId="229" xfId="0" applyNumberFormat="1" applyFont="1" applyBorder="1" applyAlignment="1">
      <alignment horizontal="center" vertical="center"/>
    </xf>
    <xf numFmtId="3" fontId="129" fillId="0" borderId="230" xfId="0" applyNumberFormat="1" applyFont="1" applyBorder="1" applyAlignment="1">
      <alignment horizontal="center" vertical="center"/>
    </xf>
    <xf numFmtId="0" fontId="129" fillId="0" borderId="30" xfId="0" applyFont="1" applyBorder="1" applyAlignment="1">
      <alignment vertical="center" wrapText="1"/>
    </xf>
    <xf numFmtId="0" fontId="129" fillId="0" borderId="31" xfId="0" applyFont="1" applyBorder="1" applyAlignment="1">
      <alignment vertical="center" wrapText="1"/>
    </xf>
    <xf numFmtId="0" fontId="129" fillId="0" borderId="31" xfId="0" applyFont="1" applyFill="1" applyBorder="1" applyAlignment="1">
      <alignment vertical="center" wrapText="1"/>
    </xf>
    <xf numFmtId="0" fontId="129" fillId="0" borderId="32" xfId="0" applyFont="1" applyFill="1" applyBorder="1" applyAlignment="1">
      <alignment vertical="center" wrapText="1"/>
    </xf>
    <xf numFmtId="3" fontId="129" fillId="0" borderId="231" xfId="0" applyNumberFormat="1" applyFont="1" applyBorder="1" applyAlignment="1">
      <alignment horizontal="center" vertical="center"/>
    </xf>
    <xf numFmtId="3" fontId="129" fillId="0" borderId="232" xfId="0" applyNumberFormat="1" applyFont="1" applyBorder="1" applyAlignment="1">
      <alignment horizontal="center" vertical="center"/>
    </xf>
    <xf numFmtId="3" fontId="129" fillId="0" borderId="233" xfId="0" applyNumberFormat="1" applyFont="1" applyBorder="1" applyAlignment="1">
      <alignment horizontal="center" vertical="center"/>
    </xf>
    <xf numFmtId="3" fontId="129" fillId="0" borderId="225" xfId="0" applyNumberFormat="1" applyFont="1" applyBorder="1" applyAlignment="1">
      <alignment horizontal="center" vertical="center"/>
    </xf>
    <xf numFmtId="3" fontId="129" fillId="0" borderId="226" xfId="0" applyNumberFormat="1" applyFont="1" applyBorder="1" applyAlignment="1">
      <alignment horizontal="center" vertical="center"/>
    </xf>
    <xf numFmtId="3" fontId="129" fillId="0" borderId="227" xfId="0" applyNumberFormat="1" applyFont="1" applyBorder="1" applyAlignment="1">
      <alignment horizontal="center" vertical="center"/>
    </xf>
    <xf numFmtId="0" fontId="14" fillId="0" borderId="26" xfId="830" applyFont="1" applyBorder="1" applyAlignment="1">
      <alignment horizontal="left" vertical="center"/>
    </xf>
    <xf numFmtId="0" fontId="21" fillId="0" borderId="29" xfId="830" applyFont="1" applyBorder="1" applyAlignment="1">
      <alignment horizontal="center" vertical="center"/>
    </xf>
    <xf numFmtId="0" fontId="21" fillId="0" borderId="44" xfId="830" applyFont="1" applyBorder="1" applyAlignment="1">
      <alignment horizontal="center" vertical="center"/>
    </xf>
    <xf numFmtId="0" fontId="132" fillId="0" borderId="34" xfId="830" applyFont="1" applyBorder="1" applyAlignment="1">
      <alignment horizontal="center" vertical="center"/>
    </xf>
    <xf numFmtId="0" fontId="21" fillId="0" borderId="36" xfId="830" applyFont="1" applyBorder="1" applyAlignment="1">
      <alignment horizontal="left" vertical="center"/>
    </xf>
    <xf numFmtId="0" fontId="14" fillId="0" borderId="28" xfId="830" applyFont="1" applyBorder="1" applyAlignment="1">
      <alignment horizontal="left" vertical="center"/>
    </xf>
    <xf numFmtId="0" fontId="14" fillId="23" borderId="26" xfId="830" applyFont="1" applyFill="1" applyBorder="1" applyAlignment="1">
      <alignment horizontal="center" vertical="center"/>
    </xf>
    <xf numFmtId="0" fontId="28" fillId="0" borderId="29" xfId="830" applyFont="1" applyBorder="1" applyAlignment="1">
      <alignment horizontal="center" vertical="center"/>
    </xf>
    <xf numFmtId="0" fontId="28" fillId="0" borderId="44" xfId="830" applyFont="1" applyBorder="1" applyAlignment="1">
      <alignment horizontal="center" vertical="center"/>
    </xf>
    <xf numFmtId="0" fontId="28" fillId="0" borderId="34" xfId="830" applyFont="1" applyBorder="1" applyAlignment="1">
      <alignment horizontal="center" vertical="center"/>
    </xf>
    <xf numFmtId="0" fontId="14" fillId="0" borderId="31" xfId="830" applyFont="1" applyBorder="1"/>
    <xf numFmtId="0" fontId="14" fillId="0" borderId="182" xfId="830" applyFont="1" applyBorder="1" applyAlignment="1">
      <alignment horizontal="center" vertical="center"/>
    </xf>
    <xf numFmtId="0" fontId="129" fillId="0" borderId="36" xfId="465" applyFont="1" applyBorder="1" applyAlignment="1"/>
    <xf numFmtId="0" fontId="28" fillId="0" borderId="33" xfId="830" applyFont="1" applyBorder="1" applyAlignment="1">
      <alignment horizontal="center" vertical="center"/>
    </xf>
    <xf numFmtId="0" fontId="14" fillId="0" borderId="26" xfId="830" applyFont="1" applyBorder="1"/>
    <xf numFmtId="0" fontId="169" fillId="0" borderId="197" xfId="830" applyFont="1" applyBorder="1" applyAlignment="1">
      <alignment horizontal="center" vertical="center"/>
    </xf>
    <xf numFmtId="0" fontId="169" fillId="0" borderId="182" xfId="830" applyFont="1" applyBorder="1" applyAlignment="1">
      <alignment horizontal="center" vertical="center"/>
    </xf>
    <xf numFmtId="0" fontId="131" fillId="0" borderId="0" xfId="0" applyFont="1" applyAlignment="1">
      <alignment vertical="center"/>
    </xf>
    <xf numFmtId="0" fontId="175" fillId="0" borderId="184" xfId="830" applyFont="1" applyBorder="1" applyAlignment="1">
      <alignment horizontal="center" vertical="center"/>
    </xf>
    <xf numFmtId="0" fontId="176" fillId="0" borderId="182" xfId="830" applyFont="1" applyBorder="1" applyAlignment="1">
      <alignment horizontal="center" vertical="center"/>
    </xf>
    <xf numFmtId="0" fontId="177" fillId="0" borderId="184" xfId="830" applyFont="1" applyBorder="1" applyAlignment="1">
      <alignment horizontal="center" vertical="center"/>
    </xf>
    <xf numFmtId="0" fontId="28" fillId="0" borderId="21" xfId="830" applyFont="1" applyBorder="1" applyAlignment="1">
      <alignment horizontal="center" vertical="center"/>
    </xf>
    <xf numFmtId="0" fontId="175" fillId="0" borderId="187" xfId="830" applyFont="1" applyBorder="1" applyAlignment="1">
      <alignment horizontal="center" vertical="center"/>
    </xf>
    <xf numFmtId="0" fontId="175" fillId="0" borderId="18" xfId="830" applyFont="1" applyBorder="1" applyAlignment="1">
      <alignment horizontal="center" vertical="center"/>
    </xf>
    <xf numFmtId="0" fontId="176" fillId="0" borderId="177" xfId="830" applyFont="1" applyBorder="1" applyAlignment="1">
      <alignment horizontal="center" vertical="center"/>
    </xf>
    <xf numFmtId="0" fontId="176" fillId="0" borderId="178" xfId="830" applyFont="1" applyBorder="1" applyAlignment="1">
      <alignment horizontal="center" vertical="center"/>
    </xf>
    <xf numFmtId="0" fontId="176" fillId="0" borderId="185" xfId="830" applyFont="1" applyBorder="1" applyAlignment="1">
      <alignment horizontal="center" vertical="center"/>
    </xf>
    <xf numFmtId="0" fontId="179" fillId="0" borderId="184" xfId="830" applyFont="1" applyBorder="1" applyAlignment="1">
      <alignment horizontal="center" vertical="center"/>
    </xf>
    <xf numFmtId="0" fontId="179" fillId="0" borderId="187" xfId="830" applyFont="1" applyBorder="1" applyAlignment="1">
      <alignment horizontal="center" vertical="center"/>
    </xf>
    <xf numFmtId="0" fontId="179" fillId="0" borderId="18" xfId="830" applyFont="1" applyBorder="1" applyAlignment="1">
      <alignment horizontal="center" vertical="center"/>
    </xf>
    <xf numFmtId="0" fontId="177" fillId="0" borderId="187" xfId="830" applyFont="1" applyBorder="1" applyAlignment="1">
      <alignment horizontal="center" vertical="center"/>
    </xf>
    <xf numFmtId="0" fontId="177" fillId="0" borderId="18" xfId="830" applyFont="1" applyBorder="1" applyAlignment="1">
      <alignment horizontal="center" vertical="center"/>
    </xf>
    <xf numFmtId="0" fontId="13" fillId="0" borderId="26" xfId="830" applyFont="1" applyBorder="1" applyAlignment="1">
      <alignment horizontal="left" vertical="center"/>
    </xf>
    <xf numFmtId="0" fontId="130" fillId="0" borderId="0" xfId="0" applyFont="1"/>
    <xf numFmtId="0" fontId="143" fillId="23" borderId="23" xfId="377" applyFont="1" applyFill="1" applyBorder="1" applyAlignment="1">
      <alignment horizontal="center" vertical="center"/>
    </xf>
    <xf numFmtId="0" fontId="185" fillId="0" borderId="0" xfId="0" applyFont="1" applyAlignment="1">
      <alignment horizontal="left" wrapText="1"/>
    </xf>
    <xf numFmtId="0" fontId="130" fillId="0" borderId="182" xfId="377" applyFont="1" applyBorder="1" applyAlignment="1">
      <alignment horizontal="center" vertical="center"/>
    </xf>
    <xf numFmtId="3" fontId="130" fillId="0" borderId="182" xfId="377" applyNumberFormat="1" applyFont="1" applyBorder="1" applyAlignment="1">
      <alignment horizontal="center" vertical="center"/>
    </xf>
    <xf numFmtId="3" fontId="130" fillId="0" borderId="182" xfId="0" applyNumberFormat="1" applyFont="1" applyBorder="1" applyAlignment="1">
      <alignment horizontal="center" vertical="center"/>
    </xf>
    <xf numFmtId="0" fontId="143" fillId="23" borderId="182" xfId="377" applyFont="1" applyFill="1" applyBorder="1" applyAlignment="1">
      <alignment horizontal="center" vertical="center"/>
    </xf>
    <xf numFmtId="0" fontId="49" fillId="0" borderId="0" xfId="466" applyAlignment="1">
      <alignment horizontal="center"/>
    </xf>
    <xf numFmtId="0" fontId="28" fillId="0" borderId="16" xfId="830" applyFont="1" applyBorder="1" applyAlignment="1">
      <alignment horizontal="center" vertical="center"/>
    </xf>
    <xf numFmtId="0" fontId="28" fillId="0" borderId="17" xfId="830" applyFont="1" applyBorder="1" applyAlignment="1">
      <alignment horizontal="center" vertical="center"/>
    </xf>
    <xf numFmtId="0" fontId="28" fillId="0" borderId="16" xfId="830" applyFont="1" applyFill="1" applyBorder="1" applyAlignment="1">
      <alignment horizontal="center" vertical="center"/>
    </xf>
    <xf numFmtId="0" fontId="28" fillId="0" borderId="17" xfId="830" applyFont="1" applyFill="1" applyBorder="1" applyAlignment="1">
      <alignment horizontal="center" vertical="center"/>
    </xf>
    <xf numFmtId="0" fontId="132" fillId="0" borderId="21" xfId="830" applyFont="1" applyBorder="1" applyAlignment="1">
      <alignment horizontal="center" vertical="center"/>
    </xf>
    <xf numFmtId="0" fontId="12" fillId="0" borderId="21" xfId="830" applyFont="1" applyBorder="1" applyAlignment="1">
      <alignment horizontal="left" vertical="center"/>
    </xf>
    <xf numFmtId="3" fontId="12" fillId="0" borderId="229" xfId="0" applyNumberFormat="1" applyFont="1" applyBorder="1" applyAlignment="1">
      <alignment horizontal="center" vertical="center"/>
    </xf>
    <xf numFmtId="3" fontId="12" fillId="0" borderId="221" xfId="0" applyNumberFormat="1" applyFont="1" applyBorder="1" applyAlignment="1">
      <alignment horizontal="center" vertical="center"/>
    </xf>
    <xf numFmtId="0" fontId="130" fillId="0" borderId="182" xfId="377" applyFont="1" applyBorder="1" applyAlignment="1">
      <alignment horizontal="center" vertical="center"/>
    </xf>
    <xf numFmtId="3" fontId="143" fillId="33" borderId="182" xfId="377" applyNumberFormat="1" applyFont="1" applyFill="1" applyBorder="1" applyAlignment="1">
      <alignment horizontal="center" vertical="center"/>
    </xf>
    <xf numFmtId="0" fontId="185" fillId="0" borderId="182" xfId="466" applyFont="1" applyBorder="1" applyAlignment="1">
      <alignment horizontal="center" vertical="center"/>
    </xf>
    <xf numFmtId="0" fontId="185" fillId="0" borderId="182" xfId="466" applyFont="1" applyBorder="1" applyAlignment="1">
      <alignment horizontal="center" vertical="center" wrapText="1"/>
    </xf>
    <xf numFmtId="3" fontId="130" fillId="0" borderId="182" xfId="0" applyNumberFormat="1" applyFont="1" applyBorder="1" applyAlignment="1">
      <alignment horizontal="center"/>
    </xf>
    <xf numFmtId="3" fontId="185" fillId="0" borderId="182" xfId="466" applyNumberFormat="1" applyFont="1" applyBorder="1" applyAlignment="1">
      <alignment horizontal="center" vertical="center"/>
    </xf>
    <xf numFmtId="0" fontId="130" fillId="0" borderId="182" xfId="377" applyFont="1" applyBorder="1" applyAlignment="1">
      <alignment horizontal="left" vertical="center"/>
    </xf>
    <xf numFmtId="0" fontId="128" fillId="23" borderId="10" xfId="0" applyFont="1" applyFill="1" applyBorder="1" applyAlignment="1">
      <alignment horizontal="center" vertical="center" wrapText="1"/>
    </xf>
    <xf numFmtId="0" fontId="130" fillId="0" borderId="0" xfId="0" applyFont="1"/>
    <xf numFmtId="0" fontId="332" fillId="0" borderId="0" xfId="374" applyFont="1" applyBorder="1" applyAlignment="1">
      <alignment horizontal="right" vertical="center"/>
    </xf>
    <xf numFmtId="0" fontId="129" fillId="0" borderId="68" xfId="48" applyFont="1" applyFill="1" applyBorder="1" applyAlignment="1">
      <alignment horizontal="right" vertical="center" indent="1"/>
    </xf>
    <xf numFmtId="0" fontId="129" fillId="0" borderId="46" xfId="48" applyFont="1" applyFill="1" applyBorder="1" applyAlignment="1">
      <alignment horizontal="right" vertical="center" indent="1"/>
    </xf>
    <xf numFmtId="0" fontId="129" fillId="0" borderId="54" xfId="48" applyFont="1" applyFill="1" applyBorder="1" applyAlignment="1">
      <alignment horizontal="right" vertical="center" indent="1"/>
    </xf>
    <xf numFmtId="0" fontId="128" fillId="23" borderId="46" xfId="48" applyFont="1" applyFill="1" applyBorder="1" applyAlignment="1">
      <alignment horizontal="right" vertical="center" indent="1"/>
    </xf>
    <xf numFmtId="0" fontId="128" fillId="23" borderId="54" xfId="48" applyFont="1" applyFill="1" applyBorder="1" applyAlignment="1">
      <alignment horizontal="right" vertical="center" inden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46" fillId="0" borderId="23" xfId="0" applyFont="1" applyFill="1" applyBorder="1" applyAlignment="1">
      <alignment horizontal="center" vertical="center" wrapText="1" readingOrder="1"/>
    </xf>
    <xf numFmtId="0" fontId="137" fillId="0" borderId="16" xfId="374" applyFont="1" applyFill="1" applyBorder="1" applyAlignment="1">
      <alignment vertical="center" wrapText="1"/>
    </xf>
    <xf numFmtId="0" fontId="129" fillId="0" borderId="16" xfId="374" applyFont="1" applyFill="1" applyBorder="1" applyAlignment="1">
      <alignment horizontal="right" vertical="center" indent="1"/>
    </xf>
    <xf numFmtId="0" fontId="187" fillId="0" borderId="19" xfId="0" applyFont="1" applyBorder="1" applyAlignment="1">
      <alignment horizontal="center" vertical="center" wrapText="1"/>
    </xf>
    <xf numFmtId="0" fontId="187" fillId="23" borderId="31" xfId="0" applyFont="1" applyFill="1" applyBorder="1" applyAlignment="1">
      <alignment horizontal="center" vertical="center" wrapText="1"/>
    </xf>
    <xf numFmtId="0" fontId="187" fillId="23" borderId="34" xfId="0" applyFont="1" applyFill="1" applyBorder="1" applyAlignment="1">
      <alignment horizontal="center" vertical="center" wrapText="1"/>
    </xf>
    <xf numFmtId="0" fontId="299" fillId="0" borderId="196" xfId="0" applyFont="1" applyFill="1" applyBorder="1" applyAlignment="1">
      <alignment horizontal="center" vertical="center" wrapText="1"/>
    </xf>
    <xf numFmtId="0" fontId="187" fillId="0" borderId="19" xfId="0" applyFont="1" applyBorder="1" applyAlignment="1">
      <alignment vertical="center" wrapText="1"/>
    </xf>
    <xf numFmtId="0" fontId="187" fillId="23" borderId="32" xfId="0" applyFont="1" applyFill="1" applyBorder="1" applyAlignment="1">
      <alignment horizontal="center" vertical="center" wrapText="1"/>
    </xf>
    <xf numFmtId="0" fontId="298" fillId="0" borderId="196" xfId="0" applyFont="1" applyFill="1" applyBorder="1" applyAlignment="1">
      <alignment horizontal="center" vertical="center" wrapText="1"/>
    </xf>
    <xf numFmtId="0" fontId="187" fillId="23" borderId="23" xfId="0" applyFont="1" applyFill="1" applyBorder="1" applyAlignment="1">
      <alignment horizontal="center" vertical="center" wrapText="1"/>
    </xf>
    <xf numFmtId="0" fontId="333" fillId="0" borderId="196" xfId="0" applyFont="1" applyFill="1" applyBorder="1" applyAlignment="1">
      <alignment horizontal="center" vertical="center" wrapText="1"/>
    </xf>
    <xf numFmtId="0" fontId="144" fillId="0" borderId="19" xfId="0" applyFont="1" applyBorder="1" applyAlignment="1">
      <alignment horizontal="center" vertical="center"/>
    </xf>
    <xf numFmtId="0" fontId="144" fillId="23" borderId="23" xfId="0" applyFont="1" applyFill="1" applyBorder="1" applyAlignment="1">
      <alignment vertical="center"/>
    </xf>
    <xf numFmtId="0" fontId="144" fillId="0" borderId="19" xfId="0" applyFont="1" applyBorder="1" applyAlignment="1">
      <alignment vertical="center"/>
    </xf>
    <xf numFmtId="0" fontId="11" fillId="0" borderId="31" xfId="0" applyFont="1" applyBorder="1" applyAlignment="1">
      <alignment vertical="center" wrapText="1"/>
    </xf>
    <xf numFmtId="0" fontId="177" fillId="0" borderId="21" xfId="66" applyFont="1" applyBorder="1" applyAlignment="1">
      <alignment horizontal="center" vertical="center"/>
    </xf>
    <xf numFmtId="0" fontId="132" fillId="23" borderId="218" xfId="66" applyFont="1" applyFill="1" applyBorder="1" applyAlignment="1">
      <alignment horizontal="center" vertical="center"/>
    </xf>
    <xf numFmtId="0" fontId="175" fillId="0" borderId="218" xfId="66" applyFont="1" applyBorder="1" applyAlignment="1">
      <alignment horizontal="center" vertical="center"/>
    </xf>
    <xf numFmtId="4" fontId="175" fillId="0" borderId="235" xfId="759" applyNumberFormat="1" applyFont="1" applyBorder="1" applyAlignment="1">
      <alignment vertical="center"/>
    </xf>
    <xf numFmtId="4" fontId="175" fillId="0" borderId="235" xfId="66" applyNumberFormat="1" applyFont="1" applyBorder="1" applyAlignment="1">
      <alignment vertical="center"/>
    </xf>
    <xf numFmtId="0" fontId="176" fillId="0" borderId="218" xfId="66" applyFont="1" applyBorder="1" applyAlignment="1">
      <alignment horizontal="center" vertical="center"/>
    </xf>
    <xf numFmtId="4" fontId="176" fillId="0" borderId="235" xfId="759" applyNumberFormat="1" applyFont="1" applyBorder="1" applyAlignment="1">
      <alignment vertical="center"/>
    </xf>
    <xf numFmtId="4" fontId="176" fillId="0" borderId="235" xfId="66" applyNumberFormat="1" applyFont="1" applyBorder="1" applyAlignment="1">
      <alignment vertical="center"/>
    </xf>
    <xf numFmtId="4" fontId="179" fillId="0" borderId="235" xfId="759" applyNumberFormat="1" applyFont="1" applyBorder="1" applyAlignment="1">
      <alignment vertical="center"/>
    </xf>
    <xf numFmtId="0" fontId="178" fillId="0" borderId="218" xfId="66" applyFont="1" applyBorder="1" applyAlignment="1">
      <alignment horizontal="center" vertical="center"/>
    </xf>
    <xf numFmtId="4" fontId="178" fillId="0" borderId="235" xfId="759" applyNumberFormat="1" applyFont="1" applyBorder="1" applyAlignment="1">
      <alignment vertical="center"/>
    </xf>
    <xf numFmtId="4" fontId="177" fillId="0" borderId="235" xfId="759" applyNumberFormat="1" applyFont="1" applyBorder="1" applyAlignment="1">
      <alignment vertical="center"/>
    </xf>
    <xf numFmtId="0" fontId="314" fillId="0" borderId="195" xfId="66" applyFont="1" applyBorder="1" applyAlignment="1">
      <alignment horizontal="center" vertical="center"/>
    </xf>
    <xf numFmtId="4" fontId="314" fillId="0" borderId="196" xfId="759" applyNumberFormat="1" applyFont="1" applyBorder="1" applyAlignment="1">
      <alignment vertical="center"/>
    </xf>
    <xf numFmtId="4" fontId="314" fillId="0" borderId="197" xfId="66" applyNumberFormat="1" applyFont="1" applyBorder="1" applyAlignment="1">
      <alignment vertical="center"/>
    </xf>
    <xf numFmtId="0" fontId="128" fillId="0" borderId="182" xfId="0" applyFont="1" applyBorder="1" applyAlignment="1">
      <alignment horizontal="center"/>
    </xf>
    <xf numFmtId="0" fontId="81" fillId="23" borderId="182" xfId="0" applyFont="1" applyFill="1" applyBorder="1" applyAlignment="1">
      <alignment horizontal="center" vertical="center" wrapText="1"/>
    </xf>
    <xf numFmtId="0" fontId="144" fillId="0" borderId="0" xfId="66" applyFont="1" applyAlignment="1">
      <alignment vertical="center"/>
    </xf>
    <xf numFmtId="4" fontId="192" fillId="0" borderId="31" xfId="0" applyNumberFormat="1" applyFont="1" applyBorder="1" applyAlignment="1">
      <alignment horizontal="right" indent="1"/>
    </xf>
    <xf numFmtId="0" fontId="110" fillId="0" borderId="0" xfId="374" applyFont="1" applyFill="1" applyBorder="1" applyAlignment="1">
      <alignment vertical="center" wrapText="1"/>
    </xf>
    <xf numFmtId="1" fontId="128" fillId="23" borderId="182" xfId="50" applyNumberFormat="1" applyFont="1" applyFill="1" applyBorder="1" applyAlignment="1">
      <alignment horizontal="center" vertical="center" wrapText="1"/>
    </xf>
    <xf numFmtId="0" fontId="128" fillId="23" borderId="23" xfId="66" applyFont="1" applyFill="1" applyBorder="1" applyAlignment="1">
      <alignment horizontal="center" vertical="center"/>
    </xf>
    <xf numFmtId="3" fontId="334" fillId="0" borderId="0" xfId="0" applyNumberFormat="1" applyFont="1" applyAlignment="1">
      <alignment horizontal="center" vertical="center"/>
    </xf>
    <xf numFmtId="0" fontId="335" fillId="0" borderId="0" xfId="0" applyFont="1"/>
    <xf numFmtId="0" fontId="216" fillId="0" borderId="0" xfId="0" applyFont="1" applyAlignment="1">
      <alignment horizontal="right"/>
    </xf>
    <xf numFmtId="0" fontId="334" fillId="0" borderId="0" xfId="0" applyFont="1" applyAlignment="1">
      <alignment horizontal="center" vertical="center"/>
    </xf>
    <xf numFmtId="0" fontId="175" fillId="29" borderId="182" xfId="66" applyFont="1" applyFill="1" applyBorder="1" applyAlignment="1">
      <alignment horizontal="center" vertical="center"/>
    </xf>
    <xf numFmtId="0" fontId="179" fillId="29" borderId="182" xfId="66" applyFont="1" applyFill="1" applyBorder="1" applyAlignment="1">
      <alignment horizontal="center" vertical="center"/>
    </xf>
    <xf numFmtId="0" fontId="177" fillId="29" borderId="182" xfId="66" applyFont="1" applyFill="1" applyBorder="1" applyAlignment="1">
      <alignment horizontal="center" vertical="center"/>
    </xf>
    <xf numFmtId="0" fontId="70" fillId="0" borderId="21" xfId="66" applyFont="1" applyBorder="1" applyAlignment="1">
      <alignment vertical="center"/>
    </xf>
    <xf numFmtId="3" fontId="10" fillId="0" borderId="184" xfId="835" applyNumberFormat="1" applyFont="1" applyFill="1" applyBorder="1" applyAlignment="1">
      <alignment horizontal="center" vertical="center"/>
    </xf>
    <xf numFmtId="0" fontId="10" fillId="0" borderId="184" xfId="835" applyFont="1" applyBorder="1"/>
    <xf numFmtId="0" fontId="10" fillId="0" borderId="17" xfId="835" applyFont="1" applyBorder="1"/>
    <xf numFmtId="3" fontId="10" fillId="0" borderId="16" xfId="835" applyNumberFormat="1" applyFont="1" applyFill="1" applyBorder="1" applyAlignment="1">
      <alignment horizontal="center" vertical="center"/>
    </xf>
    <xf numFmtId="9" fontId="129" fillId="0" borderId="187" xfId="836" applyFont="1" applyFill="1" applyBorder="1" applyAlignment="1">
      <alignment horizontal="center" vertical="center"/>
    </xf>
    <xf numFmtId="170" fontId="129" fillId="0" borderId="187" xfId="836" applyNumberFormat="1" applyFont="1" applyFill="1" applyBorder="1" applyAlignment="1">
      <alignment vertical="center"/>
    </xf>
    <xf numFmtId="9" fontId="129" fillId="0" borderId="187" xfId="836" applyNumberFormat="1" applyFont="1" applyBorder="1" applyAlignment="1">
      <alignment horizontal="center" vertical="center"/>
    </xf>
    <xf numFmtId="0" fontId="105" fillId="0" borderId="14" xfId="32" applyBorder="1" applyAlignment="1" applyProtection="1">
      <alignment horizontal="center" vertical="center"/>
    </xf>
    <xf numFmtId="0" fontId="337" fillId="0" borderId="0" xfId="45" applyFont="1" applyAlignment="1">
      <alignment vertical="center"/>
    </xf>
    <xf numFmtId="0" fontId="338" fillId="0" borderId="0" xfId="374" applyFont="1" applyAlignment="1">
      <alignment readingOrder="1"/>
    </xf>
    <xf numFmtId="0" fontId="183" fillId="0" borderId="22" xfId="835" applyFont="1" applyBorder="1" applyAlignment="1">
      <alignment horizontal="center" vertical="center"/>
    </xf>
    <xf numFmtId="0" fontId="113" fillId="0" borderId="0" xfId="0" applyFont="1"/>
    <xf numFmtId="0" fontId="339" fillId="0" borderId="0" xfId="66" applyFont="1" applyAlignment="1">
      <alignment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84" xfId="66" applyFont="1" applyFill="1" applyBorder="1" applyAlignment="1">
      <alignment horizontal="center" vertical="center"/>
    </xf>
    <xf numFmtId="0" fontId="128" fillId="23" borderId="186" xfId="66" applyFont="1" applyFill="1" applyBorder="1" applyAlignment="1">
      <alignment horizontal="center" vertical="center"/>
    </xf>
    <xf numFmtId="0" fontId="128" fillId="23" borderId="187" xfId="66" applyFont="1" applyFill="1" applyBorder="1" applyAlignment="1">
      <alignment horizontal="center" vertical="center"/>
    </xf>
    <xf numFmtId="0" fontId="249" fillId="0" borderId="0" xfId="66" applyFont="1" applyBorder="1" applyAlignment="1">
      <alignment vertical="center"/>
    </xf>
    <xf numFmtId="0" fontId="249" fillId="0" borderId="0" xfId="66" applyFont="1" applyAlignment="1">
      <alignment vertical="center"/>
    </xf>
    <xf numFmtId="3" fontId="137" fillId="0" borderId="16" xfId="53" applyNumberFormat="1" applyFont="1" applyFill="1" applyBorder="1" applyAlignment="1">
      <alignment horizontal="right" vertical="center" indent="1"/>
    </xf>
    <xf numFmtId="3" fontId="137" fillId="0" borderId="0" xfId="54" applyNumberFormat="1" applyFont="1" applyFill="1" applyBorder="1" applyAlignment="1">
      <alignment horizontal="right" wrapText="1" indent="1"/>
    </xf>
    <xf numFmtId="3" fontId="137" fillId="0" borderId="16" xfId="54" applyNumberFormat="1" applyFont="1" applyFill="1" applyBorder="1" applyAlignment="1">
      <alignment horizontal="right" wrapText="1" indent="1"/>
    </xf>
    <xf numFmtId="3" fontId="137" fillId="0" borderId="38" xfId="53" applyNumberFormat="1" applyFont="1" applyFill="1" applyBorder="1" applyAlignment="1">
      <alignment horizontal="right" vertical="center" inden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9" fillId="0" borderId="21" xfId="66" applyFont="1" applyBorder="1" applyAlignment="1">
      <alignment horizontal="center" vertical="center"/>
    </xf>
    <xf numFmtId="0" fontId="85" fillId="0" borderId="236" xfId="3808" applyFont="1" applyFill="1" applyBorder="1" applyAlignment="1">
      <alignment wrapText="1"/>
    </xf>
    <xf numFmtId="0" fontId="129" fillId="0" borderId="16" xfId="796" applyFont="1" applyBorder="1" applyAlignment="1"/>
    <xf numFmtId="3" fontId="150" fillId="23" borderId="195" xfId="54" applyNumberFormat="1" applyFont="1" applyFill="1" applyBorder="1" applyAlignment="1">
      <alignment horizontal="right" wrapText="1" indent="1"/>
    </xf>
    <xf numFmtId="3" fontId="150" fillId="23" borderId="196" xfId="54" applyNumberFormat="1" applyFont="1" applyFill="1" applyBorder="1" applyAlignment="1">
      <alignment horizontal="right" wrapText="1" indent="1"/>
    </xf>
    <xf numFmtId="3" fontId="150" fillId="23" borderId="197" xfId="54" applyNumberFormat="1" applyFont="1" applyFill="1" applyBorder="1" applyAlignment="1">
      <alignment horizontal="right" wrapText="1" indent="1"/>
    </xf>
    <xf numFmtId="0" fontId="44" fillId="0" borderId="25" xfId="640" applyFont="1" applyBorder="1" applyAlignment="1">
      <alignment horizontal="right" indent="1"/>
    </xf>
    <xf numFmtId="0" fontId="44" fillId="0" borderId="35" xfId="640" applyFont="1" applyBorder="1" applyAlignment="1">
      <alignment horizontal="right" indent="1"/>
    </xf>
    <xf numFmtId="0" fontId="44" fillId="0" borderId="28" xfId="640" applyFont="1" applyBorder="1" applyAlignment="1">
      <alignment horizontal="right" indent="1"/>
    </xf>
    <xf numFmtId="0" fontId="44" fillId="0" borderId="38" xfId="640" applyFont="1" applyBorder="1" applyAlignment="1">
      <alignment horizontal="right" indent="1"/>
    </xf>
    <xf numFmtId="0" fontId="129" fillId="0" borderId="26" xfId="640" applyFont="1" applyFill="1" applyBorder="1" applyAlignment="1">
      <alignment horizontal="right" vertical="center" indent="1"/>
    </xf>
    <xf numFmtId="0" fontId="129" fillId="0" borderId="36" xfId="640" applyFont="1" applyFill="1" applyBorder="1" applyAlignment="1">
      <alignment horizontal="right" vertical="center" indent="1"/>
    </xf>
    <xf numFmtId="1" fontId="128" fillId="23" borderId="18" xfId="50" applyNumberFormat="1" applyFont="1" applyFill="1" applyBorder="1" applyAlignment="1">
      <alignment horizontal="center" vertical="center" wrapText="1"/>
    </xf>
    <xf numFmtId="3" fontId="150" fillId="23" borderId="22" xfId="54" applyNumberFormat="1" applyFont="1" applyFill="1" applyBorder="1" applyAlignment="1">
      <alignment horizontal="right" wrapText="1" indent="1"/>
    </xf>
    <xf numFmtId="0" fontId="340" fillId="0" borderId="0" xfId="646" applyFont="1" applyAlignment="1">
      <alignment horizontal="center" vertical="center"/>
    </xf>
    <xf numFmtId="0" fontId="129" fillId="0" borderId="21" xfId="66" applyFont="1" applyFill="1" applyBorder="1" applyAlignment="1">
      <alignment horizontal="center" vertical="center"/>
    </xf>
    <xf numFmtId="0" fontId="129" fillId="0" borderId="182" xfId="66" applyFont="1" applyBorder="1" applyAlignment="1">
      <alignment horizontal="center" vertical="center"/>
    </xf>
    <xf numFmtId="3" fontId="150" fillId="29" borderId="20" xfId="53" applyNumberFormat="1" applyFont="1" applyFill="1" applyBorder="1" applyAlignment="1">
      <alignment horizontal="right" vertical="center" indent="1"/>
    </xf>
    <xf numFmtId="3" fontId="150" fillId="29" borderId="23" xfId="53" applyNumberFormat="1" applyFont="1" applyFill="1" applyBorder="1" applyAlignment="1">
      <alignment horizontal="right" vertical="center" indent="1"/>
    </xf>
    <xf numFmtId="0" fontId="185" fillId="0" borderId="36" xfId="0" applyFont="1" applyBorder="1"/>
    <xf numFmtId="3" fontId="137" fillId="0" borderId="17" xfId="66" applyNumberFormat="1" applyFont="1" applyFill="1" applyBorder="1" applyAlignment="1">
      <alignment horizontal="center" vertical="center"/>
    </xf>
    <xf numFmtId="0" fontId="185" fillId="0" borderId="36" xfId="0" applyFont="1" applyBorder="1" applyAlignment="1">
      <alignment vertical="center"/>
    </xf>
    <xf numFmtId="0" fontId="147" fillId="0" borderId="41" xfId="0" applyFont="1" applyBorder="1" applyAlignment="1">
      <alignment wrapText="1"/>
    </xf>
    <xf numFmtId="0" fontId="146" fillId="23" borderId="17" xfId="0" applyFont="1" applyFill="1" applyBorder="1" applyAlignment="1">
      <alignment horizontal="center" vertical="center" wrapText="1"/>
    </xf>
    <xf numFmtId="0" fontId="129" fillId="23" borderId="196" xfId="66" applyFont="1" applyFill="1" applyBorder="1" applyAlignment="1">
      <alignment horizontal="center" vertical="center"/>
    </xf>
    <xf numFmtId="0" fontId="146" fillId="23" borderId="22" xfId="0" applyFont="1" applyFill="1" applyBorder="1" applyAlignment="1">
      <alignment horizontal="center" vertical="center" wrapText="1"/>
    </xf>
    <xf numFmtId="0" fontId="9" fillId="0" borderId="36" xfId="0" applyFont="1" applyBorder="1"/>
    <xf numFmtId="0" fontId="129" fillId="23" borderId="196" xfId="66" applyFont="1" applyFill="1" applyBorder="1" applyAlignment="1">
      <alignment vertical="center"/>
    </xf>
    <xf numFmtId="0" fontId="169" fillId="23" borderId="21" xfId="66" applyFont="1" applyFill="1" applyBorder="1" applyAlignment="1">
      <alignment horizontal="center" vertical="center"/>
    </xf>
    <xf numFmtId="0" fontId="129" fillId="0" borderId="182" xfId="66" applyFont="1" applyFill="1" applyBorder="1" applyAlignment="1">
      <alignment horizontal="center" vertical="center"/>
    </xf>
    <xf numFmtId="0" fontId="169" fillId="23" borderId="16" xfId="66" applyFont="1" applyFill="1" applyBorder="1" applyAlignment="1">
      <alignment horizontal="center" vertical="center"/>
    </xf>
    <xf numFmtId="0" fontId="128" fillId="23" borderId="42" xfId="66" applyFont="1" applyFill="1" applyBorder="1" applyAlignment="1">
      <alignment horizontal="center" wrapText="1"/>
    </xf>
    <xf numFmtId="0" fontId="166" fillId="23" borderId="196" xfId="66" applyFont="1" applyFill="1" applyBorder="1" applyAlignment="1">
      <alignment horizontal="center" vertical="center"/>
    </xf>
    <xf numFmtId="0" fontId="167" fillId="0" borderId="182" xfId="66" applyFont="1" applyFill="1" applyBorder="1" applyAlignment="1">
      <alignment horizontal="center" vertical="center"/>
    </xf>
    <xf numFmtId="0" fontId="167" fillId="23" borderId="196" xfId="66" applyFont="1" applyFill="1" applyBorder="1" applyAlignment="1">
      <alignment horizontal="center" vertical="center"/>
    </xf>
    <xf numFmtId="0" fontId="169" fillId="0" borderId="182" xfId="66" applyFont="1" applyFill="1" applyBorder="1" applyAlignment="1">
      <alignment horizontal="center" vertical="center"/>
    </xf>
    <xf numFmtId="0" fontId="169" fillId="23" borderId="24" xfId="66" applyFont="1" applyFill="1" applyBorder="1" applyAlignment="1">
      <alignment horizontal="center" vertical="center"/>
    </xf>
    <xf numFmtId="0" fontId="169" fillId="23" borderId="196" xfId="66" applyFont="1" applyFill="1" applyBorder="1" applyAlignment="1">
      <alignment horizontal="center" vertical="center"/>
    </xf>
    <xf numFmtId="0" fontId="169" fillId="23" borderId="0" xfId="66" applyFont="1" applyFill="1" applyBorder="1" applyAlignment="1">
      <alignment horizontal="center" vertical="center"/>
    </xf>
    <xf numFmtId="0" fontId="131" fillId="0" borderId="0" xfId="66" applyFont="1" applyAlignment="1"/>
    <xf numFmtId="0" fontId="128" fillId="23" borderId="182" xfId="0" applyFont="1" applyFill="1" applyBorder="1" applyAlignment="1">
      <alignment horizontal="center" vertical="center"/>
    </xf>
    <xf numFmtId="0" fontId="128" fillId="23" borderId="182" xfId="0" applyFont="1" applyFill="1" applyBorder="1" applyAlignment="1">
      <alignment horizontal="center" vertical="center" wrapText="1"/>
    </xf>
    <xf numFmtId="0" fontId="72" fillId="0" borderId="0" xfId="76" applyFont="1" applyAlignment="1">
      <alignment horizontal="center"/>
    </xf>
    <xf numFmtId="0" fontId="150" fillId="23" borderId="182" xfId="76" applyFont="1" applyFill="1" applyBorder="1" applyAlignment="1">
      <alignment horizontal="center" vertical="center" wrapText="1"/>
    </xf>
    <xf numFmtId="0" fontId="160" fillId="0" borderId="0" xfId="827" applyFont="1" applyAlignment="1">
      <alignment horizontal="center"/>
    </xf>
    <xf numFmtId="0" fontId="85" fillId="0" borderId="236" xfId="3809" applyFont="1" applyFill="1" applyBorder="1" applyAlignment="1">
      <alignment horizontal="left" vertical="center" wrapText="1"/>
    </xf>
    <xf numFmtId="0" fontId="129" fillId="0" borderId="41" xfId="796" applyFont="1" applyBorder="1" applyAlignment="1"/>
    <xf numFmtId="185" fontId="8" fillId="0" borderId="31" xfId="0" applyNumberFormat="1" applyFont="1" applyFill="1" applyBorder="1" applyAlignment="1">
      <alignment horizontal="center" vertical="center"/>
    </xf>
    <xf numFmtId="0" fontId="131" fillId="0" borderId="237" xfId="0" applyFont="1" applyBorder="1" applyAlignment="1">
      <alignment vertical="center"/>
    </xf>
    <xf numFmtId="0" fontId="77" fillId="0" borderId="0" xfId="0" applyFont="1" applyAlignment="1">
      <alignment horizontal="center" vertical="center"/>
    </xf>
    <xf numFmtId="0" fontId="131" fillId="0" borderId="0" xfId="0" applyFont="1" applyBorder="1" applyAlignment="1">
      <alignment vertical="center"/>
    </xf>
    <xf numFmtId="185" fontId="207" fillId="0" borderId="40" xfId="0" applyNumberFormat="1" applyFont="1" applyFill="1" applyBorder="1" applyAlignment="1">
      <alignment horizontal="center" vertical="center"/>
    </xf>
    <xf numFmtId="185" fontId="207" fillId="0" borderId="41" xfId="0" applyNumberFormat="1" applyFont="1" applyFill="1" applyBorder="1" applyAlignment="1">
      <alignment horizontal="center" vertical="center"/>
    </xf>
    <xf numFmtId="185" fontId="207" fillId="0" borderId="42" xfId="0" applyNumberFormat="1" applyFont="1" applyFill="1" applyBorder="1" applyAlignment="1">
      <alignment horizontal="center" vertical="center"/>
    </xf>
    <xf numFmtId="185" fontId="207" fillId="0" borderId="40" xfId="0" applyNumberFormat="1" applyFont="1" applyBorder="1" applyAlignment="1">
      <alignment horizontal="center" vertical="center"/>
    </xf>
    <xf numFmtId="185" fontId="207" fillId="0" borderId="41" xfId="0" applyNumberFormat="1" applyFont="1" applyBorder="1" applyAlignment="1">
      <alignment horizontal="center" vertical="center"/>
    </xf>
    <xf numFmtId="185" fontId="207" fillId="0" borderId="44" xfId="0" applyNumberFormat="1" applyFont="1" applyBorder="1" applyAlignment="1">
      <alignment horizontal="center" vertical="center"/>
    </xf>
    <xf numFmtId="0" fontId="8" fillId="0" borderId="34" xfId="0" applyFont="1" applyFill="1" applyBorder="1" applyAlignment="1">
      <alignment horizontal="left" vertical="center" indent="1"/>
    </xf>
    <xf numFmtId="185" fontId="207" fillId="0" borderId="42" xfId="0" applyNumberFormat="1" applyFont="1" applyBorder="1" applyAlignment="1">
      <alignment horizontal="center" vertical="center"/>
    </xf>
    <xf numFmtId="0" fontId="128" fillId="23" borderId="197" xfId="0" applyFont="1" applyFill="1" applyBorder="1" applyAlignment="1">
      <alignment horizontal="center" vertical="center" wrapText="1"/>
    </xf>
    <xf numFmtId="185" fontId="8" fillId="0" borderId="33" xfId="0" applyNumberFormat="1" applyFont="1" applyFill="1" applyBorder="1" applyAlignment="1">
      <alignment horizontal="center" vertical="center"/>
    </xf>
    <xf numFmtId="0" fontId="129" fillId="0" borderId="32" xfId="0" applyFont="1" applyFill="1" applyBorder="1" applyAlignment="1">
      <alignment horizontal="left" vertical="center" wrapText="1" indent="1"/>
    </xf>
    <xf numFmtId="185" fontId="8" fillId="0" borderId="30" xfId="0" applyNumberFormat="1" applyFont="1" applyFill="1" applyBorder="1" applyAlignment="1">
      <alignment horizontal="center" vertical="center"/>
    </xf>
    <xf numFmtId="185" fontId="261" fillId="0" borderId="30" xfId="0" applyNumberFormat="1" applyFont="1" applyFill="1" applyBorder="1" applyAlignment="1">
      <alignment horizontal="center" vertical="center"/>
    </xf>
    <xf numFmtId="185" fontId="261" fillId="0" borderId="41" xfId="0" applyNumberFormat="1" applyFont="1" applyFill="1" applyBorder="1" applyAlignment="1">
      <alignment horizontal="center" vertical="center"/>
    </xf>
    <xf numFmtId="185" fontId="8" fillId="0" borderId="41" xfId="0" applyNumberFormat="1" applyFont="1" applyFill="1" applyBorder="1" applyAlignment="1">
      <alignment horizontal="center" vertical="center"/>
    </xf>
    <xf numFmtId="0" fontId="8" fillId="0" borderId="0" xfId="76" applyFont="1"/>
    <xf numFmtId="170" fontId="150" fillId="23" borderId="197" xfId="213" applyNumberFormat="1" applyFont="1" applyFill="1" applyBorder="1" applyAlignment="1">
      <alignment horizontal="right" vertical="center" indent="1"/>
    </xf>
    <xf numFmtId="170" fontId="150" fillId="33" borderId="197" xfId="213" applyNumberFormat="1" applyFont="1" applyFill="1" applyBorder="1" applyAlignment="1">
      <alignment horizontal="right" vertical="center" indent="1"/>
    </xf>
    <xf numFmtId="0" fontId="65" fillId="0" borderId="197" xfId="76" applyBorder="1" applyAlignment="1">
      <alignment horizontal="center" vertical="center"/>
    </xf>
    <xf numFmtId="0" fontId="158" fillId="0" borderId="34" xfId="826" applyFont="1" applyFill="1" applyBorder="1" applyAlignment="1">
      <alignment horizontal="center" vertical="center"/>
    </xf>
    <xf numFmtId="0" fontId="261" fillId="0" borderId="42" xfId="826" applyFont="1" applyFill="1" applyBorder="1" applyAlignment="1">
      <alignment horizontal="center" vertical="center" wrapText="1"/>
    </xf>
    <xf numFmtId="0" fontId="261" fillId="42" borderId="41" xfId="826" applyFont="1" applyFill="1" applyBorder="1" applyAlignment="1">
      <alignment horizontal="center" vertical="center" wrapText="1"/>
    </xf>
    <xf numFmtId="0" fontId="261" fillId="42" borderId="41" xfId="826" applyFont="1" applyFill="1" applyBorder="1" applyAlignment="1">
      <alignment horizontal="center" vertical="center"/>
    </xf>
    <xf numFmtId="0" fontId="129" fillId="0" borderId="238" xfId="826" applyFont="1" applyFill="1" applyBorder="1" applyAlignment="1">
      <alignment horizontal="center" vertical="center"/>
    </xf>
    <xf numFmtId="0" fontId="144" fillId="0" borderId="0" xfId="826" applyFont="1" applyBorder="1" applyAlignment="1">
      <alignment horizontal="right" vertical="center" wrapText="1"/>
    </xf>
    <xf numFmtId="0" fontId="128" fillId="23" borderId="197" xfId="826" applyFont="1" applyFill="1" applyBorder="1" applyAlignment="1">
      <alignment horizontal="center" vertical="center"/>
    </xf>
    <xf numFmtId="0" fontId="144" fillId="0" borderId="197" xfId="826" applyFont="1" applyFill="1" applyBorder="1" applyAlignment="1">
      <alignment horizontal="center" vertical="center"/>
    </xf>
    <xf numFmtId="0" fontId="261" fillId="0" borderId="43" xfId="826" applyFont="1" applyFill="1" applyBorder="1" applyAlignment="1">
      <alignment horizontal="center" vertical="center"/>
    </xf>
    <xf numFmtId="0" fontId="129" fillId="43" borderId="182" xfId="826" applyFont="1" applyFill="1" applyBorder="1" applyAlignment="1">
      <alignment horizontal="center" vertical="center" wrapText="1"/>
    </xf>
    <xf numFmtId="0" fontId="129" fillId="43" borderId="197" xfId="826" applyFont="1" applyFill="1" applyBorder="1" applyAlignment="1">
      <alignment horizontal="left" vertical="center" indent="1"/>
    </xf>
    <xf numFmtId="0" fontId="261" fillId="43" borderId="182" xfId="826" applyFont="1" applyFill="1" applyBorder="1" applyAlignment="1">
      <alignment horizontal="center" vertical="center"/>
    </xf>
    <xf numFmtId="0" fontId="129" fillId="0" borderId="197" xfId="826" applyFont="1" applyFill="1" applyBorder="1" applyAlignment="1">
      <alignment horizontal="center" vertical="center"/>
    </xf>
    <xf numFmtId="0" fontId="261" fillId="0" borderId="197" xfId="826" applyFont="1" applyFill="1" applyBorder="1" applyAlignment="1">
      <alignment horizontal="center" vertical="center"/>
    </xf>
    <xf numFmtId="0" fontId="187" fillId="0" borderId="197" xfId="826" applyFont="1" applyFill="1" applyBorder="1" applyAlignment="1">
      <alignment horizontal="center" vertical="center"/>
    </xf>
    <xf numFmtId="0" fontId="187" fillId="0" borderId="42" xfId="826" applyFont="1" applyFill="1" applyBorder="1" applyAlignment="1">
      <alignment horizontal="center" vertical="center" wrapText="1"/>
    </xf>
    <xf numFmtId="0" fontId="144" fillId="0" borderId="41" xfId="826" applyFont="1" applyFill="1" applyBorder="1" applyAlignment="1">
      <alignment horizontal="center" vertical="center" wrapText="1"/>
    </xf>
    <xf numFmtId="0" fontId="129" fillId="44" borderId="197" xfId="826" applyFont="1" applyFill="1" applyBorder="1" applyAlignment="1">
      <alignment horizontal="center" vertical="center"/>
    </xf>
    <xf numFmtId="0" fontId="261" fillId="44" borderId="43" xfId="826" applyFont="1" applyFill="1" applyBorder="1" applyAlignment="1">
      <alignment horizontal="center" vertical="center"/>
    </xf>
    <xf numFmtId="0" fontId="261" fillId="44" borderId="41" xfId="826" applyFont="1" applyFill="1" applyBorder="1" applyAlignment="1">
      <alignment horizontal="center" vertical="center"/>
    </xf>
    <xf numFmtId="0" fontId="129" fillId="44" borderId="44" xfId="826" applyFont="1" applyFill="1" applyBorder="1" applyAlignment="1">
      <alignment horizontal="left" vertical="center" indent="1"/>
    </xf>
    <xf numFmtId="0" fontId="129" fillId="44" borderId="34" xfId="826" applyFont="1" applyFill="1" applyBorder="1" applyAlignment="1">
      <alignment horizontal="center" vertical="center"/>
    </xf>
    <xf numFmtId="0" fontId="129" fillId="44" borderId="44" xfId="826" applyFont="1" applyFill="1" applyBorder="1" applyAlignment="1">
      <alignment horizontal="center" vertical="center"/>
    </xf>
    <xf numFmtId="0" fontId="187" fillId="0" borderId="32" xfId="826" applyFont="1" applyFill="1" applyBorder="1" applyAlignment="1">
      <alignment horizontal="center" vertical="center"/>
    </xf>
    <xf numFmtId="0" fontId="144" fillId="0" borderId="33" xfId="826" applyFont="1" applyFill="1" applyBorder="1" applyAlignment="1">
      <alignment horizontal="center" vertical="center"/>
    </xf>
    <xf numFmtId="0" fontId="144" fillId="0" borderId="31" xfId="826" applyFont="1" applyFill="1" applyBorder="1" applyAlignment="1">
      <alignment horizontal="center" vertical="center"/>
    </xf>
    <xf numFmtId="0" fontId="187" fillId="0" borderId="31" xfId="826" applyFont="1" applyFill="1" applyBorder="1" applyAlignment="1">
      <alignment horizontal="center" vertical="center"/>
    </xf>
    <xf numFmtId="0" fontId="144" fillId="0" borderId="237" xfId="826" applyFont="1" applyBorder="1" applyAlignment="1">
      <alignment vertical="center"/>
    </xf>
    <xf numFmtId="0" fontId="169" fillId="0" borderId="34" xfId="826" applyFont="1" applyFill="1" applyBorder="1" applyAlignment="1">
      <alignment horizontal="center" vertical="center"/>
    </xf>
    <xf numFmtId="0" fontId="328" fillId="0" borderId="44" xfId="826" applyFont="1" applyFill="1" applyBorder="1" applyAlignment="1">
      <alignment horizontal="center" vertical="center" wrapText="1"/>
    </xf>
    <xf numFmtId="0" fontId="129" fillId="0" borderId="32" xfId="826" applyFont="1" applyFill="1" applyBorder="1" applyAlignment="1">
      <alignment horizontal="center" vertical="center" wrapText="1"/>
    </xf>
    <xf numFmtId="0" fontId="129" fillId="0" borderId="33" xfId="66" applyFont="1" applyBorder="1" applyAlignment="1">
      <alignment horizontal="left" wrapText="1" indent="1"/>
    </xf>
    <xf numFmtId="0" fontId="129" fillId="0" borderId="32" xfId="66" applyFont="1" applyBorder="1" applyAlignment="1">
      <alignment horizontal="left" wrapText="1" indent="1"/>
    </xf>
    <xf numFmtId="0" fontId="129" fillId="0" borderId="31" xfId="66" applyFont="1" applyBorder="1" applyAlignment="1">
      <alignment horizontal="left" wrapText="1" indent="1"/>
    </xf>
    <xf numFmtId="0" fontId="345" fillId="0" borderId="16" xfId="374" applyFont="1" applyFill="1" applyBorder="1" applyAlignment="1">
      <alignment horizontal="left" vertical="center" indent="1"/>
    </xf>
    <xf numFmtId="0" fontId="345" fillId="0" borderId="54" xfId="52" applyFont="1" applyFill="1" applyBorder="1" applyAlignment="1">
      <alignment horizontal="left" vertical="center"/>
    </xf>
    <xf numFmtId="0" fontId="346" fillId="23" borderId="18" xfId="76" applyFont="1" applyFill="1" applyBorder="1" applyAlignment="1">
      <alignment horizontal="center" vertical="center" wrapText="1"/>
    </xf>
    <xf numFmtId="0" fontId="131" fillId="0" borderId="0" xfId="0" applyFont="1" applyBorder="1" applyAlignment="1">
      <alignment vertical="center" wrapText="1"/>
    </xf>
    <xf numFmtId="0" fontId="131" fillId="0" borderId="0" xfId="0" applyFont="1" applyAlignment="1">
      <alignment vertical="center" wrapText="1"/>
    </xf>
    <xf numFmtId="0" fontId="323" fillId="23" borderId="24" xfId="374" applyFont="1" applyFill="1" applyBorder="1" applyAlignment="1">
      <alignment vertical="center"/>
    </xf>
    <xf numFmtId="0" fontId="264" fillId="0" borderId="0" xfId="374" applyFont="1" applyBorder="1" applyAlignment="1">
      <alignment horizontal="center"/>
    </xf>
    <xf numFmtId="0" fontId="128" fillId="23" borderId="10" xfId="0" applyFont="1" applyFill="1" applyBorder="1" applyAlignment="1">
      <alignment horizontal="center" vertical="center" wrapTex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3" fontId="192" fillId="0" borderId="36" xfId="66" applyNumberFormat="1" applyFont="1" applyFill="1" applyBorder="1" applyAlignment="1" applyProtection="1">
      <alignment horizontal="center" vertical="center"/>
    </xf>
    <xf numFmtId="3" fontId="192" fillId="0" borderId="36" xfId="66" applyNumberFormat="1" applyFont="1" applyFill="1" applyBorder="1" applyAlignment="1">
      <alignment horizontal="center"/>
    </xf>
    <xf numFmtId="3" fontId="192" fillId="0" borderId="36" xfId="66" applyNumberFormat="1" applyFont="1" applyBorder="1" applyAlignment="1">
      <alignment horizontal="center"/>
    </xf>
    <xf numFmtId="3" fontId="192" fillId="0" borderId="39" xfId="66" applyNumberFormat="1" applyFont="1" applyFill="1" applyBorder="1" applyAlignment="1" applyProtection="1">
      <alignment horizontal="center" vertical="center"/>
    </xf>
    <xf numFmtId="3" fontId="7" fillId="0" borderId="36" xfId="66" applyNumberFormat="1" applyFont="1" applyBorder="1" applyAlignment="1">
      <alignment horizontal="center"/>
    </xf>
    <xf numFmtId="0" fontId="129" fillId="0" borderId="41" xfId="66" applyFont="1" applyBorder="1" applyAlignment="1">
      <alignment horizontal="left" vertical="center" wrapText="1"/>
    </xf>
    <xf numFmtId="0" fontId="184" fillId="0" borderId="31" xfId="66" applyFont="1" applyBorder="1" applyAlignment="1">
      <alignment wrapText="1"/>
    </xf>
    <xf numFmtId="0" fontId="200" fillId="0" borderId="31" xfId="66" applyFont="1" applyBorder="1" applyAlignment="1">
      <alignment wrapText="1"/>
    </xf>
    <xf numFmtId="0" fontId="347" fillId="0" borderId="40" xfId="66" applyFont="1" applyFill="1" applyBorder="1" applyAlignment="1">
      <alignment vertical="center" wrapText="1"/>
    </xf>
    <xf numFmtId="0" fontId="347" fillId="0" borderId="41" xfId="66" applyFont="1" applyFill="1" applyBorder="1" applyAlignment="1">
      <alignment vertical="center" wrapText="1"/>
    </xf>
    <xf numFmtId="3" fontId="128" fillId="23" borderId="196" xfId="66" applyNumberFormat="1" applyFont="1" applyFill="1" applyBorder="1" applyAlignment="1">
      <alignment horizontal="right" vertical="center" indent="1"/>
    </xf>
    <xf numFmtId="3" fontId="128" fillId="23" borderId="197" xfId="66" applyNumberFormat="1" applyFont="1" applyFill="1" applyBorder="1" applyAlignment="1">
      <alignment horizontal="right" vertical="center" indent="1"/>
    </xf>
    <xf numFmtId="0" fontId="320" fillId="0" borderId="0" xfId="635" applyFont="1" applyAlignment="1">
      <alignment horizontal="right"/>
    </xf>
    <xf numFmtId="0" fontId="179" fillId="0" borderId="0" xfId="635" applyFont="1" applyFill="1" applyBorder="1" applyAlignment="1">
      <alignment horizontal="right" vertical="center" indent="1"/>
    </xf>
    <xf numFmtId="3" fontId="179" fillId="0" borderId="0" xfId="635" applyNumberFormat="1" applyFont="1" applyFill="1" applyBorder="1" applyAlignment="1">
      <alignment horizontal="right" vertical="center" indent="1"/>
    </xf>
    <xf numFmtId="0" fontId="179" fillId="0" borderId="234" xfId="635" applyFont="1" applyFill="1" applyBorder="1" applyAlignment="1">
      <alignment horizontal="right" vertical="center" indent="1"/>
    </xf>
    <xf numFmtId="0" fontId="179" fillId="0" borderId="237" xfId="635" applyFont="1" applyFill="1" applyBorder="1" applyAlignment="1">
      <alignment horizontal="right" vertical="center" indent="1"/>
    </xf>
    <xf numFmtId="3" fontId="179" fillId="0" borderId="237" xfId="635" applyNumberFormat="1" applyFont="1" applyFill="1" applyBorder="1" applyAlignment="1">
      <alignment horizontal="right" vertical="center" indent="1"/>
    </xf>
    <xf numFmtId="0" fontId="179" fillId="0" borderId="16" xfId="635" applyFont="1" applyFill="1" applyBorder="1" applyAlignment="1">
      <alignment horizontal="right" vertical="center" indent="1"/>
    </xf>
    <xf numFmtId="0" fontId="179" fillId="0" borderId="20" xfId="635" applyFont="1" applyFill="1" applyBorder="1" applyAlignment="1">
      <alignment horizontal="right" vertical="center" indent="1"/>
    </xf>
    <xf numFmtId="0" fontId="179" fillId="0" borderId="24" xfId="635" applyFont="1" applyFill="1" applyBorder="1" applyAlignment="1">
      <alignment horizontal="right" vertical="center" indent="1"/>
    </xf>
    <xf numFmtId="3" fontId="179" fillId="0" borderId="24" xfId="635" applyNumberFormat="1" applyFont="1" applyFill="1" applyBorder="1" applyAlignment="1">
      <alignment horizontal="right" vertical="center" indent="1"/>
    </xf>
    <xf numFmtId="0" fontId="137" fillId="0" borderId="218" xfId="45" applyFont="1" applyFill="1" applyBorder="1" applyAlignment="1">
      <alignment horizontal="center" vertical="center"/>
    </xf>
    <xf numFmtId="0" fontId="178" fillId="23" borderId="182" xfId="45" applyFont="1" applyFill="1" applyBorder="1" applyAlignment="1">
      <alignment horizontal="centerContinuous" vertical="center"/>
    </xf>
    <xf numFmtId="184" fontId="300" fillId="0" borderId="0" xfId="0" applyNumberFormat="1" applyFont="1"/>
    <xf numFmtId="0" fontId="348" fillId="0" borderId="0" xfId="0" applyFont="1"/>
    <xf numFmtId="184" fontId="349" fillId="0" borderId="0" xfId="0" applyNumberFormat="1" applyFont="1"/>
    <xf numFmtId="0" fontId="333" fillId="0" borderId="0" xfId="0" applyFont="1"/>
    <xf numFmtId="184" fontId="304" fillId="0" borderId="0" xfId="0" applyNumberFormat="1" applyFont="1"/>
    <xf numFmtId="0" fontId="298" fillId="0" borderId="0" xfId="0" applyFont="1"/>
    <xf numFmtId="184" fontId="302" fillId="0" borderId="0" xfId="0" applyNumberFormat="1" applyFont="1"/>
    <xf numFmtId="0" fontId="350" fillId="0" borderId="0" xfId="0" applyFont="1"/>
    <xf numFmtId="184" fontId="303" fillId="0" borderId="0" xfId="0" applyNumberFormat="1" applyFont="1"/>
    <xf numFmtId="0" fontId="144" fillId="0" borderId="234" xfId="0" applyFont="1" applyBorder="1" applyAlignment="1">
      <alignment horizontal="right" vertical="center"/>
    </xf>
    <xf numFmtId="0" fontId="144" fillId="0" borderId="237" xfId="0" applyFont="1" applyBorder="1" applyAlignment="1">
      <alignment horizontal="right" vertical="center"/>
    </xf>
    <xf numFmtId="0" fontId="0" fillId="0" borderId="16" xfId="0" applyBorder="1"/>
    <xf numFmtId="0" fontId="299" fillId="0" borderId="16" xfId="0" applyFont="1" applyBorder="1"/>
    <xf numFmtId="0" fontId="144" fillId="0" borderId="16" xfId="0" applyFont="1" applyBorder="1"/>
    <xf numFmtId="0" fontId="348" fillId="0" borderId="16" xfId="0" applyFont="1" applyBorder="1"/>
    <xf numFmtId="0" fontId="298" fillId="0" borderId="16" xfId="0" applyFont="1" applyBorder="1"/>
    <xf numFmtId="0" fontId="350" fillId="0" borderId="16" xfId="0" applyFont="1" applyBorder="1"/>
    <xf numFmtId="0" fontId="333" fillId="0" borderId="16" xfId="0" applyFont="1" applyBorder="1"/>
    <xf numFmtId="0" fontId="252" fillId="0" borderId="241" xfId="0" applyFont="1" applyBorder="1" applyAlignment="1">
      <alignment horizontal="right" vertical="center"/>
    </xf>
    <xf numFmtId="0" fontId="0" fillId="0" borderId="17" xfId="0" applyBorder="1"/>
    <xf numFmtId="184" fontId="300" fillId="0" borderId="17" xfId="0" applyNumberFormat="1" applyFont="1" applyBorder="1"/>
    <xf numFmtId="184" fontId="252" fillId="0" borderId="17" xfId="0" applyNumberFormat="1" applyFont="1" applyBorder="1"/>
    <xf numFmtId="184" fontId="349" fillId="0" borderId="17" xfId="0" applyNumberFormat="1" applyFont="1" applyBorder="1"/>
    <xf numFmtId="184" fontId="302" fillId="0" borderId="17" xfId="0" applyNumberFormat="1" applyFont="1" applyBorder="1"/>
    <xf numFmtId="184" fontId="303" fillId="0" borderId="17" xfId="0" applyNumberFormat="1" applyFont="1" applyBorder="1"/>
    <xf numFmtId="184" fontId="304" fillId="0" borderId="17" xfId="0" applyNumberFormat="1" applyFont="1" applyBorder="1"/>
    <xf numFmtId="184" fontId="299" fillId="0" borderId="0" xfId="0" applyNumberFormat="1" applyFont="1"/>
    <xf numFmtId="184" fontId="348" fillId="0" borderId="0" xfId="0" applyNumberFormat="1" applyFont="1"/>
    <xf numFmtId="184" fontId="298" fillId="0" borderId="0" xfId="0" applyNumberFormat="1" applyFont="1"/>
    <xf numFmtId="184" fontId="350" fillId="0" borderId="0" xfId="0" applyNumberFormat="1" applyFont="1"/>
    <xf numFmtId="184" fontId="333" fillId="0" borderId="0" xfId="0" applyNumberFormat="1" applyFont="1"/>
    <xf numFmtId="3" fontId="144" fillId="0" borderId="0" xfId="0" applyNumberFormat="1" applyFont="1"/>
    <xf numFmtId="3" fontId="301" fillId="0" borderId="0" xfId="0" applyNumberFormat="1" applyFont="1"/>
    <xf numFmtId="3" fontId="304" fillId="0" borderId="0" xfId="0" applyNumberFormat="1" applyFont="1"/>
    <xf numFmtId="0" fontId="209" fillId="0" borderId="0" xfId="45" applyFont="1" applyFill="1" applyBorder="1" applyAlignment="1">
      <alignment horizontal="right"/>
    </xf>
    <xf numFmtId="0" fontId="352" fillId="0" borderId="0" xfId="45" applyFont="1" applyAlignment="1">
      <alignment horizontal="right"/>
    </xf>
    <xf numFmtId="0" fontId="233" fillId="20" borderId="19" xfId="635" applyFont="1" applyFill="1" applyBorder="1" applyAlignment="1">
      <alignment horizontal="right" vertical="center"/>
    </xf>
    <xf numFmtId="0" fontId="233" fillId="20" borderId="11" xfId="635" applyFont="1" applyFill="1" applyBorder="1" applyAlignment="1">
      <alignment horizontal="right" vertical="center"/>
    </xf>
    <xf numFmtId="0" fontId="233" fillId="20" borderId="21" xfId="635" applyFont="1" applyFill="1" applyBorder="1" applyAlignment="1">
      <alignment horizontal="right" vertical="center"/>
    </xf>
    <xf numFmtId="0" fontId="233" fillId="20" borderId="23" xfId="635" applyFont="1" applyFill="1" applyBorder="1" applyAlignment="1">
      <alignment horizontal="right" vertical="center"/>
    </xf>
    <xf numFmtId="0" fontId="233" fillId="20" borderId="20" xfId="635" applyFont="1" applyFill="1" applyBorder="1" applyAlignment="1">
      <alignment horizontal="right" vertical="center"/>
    </xf>
    <xf numFmtId="167" fontId="131" fillId="23" borderId="18" xfId="636" applyNumberFormat="1" applyFont="1" applyFill="1" applyBorder="1" applyAlignment="1">
      <alignment horizontal="right" vertical="center"/>
    </xf>
    <xf numFmtId="170" fontId="131" fillId="20" borderId="19" xfId="637" applyNumberFormat="1" applyFont="1" applyFill="1" applyBorder="1" applyAlignment="1">
      <alignment horizontal="right" vertical="center"/>
    </xf>
    <xf numFmtId="170" fontId="131" fillId="20" borderId="19" xfId="57" applyNumberFormat="1" applyFont="1" applyFill="1" applyBorder="1" applyAlignment="1">
      <alignment horizontal="right" vertical="center"/>
    </xf>
    <xf numFmtId="170" fontId="131" fillId="20" borderId="21" xfId="637" applyNumberFormat="1" applyFont="1" applyFill="1" applyBorder="1" applyAlignment="1">
      <alignment horizontal="right" vertical="center"/>
    </xf>
    <xf numFmtId="170" fontId="131" fillId="20" borderId="21" xfId="57" applyNumberFormat="1" applyFont="1" applyFill="1" applyBorder="1" applyAlignment="1">
      <alignment horizontal="right" vertical="center"/>
    </xf>
    <xf numFmtId="170" fontId="131" fillId="20" borderId="23" xfId="637" applyNumberFormat="1" applyFont="1" applyFill="1" applyBorder="1" applyAlignment="1">
      <alignment horizontal="right" vertical="center"/>
    </xf>
    <xf numFmtId="170" fontId="131" fillId="20" borderId="23" xfId="57" applyNumberFormat="1" applyFont="1" applyFill="1" applyBorder="1" applyAlignment="1">
      <alignment horizontal="right" vertical="center"/>
    </xf>
    <xf numFmtId="170" fontId="131" fillId="23" borderId="18" xfId="637" applyNumberFormat="1" applyFont="1" applyFill="1" applyBorder="1" applyAlignment="1">
      <alignment horizontal="right" vertical="center"/>
    </xf>
    <xf numFmtId="0" fontId="338" fillId="0" borderId="0" xfId="374" applyFont="1" applyAlignment="1">
      <alignment vertical="center" wrapText="1" readingOrder="1"/>
    </xf>
    <xf numFmtId="0" fontId="200" fillId="0" borderId="0" xfId="374" applyFont="1"/>
    <xf numFmtId="0" fontId="150" fillId="23" borderId="182" xfId="76" applyFont="1" applyFill="1" applyBorder="1" applyAlignment="1">
      <alignment horizontal="center" vertical="center"/>
    </xf>
    <xf numFmtId="0" fontId="150" fillId="23" borderId="182" xfId="76" applyFont="1" applyFill="1" applyBorder="1" applyAlignment="1">
      <alignment horizontal="center" vertical="center" wrapText="1"/>
    </xf>
    <xf numFmtId="0" fontId="128" fillId="23" borderId="182" xfId="826" applyFont="1" applyFill="1" applyBorder="1" applyAlignment="1">
      <alignment horizontal="center" vertical="center"/>
    </xf>
    <xf numFmtId="0" fontId="129" fillId="0" borderId="44" xfId="826" applyFont="1" applyFill="1" applyBorder="1" applyAlignment="1">
      <alignment horizontal="left" vertical="center" indent="1"/>
    </xf>
    <xf numFmtId="0" fontId="129" fillId="0" borderId="43" xfId="826" applyFont="1" applyFill="1" applyBorder="1" applyAlignment="1">
      <alignment horizontal="left" vertical="center" indent="1"/>
    </xf>
    <xf numFmtId="0" fontId="150" fillId="0" borderId="241" xfId="76" applyFont="1" applyFill="1" applyBorder="1" applyAlignment="1">
      <alignment vertical="center"/>
    </xf>
    <xf numFmtId="0" fontId="6" fillId="0" borderId="0" xfId="76" applyFont="1"/>
    <xf numFmtId="0" fontId="6" fillId="0" borderId="25" xfId="76" applyFont="1" applyBorder="1" applyAlignment="1">
      <alignment horizontal="center"/>
    </xf>
    <xf numFmtId="0" fontId="6" fillId="0" borderId="30" xfId="76" applyFont="1" applyBorder="1" applyAlignment="1">
      <alignment horizontal="center"/>
    </xf>
    <xf numFmtId="0" fontId="6" fillId="0" borderId="26" xfId="76" applyFont="1" applyBorder="1" applyAlignment="1">
      <alignment horizontal="center"/>
    </xf>
    <xf numFmtId="0" fontId="6" fillId="0" borderId="31" xfId="76" applyFont="1" applyBorder="1" applyAlignment="1">
      <alignment horizontal="center"/>
    </xf>
    <xf numFmtId="0" fontId="6" fillId="0" borderId="27" xfId="76" applyFont="1" applyBorder="1" applyAlignment="1">
      <alignment horizontal="center"/>
    </xf>
    <xf numFmtId="0" fontId="6" fillId="0" borderId="32" xfId="76" applyFont="1" applyBorder="1" applyAlignment="1">
      <alignment horizontal="center"/>
    </xf>
    <xf numFmtId="0" fontId="6" fillId="0" borderId="0" xfId="76" applyFont="1" applyBorder="1"/>
    <xf numFmtId="0" fontId="6" fillId="0" borderId="0" xfId="76" applyFont="1" applyAlignment="1">
      <alignment horizontal="center"/>
    </xf>
    <xf numFmtId="0" fontId="144" fillId="0" borderId="30" xfId="826" applyFont="1" applyFill="1" applyBorder="1" applyAlignment="1">
      <alignment horizontal="left" vertical="center"/>
    </xf>
    <xf numFmtId="0" fontId="144" fillId="0" borderId="34" xfId="826" applyFont="1" applyFill="1" applyBorder="1" applyAlignment="1">
      <alignment horizontal="center" vertical="center"/>
    </xf>
    <xf numFmtId="0" fontId="144" fillId="0" borderId="31" xfId="826" applyFont="1" applyFill="1" applyBorder="1" applyAlignment="1">
      <alignment horizontal="left" vertical="center"/>
    </xf>
    <xf numFmtId="0" fontId="144" fillId="0" borderId="32" xfId="826" applyFont="1" applyFill="1" applyBorder="1" applyAlignment="1">
      <alignment horizontal="center" vertical="center"/>
    </xf>
    <xf numFmtId="0" fontId="144" fillId="0" borderId="21" xfId="826" applyFont="1" applyFill="1" applyBorder="1" applyAlignment="1">
      <alignment horizontal="center" vertical="center"/>
    </xf>
    <xf numFmtId="0" fontId="144" fillId="0" borderId="34" xfId="826" applyFont="1" applyFill="1" applyBorder="1" applyAlignment="1">
      <alignment horizontal="left" vertical="center"/>
    </xf>
    <xf numFmtId="0" fontId="144" fillId="42" borderId="30" xfId="826" applyFont="1" applyFill="1" applyBorder="1" applyAlignment="1">
      <alignment horizontal="left" vertical="center"/>
    </xf>
    <xf numFmtId="0" fontId="144" fillId="42" borderId="31" xfId="826" applyFont="1" applyFill="1" applyBorder="1" applyAlignment="1">
      <alignment horizontal="left" vertical="center"/>
    </xf>
    <xf numFmtId="0" fontId="144" fillId="42" borderId="32" xfId="826" applyFont="1" applyFill="1" applyBorder="1" applyAlignment="1">
      <alignment horizontal="left" vertical="center"/>
    </xf>
    <xf numFmtId="0" fontId="144" fillId="42" borderId="33" xfId="826" applyFont="1" applyFill="1" applyBorder="1" applyAlignment="1">
      <alignment horizontal="left" vertical="center"/>
    </xf>
    <xf numFmtId="0" fontId="354" fillId="42" borderId="33" xfId="826" applyFont="1" applyFill="1" applyBorder="1" applyAlignment="1">
      <alignment horizontal="center" vertical="center"/>
    </xf>
    <xf numFmtId="0" fontId="261" fillId="42" borderId="43" xfId="826" applyFont="1" applyFill="1" applyBorder="1" applyAlignment="1">
      <alignment horizontal="center" vertical="center"/>
    </xf>
    <xf numFmtId="0" fontId="129" fillId="0" borderId="33" xfId="826" applyFont="1" applyFill="1" applyBorder="1" applyAlignment="1">
      <alignment horizontal="center" vertical="center" wrapText="1"/>
    </xf>
    <xf numFmtId="0" fontId="129" fillId="43" borderId="182" xfId="826" applyFont="1" applyFill="1" applyBorder="1" applyAlignment="1">
      <alignment horizontal="center" vertical="center"/>
    </xf>
    <xf numFmtId="0" fontId="354" fillId="0" borderId="31" xfId="826" applyFont="1" applyFill="1" applyBorder="1" applyAlignment="1">
      <alignment horizontal="center" vertical="center"/>
    </xf>
    <xf numFmtId="0" fontId="354" fillId="41" borderId="31" xfId="826" applyFont="1" applyFill="1" applyBorder="1" applyAlignment="1">
      <alignment horizontal="center" vertical="center"/>
    </xf>
    <xf numFmtId="0" fontId="261" fillId="41" borderId="41" xfId="826" applyFont="1" applyFill="1" applyBorder="1" applyAlignment="1">
      <alignment horizontal="center" vertical="center"/>
    </xf>
    <xf numFmtId="0" fontId="6" fillId="41" borderId="32" xfId="826" applyFont="1" applyFill="1" applyBorder="1" applyAlignment="1">
      <alignment horizontal="left" vertical="center" indent="1"/>
    </xf>
    <xf numFmtId="0" fontId="130" fillId="0" borderId="0" xfId="0" applyFont="1"/>
    <xf numFmtId="3" fontId="321" fillId="0" borderId="0" xfId="828" applyNumberFormat="1" applyFont="1" applyAlignment="1">
      <alignment vertical="center"/>
    </xf>
    <xf numFmtId="3" fontId="321" fillId="0" borderId="0" xfId="828" applyNumberFormat="1" applyFont="1"/>
    <xf numFmtId="0" fontId="128" fillId="0" borderId="23" xfId="0" applyFont="1" applyFill="1" applyBorder="1" applyAlignment="1">
      <alignment horizontal="center" vertical="center" wrapText="1"/>
    </xf>
    <xf numFmtId="0" fontId="176" fillId="0" borderId="187" xfId="66" applyFont="1" applyFill="1" applyBorder="1" applyAlignment="1">
      <alignment horizontal="center" vertical="center"/>
    </xf>
    <xf numFmtId="0" fontId="177" fillId="0" borderId="187" xfId="66" applyFont="1" applyFill="1" applyBorder="1" applyAlignment="1">
      <alignment horizontal="center" vertical="center"/>
    </xf>
    <xf numFmtId="0" fontId="175" fillId="0" borderId="187" xfId="66" applyFont="1" applyFill="1" applyBorder="1" applyAlignment="1">
      <alignment horizontal="center" vertical="center"/>
    </xf>
    <xf numFmtId="0" fontId="179" fillId="0" borderId="187" xfId="66" applyFont="1" applyFill="1" applyBorder="1" applyAlignment="1">
      <alignment horizontal="center" vertical="center"/>
    </xf>
    <xf numFmtId="0" fontId="129" fillId="0" borderId="34" xfId="374" applyFont="1" applyBorder="1" applyAlignment="1">
      <alignment horizontal="left" vertical="center"/>
    </xf>
    <xf numFmtId="3" fontId="129" fillId="0" borderId="29" xfId="374" applyNumberFormat="1" applyFont="1" applyBorder="1" applyAlignment="1">
      <alignment horizontal="right" vertical="center" indent="1"/>
    </xf>
    <xf numFmtId="3" fontId="129" fillId="0" borderId="44" xfId="374" applyNumberFormat="1" applyFont="1" applyBorder="1" applyAlignment="1">
      <alignment horizontal="right" vertical="center" indent="1"/>
    </xf>
    <xf numFmtId="3" fontId="129" fillId="0" borderId="16" xfId="66" applyNumberFormat="1" applyFont="1" applyBorder="1" applyAlignment="1">
      <alignment horizontal="center" vertical="center"/>
    </xf>
    <xf numFmtId="3" fontId="129" fillId="0" borderId="17" xfId="66" applyNumberFormat="1" applyFont="1" applyBorder="1" applyAlignment="1">
      <alignment horizontal="center" vertical="center"/>
    </xf>
    <xf numFmtId="0" fontId="147" fillId="0" borderId="34" xfId="66" applyFont="1" applyBorder="1" applyAlignment="1">
      <alignment vertical="center"/>
    </xf>
    <xf numFmtId="0" fontId="129" fillId="0" borderId="29" xfId="66" applyFont="1" applyBorder="1" applyAlignment="1">
      <alignment horizontal="center" vertical="center"/>
    </xf>
    <xf numFmtId="0" fontId="129" fillId="0" borderId="39" xfId="66" applyFont="1" applyBorder="1" applyAlignment="1">
      <alignment horizontal="center" vertical="center"/>
    </xf>
    <xf numFmtId="0" fontId="129" fillId="0" borderId="44" xfId="66" applyFont="1" applyBorder="1" applyAlignment="1">
      <alignment horizontal="center" vertical="center"/>
    </xf>
    <xf numFmtId="0" fontId="147" fillId="0" borderId="33" xfId="655" applyFont="1" applyBorder="1" applyAlignment="1">
      <alignment vertical="center"/>
    </xf>
    <xf numFmtId="0" fontId="147" fillId="0" borderId="28" xfId="655" applyFont="1" applyBorder="1" applyAlignment="1">
      <alignment horizontal="center" vertical="center"/>
    </xf>
    <xf numFmtId="0" fontId="147" fillId="0" borderId="33" xfId="655" applyFont="1" applyBorder="1" applyAlignment="1">
      <alignment horizontal="center" vertical="center"/>
    </xf>
    <xf numFmtId="0" fontId="129" fillId="0" borderId="28" xfId="655" applyFont="1" applyBorder="1" applyAlignment="1">
      <alignment horizontal="center" vertical="center"/>
    </xf>
    <xf numFmtId="0" fontId="129" fillId="0" borderId="43" xfId="655" applyFont="1" applyBorder="1" applyAlignment="1">
      <alignment horizontal="center" vertical="center"/>
    </xf>
    <xf numFmtId="0" fontId="129" fillId="0" borderId="0" xfId="0" applyFont="1" applyAlignment="1">
      <alignment textRotation="90"/>
    </xf>
    <xf numFmtId="0" fontId="179" fillId="0" borderId="0" xfId="0" applyFont="1" applyBorder="1" applyAlignment="1">
      <alignment horizontal="center" vertical="center" textRotation="90"/>
    </xf>
    <xf numFmtId="0" fontId="128" fillId="0" borderId="243" xfId="0" applyFont="1" applyBorder="1" applyAlignment="1">
      <alignment horizontal="center"/>
    </xf>
    <xf numFmtId="0" fontId="128" fillId="0" borderId="242" xfId="0" applyFont="1" applyBorder="1" applyAlignment="1">
      <alignment horizontal="center"/>
    </xf>
    <xf numFmtId="3" fontId="129" fillId="0" borderId="242" xfId="0" applyNumberFormat="1" applyFont="1" applyBorder="1" applyAlignment="1">
      <alignment horizontal="right" vertical="center" indent="1"/>
    </xf>
    <xf numFmtId="3" fontId="128" fillId="0" borderId="242" xfId="0" applyNumberFormat="1" applyFont="1" applyBorder="1" applyAlignment="1">
      <alignment horizontal="right" vertical="center" indent="1"/>
    </xf>
    <xf numFmtId="3" fontId="128" fillId="0" borderId="182" xfId="0" applyNumberFormat="1" applyFont="1" applyBorder="1" applyAlignment="1">
      <alignment horizontal="right" vertical="center" indent="1"/>
    </xf>
    <xf numFmtId="0" fontId="128" fillId="0" borderId="242" xfId="0" applyFont="1" applyFill="1" applyBorder="1" applyAlignment="1">
      <alignment horizontal="center"/>
    </xf>
    <xf numFmtId="0" fontId="128" fillId="0" borderId="23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32" fillId="23" borderId="182" xfId="83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175" fillId="0" borderId="184" xfId="830" applyFont="1" applyBorder="1" applyAlignment="1">
      <alignment horizontal="center" vertical="center"/>
    </xf>
    <xf numFmtId="0" fontId="21" fillId="0" borderId="23" xfId="830" applyFont="1" applyBorder="1" applyAlignment="1">
      <alignment horizontal="center" vertical="center"/>
    </xf>
    <xf numFmtId="0" fontId="175" fillId="0" borderId="187" xfId="830" applyFont="1" applyFill="1" applyBorder="1" applyAlignment="1">
      <alignment horizontal="center" vertical="center"/>
    </xf>
    <xf numFmtId="0" fontId="176" fillId="0" borderId="182" xfId="830" applyFont="1" applyBorder="1" applyAlignment="1">
      <alignment horizontal="center" vertical="center"/>
    </xf>
    <xf numFmtId="0" fontId="176" fillId="0" borderId="184" xfId="830" applyFont="1" applyBorder="1" applyAlignment="1">
      <alignment horizontal="center" vertical="center"/>
    </xf>
    <xf numFmtId="0" fontId="176" fillId="0" borderId="187" xfId="830" applyFont="1" applyFill="1" applyBorder="1" applyAlignment="1">
      <alignment horizontal="center" vertical="center"/>
    </xf>
    <xf numFmtId="0" fontId="178" fillId="0" borderId="187" xfId="830" applyFont="1" applyFill="1" applyBorder="1" applyAlignment="1">
      <alignment horizontal="center" vertical="center"/>
    </xf>
    <xf numFmtId="0" fontId="177" fillId="0" borderId="184" xfId="830" applyFont="1" applyBorder="1" applyAlignment="1">
      <alignment horizontal="center" vertical="center"/>
    </xf>
    <xf numFmtId="0" fontId="177" fillId="0" borderId="187" xfId="830" applyFont="1" applyFill="1" applyBorder="1" applyAlignment="1">
      <alignment horizontal="center" vertical="center"/>
    </xf>
    <xf numFmtId="0" fontId="179" fillId="0" borderId="187" xfId="830" applyFont="1" applyFill="1" applyBorder="1" applyAlignment="1">
      <alignment horizontal="center" vertical="center"/>
    </xf>
    <xf numFmtId="0" fontId="132" fillId="23" borderId="13" xfId="830" applyFont="1" applyFill="1" applyBorder="1" applyAlignment="1">
      <alignment horizontal="center" vertical="center"/>
    </xf>
    <xf numFmtId="0" fontId="132" fillId="23" borderId="10" xfId="830" applyFont="1" applyFill="1" applyBorder="1" applyAlignment="1">
      <alignment horizontal="center" vertical="center"/>
    </xf>
    <xf numFmtId="0" fontId="28" fillId="0" borderId="23" xfId="830" applyFont="1" applyBorder="1" applyAlignment="1">
      <alignment horizontal="center" vertical="center"/>
    </xf>
    <xf numFmtId="0" fontId="168" fillId="0" borderId="18" xfId="0" applyFont="1" applyFill="1" applyBorder="1" applyAlignment="1">
      <alignment horizontal="center" vertical="center"/>
    </xf>
    <xf numFmtId="0" fontId="169" fillId="0" borderId="18" xfId="0" applyFont="1" applyFill="1" applyBorder="1" applyAlignment="1">
      <alignment horizontal="center" vertical="center"/>
    </xf>
    <xf numFmtId="0" fontId="233" fillId="0" borderId="0" xfId="830" applyFont="1" applyBorder="1" applyAlignment="1">
      <alignment vertical="center"/>
    </xf>
    <xf numFmtId="0" fontId="5" fillId="0" borderId="26" xfId="830" applyFont="1" applyBorder="1" applyAlignment="1">
      <alignment horizontal="left" vertical="center"/>
    </xf>
    <xf numFmtId="0" fontId="5" fillId="0" borderId="28" xfId="830" applyFont="1" applyBorder="1" applyAlignment="1">
      <alignment horizontal="left" vertical="center"/>
    </xf>
    <xf numFmtId="0" fontId="21" fillId="23" borderId="37" xfId="830" applyFont="1" applyFill="1" applyBorder="1" applyAlignment="1">
      <alignment horizontal="center" vertical="center"/>
    </xf>
    <xf numFmtId="0" fontId="132" fillId="0" borderId="16" xfId="830" applyFont="1" applyFill="1" applyBorder="1" applyAlignment="1">
      <alignment horizontal="center" vertical="center"/>
    </xf>
    <xf numFmtId="0" fontId="166" fillId="0" borderId="16" xfId="830" applyFont="1" applyFill="1" applyBorder="1" applyAlignment="1">
      <alignment horizontal="center" vertical="center"/>
    </xf>
    <xf numFmtId="0" fontId="5" fillId="0" borderId="182" xfId="830" applyFont="1" applyFill="1" applyBorder="1" applyAlignment="1">
      <alignment horizontal="center" vertical="center"/>
    </xf>
    <xf numFmtId="0" fontId="187" fillId="0" borderId="184" xfId="655" applyFont="1" applyFill="1" applyBorder="1" applyAlignment="1">
      <alignment horizontal="center" vertical="center"/>
    </xf>
    <xf numFmtId="0" fontId="187" fillId="0" borderId="187" xfId="655" applyFont="1" applyFill="1" applyBorder="1" applyAlignment="1">
      <alignment horizontal="center" vertical="center"/>
    </xf>
    <xf numFmtId="0" fontId="5" fillId="0" borderId="21" xfId="830" applyFont="1" applyBorder="1" applyAlignment="1">
      <alignment horizontal="center" vertical="center"/>
    </xf>
    <xf numFmtId="0" fontId="5" fillId="0" borderId="30" xfId="830" applyFont="1" applyBorder="1" applyAlignment="1">
      <alignment horizontal="center" vertical="center"/>
    </xf>
    <xf numFmtId="0" fontId="5" fillId="0" borderId="32" xfId="830" applyFont="1" applyBorder="1" applyAlignment="1">
      <alignment horizontal="center" vertical="center"/>
    </xf>
    <xf numFmtId="0" fontId="299" fillId="0" borderId="16" xfId="655" applyFont="1" applyFill="1" applyBorder="1" applyAlignment="1">
      <alignment horizontal="center" vertical="center"/>
    </xf>
    <xf numFmtId="0" fontId="299" fillId="0" borderId="17" xfId="655" applyFont="1" applyFill="1" applyBorder="1" applyAlignment="1">
      <alignment horizontal="center" vertical="center"/>
    </xf>
    <xf numFmtId="0" fontId="175" fillId="0" borderId="21" xfId="830" applyFont="1" applyFill="1" applyBorder="1" applyAlignment="1">
      <alignment horizontal="center" vertical="center"/>
    </xf>
    <xf numFmtId="0" fontId="166" fillId="0" borderId="21" xfId="830" applyFont="1" applyFill="1" applyBorder="1" applyAlignment="1">
      <alignment horizontal="center" vertical="center"/>
    </xf>
    <xf numFmtId="0" fontId="156" fillId="0" borderId="0" xfId="0" applyFont="1" applyAlignment="1">
      <alignment vertical="center"/>
    </xf>
    <xf numFmtId="0" fontId="5" fillId="0" borderId="28" xfId="830" applyFont="1" applyBorder="1"/>
    <xf numFmtId="0" fontId="5" fillId="0" borderId="26" xfId="830" applyFont="1" applyBorder="1"/>
    <xf numFmtId="0" fontId="5" fillId="0" borderId="25" xfId="830" applyFont="1" applyBorder="1"/>
    <xf numFmtId="0" fontId="21" fillId="0" borderId="218" xfId="0" applyFont="1" applyFill="1" applyBorder="1" applyAlignment="1">
      <alignment horizontal="center" vertical="center"/>
    </xf>
    <xf numFmtId="0" fontId="176" fillId="0" borderId="187" xfId="830" applyFont="1" applyBorder="1" applyAlignment="1">
      <alignment horizontal="center" vertical="center"/>
    </xf>
    <xf numFmtId="0" fontId="166" fillId="0" borderId="184" xfId="0" applyFont="1" applyFill="1" applyBorder="1" applyAlignment="1">
      <alignment horizontal="center" vertical="center"/>
    </xf>
    <xf numFmtId="0" fontId="166" fillId="0" borderId="187" xfId="0" applyFont="1" applyFill="1" applyBorder="1" applyAlignment="1">
      <alignment horizontal="center" vertical="center"/>
    </xf>
    <xf numFmtId="0" fontId="167" fillId="0" borderId="184" xfId="0" applyFont="1" applyFill="1" applyBorder="1" applyAlignment="1">
      <alignment horizontal="center" vertical="center"/>
    </xf>
    <xf numFmtId="0" fontId="167" fillId="0" borderId="187" xfId="0" applyFont="1" applyFill="1" applyBorder="1" applyAlignment="1">
      <alignment horizontal="center" vertical="center"/>
    </xf>
    <xf numFmtId="0" fontId="167" fillId="0" borderId="182" xfId="0" applyFont="1" applyFill="1" applyBorder="1" applyAlignment="1">
      <alignment horizontal="center" vertical="center"/>
    </xf>
    <xf numFmtId="0" fontId="169" fillId="0" borderId="184" xfId="0" applyFont="1" applyFill="1" applyBorder="1" applyAlignment="1">
      <alignment horizontal="center" vertical="center"/>
    </xf>
    <xf numFmtId="0" fontId="169" fillId="0" borderId="187" xfId="0" applyFont="1" applyFill="1" applyBorder="1" applyAlignment="1">
      <alignment horizontal="center" vertical="center"/>
    </xf>
    <xf numFmtId="0" fontId="168" fillId="0" borderId="184" xfId="0" applyFont="1" applyFill="1" applyBorder="1" applyAlignment="1">
      <alignment horizontal="center" vertical="center"/>
    </xf>
    <xf numFmtId="0" fontId="168" fillId="0" borderId="187" xfId="0" applyFont="1" applyFill="1" applyBorder="1" applyAlignment="1">
      <alignment horizontal="center" vertical="center"/>
    </xf>
    <xf numFmtId="0" fontId="128" fillId="0" borderId="182" xfId="0" applyFont="1" applyBorder="1" applyAlignment="1">
      <alignment horizontal="center" vertical="center"/>
    </xf>
    <xf numFmtId="0" fontId="128" fillId="0" borderId="18" xfId="66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115" fillId="0" borderId="0" xfId="0" applyFont="1" applyAlignment="1">
      <alignment vertical="center"/>
    </xf>
    <xf numFmtId="0" fontId="147" fillId="0" borderId="242" xfId="0" applyFont="1" applyBorder="1" applyAlignment="1">
      <alignment horizontal="center" vertical="center" wrapText="1" readingOrder="1"/>
    </xf>
    <xf numFmtId="0" fontId="147" fillId="0" borderId="242" xfId="0" applyFont="1" applyBorder="1" applyAlignment="1">
      <alignment horizontal="center" vertical="center" wrapText="1"/>
    </xf>
    <xf numFmtId="0" fontId="146" fillId="0" borderId="242" xfId="0" applyFont="1" applyBorder="1" applyAlignment="1">
      <alignment horizontal="center" vertical="center" wrapText="1" readingOrder="1"/>
    </xf>
    <xf numFmtId="0" fontId="147" fillId="0" borderId="242" xfId="0" applyFont="1" applyFill="1" applyBorder="1" applyAlignment="1">
      <alignment horizontal="center" vertical="center" wrapText="1" readingOrder="1"/>
    </xf>
    <xf numFmtId="0" fontId="147" fillId="0" borderId="242" xfId="0" applyFont="1" applyFill="1" applyBorder="1" applyAlignment="1">
      <alignment horizontal="center" vertical="center" wrapText="1"/>
    </xf>
    <xf numFmtId="0" fontId="146" fillId="23" borderId="242" xfId="0" applyFont="1" applyFill="1" applyBorder="1" applyAlignment="1">
      <alignment horizontal="center" vertical="center" wrapText="1" readingOrder="1"/>
    </xf>
    <xf numFmtId="0" fontId="133" fillId="0" borderId="0" xfId="3810" applyFont="1" applyAlignment="1">
      <alignment horizontal="right" vertical="center"/>
    </xf>
    <xf numFmtId="0" fontId="4" fillId="0" borderId="0" xfId="3810"/>
    <xf numFmtId="0" fontId="132" fillId="23" borderId="247" xfId="3810" applyFont="1" applyFill="1" applyBorder="1" applyAlignment="1">
      <alignment horizontal="center" vertical="center" wrapText="1"/>
    </xf>
    <xf numFmtId="0" fontId="132" fillId="23" borderId="248" xfId="3810" applyFont="1" applyFill="1" applyBorder="1" applyAlignment="1">
      <alignment horizontal="center" vertical="center" wrapText="1"/>
    </xf>
    <xf numFmtId="0" fontId="132" fillId="23" borderId="249" xfId="3810" applyFont="1" applyFill="1" applyBorder="1" applyAlignment="1">
      <alignment horizontal="center" vertical="center" wrapText="1"/>
    </xf>
    <xf numFmtId="0" fontId="4" fillId="0" borderId="248" xfId="3810" applyFont="1" applyBorder="1" applyAlignment="1">
      <alignment vertical="center" wrapText="1"/>
    </xf>
    <xf numFmtId="0" fontId="4" fillId="0" borderId="250" xfId="3810" applyFont="1" applyBorder="1" applyAlignment="1">
      <alignment horizontal="center" vertical="center" wrapText="1"/>
    </xf>
    <xf numFmtId="0" fontId="4" fillId="0" borderId="251" xfId="3810" applyFont="1" applyBorder="1" applyAlignment="1">
      <alignment horizontal="center" vertical="center" wrapText="1"/>
    </xf>
    <xf numFmtId="0" fontId="4" fillId="0" borderId="242" xfId="3810" applyFont="1" applyBorder="1" applyAlignment="1">
      <alignment horizontal="center" vertical="center" wrapText="1"/>
    </xf>
    <xf numFmtId="1" fontId="4" fillId="0" borderId="242" xfId="3810" applyNumberFormat="1" applyFont="1" applyBorder="1" applyAlignment="1">
      <alignment horizontal="center" vertical="center" wrapText="1"/>
    </xf>
    <xf numFmtId="0" fontId="4" fillId="20" borderId="242" xfId="3810" applyFont="1" applyFill="1" applyBorder="1" applyAlignment="1">
      <alignment horizontal="center" vertical="center" wrapText="1"/>
    </xf>
    <xf numFmtId="0" fontId="4" fillId="0" borderId="250" xfId="3810" applyFont="1" applyBorder="1" applyAlignment="1">
      <alignment vertical="center" wrapText="1"/>
    </xf>
    <xf numFmtId="0" fontId="4" fillId="0" borderId="0" xfId="3810" applyFont="1" applyBorder="1" applyAlignment="1">
      <alignment horizontal="center" vertical="center" wrapText="1"/>
    </xf>
    <xf numFmtId="187" fontId="4" fillId="0" borderId="250" xfId="3810" applyNumberFormat="1" applyFont="1" applyBorder="1" applyAlignment="1">
      <alignment horizontal="center" vertical="center" wrapText="1"/>
    </xf>
    <xf numFmtId="187" fontId="4" fillId="0" borderId="251" xfId="3810" applyNumberFormat="1" applyFont="1" applyBorder="1" applyAlignment="1">
      <alignment horizontal="center" vertical="center" wrapText="1"/>
    </xf>
    <xf numFmtId="187" fontId="4" fillId="0" borderId="242" xfId="3810" applyNumberFormat="1" applyFont="1" applyBorder="1" applyAlignment="1">
      <alignment horizontal="center" vertical="center" wrapText="1"/>
    </xf>
    <xf numFmtId="164" fontId="4" fillId="0" borderId="242" xfId="3810" applyNumberFormat="1" applyFont="1" applyBorder="1" applyAlignment="1">
      <alignment horizontal="center" vertical="center" wrapText="1"/>
    </xf>
    <xf numFmtId="0" fontId="187" fillId="0" borderId="252" xfId="3810" applyFont="1" applyFill="1" applyBorder="1" applyAlignment="1">
      <alignment horizontal="right"/>
    </xf>
    <xf numFmtId="0" fontId="207" fillId="0" borderId="0" xfId="0" applyFont="1" applyAlignment="1">
      <alignment horizontal="right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46" fillId="0" borderId="23" xfId="0" applyFont="1" applyFill="1" applyBorder="1" applyAlignment="1">
      <alignment horizontal="center" vertical="center" wrapText="1" readingOrder="1"/>
    </xf>
    <xf numFmtId="0" fontId="130" fillId="0" borderId="0" xfId="0" applyFont="1"/>
    <xf numFmtId="0" fontId="185" fillId="0" borderId="0" xfId="0" applyFont="1" applyAlignment="1">
      <alignment horizontal="left" wrapText="1"/>
    </xf>
    <xf numFmtId="0" fontId="143" fillId="23" borderId="23" xfId="377" applyFont="1" applyFill="1" applyBorder="1" applyAlignment="1">
      <alignment horizontal="center" vertical="center"/>
    </xf>
    <xf numFmtId="0" fontId="130" fillId="0" borderId="182" xfId="377" applyFont="1" applyBorder="1" applyAlignment="1">
      <alignment horizontal="center" vertical="center"/>
    </xf>
    <xf numFmtId="3" fontId="130" fillId="0" borderId="182" xfId="377" applyNumberFormat="1" applyFont="1" applyBorder="1" applyAlignment="1">
      <alignment horizontal="center" vertical="center"/>
    </xf>
    <xf numFmtId="3" fontId="130" fillId="0" borderId="182" xfId="0" applyNumberFormat="1" applyFont="1" applyBorder="1" applyAlignment="1">
      <alignment horizontal="center" vertical="center"/>
    </xf>
    <xf numFmtId="0" fontId="143" fillId="23" borderId="182" xfId="377" applyFont="1" applyFill="1" applyBorder="1" applyAlignment="1">
      <alignment horizontal="center" vertical="center"/>
    </xf>
    <xf numFmtId="0" fontId="49" fillId="0" borderId="0" xfId="466" applyAlignment="1">
      <alignment horizontal="center"/>
    </xf>
    <xf numFmtId="0" fontId="129" fillId="0" borderId="36" xfId="374" applyFont="1" applyBorder="1" applyAlignment="1">
      <alignment horizontal="center" vertical="center" wrapText="1"/>
    </xf>
    <xf numFmtId="0" fontId="129" fillId="0" borderId="38" xfId="374" applyFont="1" applyFill="1" applyBorder="1" applyAlignment="1">
      <alignment horizontal="center" vertical="center"/>
    </xf>
    <xf numFmtId="0" fontId="129" fillId="0" borderId="36" xfId="374" applyFont="1" applyFill="1" applyBorder="1" applyAlignment="1">
      <alignment horizontal="center" vertical="center"/>
    </xf>
    <xf numFmtId="0" fontId="129" fillId="0" borderId="35" xfId="374" applyFont="1" applyBorder="1" applyAlignment="1">
      <alignment horizontal="center" vertical="center" wrapText="1"/>
    </xf>
    <xf numFmtId="0" fontId="129" fillId="0" borderId="0" xfId="374" applyFont="1" applyBorder="1" applyAlignment="1">
      <alignment horizontal="center" vertical="center" wrapText="1"/>
    </xf>
    <xf numFmtId="0" fontId="129" fillId="0" borderId="0" xfId="374" applyFont="1" applyFill="1" applyBorder="1" applyAlignment="1">
      <alignment horizontal="center" vertical="center"/>
    </xf>
    <xf numFmtId="0" fontId="130" fillId="0" borderId="0" xfId="0" applyFont="1"/>
    <xf numFmtId="0" fontId="130" fillId="0" borderId="182" xfId="377" applyFont="1" applyBorder="1" applyAlignment="1">
      <alignment horizontal="center" vertical="center"/>
    </xf>
    <xf numFmtId="3" fontId="130" fillId="0" borderId="182" xfId="0" applyNumberFormat="1" applyFont="1" applyBorder="1" applyAlignment="1">
      <alignment horizontal="center" vertical="center"/>
    </xf>
    <xf numFmtId="0" fontId="49" fillId="0" borderId="0" xfId="466" applyAlignment="1">
      <alignment horizontal="center"/>
    </xf>
    <xf numFmtId="0" fontId="129" fillId="0" borderId="29" xfId="374" applyFont="1" applyFill="1" applyBorder="1" applyAlignment="1">
      <alignment vertical="center"/>
    </xf>
    <xf numFmtId="1" fontId="137" fillId="0" borderId="65" xfId="3811" applyNumberFormat="1" applyFont="1" applyFill="1" applyBorder="1" applyAlignment="1">
      <alignment horizontal="left" vertical="center" wrapText="1"/>
    </xf>
    <xf numFmtId="0" fontId="3" fillId="0" borderId="31" xfId="0" applyFont="1" applyBorder="1" applyAlignment="1">
      <alignment vertical="center" wrapText="1"/>
    </xf>
    <xf numFmtId="3" fontId="129" fillId="0" borderId="25" xfId="0" applyNumberFormat="1" applyFont="1" applyBorder="1" applyAlignment="1">
      <alignment horizontal="right" vertical="center" indent="1"/>
    </xf>
    <xf numFmtId="3" fontId="129" fillId="0" borderId="35" xfId="0" applyNumberFormat="1" applyFont="1" applyBorder="1" applyAlignment="1">
      <alignment horizontal="right" vertical="center" indent="1"/>
    </xf>
    <xf numFmtId="3" fontId="128" fillId="0" borderId="40" xfId="0" applyNumberFormat="1" applyFont="1" applyBorder="1" applyAlignment="1">
      <alignment horizontal="right" vertical="center" indent="1"/>
    </xf>
    <xf numFmtId="3" fontId="129" fillId="0" borderId="26" xfId="0" applyNumberFormat="1" applyFont="1" applyBorder="1" applyAlignment="1">
      <alignment horizontal="right" vertical="center" indent="1"/>
    </xf>
    <xf numFmtId="3" fontId="129" fillId="0" borderId="36" xfId="0" applyNumberFormat="1" applyFont="1" applyBorder="1" applyAlignment="1">
      <alignment horizontal="right" vertical="center" indent="1"/>
    </xf>
    <xf numFmtId="3" fontId="128" fillId="0" borderId="41" xfId="0" applyNumberFormat="1" applyFont="1" applyBorder="1" applyAlignment="1">
      <alignment horizontal="right" vertical="center" indent="1"/>
    </xf>
    <xf numFmtId="3" fontId="128" fillId="0" borderId="0" xfId="0" applyNumberFormat="1" applyFont="1" applyBorder="1" applyAlignment="1">
      <alignment horizontal="right" indent="1"/>
    </xf>
    <xf numFmtId="3" fontId="129" fillId="0" borderId="29" xfId="0" applyNumberFormat="1" applyFont="1" applyBorder="1" applyAlignment="1">
      <alignment horizontal="right" vertical="center" indent="1"/>
    </xf>
    <xf numFmtId="3" fontId="129" fillId="0" borderId="39" xfId="0" applyNumberFormat="1" applyFont="1" applyBorder="1" applyAlignment="1">
      <alignment horizontal="right" vertical="center" indent="1"/>
    </xf>
    <xf numFmtId="3" fontId="128" fillId="0" borderId="44" xfId="0" applyNumberFormat="1" applyFont="1" applyBorder="1" applyAlignment="1">
      <alignment horizontal="right" vertical="center" indent="1"/>
    </xf>
    <xf numFmtId="0" fontId="180" fillId="0" borderId="31" xfId="0" applyFont="1" applyBorder="1" applyAlignment="1">
      <alignment vertical="center" wrapText="1"/>
    </xf>
    <xf numFmtId="0" fontId="175" fillId="0" borderId="246" xfId="374" applyFont="1" applyFill="1" applyBorder="1" applyAlignment="1">
      <alignment vertical="center"/>
    </xf>
    <xf numFmtId="0" fontId="175" fillId="0" borderId="10" xfId="374" applyFont="1" applyFill="1" applyBorder="1" applyAlignment="1">
      <alignment horizontal="center" vertical="center"/>
    </xf>
    <xf numFmtId="0" fontId="166" fillId="0" borderId="23" xfId="374" applyFont="1" applyFill="1" applyBorder="1" applyAlignment="1">
      <alignment horizontal="left" vertical="center" indent="1"/>
    </xf>
    <xf numFmtId="3" fontId="175" fillId="0" borderId="23" xfId="374" applyNumberFormat="1" applyFont="1" applyFill="1" applyBorder="1" applyAlignment="1">
      <alignment horizontal="right" vertical="center" indent="1"/>
    </xf>
    <xf numFmtId="0" fontId="179" fillId="0" borderId="246" xfId="374" applyFont="1" applyFill="1" applyBorder="1" applyAlignment="1">
      <alignment vertical="center"/>
    </xf>
    <xf numFmtId="0" fontId="179" fillId="0" borderId="10" xfId="374" applyFont="1" applyFill="1" applyBorder="1" applyAlignment="1">
      <alignment horizontal="center" vertical="center"/>
    </xf>
    <xf numFmtId="0" fontId="168" fillId="0" borderId="21" xfId="374" applyFont="1" applyFill="1" applyBorder="1" applyAlignment="1">
      <alignment horizontal="left" vertical="center" indent="1"/>
    </xf>
    <xf numFmtId="3" fontId="179" fillId="0" borderId="21" xfId="374" applyNumberFormat="1" applyFont="1" applyFill="1" applyBorder="1" applyAlignment="1">
      <alignment horizontal="right" vertical="center" indent="1"/>
    </xf>
    <xf numFmtId="0" fontId="177" fillId="0" borderId="246" xfId="374" applyFont="1" applyFill="1" applyBorder="1" applyAlignment="1">
      <alignment vertical="center"/>
    </xf>
    <xf numFmtId="0" fontId="177" fillId="0" borderId="10" xfId="374" applyFont="1" applyFill="1" applyBorder="1" applyAlignment="1">
      <alignment horizontal="center" vertical="center"/>
    </xf>
    <xf numFmtId="0" fontId="169" fillId="0" borderId="21" xfId="374" applyFont="1" applyFill="1" applyBorder="1" applyAlignment="1">
      <alignment horizontal="left" vertical="center" indent="1"/>
    </xf>
    <xf numFmtId="3" fontId="177" fillId="0" borderId="21" xfId="374" applyNumberFormat="1" applyFont="1" applyFill="1" applyBorder="1" applyAlignment="1">
      <alignment horizontal="right" vertical="center" indent="1"/>
    </xf>
    <xf numFmtId="0" fontId="176" fillId="0" borderId="246" xfId="374" applyFont="1" applyFill="1" applyBorder="1" applyAlignment="1">
      <alignment vertical="center"/>
    </xf>
    <xf numFmtId="0" fontId="176" fillId="0" borderId="10" xfId="374" applyFont="1" applyFill="1" applyBorder="1" applyAlignment="1">
      <alignment horizontal="center" vertical="center"/>
    </xf>
    <xf numFmtId="0" fontId="167" fillId="0" borderId="14" xfId="374" applyFont="1" applyFill="1" applyBorder="1" applyAlignment="1">
      <alignment horizontal="left" vertical="center" indent="1"/>
    </xf>
    <xf numFmtId="3" fontId="176" fillId="0" borderId="18" xfId="374" applyNumberFormat="1" applyFont="1" applyFill="1" applyBorder="1" applyAlignment="1">
      <alignment horizontal="right" vertical="center" indent="1"/>
    </xf>
    <xf numFmtId="0" fontId="167" fillId="0" borderId="0" xfId="374" applyFont="1" applyFill="1" applyBorder="1" applyAlignment="1">
      <alignment horizontal="left" vertical="center" indent="1"/>
    </xf>
    <xf numFmtId="3" fontId="178" fillId="0" borderId="18" xfId="374" applyNumberFormat="1" applyFont="1" applyFill="1" applyBorder="1" applyAlignment="1">
      <alignment horizontal="right" vertical="center" indent="1"/>
    </xf>
    <xf numFmtId="0" fontId="128" fillId="23" borderId="10" xfId="0" applyFont="1" applyFill="1" applyBorder="1" applyAlignment="1">
      <alignment horizontal="center" vertical="center" wrapText="1"/>
    </xf>
    <xf numFmtId="0" fontId="128" fillId="23" borderId="184" xfId="374" applyFont="1" applyFill="1" applyBorder="1" applyAlignment="1">
      <alignment horizontal="right" vertical="center" indent="1"/>
    </xf>
    <xf numFmtId="0" fontId="128" fillId="23" borderId="196" xfId="374" applyFont="1" applyFill="1" applyBorder="1" applyAlignment="1">
      <alignment horizontal="right" vertical="center" indent="1"/>
    </xf>
    <xf numFmtId="0" fontId="128" fillId="23" borderId="197" xfId="374" applyFont="1" applyFill="1" applyBorder="1" applyAlignment="1">
      <alignment horizontal="right" vertical="center" indent="1"/>
    </xf>
    <xf numFmtId="0" fontId="129" fillId="0" borderId="254" xfId="374" applyFont="1" applyBorder="1" applyAlignment="1">
      <alignment horizontal="left" vertical="center"/>
    </xf>
    <xf numFmtId="0" fontId="204" fillId="0" borderId="254" xfId="32" applyFont="1" applyBorder="1" applyAlignment="1" applyProtection="1">
      <alignment horizontal="center" vertical="center"/>
    </xf>
    <xf numFmtId="170" fontId="128" fillId="23" borderId="184" xfId="70" applyNumberFormat="1" applyFont="1" applyFill="1" applyBorder="1" applyAlignment="1">
      <alignment horizontal="right" vertical="center" indent="1"/>
    </xf>
    <xf numFmtId="170" fontId="128" fillId="23" borderId="182" xfId="70" applyNumberFormat="1" applyFont="1" applyFill="1" applyBorder="1" applyAlignment="1">
      <alignment horizontal="right" vertical="center" indent="1"/>
    </xf>
    <xf numFmtId="0" fontId="356" fillId="0" borderId="0" xfId="0" applyFont="1" applyAlignment="1">
      <alignment horizontal="right"/>
    </xf>
    <xf numFmtId="0" fontId="177" fillId="0" borderId="21" xfId="66" applyFont="1" applyBorder="1" applyAlignment="1">
      <alignment horizontal="center" vertical="center"/>
    </xf>
    <xf numFmtId="0" fontId="175" fillId="0" borderId="253" xfId="66" applyFont="1" applyBorder="1" applyAlignment="1">
      <alignment horizontal="center" vertical="center"/>
    </xf>
    <xf numFmtId="4" fontId="175" fillId="0" borderId="241" xfId="759" applyNumberFormat="1" applyFont="1" applyBorder="1" applyAlignment="1">
      <alignment vertical="center"/>
    </xf>
    <xf numFmtId="4" fontId="175" fillId="0" borderId="241" xfId="66" applyNumberFormat="1" applyFont="1" applyBorder="1" applyAlignment="1">
      <alignment vertical="center"/>
    </xf>
    <xf numFmtId="0" fontId="176" fillId="0" borderId="253" xfId="66" applyFont="1" applyBorder="1" applyAlignment="1">
      <alignment horizontal="center" vertical="center"/>
    </xf>
    <xf numFmtId="4" fontId="176" fillId="0" borderId="241" xfId="759" applyNumberFormat="1" applyFont="1" applyBorder="1" applyAlignment="1">
      <alignment vertical="center"/>
    </xf>
    <xf numFmtId="4" fontId="176" fillId="0" borderId="241" xfId="66" applyNumberFormat="1" applyFont="1" applyBorder="1" applyAlignment="1">
      <alignment vertical="center"/>
    </xf>
    <xf numFmtId="4" fontId="179" fillId="0" borderId="241" xfId="759" applyNumberFormat="1" applyFont="1" applyBorder="1" applyAlignment="1">
      <alignment vertical="center"/>
    </xf>
    <xf numFmtId="0" fontId="178" fillId="0" borderId="253" xfId="66" applyFont="1" applyBorder="1" applyAlignment="1">
      <alignment horizontal="center" vertical="center"/>
    </xf>
    <xf numFmtId="4" fontId="178" fillId="0" borderId="241" xfId="759" applyNumberFormat="1" applyFont="1" applyBorder="1" applyAlignment="1">
      <alignment vertical="center"/>
    </xf>
    <xf numFmtId="4" fontId="177" fillId="0" borderId="241" xfId="759" applyNumberFormat="1" applyFont="1" applyBorder="1" applyAlignment="1">
      <alignment vertical="center"/>
    </xf>
    <xf numFmtId="0" fontId="129" fillId="0" borderId="197" xfId="835" applyFont="1" applyBorder="1" applyAlignment="1">
      <alignment horizontal="left" vertical="center" wrapText="1"/>
    </xf>
    <xf numFmtId="9" fontId="129" fillId="0" borderId="197" xfId="836" applyNumberFormat="1" applyFont="1" applyBorder="1" applyAlignment="1">
      <alignment horizontal="center" vertical="center"/>
    </xf>
    <xf numFmtId="184" fontId="147" fillId="0" borderId="196" xfId="835" applyNumberFormat="1" applyFont="1" applyFill="1" applyBorder="1" applyAlignment="1">
      <alignment horizontal="center" vertical="center" wrapText="1" readingOrder="1"/>
    </xf>
    <xf numFmtId="170" fontId="129" fillId="0" borderId="197" xfId="836" applyNumberFormat="1" applyFont="1" applyFill="1" applyBorder="1" applyAlignment="1">
      <alignment vertical="center"/>
    </xf>
    <xf numFmtId="184" fontId="129" fillId="0" borderId="196" xfId="835" applyNumberFormat="1" applyFont="1" applyFill="1" applyBorder="1" applyAlignment="1">
      <alignment horizontal="center" vertical="center"/>
    </xf>
    <xf numFmtId="9" fontId="0" fillId="0" borderId="0" xfId="57" applyFont="1" applyAlignment="1">
      <alignment vertic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left"/>
    </xf>
    <xf numFmtId="0" fontId="131" fillId="0" borderId="0" xfId="0" applyFont="1" applyAlignment="1">
      <alignment horizontal="center"/>
    </xf>
    <xf numFmtId="3" fontId="129" fillId="0" borderId="40" xfId="0" applyNumberFormat="1" applyFont="1" applyBorder="1" applyAlignment="1">
      <alignment horizontal="right" vertical="center" indent="1"/>
    </xf>
    <xf numFmtId="3" fontId="129" fillId="0" borderId="41" xfId="0" applyNumberFormat="1" applyFont="1" applyBorder="1" applyAlignment="1">
      <alignment horizontal="right" vertical="center" indent="1"/>
    </xf>
    <xf numFmtId="3" fontId="129" fillId="0" borderId="204" xfId="0" applyNumberFormat="1" applyFont="1" applyBorder="1" applyAlignment="1">
      <alignment horizontal="right" vertical="center" indent="1"/>
    </xf>
    <xf numFmtId="10" fontId="132" fillId="0" borderId="0" xfId="57" applyNumberFormat="1" applyFont="1"/>
    <xf numFmtId="0" fontId="132" fillId="0" borderId="0" xfId="0" applyFo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>
      <alignment horizontal="center" vertical="center"/>
    </xf>
    <xf numFmtId="0" fontId="150" fillId="23" borderId="255" xfId="462" applyFont="1" applyFill="1" applyBorder="1" applyAlignment="1">
      <alignment horizontal="center" vertical="center" wrapText="1"/>
    </xf>
    <xf numFmtId="167" fontId="132" fillId="23" borderId="255" xfId="67" applyNumberFormat="1" applyFont="1" applyFill="1" applyBorder="1" applyAlignment="1">
      <alignment vertical="center"/>
    </xf>
    <xf numFmtId="0" fontId="137" fillId="0" borderId="30" xfId="462" applyFont="1" applyFill="1" applyBorder="1" applyAlignment="1">
      <alignment horizontal="left" vertical="center" wrapText="1"/>
    </xf>
    <xf numFmtId="167" fontId="137" fillId="0" borderId="30" xfId="67" applyNumberFormat="1" applyFont="1" applyFill="1" applyBorder="1" applyAlignment="1">
      <alignment horizontal="left" vertical="center" wrapText="1"/>
    </xf>
    <xf numFmtId="0" fontId="137" fillId="0" borderId="31" xfId="462" applyFont="1" applyFill="1" applyBorder="1" applyAlignment="1">
      <alignment horizontal="left" vertical="center" wrapText="1"/>
    </xf>
    <xf numFmtId="167" fontId="137" fillId="0" borderId="31" xfId="67" applyNumberFormat="1" applyFont="1" applyFill="1" applyBorder="1" applyAlignment="1">
      <alignment horizontal="left" vertical="center" wrapText="1"/>
    </xf>
    <xf numFmtId="0" fontId="150" fillId="23" borderId="31" xfId="462" applyFont="1" applyFill="1" applyBorder="1" applyAlignment="1">
      <alignment horizontal="center" vertical="center" wrapText="1"/>
    </xf>
    <xf numFmtId="167" fontId="150" fillId="23" borderId="31" xfId="67" applyNumberFormat="1" applyFont="1" applyFill="1" applyBorder="1" applyAlignment="1">
      <alignment horizontal="left" vertical="center" wrapText="1"/>
    </xf>
    <xf numFmtId="0" fontId="150" fillId="23" borderId="32" xfId="462" applyFont="1" applyFill="1" applyBorder="1" applyAlignment="1">
      <alignment horizontal="center" vertical="center" wrapText="1"/>
    </xf>
    <xf numFmtId="0" fontId="137" fillId="0" borderId="30" xfId="51" applyFont="1" applyFill="1" applyBorder="1" applyAlignment="1">
      <alignment horizontal="left" vertical="center" wrapText="1"/>
    </xf>
    <xf numFmtId="0" fontId="137" fillId="0" borderId="31" xfId="51" applyFont="1" applyFill="1" applyBorder="1" applyAlignment="1">
      <alignment horizontal="left" vertical="center" wrapText="1"/>
    </xf>
    <xf numFmtId="0" fontId="137" fillId="0" borderId="30" xfId="462" applyFont="1" applyFill="1" applyBorder="1" applyAlignment="1">
      <alignment wrapText="1"/>
    </xf>
    <xf numFmtId="167" fontId="137" fillId="0" borderId="30" xfId="67" applyNumberFormat="1" applyFont="1" applyFill="1" applyBorder="1" applyAlignment="1">
      <alignment vertical="center" wrapText="1"/>
    </xf>
    <xf numFmtId="0" fontId="137" fillId="0" borderId="31" xfId="462" applyFont="1" applyFill="1" applyBorder="1" applyAlignment="1">
      <alignment wrapText="1"/>
    </xf>
    <xf numFmtId="167" fontId="137" fillId="0" borderId="31" xfId="67" applyNumberFormat="1" applyFont="1" applyFill="1" applyBorder="1" applyAlignment="1">
      <alignment vertical="center" wrapText="1"/>
    </xf>
    <xf numFmtId="167" fontId="150" fillId="23" borderId="32" xfId="67" applyNumberFormat="1" applyFont="1" applyFill="1" applyBorder="1" applyAlignment="1">
      <alignment horizontal="left" vertical="center"/>
    </xf>
    <xf numFmtId="167" fontId="175" fillId="0" borderId="255" xfId="67" applyNumberFormat="1" applyFont="1" applyFill="1" applyBorder="1" applyAlignment="1">
      <alignment horizontal="left" vertical="center"/>
    </xf>
    <xf numFmtId="167" fontId="150" fillId="23" borderId="31" xfId="67" applyNumberFormat="1" applyFont="1" applyFill="1" applyBorder="1" applyAlignment="1">
      <alignment horizontal="left" vertical="center"/>
    </xf>
    <xf numFmtId="167" fontId="176" fillId="0" borderId="255" xfId="67" applyNumberFormat="1" applyFont="1" applyFill="1" applyBorder="1" applyAlignment="1">
      <alignment horizontal="left" vertical="center"/>
    </xf>
    <xf numFmtId="167" fontId="179" fillId="0" borderId="255" xfId="67" applyNumberFormat="1" applyFont="1" applyFill="1" applyBorder="1" applyAlignment="1">
      <alignment horizontal="left" vertical="center" wrapText="1"/>
    </xf>
    <xf numFmtId="167" fontId="178" fillId="0" borderId="255" xfId="67" applyNumberFormat="1" applyFont="1" applyFill="1" applyBorder="1" applyAlignment="1">
      <alignment horizontal="left" vertical="center" wrapText="1"/>
    </xf>
    <xf numFmtId="167" fontId="150" fillId="23" borderId="31" xfId="67" applyNumberFormat="1" applyFont="1" applyFill="1" applyBorder="1" applyAlignment="1">
      <alignment vertical="center"/>
    </xf>
    <xf numFmtId="167" fontId="150" fillId="23" borderId="32" xfId="67" applyNumberFormat="1" applyFont="1" applyFill="1" applyBorder="1" applyAlignment="1">
      <alignment vertical="center"/>
    </xf>
    <xf numFmtId="167" fontId="177" fillId="0" borderId="255" xfId="67" applyNumberFormat="1" applyFont="1" applyFill="1" applyBorder="1" applyAlignment="1">
      <alignment vertical="center"/>
    </xf>
    <xf numFmtId="0" fontId="150" fillId="0" borderId="22" xfId="462" applyFont="1" applyFill="1" applyBorder="1" applyAlignment="1">
      <alignment horizontal="center" vertical="center"/>
    </xf>
    <xf numFmtId="0" fontId="357" fillId="32" borderId="255" xfId="0" applyFont="1" applyFill="1" applyBorder="1" applyAlignment="1">
      <alignment horizontal="center" vertical="center"/>
    </xf>
    <xf numFmtId="167" fontId="137" fillId="0" borderId="33" xfId="67" applyNumberFormat="1" applyFont="1" applyFill="1" applyBorder="1" applyAlignment="1">
      <alignment horizontal="left" vertical="center" wrapText="1"/>
    </xf>
    <xf numFmtId="0" fontId="187" fillId="0" borderId="0" xfId="0" applyFont="1"/>
    <xf numFmtId="0" fontId="358" fillId="0" borderId="0" xfId="0" applyFont="1" applyAlignment="1">
      <alignment horizontal="left" readingOrder="1"/>
    </xf>
    <xf numFmtId="0" fontId="359" fillId="32" borderId="255" xfId="0" applyFont="1" applyFill="1" applyBorder="1" applyAlignment="1">
      <alignment horizontal="center" vertical="center"/>
    </xf>
    <xf numFmtId="0" fontId="156" fillId="0" borderId="0" xfId="0" applyFont="1"/>
    <xf numFmtId="3" fontId="129" fillId="0" borderId="218" xfId="0" applyNumberFormat="1" applyFont="1" applyBorder="1" applyAlignment="1">
      <alignment horizontal="right" indent="1"/>
    </xf>
    <xf numFmtId="3" fontId="178" fillId="23" borderId="255" xfId="0" applyNumberFormat="1" applyFont="1" applyFill="1" applyBorder="1" applyAlignment="1">
      <alignment horizontal="right" indent="1"/>
    </xf>
    <xf numFmtId="0" fontId="180" fillId="0" borderId="33" xfId="0" applyFont="1" applyBorder="1" applyAlignment="1">
      <alignment vertical="center" wrapText="1"/>
    </xf>
    <xf numFmtId="0" fontId="187" fillId="23" borderId="263" xfId="655" applyFont="1" applyFill="1" applyBorder="1" applyAlignment="1">
      <alignment horizontal="center" vertical="center"/>
    </xf>
    <xf numFmtId="0" fontId="85" fillId="0" borderId="265" xfId="834" applyFont="1" applyFill="1" applyBorder="1" applyAlignment="1">
      <alignment wrapText="1"/>
    </xf>
    <xf numFmtId="0" fontId="175" fillId="0" borderId="268" xfId="655" applyFont="1" applyFill="1" applyBorder="1" applyAlignment="1">
      <alignment horizontal="center" vertical="center"/>
    </xf>
    <xf numFmtId="0" fontId="175" fillId="0" borderId="267" xfId="655" applyFont="1" applyFill="1" applyBorder="1" applyAlignment="1">
      <alignment horizontal="center" vertical="center"/>
    </xf>
    <xf numFmtId="0" fontId="175" fillId="0" borderId="263" xfId="655" applyFont="1" applyFill="1" applyBorder="1" applyAlignment="1">
      <alignment horizontal="center" vertical="center"/>
    </xf>
    <xf numFmtId="0" fontId="176" fillId="0" borderId="268" xfId="655" applyFont="1" applyFill="1" applyBorder="1" applyAlignment="1">
      <alignment horizontal="center" vertical="center"/>
    </xf>
    <xf numFmtId="0" fontId="176" fillId="0" borderId="267" xfId="655" applyFont="1" applyFill="1" applyBorder="1" applyAlignment="1">
      <alignment horizontal="center" vertical="center"/>
    </xf>
    <xf numFmtId="0" fontId="176" fillId="0" borderId="263" xfId="655" applyFont="1" applyFill="1" applyBorder="1" applyAlignment="1">
      <alignment horizontal="center" vertical="center"/>
    </xf>
    <xf numFmtId="0" fontId="2" fillId="0" borderId="31" xfId="655" applyFont="1" applyBorder="1" applyAlignment="1">
      <alignment vertical="center"/>
    </xf>
    <xf numFmtId="0" fontId="179" fillId="0" borderId="268" xfId="655" applyFont="1" applyFill="1" applyBorder="1" applyAlignment="1">
      <alignment horizontal="center" vertical="center"/>
    </xf>
    <xf numFmtId="0" fontId="179" fillId="0" borderId="267" xfId="655" applyFont="1" applyFill="1" applyBorder="1" applyAlignment="1">
      <alignment horizontal="center" vertical="center"/>
    </xf>
    <xf numFmtId="0" fontId="179" fillId="0" borderId="263" xfId="655" applyFont="1" applyFill="1" applyBorder="1" applyAlignment="1">
      <alignment horizontal="center" vertical="center"/>
    </xf>
    <xf numFmtId="0" fontId="177" fillId="0" borderId="268" xfId="655" applyFont="1" applyFill="1" applyBorder="1" applyAlignment="1">
      <alignment horizontal="center" vertical="center" wrapText="1"/>
    </xf>
    <xf numFmtId="0" fontId="177" fillId="0" borderId="267" xfId="655" applyFont="1" applyFill="1" applyBorder="1" applyAlignment="1">
      <alignment horizontal="center" vertical="center" wrapText="1"/>
    </xf>
    <xf numFmtId="0" fontId="177" fillId="0" borderId="263" xfId="655" applyFont="1" applyFill="1" applyBorder="1" applyAlignment="1">
      <alignment horizontal="center" vertical="center" wrapText="1"/>
    </xf>
    <xf numFmtId="0" fontId="132" fillId="23" borderId="268" xfId="655" applyFont="1" applyFill="1" applyBorder="1" applyAlignment="1">
      <alignment horizontal="center" vertical="center"/>
    </xf>
    <xf numFmtId="0" fontId="132" fillId="23" borderId="267" xfId="655" applyFont="1" applyFill="1" applyBorder="1" applyAlignment="1">
      <alignment horizontal="center" vertical="center"/>
    </xf>
    <xf numFmtId="0" fontId="132" fillId="23" borderId="263" xfId="655" applyFont="1" applyFill="1" applyBorder="1" applyAlignment="1">
      <alignment horizontal="center" vertical="center"/>
    </xf>
    <xf numFmtId="0" fontId="144" fillId="0" borderId="0" xfId="0" applyFont="1" applyBorder="1"/>
    <xf numFmtId="184" fontId="252" fillId="0" borderId="0" xfId="0" applyNumberFormat="1" applyFont="1" applyBorder="1"/>
    <xf numFmtId="0" fontId="230" fillId="0" borderId="0" xfId="0" applyFont="1"/>
    <xf numFmtId="3" fontId="70" fillId="0" borderId="28" xfId="0" applyNumberFormat="1" applyFont="1" applyBorder="1" applyAlignment="1">
      <alignment horizontal="right" vertical="center"/>
    </xf>
    <xf numFmtId="3" fontId="70" fillId="0" borderId="38" xfId="0" applyNumberFormat="1" applyFont="1" applyBorder="1" applyAlignment="1">
      <alignment horizontal="right" vertical="center"/>
    </xf>
    <xf numFmtId="3" fontId="220" fillId="0" borderId="33" xfId="0" applyNumberFormat="1" applyFont="1" applyBorder="1" applyAlignment="1">
      <alignment horizontal="right" vertical="center"/>
    </xf>
    <xf numFmtId="3" fontId="10" fillId="0" borderId="268" xfId="835" applyNumberFormat="1" applyFont="1" applyFill="1" applyBorder="1" applyAlignment="1">
      <alignment horizontal="center" vertical="center"/>
    </xf>
    <xf numFmtId="0" fontId="1" fillId="0" borderId="0" xfId="76" applyFont="1"/>
    <xf numFmtId="0" fontId="1" fillId="0" borderId="0" xfId="76" applyFont="1" applyAlignment="1">
      <alignment horizontal="center"/>
    </xf>
    <xf numFmtId="0" fontId="150" fillId="23" borderId="268" xfId="76" applyFont="1" applyFill="1" applyBorder="1" applyAlignment="1">
      <alignment horizontal="center"/>
    </xf>
    <xf numFmtId="0" fontId="150" fillId="23" borderId="263" xfId="76" applyFont="1" applyFill="1" applyBorder="1" applyAlignment="1">
      <alignment horizontal="center"/>
    </xf>
    <xf numFmtId="0" fontId="150" fillId="23" borderId="259" xfId="76" applyFont="1" applyFill="1" applyBorder="1" applyAlignment="1">
      <alignment horizontal="center"/>
    </xf>
    <xf numFmtId="170" fontId="150" fillId="23" borderId="267" xfId="213" applyNumberFormat="1" applyFont="1" applyFill="1" applyBorder="1" applyAlignment="1">
      <alignment horizontal="center"/>
    </xf>
    <xf numFmtId="170" fontId="1" fillId="0" borderId="0" xfId="76" applyNumberFormat="1" applyFont="1"/>
    <xf numFmtId="170" fontId="1" fillId="0" borderId="0" xfId="76" applyNumberFormat="1" applyFont="1" applyBorder="1"/>
    <xf numFmtId="0" fontId="1" fillId="0" borderId="0" xfId="76" applyFont="1" applyBorder="1"/>
    <xf numFmtId="0" fontId="150" fillId="33" borderId="263" xfId="76" applyFont="1" applyFill="1" applyBorder="1" applyAlignment="1">
      <alignment horizontal="center"/>
    </xf>
    <xf numFmtId="170" fontId="150" fillId="33" borderId="267" xfId="213" applyNumberFormat="1" applyFont="1" applyFill="1" applyBorder="1" applyAlignment="1">
      <alignment horizontal="center"/>
    </xf>
    <xf numFmtId="0" fontId="266" fillId="0" borderId="0" xfId="0" applyFont="1" applyBorder="1" applyAlignment="1">
      <alignment horizontal="center" vertical="center" wrapText="1"/>
    </xf>
    <xf numFmtId="0" fontId="265" fillId="0" borderId="0" xfId="0" applyFont="1" applyAlignment="1">
      <alignment horizontal="center" vertical="center"/>
    </xf>
    <xf numFmtId="0" fontId="351" fillId="23" borderId="24" xfId="374" applyFont="1" applyFill="1" applyBorder="1" applyAlignment="1">
      <alignment horizontal="right" vertical="center"/>
    </xf>
    <xf numFmtId="0" fontId="129" fillId="0" borderId="237" xfId="374" applyFont="1" applyBorder="1" applyAlignment="1">
      <alignment horizontal="left" vertical="center" wrapText="1"/>
    </xf>
    <xf numFmtId="0" fontId="129" fillId="0" borderId="0" xfId="374" applyFont="1" applyBorder="1" applyAlignment="1">
      <alignment horizontal="left" vertical="center" wrapText="1"/>
    </xf>
    <xf numFmtId="0" fontId="130" fillId="0" borderId="12" xfId="374" applyFont="1" applyBorder="1" applyAlignment="1">
      <alignment horizontal="left" vertical="center" wrapText="1"/>
    </xf>
    <xf numFmtId="0" fontId="130" fillId="0" borderId="24" xfId="374" applyFont="1" applyBorder="1" applyAlignment="1">
      <alignment horizontal="left" vertical="center" wrapText="1"/>
    </xf>
    <xf numFmtId="0" fontId="353" fillId="34" borderId="163" xfId="374" applyFont="1" applyFill="1" applyBorder="1" applyAlignment="1">
      <alignment horizontal="center" vertical="center"/>
    </xf>
    <xf numFmtId="0" fontId="353" fillId="36" borderId="163" xfId="374" applyFont="1" applyFill="1" applyBorder="1" applyAlignment="1">
      <alignment horizontal="center" vertical="center"/>
    </xf>
    <xf numFmtId="0" fontId="353" fillId="39" borderId="163" xfId="374" applyFont="1" applyFill="1" applyBorder="1" applyAlignment="1">
      <alignment horizontal="center" vertical="center"/>
    </xf>
    <xf numFmtId="0" fontId="129" fillId="0" borderId="12" xfId="374" applyFont="1" applyBorder="1" applyAlignment="1">
      <alignment horizontal="left" vertical="center" wrapText="1"/>
    </xf>
    <xf numFmtId="0" fontId="129" fillId="0" borderId="24" xfId="374" applyFont="1" applyBorder="1" applyAlignment="1">
      <alignment horizontal="left" vertical="center" wrapText="1"/>
    </xf>
    <xf numFmtId="0" fontId="129" fillId="0" borderId="189" xfId="374" applyFont="1" applyBorder="1" applyAlignment="1">
      <alignment horizontal="left" vertical="center" wrapText="1"/>
    </xf>
    <xf numFmtId="0" fontId="353" fillId="35" borderId="163" xfId="374" applyFont="1" applyFill="1" applyBorder="1" applyAlignment="1">
      <alignment horizontal="center" vertical="center"/>
    </xf>
    <xf numFmtId="0" fontId="248" fillId="38" borderId="163" xfId="374" applyFont="1" applyFill="1" applyBorder="1" applyAlignment="1">
      <alignment horizontal="center" vertical="center"/>
    </xf>
    <xf numFmtId="0" fontId="130" fillId="0" borderId="189" xfId="374" applyFont="1" applyBorder="1" applyAlignment="1">
      <alignment horizontal="left" vertical="center" wrapText="1"/>
    </xf>
    <xf numFmtId="0" fontId="129" fillId="0" borderId="11" xfId="66" applyFont="1" applyBorder="1" applyAlignment="1">
      <alignment horizontal="center" vertical="center"/>
    </xf>
    <xf numFmtId="0" fontId="129" fillId="0" borderId="12" xfId="66" applyFont="1" applyBorder="1" applyAlignment="1">
      <alignment horizontal="center" vertical="center"/>
    </xf>
    <xf numFmtId="0" fontId="129" fillId="0" borderId="15" xfId="66" applyFont="1" applyBorder="1" applyAlignment="1">
      <alignment horizontal="center" vertical="center"/>
    </xf>
    <xf numFmtId="1" fontId="194" fillId="0" borderId="185" xfId="50" applyNumberFormat="1" applyFont="1" applyFill="1" applyBorder="1" applyAlignment="1">
      <alignment horizontal="center" vertical="center" wrapText="1"/>
    </xf>
    <xf numFmtId="1" fontId="194" fillId="0" borderId="21" xfId="50" applyNumberFormat="1" applyFont="1" applyFill="1" applyBorder="1" applyAlignment="1">
      <alignment horizontal="center" vertical="center" wrapText="1"/>
    </xf>
    <xf numFmtId="1" fontId="194" fillId="0" borderId="23" xfId="50" applyNumberFormat="1" applyFont="1" applyFill="1" applyBorder="1" applyAlignment="1">
      <alignment horizontal="center" vertical="center" wrapText="1"/>
    </xf>
    <xf numFmtId="0" fontId="167" fillId="0" borderId="19" xfId="52" applyFont="1" applyFill="1" applyBorder="1" applyAlignment="1">
      <alignment horizontal="center" vertical="center"/>
    </xf>
    <xf numFmtId="0" fontId="167" fillId="0" borderId="21" xfId="52" applyFont="1" applyFill="1" applyBorder="1" applyAlignment="1">
      <alignment horizontal="center" vertical="center"/>
    </xf>
    <xf numFmtId="0" fontId="167" fillId="0" borderId="23" xfId="52" applyFont="1" applyFill="1" applyBorder="1" applyAlignment="1">
      <alignment horizontal="center" vertical="center"/>
    </xf>
    <xf numFmtId="0" fontId="169" fillId="0" borderId="19" xfId="52" applyFont="1" applyFill="1" applyBorder="1" applyAlignment="1">
      <alignment horizontal="center" vertical="center"/>
    </xf>
    <xf numFmtId="0" fontId="169" fillId="0" borderId="21" xfId="52" applyFont="1" applyFill="1" applyBorder="1" applyAlignment="1">
      <alignment horizontal="center" vertical="center"/>
    </xf>
    <xf numFmtId="0" fontId="169" fillId="0" borderId="23" xfId="52" applyFont="1" applyFill="1" applyBorder="1" applyAlignment="1">
      <alignment horizontal="center" vertical="center"/>
    </xf>
    <xf numFmtId="1" fontId="128" fillId="23" borderId="19" xfId="50" applyNumberFormat="1" applyFont="1" applyFill="1" applyBorder="1" applyAlignment="1">
      <alignment horizontal="center" vertical="center" wrapText="1"/>
    </xf>
    <xf numFmtId="1" fontId="128" fillId="23" borderId="23" xfId="50" applyNumberFormat="1" applyFont="1" applyFill="1" applyBorder="1" applyAlignment="1">
      <alignment horizontal="center" vertical="center" wrapText="1"/>
    </xf>
    <xf numFmtId="0" fontId="128" fillId="23" borderId="13" xfId="66" applyFont="1" applyFill="1" applyBorder="1" applyAlignment="1">
      <alignment horizontal="center" vertical="center"/>
    </xf>
    <xf numFmtId="0" fontId="128" fillId="23" borderId="14" xfId="66" applyFont="1" applyFill="1" applyBorder="1" applyAlignment="1">
      <alignment horizontal="center" vertical="center"/>
    </xf>
    <xf numFmtId="0" fontId="128" fillId="23" borderId="10" xfId="66" applyFont="1" applyFill="1" applyBorder="1" applyAlignment="1">
      <alignment horizontal="center" vertical="center"/>
    </xf>
    <xf numFmtId="0" fontId="173" fillId="0" borderId="19" xfId="66" applyFont="1" applyFill="1" applyBorder="1" applyAlignment="1">
      <alignment horizontal="center" vertical="center" textRotation="90"/>
    </xf>
    <xf numFmtId="0" fontId="173" fillId="0" borderId="21" xfId="66" applyFont="1" applyFill="1" applyBorder="1" applyAlignment="1">
      <alignment horizontal="center" vertical="center" textRotation="90"/>
    </xf>
    <xf numFmtId="0" fontId="173" fillId="0" borderId="20" xfId="66" applyFont="1" applyFill="1" applyBorder="1" applyAlignment="1">
      <alignment horizontal="center" vertical="center" textRotation="90"/>
    </xf>
    <xf numFmtId="0" fontId="174" fillId="0" borderId="19" xfId="66" applyFont="1" applyFill="1" applyBorder="1" applyAlignment="1">
      <alignment horizontal="center" vertical="center" textRotation="90"/>
    </xf>
    <xf numFmtId="0" fontId="174" fillId="0" borderId="21" xfId="66" applyFont="1" applyFill="1" applyBorder="1" applyAlignment="1">
      <alignment horizontal="center" vertical="center" textRotation="90"/>
    </xf>
    <xf numFmtId="0" fontId="174" fillId="0" borderId="16" xfId="66" applyFont="1" applyFill="1" applyBorder="1" applyAlignment="1">
      <alignment horizontal="center" vertical="center" textRotation="90"/>
    </xf>
    <xf numFmtId="0" fontId="174" fillId="0" borderId="20" xfId="66" applyFont="1" applyFill="1" applyBorder="1" applyAlignment="1">
      <alignment horizontal="center" vertical="center" textRotation="90"/>
    </xf>
    <xf numFmtId="0" fontId="170" fillId="0" borderId="19" xfId="66" applyFont="1" applyFill="1" applyBorder="1" applyAlignment="1">
      <alignment horizontal="center" vertical="center" textRotation="90"/>
    </xf>
    <xf numFmtId="0" fontId="170" fillId="0" borderId="21" xfId="66" applyFont="1" applyFill="1" applyBorder="1" applyAlignment="1">
      <alignment horizontal="center" vertical="center" textRotation="90"/>
    </xf>
    <xf numFmtId="0" fontId="170" fillId="0" borderId="20" xfId="66" applyFont="1" applyFill="1" applyBorder="1" applyAlignment="1">
      <alignment horizontal="center" vertical="center" textRotation="90"/>
    </xf>
    <xf numFmtId="0" fontId="171" fillId="0" borderId="19" xfId="66" applyFont="1" applyFill="1" applyBorder="1" applyAlignment="1">
      <alignment horizontal="center" vertical="center" textRotation="90"/>
    </xf>
    <xf numFmtId="0" fontId="171" fillId="0" borderId="21" xfId="66" applyFont="1" applyFill="1" applyBorder="1" applyAlignment="1">
      <alignment horizontal="center" vertical="center" textRotation="90"/>
    </xf>
    <xf numFmtId="0" fontId="171" fillId="0" borderId="20" xfId="66" applyFont="1" applyFill="1" applyBorder="1" applyAlignment="1">
      <alignment horizontal="center" vertical="center" textRotation="90"/>
    </xf>
    <xf numFmtId="0" fontId="172" fillId="0" borderId="19" xfId="66" applyFont="1" applyFill="1" applyBorder="1" applyAlignment="1">
      <alignment horizontal="center" vertical="center" textRotation="90"/>
    </xf>
    <xf numFmtId="0" fontId="172" fillId="0" borderId="21" xfId="66" applyFont="1" applyFill="1" applyBorder="1" applyAlignment="1">
      <alignment horizontal="center" vertical="center" textRotation="90"/>
    </xf>
    <xf numFmtId="0" fontId="172" fillId="0" borderId="20" xfId="66" applyFont="1" applyFill="1" applyBorder="1" applyAlignment="1">
      <alignment horizontal="center" vertical="center" textRotation="90"/>
    </xf>
    <xf numFmtId="0" fontId="166" fillId="0" borderId="19" xfId="52" applyFont="1" applyFill="1" applyBorder="1" applyAlignment="1">
      <alignment horizontal="center" vertical="center"/>
    </xf>
    <xf numFmtId="0" fontId="166" fillId="0" borderId="21" xfId="52" applyFont="1" applyFill="1" applyBorder="1" applyAlignment="1">
      <alignment horizontal="center" vertical="center"/>
    </xf>
    <xf numFmtId="0" fontId="166" fillId="0" borderId="23" xfId="52" applyFont="1" applyFill="1" applyBorder="1" applyAlignment="1">
      <alignment horizontal="center" vertical="center"/>
    </xf>
    <xf numFmtId="0" fontId="168" fillId="0" borderId="19" xfId="52" applyFont="1" applyFill="1" applyBorder="1" applyAlignment="1">
      <alignment horizontal="center" vertical="center"/>
    </xf>
    <xf numFmtId="0" fontId="168" fillId="0" borderId="21" xfId="52" applyFont="1" applyFill="1" applyBorder="1" applyAlignment="1">
      <alignment horizontal="center" vertical="center"/>
    </xf>
    <xf numFmtId="0" fontId="168" fillId="0" borderId="23" xfId="52" applyFont="1" applyFill="1" applyBorder="1" applyAlignment="1">
      <alignment horizontal="center" vertical="center"/>
    </xf>
    <xf numFmtId="1" fontId="194" fillId="0" borderId="19" xfId="50" applyNumberFormat="1" applyFont="1" applyFill="1" applyBorder="1" applyAlignment="1">
      <alignment horizontal="center" vertical="center" wrapText="1"/>
    </xf>
    <xf numFmtId="0" fontId="76" fillId="0" borderId="0" xfId="66" applyFont="1" applyBorder="1" applyAlignment="1">
      <alignment horizontal="left" vertical="center" wrapText="1"/>
    </xf>
    <xf numFmtId="0" fontId="76" fillId="0" borderId="0" xfId="66" applyFont="1" applyAlignment="1">
      <alignment horizontal="left" vertical="center" wrapText="1"/>
    </xf>
    <xf numFmtId="0" fontId="128" fillId="0" borderId="19" xfId="66" applyFont="1" applyFill="1" applyBorder="1" applyAlignment="1">
      <alignment horizontal="center" vertical="center"/>
    </xf>
    <xf numFmtId="0" fontId="128" fillId="0" borderId="21" xfId="66" applyFont="1" applyFill="1" applyBorder="1" applyAlignment="1">
      <alignment horizontal="center" vertical="center"/>
    </xf>
    <xf numFmtId="0" fontId="128" fillId="0" borderId="23" xfId="66" applyFont="1" applyFill="1" applyBorder="1" applyAlignment="1">
      <alignment horizontal="center" vertical="center"/>
    </xf>
    <xf numFmtId="0" fontId="179" fillId="0" borderId="19" xfId="66" applyFont="1" applyFill="1" applyBorder="1" applyAlignment="1">
      <alignment horizontal="center" vertical="center"/>
    </xf>
    <xf numFmtId="0" fontId="179" fillId="0" borderId="21" xfId="66" applyFont="1" applyFill="1" applyBorder="1" applyAlignment="1">
      <alignment horizontal="center" vertical="center"/>
    </xf>
    <xf numFmtId="0" fontId="179" fillId="0" borderId="23" xfId="66" applyFont="1" applyFill="1" applyBorder="1" applyAlignment="1">
      <alignment horizontal="center" vertical="center"/>
    </xf>
    <xf numFmtId="0" fontId="175" fillId="0" borderId="19" xfId="66" applyFont="1" applyFill="1" applyBorder="1" applyAlignment="1">
      <alignment horizontal="center" vertical="center"/>
    </xf>
    <xf numFmtId="0" fontId="175" fillId="0" borderId="21" xfId="66" applyFont="1" applyFill="1" applyBorder="1" applyAlignment="1">
      <alignment horizontal="center" vertical="center"/>
    </xf>
    <xf numFmtId="0" fontId="175" fillId="0" borderId="23" xfId="66" applyFont="1" applyFill="1" applyBorder="1" applyAlignment="1">
      <alignment horizontal="center" vertical="center"/>
    </xf>
    <xf numFmtId="0" fontId="178" fillId="0" borderId="18" xfId="0" applyFont="1" applyBorder="1" applyAlignment="1">
      <alignment horizontal="center" vertical="center"/>
    </xf>
    <xf numFmtId="0" fontId="176" fillId="0" borderId="19" xfId="66" applyFont="1" applyFill="1" applyBorder="1" applyAlignment="1">
      <alignment horizontal="center" vertical="center"/>
    </xf>
    <xf numFmtId="0" fontId="176" fillId="0" borderId="21" xfId="66" applyFont="1" applyFill="1" applyBorder="1" applyAlignment="1">
      <alignment horizontal="center" vertical="center"/>
    </xf>
    <xf numFmtId="0" fontId="176" fillId="0" borderId="23" xfId="66" applyFont="1" applyFill="1" applyBorder="1" applyAlignment="1">
      <alignment horizontal="center" vertical="center"/>
    </xf>
    <xf numFmtId="0" fontId="177" fillId="0" borderId="19" xfId="66" applyFont="1" applyFill="1" applyBorder="1" applyAlignment="1">
      <alignment horizontal="center" vertical="center"/>
    </xf>
    <xf numFmtId="0" fontId="177" fillId="0" borderId="21" xfId="66" applyFont="1" applyFill="1" applyBorder="1" applyAlignment="1">
      <alignment horizontal="center" vertical="center"/>
    </xf>
    <xf numFmtId="0" fontId="177" fillId="0" borderId="23" xfId="66" applyFont="1" applyFill="1" applyBorder="1" applyAlignment="1">
      <alignment horizontal="center" vertical="center"/>
    </xf>
    <xf numFmtId="0" fontId="132" fillId="0" borderId="13" xfId="640" applyFont="1" applyFill="1" applyBorder="1" applyAlignment="1">
      <alignment horizontal="center" vertical="center"/>
    </xf>
    <xf numFmtId="0" fontId="132" fillId="0" borderId="14" xfId="640" applyFont="1" applyFill="1" applyBorder="1" applyAlignment="1">
      <alignment horizontal="center" vertical="center"/>
    </xf>
    <xf numFmtId="0" fontId="132" fillId="0" borderId="15" xfId="640" applyFont="1" applyFill="1" applyBorder="1" applyAlignment="1">
      <alignment horizontal="center" vertical="center"/>
    </xf>
    <xf numFmtId="0" fontId="189" fillId="0" borderId="0" xfId="640" applyFont="1" applyAlignment="1">
      <alignment horizontal="left" wrapText="1"/>
    </xf>
    <xf numFmtId="0" fontId="179" fillId="0" borderId="19" xfId="640" applyFont="1" applyFill="1" applyBorder="1" applyAlignment="1">
      <alignment horizontal="center" vertical="center"/>
    </xf>
    <xf numFmtId="0" fontId="179" fillId="0" borderId="21" xfId="640" applyFont="1" applyFill="1" applyBorder="1" applyAlignment="1">
      <alignment horizontal="center" vertical="center"/>
    </xf>
    <xf numFmtId="0" fontId="179" fillId="0" borderId="23" xfId="640" applyFont="1" applyFill="1" applyBorder="1" applyAlignment="1">
      <alignment horizontal="center" vertical="center"/>
    </xf>
    <xf numFmtId="0" fontId="178" fillId="0" borderId="19" xfId="640" applyFont="1" applyFill="1" applyBorder="1" applyAlignment="1">
      <alignment horizontal="center" vertical="center"/>
    </xf>
    <xf numFmtId="0" fontId="178" fillId="0" borderId="21" xfId="640" applyFont="1" applyFill="1" applyBorder="1" applyAlignment="1">
      <alignment horizontal="center" vertical="center"/>
    </xf>
    <xf numFmtId="0" fontId="178" fillId="0" borderId="23" xfId="640" applyFont="1" applyFill="1" applyBorder="1" applyAlignment="1">
      <alignment horizontal="center" vertical="center"/>
    </xf>
    <xf numFmtId="0" fontId="177" fillId="0" borderId="19" xfId="640" applyFont="1" applyFill="1" applyBorder="1" applyAlignment="1">
      <alignment horizontal="center" vertical="center"/>
    </xf>
    <xf numFmtId="0" fontId="177" fillId="0" borderId="21" xfId="640" applyFont="1" applyFill="1" applyBorder="1" applyAlignment="1">
      <alignment horizontal="center" vertical="center"/>
    </xf>
    <xf numFmtId="0" fontId="177" fillId="0" borderId="23" xfId="640" applyFont="1" applyFill="1" applyBorder="1" applyAlignment="1">
      <alignment horizontal="center" vertical="center"/>
    </xf>
    <xf numFmtId="0" fontId="128" fillId="0" borderId="19" xfId="640" applyFont="1" applyFill="1" applyBorder="1" applyAlignment="1">
      <alignment horizontal="center" vertical="center"/>
    </xf>
    <xf numFmtId="0" fontId="128" fillId="0" borderId="21" xfId="640" applyFont="1" applyFill="1" applyBorder="1" applyAlignment="1">
      <alignment horizontal="center" vertical="center"/>
    </xf>
    <xf numFmtId="0" fontId="128" fillId="0" borderId="23" xfId="640" applyFont="1" applyFill="1" applyBorder="1" applyAlignment="1">
      <alignment horizontal="center" vertical="center"/>
    </xf>
    <xf numFmtId="0" fontId="176" fillId="0" borderId="19" xfId="640" applyFont="1" applyFill="1" applyBorder="1" applyAlignment="1">
      <alignment horizontal="center" vertical="center"/>
    </xf>
    <xf numFmtId="0" fontId="176" fillId="0" borderId="21" xfId="640" applyFont="1" applyFill="1" applyBorder="1" applyAlignment="1">
      <alignment horizontal="center" vertical="center"/>
    </xf>
    <xf numFmtId="0" fontId="176" fillId="0" borderId="23" xfId="640" applyFont="1" applyFill="1" applyBorder="1" applyAlignment="1">
      <alignment horizontal="center" vertical="center"/>
    </xf>
    <xf numFmtId="0" fontId="175" fillId="0" borderId="19" xfId="640" applyFont="1" applyFill="1" applyBorder="1" applyAlignment="1">
      <alignment horizontal="center" vertical="center"/>
    </xf>
    <xf numFmtId="0" fontId="175" fillId="0" borderId="21" xfId="640" applyFont="1" applyFill="1" applyBorder="1" applyAlignment="1">
      <alignment horizontal="center" vertical="center"/>
    </xf>
    <xf numFmtId="0" fontId="175" fillId="0" borderId="23" xfId="640" applyFont="1" applyFill="1" applyBorder="1" applyAlignment="1">
      <alignment horizontal="center" vertical="center"/>
    </xf>
    <xf numFmtId="0" fontId="82" fillId="0" borderId="0" xfId="66" applyFont="1" applyAlignment="1">
      <alignment horizontal="left" vertical="center"/>
    </xf>
    <xf numFmtId="0" fontId="76" fillId="0" borderId="0" xfId="66" applyFont="1" applyAlignment="1">
      <alignment horizontal="left" wrapText="1"/>
    </xf>
    <xf numFmtId="1" fontId="128" fillId="23" borderId="18" xfId="50" applyNumberFormat="1" applyFont="1" applyFill="1" applyBorder="1" applyAlignment="1">
      <alignment horizontal="center" vertical="center" wrapText="1"/>
    </xf>
    <xf numFmtId="0" fontId="131" fillId="0" borderId="0" xfId="66" applyFont="1" applyAlignment="1">
      <alignment horizontal="left" vertical="center"/>
    </xf>
    <xf numFmtId="0" fontId="240" fillId="0" borderId="19" xfId="66" applyFont="1" applyFill="1" applyBorder="1" applyAlignment="1">
      <alignment horizontal="center" vertical="center"/>
    </xf>
    <xf numFmtId="0" fontId="240" fillId="0" borderId="21" xfId="66" applyFont="1" applyFill="1" applyBorder="1" applyAlignment="1">
      <alignment horizontal="center" vertical="center"/>
    </xf>
    <xf numFmtId="0" fontId="240" fillId="0" borderId="23" xfId="66" applyFont="1" applyFill="1" applyBorder="1" applyAlignment="1">
      <alignment horizontal="center" vertical="center"/>
    </xf>
    <xf numFmtId="0" fontId="241" fillId="0" borderId="19" xfId="66" applyFont="1" applyFill="1" applyBorder="1" applyAlignment="1">
      <alignment horizontal="center" vertical="center"/>
    </xf>
    <xf numFmtId="0" fontId="241" fillId="0" borderId="21" xfId="66" applyFont="1" applyFill="1" applyBorder="1" applyAlignment="1">
      <alignment horizontal="center" vertical="center"/>
    </xf>
    <xf numFmtId="0" fontId="241" fillId="0" borderId="23" xfId="66" applyFont="1" applyFill="1" applyBorder="1" applyAlignment="1">
      <alignment horizontal="center" vertical="center"/>
    </xf>
    <xf numFmtId="0" fontId="242" fillId="0" borderId="19" xfId="66" applyFont="1" applyFill="1" applyBorder="1" applyAlignment="1">
      <alignment horizontal="center" vertical="center"/>
    </xf>
    <xf numFmtId="0" fontId="242" fillId="0" borderId="21" xfId="66" applyFont="1" applyFill="1" applyBorder="1" applyAlignment="1">
      <alignment horizontal="center" vertical="center"/>
    </xf>
    <xf numFmtId="0" fontId="242" fillId="0" borderId="23" xfId="66" applyFont="1" applyFill="1" applyBorder="1" applyAlignment="1">
      <alignment horizontal="center" vertical="center"/>
    </xf>
    <xf numFmtId="0" fontId="243" fillId="0" borderId="19" xfId="66" applyFont="1" applyFill="1" applyBorder="1" applyAlignment="1">
      <alignment horizontal="center" vertical="center"/>
    </xf>
    <xf numFmtId="0" fontId="243" fillId="0" borderId="21" xfId="66" applyFont="1" applyFill="1" applyBorder="1" applyAlignment="1">
      <alignment horizontal="center" vertical="center"/>
    </xf>
    <xf numFmtId="0" fontId="243" fillId="0" borderId="23" xfId="66" applyFont="1" applyFill="1" applyBorder="1" applyAlignment="1">
      <alignment horizontal="center" vertical="center"/>
    </xf>
    <xf numFmtId="0" fontId="130" fillId="0" borderId="12" xfId="66" applyFont="1" applyBorder="1" applyAlignment="1">
      <alignment horizontal="left" vertical="center"/>
    </xf>
    <xf numFmtId="0" fontId="130" fillId="0" borderId="0" xfId="66" applyFont="1" applyBorder="1" applyAlignment="1">
      <alignment horizontal="left" vertical="center"/>
    </xf>
    <xf numFmtId="0" fontId="306" fillId="0" borderId="19" xfId="66" applyFont="1" applyFill="1" applyBorder="1" applyAlignment="1">
      <alignment horizontal="center" vertical="center"/>
    </xf>
    <xf numFmtId="0" fontId="306" fillId="0" borderId="21" xfId="66" applyFont="1" applyFill="1" applyBorder="1" applyAlignment="1">
      <alignment horizontal="center" vertical="center"/>
    </xf>
    <xf numFmtId="0" fontId="306" fillId="0" borderId="23" xfId="66" applyFont="1" applyFill="1" applyBorder="1" applyAlignment="1">
      <alignment horizontal="center" vertical="center"/>
    </xf>
    <xf numFmtId="0" fontId="76" fillId="0" borderId="0" xfId="0" applyFont="1" applyAlignment="1">
      <alignment horizontal="left" wrapText="1"/>
    </xf>
    <xf numFmtId="0" fontId="318" fillId="0" borderId="0" xfId="646" applyFont="1" applyAlignment="1">
      <alignment horizontal="left" vertical="center" wrapText="1"/>
    </xf>
    <xf numFmtId="0" fontId="132" fillId="0" borderId="19" xfId="646" applyFont="1" applyBorder="1" applyAlignment="1">
      <alignment horizontal="center" vertical="center" wrapText="1"/>
    </xf>
    <xf numFmtId="0" fontId="132" fillId="0" borderId="21" xfId="646" applyFont="1" applyBorder="1" applyAlignment="1">
      <alignment horizontal="center" vertical="center" wrapText="1"/>
    </xf>
    <xf numFmtId="0" fontId="132" fillId="0" borderId="23" xfId="646" applyFont="1" applyBorder="1" applyAlignment="1">
      <alignment horizontal="center" vertical="center" wrapText="1"/>
    </xf>
    <xf numFmtId="0" fontId="40" fillId="0" borderId="19" xfId="646" applyFont="1" applyBorder="1" applyAlignment="1">
      <alignment horizontal="center" vertical="center" wrapText="1"/>
    </xf>
    <xf numFmtId="0" fontId="40" fillId="0" borderId="21" xfId="646" applyFont="1" applyBorder="1" applyAlignment="1">
      <alignment horizontal="center" vertical="center" wrapText="1"/>
    </xf>
    <xf numFmtId="0" fontId="40" fillId="0" borderId="111" xfId="646" applyFont="1" applyBorder="1" applyAlignment="1">
      <alignment horizontal="center" vertical="center" wrapText="1"/>
    </xf>
    <xf numFmtId="0" fontId="40" fillId="0" borderId="112" xfId="646" applyFont="1" applyBorder="1" applyAlignment="1">
      <alignment horizontal="center" vertical="center" wrapText="1"/>
    </xf>
    <xf numFmtId="0" fontId="40" fillId="0" borderId="113" xfId="646" applyFont="1" applyBorder="1" applyAlignment="1">
      <alignment horizontal="center" vertical="center" wrapText="1"/>
    </xf>
    <xf numFmtId="0" fontId="40" fillId="0" borderId="117" xfId="646" applyFont="1" applyBorder="1" applyAlignment="1">
      <alignment horizontal="center" vertical="center" wrapText="1"/>
    </xf>
    <xf numFmtId="0" fontId="40" fillId="0" borderId="118" xfId="646" applyFont="1" applyBorder="1" applyAlignment="1">
      <alignment horizontal="center" vertical="center" wrapText="1"/>
    </xf>
    <xf numFmtId="0" fontId="129" fillId="0" borderId="188" xfId="66" applyFont="1" applyBorder="1" applyAlignment="1">
      <alignment horizontal="center" vertical="center"/>
    </xf>
    <xf numFmtId="0" fontId="129" fillId="0" borderId="189" xfId="66" applyFont="1" applyBorder="1" applyAlignment="1">
      <alignment horizontal="center" vertical="center"/>
    </xf>
    <xf numFmtId="0" fontId="129" fillId="0" borderId="190" xfId="66" applyFont="1" applyBorder="1" applyAlignment="1">
      <alignment horizontal="center" vertical="center"/>
    </xf>
    <xf numFmtId="1" fontId="193" fillId="0" borderId="19" xfId="50" applyNumberFormat="1" applyFont="1" applyFill="1" applyBorder="1" applyAlignment="1">
      <alignment horizontal="center" vertical="center" wrapText="1"/>
    </xf>
    <xf numFmtId="1" fontId="193" fillId="0" borderId="21" xfId="50" applyNumberFormat="1" applyFont="1" applyFill="1" applyBorder="1" applyAlignment="1">
      <alignment horizontal="center" vertical="center" wrapText="1"/>
    </xf>
    <xf numFmtId="1" fontId="193" fillId="0" borderId="23" xfId="50" applyNumberFormat="1" applyFont="1" applyFill="1" applyBorder="1" applyAlignment="1">
      <alignment horizontal="center" vertical="center" wrapText="1"/>
    </xf>
    <xf numFmtId="1" fontId="193" fillId="0" borderId="176" xfId="50" applyNumberFormat="1" applyFont="1" applyFill="1" applyBorder="1" applyAlignment="1">
      <alignment horizontal="center" vertical="center" wrapText="1"/>
    </xf>
    <xf numFmtId="0" fontId="76" fillId="0" borderId="0" xfId="66" applyFont="1" applyFill="1" applyBorder="1" applyAlignment="1">
      <alignment horizontal="left" vertical="center" wrapText="1"/>
    </xf>
    <xf numFmtId="0" fontId="176" fillId="0" borderId="20" xfId="66" applyFont="1" applyFill="1" applyBorder="1" applyAlignment="1">
      <alignment horizontal="center" vertical="center"/>
    </xf>
    <xf numFmtId="0" fontId="178" fillId="0" borderId="19" xfId="66" applyFont="1" applyFill="1" applyBorder="1" applyAlignment="1">
      <alignment horizontal="center" vertical="center"/>
    </xf>
    <xf numFmtId="0" fontId="178" fillId="0" borderId="21" xfId="66" applyFont="1" applyFill="1" applyBorder="1" applyAlignment="1">
      <alignment horizontal="center" vertical="center"/>
    </xf>
    <xf numFmtId="0" fontId="178" fillId="0" borderId="16" xfId="66" applyFont="1" applyFill="1" applyBorder="1" applyAlignment="1">
      <alignment horizontal="center" vertical="center"/>
    </xf>
    <xf numFmtId="0" fontId="178" fillId="0" borderId="20" xfId="66" applyFont="1" applyFill="1" applyBorder="1" applyAlignment="1">
      <alignment horizontal="center" vertical="center"/>
    </xf>
    <xf numFmtId="0" fontId="175" fillId="0" borderId="20" xfId="66" applyFont="1" applyFill="1" applyBorder="1" applyAlignment="1">
      <alignment horizontal="center" vertical="center"/>
    </xf>
    <xf numFmtId="0" fontId="177" fillId="0" borderId="20" xfId="66" applyFont="1" applyFill="1" applyBorder="1" applyAlignment="1">
      <alignment horizontal="center" vertical="center"/>
    </xf>
    <xf numFmtId="1" fontId="128" fillId="23" borderId="182" xfId="50" applyNumberFormat="1" applyFont="1" applyFill="1" applyBorder="1" applyAlignment="1">
      <alignment horizontal="center" vertical="center" wrapText="1"/>
    </xf>
    <xf numFmtId="0" fontId="179" fillId="0" borderId="20" xfId="66" applyFont="1" applyFill="1" applyBorder="1" applyAlignment="1">
      <alignment horizontal="center" vertical="center"/>
    </xf>
    <xf numFmtId="0" fontId="82" fillId="0" borderId="0" xfId="66" applyFont="1" applyAlignment="1">
      <alignment vertical="center"/>
    </xf>
    <xf numFmtId="0" fontId="171" fillId="0" borderId="19" xfId="66" applyFont="1" applyFill="1" applyBorder="1" applyAlignment="1">
      <alignment horizontal="center" vertical="center"/>
    </xf>
    <xf numFmtId="0" fontId="171" fillId="0" borderId="21" xfId="66" applyFont="1" applyFill="1" applyBorder="1" applyAlignment="1">
      <alignment horizontal="center" vertical="center"/>
    </xf>
    <xf numFmtId="0" fontId="171" fillId="0" borderId="23" xfId="66" applyFont="1" applyFill="1" applyBorder="1" applyAlignment="1">
      <alignment horizontal="center" vertical="center"/>
    </xf>
    <xf numFmtId="0" fontId="174" fillId="0" borderId="19" xfId="66" applyFont="1" applyFill="1" applyBorder="1" applyAlignment="1">
      <alignment horizontal="center" vertical="center"/>
    </xf>
    <xf numFmtId="0" fontId="174" fillId="0" borderId="21" xfId="66" applyFont="1" applyFill="1" applyBorder="1" applyAlignment="1">
      <alignment horizontal="center" vertical="center"/>
    </xf>
    <xf numFmtId="0" fontId="174" fillId="0" borderId="23" xfId="66" applyFont="1" applyFill="1" applyBorder="1" applyAlignment="1">
      <alignment horizontal="center" vertical="center"/>
    </xf>
    <xf numFmtId="0" fontId="170" fillId="0" borderId="19" xfId="66" applyFont="1" applyFill="1" applyBorder="1" applyAlignment="1">
      <alignment horizontal="center" vertical="center"/>
    </xf>
    <xf numFmtId="0" fontId="170" fillId="0" borderId="21" xfId="66" applyFont="1" applyFill="1" applyBorder="1" applyAlignment="1">
      <alignment horizontal="center" vertical="center"/>
    </xf>
    <xf numFmtId="0" fontId="170" fillId="0" borderId="23" xfId="66" applyFont="1" applyFill="1" applyBorder="1" applyAlignment="1">
      <alignment horizontal="center" vertical="center"/>
    </xf>
    <xf numFmtId="0" fontId="173" fillId="0" borderId="19" xfId="66" applyFont="1" applyFill="1" applyBorder="1" applyAlignment="1">
      <alignment horizontal="center" vertical="center"/>
    </xf>
    <xf numFmtId="0" fontId="173" fillId="0" borderId="21" xfId="66" applyFont="1" applyFill="1" applyBorder="1" applyAlignment="1">
      <alignment horizontal="center" vertical="center"/>
    </xf>
    <xf numFmtId="0" fontId="173" fillId="0" borderId="23" xfId="66" applyFont="1" applyFill="1" applyBorder="1" applyAlignment="1">
      <alignment horizontal="center" vertical="center"/>
    </xf>
    <xf numFmtId="0" fontId="172" fillId="0" borderId="19" xfId="66" applyFont="1" applyFill="1" applyBorder="1" applyAlignment="1">
      <alignment horizontal="center" vertical="center"/>
    </xf>
    <xf numFmtId="0" fontId="172" fillId="0" borderId="21" xfId="66" applyFont="1" applyFill="1" applyBorder="1" applyAlignment="1">
      <alignment horizontal="center" vertical="center"/>
    </xf>
    <xf numFmtId="0" fontId="172" fillId="0" borderId="23" xfId="66" applyFont="1" applyFill="1" applyBorder="1" applyAlignment="1">
      <alignment horizontal="center" vertical="center"/>
    </xf>
    <xf numFmtId="0" fontId="133" fillId="0" borderId="0" xfId="646" applyFont="1" applyAlignment="1">
      <alignment horizontal="left" vertical="center" wrapText="1"/>
    </xf>
    <xf numFmtId="0" fontId="132" fillId="0" borderId="11" xfId="646" applyFont="1" applyBorder="1" applyAlignment="1">
      <alignment horizontal="center" vertical="center" wrapText="1"/>
    </xf>
    <xf numFmtId="0" fontId="132" fillId="0" borderId="16" xfId="646" applyFont="1" applyBorder="1" applyAlignment="1">
      <alignment horizontal="center" vertical="center" wrapText="1"/>
    </xf>
    <xf numFmtId="0" fontId="132" fillId="0" borderId="20" xfId="646" applyFont="1" applyBorder="1" applyAlignment="1">
      <alignment horizontal="center" vertical="center" wrapText="1"/>
    </xf>
    <xf numFmtId="0" fontId="40" fillId="0" borderId="19" xfId="646" applyFont="1" applyBorder="1" applyAlignment="1">
      <alignment horizontal="center" vertical="center"/>
    </xf>
    <xf numFmtId="0" fontId="40" fillId="0" borderId="21" xfId="646" applyFont="1" applyBorder="1" applyAlignment="1">
      <alignment horizontal="center" vertical="center"/>
    </xf>
    <xf numFmtId="0" fontId="40" fillId="0" borderId="118" xfId="646" applyFont="1" applyBorder="1" applyAlignment="1">
      <alignment horizontal="center" vertical="center"/>
    </xf>
    <xf numFmtId="0" fontId="40" fillId="0" borderId="117" xfId="646" applyFont="1" applyBorder="1" applyAlignment="1">
      <alignment horizontal="center" vertical="center"/>
    </xf>
    <xf numFmtId="0" fontId="40" fillId="0" borderId="23" xfId="646" applyFont="1" applyBorder="1" applyAlignment="1">
      <alignment horizontal="center" vertical="center"/>
    </xf>
    <xf numFmtId="0" fontId="132" fillId="0" borderId="11" xfId="646" applyFont="1" applyBorder="1" applyAlignment="1">
      <alignment horizontal="center" vertical="center"/>
    </xf>
    <xf numFmtId="0" fontId="132" fillId="0" borderId="16" xfId="646" applyFont="1" applyBorder="1" applyAlignment="1">
      <alignment horizontal="center" vertical="center"/>
    </xf>
    <xf numFmtId="0" fontId="132" fillId="0" borderId="20" xfId="646" applyFont="1" applyBorder="1" applyAlignment="1">
      <alignment horizontal="center" vertical="center"/>
    </xf>
    <xf numFmtId="0" fontId="128" fillId="0" borderId="18" xfId="66" applyFont="1" applyFill="1" applyBorder="1" applyAlignment="1">
      <alignment horizontal="center" vertical="center"/>
    </xf>
    <xf numFmtId="0" fontId="82" fillId="0" borderId="0" xfId="0" applyFont="1" applyAlignment="1">
      <alignment horizontal="left" vertical="center"/>
    </xf>
    <xf numFmtId="0" fontId="128" fillId="23" borderId="13" xfId="0" applyFont="1" applyFill="1" applyBorder="1" applyAlignment="1">
      <alignment horizontal="center" vertical="center"/>
    </xf>
    <xf numFmtId="0" fontId="128" fillId="23" borderId="14" xfId="0" applyFont="1" applyFill="1" applyBorder="1" applyAlignment="1">
      <alignment horizontal="center" vertical="center"/>
    </xf>
    <xf numFmtId="0" fontId="174" fillId="0" borderId="19" xfId="0" applyFont="1" applyFill="1" applyBorder="1" applyAlignment="1">
      <alignment horizontal="center" vertical="center" textRotation="90"/>
    </xf>
    <xf numFmtId="0" fontId="174" fillId="0" borderId="21" xfId="0" applyFont="1" applyFill="1" applyBorder="1" applyAlignment="1">
      <alignment horizontal="center" vertical="center" textRotation="90"/>
    </xf>
    <xf numFmtId="0" fontId="174" fillId="0" borderId="16" xfId="0" applyFont="1" applyFill="1" applyBorder="1" applyAlignment="1">
      <alignment horizontal="center" vertical="center" textRotation="90"/>
    </xf>
    <xf numFmtId="0" fontId="174" fillId="0" borderId="20" xfId="0" applyFont="1" applyFill="1" applyBorder="1" applyAlignment="1">
      <alignment horizontal="center" vertical="center" textRotation="90"/>
    </xf>
    <xf numFmtId="0" fontId="169" fillId="0" borderId="15" xfId="52" applyFont="1" applyFill="1" applyBorder="1" applyAlignment="1">
      <alignment horizontal="center" vertical="center"/>
    </xf>
    <xf numFmtId="0" fontId="169" fillId="0" borderId="17" xfId="52" applyFont="1" applyFill="1" applyBorder="1" applyAlignment="1">
      <alignment horizontal="center" vertical="center"/>
    </xf>
    <xf numFmtId="0" fontId="169" fillId="0" borderId="22" xfId="52" applyFont="1" applyFill="1" applyBorder="1" applyAlignment="1">
      <alignment horizontal="center" vertical="center"/>
    </xf>
    <xf numFmtId="0" fontId="172" fillId="0" borderId="19" xfId="0" applyFont="1" applyFill="1" applyBorder="1" applyAlignment="1">
      <alignment horizontal="center" vertical="center" textRotation="90"/>
    </xf>
    <xf numFmtId="0" fontId="172" fillId="0" borderId="21" xfId="0" applyFont="1" applyFill="1" applyBorder="1" applyAlignment="1">
      <alignment horizontal="center" vertical="center" textRotation="90"/>
    </xf>
    <xf numFmtId="0" fontId="172" fillId="0" borderId="20" xfId="0" applyFont="1" applyFill="1" applyBorder="1" applyAlignment="1">
      <alignment horizontal="center" vertical="center" textRotation="90"/>
    </xf>
    <xf numFmtId="0" fontId="193" fillId="0" borderId="19" xfId="52" applyFont="1" applyFill="1" applyBorder="1" applyAlignment="1">
      <alignment horizontal="center" vertical="center"/>
    </xf>
    <xf numFmtId="0" fontId="193" fillId="0" borderId="21" xfId="52" applyFont="1" applyFill="1" applyBorder="1" applyAlignment="1">
      <alignment horizontal="center" vertical="center"/>
    </xf>
    <xf numFmtId="0" fontId="193" fillId="0" borderId="23" xfId="52" applyFont="1" applyFill="1" applyBorder="1" applyAlignment="1">
      <alignment horizontal="center" vertical="center"/>
    </xf>
    <xf numFmtId="0" fontId="193" fillId="0" borderId="176" xfId="52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left" vertical="center" wrapText="1"/>
    </xf>
    <xf numFmtId="0" fontId="171" fillId="0" borderId="19" xfId="0" applyFont="1" applyFill="1" applyBorder="1" applyAlignment="1">
      <alignment horizontal="center" vertical="center" textRotation="90"/>
    </xf>
    <xf numFmtId="0" fontId="171" fillId="0" borderId="21" xfId="0" applyFont="1" applyFill="1" applyBorder="1" applyAlignment="1">
      <alignment horizontal="center" vertical="center" textRotation="90"/>
    </xf>
    <xf numFmtId="0" fontId="171" fillId="0" borderId="20" xfId="0" applyFont="1" applyFill="1" applyBorder="1" applyAlignment="1">
      <alignment horizontal="center" vertical="center" textRotation="90"/>
    </xf>
    <xf numFmtId="0" fontId="170" fillId="0" borderId="19" xfId="0" applyFont="1" applyFill="1" applyBorder="1" applyAlignment="1">
      <alignment horizontal="center" vertical="center" textRotation="90"/>
    </xf>
    <xf numFmtId="0" fontId="170" fillId="0" borderId="21" xfId="0" applyFont="1" applyFill="1" applyBorder="1" applyAlignment="1">
      <alignment horizontal="center" vertical="center" textRotation="90"/>
    </xf>
    <xf numFmtId="0" fontId="170" fillId="0" borderId="20" xfId="0" applyFont="1" applyFill="1" applyBorder="1" applyAlignment="1">
      <alignment horizontal="center" vertical="center" textRotation="90"/>
    </xf>
    <xf numFmtId="0" fontId="173" fillId="0" borderId="19" xfId="0" applyFont="1" applyFill="1" applyBorder="1" applyAlignment="1">
      <alignment horizontal="center" vertical="center" textRotation="90"/>
    </xf>
    <xf numFmtId="0" fontId="173" fillId="0" borderId="21" xfId="0" applyFont="1" applyFill="1" applyBorder="1" applyAlignment="1">
      <alignment horizontal="center" vertical="center" textRotation="90"/>
    </xf>
    <xf numFmtId="0" fontId="173" fillId="0" borderId="20" xfId="0" applyFont="1" applyFill="1" applyBorder="1" applyAlignment="1">
      <alignment horizontal="center" vertical="center" textRotation="90"/>
    </xf>
    <xf numFmtId="0" fontId="76" fillId="0" borderId="0" xfId="0" applyFont="1" applyFill="1" applyBorder="1" applyAlignment="1">
      <alignment horizontal="left" wrapText="1"/>
    </xf>
    <xf numFmtId="0" fontId="128" fillId="0" borderId="19" xfId="0" applyFont="1" applyFill="1" applyBorder="1" applyAlignment="1">
      <alignment horizontal="center" vertical="center"/>
    </xf>
    <xf numFmtId="0" fontId="128" fillId="0" borderId="21" xfId="0" applyFont="1" applyFill="1" applyBorder="1" applyAlignment="1">
      <alignment horizontal="center" vertical="center"/>
    </xf>
    <xf numFmtId="0" fontId="128" fillId="0" borderId="23" xfId="0" applyFont="1" applyFill="1" applyBorder="1" applyAlignment="1">
      <alignment horizontal="center" vertical="center"/>
    </xf>
    <xf numFmtId="0" fontId="72" fillId="0" borderId="0" xfId="0" applyFont="1" applyAlignment="1">
      <alignment horizontal="center"/>
    </xf>
    <xf numFmtId="0" fontId="74" fillId="0" borderId="19" xfId="0" applyFont="1" applyFill="1" applyBorder="1" applyAlignment="1">
      <alignment horizontal="center" vertical="center"/>
    </xf>
    <xf numFmtId="0" fontId="74" fillId="0" borderId="21" xfId="0" applyFont="1" applyFill="1" applyBorder="1" applyAlignment="1">
      <alignment horizontal="center" vertical="center"/>
    </xf>
    <xf numFmtId="0" fontId="74" fillId="0" borderId="23" xfId="0" applyFont="1" applyFill="1" applyBorder="1" applyAlignment="1">
      <alignment horizontal="center" vertical="center"/>
    </xf>
    <xf numFmtId="0" fontId="73" fillId="23" borderId="13" xfId="0" applyFont="1" applyFill="1" applyBorder="1" applyAlignment="1">
      <alignment horizontal="center" vertical="center"/>
    </xf>
    <xf numFmtId="0" fontId="73" fillId="23" borderId="10" xfId="0" applyFont="1" applyFill="1" applyBorder="1" applyAlignment="1">
      <alignment horizontal="center" vertical="center"/>
    </xf>
    <xf numFmtId="0" fontId="70" fillId="0" borderId="21" xfId="52" applyFont="1" applyFill="1" applyBorder="1" applyAlignment="1">
      <alignment horizontal="center" vertical="center"/>
    </xf>
    <xf numFmtId="0" fontId="70" fillId="0" borderId="19" xfId="52" applyFont="1" applyFill="1" applyBorder="1" applyAlignment="1">
      <alignment horizontal="center" vertical="center"/>
    </xf>
    <xf numFmtId="0" fontId="70" fillId="0" borderId="23" xfId="52" applyFont="1" applyFill="1" applyBorder="1" applyAlignment="1">
      <alignment horizontal="center" vertical="center"/>
    </xf>
    <xf numFmtId="0" fontId="176" fillId="0" borderId="19" xfId="0" applyFont="1" applyFill="1" applyBorder="1" applyAlignment="1">
      <alignment horizontal="center" vertical="center"/>
    </xf>
    <xf numFmtId="0" fontId="176" fillId="0" borderId="21" xfId="0" applyFont="1" applyFill="1" applyBorder="1" applyAlignment="1">
      <alignment horizontal="center" vertical="center"/>
    </xf>
    <xf numFmtId="0" fontId="176" fillId="0" borderId="23" xfId="0" applyFont="1" applyFill="1" applyBorder="1" applyAlignment="1">
      <alignment horizontal="center" vertical="center"/>
    </xf>
    <xf numFmtId="0" fontId="179" fillId="0" borderId="19" xfId="0" applyFont="1" applyFill="1" applyBorder="1" applyAlignment="1">
      <alignment horizontal="center" vertical="center"/>
    </xf>
    <xf numFmtId="0" fontId="179" fillId="0" borderId="21" xfId="0" applyFont="1" applyFill="1" applyBorder="1" applyAlignment="1">
      <alignment horizontal="center" vertical="center"/>
    </xf>
    <xf numFmtId="0" fontId="179" fillId="0" borderId="23" xfId="0" applyFont="1" applyFill="1" applyBorder="1" applyAlignment="1">
      <alignment horizontal="center" vertical="center"/>
    </xf>
    <xf numFmtId="0" fontId="177" fillId="0" borderId="19" xfId="0" applyFont="1" applyFill="1" applyBorder="1" applyAlignment="1">
      <alignment horizontal="center" vertical="center"/>
    </xf>
    <xf numFmtId="0" fontId="177" fillId="0" borderId="21" xfId="0" applyFont="1" applyFill="1" applyBorder="1" applyAlignment="1">
      <alignment horizontal="center" vertical="center"/>
    </xf>
    <xf numFmtId="0" fontId="177" fillId="0" borderId="23" xfId="0" applyFont="1" applyFill="1" applyBorder="1" applyAlignment="1">
      <alignment horizontal="center" vertical="center"/>
    </xf>
    <xf numFmtId="0" fontId="175" fillId="0" borderId="19" xfId="0" applyFont="1" applyFill="1" applyBorder="1" applyAlignment="1">
      <alignment horizontal="center" vertical="center"/>
    </xf>
    <xf numFmtId="0" fontId="175" fillId="0" borderId="21" xfId="0" applyFont="1" applyFill="1" applyBorder="1" applyAlignment="1">
      <alignment horizontal="center" vertical="center"/>
    </xf>
    <xf numFmtId="0" fontId="175" fillId="0" borderId="23" xfId="0" applyFont="1" applyFill="1" applyBorder="1" applyAlignment="1">
      <alignment horizontal="center" vertical="center"/>
    </xf>
    <xf numFmtId="0" fontId="178" fillId="0" borderId="19" xfId="0" applyFont="1" applyFill="1" applyBorder="1" applyAlignment="1">
      <alignment horizontal="center" vertical="center"/>
    </xf>
    <xf numFmtId="0" fontId="178" fillId="0" borderId="21" xfId="0" applyFont="1" applyFill="1" applyBorder="1" applyAlignment="1">
      <alignment horizontal="center" vertical="center"/>
    </xf>
    <xf numFmtId="0" fontId="178" fillId="0" borderId="23" xfId="0" applyFont="1" applyFill="1" applyBorder="1" applyAlignment="1">
      <alignment horizontal="center" vertical="center"/>
    </xf>
    <xf numFmtId="0" fontId="108" fillId="0" borderId="0" xfId="0" applyFont="1" applyAlignment="1">
      <alignment horizontal="center"/>
    </xf>
    <xf numFmtId="0" fontId="175" fillId="0" borderId="19" xfId="66" applyFont="1" applyFill="1" applyBorder="1" applyAlignment="1">
      <alignment horizontal="center" vertical="center" wrapText="1"/>
    </xf>
    <xf numFmtId="0" fontId="175" fillId="0" borderId="21" xfId="66" applyFont="1" applyFill="1" applyBorder="1" applyAlignment="1">
      <alignment horizontal="center" vertical="center" wrapText="1"/>
    </xf>
    <xf numFmtId="0" fontId="175" fillId="0" borderId="20" xfId="66" applyFont="1" applyFill="1" applyBorder="1" applyAlignment="1">
      <alignment horizontal="center" vertical="center" wrapText="1"/>
    </xf>
    <xf numFmtId="0" fontId="129" fillId="0" borderId="19" xfId="52" applyFont="1" applyFill="1" applyBorder="1" applyAlignment="1">
      <alignment horizontal="center" vertical="center"/>
    </xf>
    <xf numFmtId="0" fontId="129" fillId="0" borderId="21" xfId="52" applyFont="1" applyFill="1" applyBorder="1" applyAlignment="1">
      <alignment horizontal="center" vertical="center"/>
    </xf>
    <xf numFmtId="0" fontId="129" fillId="0" borderId="23" xfId="52" applyFont="1" applyFill="1" applyBorder="1" applyAlignment="1">
      <alignment horizontal="center" vertical="center"/>
    </xf>
    <xf numFmtId="0" fontId="129" fillId="0" borderId="218" xfId="52" applyFont="1" applyFill="1" applyBorder="1" applyAlignment="1">
      <alignment horizontal="center" vertical="center"/>
    </xf>
    <xf numFmtId="0" fontId="129" fillId="0" borderId="17" xfId="52" applyFont="1" applyFill="1" applyBorder="1" applyAlignment="1">
      <alignment horizontal="center" vertical="center"/>
    </xf>
    <xf numFmtId="0" fontId="178" fillId="0" borderId="23" xfId="66" applyFont="1" applyFill="1" applyBorder="1" applyAlignment="1">
      <alignment horizontal="center" vertical="center"/>
    </xf>
    <xf numFmtId="1" fontId="128" fillId="23" borderId="18" xfId="462" applyNumberFormat="1" applyFont="1" applyFill="1" applyBorder="1" applyAlignment="1">
      <alignment horizontal="center" vertical="center" wrapText="1"/>
    </xf>
    <xf numFmtId="0" fontId="73" fillId="0" borderId="11" xfId="66" applyFont="1" applyFill="1" applyBorder="1" applyAlignment="1">
      <alignment horizontal="center" vertical="center"/>
    </xf>
    <xf numFmtId="0" fontId="73" fillId="0" borderId="12" xfId="66" applyFont="1" applyFill="1" applyBorder="1" applyAlignment="1">
      <alignment horizontal="center" vertical="center"/>
    </xf>
    <xf numFmtId="0" fontId="73" fillId="0" borderId="15" xfId="66" applyFont="1" applyFill="1" applyBorder="1" applyAlignment="1">
      <alignment horizontal="center" vertical="center"/>
    </xf>
    <xf numFmtId="0" fontId="73" fillId="0" borderId="188" xfId="66" applyFont="1" applyFill="1" applyBorder="1" applyAlignment="1">
      <alignment horizontal="center" vertical="center"/>
    </xf>
    <xf numFmtId="0" fontId="73" fillId="0" borderId="189" xfId="66" applyFont="1" applyFill="1" applyBorder="1" applyAlignment="1">
      <alignment horizontal="center" vertical="center"/>
    </xf>
    <xf numFmtId="0" fontId="73" fillId="0" borderId="190" xfId="66" applyFont="1" applyFill="1" applyBorder="1" applyAlignment="1">
      <alignment horizontal="center" vertical="center"/>
    </xf>
    <xf numFmtId="0" fontId="167" fillId="0" borderId="19" xfId="374" applyFont="1" applyBorder="1" applyAlignment="1">
      <alignment horizontal="center" vertical="center"/>
    </xf>
    <xf numFmtId="0" fontId="167" fillId="0" borderId="21" xfId="374" applyFont="1" applyBorder="1" applyAlignment="1">
      <alignment horizontal="center" vertical="center"/>
    </xf>
    <xf numFmtId="0" fontId="167" fillId="0" borderId="23" xfId="374" applyFont="1" applyBorder="1" applyAlignment="1">
      <alignment horizontal="center" vertical="center"/>
    </xf>
    <xf numFmtId="0" fontId="166" fillId="0" borderId="19" xfId="463" applyFont="1" applyFill="1" applyBorder="1" applyAlignment="1">
      <alignment horizontal="center" vertical="center"/>
    </xf>
    <xf numFmtId="0" fontId="166" fillId="0" borderId="21" xfId="463" applyFont="1" applyFill="1" applyBorder="1" applyAlignment="1">
      <alignment horizontal="center" vertical="center"/>
    </xf>
    <xf numFmtId="0" fontId="166" fillId="0" borderId="23" xfId="463" applyFont="1" applyFill="1" applyBorder="1" applyAlignment="1">
      <alignment horizontal="center" vertical="center"/>
    </xf>
    <xf numFmtId="0" fontId="76" fillId="0" borderId="0" xfId="374" applyFont="1" applyFill="1" applyBorder="1" applyAlignment="1">
      <alignment horizontal="left" vertical="center" wrapText="1"/>
    </xf>
    <xf numFmtId="0" fontId="128" fillId="23" borderId="13" xfId="374" applyFont="1" applyFill="1" applyBorder="1" applyAlignment="1">
      <alignment horizontal="center" vertical="center"/>
    </xf>
    <xf numFmtId="0" fontId="128" fillId="23" borderId="14" xfId="374" applyFont="1" applyFill="1" applyBorder="1" applyAlignment="1">
      <alignment horizontal="center" vertical="center"/>
    </xf>
    <xf numFmtId="0" fontId="168" fillId="0" borderId="19" xfId="463" applyFont="1" applyFill="1" applyBorder="1" applyAlignment="1">
      <alignment horizontal="center" vertical="center"/>
    </xf>
    <xf numFmtId="0" fontId="168" fillId="0" borderId="21" xfId="463" applyFont="1" applyFill="1" applyBorder="1" applyAlignment="1">
      <alignment horizontal="center" vertical="center"/>
    </xf>
    <xf numFmtId="0" fontId="168" fillId="0" borderId="23" xfId="463" applyFont="1" applyFill="1" applyBorder="1" applyAlignment="1">
      <alignment horizontal="center" vertical="center"/>
    </xf>
    <xf numFmtId="0" fontId="169" fillId="0" borderId="19" xfId="463" applyFont="1" applyFill="1" applyBorder="1" applyAlignment="1">
      <alignment horizontal="center" vertical="center"/>
    </xf>
    <xf numFmtId="0" fontId="169" fillId="0" borderId="21" xfId="463" applyFont="1" applyFill="1" applyBorder="1" applyAlignment="1">
      <alignment horizontal="center" vertical="center"/>
    </xf>
    <xf numFmtId="0" fontId="169" fillId="0" borderId="23" xfId="463" applyFont="1" applyFill="1" applyBorder="1" applyAlignment="1">
      <alignment horizontal="center" vertical="center"/>
    </xf>
    <xf numFmtId="0" fontId="129" fillId="0" borderId="185" xfId="52" applyFont="1" applyFill="1" applyBorder="1" applyAlignment="1">
      <alignment horizontal="center" vertical="center"/>
    </xf>
    <xf numFmtId="0" fontId="170" fillId="0" borderId="19" xfId="0" applyFont="1" applyFill="1" applyBorder="1" applyAlignment="1">
      <alignment horizontal="center" vertical="center"/>
    </xf>
    <xf numFmtId="0" fontId="170" fillId="0" borderId="21" xfId="0" applyFont="1" applyFill="1" applyBorder="1" applyAlignment="1">
      <alignment horizontal="center" vertical="center"/>
    </xf>
    <xf numFmtId="0" fontId="170" fillId="0" borderId="23" xfId="0" applyFont="1" applyFill="1" applyBorder="1" applyAlignment="1">
      <alignment horizontal="center" vertical="center"/>
    </xf>
    <xf numFmtId="0" fontId="171" fillId="0" borderId="19" xfId="0" applyFont="1" applyFill="1" applyBorder="1" applyAlignment="1">
      <alignment horizontal="center" vertical="center"/>
    </xf>
    <xf numFmtId="0" fontId="171" fillId="0" borderId="21" xfId="0" applyFont="1" applyFill="1" applyBorder="1" applyAlignment="1">
      <alignment horizontal="center" vertical="center"/>
    </xf>
    <xf numFmtId="0" fontId="171" fillId="0" borderId="23" xfId="0" applyFont="1" applyFill="1" applyBorder="1" applyAlignment="1">
      <alignment horizontal="center" vertical="center"/>
    </xf>
    <xf numFmtId="0" fontId="172" fillId="0" borderId="19" xfId="0" applyFont="1" applyFill="1" applyBorder="1" applyAlignment="1">
      <alignment horizontal="center" vertical="center"/>
    </xf>
    <xf numFmtId="0" fontId="172" fillId="0" borderId="21" xfId="0" applyFont="1" applyFill="1" applyBorder="1" applyAlignment="1">
      <alignment horizontal="center" vertical="center"/>
    </xf>
    <xf numFmtId="0" fontId="172" fillId="0" borderId="23" xfId="0" applyFont="1" applyFill="1" applyBorder="1" applyAlignment="1">
      <alignment horizontal="center" vertical="center"/>
    </xf>
    <xf numFmtId="0" fontId="173" fillId="0" borderId="19" xfId="0" applyFont="1" applyFill="1" applyBorder="1" applyAlignment="1">
      <alignment horizontal="center" vertical="center"/>
    </xf>
    <xf numFmtId="0" fontId="173" fillId="0" borderId="21" xfId="0" applyFont="1" applyFill="1" applyBorder="1" applyAlignment="1">
      <alignment horizontal="center" vertical="center"/>
    </xf>
    <xf numFmtId="0" fontId="173" fillId="0" borderId="23" xfId="0" applyFont="1" applyFill="1" applyBorder="1" applyAlignment="1">
      <alignment horizontal="center" vertical="center"/>
    </xf>
    <xf numFmtId="0" fontId="174" fillId="0" borderId="19" xfId="0" applyFont="1" applyFill="1" applyBorder="1" applyAlignment="1">
      <alignment horizontal="center" vertical="center"/>
    </xf>
    <xf numFmtId="0" fontId="174" fillId="0" borderId="21" xfId="0" applyFont="1" applyFill="1" applyBorder="1" applyAlignment="1">
      <alignment horizontal="center" vertical="center"/>
    </xf>
    <xf numFmtId="0" fontId="174" fillId="0" borderId="23" xfId="0" applyFont="1" applyFill="1" applyBorder="1" applyAlignment="1">
      <alignment horizontal="center" vertical="center"/>
    </xf>
    <xf numFmtId="0" fontId="179" fillId="0" borderId="11" xfId="641" applyFont="1" applyFill="1" applyBorder="1" applyAlignment="1">
      <alignment horizontal="center" vertical="center"/>
    </xf>
    <xf numFmtId="0" fontId="179" fillId="0" borderId="16" xfId="641" applyFont="1" applyFill="1" applyBorder="1" applyAlignment="1">
      <alignment horizontal="center" vertical="center"/>
    </xf>
    <xf numFmtId="0" fontId="179" fillId="0" borderId="20" xfId="641" applyFont="1" applyFill="1" applyBorder="1" applyAlignment="1">
      <alignment horizontal="center" vertical="center"/>
    </xf>
    <xf numFmtId="0" fontId="177" fillId="0" borderId="11" xfId="641" applyFont="1" applyFill="1" applyBorder="1" applyAlignment="1">
      <alignment horizontal="center" vertical="center"/>
    </xf>
    <xf numFmtId="0" fontId="177" fillId="0" borderId="16" xfId="641" applyFont="1" applyFill="1" applyBorder="1" applyAlignment="1">
      <alignment horizontal="center" vertical="center"/>
    </xf>
    <xf numFmtId="0" fontId="177" fillId="0" borderId="20" xfId="641" applyFont="1" applyFill="1" applyBorder="1" applyAlignment="1">
      <alignment horizontal="center" vertical="center"/>
    </xf>
    <xf numFmtId="0" fontId="132" fillId="0" borderId="11" xfId="641" applyFont="1" applyBorder="1" applyAlignment="1">
      <alignment horizontal="center" vertical="center"/>
    </xf>
    <xf numFmtId="0" fontId="132" fillId="0" borderId="16" xfId="641" applyFont="1" applyBorder="1" applyAlignment="1">
      <alignment horizontal="center" vertical="center"/>
    </xf>
    <xf numFmtId="0" fontId="132" fillId="0" borderId="20" xfId="641" applyFont="1" applyBorder="1" applyAlignment="1">
      <alignment horizontal="center" vertical="center"/>
    </xf>
    <xf numFmtId="0" fontId="176" fillId="0" borderId="19" xfId="641" applyFont="1" applyFill="1" applyBorder="1" applyAlignment="1">
      <alignment horizontal="center" vertical="center"/>
    </xf>
    <xf numFmtId="0" fontId="176" fillId="0" borderId="21" xfId="641" applyFont="1" applyFill="1" applyBorder="1" applyAlignment="1">
      <alignment horizontal="center" vertical="center"/>
    </xf>
    <xf numFmtId="0" fontId="176" fillId="0" borderId="23" xfId="641" applyFont="1" applyFill="1" applyBorder="1" applyAlignment="1">
      <alignment horizontal="center" vertical="center"/>
    </xf>
    <xf numFmtId="0" fontId="178" fillId="0" borderId="11" xfId="641" applyFont="1" applyFill="1" applyBorder="1" applyAlignment="1">
      <alignment horizontal="center" vertical="center"/>
    </xf>
    <xf numFmtId="0" fontId="178" fillId="0" borderId="16" xfId="641" applyFont="1" applyFill="1" applyBorder="1" applyAlignment="1">
      <alignment horizontal="center" vertical="center"/>
    </xf>
    <xf numFmtId="0" fontId="178" fillId="0" borderId="20" xfId="641" applyFont="1" applyFill="1" applyBorder="1" applyAlignment="1">
      <alignment horizontal="center" vertical="center"/>
    </xf>
    <xf numFmtId="0" fontId="175" fillId="0" borderId="11" xfId="641" applyFont="1" applyFill="1" applyBorder="1" applyAlignment="1">
      <alignment horizontal="center" vertical="center"/>
    </xf>
    <xf numFmtId="0" fontId="175" fillId="0" borderId="16" xfId="641" applyFont="1" applyFill="1" applyBorder="1" applyAlignment="1">
      <alignment horizontal="center" vertical="center"/>
    </xf>
    <xf numFmtId="0" fontId="175" fillId="0" borderId="20" xfId="641" applyFont="1" applyFill="1" applyBorder="1" applyAlignment="1">
      <alignment horizontal="center" vertical="center"/>
    </xf>
    <xf numFmtId="1" fontId="128" fillId="23" borderId="19" xfId="50" applyNumberFormat="1" applyFont="1" applyFill="1" applyBorder="1" applyAlignment="1">
      <alignment horizontal="center" vertical="center"/>
    </xf>
    <xf numFmtId="1" fontId="128" fillId="23" borderId="23" xfId="50" applyNumberFormat="1" applyFont="1" applyFill="1" applyBorder="1" applyAlignment="1">
      <alignment horizontal="center" vertical="center"/>
    </xf>
    <xf numFmtId="0" fontId="177" fillId="0" borderId="19" xfId="48" applyFont="1" applyFill="1" applyBorder="1" applyAlignment="1">
      <alignment horizontal="center" vertical="center"/>
    </xf>
    <xf numFmtId="0" fontId="177" fillId="0" borderId="21" xfId="48" applyFont="1" applyFill="1" applyBorder="1" applyAlignment="1">
      <alignment horizontal="center" vertical="center"/>
    </xf>
    <xf numFmtId="0" fontId="177" fillId="0" borderId="20" xfId="48" applyFont="1" applyFill="1" applyBorder="1" applyAlignment="1">
      <alignment horizontal="center" vertical="center"/>
    </xf>
    <xf numFmtId="0" fontId="179" fillId="0" borderId="19" xfId="48" applyFont="1" applyFill="1" applyBorder="1" applyAlignment="1">
      <alignment horizontal="center" vertical="center"/>
    </xf>
    <xf numFmtId="0" fontId="179" fillId="0" borderId="21" xfId="48" applyFont="1" applyFill="1" applyBorder="1" applyAlignment="1">
      <alignment horizontal="center" vertical="center"/>
    </xf>
    <xf numFmtId="0" fontId="179" fillId="0" borderId="20" xfId="48" applyFont="1" applyFill="1" applyBorder="1" applyAlignment="1">
      <alignment horizontal="center" vertical="center"/>
    </xf>
    <xf numFmtId="0" fontId="76" fillId="0" borderId="0" xfId="48" applyFont="1" applyAlignment="1">
      <alignment horizontal="left" vertical="center" wrapText="1"/>
    </xf>
    <xf numFmtId="0" fontId="128" fillId="23" borderId="13" xfId="48" applyFont="1" applyFill="1" applyBorder="1" applyAlignment="1">
      <alignment horizontal="center" vertical="center"/>
    </xf>
    <xf numFmtId="0" fontId="128" fillId="23" borderId="10" xfId="48" applyFont="1" applyFill="1" applyBorder="1" applyAlignment="1">
      <alignment horizontal="center" vertical="center"/>
    </xf>
    <xf numFmtId="0" fontId="175" fillId="0" borderId="19" xfId="48" applyFont="1" applyFill="1" applyBorder="1" applyAlignment="1">
      <alignment horizontal="center" vertical="center"/>
    </xf>
    <xf numFmtId="0" fontId="175" fillId="0" borderId="21" xfId="48" applyFont="1" applyFill="1" applyBorder="1" applyAlignment="1">
      <alignment horizontal="center" vertical="center"/>
    </xf>
    <xf numFmtId="0" fontId="175" fillId="0" borderId="20" xfId="48" applyFont="1" applyFill="1" applyBorder="1" applyAlignment="1">
      <alignment horizontal="center" vertical="center"/>
    </xf>
    <xf numFmtId="0" fontId="176" fillId="0" borderId="19" xfId="48" applyFont="1" applyFill="1" applyBorder="1" applyAlignment="1">
      <alignment horizontal="center" vertical="center"/>
    </xf>
    <xf numFmtId="0" fontId="176" fillId="0" borderId="21" xfId="48" applyFont="1" applyFill="1" applyBorder="1" applyAlignment="1">
      <alignment horizontal="center" vertical="center"/>
    </xf>
    <xf numFmtId="0" fontId="176" fillId="0" borderId="20" xfId="48" applyFont="1" applyFill="1" applyBorder="1" applyAlignment="1">
      <alignment horizontal="center" vertical="center"/>
    </xf>
    <xf numFmtId="0" fontId="167" fillId="0" borderId="21" xfId="0" applyFont="1" applyBorder="1" applyAlignment="1">
      <alignment horizontal="center" vertical="center"/>
    </xf>
    <xf numFmtId="0" fontId="167" fillId="0" borderId="23" xfId="0" applyFont="1" applyBorder="1" applyAlignment="1">
      <alignment horizontal="center" vertical="center"/>
    </xf>
    <xf numFmtId="0" fontId="167" fillId="0" borderId="19" xfId="0" applyFont="1" applyBorder="1" applyAlignment="1">
      <alignment horizontal="center" vertical="center"/>
    </xf>
    <xf numFmtId="0" fontId="128" fillId="0" borderId="19" xfId="48" applyFont="1" applyFill="1" applyBorder="1" applyAlignment="1">
      <alignment horizontal="center" vertical="center"/>
    </xf>
    <xf numFmtId="0" fontId="128" fillId="0" borderId="21" xfId="48" applyFont="1" applyFill="1" applyBorder="1" applyAlignment="1">
      <alignment horizontal="center" vertical="center"/>
    </xf>
    <xf numFmtId="0" fontId="128" fillId="0" borderId="23" xfId="48" applyFont="1" applyFill="1" applyBorder="1" applyAlignment="1">
      <alignment horizontal="center" vertical="center"/>
    </xf>
    <xf numFmtId="0" fontId="132" fillId="23" borderId="13" xfId="374" applyFont="1" applyFill="1" applyBorder="1" applyAlignment="1">
      <alignment horizontal="center" vertical="center"/>
    </xf>
    <xf numFmtId="0" fontId="132" fillId="23" borderId="14" xfId="374" applyFont="1" applyFill="1" applyBorder="1" applyAlignment="1">
      <alignment horizontal="center" vertical="center"/>
    </xf>
    <xf numFmtId="0" fontId="132" fillId="23" borderId="10" xfId="374" applyFont="1" applyFill="1" applyBorder="1" applyAlignment="1">
      <alignment horizontal="center" vertical="center"/>
    </xf>
    <xf numFmtId="0" fontId="177" fillId="0" borderId="19" xfId="374" applyFont="1" applyBorder="1" applyAlignment="1">
      <alignment horizontal="center" vertical="center"/>
    </xf>
    <xf numFmtId="0" fontId="177" fillId="0" borderId="21" xfId="374" applyFont="1" applyBorder="1" applyAlignment="1">
      <alignment horizontal="center" vertical="center"/>
    </xf>
    <xf numFmtId="0" fontId="177" fillId="0" borderId="20" xfId="374" applyFont="1" applyBorder="1" applyAlignment="1">
      <alignment horizontal="center" vertical="center"/>
    </xf>
    <xf numFmtId="0" fontId="169" fillId="0" borderId="19" xfId="374" applyFont="1" applyBorder="1" applyAlignment="1">
      <alignment horizontal="center" vertical="center"/>
    </xf>
    <xf numFmtId="0" fontId="169" fillId="0" borderId="21" xfId="374" applyFont="1" applyBorder="1" applyAlignment="1">
      <alignment horizontal="center" vertical="center"/>
    </xf>
    <xf numFmtId="0" fontId="169" fillId="0" borderId="23" xfId="374" applyFont="1" applyBorder="1" applyAlignment="1">
      <alignment horizontal="center" vertical="center"/>
    </xf>
    <xf numFmtId="0" fontId="176" fillId="0" borderId="19" xfId="374" applyFont="1" applyBorder="1" applyAlignment="1">
      <alignment horizontal="center" vertical="center"/>
    </xf>
    <xf numFmtId="0" fontId="176" fillId="0" borderId="21" xfId="374" applyFont="1" applyBorder="1" applyAlignment="1">
      <alignment horizontal="center" vertical="center"/>
    </xf>
    <xf numFmtId="0" fontId="176" fillId="0" borderId="20" xfId="374" applyFont="1" applyBorder="1" applyAlignment="1">
      <alignment horizontal="center" vertical="center"/>
    </xf>
    <xf numFmtId="0" fontId="167" fillId="0" borderId="17" xfId="374" applyFont="1" applyBorder="1" applyAlignment="1">
      <alignment horizontal="center" vertical="center"/>
    </xf>
    <xf numFmtId="0" fontId="167" fillId="0" borderId="22" xfId="374" applyFont="1" applyBorder="1" applyAlignment="1">
      <alignment horizontal="center" vertical="center"/>
    </xf>
    <xf numFmtId="0" fontId="175" fillId="0" borderId="19" xfId="374" applyFont="1" applyBorder="1" applyAlignment="1">
      <alignment horizontal="center" vertical="center"/>
    </xf>
    <xf numFmtId="0" fontId="175" fillId="0" borderId="21" xfId="374" applyFont="1" applyBorder="1" applyAlignment="1">
      <alignment horizontal="center" vertical="center"/>
    </xf>
    <xf numFmtId="0" fontId="175" fillId="0" borderId="20" xfId="374" applyFont="1" applyBorder="1" applyAlignment="1">
      <alignment horizontal="center" vertical="center"/>
    </xf>
    <xf numFmtId="0" fontId="166" fillId="0" borderId="19" xfId="374" applyFont="1" applyBorder="1" applyAlignment="1">
      <alignment horizontal="center" vertical="center"/>
    </xf>
    <xf numFmtId="0" fontId="166" fillId="0" borderId="21" xfId="374" applyFont="1" applyBorder="1" applyAlignment="1">
      <alignment horizontal="center" vertical="center"/>
    </xf>
    <xf numFmtId="0" fontId="166" fillId="0" borderId="23" xfId="374" applyFont="1" applyBorder="1" applyAlignment="1">
      <alignment horizontal="center" vertical="center"/>
    </xf>
    <xf numFmtId="0" fontId="179" fillId="0" borderId="19" xfId="374" applyFont="1" applyBorder="1" applyAlignment="1">
      <alignment horizontal="center" vertical="center"/>
    </xf>
    <xf numFmtId="0" fontId="179" fillId="0" borderId="21" xfId="374" applyFont="1" applyBorder="1" applyAlignment="1">
      <alignment horizontal="center" vertical="center"/>
    </xf>
    <xf numFmtId="0" fontId="179" fillId="0" borderId="20" xfId="374" applyFont="1" applyBorder="1" applyAlignment="1">
      <alignment horizontal="center" vertical="center"/>
    </xf>
    <xf numFmtId="0" fontId="168" fillId="0" borderId="19" xfId="374" applyFont="1" applyBorder="1" applyAlignment="1">
      <alignment horizontal="center" vertical="center"/>
    </xf>
    <xf numFmtId="0" fontId="168" fillId="0" borderId="21" xfId="374" applyFont="1" applyBorder="1" applyAlignment="1">
      <alignment horizontal="center" vertical="center"/>
    </xf>
    <xf numFmtId="0" fontId="168" fillId="0" borderId="23" xfId="374" applyFont="1" applyBorder="1" applyAlignment="1">
      <alignment horizontal="center" vertical="center"/>
    </xf>
    <xf numFmtId="0" fontId="177" fillId="0" borderId="19" xfId="52" applyFont="1" applyFill="1" applyBorder="1" applyAlignment="1">
      <alignment horizontal="center" vertical="center" textRotation="90"/>
    </xf>
    <xf numFmtId="0" fontId="177" fillId="0" borderId="21" xfId="52" applyFont="1" applyFill="1" applyBorder="1" applyAlignment="1">
      <alignment horizontal="center" vertical="center" textRotation="90"/>
    </xf>
    <xf numFmtId="0" fontId="177" fillId="0" borderId="23" xfId="52" applyFont="1" applyFill="1" applyBorder="1" applyAlignment="1">
      <alignment horizontal="center" vertical="center" textRotation="90"/>
    </xf>
    <xf numFmtId="0" fontId="179" fillId="0" borderId="19" xfId="52" applyFont="1" applyFill="1" applyBorder="1" applyAlignment="1">
      <alignment horizontal="center" vertical="center" textRotation="90"/>
    </xf>
    <xf numFmtId="0" fontId="179" fillId="0" borderId="21" xfId="52" applyFont="1" applyFill="1" applyBorder="1" applyAlignment="1">
      <alignment horizontal="center" vertical="center" textRotation="90"/>
    </xf>
    <xf numFmtId="0" fontId="179" fillId="0" borderId="23" xfId="52" applyFont="1" applyFill="1" applyBorder="1" applyAlignment="1">
      <alignment horizontal="center" vertical="center" textRotation="90"/>
    </xf>
    <xf numFmtId="0" fontId="175" fillId="0" borderId="19" xfId="52" applyFont="1" applyFill="1" applyBorder="1" applyAlignment="1">
      <alignment horizontal="center" vertical="center" textRotation="90"/>
    </xf>
    <xf numFmtId="0" fontId="175" fillId="0" borderId="21" xfId="52" applyFont="1" applyFill="1" applyBorder="1" applyAlignment="1">
      <alignment horizontal="center" vertical="center" textRotation="90"/>
    </xf>
    <xf numFmtId="0" fontId="175" fillId="0" borderId="23" xfId="52" applyFont="1" applyFill="1" applyBorder="1" applyAlignment="1">
      <alignment horizontal="center" vertical="center" textRotation="90"/>
    </xf>
    <xf numFmtId="0" fontId="167" fillId="0" borderId="15" xfId="52" applyFont="1" applyFill="1" applyBorder="1" applyAlignment="1">
      <alignment horizontal="center" vertical="center"/>
    </xf>
    <xf numFmtId="0" fontId="167" fillId="0" borderId="17" xfId="52" applyFont="1" applyFill="1" applyBorder="1" applyAlignment="1">
      <alignment horizontal="center" vertical="center"/>
    </xf>
    <xf numFmtId="0" fontId="167" fillId="0" borderId="22" xfId="52" applyFont="1" applyFill="1" applyBorder="1" applyAlignment="1">
      <alignment horizontal="center" vertical="center"/>
    </xf>
    <xf numFmtId="0" fontId="176" fillId="0" borderId="19" xfId="52" applyFont="1" applyFill="1" applyBorder="1" applyAlignment="1">
      <alignment horizontal="center" vertical="center" textRotation="90"/>
    </xf>
    <xf numFmtId="0" fontId="176" fillId="0" borderId="21" xfId="52" applyFont="1" applyFill="1" applyBorder="1" applyAlignment="1">
      <alignment horizontal="center" vertical="center" textRotation="90"/>
    </xf>
    <xf numFmtId="0" fontId="176" fillId="0" borderId="23" xfId="52" applyFont="1" applyFill="1" applyBorder="1" applyAlignment="1">
      <alignment horizontal="center" vertical="center" textRotation="90"/>
    </xf>
    <xf numFmtId="0" fontId="178" fillId="0" borderId="185" xfId="66" applyFont="1" applyFill="1" applyBorder="1" applyAlignment="1">
      <alignment horizontal="center" vertical="center" textRotation="90"/>
    </xf>
    <xf numFmtId="0" fontId="178" fillId="0" borderId="21" xfId="66" applyFont="1" applyFill="1" applyBorder="1" applyAlignment="1">
      <alignment horizontal="center" vertical="center" textRotation="90"/>
    </xf>
    <xf numFmtId="0" fontId="178" fillId="0" borderId="20" xfId="66" applyFont="1" applyFill="1" applyBorder="1" applyAlignment="1">
      <alignment horizontal="center" vertical="center" textRotation="90"/>
    </xf>
    <xf numFmtId="0" fontId="175" fillId="0" borderId="19" xfId="631" applyFont="1" applyFill="1" applyBorder="1" applyAlignment="1">
      <alignment horizontal="center" vertical="center"/>
    </xf>
    <xf numFmtId="0" fontId="175" fillId="0" borderId="21" xfId="631" applyFont="1" applyFill="1" applyBorder="1" applyAlignment="1">
      <alignment horizontal="center" vertical="center"/>
    </xf>
    <xf numFmtId="0" fontId="175" fillId="0" borderId="23" xfId="631" applyFont="1" applyFill="1" applyBorder="1" applyAlignment="1">
      <alignment horizontal="center" vertical="center"/>
    </xf>
    <xf numFmtId="0" fontId="176" fillId="0" borderId="19" xfId="631" applyFont="1" applyFill="1" applyBorder="1" applyAlignment="1">
      <alignment horizontal="center" vertical="center"/>
    </xf>
    <xf numFmtId="0" fontId="176" fillId="0" borderId="21" xfId="631" applyFont="1" applyFill="1" applyBorder="1" applyAlignment="1">
      <alignment horizontal="center" vertical="center"/>
    </xf>
    <xf numFmtId="0" fontId="176" fillId="0" borderId="23" xfId="631" applyFont="1" applyFill="1" applyBorder="1" applyAlignment="1">
      <alignment horizontal="center" vertical="center"/>
    </xf>
    <xf numFmtId="0" fontId="179" fillId="0" borderId="19" xfId="631" applyFont="1" applyFill="1" applyBorder="1" applyAlignment="1">
      <alignment horizontal="center" vertical="center"/>
    </xf>
    <xf numFmtId="0" fontId="179" fillId="0" borderId="21" xfId="631" applyFont="1" applyFill="1" applyBorder="1" applyAlignment="1">
      <alignment horizontal="center" vertical="center"/>
    </xf>
    <xf numFmtId="0" fontId="179" fillId="0" borderId="23" xfId="631" applyFont="1" applyFill="1" applyBorder="1" applyAlignment="1">
      <alignment horizontal="center" vertical="center"/>
    </xf>
    <xf numFmtId="0" fontId="177" fillId="0" borderId="19" xfId="631" applyFont="1" applyFill="1" applyBorder="1" applyAlignment="1">
      <alignment horizontal="center" vertical="center"/>
    </xf>
    <xf numFmtId="0" fontId="177" fillId="0" borderId="21" xfId="631" applyFont="1" applyFill="1" applyBorder="1" applyAlignment="1">
      <alignment horizontal="center" vertical="center"/>
    </xf>
    <xf numFmtId="0" fontId="177" fillId="0" borderId="23" xfId="631" applyFont="1" applyFill="1" applyBorder="1" applyAlignment="1">
      <alignment horizontal="center" vertical="center"/>
    </xf>
    <xf numFmtId="0" fontId="319" fillId="0" borderId="0" xfId="631" applyFont="1" applyAlignment="1">
      <alignment horizontal="left" vertical="center" wrapText="1" readingOrder="1"/>
    </xf>
    <xf numFmtId="0" fontId="178" fillId="0" borderId="19" xfId="631" applyFont="1" applyFill="1" applyBorder="1" applyAlignment="1">
      <alignment horizontal="center" vertical="center"/>
    </xf>
    <xf numFmtId="0" fontId="178" fillId="0" borderId="21" xfId="631" applyFont="1" applyFill="1" applyBorder="1" applyAlignment="1">
      <alignment horizontal="center" vertical="center"/>
    </xf>
    <xf numFmtId="0" fontId="178" fillId="0" borderId="23" xfId="631" applyFont="1" applyFill="1" applyBorder="1" applyAlignment="1">
      <alignment horizontal="center" vertical="center"/>
    </xf>
    <xf numFmtId="0" fontId="242" fillId="0" borderId="253" xfId="0" applyFont="1" applyFill="1" applyBorder="1" applyAlignment="1">
      <alignment horizontal="center" vertical="center"/>
    </xf>
    <xf numFmtId="0" fontId="242" fillId="0" borderId="21" xfId="0" applyFont="1" applyFill="1" applyBorder="1" applyAlignment="1">
      <alignment horizontal="center" vertical="center"/>
    </xf>
    <xf numFmtId="0" fontId="242" fillId="0" borderId="23" xfId="0" applyFont="1" applyFill="1" applyBorder="1" applyAlignment="1">
      <alignment horizontal="center" vertical="center"/>
    </xf>
    <xf numFmtId="0" fontId="306" fillId="0" borderId="253" xfId="0" applyFont="1" applyFill="1" applyBorder="1" applyAlignment="1">
      <alignment horizontal="center" vertical="center"/>
    </xf>
    <xf numFmtId="0" fontId="306" fillId="0" borderId="21" xfId="0" applyFont="1" applyFill="1" applyBorder="1" applyAlignment="1">
      <alignment horizontal="center" vertical="center"/>
    </xf>
    <xf numFmtId="0" fontId="306" fillId="0" borderId="23" xfId="0" applyFont="1" applyFill="1" applyBorder="1" applyAlignment="1">
      <alignment horizontal="center" vertical="center"/>
    </xf>
    <xf numFmtId="0" fontId="243" fillId="0" borderId="253" xfId="0" applyFont="1" applyFill="1" applyBorder="1" applyAlignment="1">
      <alignment horizontal="center" vertical="center"/>
    </xf>
    <xf numFmtId="0" fontId="243" fillId="0" borderId="21" xfId="0" applyFont="1" applyFill="1" applyBorder="1" applyAlignment="1">
      <alignment horizontal="center" vertical="center"/>
    </xf>
    <xf numFmtId="0" fontId="243" fillId="0" borderId="23" xfId="0" applyFont="1" applyFill="1" applyBorder="1" applyAlignment="1">
      <alignment horizontal="center" vertical="center"/>
    </xf>
    <xf numFmtId="0" fontId="128" fillId="23" borderId="184" xfId="0" applyFont="1" applyFill="1" applyBorder="1" applyAlignment="1">
      <alignment horizontal="center" vertical="center"/>
    </xf>
    <xf numFmtId="0" fontId="128" fillId="23" borderId="197" xfId="0" applyFont="1" applyFill="1" applyBorder="1" applyAlignment="1">
      <alignment horizontal="center" vertical="center"/>
    </xf>
    <xf numFmtId="1" fontId="128" fillId="23" borderId="253" xfId="50" applyNumberFormat="1" applyFont="1" applyFill="1" applyBorder="1" applyAlignment="1">
      <alignment horizontal="center" vertical="center" wrapText="1"/>
    </xf>
    <xf numFmtId="0" fontId="128" fillId="0" borderId="184" xfId="0" applyFont="1" applyFill="1" applyBorder="1" applyAlignment="1">
      <alignment horizontal="center" vertical="center"/>
    </xf>
    <xf numFmtId="0" fontId="128" fillId="0" borderId="196" xfId="0" applyFont="1" applyFill="1" applyBorder="1" applyAlignment="1">
      <alignment horizontal="center" vertical="center"/>
    </xf>
    <xf numFmtId="0" fontId="128" fillId="0" borderId="197" xfId="0" applyFont="1" applyFill="1" applyBorder="1" applyAlignment="1">
      <alignment horizontal="center" vertical="center"/>
    </xf>
    <xf numFmtId="0" fontId="240" fillId="0" borderId="253" xfId="0" applyFont="1" applyFill="1" applyBorder="1" applyAlignment="1">
      <alignment horizontal="center" vertical="center"/>
    </xf>
    <xf numFmtId="0" fontId="240" fillId="0" borderId="21" xfId="0" applyFont="1" applyFill="1" applyBorder="1" applyAlignment="1">
      <alignment horizontal="center" vertical="center"/>
    </xf>
    <xf numFmtId="0" fontId="240" fillId="0" borderId="23" xfId="0" applyFont="1" applyFill="1" applyBorder="1" applyAlignment="1">
      <alignment horizontal="center" vertical="center"/>
    </xf>
    <xf numFmtId="0" fontId="241" fillId="0" borderId="253" xfId="0" applyFont="1" applyFill="1" applyBorder="1" applyAlignment="1">
      <alignment horizontal="center" vertical="center"/>
    </xf>
    <xf numFmtId="0" fontId="241" fillId="0" borderId="21" xfId="0" applyFont="1" applyFill="1" applyBorder="1" applyAlignment="1">
      <alignment horizontal="center" vertical="center"/>
    </xf>
    <xf numFmtId="0" fontId="241" fillId="0" borderId="23" xfId="0" applyFont="1" applyFill="1" applyBorder="1" applyAlignment="1">
      <alignment horizontal="center" vertical="center"/>
    </xf>
    <xf numFmtId="0" fontId="128" fillId="23" borderId="10" xfId="0" applyFont="1" applyFill="1" applyBorder="1" applyAlignment="1">
      <alignment horizontal="center" vertical="center"/>
    </xf>
    <xf numFmtId="0" fontId="306" fillId="0" borderId="19" xfId="0" applyFont="1" applyFill="1" applyBorder="1" applyAlignment="1">
      <alignment horizontal="center" vertical="center"/>
    </xf>
    <xf numFmtId="1" fontId="128" fillId="23" borderId="218" xfId="50" applyNumberFormat="1" applyFont="1" applyFill="1" applyBorder="1" applyAlignment="1">
      <alignment horizontal="center" vertical="center" wrapText="1"/>
    </xf>
    <xf numFmtId="0" fontId="128" fillId="0" borderId="195" xfId="0" applyFont="1" applyFill="1" applyBorder="1" applyAlignment="1">
      <alignment horizontal="center" vertical="center"/>
    </xf>
    <xf numFmtId="0" fontId="240" fillId="0" borderId="19" xfId="0" applyFont="1" applyFill="1" applyBorder="1" applyAlignment="1">
      <alignment horizontal="center" vertical="center"/>
    </xf>
    <xf numFmtId="0" fontId="241" fillId="0" borderId="19" xfId="0" applyFont="1" applyFill="1" applyBorder="1" applyAlignment="1">
      <alignment horizontal="center" vertical="center"/>
    </xf>
    <xf numFmtId="0" fontId="242" fillId="0" borderId="19" xfId="0" applyFont="1" applyFill="1" applyBorder="1" applyAlignment="1">
      <alignment horizontal="center" vertical="center"/>
    </xf>
    <xf numFmtId="0" fontId="243" fillId="0" borderId="19" xfId="0" applyFont="1" applyFill="1" applyBorder="1" applyAlignment="1">
      <alignment horizontal="center" vertical="center"/>
    </xf>
    <xf numFmtId="0" fontId="128" fillId="0" borderId="13" xfId="0" applyFont="1" applyFill="1" applyBorder="1" applyAlignment="1">
      <alignment horizontal="center" vertical="center"/>
    </xf>
    <xf numFmtId="0" fontId="128" fillId="0" borderId="14" xfId="0" applyFont="1" applyFill="1" applyBorder="1" applyAlignment="1">
      <alignment horizontal="center" vertical="center"/>
    </xf>
    <xf numFmtId="0" fontId="128" fillId="0" borderId="10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/>
    </xf>
    <xf numFmtId="0" fontId="293" fillId="39" borderId="182" xfId="0" applyFont="1" applyFill="1" applyBorder="1" applyAlignment="1">
      <alignment horizontal="right" vertical="center"/>
    </xf>
    <xf numFmtId="0" fontId="128" fillId="23" borderId="182" xfId="0" applyFont="1" applyFill="1" applyBorder="1" applyAlignment="1">
      <alignment horizontal="center" vertical="center"/>
    </xf>
    <xf numFmtId="0" fontId="128" fillId="23" borderId="182" xfId="0" applyFont="1" applyFill="1" applyBorder="1" applyAlignment="1">
      <alignment horizontal="center" vertical="center" wrapText="1"/>
    </xf>
    <xf numFmtId="0" fontId="293" fillId="38" borderId="182" xfId="0" applyFont="1" applyFill="1" applyBorder="1" applyAlignment="1">
      <alignment horizontal="right" vertical="center"/>
    </xf>
    <xf numFmtId="0" fontId="131" fillId="0" borderId="237" xfId="0" applyFont="1" applyBorder="1" applyAlignment="1">
      <alignment horizontal="right" vertical="center" wrapText="1"/>
    </xf>
    <xf numFmtId="0" fontId="131" fillId="0" borderId="0" xfId="0" applyFont="1" applyBorder="1" applyAlignment="1">
      <alignment horizontal="right" vertical="center" wrapText="1"/>
    </xf>
    <xf numFmtId="0" fontId="131" fillId="0" borderId="0" xfId="0" applyFont="1" applyBorder="1" applyAlignment="1">
      <alignment horizontal="right" vertical="center"/>
    </xf>
    <xf numFmtId="0" fontId="129" fillId="37" borderId="218" xfId="0" applyFont="1" applyFill="1" applyBorder="1" applyAlignment="1">
      <alignment horizontal="center" vertical="center" wrapText="1"/>
    </xf>
    <xf numFmtId="0" fontId="129" fillId="37" borderId="23" xfId="0" applyFont="1" applyFill="1" applyBorder="1" applyAlignment="1">
      <alignment horizontal="center" vertical="center" wrapText="1"/>
    </xf>
    <xf numFmtId="0" fontId="72" fillId="0" borderId="0" xfId="0" applyFont="1" applyBorder="1" applyAlignment="1">
      <alignment horizontal="center" wrapText="1"/>
    </xf>
    <xf numFmtId="0" fontId="129" fillId="0" borderId="182" xfId="0" applyFont="1" applyBorder="1" applyAlignment="1">
      <alignment horizontal="center" vertical="center" wrapText="1"/>
    </xf>
    <xf numFmtId="0" fontId="129" fillId="0" borderId="182" xfId="0" applyFont="1" applyFill="1" applyBorder="1" applyAlignment="1">
      <alignment horizontal="center" vertical="center" wrapText="1"/>
    </xf>
    <xf numFmtId="0" fontId="293" fillId="34" borderId="195" xfId="0" applyFont="1" applyFill="1" applyBorder="1" applyAlignment="1">
      <alignment horizontal="right" vertical="center"/>
    </xf>
    <xf numFmtId="0" fontId="293" fillId="34" borderId="196" xfId="0" applyFont="1" applyFill="1" applyBorder="1" applyAlignment="1">
      <alignment horizontal="right" vertical="center"/>
    </xf>
    <xf numFmtId="0" fontId="293" fillId="34" borderId="197" xfId="0" applyFont="1" applyFill="1" applyBorder="1" applyAlignment="1">
      <alignment horizontal="right" vertical="center"/>
    </xf>
    <xf numFmtId="0" fontId="342" fillId="0" borderId="237" xfId="0" applyFont="1" applyBorder="1" applyAlignment="1">
      <alignment horizontal="right" vertical="center" wrapText="1"/>
    </xf>
    <xf numFmtId="0" fontId="342" fillId="0" borderId="0" xfId="0" applyFont="1" applyBorder="1" applyAlignment="1">
      <alignment horizontal="right" vertical="center" wrapText="1"/>
    </xf>
    <xf numFmtId="0" fontId="293" fillId="35" borderId="195" xfId="0" applyFont="1" applyFill="1" applyBorder="1" applyAlignment="1">
      <alignment horizontal="right" vertical="center"/>
    </xf>
    <xf numFmtId="0" fontId="293" fillId="35" borderId="196" xfId="0" applyFont="1" applyFill="1" applyBorder="1" applyAlignment="1">
      <alignment horizontal="right" vertical="center"/>
    </xf>
    <xf numFmtId="0" fontId="293" fillId="35" borderId="197" xfId="0" applyFont="1" applyFill="1" applyBorder="1" applyAlignment="1">
      <alignment horizontal="right" vertical="center"/>
    </xf>
    <xf numFmtId="0" fontId="129" fillId="37" borderId="21" xfId="0" applyFont="1" applyFill="1" applyBorder="1" applyAlignment="1">
      <alignment horizontal="center" vertical="center" wrapText="1"/>
    </xf>
    <xf numFmtId="0" fontId="129" fillId="0" borderId="218" xfId="0" applyFont="1" applyFill="1" applyBorder="1" applyAlignment="1">
      <alignment horizontal="center" vertical="center" wrapText="1"/>
    </xf>
    <xf numFmtId="0" fontId="129" fillId="0" borderId="21" xfId="0" applyFont="1" applyFill="1" applyBorder="1" applyAlignment="1">
      <alignment horizontal="center" vertical="center" wrapText="1"/>
    </xf>
    <xf numFmtId="0" fontId="129" fillId="0" borderId="23" xfId="0" applyFont="1" applyFill="1" applyBorder="1" applyAlignment="1">
      <alignment horizontal="center" vertical="center" wrapText="1"/>
    </xf>
    <xf numFmtId="0" fontId="129" fillId="0" borderId="218" xfId="0" applyFont="1" applyBorder="1" applyAlignment="1">
      <alignment horizontal="center" vertical="center" wrapText="1"/>
    </xf>
    <xf numFmtId="0" fontId="129" fillId="0" borderId="21" xfId="0" applyFont="1" applyBorder="1" applyAlignment="1">
      <alignment horizontal="center" vertical="center" wrapText="1"/>
    </xf>
    <xf numFmtId="0" fontId="129" fillId="0" borderId="23" xfId="0" applyFont="1" applyBorder="1" applyAlignment="1">
      <alignment horizontal="center" vertical="center" wrapText="1"/>
    </xf>
    <xf numFmtId="0" fontId="129" fillId="37" borderId="182" xfId="0" applyFont="1" applyFill="1" applyBorder="1" applyAlignment="1">
      <alignment horizontal="center" vertical="center" wrapText="1"/>
    </xf>
    <xf numFmtId="0" fontId="293" fillId="36" borderId="182" xfId="0" applyFont="1" applyFill="1" applyBorder="1" applyAlignment="1">
      <alignment horizontal="right" vertical="center"/>
    </xf>
    <xf numFmtId="0" fontId="177" fillId="0" borderId="264" xfId="76" applyFont="1" applyBorder="1" applyAlignment="1">
      <alignment horizontal="center" vertical="center"/>
    </xf>
    <xf numFmtId="0" fontId="177" fillId="0" borderId="21" xfId="76" applyFont="1" applyBorder="1" applyAlignment="1">
      <alignment horizontal="center" vertical="center"/>
    </xf>
    <xf numFmtId="0" fontId="177" fillId="0" borderId="23" xfId="76" applyFont="1" applyBorder="1" applyAlignment="1">
      <alignment horizontal="center" vertical="center"/>
    </xf>
    <xf numFmtId="3" fontId="137" fillId="23" borderId="268" xfId="76" applyNumberFormat="1" applyFont="1" applyFill="1" applyBorder="1" applyAlignment="1">
      <alignment horizontal="center"/>
    </xf>
    <xf numFmtId="3" fontId="137" fillId="23" borderId="267" xfId="76" applyNumberFormat="1" applyFont="1" applyFill="1" applyBorder="1" applyAlignment="1">
      <alignment horizontal="center"/>
    </xf>
    <xf numFmtId="0" fontId="175" fillId="0" borderId="264" xfId="76" applyFont="1" applyBorder="1" applyAlignment="1">
      <alignment horizontal="center" vertical="center"/>
    </xf>
    <xf numFmtId="0" fontId="175" fillId="0" borderId="21" xfId="76" applyFont="1" applyBorder="1" applyAlignment="1">
      <alignment horizontal="center" vertical="center"/>
    </xf>
    <xf numFmtId="0" fontId="175" fillId="0" borderId="23" xfId="76" applyFont="1" applyBorder="1" applyAlignment="1">
      <alignment horizontal="center" vertical="center"/>
    </xf>
    <xf numFmtId="0" fontId="176" fillId="0" borderId="264" xfId="76" applyFont="1" applyBorder="1" applyAlignment="1">
      <alignment horizontal="center" vertical="center"/>
    </xf>
    <xf numFmtId="0" fontId="176" fillId="0" borderId="21" xfId="76" applyFont="1" applyBorder="1" applyAlignment="1">
      <alignment horizontal="center" vertical="center"/>
    </xf>
    <xf numFmtId="0" fontId="176" fillId="0" borderId="23" xfId="76" applyFont="1" applyBorder="1" applyAlignment="1">
      <alignment horizontal="center" vertical="center"/>
    </xf>
    <xf numFmtId="0" fontId="179" fillId="0" borderId="264" xfId="76" applyFont="1" applyBorder="1" applyAlignment="1">
      <alignment horizontal="center" vertical="center"/>
    </xf>
    <xf numFmtId="0" fontId="179" fillId="0" borderId="21" xfId="76" applyFont="1" applyBorder="1" applyAlignment="1">
      <alignment horizontal="center" vertical="center"/>
    </xf>
    <xf numFmtId="0" fontId="179" fillId="0" borderId="23" xfId="76" applyFont="1" applyBorder="1" applyAlignment="1">
      <alignment horizontal="center" vertical="center"/>
    </xf>
    <xf numFmtId="0" fontId="178" fillId="0" borderId="264" xfId="76" applyFont="1" applyBorder="1" applyAlignment="1">
      <alignment horizontal="center" vertical="center"/>
    </xf>
    <xf numFmtId="0" fontId="178" fillId="0" borderId="21" xfId="76" applyFont="1" applyBorder="1" applyAlignment="1">
      <alignment horizontal="center" vertical="center"/>
    </xf>
    <xf numFmtId="0" fontId="178" fillId="0" borderId="23" xfId="76" applyFont="1" applyBorder="1" applyAlignment="1">
      <alignment horizontal="center" vertical="center"/>
    </xf>
    <xf numFmtId="0" fontId="150" fillId="23" borderId="264" xfId="76" applyFont="1" applyFill="1" applyBorder="1" applyAlignment="1">
      <alignment horizontal="center" vertical="center"/>
    </xf>
    <xf numFmtId="0" fontId="150" fillId="23" borderId="23" xfId="76" applyFont="1" applyFill="1" applyBorder="1" applyAlignment="1">
      <alignment horizontal="center" vertical="center"/>
    </xf>
    <xf numFmtId="0" fontId="150" fillId="23" borderId="264" xfId="76" applyFont="1" applyFill="1" applyBorder="1" applyAlignment="1">
      <alignment horizontal="center" vertical="center" wrapText="1"/>
    </xf>
    <xf numFmtId="0" fontId="150" fillId="23" borderId="23" xfId="76" applyFont="1" applyFill="1" applyBorder="1" applyAlignment="1">
      <alignment horizontal="center" vertical="center" wrapText="1"/>
    </xf>
    <xf numFmtId="0" fontId="150" fillId="0" borderId="268" xfId="76" applyFont="1" applyBorder="1" applyAlignment="1">
      <alignment horizontal="center"/>
    </xf>
    <xf numFmtId="0" fontId="150" fillId="0" borderId="267" xfId="76" applyFont="1" applyBorder="1" applyAlignment="1">
      <alignment horizontal="center"/>
    </xf>
    <xf numFmtId="0" fontId="137" fillId="23" borderId="268" xfId="76" applyFont="1" applyFill="1" applyBorder="1" applyAlignment="1">
      <alignment horizontal="center" vertical="center" wrapText="1"/>
    </xf>
    <xf numFmtId="0" fontId="137" fillId="23" borderId="267" xfId="76" applyFont="1" applyFill="1" applyBorder="1" applyAlignment="1">
      <alignment horizontal="center" vertical="center" wrapText="1"/>
    </xf>
    <xf numFmtId="0" fontId="101" fillId="0" borderId="19" xfId="0" applyFont="1" applyBorder="1" applyAlignment="1">
      <alignment horizontal="center" vertical="center"/>
    </xf>
    <xf numFmtId="0" fontId="101" fillId="0" borderId="21" xfId="0" applyFont="1" applyBorder="1" applyAlignment="1">
      <alignment horizontal="center" vertical="center"/>
    </xf>
    <xf numFmtId="0" fontId="101" fillId="0" borderId="23" xfId="0" applyFont="1" applyBorder="1" applyAlignment="1">
      <alignment horizontal="center" vertical="center"/>
    </xf>
    <xf numFmtId="0" fontId="150" fillId="23" borderId="18" xfId="76" applyFont="1" applyFill="1" applyBorder="1" applyAlignment="1">
      <alignment horizontal="center" vertical="center"/>
    </xf>
    <xf numFmtId="0" fontId="150" fillId="23" borderId="18" xfId="76" applyFont="1" applyFill="1" applyBorder="1" applyAlignment="1">
      <alignment horizontal="center" vertical="center" wrapText="1"/>
    </xf>
    <xf numFmtId="0" fontId="199" fillId="0" borderId="13" xfId="76" applyFont="1" applyBorder="1" applyAlignment="1">
      <alignment horizontal="center"/>
    </xf>
    <xf numFmtId="0" fontId="199" fillId="0" borderId="14" xfId="76" applyFont="1" applyBorder="1" applyAlignment="1">
      <alignment horizontal="center"/>
    </xf>
    <xf numFmtId="0" fontId="199" fillId="0" borderId="10" xfId="76" applyFont="1" applyBorder="1" applyAlignment="1">
      <alignment horizontal="center"/>
    </xf>
    <xf numFmtId="0" fontId="247" fillId="0" borderId="19" xfId="76" applyFont="1" applyBorder="1" applyAlignment="1">
      <alignment horizontal="center" vertical="center"/>
    </xf>
    <xf numFmtId="0" fontId="247" fillId="0" borderId="21" xfId="76" applyFont="1" applyBorder="1" applyAlignment="1">
      <alignment horizontal="center" vertical="center"/>
    </xf>
    <xf numFmtId="0" fontId="247" fillId="0" borderId="23" xfId="76" applyFont="1" applyBorder="1" applyAlignment="1">
      <alignment horizontal="center" vertical="center"/>
    </xf>
    <xf numFmtId="0" fontId="142" fillId="0" borderId="19" xfId="76" applyFont="1" applyBorder="1" applyAlignment="1">
      <alignment horizontal="center" vertical="center"/>
    </xf>
    <xf numFmtId="0" fontId="142" fillId="0" borderId="21" xfId="76" applyFont="1" applyBorder="1" applyAlignment="1">
      <alignment horizontal="center" vertical="center"/>
    </xf>
    <xf numFmtId="0" fontId="142" fillId="0" borderId="23" xfId="76" applyFont="1" applyBorder="1" applyAlignment="1">
      <alignment horizontal="center" vertical="center"/>
    </xf>
    <xf numFmtId="3" fontId="102" fillId="23" borderId="13" xfId="76" applyNumberFormat="1" applyFont="1" applyFill="1" applyBorder="1" applyAlignment="1">
      <alignment horizontal="center" vertical="center"/>
    </xf>
    <xf numFmtId="3" fontId="102" fillId="23" borderId="10" xfId="76" applyNumberFormat="1" applyFont="1" applyFill="1" applyBorder="1" applyAlignment="1">
      <alignment horizontal="center" vertical="center"/>
    </xf>
    <xf numFmtId="0" fontId="141" fillId="0" borderId="19" xfId="76" applyFont="1" applyBorder="1" applyAlignment="1">
      <alignment horizontal="center" vertical="center"/>
    </xf>
    <xf numFmtId="0" fontId="141" fillId="0" borderId="21" xfId="76" applyFont="1" applyBorder="1" applyAlignment="1">
      <alignment horizontal="center" vertical="center"/>
    </xf>
    <xf numFmtId="0" fontId="141" fillId="0" borderId="23" xfId="76" applyFont="1" applyBorder="1" applyAlignment="1">
      <alignment horizontal="center" vertical="center"/>
    </xf>
    <xf numFmtId="3" fontId="102" fillId="23" borderId="18" xfId="0" applyNumberFormat="1" applyFont="1" applyFill="1" applyBorder="1" applyAlignment="1">
      <alignment horizontal="center"/>
    </xf>
    <xf numFmtId="0" fontId="315" fillId="0" borderId="13" xfId="0" applyFont="1" applyBorder="1" applyAlignment="1">
      <alignment horizontal="center" vertical="center"/>
    </xf>
    <xf numFmtId="0" fontId="315" fillId="0" borderId="10" xfId="0" applyFont="1" applyBorder="1" applyAlignment="1">
      <alignment horizontal="center" vertical="center"/>
    </xf>
    <xf numFmtId="0" fontId="140" fillId="0" borderId="19" xfId="76" applyFont="1" applyBorder="1" applyAlignment="1">
      <alignment horizontal="center" vertical="center"/>
    </xf>
    <xf numFmtId="0" fontId="140" fillId="0" borderId="21" xfId="76" applyFont="1" applyBorder="1" applyAlignment="1">
      <alignment horizontal="center" vertical="center"/>
    </xf>
    <xf numFmtId="0" fontId="140" fillId="0" borderId="23" xfId="76" applyFont="1" applyBorder="1" applyAlignment="1">
      <alignment horizontal="center" vertical="center"/>
    </xf>
    <xf numFmtId="0" fontId="246" fillId="0" borderId="19" xfId="76" applyFont="1" applyBorder="1" applyAlignment="1">
      <alignment horizontal="center" vertical="center"/>
    </xf>
    <xf numFmtId="0" fontId="246" fillId="0" borderId="21" xfId="76" applyFont="1" applyBorder="1" applyAlignment="1">
      <alignment horizontal="center" vertical="center"/>
    </xf>
    <xf numFmtId="0" fontId="246" fillId="0" borderId="23" xfId="76" applyFont="1" applyBorder="1" applyAlignment="1">
      <alignment horizontal="center" vertical="center"/>
    </xf>
    <xf numFmtId="3" fontId="102" fillId="23" borderId="18" xfId="76" applyNumberFormat="1" applyFont="1" applyFill="1" applyBorder="1" applyAlignment="1">
      <alignment horizontal="center"/>
    </xf>
    <xf numFmtId="0" fontId="137" fillId="0" borderId="13" xfId="76" applyFont="1" applyFill="1" applyBorder="1" applyAlignment="1">
      <alignment horizontal="center" vertical="center" wrapText="1"/>
    </xf>
    <xf numFmtId="0" fontId="137" fillId="0" borderId="10" xfId="76" applyFont="1" applyFill="1" applyBorder="1" applyAlignment="1">
      <alignment horizontal="center" vertical="center" wrapText="1"/>
    </xf>
    <xf numFmtId="0" fontId="175" fillId="0" borderId="19" xfId="76" applyFont="1" applyBorder="1" applyAlignment="1">
      <alignment horizontal="center" vertical="center"/>
    </xf>
    <xf numFmtId="0" fontId="176" fillId="0" borderId="19" xfId="76" applyFont="1" applyBorder="1" applyAlignment="1">
      <alignment horizontal="center" vertical="center"/>
    </xf>
    <xf numFmtId="0" fontId="179" fillId="0" borderId="19" xfId="76" applyFont="1" applyBorder="1" applyAlignment="1">
      <alignment horizontal="center" vertical="center"/>
    </xf>
    <xf numFmtId="0" fontId="178" fillId="0" borderId="19" xfId="76" applyFont="1" applyBorder="1" applyAlignment="1">
      <alignment horizontal="center" vertical="center"/>
    </xf>
    <xf numFmtId="0" fontId="177" fillId="0" borderId="19" xfId="76" applyFont="1" applyBorder="1" applyAlignment="1">
      <alignment horizontal="center" vertical="center"/>
    </xf>
    <xf numFmtId="3" fontId="150" fillId="23" borderId="18" xfId="76" applyNumberFormat="1" applyFont="1" applyFill="1" applyBorder="1" applyAlignment="1">
      <alignment horizontal="center"/>
    </xf>
    <xf numFmtId="0" fontId="226" fillId="0" borderId="176" xfId="76" applyFont="1" applyBorder="1" applyAlignment="1">
      <alignment horizontal="center" vertical="center"/>
    </xf>
    <xf numFmtId="0" fontId="226" fillId="0" borderId="21" xfId="76" applyFont="1" applyBorder="1" applyAlignment="1">
      <alignment horizontal="center" vertical="center"/>
    </xf>
    <xf numFmtId="0" fontId="226" fillId="0" borderId="23" xfId="76" applyFont="1" applyBorder="1" applyAlignment="1">
      <alignment horizontal="center" vertical="center"/>
    </xf>
    <xf numFmtId="0" fontId="224" fillId="0" borderId="176" xfId="76" applyFont="1" applyBorder="1" applyAlignment="1">
      <alignment horizontal="center" vertical="center"/>
    </xf>
    <xf numFmtId="0" fontId="224" fillId="0" borderId="21" xfId="76" applyFont="1" applyBorder="1" applyAlignment="1">
      <alignment horizontal="center" vertical="center"/>
    </xf>
    <xf numFmtId="0" fontId="224" fillId="0" borderId="23" xfId="76" applyFont="1" applyBorder="1" applyAlignment="1">
      <alignment horizontal="center" vertical="center"/>
    </xf>
    <xf numFmtId="3" fontId="101" fillId="23" borderId="182" xfId="76" applyNumberFormat="1" applyFont="1" applyFill="1" applyBorder="1" applyAlignment="1">
      <alignment horizontal="center" vertical="center"/>
    </xf>
    <xf numFmtId="0" fontId="72" fillId="0" borderId="0" xfId="76" applyFont="1" applyAlignment="1">
      <alignment horizontal="center"/>
    </xf>
    <xf numFmtId="0" fontId="70" fillId="0" borderId="0" xfId="76" applyFont="1" applyFill="1" applyBorder="1" applyAlignment="1">
      <alignment horizontal="center" vertical="top"/>
    </xf>
    <xf numFmtId="0" fontId="102" fillId="23" borderId="182" xfId="76" applyFont="1" applyFill="1" applyBorder="1" applyAlignment="1">
      <alignment horizontal="center" vertical="center"/>
    </xf>
    <xf numFmtId="0" fontId="102" fillId="23" borderId="182" xfId="76" applyFont="1" applyFill="1" applyBorder="1" applyAlignment="1">
      <alignment horizontal="center" vertical="center" wrapText="1"/>
    </xf>
    <xf numFmtId="0" fontId="220" fillId="0" borderId="179" xfId="76" applyFont="1" applyBorder="1" applyAlignment="1">
      <alignment horizontal="center" vertical="center"/>
    </xf>
    <xf numFmtId="0" fontId="220" fillId="0" borderId="180" xfId="76" applyFont="1" applyBorder="1" applyAlignment="1">
      <alignment horizontal="center" vertical="center"/>
    </xf>
    <xf numFmtId="0" fontId="220" fillId="0" borderId="181" xfId="76" applyFont="1" applyBorder="1" applyAlignment="1">
      <alignment horizontal="center" vertical="center"/>
    </xf>
    <xf numFmtId="0" fontId="104" fillId="23" borderId="179" xfId="76" applyFont="1" applyFill="1" applyBorder="1" applyAlignment="1">
      <alignment horizontal="center" vertical="center" wrapText="1"/>
    </xf>
    <xf numFmtId="0" fontId="104" fillId="23" borderId="181" xfId="76" applyFont="1" applyFill="1" applyBorder="1" applyAlignment="1">
      <alignment horizontal="center" vertical="center" wrapText="1"/>
    </xf>
    <xf numFmtId="0" fontId="220" fillId="0" borderId="176" xfId="76" applyFont="1" applyBorder="1" applyAlignment="1">
      <alignment horizontal="center" vertical="center"/>
    </xf>
    <xf numFmtId="0" fontId="220" fillId="0" borderId="21" xfId="76" applyFont="1" applyBorder="1" applyAlignment="1">
      <alignment horizontal="center" vertical="center"/>
    </xf>
    <xf numFmtId="0" fontId="220" fillId="0" borderId="23" xfId="76" applyFont="1" applyBorder="1" applyAlignment="1">
      <alignment horizontal="center" vertical="center"/>
    </xf>
    <xf numFmtId="0" fontId="218" fillId="0" borderId="176" xfId="76" applyFont="1" applyBorder="1" applyAlignment="1">
      <alignment horizontal="center" vertical="center"/>
    </xf>
    <xf numFmtId="0" fontId="218" fillId="0" borderId="21" xfId="76" applyFont="1" applyBorder="1" applyAlignment="1">
      <alignment horizontal="center" vertical="center"/>
    </xf>
    <xf numFmtId="0" fontId="218" fillId="0" borderId="23" xfId="76" applyFont="1" applyBorder="1" applyAlignment="1">
      <alignment horizontal="center" vertical="center"/>
    </xf>
    <xf numFmtId="0" fontId="222" fillId="0" borderId="176" xfId="76" applyFont="1" applyBorder="1" applyAlignment="1">
      <alignment horizontal="center" vertical="center"/>
    </xf>
    <xf numFmtId="0" fontId="222" fillId="0" borderId="21" xfId="76" applyFont="1" applyBorder="1" applyAlignment="1">
      <alignment horizontal="center" vertical="center"/>
    </xf>
    <xf numFmtId="0" fontId="222" fillId="0" borderId="23" xfId="76" applyFont="1" applyBorder="1" applyAlignment="1">
      <alignment horizontal="center" vertical="center"/>
    </xf>
    <xf numFmtId="0" fontId="150" fillId="23" borderId="182" xfId="76" applyFont="1" applyFill="1" applyBorder="1" applyAlignment="1">
      <alignment horizontal="center" vertical="center"/>
    </xf>
    <xf numFmtId="3" fontId="150" fillId="23" borderId="182" xfId="76" applyNumberFormat="1" applyFont="1" applyFill="1" applyBorder="1" applyAlignment="1">
      <alignment horizontal="center"/>
    </xf>
    <xf numFmtId="0" fontId="137" fillId="23" borderId="188" xfId="76" applyFont="1" applyFill="1" applyBorder="1" applyAlignment="1">
      <alignment horizontal="center" vertical="center" wrapText="1"/>
    </xf>
    <xf numFmtId="0" fontId="137" fillId="23" borderId="190" xfId="76" applyFont="1" applyFill="1" applyBorder="1" applyAlignment="1">
      <alignment horizontal="center" vertical="center" wrapText="1"/>
    </xf>
    <xf numFmtId="0" fontId="137" fillId="23" borderId="20" xfId="76" applyFont="1" applyFill="1" applyBorder="1" applyAlignment="1">
      <alignment horizontal="center" vertical="center" wrapText="1"/>
    </xf>
    <xf numFmtId="0" fontId="137" fillId="23" borderId="22" xfId="76" applyFont="1" applyFill="1" applyBorder="1" applyAlignment="1">
      <alignment horizontal="center" vertical="center" wrapText="1"/>
    </xf>
    <xf numFmtId="0" fontId="175" fillId="0" borderId="185" xfId="76" applyFont="1" applyBorder="1" applyAlignment="1">
      <alignment horizontal="center" vertical="center"/>
    </xf>
    <xf numFmtId="0" fontId="176" fillId="0" borderId="185" xfId="76" applyFont="1" applyBorder="1" applyAlignment="1">
      <alignment horizontal="center" vertical="center"/>
    </xf>
    <xf numFmtId="0" fontId="179" fillId="0" borderId="185" xfId="76" applyFont="1" applyBorder="1" applyAlignment="1">
      <alignment horizontal="center" vertical="center"/>
    </xf>
    <xf numFmtId="0" fontId="178" fillId="0" borderId="185" xfId="76" applyFont="1" applyBorder="1" applyAlignment="1">
      <alignment horizontal="center" vertical="center"/>
    </xf>
    <xf numFmtId="0" fontId="177" fillId="0" borderId="185" xfId="76" applyFont="1" applyBorder="1" applyAlignment="1">
      <alignment horizontal="center" vertical="center"/>
    </xf>
    <xf numFmtId="0" fontId="150" fillId="23" borderId="182" xfId="76" applyFont="1" applyFill="1" applyBorder="1" applyAlignment="1">
      <alignment horizontal="center" vertical="center" wrapText="1"/>
    </xf>
    <xf numFmtId="0" fontId="228" fillId="0" borderId="184" xfId="76" applyFont="1" applyBorder="1" applyAlignment="1">
      <alignment horizontal="center" vertical="center"/>
    </xf>
    <xf numFmtId="0" fontId="228" fillId="0" borderId="186" xfId="76" applyFont="1" applyBorder="1" applyAlignment="1">
      <alignment horizontal="center" vertical="center"/>
    </xf>
    <xf numFmtId="0" fontId="228" fillId="0" borderId="189" xfId="76" applyFont="1" applyBorder="1" applyAlignment="1">
      <alignment horizontal="center" vertical="center"/>
    </xf>
    <xf numFmtId="0" fontId="228" fillId="0" borderId="190" xfId="76" applyFont="1" applyBorder="1" applyAlignment="1">
      <alignment horizontal="center" vertical="center"/>
    </xf>
    <xf numFmtId="0" fontId="129" fillId="0" borderId="182" xfId="66" applyFont="1" applyFill="1" applyBorder="1" applyAlignment="1">
      <alignment horizontal="center" vertical="center"/>
    </xf>
    <xf numFmtId="0" fontId="128" fillId="0" borderId="11" xfId="66" applyFont="1" applyFill="1" applyBorder="1" applyAlignment="1">
      <alignment horizontal="center" vertical="center"/>
    </xf>
    <xf numFmtId="0" fontId="128" fillId="0" borderId="12" xfId="66" applyFont="1" applyFill="1" applyBorder="1" applyAlignment="1">
      <alignment horizontal="center" vertical="center"/>
    </xf>
    <xf numFmtId="0" fontId="128" fillId="0" borderId="15" xfId="66" applyFont="1" applyFill="1" applyBorder="1" applyAlignment="1">
      <alignment horizontal="center" vertical="center"/>
    </xf>
    <xf numFmtId="0" fontId="129" fillId="0" borderId="218" xfId="66" applyFont="1" applyFill="1" applyBorder="1" applyAlignment="1">
      <alignment horizontal="center" vertical="center"/>
    </xf>
    <xf numFmtId="0" fontId="129" fillId="0" borderId="21" xfId="66" applyFont="1" applyFill="1" applyBorder="1" applyAlignment="1">
      <alignment horizontal="center" vertical="center"/>
    </xf>
    <xf numFmtId="0" fontId="129" fillId="0" borderId="23" xfId="66" applyFont="1" applyFill="1" applyBorder="1" applyAlignment="1">
      <alignment horizontal="center" vertical="center"/>
    </xf>
    <xf numFmtId="0" fontId="129" fillId="0" borderId="19" xfId="66" applyFont="1" applyFill="1" applyBorder="1" applyAlignment="1">
      <alignment horizontal="center" vertical="center"/>
    </xf>
    <xf numFmtId="0" fontId="129" fillId="0" borderId="176" xfId="66" applyFont="1" applyFill="1" applyBorder="1" applyAlignment="1">
      <alignment horizontal="center" vertical="center"/>
    </xf>
    <xf numFmtId="0" fontId="129" fillId="0" borderId="239" xfId="66" applyFont="1" applyFill="1" applyBorder="1" applyAlignment="1">
      <alignment horizontal="center" vertical="center"/>
    </xf>
    <xf numFmtId="0" fontId="169" fillId="0" borderId="19" xfId="66" applyFont="1" applyFill="1" applyBorder="1" applyAlignment="1">
      <alignment horizontal="center" vertical="center" textRotation="90"/>
    </xf>
    <xf numFmtId="0" fontId="169" fillId="0" borderId="21" xfId="66" applyFont="1" applyFill="1" applyBorder="1" applyAlignment="1">
      <alignment horizontal="center" vertical="center" textRotation="90"/>
    </xf>
    <xf numFmtId="0" fontId="169" fillId="0" borderId="20" xfId="66" applyFont="1" applyFill="1" applyBorder="1" applyAlignment="1">
      <alignment horizontal="center" vertical="center" textRotation="90"/>
    </xf>
    <xf numFmtId="0" fontId="169" fillId="23" borderId="19" xfId="66" applyFont="1" applyFill="1" applyBorder="1" applyAlignment="1">
      <alignment horizontal="center" vertical="center"/>
    </xf>
    <xf numFmtId="0" fontId="169" fillId="23" borderId="21" xfId="66" applyFont="1" applyFill="1" applyBorder="1" applyAlignment="1">
      <alignment horizontal="center" vertical="center"/>
    </xf>
    <xf numFmtId="0" fontId="169" fillId="23" borderId="16" xfId="66" applyFont="1" applyFill="1" applyBorder="1" applyAlignment="1">
      <alignment horizontal="center" vertical="center"/>
    </xf>
    <xf numFmtId="0" fontId="169" fillId="23" borderId="20" xfId="66" applyFont="1" applyFill="1" applyBorder="1" applyAlignment="1">
      <alignment horizontal="center" vertical="center"/>
    </xf>
    <xf numFmtId="0" fontId="167" fillId="0" borderId="21" xfId="66" applyFont="1" applyFill="1" applyBorder="1" applyAlignment="1">
      <alignment horizontal="center" vertical="center" textRotation="90"/>
    </xf>
    <xf numFmtId="0" fontId="167" fillId="0" borderId="20" xfId="66" applyFont="1" applyFill="1" applyBorder="1" applyAlignment="1">
      <alignment horizontal="center" vertical="center" textRotation="90"/>
    </xf>
    <xf numFmtId="0" fontId="167" fillId="23" borderId="19" xfId="66" applyFont="1" applyFill="1" applyBorder="1" applyAlignment="1">
      <alignment horizontal="center" vertical="center"/>
    </xf>
    <xf numFmtId="0" fontId="167" fillId="23" borderId="20" xfId="66" applyFont="1" applyFill="1" applyBorder="1" applyAlignment="1">
      <alignment horizontal="center" vertical="center"/>
    </xf>
    <xf numFmtId="0" fontId="167" fillId="23" borderId="21" xfId="66" applyFont="1" applyFill="1" applyBorder="1" applyAlignment="1">
      <alignment horizontal="center" vertical="center"/>
    </xf>
    <xf numFmtId="0" fontId="168" fillId="0" borderId="185" xfId="66" applyFont="1" applyFill="1" applyBorder="1" applyAlignment="1">
      <alignment horizontal="center" vertical="center" textRotation="90"/>
    </xf>
    <xf numFmtId="0" fontId="168" fillId="0" borderId="21" xfId="66" applyFont="1" applyFill="1" applyBorder="1" applyAlignment="1">
      <alignment horizontal="center" vertical="center" textRotation="90"/>
    </xf>
    <xf numFmtId="0" fontId="168" fillId="0" borderId="20" xfId="66" applyFont="1" applyFill="1" applyBorder="1" applyAlignment="1">
      <alignment horizontal="center" vertical="center" textRotation="90"/>
    </xf>
    <xf numFmtId="0" fontId="168" fillId="23" borderId="185" xfId="66" applyFont="1" applyFill="1" applyBorder="1" applyAlignment="1">
      <alignment horizontal="center" vertical="center"/>
    </xf>
    <xf numFmtId="0" fontId="168" fillId="23" borderId="21" xfId="66" applyFont="1" applyFill="1" applyBorder="1" applyAlignment="1">
      <alignment horizontal="center" vertical="center"/>
    </xf>
    <xf numFmtId="0" fontId="168" fillId="23" borderId="20" xfId="66" applyFont="1" applyFill="1" applyBorder="1" applyAlignment="1">
      <alignment horizontal="center" vertical="center"/>
    </xf>
    <xf numFmtId="0" fontId="166" fillId="0" borderId="19" xfId="66" applyFont="1" applyFill="1" applyBorder="1" applyAlignment="1">
      <alignment horizontal="center" vertical="center" textRotation="90"/>
    </xf>
    <xf numFmtId="0" fontId="166" fillId="0" borderId="21" xfId="66" applyFont="1" applyFill="1" applyBorder="1" applyAlignment="1">
      <alignment horizontal="center" vertical="center" textRotation="90"/>
    </xf>
    <xf numFmtId="0" fontId="166" fillId="0" borderId="20" xfId="66" applyFont="1" applyFill="1" applyBorder="1" applyAlignment="1">
      <alignment horizontal="center" vertical="center" textRotation="90"/>
    </xf>
    <xf numFmtId="0" fontId="166" fillId="23" borderId="19" xfId="66" applyFont="1" applyFill="1" applyBorder="1" applyAlignment="1">
      <alignment horizontal="center" vertical="center"/>
    </xf>
    <xf numFmtId="0" fontId="166" fillId="23" borderId="21" xfId="66" applyFont="1" applyFill="1" applyBorder="1" applyAlignment="1">
      <alignment horizontal="center" vertical="center"/>
    </xf>
    <xf numFmtId="0" fontId="166" fillId="23" borderId="20" xfId="66" applyFont="1" applyFill="1" applyBorder="1" applyAlignment="1">
      <alignment horizontal="center" vertical="center"/>
    </xf>
    <xf numFmtId="0" fontId="168" fillId="23" borderId="178" xfId="66" applyFont="1" applyFill="1" applyBorder="1" applyAlignment="1">
      <alignment horizontal="center" vertical="center"/>
    </xf>
    <xf numFmtId="0" fontId="168" fillId="23" borderId="17" xfId="66" applyFont="1" applyFill="1" applyBorder="1" applyAlignment="1">
      <alignment horizontal="center" vertical="center"/>
    </xf>
    <xf numFmtId="0" fontId="168" fillId="23" borderId="0" xfId="66" applyFont="1" applyFill="1" applyBorder="1" applyAlignment="1">
      <alignment horizontal="center" vertical="center"/>
    </xf>
    <xf numFmtId="0" fontId="168" fillId="23" borderId="24" xfId="66" applyFont="1" applyFill="1" applyBorder="1" applyAlignment="1">
      <alignment horizontal="center" vertical="center"/>
    </xf>
    <xf numFmtId="0" fontId="129" fillId="0" borderId="178" xfId="66" applyFont="1" applyFill="1" applyBorder="1" applyAlignment="1">
      <alignment horizontal="center" vertical="center"/>
    </xf>
    <xf numFmtId="0" fontId="129" fillId="0" borderId="17" xfId="66" applyFont="1" applyFill="1" applyBorder="1" applyAlignment="1">
      <alignment horizontal="center" vertical="center"/>
    </xf>
    <xf numFmtId="0" fontId="129" fillId="0" borderId="22" xfId="66" applyFont="1" applyFill="1" applyBorder="1" applyAlignment="1">
      <alignment horizontal="center" vertical="center"/>
    </xf>
    <xf numFmtId="0" fontId="166" fillId="23" borderId="16" xfId="66" applyFont="1" applyFill="1" applyBorder="1" applyAlignment="1">
      <alignment horizontal="center" vertical="center"/>
    </xf>
    <xf numFmtId="0" fontId="166" fillId="0" borderId="21" xfId="66" applyFont="1" applyBorder="1" applyAlignment="1">
      <alignment horizontal="center" vertical="center"/>
    </xf>
    <xf numFmtId="0" fontId="166" fillId="0" borderId="23" xfId="66" applyFont="1" applyBorder="1" applyAlignment="1">
      <alignment horizontal="center" vertical="center"/>
    </xf>
    <xf numFmtId="0" fontId="166" fillId="0" borderId="19" xfId="66" applyFont="1" applyBorder="1" applyAlignment="1">
      <alignment horizontal="center" vertical="center"/>
    </xf>
    <xf numFmtId="0" fontId="128" fillId="0" borderId="19" xfId="66" applyFont="1" applyBorder="1" applyAlignment="1">
      <alignment horizontal="center" vertical="center" wrapText="1"/>
    </xf>
    <xf numFmtId="0" fontId="128" fillId="0" borderId="21" xfId="66" applyFont="1" applyBorder="1" applyAlignment="1">
      <alignment horizontal="center" vertical="center" wrapText="1"/>
    </xf>
    <xf numFmtId="0" fontId="128" fillId="0" borderId="23" xfId="66" applyFont="1" applyBorder="1" applyAlignment="1">
      <alignment horizontal="center" vertical="center" wrapText="1"/>
    </xf>
    <xf numFmtId="0" fontId="175" fillId="0" borderId="23" xfId="66" applyFont="1" applyFill="1" applyBorder="1" applyAlignment="1">
      <alignment horizontal="center" vertical="center" wrapText="1"/>
    </xf>
    <xf numFmtId="0" fontId="168" fillId="0" borderId="19" xfId="66" applyFont="1" applyBorder="1" applyAlignment="1">
      <alignment horizontal="center" vertical="center"/>
    </xf>
    <xf numFmtId="0" fontId="168" fillId="0" borderId="21" xfId="66" applyFont="1" applyBorder="1" applyAlignment="1">
      <alignment horizontal="center" vertical="center"/>
    </xf>
    <xf numFmtId="0" fontId="168" fillId="0" borderId="23" xfId="66" applyFont="1" applyBorder="1" applyAlignment="1">
      <alignment horizontal="center" vertical="center"/>
    </xf>
    <xf numFmtId="0" fontId="179" fillId="0" borderId="21" xfId="66" applyFont="1" applyFill="1" applyBorder="1" applyAlignment="1">
      <alignment horizontal="center" vertical="center" wrapText="1"/>
    </xf>
    <xf numFmtId="0" fontId="179" fillId="0" borderId="23" xfId="66" applyFont="1" applyFill="1" applyBorder="1" applyAlignment="1">
      <alignment horizontal="center" vertical="center" wrapText="1"/>
    </xf>
    <xf numFmtId="0" fontId="169" fillId="0" borderId="19" xfId="66" applyFont="1" applyBorder="1" applyAlignment="1">
      <alignment horizontal="center" vertical="center"/>
    </xf>
    <xf numFmtId="0" fontId="169" fillId="0" borderId="21" xfId="66" applyFont="1" applyBorder="1" applyAlignment="1">
      <alignment horizontal="center" vertical="center"/>
    </xf>
    <xf numFmtId="0" fontId="169" fillId="0" borderId="23" xfId="66" applyFont="1" applyBorder="1" applyAlignment="1">
      <alignment horizontal="center" vertical="center"/>
    </xf>
    <xf numFmtId="0" fontId="177" fillId="0" borderId="21" xfId="66" applyFont="1" applyFill="1" applyBorder="1" applyAlignment="1">
      <alignment horizontal="center" vertical="center" wrapText="1"/>
    </xf>
    <xf numFmtId="0" fontId="177" fillId="0" borderId="23" xfId="66" applyFont="1" applyFill="1" applyBorder="1" applyAlignment="1">
      <alignment horizontal="center" vertical="center" wrapText="1"/>
    </xf>
    <xf numFmtId="0" fontId="167" fillId="0" borderId="19" xfId="66" applyFont="1" applyBorder="1" applyAlignment="1">
      <alignment horizontal="center" vertical="center"/>
    </xf>
    <xf numFmtId="0" fontId="167" fillId="0" borderId="21" xfId="66" applyFont="1" applyBorder="1" applyAlignment="1">
      <alignment horizontal="center" vertical="center"/>
    </xf>
    <xf numFmtId="0" fontId="167" fillId="0" borderId="23" xfId="66" applyFont="1" applyBorder="1" applyAlignment="1">
      <alignment horizontal="center" vertical="center"/>
    </xf>
    <xf numFmtId="0" fontId="176" fillId="0" borderId="19" xfId="66" applyFont="1" applyFill="1" applyBorder="1" applyAlignment="1">
      <alignment horizontal="center" vertical="center" wrapText="1"/>
    </xf>
    <xf numFmtId="0" fontId="176" fillId="0" borderId="21" xfId="66" applyFont="1" applyFill="1" applyBorder="1" applyAlignment="1">
      <alignment horizontal="center" vertical="center" wrapText="1"/>
    </xf>
    <xf numFmtId="0" fontId="176" fillId="0" borderId="23" xfId="66" applyFont="1" applyFill="1" applyBorder="1" applyAlignment="1">
      <alignment horizontal="center" vertical="center" wrapText="1"/>
    </xf>
    <xf numFmtId="0" fontId="129" fillId="0" borderId="11" xfId="66" applyFont="1" applyFill="1" applyBorder="1" applyAlignment="1">
      <alignment horizontal="center" vertical="center"/>
    </xf>
    <xf numFmtId="0" fontId="129" fillId="0" borderId="12" xfId="66" applyFont="1" applyFill="1" applyBorder="1" applyAlignment="1">
      <alignment horizontal="center" vertical="center"/>
    </xf>
    <xf numFmtId="0" fontId="129" fillId="0" borderId="15" xfId="66" applyFont="1" applyFill="1" applyBorder="1" applyAlignment="1">
      <alignment horizontal="center" vertical="center"/>
    </xf>
    <xf numFmtId="0" fontId="179" fillId="0" borderId="176" xfId="66" applyFont="1" applyFill="1" applyBorder="1" applyAlignment="1">
      <alignment horizontal="center" vertical="center" textRotation="90"/>
    </xf>
    <xf numFmtId="0" fontId="179" fillId="0" borderId="21" xfId="66" applyFont="1" applyFill="1" applyBorder="1" applyAlignment="1">
      <alignment horizontal="center" vertical="center" textRotation="90"/>
    </xf>
    <xf numFmtId="0" fontId="179" fillId="0" borderId="20" xfId="66" applyFont="1" applyFill="1" applyBorder="1" applyAlignment="1">
      <alignment horizontal="center" vertical="center" textRotation="90"/>
    </xf>
    <xf numFmtId="0" fontId="168" fillId="0" borderId="176" xfId="66" applyFont="1" applyFill="1" applyBorder="1" applyAlignment="1">
      <alignment horizontal="center" vertical="center"/>
    </xf>
    <xf numFmtId="0" fontId="168" fillId="0" borderId="21" xfId="66" applyFont="1" applyFill="1" applyBorder="1" applyAlignment="1">
      <alignment horizontal="center" vertical="center"/>
    </xf>
    <xf numFmtId="0" fontId="168" fillId="0" borderId="23" xfId="66" applyFont="1" applyFill="1" applyBorder="1" applyAlignment="1">
      <alignment horizontal="center" vertical="center"/>
    </xf>
    <xf numFmtId="0" fontId="168" fillId="0" borderId="19" xfId="66" applyFont="1" applyFill="1" applyBorder="1" applyAlignment="1">
      <alignment horizontal="center" vertical="center"/>
    </xf>
    <xf numFmtId="0" fontId="166" fillId="0" borderId="19" xfId="66" applyFont="1" applyFill="1" applyBorder="1" applyAlignment="1">
      <alignment horizontal="center" vertical="center"/>
    </xf>
    <xf numFmtId="0" fontId="166" fillId="0" borderId="21" xfId="66" applyFont="1" applyFill="1" applyBorder="1" applyAlignment="1">
      <alignment horizontal="center" vertical="center"/>
    </xf>
    <xf numFmtId="0" fontId="166" fillId="0" borderId="23" xfId="66" applyFont="1" applyFill="1" applyBorder="1" applyAlignment="1">
      <alignment horizontal="center" vertical="center"/>
    </xf>
    <xf numFmtId="0" fontId="166" fillId="0" borderId="235" xfId="66" applyFont="1" applyFill="1" applyBorder="1" applyAlignment="1">
      <alignment horizontal="center" vertical="center"/>
    </xf>
    <xf numFmtId="0" fontId="166" fillId="0" borderId="17" xfId="66" applyFont="1" applyFill="1" applyBorder="1" applyAlignment="1">
      <alignment horizontal="center" vertical="center"/>
    </xf>
    <xf numFmtId="0" fontId="166" fillId="0" borderId="22" xfId="66" applyFont="1" applyFill="1" applyBorder="1" applyAlignment="1">
      <alignment horizontal="center" vertical="center"/>
    </xf>
    <xf numFmtId="0" fontId="175" fillId="0" borderId="19" xfId="66" applyFont="1" applyFill="1" applyBorder="1" applyAlignment="1">
      <alignment horizontal="center" vertical="center" textRotation="90"/>
    </xf>
    <xf numFmtId="0" fontId="175" fillId="0" borderId="21" xfId="66" applyFont="1" applyFill="1" applyBorder="1" applyAlignment="1">
      <alignment horizontal="center" vertical="center" textRotation="90"/>
    </xf>
    <xf numFmtId="0" fontId="175" fillId="0" borderId="20" xfId="66" applyFont="1" applyFill="1" applyBorder="1" applyAlignment="1">
      <alignment horizontal="center" vertical="center" textRotation="90"/>
    </xf>
    <xf numFmtId="0" fontId="166" fillId="23" borderId="23" xfId="66" applyFont="1" applyFill="1" applyBorder="1" applyAlignment="1">
      <alignment horizontal="center" vertical="center"/>
    </xf>
    <xf numFmtId="0" fontId="177" fillId="0" borderId="19" xfId="66" applyFont="1" applyFill="1" applyBorder="1" applyAlignment="1">
      <alignment horizontal="center" vertical="center" textRotation="90"/>
    </xf>
    <xf numFmtId="0" fontId="177" fillId="0" borderId="21" xfId="66" applyFont="1" applyFill="1" applyBorder="1" applyAlignment="1">
      <alignment horizontal="center" vertical="center" textRotation="90"/>
    </xf>
    <xf numFmtId="0" fontId="177" fillId="0" borderId="20" xfId="66" applyFont="1" applyFill="1" applyBorder="1" applyAlignment="1">
      <alignment horizontal="center" vertical="center" textRotation="90"/>
    </xf>
    <xf numFmtId="0" fontId="168" fillId="23" borderId="19" xfId="66" applyFont="1" applyFill="1" applyBorder="1" applyAlignment="1">
      <alignment horizontal="center" vertical="center"/>
    </xf>
    <xf numFmtId="0" fontId="168" fillId="23" borderId="23" xfId="66" applyFont="1" applyFill="1" applyBorder="1" applyAlignment="1">
      <alignment horizontal="center" vertical="center"/>
    </xf>
    <xf numFmtId="0" fontId="176" fillId="0" borderId="19" xfId="66" applyFont="1" applyFill="1" applyBorder="1" applyAlignment="1">
      <alignment horizontal="center" vertical="center" textRotation="90"/>
    </xf>
    <xf numFmtId="0" fontId="176" fillId="0" borderId="21" xfId="66" applyFont="1" applyFill="1" applyBorder="1" applyAlignment="1">
      <alignment horizontal="center" vertical="center" textRotation="90"/>
    </xf>
    <xf numFmtId="0" fontId="176" fillId="0" borderId="16" xfId="66" applyFont="1" applyFill="1" applyBorder="1" applyAlignment="1">
      <alignment horizontal="center" vertical="center" textRotation="90"/>
    </xf>
    <xf numFmtId="0" fontId="168" fillId="23" borderId="176" xfId="66" applyFont="1" applyFill="1" applyBorder="1" applyAlignment="1">
      <alignment horizontal="center" vertical="center"/>
    </xf>
    <xf numFmtId="0" fontId="169" fillId="0" borderId="19" xfId="66" applyFont="1" applyFill="1" applyBorder="1" applyAlignment="1">
      <alignment horizontal="center" vertical="center"/>
    </xf>
    <xf numFmtId="0" fontId="169" fillId="0" borderId="23" xfId="66" applyFont="1" applyFill="1" applyBorder="1" applyAlignment="1">
      <alignment horizontal="center" vertical="center"/>
    </xf>
    <xf numFmtId="0" fontId="169" fillId="0" borderId="218" xfId="66" applyFont="1" applyFill="1" applyBorder="1" applyAlignment="1">
      <alignment horizontal="center" vertical="center"/>
    </xf>
    <xf numFmtId="0" fontId="169" fillId="0" borderId="21" xfId="66" applyFont="1" applyFill="1" applyBorder="1" applyAlignment="1">
      <alignment horizontal="center" vertical="center"/>
    </xf>
    <xf numFmtId="0" fontId="168" fillId="0" borderId="218" xfId="66" applyFont="1" applyFill="1" applyBorder="1" applyAlignment="1">
      <alignment horizontal="center" vertical="center"/>
    </xf>
    <xf numFmtId="0" fontId="167" fillId="0" borderId="218" xfId="66" applyFont="1" applyFill="1" applyBorder="1" applyAlignment="1">
      <alignment horizontal="center" vertical="center"/>
    </xf>
    <xf numFmtId="0" fontId="167" fillId="0" borderId="23" xfId="66" applyFont="1" applyFill="1" applyBorder="1" applyAlignment="1">
      <alignment horizontal="center" vertical="center"/>
    </xf>
    <xf numFmtId="0" fontId="166" fillId="0" borderId="218" xfId="66" applyFont="1" applyFill="1" applyBorder="1" applyAlignment="1">
      <alignment horizontal="center" vertical="center"/>
    </xf>
    <xf numFmtId="1" fontId="128" fillId="23" borderId="13" xfId="50" applyNumberFormat="1" applyFont="1" applyFill="1" applyBorder="1" applyAlignment="1">
      <alignment horizontal="center" vertical="center" wrapText="1"/>
    </xf>
    <xf numFmtId="0" fontId="81" fillId="0" borderId="0" xfId="66" applyFont="1" applyAlignment="1">
      <alignment horizontal="left" vertical="center"/>
    </xf>
    <xf numFmtId="3" fontId="73" fillId="23" borderId="18" xfId="66" applyNumberFormat="1" applyFont="1" applyFill="1" applyBorder="1" applyAlignment="1">
      <alignment horizontal="center" vertical="center" wrapText="1"/>
    </xf>
    <xf numFmtId="3" fontId="73" fillId="23" borderId="19" xfId="66" applyNumberFormat="1" applyFont="1" applyFill="1" applyBorder="1" applyAlignment="1">
      <alignment horizontal="center" vertical="center" wrapText="1"/>
    </xf>
    <xf numFmtId="1" fontId="73" fillId="23" borderId="18" xfId="50" applyNumberFormat="1" applyFont="1" applyFill="1" applyBorder="1" applyAlignment="1">
      <alignment horizontal="center" vertical="center" wrapText="1"/>
    </xf>
    <xf numFmtId="3" fontId="73" fillId="23" borderId="10" xfId="66" applyNumberFormat="1" applyFont="1" applyFill="1" applyBorder="1" applyAlignment="1">
      <alignment horizontal="center" vertical="center" wrapText="1"/>
    </xf>
    <xf numFmtId="3" fontId="73" fillId="23" borderId="15" xfId="66" applyNumberFormat="1" applyFont="1" applyFill="1" applyBorder="1" applyAlignment="1">
      <alignment horizontal="center" vertical="center" wrapText="1"/>
    </xf>
    <xf numFmtId="3" fontId="73" fillId="23" borderId="13" xfId="66" applyNumberFormat="1" applyFont="1" applyFill="1" applyBorder="1" applyAlignment="1">
      <alignment horizontal="center" vertical="center" wrapText="1"/>
    </xf>
    <xf numFmtId="3" fontId="73" fillId="23" borderId="11" xfId="66" applyNumberFormat="1" applyFont="1" applyFill="1" applyBorder="1" applyAlignment="1">
      <alignment horizontal="center" vertical="center" wrapText="1"/>
    </xf>
    <xf numFmtId="0" fontId="104" fillId="0" borderId="19" xfId="66" applyFont="1" applyFill="1" applyBorder="1" applyAlignment="1">
      <alignment horizontal="center" vertical="center"/>
    </xf>
    <xf numFmtId="0" fontId="104" fillId="0" borderId="21" xfId="66" applyFont="1" applyFill="1" applyBorder="1" applyAlignment="1">
      <alignment horizontal="center" vertical="center"/>
    </xf>
    <xf numFmtId="0" fontId="104" fillId="0" borderId="23" xfId="66" applyFont="1" applyFill="1" applyBorder="1" applyAlignment="1">
      <alignment horizontal="center" vertical="center"/>
    </xf>
    <xf numFmtId="0" fontId="76" fillId="23" borderId="13" xfId="66" applyFont="1" applyFill="1" applyBorder="1" applyAlignment="1">
      <alignment horizontal="center" vertical="center"/>
    </xf>
    <xf numFmtId="0" fontId="76" fillId="23" borderId="14" xfId="66" applyFont="1" applyFill="1" applyBorder="1" applyAlignment="1">
      <alignment horizontal="center" vertical="center"/>
    </xf>
    <xf numFmtId="0" fontId="153" fillId="26" borderId="13" xfId="66" applyFont="1" applyFill="1" applyBorder="1" applyAlignment="1">
      <alignment horizontal="center" vertical="center"/>
    </xf>
    <xf numFmtId="0" fontId="153" fillId="26" borderId="14" xfId="66" applyFont="1" applyFill="1" applyBorder="1" applyAlignment="1">
      <alignment horizontal="center" vertical="center"/>
    </xf>
    <xf numFmtId="0" fontId="153" fillId="27" borderId="13" xfId="66" applyFont="1" applyFill="1" applyBorder="1" applyAlignment="1">
      <alignment horizontal="center" vertical="center"/>
    </xf>
    <xf numFmtId="0" fontId="153" fillId="27" borderId="10" xfId="66" applyFont="1" applyFill="1" applyBorder="1" applyAlignment="1">
      <alignment horizontal="center" vertical="center"/>
    </xf>
    <xf numFmtId="0" fontId="153" fillId="25" borderId="13" xfId="66" applyFont="1" applyFill="1" applyBorder="1" applyAlignment="1">
      <alignment horizontal="center" vertical="center"/>
    </xf>
    <xf numFmtId="0" fontId="153" fillId="25" borderId="10" xfId="66" applyFont="1" applyFill="1" applyBorder="1" applyAlignment="1">
      <alignment horizontal="center" vertical="center"/>
    </xf>
    <xf numFmtId="1" fontId="73" fillId="23" borderId="19" xfId="50" applyNumberFormat="1" applyFont="1" applyFill="1" applyBorder="1" applyAlignment="1">
      <alignment horizontal="center" vertical="center" wrapText="1"/>
    </xf>
    <xf numFmtId="1" fontId="73" fillId="23" borderId="23" xfId="50" applyNumberFormat="1" applyFont="1" applyFill="1" applyBorder="1" applyAlignment="1">
      <alignment horizontal="center" vertical="center" wrapText="1"/>
    </xf>
    <xf numFmtId="3" fontId="73" fillId="23" borderId="23" xfId="66" applyNumberFormat="1" applyFont="1" applyFill="1" applyBorder="1" applyAlignment="1">
      <alignment horizontal="center" vertical="center" wrapText="1"/>
    </xf>
    <xf numFmtId="0" fontId="70" fillId="0" borderId="19" xfId="66" applyFont="1" applyBorder="1" applyAlignment="1">
      <alignment horizontal="center" vertical="center"/>
    </xf>
    <xf numFmtId="0" fontId="70" fillId="0" borderId="21" xfId="66" applyFont="1" applyBorder="1" applyAlignment="1">
      <alignment horizontal="center" vertical="center"/>
    </xf>
    <xf numFmtId="0" fontId="70" fillId="0" borderId="23" xfId="66" applyFont="1" applyBorder="1" applyAlignment="1">
      <alignment horizontal="center" vertical="center"/>
    </xf>
    <xf numFmtId="0" fontId="140" fillId="0" borderId="21" xfId="66" applyFont="1" applyFill="1" applyBorder="1" applyAlignment="1">
      <alignment horizontal="center" vertical="center" wrapText="1"/>
    </xf>
    <xf numFmtId="0" fontId="140" fillId="0" borderId="23" xfId="66" applyFont="1" applyFill="1" applyBorder="1" applyAlignment="1">
      <alignment horizontal="center" vertical="center" wrapText="1"/>
    </xf>
    <xf numFmtId="0" fontId="142" fillId="0" borderId="19" xfId="66" applyFont="1" applyFill="1" applyBorder="1" applyAlignment="1">
      <alignment horizontal="center" vertical="center" wrapText="1"/>
    </xf>
    <xf numFmtId="0" fontId="142" fillId="0" borderId="21" xfId="66" applyFont="1" applyFill="1" applyBorder="1" applyAlignment="1">
      <alignment horizontal="center" vertical="center" wrapText="1"/>
    </xf>
    <xf numFmtId="0" fontId="142" fillId="0" borderId="23" xfId="66" applyFont="1" applyFill="1" applyBorder="1" applyAlignment="1">
      <alignment horizontal="center" vertical="center" wrapText="1"/>
    </xf>
    <xf numFmtId="0" fontId="73" fillId="0" borderId="19" xfId="66" applyFont="1" applyBorder="1" applyAlignment="1">
      <alignment horizontal="center" vertical="center"/>
    </xf>
    <xf numFmtId="0" fontId="73" fillId="0" borderId="21" xfId="66" applyFont="1" applyBorder="1" applyAlignment="1">
      <alignment horizontal="center" vertical="center"/>
    </xf>
    <xf numFmtId="0" fontId="73" fillId="0" borderId="23" xfId="66" applyFont="1" applyBorder="1" applyAlignment="1">
      <alignment horizontal="center" vertical="center"/>
    </xf>
    <xf numFmtId="0" fontId="141" fillId="0" borderId="19" xfId="66" applyFont="1" applyFill="1" applyBorder="1" applyAlignment="1">
      <alignment horizontal="center" vertical="center" wrapText="1"/>
    </xf>
    <xf numFmtId="0" fontId="141" fillId="0" borderId="21" xfId="66" applyFont="1" applyFill="1" applyBorder="1" applyAlignment="1">
      <alignment horizontal="center" vertical="center" wrapText="1"/>
    </xf>
    <xf numFmtId="0" fontId="141" fillId="0" borderId="23" xfId="66" applyFont="1" applyFill="1" applyBorder="1" applyAlignment="1">
      <alignment horizontal="center" vertical="center" wrapText="1"/>
    </xf>
    <xf numFmtId="0" fontId="129" fillId="0" borderId="218" xfId="66" applyFont="1" applyBorder="1" applyAlignment="1">
      <alignment horizontal="center" vertical="center"/>
    </xf>
    <xf numFmtId="0" fontId="129" fillId="0" borderId="21" xfId="66" applyFont="1" applyBorder="1" applyAlignment="1">
      <alignment horizontal="center" vertical="center"/>
    </xf>
    <xf numFmtId="0" fontId="129" fillId="0" borderId="23" xfId="66" applyFont="1" applyBorder="1" applyAlignment="1">
      <alignment horizontal="center" vertical="center"/>
    </xf>
    <xf numFmtId="0" fontId="167" fillId="23" borderId="185" xfId="66" applyFont="1" applyFill="1" applyBorder="1" applyAlignment="1">
      <alignment horizontal="center" vertical="center"/>
    </xf>
    <xf numFmtId="0" fontId="128" fillId="0" borderId="182" xfId="66" applyFont="1" applyFill="1" applyBorder="1" applyAlignment="1">
      <alignment horizontal="center" vertical="center"/>
    </xf>
    <xf numFmtId="0" fontId="166" fillId="0" borderId="185" xfId="66" applyFont="1" applyBorder="1" applyAlignment="1">
      <alignment horizontal="center" vertical="center" textRotation="90"/>
    </xf>
    <xf numFmtId="0" fontId="166" fillId="0" borderId="21" xfId="66" applyFont="1" applyBorder="1" applyAlignment="1">
      <alignment horizontal="center" vertical="center" textRotation="90"/>
    </xf>
    <xf numFmtId="0" fontId="166" fillId="0" borderId="20" xfId="66" applyFont="1" applyBorder="1" applyAlignment="1">
      <alignment horizontal="center" vertical="center" textRotation="90"/>
    </xf>
    <xf numFmtId="0" fontId="166" fillId="23" borderId="185" xfId="66" applyFont="1" applyFill="1" applyBorder="1" applyAlignment="1">
      <alignment horizontal="center" vertical="center"/>
    </xf>
    <xf numFmtId="0" fontId="129" fillId="0" borderId="185" xfId="66" applyFont="1" applyFill="1" applyBorder="1" applyAlignment="1">
      <alignment horizontal="center" vertical="center"/>
    </xf>
    <xf numFmtId="1" fontId="128" fillId="23" borderId="182" xfId="462" applyNumberFormat="1" applyFont="1" applyFill="1" applyBorder="1" applyAlignment="1">
      <alignment horizontal="center" vertical="center" wrapText="1"/>
    </xf>
    <xf numFmtId="1" fontId="128" fillId="23" borderId="185" xfId="462" applyNumberFormat="1" applyFont="1" applyFill="1" applyBorder="1" applyAlignment="1">
      <alignment horizontal="center" vertical="center" wrapText="1"/>
    </xf>
    <xf numFmtId="1" fontId="128" fillId="23" borderId="23" xfId="462" applyNumberFormat="1" applyFont="1" applyFill="1" applyBorder="1" applyAlignment="1">
      <alignment horizontal="center" vertical="center" wrapText="1"/>
    </xf>
    <xf numFmtId="0" fontId="168" fillId="0" borderId="185" xfId="66" applyFont="1" applyBorder="1" applyAlignment="1">
      <alignment horizontal="center" vertical="center" textRotation="90"/>
    </xf>
    <xf numFmtId="0" fontId="168" fillId="0" borderId="21" xfId="66" applyFont="1" applyBorder="1" applyAlignment="1">
      <alignment horizontal="center" vertical="center" textRotation="90"/>
    </xf>
    <xf numFmtId="0" fontId="168" fillId="0" borderId="20" xfId="66" applyFont="1" applyBorder="1" applyAlignment="1">
      <alignment horizontal="center" vertical="center" textRotation="90"/>
    </xf>
    <xf numFmtId="0" fontId="168" fillId="23" borderId="188" xfId="66" applyFont="1" applyFill="1" applyBorder="1" applyAlignment="1">
      <alignment horizontal="center" vertical="center"/>
    </xf>
    <xf numFmtId="0" fontId="168" fillId="23" borderId="16" xfId="66" applyFont="1" applyFill="1" applyBorder="1" applyAlignment="1">
      <alignment horizontal="center" vertical="center"/>
    </xf>
    <xf numFmtId="0" fontId="129" fillId="0" borderId="185" xfId="66" applyFont="1" applyBorder="1" applyAlignment="1">
      <alignment horizontal="center" vertical="center"/>
    </xf>
    <xf numFmtId="0" fontId="167" fillId="0" borderId="185" xfId="66" applyFont="1" applyBorder="1" applyAlignment="1">
      <alignment horizontal="center" vertical="center" textRotation="90"/>
    </xf>
    <xf numFmtId="0" fontId="167" fillId="0" borderId="21" xfId="66" applyFont="1" applyBorder="1" applyAlignment="1">
      <alignment horizontal="center" vertical="center" textRotation="90"/>
    </xf>
    <xf numFmtId="0" fontId="167" fillId="0" borderId="20" xfId="66" applyFont="1" applyBorder="1" applyAlignment="1">
      <alignment horizontal="center" vertical="center" textRotation="90"/>
    </xf>
    <xf numFmtId="0" fontId="128" fillId="23" borderId="184" xfId="66" applyFont="1" applyFill="1" applyBorder="1" applyAlignment="1">
      <alignment horizontal="center" vertical="center"/>
    </xf>
    <xf numFmtId="0" fontId="128" fillId="23" borderId="186" xfId="66" applyFont="1" applyFill="1" applyBorder="1" applyAlignment="1">
      <alignment horizontal="center" vertical="center"/>
    </xf>
    <xf numFmtId="0" fontId="128" fillId="23" borderId="187" xfId="66" applyFont="1" applyFill="1" applyBorder="1" applyAlignment="1">
      <alignment horizontal="center" vertical="center"/>
    </xf>
    <xf numFmtId="0" fontId="169" fillId="0" borderId="185" xfId="66" applyFont="1" applyFill="1" applyBorder="1" applyAlignment="1">
      <alignment horizontal="center" vertical="center" textRotation="90"/>
    </xf>
    <xf numFmtId="0" fontId="169" fillId="23" borderId="185" xfId="66" applyFont="1" applyFill="1" applyBorder="1" applyAlignment="1">
      <alignment horizontal="center" vertical="center"/>
    </xf>
    <xf numFmtId="0" fontId="169" fillId="23" borderId="17" xfId="66" applyFont="1" applyFill="1" applyBorder="1" applyAlignment="1">
      <alignment horizontal="center" vertical="center"/>
    </xf>
    <xf numFmtId="0" fontId="73" fillId="0" borderId="18" xfId="66" applyFont="1" applyFill="1" applyBorder="1" applyAlignment="1">
      <alignment horizontal="center" vertical="center"/>
    </xf>
    <xf numFmtId="0" fontId="73" fillId="0" borderId="182" xfId="66" applyFont="1" applyFill="1" applyBorder="1" applyAlignment="1">
      <alignment horizontal="center" vertical="center"/>
    </xf>
    <xf numFmtId="0" fontId="166" fillId="0" borderId="19" xfId="66" applyFont="1" applyFill="1" applyBorder="1" applyAlignment="1">
      <alignment horizontal="center" vertical="center" wrapText="1"/>
    </xf>
    <xf numFmtId="0" fontId="166" fillId="0" borderId="21" xfId="66" applyFont="1" applyFill="1" applyBorder="1" applyAlignment="1">
      <alignment horizontal="center" vertical="center" wrapText="1"/>
    </xf>
    <xf numFmtId="0" fontId="166" fillId="0" borderId="23" xfId="66" applyFont="1" applyFill="1" applyBorder="1" applyAlignment="1">
      <alignment horizontal="center" vertical="center" wrapText="1"/>
    </xf>
    <xf numFmtId="0" fontId="129" fillId="0" borderId="19" xfId="66" applyFont="1" applyBorder="1" applyAlignment="1">
      <alignment horizontal="center" vertical="center"/>
    </xf>
    <xf numFmtId="0" fontId="168" fillId="0" borderId="19" xfId="66" applyFont="1" applyFill="1" applyBorder="1" applyAlignment="1">
      <alignment horizontal="center" vertical="center" wrapText="1"/>
    </xf>
    <xf numFmtId="0" fontId="168" fillId="0" borderId="21" xfId="66" applyFont="1" applyFill="1" applyBorder="1" applyAlignment="1">
      <alignment horizontal="center" vertical="center" wrapText="1"/>
    </xf>
    <xf numFmtId="0" fontId="168" fillId="0" borderId="23" xfId="66" applyFont="1" applyFill="1" applyBorder="1" applyAlignment="1">
      <alignment horizontal="center" vertical="center" wrapText="1"/>
    </xf>
    <xf numFmtId="0" fontId="169" fillId="0" borderId="19" xfId="66" applyFont="1" applyFill="1" applyBorder="1" applyAlignment="1">
      <alignment horizontal="center" vertical="center" wrapText="1"/>
    </xf>
    <xf numFmtId="0" fontId="169" fillId="0" borderId="21" xfId="66" applyFont="1" applyFill="1" applyBorder="1" applyAlignment="1">
      <alignment horizontal="center" vertical="center" wrapText="1"/>
    </xf>
    <xf numFmtId="0" fontId="169" fillId="0" borderId="23" xfId="66" applyFont="1" applyFill="1" applyBorder="1" applyAlignment="1">
      <alignment horizontal="center" vertical="center" wrapText="1"/>
    </xf>
    <xf numFmtId="0" fontId="167" fillId="0" borderId="19" xfId="66" applyFont="1" applyFill="1" applyBorder="1" applyAlignment="1">
      <alignment horizontal="center" vertical="center" wrapText="1"/>
    </xf>
    <xf numFmtId="0" fontId="167" fillId="0" borderId="21" xfId="66" applyFont="1" applyFill="1" applyBorder="1" applyAlignment="1">
      <alignment horizontal="center" vertical="center" wrapText="1"/>
    </xf>
    <xf numFmtId="0" fontId="167" fillId="0" borderId="23" xfId="66" applyFont="1" applyFill="1" applyBorder="1" applyAlignment="1">
      <alignment horizontal="center" vertical="center" wrapText="1"/>
    </xf>
    <xf numFmtId="0" fontId="73" fillId="29" borderId="18" xfId="0" applyFont="1" applyFill="1" applyBorder="1" applyAlignment="1">
      <alignment horizontal="center" vertical="center" wrapText="1"/>
    </xf>
    <xf numFmtId="0" fontId="73" fillId="29" borderId="13" xfId="0" applyFont="1" applyFill="1" applyBorder="1" applyAlignment="1">
      <alignment horizontal="center" vertical="center" wrapText="1"/>
    </xf>
    <xf numFmtId="1" fontId="73" fillId="29" borderId="18" xfId="50" applyNumberFormat="1" applyFont="1" applyFill="1" applyBorder="1" applyAlignment="1">
      <alignment horizontal="center" vertical="center" wrapText="1"/>
    </xf>
    <xf numFmtId="0" fontId="73" fillId="29" borderId="10" xfId="0" applyFont="1" applyFill="1" applyBorder="1" applyAlignment="1">
      <alignment horizontal="center" vertical="center" wrapText="1"/>
    </xf>
    <xf numFmtId="0" fontId="104" fillId="0" borderId="19" xfId="0" applyFont="1" applyFill="1" applyBorder="1" applyAlignment="1">
      <alignment horizontal="center" vertical="center"/>
    </xf>
    <xf numFmtId="0" fontId="104" fillId="0" borderId="21" xfId="0" applyFont="1" applyFill="1" applyBorder="1" applyAlignment="1">
      <alignment horizontal="center" vertical="center"/>
    </xf>
    <xf numFmtId="0" fontId="104" fillId="0" borderId="23" xfId="0" applyFont="1" applyFill="1" applyBorder="1" applyAlignment="1">
      <alignment horizontal="center" vertical="center"/>
    </xf>
    <xf numFmtId="0" fontId="73" fillId="29" borderId="13" xfId="0" applyFont="1" applyFill="1" applyBorder="1" applyAlignment="1">
      <alignment horizontal="center" vertical="center"/>
    </xf>
    <xf numFmtId="0" fontId="73" fillId="29" borderId="14" xfId="0" applyFont="1" applyFill="1" applyBorder="1" applyAlignment="1">
      <alignment horizontal="center" vertical="center"/>
    </xf>
    <xf numFmtId="0" fontId="73" fillId="29" borderId="10" xfId="0" applyFont="1" applyFill="1" applyBorder="1" applyAlignment="1">
      <alignment horizontal="center" vertical="center"/>
    </xf>
    <xf numFmtId="0" fontId="128" fillId="23" borderId="18" xfId="0" applyFont="1" applyFill="1" applyBorder="1" applyAlignment="1">
      <alignment horizontal="center" vertical="center" wrapText="1"/>
    </xf>
    <xf numFmtId="3" fontId="128" fillId="23" borderId="19" xfId="0" applyNumberFormat="1" applyFont="1" applyFill="1" applyBorder="1" applyAlignment="1">
      <alignment horizontal="center" vertical="center" wrapText="1"/>
    </xf>
    <xf numFmtId="3" fontId="128" fillId="23" borderId="23" xfId="0" applyNumberFormat="1" applyFont="1" applyFill="1" applyBorder="1" applyAlignment="1">
      <alignment horizontal="center" vertical="center" wrapText="1"/>
    </xf>
    <xf numFmtId="3" fontId="128" fillId="23" borderId="10" xfId="0" applyNumberFormat="1" applyFont="1" applyFill="1" applyBorder="1" applyAlignment="1">
      <alignment horizontal="center" vertical="center" wrapText="1"/>
    </xf>
    <xf numFmtId="3" fontId="128" fillId="23" borderId="18" xfId="0" applyNumberFormat="1" applyFont="1" applyFill="1" applyBorder="1" applyAlignment="1">
      <alignment horizontal="center" vertical="center" wrapText="1"/>
    </xf>
    <xf numFmtId="0" fontId="129" fillId="0" borderId="19" xfId="0" applyFont="1" applyBorder="1" applyAlignment="1">
      <alignment horizontal="center" vertical="center"/>
    </xf>
    <xf numFmtId="0" fontId="129" fillId="0" borderId="21" xfId="0" applyFont="1" applyBorder="1" applyAlignment="1">
      <alignment horizontal="center" vertical="center"/>
    </xf>
    <xf numFmtId="0" fontId="129" fillId="0" borderId="23" xfId="0" applyFont="1" applyBorder="1" applyAlignment="1">
      <alignment horizontal="center" vertical="center"/>
    </xf>
    <xf numFmtId="0" fontId="128" fillId="23" borderId="13" xfId="0" applyFont="1" applyFill="1" applyBorder="1" applyAlignment="1">
      <alignment horizontal="center" vertical="center" wrapText="1"/>
    </xf>
    <xf numFmtId="0" fontId="128" fillId="23" borderId="10" xfId="0" applyFont="1" applyFill="1" applyBorder="1" applyAlignment="1">
      <alignment horizontal="center" vertical="center" wrapText="1"/>
    </xf>
    <xf numFmtId="0" fontId="128" fillId="0" borderId="19" xfId="0" applyFont="1" applyBorder="1" applyAlignment="1">
      <alignment horizontal="center" vertical="center"/>
    </xf>
    <xf numFmtId="0" fontId="128" fillId="0" borderId="21" xfId="0" applyFont="1" applyBorder="1" applyAlignment="1">
      <alignment horizontal="center" vertical="center"/>
    </xf>
    <xf numFmtId="0" fontId="128" fillId="0" borderId="23" xfId="0" applyFont="1" applyBorder="1" applyAlignment="1">
      <alignment horizontal="center" vertical="center"/>
    </xf>
    <xf numFmtId="0" fontId="111" fillId="24" borderId="18" xfId="0" applyFont="1" applyFill="1" applyBorder="1" applyAlignment="1">
      <alignment horizontal="center" vertical="center" wrapText="1"/>
    </xf>
    <xf numFmtId="0" fontId="111" fillId="24" borderId="19" xfId="0" applyFont="1" applyFill="1" applyBorder="1" applyAlignment="1">
      <alignment horizontal="center" vertical="center" wrapText="1"/>
    </xf>
    <xf numFmtId="0" fontId="106" fillId="0" borderId="19" xfId="0" applyFont="1" applyFill="1" applyBorder="1" applyAlignment="1">
      <alignment horizontal="center" vertical="center"/>
    </xf>
    <xf numFmtId="0" fontId="106" fillId="0" borderId="21" xfId="0" applyFont="1" applyFill="1" applyBorder="1" applyAlignment="1">
      <alignment horizontal="center" vertical="center"/>
    </xf>
    <xf numFmtId="0" fontId="106" fillId="0" borderId="23" xfId="0" applyFont="1" applyFill="1" applyBorder="1" applyAlignment="1">
      <alignment horizontal="center" vertical="center"/>
    </xf>
    <xf numFmtId="0" fontId="76" fillId="24" borderId="13" xfId="0" applyFont="1" applyFill="1" applyBorder="1" applyAlignment="1">
      <alignment horizontal="center" vertical="center"/>
    </xf>
    <xf numFmtId="0" fontId="76" fillId="24" borderId="14" xfId="0" applyFont="1" applyFill="1" applyBorder="1" applyAlignment="1">
      <alignment horizontal="center" vertical="center"/>
    </xf>
    <xf numFmtId="0" fontId="81" fillId="0" borderId="0" xfId="0" applyFont="1" applyAlignment="1">
      <alignment horizontal="left" vertical="center"/>
    </xf>
    <xf numFmtId="1" fontId="73" fillId="24" borderId="18" xfId="50" applyNumberFormat="1" applyFont="1" applyFill="1" applyBorder="1" applyAlignment="1">
      <alignment horizontal="center" vertical="center" wrapText="1"/>
    </xf>
    <xf numFmtId="0" fontId="83" fillId="0" borderId="0" xfId="0" applyFont="1" applyAlignment="1">
      <alignment horizontal="left" vertical="center"/>
    </xf>
    <xf numFmtId="0" fontId="73" fillId="24" borderId="18" xfId="0" applyFont="1" applyFill="1" applyBorder="1" applyAlignment="1">
      <alignment horizontal="center" vertical="center" wrapText="1"/>
    </xf>
    <xf numFmtId="1" fontId="73" fillId="24" borderId="19" xfId="50" applyNumberFormat="1" applyFont="1" applyFill="1" applyBorder="1" applyAlignment="1">
      <alignment horizontal="center" vertical="center" wrapText="1"/>
    </xf>
    <xf numFmtId="1" fontId="73" fillId="24" borderId="23" xfId="50" applyNumberFormat="1" applyFont="1" applyFill="1" applyBorder="1" applyAlignment="1">
      <alignment horizontal="center" vertical="center" wrapText="1"/>
    </xf>
    <xf numFmtId="0" fontId="73" fillId="0" borderId="11" xfId="0" applyFont="1" applyBorder="1" applyAlignment="1">
      <alignment horizontal="center" vertical="center"/>
    </xf>
    <xf numFmtId="0" fontId="73" fillId="0" borderId="12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73" fillId="0" borderId="0" xfId="0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/>
    </xf>
    <xf numFmtId="0" fontId="73" fillId="0" borderId="24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73" fillId="0" borderId="21" xfId="0" applyFont="1" applyBorder="1" applyAlignment="1">
      <alignment horizontal="center" vertical="center"/>
    </xf>
    <xf numFmtId="0" fontId="73" fillId="0" borderId="23" xfId="0" applyFont="1" applyBorder="1" applyAlignment="1">
      <alignment horizontal="center" vertical="center"/>
    </xf>
    <xf numFmtId="0" fontId="71" fillId="0" borderId="19" xfId="0" applyFont="1" applyBorder="1" applyAlignment="1">
      <alignment horizontal="center" vertical="center"/>
    </xf>
    <xf numFmtId="0" fontId="71" fillId="0" borderId="21" xfId="0" applyFont="1" applyBorder="1" applyAlignment="1">
      <alignment horizontal="center" vertical="center"/>
    </xf>
    <xf numFmtId="0" fontId="71" fillId="0" borderId="23" xfId="0" applyFont="1" applyBorder="1" applyAlignment="1">
      <alignment horizontal="center" vertical="center"/>
    </xf>
    <xf numFmtId="0" fontId="110" fillId="0" borderId="0" xfId="0" applyFont="1" applyAlignment="1">
      <alignment horizontal="center" vertical="center"/>
    </xf>
    <xf numFmtId="0" fontId="73" fillId="24" borderId="10" xfId="0" applyFont="1" applyFill="1" applyBorder="1" applyAlignment="1">
      <alignment horizontal="center" vertical="center" wrapText="1"/>
    </xf>
    <xf numFmtId="0" fontId="73" fillId="24" borderId="13" xfId="0" applyFont="1" applyFill="1" applyBorder="1" applyAlignment="1">
      <alignment horizontal="center" vertical="center" wrapText="1"/>
    </xf>
    <xf numFmtId="3" fontId="73" fillId="24" borderId="10" xfId="0" applyNumberFormat="1" applyFont="1" applyFill="1" applyBorder="1" applyAlignment="1">
      <alignment horizontal="center" vertical="center" wrapText="1"/>
    </xf>
    <xf numFmtId="3" fontId="73" fillId="24" borderId="18" xfId="0" applyNumberFormat="1" applyFont="1" applyFill="1" applyBorder="1" applyAlignment="1">
      <alignment horizontal="center" vertical="center" wrapText="1"/>
    </xf>
    <xf numFmtId="3" fontId="73" fillId="24" borderId="19" xfId="0" applyNumberFormat="1" applyFont="1" applyFill="1" applyBorder="1" applyAlignment="1">
      <alignment horizontal="center" vertical="center" wrapText="1"/>
    </xf>
    <xf numFmtId="3" fontId="73" fillId="24" borderId="23" xfId="0" applyNumberFormat="1" applyFont="1" applyFill="1" applyBorder="1" applyAlignment="1">
      <alignment horizontal="center" vertical="center" wrapText="1"/>
    </xf>
    <xf numFmtId="0" fontId="71" fillId="0" borderId="33" xfId="0" applyFont="1" applyBorder="1" applyAlignment="1">
      <alignment horizontal="center" vertical="center"/>
    </xf>
    <xf numFmtId="0" fontId="71" fillId="0" borderId="34" xfId="0" applyFont="1" applyBorder="1" applyAlignment="1">
      <alignment horizontal="center" vertical="center"/>
    </xf>
    <xf numFmtId="0" fontId="166" fillId="0" borderId="19" xfId="66" applyFont="1" applyBorder="1" applyAlignment="1">
      <alignment horizontal="center" vertical="center" textRotation="90"/>
    </xf>
    <xf numFmtId="0" fontId="168" fillId="0" borderId="176" xfId="66" applyFont="1" applyBorder="1" applyAlignment="1">
      <alignment horizontal="center" vertical="center" textRotation="90"/>
    </xf>
    <xf numFmtId="0" fontId="167" fillId="0" borderId="19" xfId="66" applyFont="1" applyBorder="1" applyAlignment="1">
      <alignment horizontal="center" vertical="center" textRotation="90"/>
    </xf>
    <xf numFmtId="0" fontId="169" fillId="0" borderId="19" xfId="66" applyFont="1" applyBorder="1" applyAlignment="1">
      <alignment horizontal="center" vertical="center" textRotation="90"/>
    </xf>
    <xf numFmtId="0" fontId="169" fillId="0" borderId="21" xfId="66" applyFont="1" applyBorder="1" applyAlignment="1">
      <alignment horizontal="center" vertical="center" textRotation="90"/>
    </xf>
    <xf numFmtId="0" fontId="169" fillId="0" borderId="20" xfId="66" applyFont="1" applyBorder="1" applyAlignment="1">
      <alignment horizontal="center" vertical="center" textRotation="90"/>
    </xf>
    <xf numFmtId="0" fontId="72" fillId="0" borderId="0" xfId="66" applyFont="1" applyAlignment="1">
      <alignment horizontal="center" vertical="center"/>
    </xf>
    <xf numFmtId="0" fontId="128" fillId="0" borderId="19" xfId="66" applyFont="1" applyFill="1" applyBorder="1" applyAlignment="1">
      <alignment horizontal="center" vertical="center" wrapText="1"/>
    </xf>
    <xf numFmtId="0" fontId="128" fillId="0" borderId="21" xfId="66" applyFont="1" applyFill="1" applyBorder="1" applyAlignment="1">
      <alignment horizontal="center" vertical="center" wrapText="1"/>
    </xf>
    <xf numFmtId="0" fontId="128" fillId="0" borderId="23" xfId="66" applyFont="1" applyFill="1" applyBorder="1" applyAlignment="1">
      <alignment horizontal="center" vertical="center" wrapText="1"/>
    </xf>
    <xf numFmtId="0" fontId="128" fillId="23" borderId="10" xfId="374" applyFont="1" applyFill="1" applyBorder="1" applyAlignment="1">
      <alignment horizontal="center" vertical="center"/>
    </xf>
    <xf numFmtId="0" fontId="168" fillId="0" borderId="19" xfId="374" applyFont="1" applyBorder="1" applyAlignment="1">
      <alignment horizontal="center" vertical="center" textRotation="90"/>
    </xf>
    <xf numFmtId="0" fontId="168" fillId="0" borderId="21" xfId="374" applyFont="1" applyBorder="1" applyAlignment="1">
      <alignment horizontal="center" vertical="center" textRotation="90"/>
    </xf>
    <xf numFmtId="0" fontId="168" fillId="0" borderId="20" xfId="374" applyFont="1" applyBorder="1" applyAlignment="1">
      <alignment horizontal="center" vertical="center" textRotation="90"/>
    </xf>
    <xf numFmtId="0" fontId="168" fillId="0" borderId="19" xfId="374" applyFont="1" applyFill="1" applyBorder="1" applyAlignment="1">
      <alignment horizontal="center" vertical="center"/>
    </xf>
    <xf numFmtId="0" fontId="168" fillId="0" borderId="21" xfId="374" applyFont="1" applyFill="1" applyBorder="1" applyAlignment="1">
      <alignment horizontal="center" vertical="center"/>
    </xf>
    <xf numFmtId="0" fontId="168" fillId="0" borderId="23" xfId="374" applyFont="1" applyFill="1" applyBorder="1" applyAlignment="1">
      <alignment horizontal="center" vertical="center"/>
    </xf>
    <xf numFmtId="0" fontId="169" fillId="0" borderId="19" xfId="374" applyFont="1" applyBorder="1" applyAlignment="1">
      <alignment horizontal="center" vertical="center" textRotation="90"/>
    </xf>
    <xf numFmtId="0" fontId="169" fillId="0" borderId="21" xfId="374" applyFont="1" applyBorder="1" applyAlignment="1">
      <alignment horizontal="center" vertical="center" textRotation="90"/>
    </xf>
    <xf numFmtId="0" fontId="169" fillId="0" borderId="20" xfId="374" applyFont="1" applyBorder="1" applyAlignment="1">
      <alignment horizontal="center" vertical="center" textRotation="90"/>
    </xf>
    <xf numFmtId="0" fontId="169" fillId="0" borderId="17" xfId="374" applyFont="1" applyBorder="1" applyAlignment="1">
      <alignment horizontal="center" vertical="center"/>
    </xf>
    <xf numFmtId="0" fontId="169" fillId="0" borderId="22" xfId="374" applyFont="1" applyBorder="1" applyAlignment="1">
      <alignment horizontal="center" vertical="center"/>
    </xf>
    <xf numFmtId="0" fontId="169" fillId="0" borderId="15" xfId="374" applyFont="1" applyBorder="1" applyAlignment="1">
      <alignment horizontal="center" vertical="center"/>
    </xf>
    <xf numFmtId="0" fontId="129" fillId="0" borderId="19" xfId="374" applyFont="1" applyBorder="1" applyAlignment="1">
      <alignment horizontal="center" vertical="center"/>
    </xf>
    <xf numFmtId="0" fontId="129" fillId="0" borderId="21" xfId="374" applyFont="1" applyBorder="1" applyAlignment="1">
      <alignment horizontal="center" vertical="center"/>
    </xf>
    <xf numFmtId="0" fontId="129" fillId="0" borderId="23" xfId="374" applyFont="1" applyBorder="1" applyAlignment="1">
      <alignment horizontal="center" vertical="center"/>
    </xf>
    <xf numFmtId="0" fontId="129" fillId="0" borderId="218" xfId="374" applyFont="1" applyBorder="1" applyAlignment="1">
      <alignment horizontal="center" vertical="center"/>
    </xf>
    <xf numFmtId="0" fontId="167" fillId="0" borderId="19" xfId="374" applyFont="1" applyFill="1" applyBorder="1" applyAlignment="1">
      <alignment horizontal="center" vertical="center" textRotation="90"/>
    </xf>
    <xf numFmtId="0" fontId="167" fillId="0" borderId="21" xfId="374" applyFont="1" applyFill="1" applyBorder="1" applyAlignment="1">
      <alignment horizontal="center" vertical="center" textRotation="90"/>
    </xf>
    <xf numFmtId="0" fontId="167" fillId="0" borderId="20" xfId="374" applyFont="1" applyFill="1" applyBorder="1" applyAlignment="1">
      <alignment horizontal="center" vertical="center" textRotation="90"/>
    </xf>
    <xf numFmtId="0" fontId="167" fillId="0" borderId="19" xfId="374" applyFont="1" applyFill="1" applyBorder="1" applyAlignment="1">
      <alignment horizontal="center" vertical="center"/>
    </xf>
    <xf numFmtId="0" fontId="167" fillId="0" borderId="21" xfId="374" applyFont="1" applyFill="1" applyBorder="1" applyAlignment="1">
      <alignment horizontal="center" vertical="center"/>
    </xf>
    <xf numFmtId="0" fontId="167" fillId="0" borderId="23" xfId="374" applyFont="1" applyFill="1" applyBorder="1" applyAlignment="1">
      <alignment horizontal="center" vertical="center"/>
    </xf>
    <xf numFmtId="0" fontId="167" fillId="0" borderId="18" xfId="374" applyFont="1" applyFill="1" applyBorder="1" applyAlignment="1">
      <alignment horizontal="center" vertical="center"/>
    </xf>
    <xf numFmtId="0" fontId="167" fillId="0" borderId="182" xfId="374" applyFont="1" applyFill="1" applyBorder="1" applyAlignment="1">
      <alignment horizontal="center" vertical="center"/>
    </xf>
    <xf numFmtId="0" fontId="129" fillId="0" borderId="185" xfId="374" applyFont="1" applyFill="1" applyBorder="1" applyAlignment="1">
      <alignment horizontal="center" vertical="center"/>
    </xf>
    <xf numFmtId="0" fontId="129" fillId="0" borderId="21" xfId="374" applyFont="1" applyFill="1" applyBorder="1" applyAlignment="1">
      <alignment horizontal="center" vertical="center"/>
    </xf>
    <xf numFmtId="0" fontId="166" fillId="0" borderId="19" xfId="374" applyFont="1" applyBorder="1" applyAlignment="1">
      <alignment horizontal="center" vertical="center" textRotation="90"/>
    </xf>
    <xf numFmtId="0" fontId="166" fillId="0" borderId="21" xfId="374" applyFont="1" applyBorder="1" applyAlignment="1">
      <alignment horizontal="center" vertical="center" textRotation="90"/>
    </xf>
    <xf numFmtId="0" fontId="166" fillId="0" borderId="20" xfId="374" applyFont="1" applyBorder="1" applyAlignment="1">
      <alignment horizontal="center" vertical="center" textRotation="90"/>
    </xf>
    <xf numFmtId="0" fontId="166" fillId="0" borderId="19" xfId="374" applyFont="1" applyFill="1" applyBorder="1" applyAlignment="1">
      <alignment horizontal="center" vertical="center"/>
    </xf>
    <xf numFmtId="0" fontId="166" fillId="0" borderId="21" xfId="374" applyFont="1" applyFill="1" applyBorder="1" applyAlignment="1">
      <alignment horizontal="center" vertical="center"/>
    </xf>
    <xf numFmtId="0" fontId="166" fillId="0" borderId="23" xfId="374" applyFont="1" applyFill="1" applyBorder="1" applyAlignment="1">
      <alignment horizontal="center" vertical="center"/>
    </xf>
    <xf numFmtId="0" fontId="129" fillId="0" borderId="19" xfId="374" applyFont="1" applyFill="1" applyBorder="1" applyAlignment="1">
      <alignment horizontal="center" vertical="center"/>
    </xf>
    <xf numFmtId="0" fontId="129" fillId="0" borderId="23" xfId="374" applyFont="1" applyFill="1" applyBorder="1" applyAlignment="1">
      <alignment horizontal="center" vertical="center"/>
    </xf>
    <xf numFmtId="0" fontId="76" fillId="0" borderId="0" xfId="374" applyFont="1" applyAlignment="1">
      <alignment horizontal="left" vertical="center" wrapText="1"/>
    </xf>
    <xf numFmtId="1" fontId="128" fillId="23" borderId="19" xfId="462" applyNumberFormat="1" applyFont="1" applyFill="1" applyBorder="1" applyAlignment="1">
      <alignment horizontal="center" vertical="center" wrapText="1"/>
    </xf>
    <xf numFmtId="0" fontId="129" fillId="0" borderId="218" xfId="374" applyFont="1" applyFill="1" applyBorder="1" applyAlignment="1">
      <alignment horizontal="center" vertical="center"/>
    </xf>
    <xf numFmtId="0" fontId="129" fillId="0" borderId="18" xfId="374" applyFont="1" applyFill="1" applyBorder="1" applyAlignment="1">
      <alignment horizontal="center" vertical="center"/>
    </xf>
    <xf numFmtId="0" fontId="129" fillId="0" borderId="253" xfId="374" applyFont="1" applyFill="1" applyBorder="1" applyAlignment="1">
      <alignment horizontal="center" vertical="center"/>
    </xf>
    <xf numFmtId="1" fontId="128" fillId="23" borderId="13" xfId="462" applyNumberFormat="1" applyFont="1" applyFill="1" applyBorder="1" applyAlignment="1">
      <alignment horizontal="center" vertical="center" wrapText="1"/>
    </xf>
    <xf numFmtId="0" fontId="187" fillId="0" borderId="185" xfId="0" applyFont="1" applyBorder="1" applyAlignment="1">
      <alignment horizontal="center" vertical="center" wrapText="1"/>
    </xf>
    <xf numFmtId="0" fontId="187" fillId="0" borderId="21" xfId="0" applyFont="1" applyBorder="1" applyAlignment="1">
      <alignment horizontal="center" vertical="center" wrapText="1"/>
    </xf>
    <xf numFmtId="0" fontId="187" fillId="0" borderId="23" xfId="0" applyFont="1" applyBorder="1" applyAlignment="1">
      <alignment horizontal="center" vertical="center" wrapText="1"/>
    </xf>
    <xf numFmtId="0" fontId="168" fillId="0" borderId="19" xfId="0" applyFont="1" applyBorder="1" applyAlignment="1">
      <alignment horizontal="center" vertical="center" textRotation="90"/>
    </xf>
    <xf numFmtId="0" fontId="168" fillId="0" borderId="21" xfId="0" applyFont="1" applyBorder="1" applyAlignment="1">
      <alignment horizontal="center" vertical="center" textRotation="90"/>
    </xf>
    <xf numFmtId="0" fontId="168" fillId="0" borderId="20" xfId="0" applyFont="1" applyBorder="1" applyAlignment="1">
      <alignment horizontal="center" vertical="center" textRotation="90"/>
    </xf>
    <xf numFmtId="0" fontId="168" fillId="0" borderId="21" xfId="0" applyFont="1" applyBorder="1" applyAlignment="1">
      <alignment horizontal="center" vertical="center" wrapText="1"/>
    </xf>
    <xf numFmtId="0" fontId="168" fillId="0" borderId="23" xfId="0" applyFont="1" applyBorder="1" applyAlignment="1">
      <alignment horizontal="center" vertical="center" wrapText="1"/>
    </xf>
    <xf numFmtId="0" fontId="168" fillId="0" borderId="19" xfId="0" applyFont="1" applyBorder="1" applyAlignment="1">
      <alignment horizontal="center" vertical="center" wrapText="1"/>
    </xf>
    <xf numFmtId="0" fontId="187" fillId="0" borderId="19" xfId="0" applyFont="1" applyBorder="1" applyAlignment="1">
      <alignment horizontal="center" vertical="center" wrapText="1"/>
    </xf>
    <xf numFmtId="0" fontId="187" fillId="0" borderId="33" xfId="0" applyFont="1" applyBorder="1" applyAlignment="1">
      <alignment horizontal="center" vertical="center" wrapText="1"/>
    </xf>
    <xf numFmtId="0" fontId="187" fillId="0" borderId="218" xfId="0" applyFont="1" applyBorder="1" applyAlignment="1">
      <alignment horizontal="center" vertical="center" wrapText="1"/>
    </xf>
    <xf numFmtId="0" fontId="128" fillId="23" borderId="14" xfId="0" applyFont="1" applyFill="1" applyBorder="1" applyAlignment="1">
      <alignment horizontal="center" vertical="center" wrapText="1"/>
    </xf>
    <xf numFmtId="0" fontId="169" fillId="0" borderId="19" xfId="0" applyFont="1" applyBorder="1" applyAlignment="1">
      <alignment horizontal="center" vertical="center" textRotation="90"/>
    </xf>
    <xf numFmtId="0" fontId="169" fillId="0" borderId="21" xfId="0" applyFont="1" applyBorder="1" applyAlignment="1">
      <alignment horizontal="center" vertical="center" textRotation="90"/>
    </xf>
    <xf numFmtId="0" fontId="169" fillId="0" borderId="20" xfId="0" applyFont="1" applyBorder="1" applyAlignment="1">
      <alignment horizontal="center" vertical="center" textRotation="90"/>
    </xf>
    <xf numFmtId="0" fontId="169" fillId="0" borderId="21" xfId="0" applyFont="1" applyBorder="1" applyAlignment="1">
      <alignment horizontal="center" vertical="center" wrapText="1"/>
    </xf>
    <xf numFmtId="0" fontId="169" fillId="0" borderId="23" xfId="0" applyFont="1" applyBorder="1" applyAlignment="1">
      <alignment horizontal="center" vertical="center" wrapText="1"/>
    </xf>
    <xf numFmtId="0" fontId="169" fillId="0" borderId="19" xfId="0" applyFont="1" applyBorder="1" applyAlignment="1">
      <alignment horizontal="center" vertical="center" wrapText="1"/>
    </xf>
    <xf numFmtId="0" fontId="167" fillId="0" borderId="19" xfId="0" applyFont="1" applyBorder="1" applyAlignment="1">
      <alignment horizontal="center" vertical="center" wrapText="1"/>
    </xf>
    <xf numFmtId="0" fontId="167" fillId="0" borderId="21" xfId="0" applyFont="1" applyBorder="1" applyAlignment="1">
      <alignment horizontal="center" vertical="center" wrapText="1"/>
    </xf>
    <xf numFmtId="0" fontId="167" fillId="0" borderId="23" xfId="0" applyFont="1" applyBorder="1" applyAlignment="1">
      <alignment horizontal="center" vertical="center" wrapText="1"/>
    </xf>
    <xf numFmtId="0" fontId="167" fillId="0" borderId="19" xfId="0" applyFont="1" applyBorder="1" applyAlignment="1">
      <alignment horizontal="center" vertical="center" textRotation="90"/>
    </xf>
    <xf numFmtId="0" fontId="167" fillId="0" borderId="21" xfId="0" applyFont="1" applyBorder="1" applyAlignment="1">
      <alignment horizontal="center" vertical="center" textRotation="90"/>
    </xf>
    <xf numFmtId="0" fontId="167" fillId="0" borderId="20" xfId="0" applyFont="1" applyBorder="1" applyAlignment="1">
      <alignment horizontal="center" vertical="center" textRotation="90"/>
    </xf>
    <xf numFmtId="0" fontId="187" fillId="0" borderId="19" xfId="0" applyFont="1" applyBorder="1" applyAlignment="1">
      <alignment horizontal="center" vertical="center"/>
    </xf>
    <xf numFmtId="0" fontId="187" fillId="0" borderId="21" xfId="0" applyFont="1" applyBorder="1" applyAlignment="1">
      <alignment horizontal="center" vertical="center"/>
    </xf>
    <xf numFmtId="0" fontId="187" fillId="0" borderId="23" xfId="0" applyFont="1" applyBorder="1" applyAlignment="1">
      <alignment horizontal="center" vertical="center"/>
    </xf>
    <xf numFmtId="0" fontId="187" fillId="0" borderId="17" xfId="0" applyFont="1" applyBorder="1" applyAlignment="1">
      <alignment horizontal="center" vertical="center" wrapText="1"/>
    </xf>
    <xf numFmtId="0" fontId="187" fillId="0" borderId="22" xfId="0" applyFont="1" applyBorder="1" applyAlignment="1">
      <alignment horizontal="center" vertical="center" wrapText="1"/>
    </xf>
    <xf numFmtId="0" fontId="166" fillId="0" borderId="19" xfId="0" applyFont="1" applyBorder="1" applyAlignment="1">
      <alignment horizontal="center" vertical="center" wrapText="1"/>
    </xf>
    <xf numFmtId="0" fontId="166" fillId="0" borderId="21" xfId="0" applyFont="1" applyBorder="1" applyAlignment="1">
      <alignment horizontal="center" vertical="center" wrapText="1"/>
    </xf>
    <xf numFmtId="0" fontId="166" fillId="0" borderId="23" xfId="0" applyFont="1" applyBorder="1" applyAlignment="1">
      <alignment horizontal="center" vertical="center" wrapText="1"/>
    </xf>
    <xf numFmtId="0" fontId="166" fillId="0" borderId="19" xfId="0" applyFont="1" applyBorder="1" applyAlignment="1">
      <alignment horizontal="center" vertical="center" textRotation="90"/>
    </xf>
    <xf numFmtId="0" fontId="166" fillId="0" borderId="21" xfId="0" applyFont="1" applyBorder="1" applyAlignment="1">
      <alignment horizontal="center" vertical="center" textRotation="90"/>
    </xf>
    <xf numFmtId="0" fontId="166" fillId="0" borderId="20" xfId="0" applyFont="1" applyBorder="1" applyAlignment="1">
      <alignment horizontal="center" vertical="center" textRotation="90"/>
    </xf>
    <xf numFmtId="0" fontId="187" fillId="0" borderId="253" xfId="0" applyFont="1" applyBorder="1" applyAlignment="1">
      <alignment horizontal="center" vertical="center" wrapText="1"/>
    </xf>
    <xf numFmtId="0" fontId="128" fillId="0" borderId="18" xfId="66" applyFont="1" applyBorder="1" applyAlignment="1">
      <alignment horizontal="center" vertical="center"/>
    </xf>
    <xf numFmtId="0" fontId="128" fillId="0" borderId="19" xfId="66" applyFont="1" applyBorder="1" applyAlignment="1">
      <alignment horizontal="center" vertical="center"/>
    </xf>
    <xf numFmtId="0" fontId="146" fillId="23" borderId="18" xfId="0" applyFont="1" applyFill="1" applyBorder="1" applyAlignment="1">
      <alignment horizontal="center" vertical="center" wrapText="1"/>
    </xf>
    <xf numFmtId="0" fontId="144" fillId="0" borderId="0" xfId="66" applyFont="1" applyAlignment="1">
      <alignment horizontal="left" vertical="center"/>
    </xf>
    <xf numFmtId="0" fontId="146" fillId="0" borderId="19" xfId="0" applyFont="1" applyFill="1" applyBorder="1" applyAlignment="1">
      <alignment horizontal="center" vertical="center" wrapText="1" readingOrder="1"/>
    </xf>
    <xf numFmtId="0" fontId="146" fillId="0" borderId="21" xfId="0" applyFont="1" applyFill="1" applyBorder="1" applyAlignment="1">
      <alignment horizontal="center" vertical="center" wrapText="1" readingOrder="1"/>
    </xf>
    <xf numFmtId="0" fontId="146" fillId="0" borderId="23" xfId="0" applyFont="1" applyFill="1" applyBorder="1" applyAlignment="1">
      <alignment horizontal="center" vertical="center" wrapText="1" readingOrder="1"/>
    </xf>
    <xf numFmtId="0" fontId="175" fillId="0" borderId="19" xfId="0" applyFont="1" applyFill="1" applyBorder="1" applyAlignment="1">
      <alignment horizontal="center" vertical="center" wrapText="1" readingOrder="1"/>
    </xf>
    <xf numFmtId="0" fontId="175" fillId="0" borderId="21" xfId="0" applyFont="1" applyFill="1" applyBorder="1" applyAlignment="1">
      <alignment horizontal="center" vertical="center" wrapText="1" readingOrder="1"/>
    </xf>
    <xf numFmtId="0" fontId="175" fillId="0" borderId="23" xfId="0" applyFont="1" applyFill="1" applyBorder="1" applyAlignment="1">
      <alignment horizontal="center" vertical="center" wrapText="1" readingOrder="1"/>
    </xf>
    <xf numFmtId="0" fontId="179" fillId="0" borderId="19" xfId="0" applyFont="1" applyFill="1" applyBorder="1" applyAlignment="1">
      <alignment horizontal="center" vertical="center" wrapText="1" readingOrder="1"/>
    </xf>
    <xf numFmtId="0" fontId="179" fillId="0" borderId="21" xfId="0" applyFont="1" applyFill="1" applyBorder="1" applyAlignment="1">
      <alignment horizontal="center" vertical="center" wrapText="1" readingOrder="1"/>
    </xf>
    <xf numFmtId="0" fontId="179" fillId="0" borderId="23" xfId="0" applyFont="1" applyFill="1" applyBorder="1" applyAlignment="1">
      <alignment horizontal="center" vertical="center" wrapText="1" readingOrder="1"/>
    </xf>
    <xf numFmtId="0" fontId="138" fillId="0" borderId="19" xfId="0" applyFont="1" applyFill="1" applyBorder="1" applyAlignment="1">
      <alignment horizontal="center" vertical="center" wrapText="1" readingOrder="1"/>
    </xf>
    <xf numFmtId="0" fontId="138" fillId="0" borderId="21" xfId="0" applyFont="1" applyFill="1" applyBorder="1" applyAlignment="1">
      <alignment horizontal="center" vertical="center" wrapText="1" readingOrder="1"/>
    </xf>
    <xf numFmtId="0" fontId="138" fillId="0" borderId="23" xfId="0" applyFont="1" applyFill="1" applyBorder="1" applyAlignment="1">
      <alignment horizontal="center" vertical="center" wrapText="1" readingOrder="1"/>
    </xf>
    <xf numFmtId="0" fontId="176" fillId="0" borderId="19" xfId="0" applyFont="1" applyFill="1" applyBorder="1" applyAlignment="1">
      <alignment horizontal="center" vertical="center" wrapText="1" readingOrder="1"/>
    </xf>
    <xf numFmtId="0" fontId="176" fillId="0" borderId="21" xfId="0" applyFont="1" applyFill="1" applyBorder="1" applyAlignment="1">
      <alignment horizontal="center" vertical="center" wrapText="1" readingOrder="1"/>
    </xf>
    <xf numFmtId="0" fontId="176" fillId="0" borderId="23" xfId="0" applyFont="1" applyFill="1" applyBorder="1" applyAlignment="1">
      <alignment horizontal="center" vertical="center" wrapText="1" readingOrder="1"/>
    </xf>
    <xf numFmtId="0" fontId="128" fillId="23" borderId="182" xfId="826" applyFont="1" applyFill="1" applyBorder="1" applyAlignment="1">
      <alignment horizontal="center" vertical="center"/>
    </xf>
    <xf numFmtId="0" fontId="168" fillId="0" borderId="218" xfId="826" applyFont="1" applyFill="1" applyBorder="1" applyAlignment="1">
      <alignment horizontal="center" vertical="center" wrapText="1"/>
    </xf>
    <xf numFmtId="0" fontId="168" fillId="0" borderId="21" xfId="826" applyFont="1" applyFill="1" applyBorder="1" applyAlignment="1">
      <alignment horizontal="center" vertical="center" wrapText="1"/>
    </xf>
    <xf numFmtId="0" fontId="168" fillId="0" borderId="23" xfId="826" applyFont="1" applyFill="1" applyBorder="1" applyAlignment="1">
      <alignment horizontal="center" vertical="center" wrapText="1"/>
    </xf>
    <xf numFmtId="0" fontId="129" fillId="44" borderId="182" xfId="826" applyFont="1" applyFill="1" applyBorder="1" applyAlignment="1">
      <alignment horizontal="center" vertical="center" wrapText="1"/>
    </xf>
    <xf numFmtId="0" fontId="168" fillId="0" borderId="182" xfId="826" applyFont="1" applyFill="1" applyBorder="1" applyAlignment="1">
      <alignment horizontal="center" vertical="center" wrapText="1"/>
    </xf>
    <xf numFmtId="0" fontId="144" fillId="0" borderId="237" xfId="826" applyFont="1" applyBorder="1" applyAlignment="1">
      <alignment horizontal="right" vertical="center" wrapText="1"/>
    </xf>
    <xf numFmtId="0" fontId="144" fillId="0" borderId="0" xfId="826" applyFont="1" applyBorder="1" applyAlignment="1">
      <alignment horizontal="right" vertical="center" wrapText="1"/>
    </xf>
    <xf numFmtId="0" fontId="293" fillId="36" borderId="196" xfId="826" applyFont="1" applyFill="1" applyBorder="1" applyAlignment="1">
      <alignment horizontal="right" vertical="center"/>
    </xf>
    <xf numFmtId="0" fontId="293" fillId="36" borderId="197" xfId="826" applyFont="1" applyFill="1" applyBorder="1" applyAlignment="1">
      <alignment horizontal="right" vertical="center"/>
    </xf>
    <xf numFmtId="0" fontId="293" fillId="39" borderId="196" xfId="826" applyFont="1" applyFill="1" applyBorder="1" applyAlignment="1">
      <alignment horizontal="right" vertical="center"/>
    </xf>
    <xf numFmtId="0" fontId="293" fillId="39" borderId="197" xfId="826" applyFont="1" applyFill="1" applyBorder="1" applyAlignment="1">
      <alignment horizontal="right" vertical="center"/>
    </xf>
    <xf numFmtId="0" fontId="129" fillId="0" borderId="218" xfId="826" applyFont="1" applyFill="1" applyBorder="1" applyAlignment="1">
      <alignment horizontal="center" vertical="center" wrapText="1"/>
    </xf>
    <xf numFmtId="0" fontId="129" fillId="0" borderId="21" xfId="826" applyFont="1" applyFill="1" applyBorder="1" applyAlignment="1">
      <alignment horizontal="center" vertical="center" wrapText="1"/>
    </xf>
    <xf numFmtId="0" fontId="129" fillId="0" borderId="23" xfId="826" applyFont="1" applyFill="1" applyBorder="1" applyAlignment="1">
      <alignment horizontal="center" vertical="center" wrapText="1"/>
    </xf>
    <xf numFmtId="0" fontId="169" fillId="0" borderId="218" xfId="826" applyFont="1" applyFill="1" applyBorder="1" applyAlignment="1">
      <alignment horizontal="center" vertical="center" wrapText="1"/>
    </xf>
    <xf numFmtId="0" fontId="169" fillId="0" borderId="21" xfId="826" applyFont="1" applyFill="1" applyBorder="1" applyAlignment="1">
      <alignment horizontal="center" vertical="center" wrapText="1"/>
    </xf>
    <xf numFmtId="0" fontId="169" fillId="0" borderId="23" xfId="826" applyFont="1" applyFill="1" applyBorder="1" applyAlignment="1">
      <alignment horizontal="center" vertical="center" wrapText="1"/>
    </xf>
    <xf numFmtId="0" fontId="129" fillId="41" borderId="182" xfId="826" applyFont="1" applyFill="1" applyBorder="1" applyAlignment="1">
      <alignment horizontal="center" vertical="center" wrapText="1"/>
    </xf>
    <xf numFmtId="0" fontId="169" fillId="0" borderId="182" xfId="826" applyFont="1" applyFill="1" applyBorder="1" applyAlignment="1">
      <alignment horizontal="center" vertical="center" wrapText="1"/>
    </xf>
    <xf numFmtId="15" fontId="128" fillId="23" borderId="218" xfId="826" applyNumberFormat="1" applyFont="1" applyFill="1" applyBorder="1" applyAlignment="1">
      <alignment horizontal="center" vertical="center"/>
    </xf>
    <xf numFmtId="15" fontId="128" fillId="23" borderId="23" xfId="826" applyNumberFormat="1" applyFont="1" applyFill="1" applyBorder="1" applyAlignment="1">
      <alignment horizontal="center" vertical="center"/>
    </xf>
    <xf numFmtId="0" fontId="293" fillId="40" borderId="184" xfId="826" applyFont="1" applyFill="1" applyBorder="1" applyAlignment="1">
      <alignment horizontal="right" vertical="center"/>
    </xf>
    <xf numFmtId="0" fontId="293" fillId="40" borderId="196" xfId="826" applyFont="1" applyFill="1" applyBorder="1" applyAlignment="1">
      <alignment horizontal="right" vertical="center"/>
    </xf>
    <xf numFmtId="0" fontId="293" fillId="40" borderId="197" xfId="826" applyFont="1" applyFill="1" applyBorder="1" applyAlignment="1">
      <alignment horizontal="right" vertical="center"/>
    </xf>
    <xf numFmtId="0" fontId="166" fillId="0" borderId="218" xfId="826" applyFont="1" applyFill="1" applyBorder="1" applyAlignment="1">
      <alignment horizontal="center" vertical="center" wrapText="1"/>
    </xf>
    <xf numFmtId="0" fontId="166" fillId="0" borderId="21" xfId="826" applyFont="1" applyFill="1" applyBorder="1" applyAlignment="1">
      <alignment horizontal="center" vertical="center" wrapText="1"/>
    </xf>
    <xf numFmtId="0" fontId="166" fillId="0" borderId="23" xfId="826" applyFont="1" applyFill="1" applyBorder="1" applyAlignment="1">
      <alignment horizontal="center" vertical="center" wrapText="1"/>
    </xf>
    <xf numFmtId="0" fontId="133" fillId="0" borderId="0" xfId="827" applyFont="1" applyAlignment="1">
      <alignment horizontal="center"/>
    </xf>
    <xf numFmtId="15" fontId="128" fillId="23" borderId="182" xfId="826" applyNumberFormat="1" applyFont="1" applyFill="1" applyBorder="1" applyAlignment="1">
      <alignment horizontal="center" vertical="center"/>
    </xf>
    <xf numFmtId="0" fontId="167" fillId="0" borderId="182" xfId="826" applyFont="1" applyFill="1" applyBorder="1" applyAlignment="1">
      <alignment horizontal="center" vertical="center" wrapText="1"/>
    </xf>
    <xf numFmtId="0" fontId="293" fillId="34" borderId="196" xfId="826" applyFont="1" applyFill="1" applyBorder="1" applyAlignment="1">
      <alignment horizontal="right" vertical="center"/>
    </xf>
    <xf numFmtId="0" fontId="293" fillId="34" borderId="197" xfId="826" applyFont="1" applyFill="1" applyBorder="1" applyAlignment="1">
      <alignment horizontal="right" vertical="center"/>
    </xf>
    <xf numFmtId="0" fontId="129" fillId="0" borderId="44" xfId="826" applyFont="1" applyFill="1" applyBorder="1" applyAlignment="1">
      <alignment horizontal="left" vertical="center" indent="1"/>
    </xf>
    <xf numFmtId="0" fontId="129" fillId="0" borderId="43" xfId="826" applyFont="1" applyFill="1" applyBorder="1" applyAlignment="1">
      <alignment horizontal="left" vertical="center" indent="1"/>
    </xf>
    <xf numFmtId="0" fontId="129" fillId="0" borderId="21" xfId="826" applyFont="1" applyFill="1" applyBorder="1" applyAlignment="1">
      <alignment horizontal="left" vertical="center" indent="1"/>
    </xf>
    <xf numFmtId="0" fontId="129" fillId="0" borderId="33" xfId="826" applyFont="1" applyFill="1" applyBorder="1" applyAlignment="1">
      <alignment horizontal="left" vertical="center" indent="1"/>
    </xf>
    <xf numFmtId="0" fontId="129" fillId="42" borderId="182" xfId="826" applyFont="1" applyFill="1" applyBorder="1" applyAlignment="1">
      <alignment horizontal="center" vertical="center" wrapText="1"/>
    </xf>
    <xf numFmtId="0" fontId="293" fillId="35" borderId="196" xfId="826" applyFont="1" applyFill="1" applyBorder="1" applyAlignment="1">
      <alignment horizontal="right" vertical="center"/>
    </xf>
    <xf numFmtId="0" fontId="293" fillId="35" borderId="197" xfId="826" applyFont="1" applyFill="1" applyBorder="1" applyAlignment="1">
      <alignment horizontal="right" vertical="center"/>
    </xf>
    <xf numFmtId="17" fontId="8" fillId="23" borderId="184" xfId="76" applyNumberFormat="1" applyFont="1" applyFill="1" applyBorder="1" applyAlignment="1">
      <alignment horizontal="center"/>
    </xf>
    <xf numFmtId="17" fontId="8" fillId="23" borderId="197" xfId="76" applyNumberFormat="1" applyFont="1" applyFill="1" applyBorder="1" applyAlignment="1">
      <alignment horizontal="center"/>
    </xf>
    <xf numFmtId="0" fontId="132" fillId="0" borderId="0" xfId="76" applyFont="1" applyAlignment="1">
      <alignment horizontal="right"/>
    </xf>
    <xf numFmtId="0" fontId="175" fillId="0" borderId="218" xfId="76" applyFont="1" applyBorder="1" applyAlignment="1">
      <alignment horizontal="center" vertical="center"/>
    </xf>
    <xf numFmtId="0" fontId="255" fillId="0" borderId="218" xfId="76" applyFont="1" applyBorder="1" applyAlignment="1">
      <alignment horizontal="center" vertical="center"/>
    </xf>
    <xf numFmtId="0" fontId="255" fillId="0" borderId="21" xfId="76" applyFont="1" applyBorder="1" applyAlignment="1">
      <alignment horizontal="center" vertical="center"/>
    </xf>
    <xf numFmtId="0" fontId="255" fillId="0" borderId="23" xfId="76" applyFont="1" applyBorder="1" applyAlignment="1">
      <alignment horizontal="center" vertical="center"/>
    </xf>
    <xf numFmtId="0" fontId="179" fillId="0" borderId="218" xfId="76" applyFont="1" applyBorder="1" applyAlignment="1">
      <alignment horizontal="center" vertical="center"/>
    </xf>
    <xf numFmtId="0" fontId="177" fillId="0" borderId="218" xfId="76" applyFont="1" applyBorder="1" applyAlignment="1">
      <alignment horizontal="center" vertical="center"/>
    </xf>
    <xf numFmtId="0" fontId="256" fillId="0" borderId="218" xfId="76" applyFont="1" applyBorder="1" applyAlignment="1">
      <alignment horizontal="center" vertical="center"/>
    </xf>
    <xf numFmtId="0" fontId="256" fillId="0" borderId="21" xfId="76" applyFont="1" applyBorder="1" applyAlignment="1">
      <alignment horizontal="center" vertical="center"/>
    </xf>
    <xf numFmtId="0" fontId="256" fillId="0" borderId="23" xfId="76" applyFont="1" applyBorder="1" applyAlignment="1">
      <alignment horizontal="center" vertical="center"/>
    </xf>
    <xf numFmtId="3" fontId="150" fillId="0" borderId="182" xfId="76" applyNumberFormat="1" applyFont="1" applyFill="1" applyBorder="1" applyAlignment="1">
      <alignment horizontal="center"/>
    </xf>
    <xf numFmtId="0" fontId="150" fillId="0" borderId="184" xfId="76" applyFont="1" applyFill="1" applyBorder="1" applyAlignment="1">
      <alignment horizontal="center" vertical="center"/>
    </xf>
    <xf numFmtId="0" fontId="150" fillId="0" borderId="196" xfId="76" applyFont="1" applyFill="1" applyBorder="1" applyAlignment="1">
      <alignment horizontal="center" vertical="center"/>
    </xf>
    <xf numFmtId="0" fontId="150" fillId="0" borderId="237" xfId="76" applyFont="1" applyFill="1" applyBorder="1" applyAlignment="1">
      <alignment horizontal="center" vertical="center"/>
    </xf>
    <xf numFmtId="0" fontId="150" fillId="0" borderId="241" xfId="76" applyFont="1" applyFill="1" applyBorder="1" applyAlignment="1">
      <alignment horizontal="center" vertical="center"/>
    </xf>
    <xf numFmtId="0" fontId="150" fillId="0" borderId="240" xfId="76" applyFont="1" applyFill="1" applyBorder="1" applyAlignment="1">
      <alignment horizontal="center" vertical="center"/>
    </xf>
    <xf numFmtId="0" fontId="182" fillId="0" borderId="218" xfId="76" applyFont="1" applyBorder="1" applyAlignment="1">
      <alignment horizontal="center" vertical="center" wrapText="1"/>
    </xf>
    <xf numFmtId="0" fontId="182" fillId="0" borderId="23" xfId="76" applyFont="1" applyBorder="1" applyAlignment="1">
      <alignment horizontal="center" vertical="center" wrapText="1"/>
    </xf>
    <xf numFmtId="0" fontId="141" fillId="0" borderId="19" xfId="827" applyFont="1" applyBorder="1" applyAlignment="1">
      <alignment horizontal="center" vertical="center"/>
    </xf>
    <xf numFmtId="0" fontId="141" fillId="0" borderId="21" xfId="827" applyFont="1" applyBorder="1" applyAlignment="1">
      <alignment horizontal="center" vertical="center"/>
    </xf>
    <xf numFmtId="0" fontId="141" fillId="0" borderId="23" xfId="827" applyFont="1" applyBorder="1" applyAlignment="1">
      <alignment horizontal="center" vertical="center"/>
    </xf>
    <xf numFmtId="3" fontId="102" fillId="23" borderId="18" xfId="0" applyNumberFormat="1" applyFont="1" applyFill="1" applyBorder="1" applyAlignment="1">
      <alignment horizontal="center" vertical="center"/>
    </xf>
    <xf numFmtId="0" fontId="142" fillId="0" borderId="19" xfId="827" applyFont="1" applyBorder="1" applyAlignment="1">
      <alignment horizontal="center" vertical="center"/>
    </xf>
    <xf numFmtId="0" fontId="142" fillId="0" borderId="21" xfId="827" applyFont="1" applyBorder="1" applyAlignment="1">
      <alignment horizontal="center" vertical="center"/>
    </xf>
    <xf numFmtId="0" fontId="142" fillId="0" borderId="23" xfId="827" applyFont="1" applyBorder="1" applyAlignment="1">
      <alignment horizontal="center" vertical="center"/>
    </xf>
    <xf numFmtId="0" fontId="259" fillId="0" borderId="19" xfId="827" applyFont="1" applyBorder="1" applyAlignment="1">
      <alignment horizontal="center" vertical="center"/>
    </xf>
    <xf numFmtId="0" fontId="259" fillId="0" borderId="21" xfId="827" applyFont="1" applyBorder="1" applyAlignment="1">
      <alignment horizontal="center" vertical="center"/>
    </xf>
    <xf numFmtId="0" fontId="259" fillId="0" borderId="23" xfId="827" applyFont="1" applyBorder="1" applyAlignment="1">
      <alignment horizontal="center" vertical="center"/>
    </xf>
    <xf numFmtId="3" fontId="102" fillId="0" borderId="18" xfId="827" applyNumberFormat="1" applyFont="1" applyFill="1" applyBorder="1" applyAlignment="1">
      <alignment horizontal="center"/>
    </xf>
    <xf numFmtId="0" fontId="132" fillId="0" borderId="0" xfId="827" applyFont="1" applyAlignment="1">
      <alignment horizontal="right"/>
    </xf>
    <xf numFmtId="0" fontId="132" fillId="0" borderId="17" xfId="827" applyFont="1" applyBorder="1" applyAlignment="1">
      <alignment horizontal="right"/>
    </xf>
    <xf numFmtId="0" fontId="102" fillId="23" borderId="18" xfId="0" applyFont="1" applyFill="1" applyBorder="1" applyAlignment="1">
      <alignment horizontal="center" vertical="center"/>
    </xf>
    <xf numFmtId="0" fontId="262" fillId="0" borderId="13" xfId="827" applyFont="1" applyFill="1" applyBorder="1" applyAlignment="1">
      <alignment horizontal="center" vertical="center"/>
    </xf>
    <xf numFmtId="0" fontId="262" fillId="0" borderId="14" xfId="827" applyFont="1" applyFill="1" applyBorder="1" applyAlignment="1">
      <alignment horizontal="center" vertical="center"/>
    </xf>
    <xf numFmtId="0" fontId="262" fillId="0" borderId="10" xfId="827" applyFont="1" applyFill="1" applyBorder="1" applyAlignment="1">
      <alignment horizontal="center" vertical="center"/>
    </xf>
    <xf numFmtId="0" fontId="262" fillId="0" borderId="13" xfId="0" applyFont="1" applyFill="1" applyBorder="1" applyAlignment="1">
      <alignment horizontal="center" vertical="center"/>
    </xf>
    <xf numFmtId="0" fontId="262" fillId="0" borderId="14" xfId="0" applyFont="1" applyFill="1" applyBorder="1" applyAlignment="1">
      <alignment horizontal="center" vertical="center"/>
    </xf>
    <xf numFmtId="0" fontId="262" fillId="0" borderId="10" xfId="0" applyFont="1" applyFill="1" applyBorder="1" applyAlignment="1">
      <alignment horizontal="center" vertical="center"/>
    </xf>
    <xf numFmtId="0" fontId="102" fillId="23" borderId="18" xfId="827" applyFont="1" applyFill="1" applyBorder="1" applyAlignment="1">
      <alignment horizontal="center" vertical="center"/>
    </xf>
    <xf numFmtId="0" fontId="140" fillId="0" borderId="19" xfId="827" applyFont="1" applyBorder="1" applyAlignment="1">
      <alignment horizontal="center" vertical="center"/>
    </xf>
    <xf numFmtId="0" fontId="140" fillId="0" borderId="21" xfId="827" applyFont="1" applyBorder="1" applyAlignment="1">
      <alignment horizontal="center" vertical="center"/>
    </xf>
    <xf numFmtId="0" fontId="140" fillId="0" borderId="23" xfId="827" applyFont="1" applyBorder="1" applyAlignment="1">
      <alignment horizontal="center" vertical="center"/>
    </xf>
    <xf numFmtId="0" fontId="132" fillId="0" borderId="0" xfId="827" applyFont="1" applyBorder="1" applyAlignment="1">
      <alignment horizontal="right"/>
    </xf>
    <xf numFmtId="17" fontId="32" fillId="23" borderId="13" xfId="827" applyNumberFormat="1" applyFont="1" applyFill="1" applyBorder="1" applyAlignment="1">
      <alignment horizontal="center"/>
    </xf>
    <xf numFmtId="17" fontId="32" fillId="23" borderId="10" xfId="827" applyNumberFormat="1" applyFont="1" applyFill="1" applyBorder="1" applyAlignment="1">
      <alignment horizontal="center"/>
    </xf>
    <xf numFmtId="0" fontId="150" fillId="23" borderId="18" xfId="827" applyFont="1" applyFill="1" applyBorder="1" applyAlignment="1">
      <alignment horizontal="center" vertical="center"/>
    </xf>
    <xf numFmtId="0" fontId="199" fillId="0" borderId="13" xfId="827" applyFont="1" applyFill="1" applyBorder="1" applyAlignment="1">
      <alignment horizontal="center" vertical="center"/>
    </xf>
    <xf numFmtId="0" fontId="199" fillId="0" borderId="14" xfId="827" applyFont="1" applyFill="1" applyBorder="1" applyAlignment="1">
      <alignment horizontal="center" vertical="center"/>
    </xf>
    <xf numFmtId="0" fontId="199" fillId="0" borderId="10" xfId="827" applyFont="1" applyFill="1" applyBorder="1" applyAlignment="1">
      <alignment horizontal="center" vertical="center"/>
    </xf>
    <xf numFmtId="0" fontId="139" fillId="0" borderId="19" xfId="827" applyFont="1" applyBorder="1" applyAlignment="1">
      <alignment horizontal="center" vertical="center"/>
    </xf>
    <xf numFmtId="0" fontId="139" fillId="0" borderId="21" xfId="827" applyFont="1" applyBorder="1" applyAlignment="1">
      <alignment horizontal="center" vertical="center"/>
    </xf>
    <xf numFmtId="0" fontId="139" fillId="0" borderId="23" xfId="827" applyFont="1" applyBorder="1" applyAlignment="1">
      <alignment horizontal="center" vertical="center"/>
    </xf>
    <xf numFmtId="0" fontId="255" fillId="0" borderId="19" xfId="827" applyFont="1" applyBorder="1" applyAlignment="1">
      <alignment horizontal="center" vertical="center"/>
    </xf>
    <xf numFmtId="0" fontId="255" fillId="0" borderId="21" xfId="827" applyFont="1" applyBorder="1" applyAlignment="1">
      <alignment horizontal="center" vertical="center"/>
    </xf>
    <xf numFmtId="0" fontId="255" fillId="0" borderId="23" xfId="827" applyFont="1" applyBorder="1" applyAlignment="1">
      <alignment horizontal="center" vertical="center"/>
    </xf>
    <xf numFmtId="0" fontId="198" fillId="0" borderId="19" xfId="827" applyFont="1" applyBorder="1" applyAlignment="1">
      <alignment horizontal="center" vertical="center"/>
    </xf>
    <xf numFmtId="0" fontId="198" fillId="0" borderId="21" xfId="827" applyFont="1" applyBorder="1" applyAlignment="1">
      <alignment horizontal="center" vertical="center"/>
    </xf>
    <xf numFmtId="0" fontId="198" fillId="0" borderId="23" xfId="827" applyFont="1" applyBorder="1" applyAlignment="1">
      <alignment horizontal="center" vertical="center"/>
    </xf>
    <xf numFmtId="0" fontId="138" fillId="0" borderId="19" xfId="827" applyFont="1" applyBorder="1" applyAlignment="1">
      <alignment horizontal="center" vertical="center"/>
    </xf>
    <xf numFmtId="0" fontId="138" fillId="0" borderId="21" xfId="827" applyFont="1" applyBorder="1" applyAlignment="1">
      <alignment horizontal="center" vertical="center"/>
    </xf>
    <xf numFmtId="0" fontId="138" fillId="0" borderId="23" xfId="827" applyFont="1" applyBorder="1" applyAlignment="1">
      <alignment horizontal="center" vertical="center"/>
    </xf>
    <xf numFmtId="0" fontId="256" fillId="0" borderId="19" xfId="827" applyFont="1" applyBorder="1" applyAlignment="1">
      <alignment horizontal="center" vertical="center"/>
    </xf>
    <xf numFmtId="0" fontId="256" fillId="0" borderId="21" xfId="827" applyFont="1" applyBorder="1" applyAlignment="1">
      <alignment horizontal="center" vertical="center"/>
    </xf>
    <xf numFmtId="0" fontId="256" fillId="0" borderId="23" xfId="827" applyFont="1" applyBorder="1" applyAlignment="1">
      <alignment horizontal="center" vertical="center"/>
    </xf>
    <xf numFmtId="3" fontId="150" fillId="0" borderId="18" xfId="827" applyNumberFormat="1" applyFont="1" applyFill="1" applyBorder="1" applyAlignment="1">
      <alignment horizontal="center"/>
    </xf>
    <xf numFmtId="0" fontId="177" fillId="0" borderId="19" xfId="827" applyFont="1" applyBorder="1" applyAlignment="1">
      <alignment horizontal="center" vertical="center"/>
    </xf>
    <xf numFmtId="0" fontId="177" fillId="0" borderId="21" xfId="827" applyFont="1" applyBorder="1" applyAlignment="1">
      <alignment horizontal="center" vertical="center"/>
    </xf>
    <xf numFmtId="0" fontId="177" fillId="0" borderId="23" xfId="827" applyFont="1" applyBorder="1" applyAlignment="1">
      <alignment horizontal="center" vertical="center"/>
    </xf>
    <xf numFmtId="0" fontId="175" fillId="0" borderId="19" xfId="827" applyFont="1" applyBorder="1" applyAlignment="1">
      <alignment horizontal="center" vertical="center"/>
    </xf>
    <xf numFmtId="0" fontId="175" fillId="0" borderId="21" xfId="827" applyFont="1" applyBorder="1" applyAlignment="1">
      <alignment horizontal="center" vertical="center"/>
    </xf>
    <xf numFmtId="0" fontId="175" fillId="0" borderId="23" xfId="827" applyFont="1" applyBorder="1" applyAlignment="1">
      <alignment horizontal="center" vertical="center"/>
    </xf>
    <xf numFmtId="0" fontId="179" fillId="0" borderId="19" xfId="827" applyFont="1" applyBorder="1" applyAlignment="1">
      <alignment horizontal="center" vertical="center"/>
    </xf>
    <xf numFmtId="0" fontId="179" fillId="0" borderId="21" xfId="827" applyFont="1" applyBorder="1" applyAlignment="1">
      <alignment horizontal="center" vertical="center"/>
    </xf>
    <xf numFmtId="0" fontId="179" fillId="0" borderId="23" xfId="827" applyFont="1" applyBorder="1" applyAlignment="1">
      <alignment horizontal="center" vertical="center"/>
    </xf>
    <xf numFmtId="0" fontId="160" fillId="0" borderId="0" xfId="827" applyFont="1" applyAlignment="1">
      <alignment horizontal="center"/>
    </xf>
    <xf numFmtId="0" fontId="175" fillId="0" borderId="179" xfId="76" applyFont="1" applyFill="1" applyBorder="1" applyAlignment="1">
      <alignment horizontal="center" vertical="center"/>
    </xf>
    <xf numFmtId="0" fontId="175" fillId="0" borderId="180" xfId="76" applyFont="1" applyFill="1" applyBorder="1" applyAlignment="1">
      <alignment horizontal="center" vertical="center"/>
    </xf>
    <xf numFmtId="0" fontId="175" fillId="0" borderId="181" xfId="76" applyFont="1" applyFill="1" applyBorder="1" applyAlignment="1">
      <alignment horizontal="center" vertical="center"/>
    </xf>
    <xf numFmtId="0" fontId="175" fillId="0" borderId="176" xfId="76" applyFont="1" applyBorder="1" applyAlignment="1">
      <alignment horizontal="center" vertical="center"/>
    </xf>
    <xf numFmtId="0" fontId="255" fillId="0" borderId="176" xfId="76" applyFont="1" applyBorder="1" applyAlignment="1">
      <alignment horizontal="center" vertical="center"/>
    </xf>
    <xf numFmtId="0" fontId="150" fillId="23" borderId="218" xfId="76" applyFont="1" applyFill="1" applyBorder="1" applyAlignment="1">
      <alignment horizontal="center" vertical="center"/>
    </xf>
    <xf numFmtId="0" fontId="228" fillId="0" borderId="234" xfId="76" applyFont="1" applyFill="1" applyBorder="1" applyAlignment="1">
      <alignment horizontal="center" vertical="center"/>
    </xf>
    <xf numFmtId="0" fontId="228" fillId="0" borderId="237" xfId="76" applyFont="1" applyFill="1" applyBorder="1" applyAlignment="1">
      <alignment horizontal="center" vertical="center"/>
    </xf>
    <xf numFmtId="0" fontId="228" fillId="0" borderId="235" xfId="76" applyFont="1" applyFill="1" applyBorder="1" applyAlignment="1">
      <alignment horizontal="center" vertical="center"/>
    </xf>
    <xf numFmtId="0" fontId="132" fillId="0" borderId="0" xfId="76" applyFont="1" applyBorder="1" applyAlignment="1">
      <alignment horizontal="right"/>
    </xf>
    <xf numFmtId="0" fontId="179" fillId="0" borderId="176" xfId="76" applyFont="1" applyBorder="1" applyAlignment="1">
      <alignment horizontal="center" vertical="center"/>
    </xf>
    <xf numFmtId="0" fontId="177" fillId="0" borderId="176" xfId="76" applyFont="1" applyBorder="1" applyAlignment="1">
      <alignment horizontal="center" vertical="center"/>
    </xf>
    <xf numFmtId="0" fontId="256" fillId="0" borderId="176" xfId="76" applyFont="1" applyBorder="1" applyAlignment="1">
      <alignment horizontal="center" vertical="center"/>
    </xf>
    <xf numFmtId="17" fontId="23" fillId="23" borderId="179" xfId="76" applyNumberFormat="1" applyFont="1" applyFill="1" applyBorder="1" applyAlignment="1">
      <alignment horizontal="center"/>
    </xf>
    <xf numFmtId="17" fontId="23" fillId="23" borderId="181" xfId="76" applyNumberFormat="1" applyFont="1" applyFill="1" applyBorder="1" applyAlignment="1">
      <alignment horizontal="center"/>
    </xf>
    <xf numFmtId="17" fontId="15" fillId="23" borderId="184" xfId="76" applyNumberFormat="1" applyFont="1" applyFill="1" applyBorder="1" applyAlignment="1">
      <alignment horizontal="center"/>
    </xf>
    <xf numFmtId="17" fontId="15" fillId="23" borderId="187" xfId="76" applyNumberFormat="1" applyFont="1" applyFill="1" applyBorder="1" applyAlignment="1">
      <alignment horizontal="center"/>
    </xf>
    <xf numFmtId="0" fontId="255" fillId="0" borderId="185" xfId="76" applyFont="1" applyBorder="1" applyAlignment="1">
      <alignment horizontal="center" vertical="center"/>
    </xf>
    <xf numFmtId="0" fontId="256" fillId="0" borderId="185" xfId="76" applyFont="1" applyBorder="1" applyAlignment="1">
      <alignment horizontal="center" vertical="center"/>
    </xf>
    <xf numFmtId="0" fontId="128" fillId="0" borderId="179" xfId="0" applyFont="1" applyBorder="1" applyAlignment="1">
      <alignment horizontal="center" vertical="center"/>
    </xf>
    <xf numFmtId="0" fontId="128" fillId="0" borderId="180" xfId="0" applyFont="1" applyBorder="1" applyAlignment="1">
      <alignment horizontal="center" vertical="center"/>
    </xf>
    <xf numFmtId="0" fontId="128" fillId="0" borderId="181" xfId="0" applyFont="1" applyBorder="1" applyAlignment="1">
      <alignment horizontal="center" vertical="center"/>
    </xf>
    <xf numFmtId="3" fontId="132" fillId="0" borderId="179" xfId="828" applyNumberFormat="1" applyFont="1" applyBorder="1" applyAlignment="1">
      <alignment horizontal="center" vertical="center"/>
    </xf>
    <xf numFmtId="3" fontId="132" fillId="0" borderId="180" xfId="828" applyNumberFormat="1" applyFont="1" applyBorder="1" applyAlignment="1">
      <alignment horizontal="center" vertical="center"/>
    </xf>
    <xf numFmtId="3" fontId="132" fillId="0" borderId="181" xfId="828" applyNumberFormat="1" applyFont="1" applyBorder="1" applyAlignment="1">
      <alignment horizontal="center" vertical="center"/>
    </xf>
    <xf numFmtId="0" fontId="132" fillId="23" borderId="18" xfId="828" applyFont="1" applyFill="1" applyBorder="1" applyAlignment="1">
      <alignment horizontal="center" vertical="center" wrapText="1"/>
    </xf>
    <xf numFmtId="3" fontId="132" fillId="0" borderId="13" xfId="828" applyNumberFormat="1" applyFont="1" applyBorder="1" applyAlignment="1">
      <alignment horizontal="center" vertical="center"/>
    </xf>
    <xf numFmtId="3" fontId="132" fillId="0" borderId="14" xfId="828" applyNumberFormat="1" applyFont="1" applyBorder="1" applyAlignment="1">
      <alignment horizontal="center" vertical="center"/>
    </xf>
    <xf numFmtId="3" fontId="132" fillId="0" borderId="10" xfId="828" applyNumberFormat="1" applyFont="1" applyBorder="1" applyAlignment="1">
      <alignment horizontal="center" vertical="center"/>
    </xf>
    <xf numFmtId="0" fontId="128" fillId="0" borderId="13" xfId="0" applyFont="1" applyBorder="1" applyAlignment="1">
      <alignment horizontal="center" vertical="center"/>
    </xf>
    <xf numFmtId="0" fontId="128" fillId="0" borderId="14" xfId="0" applyFont="1" applyBorder="1" applyAlignment="1">
      <alignment horizontal="center" vertical="center"/>
    </xf>
    <xf numFmtId="0" fontId="128" fillId="0" borderId="10" xfId="0" applyFont="1" applyBorder="1" applyAlignment="1">
      <alignment horizontal="center" vertical="center"/>
    </xf>
    <xf numFmtId="0" fontId="128" fillId="0" borderId="18" xfId="374" applyFont="1" applyFill="1" applyBorder="1" applyAlignment="1">
      <alignment horizontal="center" vertical="center" wrapText="1"/>
    </xf>
    <xf numFmtId="0" fontId="129" fillId="0" borderId="18" xfId="374" applyFont="1" applyFill="1" applyBorder="1" applyAlignment="1">
      <alignment horizontal="center" vertical="center" wrapText="1"/>
    </xf>
    <xf numFmtId="0" fontId="131" fillId="0" borderId="0" xfId="374" applyFont="1" applyBorder="1" applyAlignment="1">
      <alignment horizontal="center" wrapText="1"/>
    </xf>
    <xf numFmtId="0" fontId="128" fillId="0" borderId="13" xfId="374" applyFont="1" applyFill="1" applyBorder="1" applyAlignment="1">
      <alignment horizontal="center" vertical="center" wrapText="1"/>
    </xf>
    <xf numFmtId="0" fontId="128" fillId="0" borderId="10" xfId="374" applyFont="1" applyFill="1" applyBorder="1" applyAlignment="1">
      <alignment horizontal="center" vertical="center" wrapText="1"/>
    </xf>
    <xf numFmtId="3" fontId="128" fillId="23" borderId="18" xfId="374" applyNumberFormat="1" applyFont="1" applyFill="1" applyBorder="1" applyAlignment="1">
      <alignment horizontal="center" vertical="center" wrapText="1"/>
    </xf>
    <xf numFmtId="3" fontId="128" fillId="23" borderId="13" xfId="374" applyNumberFormat="1" applyFont="1" applyFill="1" applyBorder="1" applyAlignment="1">
      <alignment horizontal="center" vertical="center" wrapText="1"/>
    </xf>
    <xf numFmtId="0" fontId="176" fillId="0" borderId="19" xfId="374" applyFont="1" applyFill="1" applyBorder="1" applyAlignment="1">
      <alignment horizontal="center" vertical="center" textRotation="90" wrapText="1"/>
    </xf>
    <xf numFmtId="0" fontId="176" fillId="0" borderId="21" xfId="374" applyFont="1" applyFill="1" applyBorder="1" applyAlignment="1">
      <alignment horizontal="center" vertical="center" textRotation="90" wrapText="1"/>
    </xf>
    <xf numFmtId="0" fontId="176" fillId="0" borderId="20" xfId="374" applyFont="1" applyFill="1" applyBorder="1" applyAlignment="1">
      <alignment horizontal="center" vertical="center" textRotation="90" wrapText="1"/>
    </xf>
    <xf numFmtId="0" fontId="167" fillId="0" borderId="21" xfId="374" applyFont="1" applyBorder="1" applyAlignment="1">
      <alignment horizontal="center" vertical="center" wrapText="1"/>
    </xf>
    <xf numFmtId="0" fontId="167" fillId="0" borderId="23" xfId="374" applyFont="1" applyBorder="1" applyAlignment="1">
      <alignment horizontal="center" vertical="center" wrapText="1"/>
    </xf>
    <xf numFmtId="0" fontId="167" fillId="0" borderId="19" xfId="374" applyFont="1" applyBorder="1" applyAlignment="1">
      <alignment horizontal="center" vertical="center" wrapText="1"/>
    </xf>
    <xf numFmtId="0" fontId="178" fillId="0" borderId="18" xfId="374" applyFont="1" applyFill="1" applyBorder="1" applyAlignment="1">
      <alignment horizontal="center" vertical="center" textRotation="90" wrapText="1"/>
    </xf>
    <xf numFmtId="0" fontId="178" fillId="0" borderId="182" xfId="374" applyFont="1" applyFill="1" applyBorder="1" applyAlignment="1">
      <alignment horizontal="center" vertical="center" textRotation="90" wrapText="1"/>
    </xf>
    <xf numFmtId="0" fontId="178" fillId="0" borderId="13" xfId="374" applyFont="1" applyFill="1" applyBorder="1" applyAlignment="1">
      <alignment horizontal="center" vertical="center" textRotation="90" wrapText="1"/>
    </xf>
    <xf numFmtId="0" fontId="193" fillId="0" borderId="19" xfId="374" applyFont="1" applyBorder="1" applyAlignment="1">
      <alignment horizontal="center" vertical="center"/>
    </xf>
    <xf numFmtId="0" fontId="193" fillId="0" borderId="21" xfId="374" applyFont="1" applyBorder="1" applyAlignment="1">
      <alignment horizontal="center" vertical="center"/>
    </xf>
    <xf numFmtId="0" fontId="193" fillId="0" borderId="23" xfId="374" applyFont="1" applyBorder="1" applyAlignment="1">
      <alignment horizontal="center" vertical="center"/>
    </xf>
    <xf numFmtId="0" fontId="177" fillId="0" borderId="19" xfId="374" applyFont="1" applyFill="1" applyBorder="1" applyAlignment="1">
      <alignment horizontal="center" vertical="center" textRotation="90" wrapText="1"/>
    </xf>
    <xf numFmtId="0" fontId="177" fillId="0" borderId="21" xfId="374" applyFont="1" applyFill="1" applyBorder="1" applyAlignment="1">
      <alignment horizontal="center" vertical="center" textRotation="90" wrapText="1"/>
    </xf>
    <xf numFmtId="0" fontId="177" fillId="0" borderId="20" xfId="374" applyFont="1" applyFill="1" applyBorder="1" applyAlignment="1">
      <alignment horizontal="center" vertical="center" textRotation="90" wrapText="1"/>
    </xf>
    <xf numFmtId="0" fontId="169" fillId="0" borderId="21" xfId="374" applyFont="1" applyBorder="1" applyAlignment="1">
      <alignment horizontal="center" vertical="center" wrapText="1"/>
    </xf>
    <xf numFmtId="0" fontId="169" fillId="0" borderId="23" xfId="374" applyFont="1" applyBorder="1" applyAlignment="1">
      <alignment horizontal="center" vertical="center" wrapText="1"/>
    </xf>
    <xf numFmtId="0" fontId="169" fillId="0" borderId="19" xfId="374" applyFont="1" applyBorder="1" applyAlignment="1">
      <alignment horizontal="center" vertical="center" wrapText="1"/>
    </xf>
    <xf numFmtId="0" fontId="168" fillId="0" borderId="21" xfId="374" applyFont="1" applyBorder="1" applyAlignment="1">
      <alignment horizontal="center" vertical="center" wrapText="1"/>
    </xf>
    <xf numFmtId="0" fontId="168" fillId="0" borderId="23" xfId="374" applyFont="1" applyBorder="1" applyAlignment="1">
      <alignment horizontal="center" vertical="center" wrapText="1"/>
    </xf>
    <xf numFmtId="0" fontId="168" fillId="0" borderId="19" xfId="374" applyFont="1" applyBorder="1" applyAlignment="1">
      <alignment horizontal="center" vertical="center" wrapText="1"/>
    </xf>
    <xf numFmtId="0" fontId="128" fillId="23" borderId="18" xfId="374" applyFont="1" applyFill="1" applyBorder="1" applyAlignment="1">
      <alignment horizontal="center" vertical="center" wrapText="1"/>
    </xf>
    <xf numFmtId="0" fontId="129" fillId="23" borderId="18" xfId="374" applyFont="1" applyFill="1" applyBorder="1" applyAlignment="1">
      <alignment wrapText="1"/>
    </xf>
    <xf numFmtId="0" fontId="179" fillId="0" borderId="19" xfId="374" applyFont="1" applyFill="1" applyBorder="1" applyAlignment="1">
      <alignment horizontal="center" vertical="center" textRotation="90" wrapText="1"/>
    </xf>
    <xf numFmtId="0" fontId="179" fillId="0" borderId="21" xfId="374" applyFont="1" applyFill="1" applyBorder="1" applyAlignment="1">
      <alignment horizontal="center" vertical="center" textRotation="90" wrapText="1"/>
    </xf>
    <xf numFmtId="0" fontId="179" fillId="0" borderId="20" xfId="374" applyFont="1" applyFill="1" applyBorder="1" applyAlignment="1">
      <alignment horizontal="center" vertical="center" textRotation="90" wrapText="1"/>
    </xf>
    <xf numFmtId="0" fontId="72" fillId="0" borderId="0" xfId="374" applyFont="1" applyFill="1" applyBorder="1" applyAlignment="1">
      <alignment horizontal="left" vertical="center" wrapText="1"/>
    </xf>
    <xf numFmtId="0" fontId="175" fillId="0" borderId="19" xfId="374" applyFont="1" applyFill="1" applyBorder="1" applyAlignment="1">
      <alignment horizontal="center" vertical="center" textRotation="90" wrapText="1"/>
    </xf>
    <xf numFmtId="0" fontId="175" fillId="0" borderId="21" xfId="374" applyFont="1" applyFill="1" applyBorder="1" applyAlignment="1">
      <alignment horizontal="center" vertical="center" textRotation="90" wrapText="1"/>
    </xf>
    <xf numFmtId="0" fontId="175" fillId="0" borderId="20" xfId="374" applyFont="1" applyFill="1" applyBorder="1" applyAlignment="1">
      <alignment horizontal="center" vertical="center" textRotation="90" wrapText="1"/>
    </xf>
    <xf numFmtId="0" fontId="166" fillId="0" borderId="19" xfId="374" applyFont="1" applyBorder="1" applyAlignment="1">
      <alignment horizontal="center" vertical="center" wrapText="1"/>
    </xf>
    <xf numFmtId="0" fontId="166" fillId="0" borderId="21" xfId="374" applyFont="1" applyBorder="1" applyAlignment="1">
      <alignment horizontal="center" vertical="center" wrapText="1"/>
    </xf>
    <xf numFmtId="0" fontId="166" fillId="0" borderId="23" xfId="374" applyFont="1" applyBorder="1" applyAlignment="1">
      <alignment horizontal="center" vertical="center" wrapText="1"/>
    </xf>
    <xf numFmtId="1" fontId="128" fillId="0" borderId="13" xfId="50" applyNumberFormat="1" applyFont="1" applyFill="1" applyBorder="1" applyAlignment="1">
      <alignment horizontal="center" vertical="center" wrapText="1"/>
    </xf>
    <xf numFmtId="1" fontId="128" fillId="0" borderId="10" xfId="50" applyNumberFormat="1" applyFont="1" applyFill="1" applyBorder="1" applyAlignment="1">
      <alignment horizontal="center" vertical="center" wrapText="1"/>
    </xf>
    <xf numFmtId="1" fontId="128" fillId="0" borderId="14" xfId="50" applyNumberFormat="1" applyFont="1" applyFill="1" applyBorder="1" applyAlignment="1">
      <alignment horizontal="center" vertical="center" wrapText="1"/>
    </xf>
    <xf numFmtId="1" fontId="128" fillId="0" borderId="18" xfId="50" applyNumberFormat="1" applyFont="1" applyFill="1" applyBorder="1" applyAlignment="1">
      <alignment horizontal="center" vertical="center" wrapText="1"/>
    </xf>
    <xf numFmtId="0" fontId="72" fillId="0" borderId="0" xfId="374" applyFont="1" applyFill="1" applyBorder="1" applyAlignment="1">
      <alignment horizontal="center" vertical="center" wrapText="1"/>
    </xf>
    <xf numFmtId="0" fontId="128" fillId="0" borderId="11" xfId="0" applyFont="1" applyFill="1" applyBorder="1" applyAlignment="1">
      <alignment horizontal="center" vertical="center" wrapText="1"/>
    </xf>
    <xf numFmtId="0" fontId="128" fillId="0" borderId="12" xfId="0" applyFont="1" applyFill="1" applyBorder="1" applyAlignment="1">
      <alignment horizontal="center" vertical="center" wrapText="1"/>
    </xf>
    <xf numFmtId="0" fontId="128" fillId="0" borderId="15" xfId="0" applyFont="1" applyFill="1" applyBorder="1" applyAlignment="1">
      <alignment horizontal="center" vertical="center" wrapText="1"/>
    </xf>
    <xf numFmtId="0" fontId="166" fillId="0" borderId="13" xfId="0" applyFont="1" applyFill="1" applyBorder="1" applyAlignment="1">
      <alignment horizontal="center" vertical="center" wrapText="1"/>
    </xf>
    <xf numFmtId="0" fontId="168" fillId="0" borderId="18" xfId="0" applyFont="1" applyFill="1" applyBorder="1" applyAlignment="1">
      <alignment horizontal="center" vertical="center" wrapText="1"/>
    </xf>
    <xf numFmtId="0" fontId="169" fillId="0" borderId="18" xfId="0" applyFont="1" applyFill="1" applyBorder="1" applyAlignment="1">
      <alignment horizontal="center" vertical="center" wrapText="1"/>
    </xf>
    <xf numFmtId="0" fontId="167" fillId="0" borderId="18" xfId="0" applyFont="1" applyFill="1" applyBorder="1" applyAlignment="1">
      <alignment horizontal="center" vertical="center" wrapText="1"/>
    </xf>
    <xf numFmtId="0" fontId="128" fillId="0" borderId="19" xfId="0" applyFont="1" applyFill="1" applyBorder="1" applyAlignment="1">
      <alignment horizontal="center" vertical="center" wrapText="1"/>
    </xf>
    <xf numFmtId="0" fontId="128" fillId="0" borderId="21" xfId="0" applyFont="1" applyFill="1" applyBorder="1" applyAlignment="1">
      <alignment horizontal="center" vertical="center" wrapText="1"/>
    </xf>
    <xf numFmtId="0" fontId="128" fillId="0" borderId="23" xfId="0" applyFont="1" applyFill="1" applyBorder="1" applyAlignment="1">
      <alignment horizontal="center" vertical="center" wrapText="1"/>
    </xf>
    <xf numFmtId="0" fontId="193" fillId="0" borderId="18" xfId="0" applyFont="1" applyFill="1" applyBorder="1" applyAlignment="1">
      <alignment horizontal="center" vertical="center" wrapText="1"/>
    </xf>
    <xf numFmtId="0" fontId="160" fillId="0" borderId="0" xfId="0" applyFont="1" applyAlignment="1">
      <alignment horizontal="center" vertical="center"/>
    </xf>
    <xf numFmtId="0" fontId="175" fillId="0" borderId="188" xfId="66" applyFont="1" applyBorder="1" applyAlignment="1">
      <alignment horizontal="center" vertical="center" textRotation="90"/>
    </xf>
    <xf numFmtId="0" fontId="175" fillId="0" borderId="16" xfId="66" applyFont="1" applyBorder="1" applyAlignment="1">
      <alignment horizontal="center" vertical="center" textRotation="90"/>
    </xf>
    <xf numFmtId="0" fontId="175" fillId="0" borderId="20" xfId="66" applyFont="1" applyBorder="1" applyAlignment="1">
      <alignment horizontal="center" vertical="center" textRotation="90"/>
    </xf>
    <xf numFmtId="0" fontId="177" fillId="0" borderId="188" xfId="66" applyFont="1" applyBorder="1" applyAlignment="1">
      <alignment horizontal="center" vertical="center" textRotation="90"/>
    </xf>
    <xf numFmtId="0" fontId="177" fillId="0" borderId="16" xfId="66" applyFont="1" applyBorder="1" applyAlignment="1">
      <alignment horizontal="center" vertical="center" textRotation="90"/>
    </xf>
    <xf numFmtId="0" fontId="177" fillId="0" borderId="20" xfId="66" applyFont="1" applyBorder="1" applyAlignment="1">
      <alignment horizontal="center" vertical="center" textRotation="90"/>
    </xf>
    <xf numFmtId="0" fontId="176" fillId="0" borderId="188" xfId="66" applyFont="1" applyFill="1" applyBorder="1" applyAlignment="1">
      <alignment horizontal="center" vertical="center" textRotation="90"/>
    </xf>
    <xf numFmtId="0" fontId="176" fillId="0" borderId="20" xfId="66" applyFont="1" applyFill="1" applyBorder="1" applyAlignment="1">
      <alignment horizontal="center" vertical="center" textRotation="90"/>
    </xf>
    <xf numFmtId="0" fontId="129" fillId="0" borderId="182" xfId="66" applyFont="1" applyBorder="1" applyAlignment="1">
      <alignment horizontal="center" vertical="center"/>
    </xf>
    <xf numFmtId="0" fontId="178" fillId="0" borderId="188" xfId="66" applyFont="1" applyFill="1" applyBorder="1" applyAlignment="1">
      <alignment horizontal="center" vertical="center" textRotation="90"/>
    </xf>
    <xf numFmtId="0" fontId="178" fillId="0" borderId="16" xfId="66" applyFont="1" applyFill="1" applyBorder="1" applyAlignment="1">
      <alignment horizontal="center" vertical="center" textRotation="90"/>
    </xf>
    <xf numFmtId="0" fontId="128" fillId="0" borderId="182" xfId="374" applyFont="1" applyFill="1" applyBorder="1" applyAlignment="1">
      <alignment horizontal="center" vertical="center" wrapText="1"/>
    </xf>
    <xf numFmtId="0" fontId="129" fillId="0" borderId="182" xfId="374" applyFont="1" applyFill="1" applyBorder="1" applyAlignment="1">
      <alignment horizontal="center" vertical="center" wrapText="1"/>
    </xf>
    <xf numFmtId="0" fontId="175" fillId="0" borderId="186" xfId="66" applyFont="1" applyFill="1" applyBorder="1" applyAlignment="1">
      <alignment horizontal="center" vertical="center"/>
    </xf>
    <xf numFmtId="0" fontId="175" fillId="0" borderId="187" xfId="66" applyFont="1" applyFill="1" applyBorder="1" applyAlignment="1">
      <alignment horizontal="center" vertical="center"/>
    </xf>
    <xf numFmtId="0" fontId="179" fillId="0" borderId="186" xfId="66" applyFont="1" applyFill="1" applyBorder="1" applyAlignment="1">
      <alignment horizontal="center" vertical="center"/>
    </xf>
    <xf numFmtId="0" fontId="179" fillId="0" borderId="187" xfId="66" applyFont="1" applyFill="1" applyBorder="1" applyAlignment="1">
      <alignment horizontal="center" vertical="center"/>
    </xf>
    <xf numFmtId="0" fontId="128" fillId="23" borderId="185" xfId="66" applyFont="1" applyFill="1" applyBorder="1" applyAlignment="1">
      <alignment horizontal="center" vertical="center"/>
    </xf>
    <xf numFmtId="0" fontId="128" fillId="23" borderId="23" xfId="66" applyFont="1" applyFill="1" applyBorder="1" applyAlignment="1">
      <alignment horizontal="center" vertical="center"/>
    </xf>
    <xf numFmtId="0" fontId="179" fillId="0" borderId="188" xfId="66" applyFont="1" applyBorder="1" applyAlignment="1">
      <alignment horizontal="center" vertical="center" textRotation="90"/>
    </xf>
    <xf numFmtId="0" fontId="179" fillId="0" borderId="16" xfId="66" applyFont="1" applyBorder="1" applyAlignment="1">
      <alignment horizontal="center" vertical="center" textRotation="90"/>
    </xf>
    <xf numFmtId="0" fontId="179" fillId="0" borderId="20" xfId="66" applyFont="1" applyBorder="1" applyAlignment="1">
      <alignment horizontal="center" vertical="center" textRotation="90"/>
    </xf>
    <xf numFmtId="0" fontId="129" fillId="0" borderId="242" xfId="66" applyFont="1" applyBorder="1" applyAlignment="1">
      <alignment horizontal="center" vertical="center"/>
    </xf>
    <xf numFmtId="1" fontId="129" fillId="0" borderId="182" xfId="66" applyNumberFormat="1" applyFont="1" applyBorder="1" applyAlignment="1">
      <alignment horizontal="center" vertical="center"/>
    </xf>
    <xf numFmtId="0" fontId="129" fillId="0" borderId="239" xfId="66" applyFont="1" applyBorder="1" applyAlignment="1">
      <alignment horizontal="center" vertical="center"/>
    </xf>
    <xf numFmtId="0" fontId="178" fillId="0" borderId="186" xfId="66" applyFont="1" applyFill="1" applyBorder="1" applyAlignment="1">
      <alignment horizontal="center" vertical="center"/>
    </xf>
    <xf numFmtId="0" fontId="178" fillId="0" borderId="187" xfId="66" applyFont="1" applyFill="1" applyBorder="1" applyAlignment="1">
      <alignment horizontal="center" vertical="center"/>
    </xf>
    <xf numFmtId="0" fontId="176" fillId="0" borderId="186" xfId="66" applyFont="1" applyFill="1" applyBorder="1" applyAlignment="1">
      <alignment horizontal="center" vertical="center"/>
    </xf>
    <xf numFmtId="0" fontId="176" fillId="0" borderId="187" xfId="66" applyFont="1" applyFill="1" applyBorder="1" applyAlignment="1">
      <alignment horizontal="center" vertical="center"/>
    </xf>
    <xf numFmtId="0" fontId="177" fillId="0" borderId="186" xfId="66" applyFont="1" applyFill="1" applyBorder="1" applyAlignment="1">
      <alignment horizontal="center" vertical="center"/>
    </xf>
    <xf numFmtId="0" fontId="177" fillId="0" borderId="187" xfId="66" applyFont="1" applyFill="1" applyBorder="1" applyAlignment="1">
      <alignment horizontal="center" vertical="center"/>
    </xf>
    <xf numFmtId="0" fontId="129" fillId="0" borderId="176" xfId="66" applyFont="1" applyBorder="1" applyAlignment="1">
      <alignment horizontal="center" vertical="center"/>
    </xf>
    <xf numFmtId="0" fontId="178" fillId="0" borderId="19" xfId="66" applyFont="1" applyBorder="1" applyAlignment="1">
      <alignment horizontal="center" vertical="center"/>
    </xf>
    <xf numFmtId="0" fontId="178" fillId="0" borderId="21" xfId="66" applyFont="1" applyBorder="1" applyAlignment="1">
      <alignment horizontal="center" vertical="center"/>
    </xf>
    <xf numFmtId="0" fontId="178" fillId="0" borderId="20" xfId="66" applyFont="1" applyBorder="1" applyAlignment="1">
      <alignment horizontal="center" vertical="center"/>
    </xf>
    <xf numFmtId="0" fontId="129" fillId="0" borderId="20" xfId="66" applyFont="1" applyFill="1" applyBorder="1" applyAlignment="1">
      <alignment horizontal="center" vertical="center"/>
    </xf>
    <xf numFmtId="0" fontId="176" fillId="0" borderId="185" xfId="66" applyFont="1" applyBorder="1" applyAlignment="1">
      <alignment horizontal="center" vertical="center" textRotation="90"/>
    </xf>
    <xf numFmtId="0" fontId="176" fillId="0" borderId="21" xfId="66" applyFont="1" applyBorder="1" applyAlignment="1">
      <alignment horizontal="center" vertical="center" textRotation="90"/>
    </xf>
    <xf numFmtId="0" fontId="176" fillId="0" borderId="20" xfId="66" applyFont="1" applyBorder="1" applyAlignment="1">
      <alignment horizontal="center" vertical="center" textRotation="90"/>
    </xf>
    <xf numFmtId="1" fontId="129" fillId="0" borderId="185" xfId="66" applyNumberFormat="1" applyFont="1" applyBorder="1" applyAlignment="1">
      <alignment horizontal="center" vertical="center"/>
    </xf>
    <xf numFmtId="1" fontId="129" fillId="0" borderId="21" xfId="66" applyNumberFormat="1" applyFont="1" applyBorder="1" applyAlignment="1">
      <alignment horizontal="center" vertical="center"/>
    </xf>
    <xf numFmtId="0" fontId="128" fillId="0" borderId="184" xfId="66" applyFont="1" applyBorder="1" applyAlignment="1">
      <alignment horizontal="center" vertical="center"/>
    </xf>
    <xf numFmtId="0" fontId="128" fillId="0" borderId="186" xfId="66" applyFont="1" applyBorder="1" applyAlignment="1">
      <alignment horizontal="center" vertical="center"/>
    </xf>
    <xf numFmtId="0" fontId="128" fillId="0" borderId="190" xfId="66" applyFont="1" applyBorder="1" applyAlignment="1">
      <alignment horizontal="center" vertical="center"/>
    </xf>
    <xf numFmtId="0" fontId="175" fillId="0" borderId="177" xfId="66" applyFont="1" applyBorder="1" applyAlignment="1">
      <alignment horizontal="center" vertical="center" textRotation="90"/>
    </xf>
    <xf numFmtId="1" fontId="128" fillId="0" borderId="185" xfId="50" applyNumberFormat="1" applyFont="1" applyFill="1" applyBorder="1" applyAlignment="1">
      <alignment horizontal="center" vertical="center" wrapText="1"/>
    </xf>
    <xf numFmtId="0" fontId="128" fillId="0" borderId="186" xfId="0" applyFont="1" applyFill="1" applyBorder="1" applyAlignment="1">
      <alignment horizontal="center" vertical="center"/>
    </xf>
    <xf numFmtId="0" fontId="128" fillId="0" borderId="178" xfId="0" applyFont="1" applyFill="1" applyBorder="1" applyAlignment="1">
      <alignment horizontal="center" vertical="center"/>
    </xf>
    <xf numFmtId="0" fontId="128" fillId="0" borderId="188" xfId="0" applyFont="1" applyFill="1" applyBorder="1" applyAlignment="1">
      <alignment horizontal="center" vertical="center"/>
    </xf>
    <xf numFmtId="0" fontId="128" fillId="0" borderId="104" xfId="0" applyFont="1" applyFill="1" applyBorder="1" applyAlignment="1">
      <alignment horizontal="center" vertical="center"/>
    </xf>
    <xf numFmtId="0" fontId="129" fillId="23" borderId="182" xfId="0" applyFont="1" applyFill="1" applyBorder="1" applyAlignment="1">
      <alignment horizontal="center" vertical="center"/>
    </xf>
    <xf numFmtId="0" fontId="132" fillId="0" borderId="12" xfId="830" applyFont="1" applyFill="1" applyBorder="1" applyAlignment="1">
      <alignment horizontal="center" vertical="center" wrapText="1"/>
    </xf>
    <xf numFmtId="0" fontId="132" fillId="0" borderId="244" xfId="830" applyFont="1" applyFill="1" applyBorder="1" applyAlignment="1">
      <alignment horizontal="center" vertical="center" wrapText="1"/>
    </xf>
    <xf numFmtId="0" fontId="132" fillId="0" borderId="15" xfId="830" applyFont="1" applyFill="1" applyBorder="1" applyAlignment="1">
      <alignment horizontal="center" vertical="center" wrapText="1"/>
    </xf>
    <xf numFmtId="0" fontId="179" fillId="0" borderId="186" xfId="830" applyFont="1" applyFill="1" applyBorder="1" applyAlignment="1">
      <alignment horizontal="center" vertical="center"/>
    </xf>
    <xf numFmtId="0" fontId="179" fillId="0" borderId="187" xfId="830" applyFont="1" applyFill="1" applyBorder="1" applyAlignment="1">
      <alignment horizontal="center" vertical="center"/>
    </xf>
    <xf numFmtId="0" fontId="21" fillId="0" borderId="185" xfId="830" applyFont="1" applyBorder="1" applyAlignment="1">
      <alignment horizontal="center" vertical="center"/>
    </xf>
    <xf numFmtId="0" fontId="21" fillId="0" borderId="21" xfId="830" applyFont="1" applyBorder="1" applyAlignment="1">
      <alignment horizontal="center" vertical="center"/>
    </xf>
    <xf numFmtId="0" fontId="21" fillId="0" borderId="23" xfId="830" applyFont="1" applyBorder="1" applyAlignment="1">
      <alignment horizontal="center" vertical="center"/>
    </xf>
    <xf numFmtId="0" fontId="132" fillId="0" borderId="11" xfId="830" applyFont="1" applyFill="1" applyBorder="1" applyAlignment="1">
      <alignment horizontal="center" vertical="center" wrapText="1"/>
    </xf>
    <xf numFmtId="0" fontId="177" fillId="0" borderId="182" xfId="830" applyFont="1" applyBorder="1" applyAlignment="1">
      <alignment horizontal="center" vertical="center"/>
    </xf>
    <xf numFmtId="0" fontId="177" fillId="0" borderId="184" xfId="830" applyFont="1" applyBorder="1" applyAlignment="1">
      <alignment horizontal="center" vertical="center"/>
    </xf>
    <xf numFmtId="0" fontId="21" fillId="0" borderId="182" xfId="830" applyFont="1" applyBorder="1" applyAlignment="1">
      <alignment horizontal="center" vertical="center"/>
    </xf>
    <xf numFmtId="0" fontId="177" fillId="0" borderId="186" xfId="830" applyFont="1" applyFill="1" applyBorder="1" applyAlignment="1">
      <alignment horizontal="center" vertical="center"/>
    </xf>
    <xf numFmtId="0" fontId="177" fillId="0" borderId="187" xfId="830" applyFont="1" applyFill="1" applyBorder="1" applyAlignment="1">
      <alignment horizontal="center" vertical="center"/>
    </xf>
    <xf numFmtId="0" fontId="178" fillId="0" borderId="185" xfId="830" applyFont="1" applyBorder="1" applyAlignment="1">
      <alignment horizontal="center" vertical="center"/>
    </xf>
    <xf numFmtId="0" fontId="178" fillId="0" borderId="21" xfId="830" applyFont="1" applyBorder="1" applyAlignment="1">
      <alignment horizontal="center" vertical="center"/>
    </xf>
    <xf numFmtId="0" fontId="178" fillId="0" borderId="20" xfId="830" applyFont="1" applyBorder="1" applyAlignment="1">
      <alignment horizontal="center" vertical="center"/>
    </xf>
    <xf numFmtId="0" fontId="178" fillId="0" borderId="186" xfId="830" applyFont="1" applyFill="1" applyBorder="1" applyAlignment="1">
      <alignment horizontal="center" vertical="center"/>
    </xf>
    <xf numFmtId="0" fontId="178" fillId="0" borderId="187" xfId="830" applyFont="1" applyFill="1" applyBorder="1" applyAlignment="1">
      <alignment horizontal="center" vertical="center"/>
    </xf>
    <xf numFmtId="0" fontId="132" fillId="23" borderId="182" xfId="830" applyFont="1" applyFill="1" applyBorder="1" applyAlignment="1">
      <alignment horizontal="center" vertical="center"/>
    </xf>
    <xf numFmtId="0" fontId="132" fillId="23" borderId="184" xfId="830" applyFont="1" applyFill="1" applyBorder="1" applyAlignment="1">
      <alignment horizontal="center" vertical="center"/>
    </xf>
    <xf numFmtId="0" fontId="132" fillId="23" borderId="186" xfId="830" applyFont="1" applyFill="1" applyBorder="1" applyAlignment="1">
      <alignment horizontal="center" vertical="center"/>
    </xf>
    <xf numFmtId="0" fontId="132" fillId="23" borderId="187" xfId="830" applyFont="1" applyFill="1" applyBorder="1" applyAlignment="1">
      <alignment horizontal="center" vertical="center"/>
    </xf>
    <xf numFmtId="0" fontId="21" fillId="0" borderId="188" xfId="830" applyFont="1" applyFill="1" applyBorder="1" applyAlignment="1">
      <alignment horizontal="center" vertical="center" wrapText="1"/>
    </xf>
    <xf numFmtId="0" fontId="21" fillId="0" borderId="189" xfId="830" applyFont="1" applyFill="1" applyBorder="1" applyAlignment="1">
      <alignment horizontal="center" vertical="center" wrapText="1"/>
    </xf>
    <xf numFmtId="0" fontId="21" fillId="0" borderId="190" xfId="830" applyFont="1" applyFill="1" applyBorder="1" applyAlignment="1">
      <alignment horizontal="center" vertical="center" wrapText="1"/>
    </xf>
    <xf numFmtId="0" fontId="175" fillId="0" borderId="23" xfId="830" applyFont="1" applyBorder="1" applyAlignment="1">
      <alignment horizontal="center" vertical="center"/>
    </xf>
    <xf numFmtId="0" fontId="175" fillId="0" borderId="182" xfId="830" applyFont="1" applyBorder="1" applyAlignment="1">
      <alignment horizontal="center" vertical="center"/>
    </xf>
    <xf numFmtId="0" fontId="175" fillId="0" borderId="184" xfId="830" applyFont="1" applyBorder="1" applyAlignment="1">
      <alignment horizontal="center" vertical="center"/>
    </xf>
    <xf numFmtId="0" fontId="175" fillId="0" borderId="186" xfId="830" applyFont="1" applyFill="1" applyBorder="1" applyAlignment="1">
      <alignment horizontal="center" vertical="center"/>
    </xf>
    <xf numFmtId="0" fontId="175" fillId="0" borderId="187" xfId="830" applyFont="1" applyFill="1" applyBorder="1" applyAlignment="1">
      <alignment horizontal="center" vertical="center"/>
    </xf>
    <xf numFmtId="0" fontId="176" fillId="0" borderId="182" xfId="830" applyFont="1" applyBorder="1" applyAlignment="1">
      <alignment horizontal="center" vertical="center"/>
    </xf>
    <xf numFmtId="0" fontId="176" fillId="0" borderId="184" xfId="830" applyFont="1" applyBorder="1" applyAlignment="1">
      <alignment horizontal="center" vertical="center"/>
    </xf>
    <xf numFmtId="0" fontId="176" fillId="0" borderId="186" xfId="830" applyFont="1" applyFill="1" applyBorder="1" applyAlignment="1">
      <alignment horizontal="center" vertical="center"/>
    </xf>
    <xf numFmtId="0" fontId="176" fillId="0" borderId="187" xfId="830" applyFont="1" applyFill="1" applyBorder="1" applyAlignment="1">
      <alignment horizontal="center" vertical="center"/>
    </xf>
    <xf numFmtId="0" fontId="179" fillId="0" borderId="185" xfId="830" applyFont="1" applyBorder="1" applyAlignment="1">
      <alignment horizontal="center" vertical="center"/>
    </xf>
    <xf numFmtId="0" fontId="179" fillId="0" borderId="21" xfId="830" applyFont="1" applyBorder="1" applyAlignment="1">
      <alignment horizontal="center" vertical="center"/>
    </xf>
    <xf numFmtId="0" fontId="179" fillId="0" borderId="20" xfId="830" applyFont="1" applyBorder="1" applyAlignment="1">
      <alignment horizontal="center" vertical="center"/>
    </xf>
    <xf numFmtId="0" fontId="132" fillId="0" borderId="11" xfId="655" applyFont="1" applyFill="1" applyBorder="1" applyAlignment="1">
      <alignment horizontal="center" vertical="center" wrapText="1"/>
    </xf>
    <xf numFmtId="0" fontId="132" fillId="0" borderId="12" xfId="655" applyFont="1" applyFill="1" applyBorder="1" applyAlignment="1">
      <alignment horizontal="center" vertical="center" wrapText="1"/>
    </xf>
    <xf numFmtId="0" fontId="132" fillId="0" borderId="15" xfId="655" applyFont="1" applyFill="1" applyBorder="1" applyAlignment="1">
      <alignment horizontal="center" vertical="center" wrapText="1"/>
    </xf>
    <xf numFmtId="0" fontId="176" fillId="0" borderId="19" xfId="464" applyFont="1" applyFill="1" applyBorder="1" applyAlignment="1">
      <alignment horizontal="center" vertical="center"/>
    </xf>
    <xf numFmtId="0" fontId="176" fillId="0" borderId="21" xfId="464" applyFont="1" applyFill="1" applyBorder="1" applyAlignment="1">
      <alignment horizontal="center" vertical="center"/>
    </xf>
    <xf numFmtId="0" fontId="176" fillId="0" borderId="23" xfId="464" applyFont="1" applyFill="1" applyBorder="1" applyAlignment="1">
      <alignment horizontal="center" vertical="center"/>
    </xf>
    <xf numFmtId="0" fontId="179" fillId="0" borderId="19" xfId="464" applyFont="1" applyFill="1" applyBorder="1" applyAlignment="1">
      <alignment horizontal="center" vertical="center"/>
    </xf>
    <xf numFmtId="0" fontId="179" fillId="0" borderId="21" xfId="464" applyFont="1" applyFill="1" applyBorder="1" applyAlignment="1">
      <alignment horizontal="center" vertical="center"/>
    </xf>
    <xf numFmtId="0" fontId="179" fillId="0" borderId="23" xfId="464" applyFont="1" applyFill="1" applyBorder="1" applyAlignment="1">
      <alignment horizontal="center" vertical="center"/>
    </xf>
    <xf numFmtId="0" fontId="177" fillId="0" borderId="19" xfId="464" applyFont="1" applyFill="1" applyBorder="1" applyAlignment="1">
      <alignment horizontal="center" vertical="center"/>
    </xf>
    <xf numFmtId="0" fontId="177" fillId="0" borderId="21" xfId="464" applyFont="1" applyFill="1" applyBorder="1" applyAlignment="1">
      <alignment horizontal="center" vertical="center"/>
    </xf>
    <xf numFmtId="0" fontId="177" fillId="0" borderId="23" xfId="464" applyFont="1" applyFill="1" applyBorder="1" applyAlignment="1">
      <alignment horizontal="center" vertical="center"/>
    </xf>
    <xf numFmtId="0" fontId="132" fillId="0" borderId="19" xfId="464" applyFont="1" applyFill="1" applyBorder="1" applyAlignment="1">
      <alignment horizontal="center" vertical="center"/>
    </xf>
    <xf numFmtId="0" fontId="132" fillId="0" borderId="21" xfId="464" applyFont="1" applyFill="1" applyBorder="1" applyAlignment="1">
      <alignment horizontal="center" vertical="center"/>
    </xf>
    <xf numFmtId="0" fontId="132" fillId="0" borderId="23" xfId="464" applyFont="1" applyFill="1" applyBorder="1" applyAlignment="1">
      <alignment horizontal="center" vertical="center"/>
    </xf>
    <xf numFmtId="0" fontId="178" fillId="0" borderId="19" xfId="464" applyFont="1" applyFill="1" applyBorder="1" applyAlignment="1">
      <alignment horizontal="center" vertical="center"/>
    </xf>
    <xf numFmtId="0" fontId="178" fillId="0" borderId="21" xfId="464" applyFont="1" applyFill="1" applyBorder="1" applyAlignment="1">
      <alignment horizontal="center" vertical="center"/>
    </xf>
    <xf numFmtId="0" fontId="178" fillId="0" borderId="23" xfId="464" applyFont="1" applyFill="1" applyBorder="1" applyAlignment="1">
      <alignment horizontal="center" vertical="center"/>
    </xf>
    <xf numFmtId="0" fontId="175" fillId="0" borderId="19" xfId="464" applyFont="1" applyFill="1" applyBorder="1" applyAlignment="1">
      <alignment horizontal="center" vertical="center"/>
    </xf>
    <xf numFmtId="0" fontId="175" fillId="0" borderId="21" xfId="464" applyFont="1" applyFill="1" applyBorder="1" applyAlignment="1">
      <alignment horizontal="center" vertical="center"/>
    </xf>
    <xf numFmtId="0" fontId="175" fillId="0" borderId="23" xfId="464" applyFont="1" applyFill="1" applyBorder="1" applyAlignment="1">
      <alignment horizontal="center" vertical="center"/>
    </xf>
    <xf numFmtId="0" fontId="132" fillId="23" borderId="185" xfId="464" applyFont="1" applyFill="1" applyBorder="1" applyAlignment="1">
      <alignment horizontal="center" vertical="center"/>
    </xf>
    <xf numFmtId="0" fontId="132" fillId="23" borderId="23" xfId="464" applyFont="1" applyFill="1" applyBorder="1" applyAlignment="1">
      <alignment horizontal="center" vertical="center"/>
    </xf>
    <xf numFmtId="0" fontId="28" fillId="0" borderId="18" xfId="830" applyFont="1" applyBorder="1" applyAlignment="1">
      <alignment horizontal="center" vertical="center"/>
    </xf>
    <xf numFmtId="0" fontId="28" fillId="0" borderId="19" xfId="830" applyFont="1" applyBorder="1" applyAlignment="1">
      <alignment horizontal="center" vertical="center"/>
    </xf>
    <xf numFmtId="0" fontId="21" fillId="23" borderId="182" xfId="830" applyFont="1" applyFill="1" applyBorder="1" applyAlignment="1">
      <alignment horizontal="center" vertical="center"/>
    </xf>
    <xf numFmtId="0" fontId="21" fillId="23" borderId="185" xfId="830" applyFont="1" applyFill="1" applyBorder="1" applyAlignment="1">
      <alignment horizontal="center" vertical="center"/>
    </xf>
    <xf numFmtId="0" fontId="21" fillId="23" borderId="23" xfId="830" applyFont="1" applyFill="1" applyBorder="1" applyAlignment="1">
      <alignment horizontal="center" vertical="center"/>
    </xf>
    <xf numFmtId="0" fontId="175" fillId="0" borderId="182" xfId="830" applyFont="1" applyBorder="1" applyAlignment="1">
      <alignment horizontal="center" vertical="center" textRotation="90"/>
    </xf>
    <xf numFmtId="0" fontId="175" fillId="0" borderId="184" xfId="830" applyFont="1" applyBorder="1" applyAlignment="1">
      <alignment horizontal="center" vertical="center" textRotation="90"/>
    </xf>
    <xf numFmtId="0" fontId="176" fillId="0" borderId="182" xfId="830" applyFont="1" applyBorder="1" applyAlignment="1">
      <alignment horizontal="center" vertical="center" textRotation="90"/>
    </xf>
    <xf numFmtId="0" fontId="176" fillId="0" borderId="184" xfId="830" applyFont="1" applyBorder="1" applyAlignment="1">
      <alignment horizontal="center" vertical="center" textRotation="90"/>
    </xf>
    <xf numFmtId="0" fontId="28" fillId="0" borderId="218" xfId="830" applyFont="1" applyBorder="1" applyAlignment="1">
      <alignment horizontal="center" vertical="center"/>
    </xf>
    <xf numFmtId="0" fontId="177" fillId="0" borderId="182" xfId="830" applyFont="1" applyBorder="1" applyAlignment="1">
      <alignment horizontal="center" vertical="center" textRotation="90"/>
    </xf>
    <xf numFmtId="0" fontId="177" fillId="0" borderId="184" xfId="830" applyFont="1" applyBorder="1" applyAlignment="1">
      <alignment horizontal="center" vertical="center" textRotation="90"/>
    </xf>
    <xf numFmtId="0" fontId="178" fillId="0" borderId="185" xfId="830" applyFont="1" applyBorder="1" applyAlignment="1">
      <alignment horizontal="center" vertical="center" textRotation="90"/>
    </xf>
    <xf numFmtId="0" fontId="178" fillId="0" borderId="21" xfId="830" applyFont="1" applyBorder="1" applyAlignment="1">
      <alignment horizontal="center" vertical="center" textRotation="90"/>
    </xf>
    <xf numFmtId="0" fontId="178" fillId="0" borderId="20" xfId="830" applyFont="1" applyBorder="1" applyAlignment="1">
      <alignment horizontal="center" vertical="center" textRotation="90"/>
    </xf>
    <xf numFmtId="0" fontId="179" fillId="0" borderId="185" xfId="830" applyFont="1" applyBorder="1" applyAlignment="1">
      <alignment horizontal="center" vertical="center" textRotation="90"/>
    </xf>
    <xf numFmtId="0" fontId="179" fillId="0" borderId="21" xfId="830" applyFont="1" applyBorder="1" applyAlignment="1">
      <alignment horizontal="center" vertical="center" textRotation="90"/>
    </xf>
    <xf numFmtId="0" fontId="179" fillId="0" borderId="20" xfId="830" applyFont="1" applyBorder="1" applyAlignment="1">
      <alignment horizontal="center" vertical="center" textRotation="90"/>
    </xf>
    <xf numFmtId="0" fontId="132" fillId="23" borderId="19" xfId="464" applyFont="1" applyFill="1" applyBorder="1" applyAlignment="1">
      <alignment horizontal="center" vertical="center"/>
    </xf>
    <xf numFmtId="0" fontId="193" fillId="0" borderId="185" xfId="830" applyFont="1" applyBorder="1" applyAlignment="1">
      <alignment horizontal="center" vertical="center" textRotation="90"/>
    </xf>
    <xf numFmtId="0" fontId="193" fillId="0" borderId="21" xfId="830" applyFont="1" applyBorder="1" applyAlignment="1">
      <alignment horizontal="center" vertical="center" textRotation="90"/>
    </xf>
    <xf numFmtId="0" fontId="193" fillId="0" borderId="20" xfId="830" applyFont="1" applyBorder="1" applyAlignment="1">
      <alignment horizontal="center" vertical="center" textRotation="90"/>
    </xf>
    <xf numFmtId="0" fontId="193" fillId="0" borderId="186" xfId="830" applyFont="1" applyFill="1" applyBorder="1" applyAlignment="1">
      <alignment horizontal="center" vertical="center"/>
    </xf>
    <xf numFmtId="0" fontId="193" fillId="0" borderId="187" xfId="830" applyFont="1" applyFill="1" applyBorder="1" applyAlignment="1">
      <alignment horizontal="center" vertical="center"/>
    </xf>
    <xf numFmtId="0" fontId="169" fillId="0" borderId="182" xfId="830" applyFont="1" applyBorder="1" applyAlignment="1">
      <alignment horizontal="center" vertical="center" textRotation="90"/>
    </xf>
    <xf numFmtId="0" fontId="169" fillId="0" borderId="184" xfId="830" applyFont="1" applyBorder="1" applyAlignment="1">
      <alignment horizontal="center" vertical="center" textRotation="90"/>
    </xf>
    <xf numFmtId="0" fontId="169" fillId="0" borderId="186" xfId="830" applyFont="1" applyFill="1" applyBorder="1" applyAlignment="1">
      <alignment horizontal="center" vertical="center"/>
    </xf>
    <xf numFmtId="0" fontId="169" fillId="0" borderId="187" xfId="830" applyFont="1" applyFill="1" applyBorder="1" applyAlignment="1">
      <alignment horizontal="center" vertical="center"/>
    </xf>
    <xf numFmtId="0" fontId="167" fillId="0" borderId="182" xfId="830" applyFont="1" applyBorder="1" applyAlignment="1">
      <alignment horizontal="center" vertical="center" textRotation="90"/>
    </xf>
    <xf numFmtId="0" fontId="167" fillId="0" borderId="184" xfId="830" applyFont="1" applyBorder="1" applyAlignment="1">
      <alignment horizontal="center" vertical="center" textRotation="90"/>
    </xf>
    <xf numFmtId="0" fontId="167" fillId="0" borderId="186" xfId="830" applyFont="1" applyFill="1" applyBorder="1" applyAlignment="1">
      <alignment horizontal="center" vertical="center"/>
    </xf>
    <xf numFmtId="0" fontId="167" fillId="0" borderId="187" xfId="830" applyFont="1" applyFill="1" applyBorder="1" applyAlignment="1">
      <alignment horizontal="center" vertical="center"/>
    </xf>
    <xf numFmtId="0" fontId="168" fillId="0" borderId="185" xfId="830" applyFont="1" applyBorder="1" applyAlignment="1">
      <alignment horizontal="center" vertical="center" textRotation="90"/>
    </xf>
    <xf numFmtId="0" fontId="168" fillId="0" borderId="21" xfId="830" applyFont="1" applyBorder="1" applyAlignment="1">
      <alignment horizontal="center" vertical="center" textRotation="90"/>
    </xf>
    <xf numFmtId="0" fontId="168" fillId="0" borderId="20" xfId="830" applyFont="1" applyBorder="1" applyAlignment="1">
      <alignment horizontal="center" vertical="center" textRotation="90"/>
    </xf>
    <xf numFmtId="0" fontId="168" fillId="0" borderId="186" xfId="830" applyFont="1" applyFill="1" applyBorder="1" applyAlignment="1">
      <alignment horizontal="center" vertical="center"/>
    </xf>
    <xf numFmtId="0" fontId="168" fillId="0" borderId="187" xfId="830" applyFont="1" applyFill="1" applyBorder="1" applyAlignment="1">
      <alignment horizontal="center" vertical="center"/>
    </xf>
    <xf numFmtId="0" fontId="166" fillId="0" borderId="182" xfId="830" applyFont="1" applyBorder="1" applyAlignment="1">
      <alignment horizontal="center" vertical="center" textRotation="90"/>
    </xf>
    <xf numFmtId="0" fontId="166" fillId="0" borderId="184" xfId="830" applyFont="1" applyBorder="1" applyAlignment="1">
      <alignment horizontal="center" vertical="center" textRotation="90"/>
    </xf>
    <xf numFmtId="0" fontId="166" fillId="0" borderId="186" xfId="830" applyFont="1" applyFill="1" applyBorder="1" applyAlignment="1">
      <alignment horizontal="center" vertical="center"/>
    </xf>
    <xf numFmtId="0" fontId="166" fillId="0" borderId="187" xfId="830" applyFont="1" applyFill="1" applyBorder="1" applyAlignment="1">
      <alignment horizontal="center" vertical="center"/>
    </xf>
    <xf numFmtId="0" fontId="21" fillId="0" borderId="218" xfId="830" applyFont="1" applyBorder="1" applyAlignment="1">
      <alignment horizontal="center" vertical="center"/>
    </xf>
    <xf numFmtId="0" fontId="133" fillId="0" borderId="0" xfId="830" applyFont="1" applyBorder="1" applyAlignment="1">
      <alignment horizontal="left" vertical="center" wrapText="1"/>
    </xf>
    <xf numFmtId="0" fontId="28" fillId="0" borderId="13" xfId="830" applyFont="1" applyFill="1" applyBorder="1" applyAlignment="1">
      <alignment horizontal="center" vertical="center" wrapText="1"/>
    </xf>
    <xf numFmtId="0" fontId="28" fillId="0" borderId="14" xfId="830" applyFont="1" applyFill="1" applyBorder="1" applyAlignment="1">
      <alignment horizontal="center" vertical="center" wrapText="1"/>
    </xf>
    <xf numFmtId="0" fontId="28" fillId="0" borderId="15" xfId="830" applyFont="1" applyFill="1" applyBorder="1" applyAlignment="1">
      <alignment horizontal="center" vertical="center" wrapText="1"/>
    </xf>
    <xf numFmtId="0" fontId="21" fillId="0" borderId="184" xfId="830" applyFont="1" applyFill="1" applyBorder="1" applyAlignment="1">
      <alignment horizontal="center" vertical="center" wrapText="1"/>
    </xf>
    <xf numFmtId="0" fontId="21" fillId="0" borderId="186" xfId="830" applyFont="1" applyFill="1" applyBorder="1" applyAlignment="1">
      <alignment horizontal="center" vertical="center" wrapText="1"/>
    </xf>
    <xf numFmtId="0" fontId="14" fillId="0" borderId="218" xfId="830" applyFont="1" applyBorder="1" applyAlignment="1">
      <alignment horizontal="center" vertical="center"/>
    </xf>
    <xf numFmtId="0" fontId="14" fillId="0" borderId="21" xfId="830" applyFont="1" applyBorder="1" applyAlignment="1">
      <alignment horizontal="center" vertical="center"/>
    </xf>
    <xf numFmtId="0" fontId="14" fillId="0" borderId="23" xfId="830" applyFont="1" applyBorder="1" applyAlignment="1">
      <alignment horizontal="center" vertical="center"/>
    </xf>
    <xf numFmtId="0" fontId="177" fillId="0" borderId="195" xfId="830" applyFont="1" applyBorder="1" applyAlignment="1">
      <alignment horizontal="center" vertical="center" textRotation="90"/>
    </xf>
    <xf numFmtId="0" fontId="28" fillId="0" borderId="244" xfId="830" applyFont="1" applyFill="1" applyBorder="1" applyAlignment="1">
      <alignment horizontal="center" vertical="center" wrapText="1"/>
    </xf>
    <xf numFmtId="0" fontId="179" fillId="0" borderId="234" xfId="830" applyFont="1" applyBorder="1" applyAlignment="1">
      <alignment horizontal="center" vertical="center" textRotation="90"/>
    </xf>
    <xf numFmtId="0" fontId="179" fillId="0" borderId="16" xfId="830" applyFont="1" applyBorder="1" applyAlignment="1">
      <alignment horizontal="center" vertical="center" textRotation="90"/>
    </xf>
    <xf numFmtId="0" fontId="176" fillId="0" borderId="242" xfId="830" applyFont="1" applyBorder="1" applyAlignment="1">
      <alignment horizontal="center" vertical="center" textRotation="90"/>
    </xf>
    <xf numFmtId="0" fontId="21" fillId="0" borderId="242" xfId="830" applyFont="1" applyBorder="1" applyAlignment="1">
      <alignment horizontal="center" vertical="center"/>
    </xf>
    <xf numFmtId="0" fontId="21" fillId="0" borderId="239" xfId="830" applyFont="1" applyBorder="1" applyAlignment="1">
      <alignment horizontal="center" vertical="center"/>
    </xf>
    <xf numFmtId="0" fontId="124" fillId="0" borderId="0" xfId="830" applyFont="1" applyBorder="1" applyAlignment="1">
      <alignment horizontal="left" vertical="center" wrapText="1"/>
    </xf>
    <xf numFmtId="0" fontId="132" fillId="0" borderId="18" xfId="655" applyFont="1" applyFill="1" applyBorder="1" applyAlignment="1">
      <alignment horizontal="center" vertical="center" wrapText="1"/>
    </xf>
    <xf numFmtId="0" fontId="132" fillId="0" borderId="19" xfId="655" applyFont="1" applyFill="1" applyBorder="1" applyAlignment="1">
      <alignment horizontal="center" vertical="center" wrapText="1"/>
    </xf>
    <xf numFmtId="0" fontId="129" fillId="23" borderId="182" xfId="0" applyFont="1" applyFill="1" applyBorder="1" applyAlignment="1">
      <alignment horizontal="center"/>
    </xf>
    <xf numFmtId="1" fontId="128" fillId="0" borderId="13" xfId="66" applyNumberFormat="1" applyFont="1" applyFill="1" applyBorder="1" applyAlignment="1">
      <alignment horizontal="center" vertical="center" wrapText="1"/>
    </xf>
    <xf numFmtId="1" fontId="128" fillId="0" borderId="14" xfId="66" applyNumberFormat="1" applyFont="1" applyFill="1" applyBorder="1" applyAlignment="1">
      <alignment horizontal="center" vertical="center" wrapText="1"/>
    </xf>
    <xf numFmtId="1" fontId="128" fillId="0" borderId="15" xfId="66" applyNumberFormat="1" applyFont="1" applyFill="1" applyBorder="1" applyAlignment="1">
      <alignment horizontal="center" vertical="center" wrapText="1"/>
    </xf>
    <xf numFmtId="1" fontId="128" fillId="0" borderId="188" xfId="66" applyNumberFormat="1" applyFont="1" applyFill="1" applyBorder="1" applyAlignment="1">
      <alignment horizontal="center" vertical="center" wrapText="1"/>
    </xf>
    <xf numFmtId="1" fontId="128" fillId="0" borderId="189" xfId="66" applyNumberFormat="1" applyFont="1" applyFill="1" applyBorder="1" applyAlignment="1">
      <alignment horizontal="center" vertical="center" wrapText="1"/>
    </xf>
    <xf numFmtId="1" fontId="128" fillId="0" borderId="190" xfId="66" applyNumberFormat="1" applyFont="1" applyFill="1" applyBorder="1" applyAlignment="1">
      <alignment horizontal="center" vertical="center" wrapText="1"/>
    </xf>
    <xf numFmtId="0" fontId="146" fillId="23" borderId="218" xfId="66" applyFont="1" applyFill="1" applyBorder="1" applyAlignment="1">
      <alignment horizontal="center" vertical="center" wrapText="1"/>
    </xf>
    <xf numFmtId="0" fontId="146" fillId="23" borderId="21" xfId="66" applyFont="1" applyFill="1" applyBorder="1" applyAlignment="1">
      <alignment horizontal="center" vertical="center" wrapText="1"/>
    </xf>
    <xf numFmtId="0" fontId="146" fillId="23" borderId="23" xfId="66" applyFont="1" applyFill="1" applyBorder="1" applyAlignment="1">
      <alignment horizontal="center" vertical="center" wrapText="1"/>
    </xf>
    <xf numFmtId="0" fontId="175" fillId="0" borderId="182" xfId="66" applyFont="1" applyFill="1" applyBorder="1" applyAlignment="1">
      <alignment horizontal="center" vertical="center" textRotation="90" wrapText="1"/>
    </xf>
    <xf numFmtId="0" fontId="166" fillId="0" borderId="182" xfId="66" applyFont="1" applyFill="1" applyBorder="1" applyAlignment="1">
      <alignment horizontal="center" vertical="center" textRotation="90"/>
    </xf>
    <xf numFmtId="0" fontId="166" fillId="0" borderId="242" xfId="66" applyFont="1" applyFill="1" applyBorder="1" applyAlignment="1">
      <alignment horizontal="center" vertical="center" textRotation="90"/>
    </xf>
    <xf numFmtId="0" fontId="166" fillId="0" borderId="184" xfId="66" applyFont="1" applyFill="1" applyBorder="1" applyAlignment="1">
      <alignment horizontal="center" vertical="center" textRotation="90"/>
    </xf>
    <xf numFmtId="0" fontId="146" fillId="23" borderId="18" xfId="66" applyFont="1" applyFill="1" applyBorder="1" applyAlignment="1">
      <alignment horizontal="center" vertical="center"/>
    </xf>
    <xf numFmtId="0" fontId="179" fillId="0" borderId="182" xfId="66" applyFont="1" applyFill="1" applyBorder="1" applyAlignment="1">
      <alignment horizontal="center" vertical="center" textRotation="90" wrapText="1"/>
    </xf>
    <xf numFmtId="0" fontId="179" fillId="0" borderId="242" xfId="66" applyFont="1" applyFill="1" applyBorder="1" applyAlignment="1">
      <alignment horizontal="center" vertical="center" textRotation="90" wrapText="1"/>
    </xf>
    <xf numFmtId="0" fontId="179" fillId="0" borderId="184" xfId="66" applyFont="1" applyFill="1" applyBorder="1" applyAlignment="1">
      <alignment horizontal="center" vertical="center" textRotation="90" wrapText="1"/>
    </xf>
    <xf numFmtId="0" fontId="184" fillId="0" borderId="22" xfId="66" applyFont="1" applyBorder="1" applyAlignment="1">
      <alignment horizontal="center" vertical="center" wrapText="1"/>
    </xf>
    <xf numFmtId="0" fontId="184" fillId="0" borderId="187" xfId="66" applyFont="1" applyBorder="1" applyAlignment="1">
      <alignment horizontal="center" vertical="center" wrapText="1"/>
    </xf>
    <xf numFmtId="0" fontId="184" fillId="0" borderId="178" xfId="66" applyFont="1" applyBorder="1" applyAlignment="1">
      <alignment horizontal="center" vertical="center" wrapText="1"/>
    </xf>
    <xf numFmtId="0" fontId="179" fillId="0" borderId="187" xfId="66" applyFont="1" applyFill="1" applyBorder="1" applyAlignment="1">
      <alignment horizontal="center" vertical="center" wrapText="1"/>
    </xf>
    <xf numFmtId="0" fontId="179" fillId="0" borderId="182" xfId="66" applyFont="1" applyFill="1" applyBorder="1" applyAlignment="1">
      <alignment horizontal="center" vertical="center" wrapText="1"/>
    </xf>
    <xf numFmtId="0" fontId="176" fillId="0" borderId="182" xfId="66" applyFont="1" applyFill="1" applyBorder="1" applyAlignment="1">
      <alignment horizontal="center" vertical="center" textRotation="90" wrapText="1"/>
    </xf>
    <xf numFmtId="0" fontId="167" fillId="0" borderId="184" xfId="66" applyFont="1" applyFill="1" applyBorder="1" applyAlignment="1">
      <alignment horizontal="center" vertical="center" textRotation="90"/>
    </xf>
    <xf numFmtId="0" fontId="176" fillId="0" borderId="187" xfId="66" applyFont="1" applyFill="1" applyBorder="1" applyAlignment="1">
      <alignment horizontal="center" vertical="center" wrapText="1"/>
    </xf>
    <xf numFmtId="0" fontId="176" fillId="0" borderId="182" xfId="66" applyFont="1" applyFill="1" applyBorder="1" applyAlignment="1">
      <alignment horizontal="center" vertical="center" wrapText="1"/>
    </xf>
    <xf numFmtId="0" fontId="145" fillId="0" borderId="13" xfId="0" applyFont="1" applyFill="1" applyBorder="1" applyAlignment="1">
      <alignment horizontal="center" vertical="center"/>
    </xf>
    <xf numFmtId="0" fontId="145" fillId="0" borderId="10" xfId="0" applyFont="1" applyFill="1" applyBorder="1" applyAlignment="1">
      <alignment horizontal="center" vertical="center"/>
    </xf>
    <xf numFmtId="0" fontId="177" fillId="0" borderId="182" xfId="66" applyFont="1" applyFill="1" applyBorder="1" applyAlignment="1">
      <alignment horizontal="center" vertical="center" textRotation="90" wrapText="1"/>
    </xf>
    <xf numFmtId="0" fontId="177" fillId="0" borderId="242" xfId="66" applyFont="1" applyFill="1" applyBorder="1" applyAlignment="1">
      <alignment horizontal="center" vertical="center" textRotation="90" wrapText="1"/>
    </xf>
    <xf numFmtId="0" fontId="177" fillId="0" borderId="184" xfId="66" applyFont="1" applyFill="1" applyBorder="1" applyAlignment="1">
      <alignment horizontal="center" vertical="center" textRotation="90" wrapText="1"/>
    </xf>
    <xf numFmtId="0" fontId="184" fillId="0" borderId="243" xfId="66" applyFont="1" applyBorder="1" applyAlignment="1">
      <alignment horizontal="center" vertical="center" wrapText="1"/>
    </xf>
    <xf numFmtId="0" fontId="184" fillId="0" borderId="241" xfId="66" applyFont="1" applyBorder="1" applyAlignment="1">
      <alignment horizontal="center" vertical="center" wrapText="1"/>
    </xf>
    <xf numFmtId="0" fontId="177" fillId="0" borderId="187" xfId="66" applyFont="1" applyFill="1" applyBorder="1" applyAlignment="1">
      <alignment horizontal="center" vertical="center" wrapText="1"/>
    </xf>
    <xf numFmtId="0" fontId="177" fillId="0" borderId="182" xfId="66" applyFont="1" applyFill="1" applyBorder="1" applyAlignment="1">
      <alignment horizontal="center" vertical="center" wrapText="1"/>
    </xf>
    <xf numFmtId="0" fontId="146" fillId="23" borderId="182" xfId="66" applyFont="1" applyFill="1" applyBorder="1" applyAlignment="1">
      <alignment horizontal="center" vertical="center" wrapText="1"/>
    </xf>
    <xf numFmtId="0" fontId="175" fillId="0" borderId="18" xfId="0" applyFont="1" applyFill="1" applyBorder="1" applyAlignment="1">
      <alignment horizontal="center" vertical="center" textRotation="90" wrapText="1"/>
    </xf>
    <xf numFmtId="0" fontId="175" fillId="0" borderId="182" xfId="0" applyFont="1" applyFill="1" applyBorder="1" applyAlignment="1">
      <alignment horizontal="center" vertical="center" textRotation="90" wrapText="1"/>
    </xf>
    <xf numFmtId="0" fontId="175" fillId="0" borderId="13" xfId="0" applyFont="1" applyFill="1" applyBorder="1" applyAlignment="1">
      <alignment horizontal="center" vertical="center" textRotation="90" wrapText="1"/>
    </xf>
    <xf numFmtId="0" fontId="175" fillId="0" borderId="186" xfId="0" applyFont="1" applyFill="1" applyBorder="1" applyAlignment="1">
      <alignment horizontal="center" vertical="center" wrapText="1"/>
    </xf>
    <xf numFmtId="0" fontId="175" fillId="0" borderId="187" xfId="0" applyFont="1" applyFill="1" applyBorder="1" applyAlignment="1">
      <alignment horizontal="center" vertical="center" wrapText="1"/>
    </xf>
    <xf numFmtId="0" fontId="129" fillId="0" borderId="176" xfId="0" applyFont="1" applyFill="1" applyBorder="1" applyAlignment="1">
      <alignment horizontal="center" vertical="center" wrapText="1"/>
    </xf>
    <xf numFmtId="0" fontId="129" fillId="0" borderId="176" xfId="0" applyFont="1" applyBorder="1" applyAlignment="1">
      <alignment horizontal="center" vertical="center" wrapText="1"/>
    </xf>
    <xf numFmtId="0" fontId="129" fillId="0" borderId="188" xfId="0" applyFont="1" applyBorder="1" applyAlignment="1">
      <alignment horizontal="center" vertical="center" wrapText="1"/>
    </xf>
    <xf numFmtId="0" fontId="129" fillId="0" borderId="16" xfId="0" applyFont="1" applyBorder="1" applyAlignment="1">
      <alignment horizontal="center" vertical="center" wrapText="1"/>
    </xf>
    <xf numFmtId="0" fontId="129" fillId="0" borderId="20" xfId="0" applyFont="1" applyBorder="1" applyAlignment="1">
      <alignment horizontal="center" vertical="center" wrapText="1"/>
    </xf>
    <xf numFmtId="0" fontId="177" fillId="0" borderId="10" xfId="0" applyFont="1" applyFill="1" applyBorder="1" applyAlignment="1">
      <alignment horizontal="center" vertical="center" wrapText="1"/>
    </xf>
    <xf numFmtId="0" fontId="176" fillId="0" borderId="185" xfId="0" applyFont="1" applyFill="1" applyBorder="1" applyAlignment="1">
      <alignment horizontal="center" vertical="center" textRotation="90" wrapText="1"/>
    </xf>
    <xf numFmtId="0" fontId="176" fillId="0" borderId="21" xfId="0" applyFont="1" applyFill="1" applyBorder="1" applyAlignment="1">
      <alignment horizontal="center" vertical="center" textRotation="90" wrapText="1"/>
    </xf>
    <xf numFmtId="0" fontId="176" fillId="0" borderId="23" xfId="0" applyFont="1" applyFill="1" applyBorder="1" applyAlignment="1">
      <alignment horizontal="center" vertical="center" textRotation="90" wrapText="1"/>
    </xf>
    <xf numFmtId="0" fontId="177" fillId="0" borderId="188" xfId="0" applyFont="1" applyFill="1" applyBorder="1" applyAlignment="1">
      <alignment horizontal="center" vertical="center" textRotation="90" wrapText="1"/>
    </xf>
    <xf numFmtId="0" fontId="177" fillId="0" borderId="16" xfId="0" applyFont="1" applyFill="1" applyBorder="1" applyAlignment="1">
      <alignment horizontal="center" vertical="center" textRotation="90" wrapText="1"/>
    </xf>
    <xf numFmtId="0" fontId="177" fillId="0" borderId="20" xfId="0" applyFont="1" applyFill="1" applyBorder="1" applyAlignment="1">
      <alignment horizontal="center" vertical="center" textRotation="90" wrapText="1"/>
    </xf>
    <xf numFmtId="0" fontId="129" fillId="0" borderId="185" xfId="0" applyFont="1" applyBorder="1" applyAlignment="1">
      <alignment horizontal="center" vertical="center" wrapText="1"/>
    </xf>
    <xf numFmtId="0" fontId="179" fillId="0" borderId="185" xfId="0" applyFont="1" applyFill="1" applyBorder="1" applyAlignment="1">
      <alignment horizontal="center" vertical="center" textRotation="90" wrapText="1"/>
    </xf>
    <xf numFmtId="0" fontId="179" fillId="0" borderId="21" xfId="0" applyFont="1" applyFill="1" applyBorder="1" applyAlignment="1">
      <alignment horizontal="center" vertical="center" textRotation="90" wrapText="1"/>
    </xf>
    <xf numFmtId="0" fontId="179" fillId="0" borderId="23" xfId="0" applyFont="1" applyFill="1" applyBorder="1" applyAlignment="1">
      <alignment horizontal="center" vertical="center" textRotation="90" wrapText="1"/>
    </xf>
    <xf numFmtId="0" fontId="36" fillId="0" borderId="185" xfId="0" applyFont="1" applyFill="1" applyBorder="1" applyAlignment="1">
      <alignment horizontal="center" vertical="center" wrapText="1"/>
    </xf>
    <xf numFmtId="0" fontId="36" fillId="0" borderId="20" xfId="0" applyFont="1" applyFill="1" applyBorder="1" applyAlignment="1">
      <alignment horizontal="center" vertical="center" wrapText="1"/>
    </xf>
    <xf numFmtId="0" fontId="147" fillId="0" borderId="188" xfId="0" applyFont="1" applyFill="1" applyBorder="1" applyAlignment="1">
      <alignment horizontal="center" vertical="center" wrapText="1"/>
    </xf>
    <xf numFmtId="0" fontId="147" fillId="0" borderId="20" xfId="0" applyFont="1" applyFill="1" applyBorder="1" applyAlignment="1">
      <alignment horizontal="center" vertical="center" wrapText="1"/>
    </xf>
    <xf numFmtId="0" fontId="179" fillId="0" borderId="186" xfId="0" applyFont="1" applyFill="1" applyBorder="1" applyAlignment="1">
      <alignment horizontal="center" vertical="center" wrapText="1"/>
    </xf>
    <xf numFmtId="0" fontId="179" fillId="0" borderId="187" xfId="0" applyFont="1" applyFill="1" applyBorder="1" applyAlignment="1">
      <alignment horizontal="center" vertical="center" wrapText="1"/>
    </xf>
    <xf numFmtId="0" fontId="176" fillId="0" borderId="186" xfId="0" applyFont="1" applyFill="1" applyBorder="1" applyAlignment="1">
      <alignment horizontal="center" vertical="center" wrapText="1"/>
    </xf>
    <xf numFmtId="0" fontId="176" fillId="0" borderId="187" xfId="0" applyFont="1" applyFill="1" applyBorder="1" applyAlignment="1">
      <alignment horizontal="center" vertical="center" wrapText="1"/>
    </xf>
    <xf numFmtId="0" fontId="128" fillId="0" borderId="185" xfId="0" applyFont="1" applyFill="1" applyBorder="1" applyAlignment="1">
      <alignment horizontal="center" vertical="center" wrapText="1"/>
    </xf>
    <xf numFmtId="0" fontId="128" fillId="0" borderId="20" xfId="0" applyFont="1" applyFill="1" applyBorder="1" applyAlignment="1">
      <alignment horizontal="center" vertical="center" wrapText="1"/>
    </xf>
    <xf numFmtId="0" fontId="128" fillId="0" borderId="182" xfId="0" applyFont="1" applyFill="1" applyBorder="1" applyAlignment="1">
      <alignment horizontal="center" vertical="center" wrapText="1"/>
    </xf>
    <xf numFmtId="0" fontId="184" fillId="0" borderId="239" xfId="66" applyFont="1" applyBorder="1" applyAlignment="1">
      <alignment horizontal="center" vertical="center" wrapText="1"/>
    </xf>
    <xf numFmtId="0" fontId="184" fillId="0" borderId="21" xfId="66" applyFont="1" applyBorder="1" applyAlignment="1">
      <alignment horizontal="center" vertical="center" wrapText="1"/>
    </xf>
    <xf numFmtId="0" fontId="184" fillId="0" borderId="23" xfId="66" applyFont="1" applyBorder="1" applyAlignment="1">
      <alignment horizontal="center" vertical="center" wrapText="1"/>
    </xf>
    <xf numFmtId="0" fontId="145" fillId="0" borderId="184" xfId="0" applyFont="1" applyFill="1" applyBorder="1" applyAlignment="1">
      <alignment horizontal="center" vertical="center"/>
    </xf>
    <xf numFmtId="0" fontId="145" fillId="0" borderId="187" xfId="0" applyFont="1" applyFill="1" applyBorder="1" applyAlignment="1">
      <alignment horizontal="center" vertical="center"/>
    </xf>
    <xf numFmtId="0" fontId="184" fillId="0" borderId="197" xfId="66" applyFont="1" applyBorder="1" applyAlignment="1">
      <alignment horizontal="center" vertical="center" wrapText="1"/>
    </xf>
    <xf numFmtId="0" fontId="175" fillId="0" borderId="187" xfId="66" applyFont="1" applyFill="1" applyBorder="1" applyAlignment="1">
      <alignment horizontal="center" vertical="center" wrapText="1"/>
    </xf>
    <xf numFmtId="0" fontId="175" fillId="0" borderId="182" xfId="66" applyFont="1" applyFill="1" applyBorder="1" applyAlignment="1">
      <alignment horizontal="center" vertical="center" wrapText="1"/>
    </xf>
    <xf numFmtId="0" fontId="132" fillId="0" borderId="13" xfId="464" applyFont="1" applyBorder="1" applyAlignment="1">
      <alignment horizontal="center" vertical="center"/>
    </xf>
    <xf numFmtId="0" fontId="132" fillId="0" borderId="10" xfId="464" applyFont="1" applyBorder="1" applyAlignment="1">
      <alignment horizontal="center" vertical="center"/>
    </xf>
    <xf numFmtId="0" fontId="76" fillId="22" borderId="13" xfId="0" applyFont="1" applyFill="1" applyBorder="1" applyAlignment="1">
      <alignment horizontal="center" vertical="center"/>
    </xf>
    <xf numFmtId="0" fontId="76" fillId="22" borderId="14" xfId="0" applyFont="1" applyFill="1" applyBorder="1" applyAlignment="1">
      <alignment horizontal="center" vertical="center"/>
    </xf>
    <xf numFmtId="0" fontId="76" fillId="22" borderId="10" xfId="0" applyFont="1" applyFill="1" applyBorder="1" applyAlignment="1">
      <alignment horizontal="center" vertical="center"/>
    </xf>
    <xf numFmtId="1" fontId="76" fillId="19" borderId="13" xfId="50" applyNumberFormat="1" applyFont="1" applyFill="1" applyBorder="1" applyAlignment="1">
      <alignment horizontal="center" vertical="center" wrapText="1"/>
    </xf>
    <xf numFmtId="1" fontId="76" fillId="19" borderId="10" xfId="50" applyNumberFormat="1" applyFont="1" applyFill="1" applyBorder="1" applyAlignment="1">
      <alignment horizontal="center" vertical="center" wrapText="1"/>
    </xf>
    <xf numFmtId="0" fontId="73" fillId="21" borderId="13" xfId="0" applyFont="1" applyFill="1" applyBorder="1" applyAlignment="1">
      <alignment horizontal="center" vertical="center"/>
    </xf>
    <xf numFmtId="0" fontId="73" fillId="19" borderId="14" xfId="0" applyFont="1" applyFill="1" applyBorder="1" applyAlignment="1">
      <alignment horizontal="center" vertical="center"/>
    </xf>
    <xf numFmtId="0" fontId="73" fillId="19" borderId="10" xfId="0" applyFont="1" applyFill="1" applyBorder="1" applyAlignment="1">
      <alignment horizontal="center" vertical="center"/>
    </xf>
    <xf numFmtId="0" fontId="72" fillId="0" borderId="0" xfId="0" applyFont="1" applyAlignment="1">
      <alignment horizontal="center" vertical="center"/>
    </xf>
    <xf numFmtId="1" fontId="76" fillId="19" borderId="14" xfId="50" applyNumberFormat="1" applyFont="1" applyFill="1" applyBorder="1" applyAlignment="1">
      <alignment horizontal="center" vertical="center" wrapText="1"/>
    </xf>
    <xf numFmtId="1" fontId="73" fillId="19" borderId="18" xfId="50" applyNumberFormat="1" applyFont="1" applyFill="1" applyBorder="1" applyAlignment="1">
      <alignment horizontal="center" vertical="center" wrapText="1"/>
    </xf>
    <xf numFmtId="1" fontId="72" fillId="19" borderId="13" xfId="50" applyNumberFormat="1" applyFont="1" applyFill="1" applyBorder="1" applyAlignment="1">
      <alignment horizontal="center" vertical="center" wrapText="1"/>
    </xf>
    <xf numFmtId="1" fontId="72" fillId="19" borderId="10" xfId="50" applyNumberFormat="1" applyFont="1" applyFill="1" applyBorder="1" applyAlignment="1">
      <alignment horizontal="center" vertical="center" wrapText="1"/>
    </xf>
    <xf numFmtId="1" fontId="72" fillId="19" borderId="14" xfId="50" applyNumberFormat="1" applyFont="1" applyFill="1" applyBorder="1" applyAlignment="1">
      <alignment horizontal="center" vertical="center" wrapText="1"/>
    </xf>
    <xf numFmtId="0" fontId="76" fillId="19" borderId="13" xfId="0" applyFont="1" applyFill="1" applyBorder="1" applyAlignment="1">
      <alignment horizontal="center" vertical="center"/>
    </xf>
    <xf numFmtId="0" fontId="76" fillId="19" borderId="14" xfId="0" applyFont="1" applyFill="1" applyBorder="1" applyAlignment="1">
      <alignment horizontal="center" vertical="center"/>
    </xf>
    <xf numFmtId="0" fontId="76" fillId="19" borderId="10" xfId="0" applyFont="1" applyFill="1" applyBorder="1" applyAlignment="1">
      <alignment horizontal="center" vertical="center"/>
    </xf>
    <xf numFmtId="0" fontId="132" fillId="0" borderId="260" xfId="655" applyFont="1" applyFill="1" applyBorder="1" applyAlignment="1">
      <alignment horizontal="center" vertical="center" wrapText="1"/>
    </xf>
    <xf numFmtId="0" fontId="132" fillId="0" borderId="261" xfId="655" applyFont="1" applyFill="1" applyBorder="1" applyAlignment="1">
      <alignment horizontal="center" vertical="center" wrapText="1"/>
    </xf>
    <xf numFmtId="0" fontId="132" fillId="0" borderId="262" xfId="655" applyFont="1" applyFill="1" applyBorder="1" applyAlignment="1">
      <alignment horizontal="center" vertical="center" wrapText="1"/>
    </xf>
    <xf numFmtId="0" fontId="132" fillId="23" borderId="218" xfId="655" applyFont="1" applyFill="1" applyBorder="1" applyAlignment="1">
      <alignment horizontal="center" vertical="center" wrapText="1"/>
    </xf>
    <xf numFmtId="0" fontId="132" fillId="23" borderId="23" xfId="655" applyFont="1" applyFill="1" applyBorder="1" applyAlignment="1">
      <alignment horizontal="center" vertical="center" wrapText="1"/>
    </xf>
    <xf numFmtId="0" fontId="175" fillId="0" borderId="267" xfId="655" applyFont="1" applyFill="1" applyBorder="1" applyAlignment="1">
      <alignment horizontal="center" vertical="center" wrapText="1"/>
    </xf>
    <xf numFmtId="0" fontId="175" fillId="0" borderId="263" xfId="655" applyFont="1" applyFill="1" applyBorder="1" applyAlignment="1">
      <alignment horizontal="center" vertical="center" wrapText="1"/>
    </xf>
    <xf numFmtId="0" fontId="176" fillId="0" borderId="264" xfId="655" applyFont="1" applyFill="1" applyBorder="1" applyAlignment="1">
      <alignment horizontal="center" vertical="center" textRotation="90" wrapText="1"/>
    </xf>
    <xf numFmtId="0" fontId="176" fillId="0" borderId="21" xfId="655" applyFont="1" applyFill="1" applyBorder="1" applyAlignment="1">
      <alignment horizontal="center" vertical="center" textRotation="90" wrapText="1"/>
    </xf>
    <xf numFmtId="0" fontId="176" fillId="0" borderId="23" xfId="655" applyFont="1" applyFill="1" applyBorder="1" applyAlignment="1">
      <alignment horizontal="center" vertical="center" textRotation="90" wrapText="1"/>
    </xf>
    <xf numFmtId="0" fontId="129" fillId="0" borderId="264" xfId="655" applyFont="1" applyFill="1" applyBorder="1" applyAlignment="1">
      <alignment horizontal="center" vertical="center" wrapText="1"/>
    </xf>
    <xf numFmtId="0" fontId="129" fillId="0" borderId="21" xfId="655" applyFont="1" applyFill="1" applyBorder="1" applyAlignment="1">
      <alignment horizontal="center" vertical="center" wrapText="1"/>
    </xf>
    <xf numFmtId="0" fontId="129" fillId="0" borderId="23" xfId="655" applyFont="1" applyFill="1" applyBorder="1" applyAlignment="1">
      <alignment horizontal="center" vertical="center" wrapText="1"/>
    </xf>
    <xf numFmtId="0" fontId="147" fillId="0" borderId="264" xfId="655" applyFont="1" applyBorder="1" applyAlignment="1">
      <alignment horizontal="center" vertical="center" wrapText="1"/>
    </xf>
    <xf numFmtId="0" fontId="147" fillId="0" borderId="23" xfId="655" applyFont="1" applyBorder="1" applyAlignment="1">
      <alignment horizontal="center" vertical="center" wrapText="1"/>
    </xf>
    <xf numFmtId="0" fontId="147" fillId="0" borderId="21" xfId="655" applyFont="1" applyBorder="1" applyAlignment="1">
      <alignment horizontal="center" vertical="center" wrapText="1"/>
    </xf>
    <xf numFmtId="0" fontId="176" fillId="0" borderId="267" xfId="655" applyFont="1" applyFill="1" applyBorder="1" applyAlignment="1">
      <alignment horizontal="center" vertical="center" wrapText="1"/>
    </xf>
    <xf numFmtId="0" fontId="176" fillId="0" borderId="263" xfId="655" applyFont="1" applyFill="1" applyBorder="1" applyAlignment="1">
      <alignment vertical="center"/>
    </xf>
    <xf numFmtId="0" fontId="175" fillId="0" borderId="264" xfId="655" applyFont="1" applyFill="1" applyBorder="1" applyAlignment="1">
      <alignment horizontal="center" vertical="center" textRotation="90"/>
    </xf>
    <xf numFmtId="0" fontId="175" fillId="0" borderId="21" xfId="655" applyFont="1" applyFill="1" applyBorder="1" applyAlignment="1">
      <alignment horizontal="center" vertical="center" textRotation="90"/>
    </xf>
    <xf numFmtId="0" fontId="175" fillId="0" borderId="16" xfId="655" applyFont="1" applyFill="1" applyBorder="1" applyAlignment="1">
      <alignment horizontal="center" vertical="center" textRotation="90"/>
    </xf>
    <xf numFmtId="0" fontId="175" fillId="0" borderId="20" xfId="655" applyFont="1" applyFill="1" applyBorder="1" applyAlignment="1">
      <alignment horizontal="center" vertical="center" textRotation="90"/>
    </xf>
    <xf numFmtId="0" fontId="147" fillId="0" borderId="266" xfId="655" applyFont="1" applyBorder="1" applyAlignment="1">
      <alignment horizontal="center" vertical="center" wrapText="1"/>
    </xf>
    <xf numFmtId="0" fontId="179" fillId="0" borderId="269" xfId="655" applyFont="1" applyFill="1" applyBorder="1" applyAlignment="1">
      <alignment horizontal="center" vertical="center" textRotation="90" wrapText="1"/>
    </xf>
    <xf numFmtId="0" fontId="179" fillId="0" borderId="16" xfId="655" applyFont="1" applyFill="1" applyBorder="1" applyAlignment="1">
      <alignment horizontal="center" vertical="center" textRotation="90" wrapText="1"/>
    </xf>
    <xf numFmtId="0" fontId="179" fillId="0" borderId="20" xfId="655" applyFont="1" applyFill="1" applyBorder="1" applyAlignment="1">
      <alignment horizontal="center" vertical="center" textRotation="90" wrapText="1"/>
    </xf>
    <xf numFmtId="0" fontId="2" fillId="0" borderId="264" xfId="655" applyFont="1" applyBorder="1" applyAlignment="1">
      <alignment horizontal="center" vertical="center" wrapText="1"/>
    </xf>
    <xf numFmtId="0" fontId="2" fillId="0" borderId="21" xfId="655" applyFont="1" applyBorder="1" applyAlignment="1">
      <alignment horizontal="center" vertical="center" wrapText="1"/>
    </xf>
    <xf numFmtId="0" fontId="2" fillId="0" borderId="23" xfId="655" applyFont="1" applyBorder="1" applyAlignment="1">
      <alignment horizontal="center" vertical="center" wrapText="1"/>
    </xf>
    <xf numFmtId="0" fontId="2" fillId="0" borderId="266" xfId="655" applyFont="1" applyBorder="1" applyAlignment="1">
      <alignment horizontal="center" vertical="center" wrapText="1"/>
    </xf>
    <xf numFmtId="0" fontId="179" fillId="0" borderId="267" xfId="655" applyFont="1" applyFill="1" applyBorder="1" applyAlignment="1">
      <alignment horizontal="center" vertical="center" wrapText="1"/>
    </xf>
    <xf numFmtId="0" fontId="179" fillId="0" borderId="263" xfId="655" applyFont="1" applyFill="1" applyBorder="1" applyAlignment="1">
      <alignment horizontal="center" vertical="center" wrapText="1"/>
    </xf>
    <xf numFmtId="0" fontId="132" fillId="23" borderId="263" xfId="655" applyFont="1" applyFill="1" applyBorder="1" applyAlignment="1">
      <alignment horizontal="center" vertical="center"/>
    </xf>
    <xf numFmtId="0" fontId="177" fillId="0" borderId="269" xfId="655" applyFont="1" applyFill="1" applyBorder="1" applyAlignment="1">
      <alignment horizontal="center" vertical="center" textRotation="90" wrapText="1"/>
    </xf>
    <xf numFmtId="0" fontId="177" fillId="0" borderId="16" xfId="655" applyFont="1" applyFill="1" applyBorder="1" applyAlignment="1">
      <alignment horizontal="center" vertical="center" textRotation="90" wrapText="1"/>
    </xf>
    <xf numFmtId="0" fontId="177" fillId="0" borderId="20" xfId="655" applyFont="1" applyFill="1" applyBorder="1" applyAlignment="1">
      <alignment horizontal="center" vertical="center" textRotation="90" wrapText="1"/>
    </xf>
    <xf numFmtId="0" fontId="177" fillId="0" borderId="267" xfId="655" applyFont="1" applyFill="1" applyBorder="1" applyAlignment="1">
      <alignment horizontal="center" vertical="center" wrapText="1"/>
    </xf>
    <xf numFmtId="0" fontId="177" fillId="0" borderId="263" xfId="655" applyFont="1" applyFill="1" applyBorder="1" applyAlignment="1">
      <alignment horizontal="center" vertical="center" wrapText="1"/>
    </xf>
    <xf numFmtId="0" fontId="132" fillId="0" borderId="177" xfId="655" applyFont="1" applyFill="1" applyBorder="1" applyAlignment="1">
      <alignment horizontal="center" vertical="center" wrapText="1"/>
    </xf>
    <xf numFmtId="0" fontId="132" fillId="0" borderId="104" xfId="655" applyFont="1" applyFill="1" applyBorder="1" applyAlignment="1">
      <alignment horizontal="center" vertical="center" wrapText="1"/>
    </xf>
    <xf numFmtId="0" fontId="132" fillId="0" borderId="178" xfId="655" applyFont="1" applyFill="1" applyBorder="1" applyAlignment="1">
      <alignment horizontal="center" vertical="center" wrapText="1"/>
    </xf>
    <xf numFmtId="0" fontId="72" fillId="0" borderId="0" xfId="0" applyFont="1" applyAlignment="1">
      <alignment horizontal="left" vertical="center" wrapText="1"/>
    </xf>
    <xf numFmtId="0" fontId="28" fillId="0" borderId="185" xfId="830" applyFont="1" applyBorder="1" applyAlignment="1">
      <alignment horizontal="center" vertical="center"/>
    </xf>
    <xf numFmtId="0" fontId="28" fillId="0" borderId="21" xfId="830" applyFont="1" applyBorder="1" applyAlignment="1">
      <alignment horizontal="center" vertical="center"/>
    </xf>
    <xf numFmtId="0" fontId="28" fillId="0" borderId="23" xfId="830" applyFont="1" applyBorder="1" applyAlignment="1">
      <alignment horizontal="center" vertical="center"/>
    </xf>
    <xf numFmtId="0" fontId="167" fillId="0" borderId="234" xfId="830" applyFont="1" applyBorder="1" applyAlignment="1">
      <alignment horizontal="center" vertical="center"/>
    </xf>
    <xf numFmtId="0" fontId="167" fillId="0" borderId="16" xfId="830" applyFont="1" applyBorder="1" applyAlignment="1">
      <alignment horizontal="center" vertical="center"/>
    </xf>
    <xf numFmtId="0" fontId="167" fillId="0" borderId="20" xfId="830" applyFont="1" applyBorder="1" applyAlignment="1">
      <alignment horizontal="center" vertical="center"/>
    </xf>
    <xf numFmtId="0" fontId="132" fillId="0" borderId="13" xfId="830" applyFont="1" applyBorder="1" applyAlignment="1">
      <alignment horizontal="center" vertical="center" wrapText="1"/>
    </xf>
    <xf numFmtId="0" fontId="132" fillId="0" borderId="14" xfId="830" applyFont="1" applyBorder="1" applyAlignment="1">
      <alignment horizontal="center" vertical="center" wrapText="1"/>
    </xf>
    <xf numFmtId="0" fontId="132" fillId="0" borderId="15" xfId="830" applyFont="1" applyBorder="1" applyAlignment="1">
      <alignment horizontal="center" vertical="center" wrapText="1"/>
    </xf>
    <xf numFmtId="0" fontId="18" fillId="0" borderId="185" xfId="830" applyFont="1" applyBorder="1" applyAlignment="1">
      <alignment horizontal="center" vertical="center"/>
    </xf>
    <xf numFmtId="0" fontId="18" fillId="0" borderId="21" xfId="830" applyFont="1" applyBorder="1" applyAlignment="1">
      <alignment horizontal="center" vertical="center"/>
    </xf>
    <xf numFmtId="0" fontId="18" fillId="0" borderId="23" xfId="830" applyFont="1" applyBorder="1" applyAlignment="1">
      <alignment horizontal="center" vertical="center"/>
    </xf>
    <xf numFmtId="0" fontId="168" fillId="0" borderId="177" xfId="830" applyFont="1" applyBorder="1" applyAlignment="1">
      <alignment horizontal="center" vertical="center"/>
    </xf>
    <xf numFmtId="0" fontId="168" fillId="0" borderId="16" xfId="830" applyFont="1" applyBorder="1" applyAlignment="1">
      <alignment horizontal="center" vertical="center"/>
    </xf>
    <xf numFmtId="0" fontId="168" fillId="0" borderId="20" xfId="830" applyFont="1" applyBorder="1" applyAlignment="1">
      <alignment horizontal="center" vertical="center"/>
    </xf>
    <xf numFmtId="0" fontId="169" fillId="0" borderId="188" xfId="830" applyFont="1" applyBorder="1" applyAlignment="1">
      <alignment horizontal="center" vertical="center"/>
    </xf>
    <xf numFmtId="0" fontId="169" fillId="0" borderId="16" xfId="830" applyFont="1" applyBorder="1" applyAlignment="1">
      <alignment horizontal="center" vertical="center"/>
    </xf>
    <xf numFmtId="0" fontId="169" fillId="0" borderId="20" xfId="830" applyFont="1" applyBorder="1" applyAlignment="1">
      <alignment horizontal="center" vertical="center"/>
    </xf>
    <xf numFmtId="0" fontId="166" fillId="0" borderId="234" xfId="830" applyFont="1" applyBorder="1" applyAlignment="1">
      <alignment horizontal="center" vertical="center"/>
    </xf>
    <xf numFmtId="0" fontId="166" fillId="0" borderId="16" xfId="830" applyFont="1" applyBorder="1" applyAlignment="1">
      <alignment horizontal="center" vertical="center"/>
    </xf>
    <xf numFmtId="0" fontId="166" fillId="0" borderId="20" xfId="830" applyFont="1" applyBorder="1" applyAlignment="1">
      <alignment horizontal="center" vertical="center"/>
    </xf>
    <xf numFmtId="0" fontId="18" fillId="0" borderId="218" xfId="830" applyFont="1" applyBorder="1" applyAlignment="1">
      <alignment horizontal="center" vertical="center"/>
    </xf>
    <xf numFmtId="0" fontId="132" fillId="23" borderId="19" xfId="830" applyFont="1" applyFill="1" applyBorder="1" applyAlignment="1">
      <alignment horizontal="center" vertical="center"/>
    </xf>
    <xf numFmtId="0" fontId="132" fillId="23" borderId="23" xfId="830" applyFont="1" applyFill="1" applyBorder="1" applyAlignment="1">
      <alignment horizontal="center" vertical="center"/>
    </xf>
    <xf numFmtId="0" fontId="132" fillId="0" borderId="13" xfId="830" applyFont="1" applyFill="1" applyBorder="1" applyAlignment="1">
      <alignment horizontal="center" vertical="center" wrapText="1"/>
    </xf>
    <xf numFmtId="0" fontId="132" fillId="0" borderId="14" xfId="830" applyFont="1" applyFill="1" applyBorder="1" applyAlignment="1">
      <alignment horizontal="center" vertical="center" wrapText="1"/>
    </xf>
    <xf numFmtId="0" fontId="132" fillId="23" borderId="13" xfId="830" applyFont="1" applyFill="1" applyBorder="1" applyAlignment="1">
      <alignment horizontal="center" vertical="center"/>
    </xf>
    <xf numFmtId="0" fontId="132" fillId="23" borderId="14" xfId="830" applyFont="1" applyFill="1" applyBorder="1" applyAlignment="1">
      <alignment horizontal="center" vertical="center"/>
    </xf>
    <xf numFmtId="0" fontId="132" fillId="23" borderId="10" xfId="830" applyFont="1" applyFill="1" applyBorder="1" applyAlignment="1">
      <alignment horizontal="center" vertical="center"/>
    </xf>
    <xf numFmtId="0" fontId="166" fillId="0" borderId="14" xfId="830" applyFont="1" applyBorder="1" applyAlignment="1">
      <alignment horizontal="center" vertical="center"/>
    </xf>
    <xf numFmtId="0" fontId="166" fillId="0" borderId="186" xfId="830" applyFont="1" applyBorder="1" applyAlignment="1">
      <alignment horizontal="center" vertical="center"/>
    </xf>
    <xf numFmtId="0" fontId="168" fillId="0" borderId="14" xfId="830" applyFont="1" applyBorder="1" applyAlignment="1">
      <alignment horizontal="center" vertical="center"/>
    </xf>
    <xf numFmtId="0" fontId="168" fillId="0" borderId="186" xfId="830" applyFont="1" applyBorder="1" applyAlignment="1">
      <alignment horizontal="center" vertical="center"/>
    </xf>
    <xf numFmtId="0" fontId="169" fillId="0" borderId="14" xfId="830" applyFont="1" applyBorder="1" applyAlignment="1">
      <alignment horizontal="center" vertical="center"/>
    </xf>
    <xf numFmtId="0" fontId="169" fillId="0" borderId="186" xfId="830" applyFont="1" applyBorder="1" applyAlignment="1">
      <alignment horizontal="center" vertical="center"/>
    </xf>
    <xf numFmtId="0" fontId="132" fillId="23" borderId="13" xfId="830" applyFont="1" applyFill="1" applyBorder="1" applyAlignment="1">
      <alignment horizontal="center"/>
    </xf>
    <xf numFmtId="0" fontId="132" fillId="23" borderId="14" xfId="830" applyFont="1" applyFill="1" applyBorder="1" applyAlignment="1">
      <alignment horizontal="center"/>
    </xf>
    <xf numFmtId="0" fontId="132" fillId="23" borderId="186" xfId="830" applyFont="1" applyFill="1" applyBorder="1" applyAlignment="1">
      <alignment horizontal="center"/>
    </xf>
    <xf numFmtId="0" fontId="168" fillId="0" borderId="188" xfId="830" applyFont="1" applyBorder="1" applyAlignment="1">
      <alignment horizontal="center" vertical="center"/>
    </xf>
    <xf numFmtId="0" fontId="168" fillId="0" borderId="10" xfId="830" applyFont="1" applyBorder="1" applyAlignment="1">
      <alignment horizontal="center" vertical="center"/>
    </xf>
    <xf numFmtId="0" fontId="169" fillId="0" borderId="11" xfId="830" applyFont="1" applyBorder="1" applyAlignment="1">
      <alignment horizontal="center" vertical="center"/>
    </xf>
    <xf numFmtId="0" fontId="167" fillId="0" borderId="186" xfId="830" applyFont="1" applyBorder="1" applyAlignment="1">
      <alignment horizontal="center" vertical="center"/>
    </xf>
    <xf numFmtId="0" fontId="206" fillId="0" borderId="13" xfId="830" applyFont="1" applyFill="1" applyBorder="1" applyAlignment="1">
      <alignment horizontal="center" vertical="center" wrapText="1"/>
    </xf>
    <xf numFmtId="0" fontId="206" fillId="0" borderId="14" xfId="830" applyFont="1" applyFill="1" applyBorder="1" applyAlignment="1">
      <alignment horizontal="center" vertical="center" wrapText="1"/>
    </xf>
    <xf numFmtId="0" fontId="206" fillId="0" borderId="15" xfId="830" applyFont="1" applyFill="1" applyBorder="1" applyAlignment="1">
      <alignment horizontal="center" vertical="center" wrapText="1"/>
    </xf>
    <xf numFmtId="0" fontId="206" fillId="0" borderId="13" xfId="830" applyFont="1" applyBorder="1" applyAlignment="1">
      <alignment horizontal="center" vertical="center" wrapText="1"/>
    </xf>
    <xf numFmtId="0" fontId="206" fillId="0" borderId="14" xfId="830" applyFont="1" applyBorder="1" applyAlignment="1">
      <alignment horizontal="center" vertical="center" wrapText="1"/>
    </xf>
    <xf numFmtId="0" fontId="206" fillId="0" borderId="15" xfId="830" applyFont="1" applyBorder="1" applyAlignment="1">
      <alignment horizontal="center" vertical="center" wrapText="1"/>
    </xf>
    <xf numFmtId="0" fontId="166" fillId="0" borderId="10" xfId="830" applyFont="1" applyBorder="1" applyAlignment="1">
      <alignment horizontal="center" vertical="center"/>
    </xf>
    <xf numFmtId="0" fontId="128" fillId="23" borderId="185" xfId="0" applyFont="1" applyFill="1" applyBorder="1" applyAlignment="1">
      <alignment horizontal="center" vertical="center"/>
    </xf>
    <xf numFmtId="0" fontId="128" fillId="23" borderId="23" xfId="0" applyFont="1" applyFill="1" applyBorder="1" applyAlignment="1">
      <alignment horizontal="center" vertical="center"/>
    </xf>
    <xf numFmtId="0" fontId="169" fillId="0" borderId="196" xfId="0" applyFont="1" applyFill="1" applyBorder="1" applyAlignment="1">
      <alignment horizontal="center" vertical="center"/>
    </xf>
    <xf numFmtId="0" fontId="169" fillId="0" borderId="187" xfId="0" applyFont="1" applyFill="1" applyBorder="1" applyAlignment="1">
      <alignment horizontal="center" vertical="center"/>
    </xf>
    <xf numFmtId="0" fontId="169" fillId="0" borderId="18" xfId="0" applyFont="1" applyBorder="1" applyAlignment="1">
      <alignment horizontal="center" vertical="center"/>
    </xf>
    <xf numFmtId="0" fontId="169" fillId="0" borderId="184" xfId="0" applyFont="1" applyBorder="1" applyAlignment="1">
      <alignment horizontal="center" vertical="center"/>
    </xf>
    <xf numFmtId="0" fontId="128" fillId="0" borderId="18" xfId="0" applyFont="1" applyBorder="1" applyAlignment="1">
      <alignment horizontal="center" vertical="center"/>
    </xf>
    <xf numFmtId="0" fontId="166" fillId="0" borderId="18" xfId="0" applyFont="1" applyBorder="1" applyAlignment="1">
      <alignment horizontal="center" vertical="center"/>
    </xf>
    <xf numFmtId="0" fontId="166" fillId="0" borderId="184" xfId="0" applyFont="1" applyBorder="1" applyAlignment="1">
      <alignment horizontal="center" vertical="center"/>
    </xf>
    <xf numFmtId="0" fontId="167" fillId="0" borderId="18" xfId="0" applyFont="1" applyFill="1" applyBorder="1" applyAlignment="1">
      <alignment horizontal="center" vertical="center"/>
    </xf>
    <xf numFmtId="0" fontId="167" fillId="0" borderId="184" xfId="0" applyFont="1" applyFill="1" applyBorder="1" applyAlignment="1">
      <alignment horizontal="center" vertical="center"/>
    </xf>
    <xf numFmtId="0" fontId="168" fillId="0" borderId="18" xfId="0" applyFont="1" applyFill="1" applyBorder="1" applyAlignment="1">
      <alignment horizontal="center" vertical="center"/>
    </xf>
    <xf numFmtId="0" fontId="168" fillId="0" borderId="182" xfId="0" applyFont="1" applyFill="1" applyBorder="1" applyAlignment="1">
      <alignment horizontal="center" vertical="center"/>
    </xf>
    <xf numFmtId="0" fontId="168" fillId="0" borderId="184" xfId="0" applyFont="1" applyFill="1" applyBorder="1" applyAlignment="1">
      <alignment horizontal="center" vertical="center"/>
    </xf>
    <xf numFmtId="0" fontId="166" fillId="0" borderId="187" xfId="0" applyFont="1" applyFill="1" applyBorder="1" applyAlignment="1">
      <alignment horizontal="center" vertical="center"/>
    </xf>
    <xf numFmtId="0" fontId="166" fillId="0" borderId="182" xfId="0" applyFont="1" applyFill="1" applyBorder="1" applyAlignment="1">
      <alignment horizontal="center" vertical="center"/>
    </xf>
    <xf numFmtId="0" fontId="167" fillId="0" borderId="196" xfId="0" applyFont="1" applyFill="1" applyBorder="1" applyAlignment="1">
      <alignment horizontal="center" vertical="center"/>
    </xf>
    <xf numFmtId="0" fontId="167" fillId="0" borderId="187" xfId="0" applyFont="1" applyFill="1" applyBorder="1" applyAlignment="1">
      <alignment horizontal="center" vertical="center"/>
    </xf>
    <xf numFmtId="0" fontId="168" fillId="0" borderId="196" xfId="0" applyFont="1" applyFill="1" applyBorder="1" applyAlignment="1">
      <alignment horizontal="center" vertical="center"/>
    </xf>
    <xf numFmtId="0" fontId="168" fillId="0" borderId="187" xfId="0" applyFont="1" applyFill="1" applyBorder="1" applyAlignment="1">
      <alignment horizontal="center" vertical="center"/>
    </xf>
    <xf numFmtId="0" fontId="21" fillId="0" borderId="176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17" fillId="0" borderId="176" xfId="0" applyFont="1" applyFill="1" applyBorder="1" applyAlignment="1">
      <alignment horizontal="center" vertical="center"/>
    </xf>
    <xf numFmtId="0" fontId="17" fillId="0" borderId="23" xfId="0" applyFont="1" applyFill="1" applyBorder="1" applyAlignment="1">
      <alignment horizontal="center" vertical="center"/>
    </xf>
    <xf numFmtId="0" fontId="21" fillId="0" borderId="17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128" fillId="0" borderId="188" xfId="0" applyFont="1" applyBorder="1" applyAlignment="1">
      <alignment horizontal="center"/>
    </xf>
    <xf numFmtId="0" fontId="128" fillId="0" borderId="189" xfId="0" applyFont="1" applyBorder="1" applyAlignment="1">
      <alignment horizontal="center"/>
    </xf>
    <xf numFmtId="0" fontId="128" fillId="0" borderId="190" xfId="0" applyFont="1" applyBorder="1" applyAlignment="1">
      <alignment horizontal="center"/>
    </xf>
    <xf numFmtId="0" fontId="169" fillId="0" borderId="18" xfId="0" applyFont="1" applyFill="1" applyBorder="1" applyAlignment="1">
      <alignment horizontal="center" vertical="center"/>
    </xf>
    <xf numFmtId="0" fontId="169" fillId="0" borderId="182" xfId="0" applyFont="1" applyFill="1" applyBorder="1" applyAlignment="1">
      <alignment horizontal="center" vertical="center"/>
    </xf>
    <xf numFmtId="0" fontId="129" fillId="0" borderId="18" xfId="0" applyFont="1" applyBorder="1" applyAlignment="1">
      <alignment horizontal="center"/>
    </xf>
    <xf numFmtId="0" fontId="129" fillId="0" borderId="19" xfId="0" applyFont="1" applyBorder="1" applyAlignment="1">
      <alignment horizontal="center"/>
    </xf>
    <xf numFmtId="0" fontId="166" fillId="20" borderId="218" xfId="0" applyFont="1" applyFill="1" applyBorder="1" applyAlignment="1">
      <alignment horizontal="center" vertical="center"/>
    </xf>
    <xf numFmtId="0" fontId="166" fillId="20" borderId="21" xfId="0" applyFont="1" applyFill="1" applyBorder="1" applyAlignment="1">
      <alignment horizontal="center" vertical="center"/>
    </xf>
    <xf numFmtId="0" fontId="166" fillId="20" borderId="23" xfId="0" applyFont="1" applyFill="1" applyBorder="1" applyAlignment="1">
      <alignment horizontal="center" vertical="center"/>
    </xf>
    <xf numFmtId="0" fontId="167" fillId="20" borderId="218" xfId="0" applyFont="1" applyFill="1" applyBorder="1" applyAlignment="1">
      <alignment horizontal="center" vertical="center"/>
    </xf>
    <xf numFmtId="0" fontId="167" fillId="20" borderId="21" xfId="0" applyFont="1" applyFill="1" applyBorder="1" applyAlignment="1">
      <alignment horizontal="center" vertical="center"/>
    </xf>
    <xf numFmtId="0" fontId="167" fillId="20" borderId="23" xfId="0" applyFont="1" applyFill="1" applyBorder="1" applyAlignment="1">
      <alignment horizontal="center" vertical="center"/>
    </xf>
    <xf numFmtId="0" fontId="129" fillId="20" borderId="218" xfId="0" applyFont="1" applyFill="1" applyBorder="1" applyAlignment="1">
      <alignment horizontal="center" vertical="center"/>
    </xf>
    <xf numFmtId="0" fontId="129" fillId="20" borderId="21" xfId="0" applyFont="1" applyFill="1" applyBorder="1" applyAlignment="1">
      <alignment horizontal="center" vertical="center"/>
    </xf>
    <xf numFmtId="0" fontId="129" fillId="20" borderId="33" xfId="0" applyFont="1" applyFill="1" applyBorder="1" applyAlignment="1">
      <alignment horizontal="center" vertical="center"/>
    </xf>
    <xf numFmtId="0" fontId="168" fillId="20" borderId="18" xfId="0" applyFont="1" applyFill="1" applyBorder="1" applyAlignment="1">
      <alignment horizontal="center" vertical="center"/>
    </xf>
    <xf numFmtId="0" fontId="168" fillId="20" borderId="182" xfId="0" applyFont="1" applyFill="1" applyBorder="1" applyAlignment="1">
      <alignment horizontal="center" vertical="center"/>
    </xf>
    <xf numFmtId="0" fontId="283" fillId="0" borderId="0" xfId="45" applyFont="1" applyFill="1" applyBorder="1" applyAlignment="1">
      <alignment horizontal="left" vertical="center" wrapText="1"/>
    </xf>
    <xf numFmtId="0" fontId="283" fillId="0" borderId="0" xfId="45" applyFont="1" applyFill="1" applyBorder="1" applyAlignment="1">
      <alignment horizontal="center" vertical="center" wrapText="1"/>
    </xf>
    <xf numFmtId="0" fontId="170" fillId="0" borderId="176" xfId="66" applyFont="1" applyFill="1" applyBorder="1" applyAlignment="1">
      <alignment horizontal="center" vertical="center"/>
    </xf>
    <xf numFmtId="0" fontId="171" fillId="0" borderId="176" xfId="66" applyFont="1" applyFill="1" applyBorder="1" applyAlignment="1">
      <alignment horizontal="center" vertical="center"/>
    </xf>
    <xf numFmtId="0" fontId="174" fillId="0" borderId="176" xfId="66" applyFont="1" applyFill="1" applyBorder="1" applyAlignment="1">
      <alignment horizontal="center" vertical="center"/>
    </xf>
    <xf numFmtId="0" fontId="172" fillId="0" borderId="176" xfId="66" applyFont="1" applyFill="1" applyBorder="1" applyAlignment="1">
      <alignment horizontal="center" vertical="center"/>
    </xf>
    <xf numFmtId="0" fontId="150" fillId="23" borderId="179" xfId="45" applyFont="1" applyFill="1" applyBorder="1" applyAlignment="1">
      <alignment horizontal="center" vertical="center"/>
    </xf>
    <xf numFmtId="0" fontId="150" fillId="23" borderId="181" xfId="45" applyFont="1" applyFill="1" applyBorder="1" applyAlignment="1">
      <alignment horizontal="center" vertical="center"/>
    </xf>
    <xf numFmtId="0" fontId="150" fillId="23" borderId="176" xfId="45" applyFont="1" applyFill="1" applyBorder="1" applyAlignment="1">
      <alignment horizontal="center" vertical="center"/>
    </xf>
    <xf numFmtId="0" fontId="137" fillId="23" borderId="23" xfId="45" applyFont="1" applyFill="1" applyBorder="1" applyAlignment="1">
      <alignment horizontal="center" vertical="center"/>
    </xf>
    <xf numFmtId="0" fontId="150" fillId="23" borderId="178" xfId="45" applyFont="1" applyFill="1" applyBorder="1" applyAlignment="1">
      <alignment horizontal="center" vertical="center"/>
    </xf>
    <xf numFmtId="0" fontId="137" fillId="23" borderId="22" xfId="45" applyFont="1" applyFill="1" applyBorder="1" applyAlignment="1">
      <alignment horizontal="center" vertical="center"/>
    </xf>
    <xf numFmtId="0" fontId="173" fillId="0" borderId="176" xfId="66" applyFont="1" applyFill="1" applyBorder="1" applyAlignment="1">
      <alignment horizontal="center" vertical="center"/>
    </xf>
    <xf numFmtId="169" fontId="150" fillId="0" borderId="177" xfId="831" applyNumberFormat="1" applyFont="1" applyFill="1" applyBorder="1" applyAlignment="1">
      <alignment horizontal="center" vertical="center"/>
    </xf>
    <xf numFmtId="169" fontId="150" fillId="0" borderId="104" xfId="831" applyNumberFormat="1" applyFont="1" applyFill="1" applyBorder="1" applyAlignment="1">
      <alignment horizontal="center" vertical="center"/>
    </xf>
    <xf numFmtId="169" fontId="150" fillId="0" borderId="178" xfId="831" applyNumberFormat="1" applyFont="1" applyFill="1" applyBorder="1" applyAlignment="1">
      <alignment horizontal="center" vertical="center"/>
    </xf>
    <xf numFmtId="0" fontId="150" fillId="23" borderId="23" xfId="45" applyFont="1" applyFill="1" applyBorder="1" applyAlignment="1">
      <alignment horizontal="center" vertical="center"/>
    </xf>
    <xf numFmtId="0" fontId="150" fillId="23" borderId="104" xfId="45" applyFont="1" applyFill="1" applyBorder="1" applyAlignment="1">
      <alignment horizontal="center" vertical="center"/>
    </xf>
    <xf numFmtId="0" fontId="137" fillId="23" borderId="24" xfId="45" applyFont="1" applyFill="1" applyBorder="1" applyAlignment="1">
      <alignment horizontal="center" vertical="center"/>
    </xf>
    <xf numFmtId="169" fontId="150" fillId="0" borderId="240" xfId="831" applyNumberFormat="1" applyFont="1" applyFill="1" applyBorder="1" applyAlignment="1">
      <alignment horizontal="center" vertical="center"/>
    </xf>
    <xf numFmtId="169" fontId="150" fillId="0" borderId="237" xfId="831" applyNumberFormat="1" applyFont="1" applyFill="1" applyBorder="1" applyAlignment="1">
      <alignment horizontal="center" vertical="center"/>
    </xf>
    <xf numFmtId="169" fontId="150" fillId="0" borderId="241" xfId="831" applyNumberFormat="1" applyFont="1" applyFill="1" applyBorder="1" applyAlignment="1">
      <alignment horizontal="center" vertical="center"/>
    </xf>
    <xf numFmtId="0" fontId="132" fillId="0" borderId="13" xfId="635" applyFont="1" applyBorder="1" applyAlignment="1">
      <alignment horizontal="center"/>
    </xf>
    <xf numFmtId="0" fontId="132" fillId="0" borderId="14" xfId="635" applyFont="1" applyBorder="1" applyAlignment="1">
      <alignment horizontal="center"/>
    </xf>
    <xf numFmtId="0" fontId="132" fillId="0" borderId="15" xfId="635" applyFont="1" applyBorder="1" applyAlignment="1">
      <alignment horizontal="center"/>
    </xf>
    <xf numFmtId="0" fontId="177" fillId="0" borderId="11" xfId="639" applyFont="1" applyFill="1" applyBorder="1" applyAlignment="1">
      <alignment horizontal="center" vertical="center"/>
    </xf>
    <xf numFmtId="0" fontId="177" fillId="0" borderId="16" xfId="639" applyFont="1" applyFill="1" applyBorder="1" applyAlignment="1">
      <alignment horizontal="center" vertical="center"/>
    </xf>
    <xf numFmtId="0" fontId="177" fillId="0" borderId="20" xfId="639" applyFont="1" applyFill="1" applyBorder="1" applyAlignment="1">
      <alignment horizontal="center" vertical="center"/>
    </xf>
    <xf numFmtId="0" fontId="132" fillId="0" borderId="19" xfId="639" applyFont="1" applyBorder="1" applyAlignment="1">
      <alignment horizontal="center" vertical="center"/>
    </xf>
    <xf numFmtId="0" fontId="132" fillId="0" borderId="21" xfId="639" applyFont="1" applyBorder="1" applyAlignment="1">
      <alignment horizontal="center" vertical="center"/>
    </xf>
    <xf numFmtId="0" fontId="132" fillId="0" borderId="23" xfId="639" applyFont="1" applyBorder="1" applyAlignment="1">
      <alignment horizontal="center" vertical="center"/>
    </xf>
    <xf numFmtId="0" fontId="178" fillId="0" borderId="19" xfId="639" applyFont="1" applyFill="1" applyBorder="1" applyAlignment="1">
      <alignment horizontal="center" vertical="center"/>
    </xf>
    <xf numFmtId="0" fontId="178" fillId="0" borderId="21" xfId="639" applyFont="1" applyFill="1" applyBorder="1" applyAlignment="1">
      <alignment horizontal="center" vertical="center"/>
    </xf>
    <xf numFmtId="0" fontId="178" fillId="0" borderId="23" xfId="639" applyFont="1" applyFill="1" applyBorder="1" applyAlignment="1">
      <alignment horizontal="center" vertical="center"/>
    </xf>
    <xf numFmtId="0" fontId="176" fillId="0" borderId="11" xfId="639" applyFont="1" applyFill="1" applyBorder="1" applyAlignment="1">
      <alignment horizontal="center" vertical="center"/>
    </xf>
    <xf numFmtId="0" fontId="176" fillId="0" borderId="16" xfId="639" applyFont="1" applyFill="1" applyBorder="1" applyAlignment="1">
      <alignment horizontal="center" vertical="center"/>
    </xf>
    <xf numFmtId="0" fontId="176" fillId="0" borderId="20" xfId="639" applyFont="1" applyFill="1" applyBorder="1" applyAlignment="1">
      <alignment horizontal="center" vertical="center"/>
    </xf>
    <xf numFmtId="0" fontId="175" fillId="0" borderId="19" xfId="639" applyFont="1" applyFill="1" applyBorder="1" applyAlignment="1">
      <alignment horizontal="center" vertical="center"/>
    </xf>
    <xf numFmtId="0" fontId="175" fillId="0" borderId="21" xfId="639" applyFont="1" applyFill="1" applyBorder="1" applyAlignment="1">
      <alignment horizontal="center" vertical="center"/>
    </xf>
    <xf numFmtId="0" fontId="175" fillId="0" borderId="23" xfId="639" applyFont="1" applyFill="1" applyBorder="1" applyAlignment="1">
      <alignment horizontal="center" vertical="center"/>
    </xf>
    <xf numFmtId="0" fontId="179" fillId="0" borderId="11" xfId="639" applyFont="1" applyFill="1" applyBorder="1" applyAlignment="1">
      <alignment horizontal="center" vertical="center"/>
    </xf>
    <xf numFmtId="0" fontId="179" fillId="0" borderId="16" xfId="639" applyFont="1" applyFill="1" applyBorder="1" applyAlignment="1">
      <alignment horizontal="center" vertical="center"/>
    </xf>
    <xf numFmtId="0" fontId="179" fillId="0" borderId="20" xfId="639" applyFont="1" applyFill="1" applyBorder="1" applyAlignment="1">
      <alignment horizontal="center" vertical="center"/>
    </xf>
    <xf numFmtId="0" fontId="133" fillId="0" borderId="0" xfId="635" applyFont="1" applyAlignment="1">
      <alignment horizontal="left" vertical="center" wrapText="1"/>
    </xf>
    <xf numFmtId="0" fontId="201" fillId="0" borderId="0" xfId="635" applyFont="1" applyAlignment="1">
      <alignment horizontal="left" vertical="center" wrapText="1"/>
    </xf>
    <xf numFmtId="0" fontId="160" fillId="0" borderId="0" xfId="635" applyFont="1" applyAlignment="1">
      <alignment horizontal="left" vertical="center" wrapText="1"/>
    </xf>
    <xf numFmtId="0" fontId="179" fillId="0" borderId="176" xfId="66" applyFont="1" applyFill="1" applyBorder="1" applyAlignment="1">
      <alignment horizontal="center" vertical="center"/>
    </xf>
    <xf numFmtId="0" fontId="177" fillId="0" borderId="176" xfId="66" applyFont="1" applyFill="1" applyBorder="1" applyAlignment="1">
      <alignment horizontal="center" vertical="center"/>
    </xf>
    <xf numFmtId="0" fontId="175" fillId="0" borderId="176" xfId="66" applyFont="1" applyFill="1" applyBorder="1" applyAlignment="1">
      <alignment horizontal="center" vertical="center"/>
    </xf>
    <xf numFmtId="0" fontId="176" fillId="0" borderId="176" xfId="66" applyFont="1" applyFill="1" applyBorder="1" applyAlignment="1">
      <alignment horizontal="center" vertical="center"/>
    </xf>
    <xf numFmtId="0" fontId="178" fillId="0" borderId="176" xfId="66" applyFont="1" applyFill="1" applyBorder="1" applyAlignment="1">
      <alignment horizontal="center" vertical="center"/>
    </xf>
    <xf numFmtId="0" fontId="144" fillId="0" borderId="18" xfId="0" applyFont="1" applyBorder="1" applyAlignment="1">
      <alignment horizontal="center" vertical="center"/>
    </xf>
    <xf numFmtId="0" fontId="144" fillId="0" borderId="184" xfId="0" applyFont="1" applyBorder="1" applyAlignment="1">
      <alignment horizontal="center" vertical="center"/>
    </xf>
    <xf numFmtId="0" fontId="144" fillId="0" borderId="196" xfId="0" applyFont="1" applyBorder="1" applyAlignment="1">
      <alignment horizontal="center" vertical="center"/>
    </xf>
    <xf numFmtId="0" fontId="144" fillId="0" borderId="197" xfId="0" applyFont="1" applyBorder="1" applyAlignment="1">
      <alignment horizontal="center" vertical="center"/>
    </xf>
    <xf numFmtId="0" fontId="128" fillId="0" borderId="13" xfId="374" applyFont="1" applyFill="1" applyBorder="1" applyAlignment="1">
      <alignment horizontal="center" vertical="center"/>
    </xf>
    <xf numFmtId="0" fontId="128" fillId="0" borderId="14" xfId="374" applyFont="1" applyFill="1" applyBorder="1" applyAlignment="1">
      <alignment horizontal="center" vertical="center"/>
    </xf>
    <xf numFmtId="0" fontId="128" fillId="0" borderId="104" xfId="374" applyFont="1" applyFill="1" applyBorder="1" applyAlignment="1">
      <alignment horizontal="center" vertical="center"/>
    </xf>
    <xf numFmtId="0" fontId="128" fillId="0" borderId="15" xfId="374" applyFont="1" applyFill="1" applyBorder="1" applyAlignment="1">
      <alignment horizontal="center" vertical="center"/>
    </xf>
    <xf numFmtId="0" fontId="129" fillId="23" borderId="11" xfId="374" applyFont="1" applyFill="1" applyBorder="1" applyAlignment="1">
      <alignment horizontal="center" vertical="center"/>
    </xf>
    <xf numFmtId="0" fontId="129" fillId="23" borderId="20" xfId="374" applyFont="1" applyFill="1" applyBorder="1" applyAlignment="1">
      <alignment horizontal="center" vertical="center"/>
    </xf>
    <xf numFmtId="0" fontId="129" fillId="23" borderId="19" xfId="374" applyFont="1" applyFill="1" applyBorder="1" applyAlignment="1">
      <alignment horizontal="center" vertical="center"/>
    </xf>
    <xf numFmtId="0" fontId="128" fillId="0" borderId="11" xfId="374" applyFont="1" applyFill="1" applyBorder="1" applyAlignment="1">
      <alignment horizontal="center" vertical="center"/>
    </xf>
    <xf numFmtId="0" fontId="166" fillId="0" borderId="11" xfId="374" applyFont="1" applyBorder="1" applyAlignment="1">
      <alignment horizontal="center" vertical="center"/>
    </xf>
    <xf numFmtId="0" fontId="166" fillId="0" borderId="16" xfId="374" applyFont="1" applyBorder="1" applyAlignment="1">
      <alignment horizontal="center" vertical="center"/>
    </xf>
    <xf numFmtId="0" fontId="166" fillId="0" borderId="20" xfId="374" applyFont="1" applyBorder="1" applyAlignment="1">
      <alignment horizontal="center" vertical="center"/>
    </xf>
    <xf numFmtId="0" fontId="167" fillId="0" borderId="11" xfId="374" applyFont="1" applyBorder="1" applyAlignment="1">
      <alignment horizontal="center" vertical="center"/>
    </xf>
    <xf numFmtId="0" fontId="167" fillId="0" borderId="16" xfId="374" applyFont="1" applyBorder="1" applyAlignment="1">
      <alignment horizontal="center" vertical="center"/>
    </xf>
    <xf numFmtId="0" fontId="167" fillId="0" borderId="20" xfId="374" applyFont="1" applyBorder="1" applyAlignment="1">
      <alignment horizontal="center" vertical="center"/>
    </xf>
    <xf numFmtId="0" fontId="168" fillId="0" borderId="11" xfId="374" applyFont="1" applyBorder="1" applyAlignment="1">
      <alignment horizontal="center" vertical="center"/>
    </xf>
    <xf numFmtId="0" fontId="168" fillId="0" borderId="16" xfId="374" applyFont="1" applyBorder="1" applyAlignment="1">
      <alignment horizontal="center" vertical="center"/>
    </xf>
    <xf numFmtId="0" fontId="168" fillId="0" borderId="20" xfId="374" applyFont="1" applyBorder="1" applyAlignment="1">
      <alignment horizontal="center" vertical="center"/>
    </xf>
    <xf numFmtId="0" fontId="128" fillId="0" borderId="13" xfId="374" applyFont="1" applyBorder="1" applyAlignment="1">
      <alignment horizontal="center" vertical="center"/>
    </xf>
    <xf numFmtId="0" fontId="128" fillId="0" borderId="14" xfId="374" applyFont="1" applyBorder="1" applyAlignment="1">
      <alignment horizontal="center" vertical="center"/>
    </xf>
    <xf numFmtId="0" fontId="193" fillId="0" borderId="11" xfId="374" applyFont="1" applyBorder="1" applyAlignment="1">
      <alignment horizontal="center" vertical="center"/>
    </xf>
    <xf numFmtId="0" fontId="193" fillId="0" borderId="16" xfId="374" applyFont="1" applyBorder="1" applyAlignment="1">
      <alignment horizontal="center" vertical="center"/>
    </xf>
    <xf numFmtId="0" fontId="193" fillId="0" borderId="20" xfId="374" applyFont="1" applyBorder="1" applyAlignment="1">
      <alignment horizontal="center" vertical="center"/>
    </xf>
    <xf numFmtId="0" fontId="169" fillId="0" borderId="11" xfId="374" applyFont="1" applyBorder="1" applyAlignment="1">
      <alignment horizontal="center" vertical="center"/>
    </xf>
    <xf numFmtId="0" fontId="169" fillId="0" borderId="16" xfId="374" applyFont="1" applyBorder="1" applyAlignment="1">
      <alignment horizontal="center" vertical="center"/>
    </xf>
    <xf numFmtId="0" fontId="169" fillId="0" borderId="20" xfId="374" applyFont="1" applyBorder="1" applyAlignment="1">
      <alignment horizontal="center" vertical="center"/>
    </xf>
    <xf numFmtId="0" fontId="128" fillId="0" borderId="10" xfId="374" applyFont="1" applyBorder="1" applyAlignment="1">
      <alignment horizontal="center" vertical="center"/>
    </xf>
    <xf numFmtId="0" fontId="129" fillId="23" borderId="23" xfId="374" applyFont="1" applyFill="1" applyBorder="1" applyAlignment="1">
      <alignment horizontal="center" vertical="center"/>
    </xf>
    <xf numFmtId="0" fontId="129" fillId="0" borderId="256" xfId="0" applyFont="1" applyBorder="1" applyAlignment="1">
      <alignment horizontal="center"/>
    </xf>
    <xf numFmtId="0" fontId="175" fillId="0" borderId="255" xfId="462" applyFont="1" applyFill="1" applyBorder="1" applyAlignment="1">
      <alignment horizontal="center" vertical="center" textRotation="90" wrapText="1"/>
    </xf>
    <xf numFmtId="0" fontId="175" fillId="0" borderId="257" xfId="462" applyFont="1" applyFill="1" applyBorder="1" applyAlignment="1">
      <alignment horizontal="center" vertical="center" textRotation="90" wrapText="1"/>
    </xf>
    <xf numFmtId="0" fontId="137" fillId="0" borderId="256" xfId="462" applyFont="1" applyFill="1" applyBorder="1" applyAlignment="1">
      <alignment horizontal="center" vertical="center" wrapText="1"/>
    </xf>
    <xf numFmtId="0" fontId="137" fillId="0" borderId="21" xfId="462" applyFont="1" applyFill="1" applyBorder="1" applyAlignment="1">
      <alignment horizontal="center" vertical="center" wrapText="1"/>
    </xf>
    <xf numFmtId="0" fontId="137" fillId="0" borderId="23" xfId="462" applyFont="1" applyFill="1" applyBorder="1" applyAlignment="1">
      <alignment horizontal="center" vertical="center" wrapText="1"/>
    </xf>
    <xf numFmtId="0" fontId="176" fillId="0" borderId="256" xfId="462" applyFont="1" applyFill="1" applyBorder="1" applyAlignment="1">
      <alignment horizontal="center" vertical="center" textRotation="90" wrapText="1"/>
    </xf>
    <xf numFmtId="0" fontId="176" fillId="0" borderId="21" xfId="462" applyFont="1" applyFill="1" applyBorder="1" applyAlignment="1">
      <alignment horizontal="center" vertical="center" textRotation="90" wrapText="1"/>
    </xf>
    <xf numFmtId="0" fontId="176" fillId="0" borderId="20" xfId="462" applyFont="1" applyFill="1" applyBorder="1" applyAlignment="1">
      <alignment horizontal="center" vertical="center" textRotation="90" wrapText="1"/>
    </xf>
    <xf numFmtId="0" fontId="176" fillId="0" borderId="259" xfId="462" applyFont="1" applyFill="1" applyBorder="1" applyAlignment="1">
      <alignment horizontal="center" vertical="center" wrapText="1"/>
    </xf>
    <xf numFmtId="0" fontId="176" fillId="0" borderId="258" xfId="462" applyFont="1" applyFill="1" applyBorder="1" applyAlignment="1">
      <alignment horizontal="center" vertical="center" wrapText="1"/>
    </xf>
    <xf numFmtId="0" fontId="150" fillId="45" borderId="255" xfId="462" applyFont="1" applyFill="1" applyBorder="1" applyAlignment="1">
      <alignment horizontal="center" vertical="center"/>
    </xf>
    <xf numFmtId="0" fontId="150" fillId="45" borderId="257" xfId="462" applyFont="1" applyFill="1" applyBorder="1" applyAlignment="1">
      <alignment horizontal="center" vertical="center"/>
    </xf>
    <xf numFmtId="0" fontId="175" fillId="0" borderId="259" xfId="462" applyFont="1" applyFill="1" applyBorder="1" applyAlignment="1">
      <alignment horizontal="center" vertical="center" wrapText="1"/>
    </xf>
    <xf numFmtId="0" fontId="175" fillId="0" borderId="258" xfId="462" applyFont="1" applyFill="1" applyBorder="1" applyAlignment="1">
      <alignment horizontal="center" vertical="center" wrapText="1"/>
    </xf>
    <xf numFmtId="0" fontId="179" fillId="0" borderId="255" xfId="462" applyFont="1" applyFill="1" applyBorder="1" applyAlignment="1">
      <alignment horizontal="center" vertical="center" textRotation="90" wrapText="1"/>
    </xf>
    <xf numFmtId="0" fontId="179" fillId="0" borderId="257" xfId="462" applyFont="1" applyFill="1" applyBorder="1" applyAlignment="1">
      <alignment horizontal="center" vertical="center" textRotation="90" wrapText="1"/>
    </xf>
    <xf numFmtId="0" fontId="178" fillId="0" borderId="255" xfId="462" applyFont="1" applyFill="1" applyBorder="1" applyAlignment="1">
      <alignment horizontal="center" vertical="center" textRotation="90" wrapText="1"/>
    </xf>
    <xf numFmtId="0" fontId="178" fillId="0" borderId="257" xfId="462" applyFont="1" applyFill="1" applyBorder="1" applyAlignment="1">
      <alignment horizontal="center" vertical="center" textRotation="90" wrapText="1"/>
    </xf>
    <xf numFmtId="0" fontId="179" fillId="0" borderId="259" xfId="462" applyFont="1" applyFill="1" applyBorder="1" applyAlignment="1">
      <alignment horizontal="center" vertical="center" wrapText="1"/>
    </xf>
    <xf numFmtId="0" fontId="179" fillId="0" borderId="258" xfId="462" applyFont="1" applyFill="1" applyBorder="1" applyAlignment="1">
      <alignment horizontal="center" vertical="center" wrapText="1"/>
    </xf>
    <xf numFmtId="0" fontId="178" fillId="0" borderId="259" xfId="462" applyFont="1" applyFill="1" applyBorder="1" applyAlignment="1">
      <alignment horizontal="center" vertical="center" wrapText="1"/>
    </xf>
    <xf numFmtId="0" fontId="178" fillId="0" borderId="258" xfId="462" applyFont="1" applyFill="1" applyBorder="1" applyAlignment="1">
      <alignment horizontal="center" vertical="center" wrapText="1"/>
    </xf>
    <xf numFmtId="0" fontId="177" fillId="0" borderId="256" xfId="462" applyFont="1" applyFill="1" applyBorder="1" applyAlignment="1">
      <alignment horizontal="center" vertical="center" textRotation="90" wrapText="1"/>
    </xf>
    <xf numFmtId="0" fontId="177" fillId="0" borderId="21" xfId="462" applyFont="1" applyFill="1" applyBorder="1" applyAlignment="1">
      <alignment horizontal="center" vertical="center" textRotation="90" wrapText="1"/>
    </xf>
    <xf numFmtId="0" fontId="177" fillId="0" borderId="20" xfId="462" applyFont="1" applyFill="1" applyBorder="1" applyAlignment="1">
      <alignment horizontal="center" vertical="center" textRotation="90" wrapText="1"/>
    </xf>
    <xf numFmtId="0" fontId="177" fillId="0" borderId="259" xfId="462" applyFont="1" applyFill="1" applyBorder="1" applyAlignment="1">
      <alignment horizontal="center" vertical="center" wrapText="1"/>
    </xf>
    <xf numFmtId="0" fontId="177" fillId="0" borderId="258" xfId="462" applyFont="1" applyFill="1" applyBorder="1" applyAlignment="1">
      <alignment horizontal="center" vertical="center" wrapText="1"/>
    </xf>
    <xf numFmtId="169" fontId="132" fillId="0" borderId="13" xfId="78" applyNumberFormat="1" applyFont="1" applyFill="1" applyBorder="1" applyAlignment="1">
      <alignment horizontal="center" vertical="center"/>
    </xf>
    <xf numFmtId="0" fontId="0" fillId="0" borderId="14" xfId="0" applyBorder="1"/>
    <xf numFmtId="0" fontId="0" fillId="0" borderId="15" xfId="0" applyBorder="1"/>
    <xf numFmtId="0" fontId="130" fillId="0" borderId="0" xfId="0" applyFont="1"/>
    <xf numFmtId="169" fontId="132" fillId="0" borderId="13" xfId="68" applyNumberFormat="1" applyFont="1" applyFill="1" applyBorder="1" applyAlignment="1">
      <alignment horizontal="center" vertical="center"/>
    </xf>
    <xf numFmtId="169" fontId="132" fillId="0" borderId="14" xfId="68" applyNumberFormat="1" applyFont="1" applyFill="1" applyBorder="1" applyAlignment="1">
      <alignment horizontal="center" vertical="center"/>
    </xf>
    <xf numFmtId="169" fontId="132" fillId="0" borderId="15" xfId="68" applyNumberFormat="1" applyFont="1" applyFill="1" applyBorder="1" applyAlignment="1">
      <alignment horizontal="center" vertical="center"/>
    </xf>
    <xf numFmtId="169" fontId="132" fillId="0" borderId="11" xfId="68" applyNumberFormat="1" applyFont="1" applyFill="1" applyBorder="1" applyAlignment="1">
      <alignment horizontal="center" vertical="center"/>
    </xf>
    <xf numFmtId="169" fontId="132" fillId="0" borderId="12" xfId="68" applyNumberFormat="1" applyFont="1" applyFill="1" applyBorder="1" applyAlignment="1">
      <alignment horizontal="center" vertical="center"/>
    </xf>
    <xf numFmtId="0" fontId="132" fillId="23" borderId="19" xfId="0" applyFont="1" applyFill="1" applyBorder="1" applyAlignment="1">
      <alignment horizontal="center" vertical="center"/>
    </xf>
    <xf numFmtId="0" fontId="129" fillId="23" borderId="23" xfId="0" applyFont="1" applyFill="1" applyBorder="1" applyAlignment="1">
      <alignment horizontal="center" vertical="center"/>
    </xf>
    <xf numFmtId="0" fontId="129" fillId="23" borderId="20" xfId="0" applyFont="1" applyFill="1" applyBorder="1" applyAlignment="1">
      <alignment horizontal="center" vertical="center"/>
    </xf>
    <xf numFmtId="0" fontId="175" fillId="0" borderId="19" xfId="0" applyFont="1" applyBorder="1" applyAlignment="1">
      <alignment horizontal="center" vertical="center"/>
    </xf>
    <xf numFmtId="0" fontId="175" fillId="0" borderId="21" xfId="0" applyFont="1" applyBorder="1" applyAlignment="1">
      <alignment horizontal="center" vertical="center"/>
    </xf>
    <xf numFmtId="0" fontId="175" fillId="0" borderId="23" xfId="0" applyFont="1" applyBorder="1" applyAlignment="1">
      <alignment horizontal="center" vertical="center"/>
    </xf>
    <xf numFmtId="0" fontId="176" fillId="0" borderId="19" xfId="0" applyFont="1" applyBorder="1" applyAlignment="1">
      <alignment horizontal="center" vertical="center"/>
    </xf>
    <xf numFmtId="0" fontId="176" fillId="0" borderId="21" xfId="0" applyFont="1" applyBorder="1" applyAlignment="1">
      <alignment horizontal="center" vertical="center"/>
    </xf>
    <xf numFmtId="0" fontId="176" fillId="0" borderId="23" xfId="0" applyFont="1" applyBorder="1" applyAlignment="1">
      <alignment horizontal="center" vertical="center"/>
    </xf>
    <xf numFmtId="0" fontId="132" fillId="23" borderId="13" xfId="0" applyFont="1" applyFill="1" applyBorder="1" applyAlignment="1">
      <alignment horizontal="center" vertical="center"/>
    </xf>
    <xf numFmtId="0" fontId="132" fillId="23" borderId="10" xfId="0" applyFont="1" applyFill="1" applyBorder="1" applyAlignment="1">
      <alignment horizontal="center" vertical="center"/>
    </xf>
    <xf numFmtId="0" fontId="179" fillId="0" borderId="19" xfId="0" applyFont="1" applyBorder="1" applyAlignment="1">
      <alignment horizontal="center" vertical="center"/>
    </xf>
    <xf numFmtId="0" fontId="179" fillId="0" borderId="21" xfId="0" applyFont="1" applyBorder="1" applyAlignment="1">
      <alignment horizontal="center" vertical="center"/>
    </xf>
    <xf numFmtId="0" fontId="179" fillId="0" borderId="23" xfId="0" applyFont="1" applyBorder="1" applyAlignment="1">
      <alignment horizontal="center" vertical="center"/>
    </xf>
    <xf numFmtId="0" fontId="177" fillId="0" borderId="19" xfId="0" applyFont="1" applyBorder="1" applyAlignment="1">
      <alignment horizontal="center" vertical="center"/>
    </xf>
    <xf numFmtId="0" fontId="177" fillId="0" borderId="21" xfId="0" applyFont="1" applyBorder="1" applyAlignment="1">
      <alignment horizontal="center" vertical="center"/>
    </xf>
    <xf numFmtId="0" fontId="177" fillId="0" borderId="23" xfId="0" applyFont="1" applyBorder="1" applyAlignment="1">
      <alignment horizontal="center" vertical="center"/>
    </xf>
    <xf numFmtId="0" fontId="178" fillId="0" borderId="19" xfId="0" applyFont="1" applyBorder="1" applyAlignment="1">
      <alignment horizontal="center" vertical="center"/>
    </xf>
    <xf numFmtId="0" fontId="178" fillId="0" borderId="21" xfId="0" applyFont="1" applyBorder="1" applyAlignment="1">
      <alignment horizontal="center" vertical="center"/>
    </xf>
    <xf numFmtId="0" fontId="178" fillId="0" borderId="23" xfId="0" applyFont="1" applyBorder="1" applyAlignment="1">
      <alignment horizontal="center" vertical="center"/>
    </xf>
    <xf numFmtId="0" fontId="76" fillId="0" borderId="0" xfId="0" applyFont="1" applyFill="1" applyAlignment="1">
      <alignment horizontal="left" vertical="center" wrapText="1"/>
    </xf>
    <xf numFmtId="0" fontId="70" fillId="0" borderId="14" xfId="374" applyBorder="1"/>
    <xf numFmtId="0" fontId="70" fillId="0" borderId="15" xfId="374" applyBorder="1"/>
    <xf numFmtId="0" fontId="177" fillId="0" borderId="19" xfId="374" applyFont="1" applyFill="1" applyBorder="1" applyAlignment="1">
      <alignment horizontal="center" vertical="center"/>
    </xf>
    <xf numFmtId="0" fontId="177" fillId="0" borderId="21" xfId="374" applyFont="1" applyFill="1" applyBorder="1" applyAlignment="1">
      <alignment horizontal="center" vertical="center"/>
    </xf>
    <xf numFmtId="0" fontId="177" fillId="0" borderId="23" xfId="374" applyFont="1" applyFill="1" applyBorder="1" applyAlignment="1">
      <alignment horizontal="center" vertical="center"/>
    </xf>
    <xf numFmtId="0" fontId="132" fillId="23" borderId="23" xfId="374" applyFont="1" applyFill="1" applyBorder="1" applyAlignment="1">
      <alignment horizontal="center" vertical="center"/>
    </xf>
    <xf numFmtId="0" fontId="132" fillId="23" borderId="18" xfId="374" applyFont="1" applyFill="1" applyBorder="1" applyAlignment="1">
      <alignment horizontal="center" vertical="center"/>
    </xf>
    <xf numFmtId="0" fontId="51" fillId="0" borderId="30" xfId="374" applyFont="1" applyFill="1" applyBorder="1" applyAlignment="1">
      <alignment horizontal="center" vertical="center"/>
    </xf>
    <xf numFmtId="0" fontId="51" fillId="0" borderId="31" xfId="374" applyFont="1" applyFill="1" applyBorder="1" applyAlignment="1">
      <alignment horizontal="center" vertical="center"/>
    </xf>
    <xf numFmtId="0" fontId="51" fillId="0" borderId="34" xfId="374" applyFont="1" applyFill="1" applyBorder="1" applyAlignment="1">
      <alignment horizontal="center" vertical="center"/>
    </xf>
    <xf numFmtId="0" fontId="178" fillId="0" borderId="19" xfId="374" applyFont="1" applyFill="1" applyBorder="1" applyAlignment="1">
      <alignment horizontal="center" vertical="center"/>
    </xf>
    <xf numFmtId="0" fontId="178" fillId="0" borderId="21" xfId="374" applyFont="1" applyFill="1" applyBorder="1" applyAlignment="1">
      <alignment horizontal="center" vertical="center"/>
    </xf>
    <xf numFmtId="0" fontId="178" fillId="0" borderId="23" xfId="374" applyFont="1" applyFill="1" applyBorder="1" applyAlignment="1">
      <alignment horizontal="center" vertical="center"/>
    </xf>
    <xf numFmtId="0" fontId="179" fillId="0" borderId="19" xfId="374" applyFont="1" applyFill="1" applyBorder="1" applyAlignment="1">
      <alignment horizontal="center" vertical="center"/>
    </xf>
    <xf numFmtId="0" fontId="179" fillId="0" borderId="21" xfId="374" applyFont="1" applyFill="1" applyBorder="1" applyAlignment="1">
      <alignment horizontal="center" vertical="center"/>
    </xf>
    <xf numFmtId="0" fontId="179" fillId="0" borderId="23" xfId="374" applyFont="1" applyFill="1" applyBorder="1" applyAlignment="1">
      <alignment horizontal="center" vertical="center"/>
    </xf>
    <xf numFmtId="0" fontId="176" fillId="0" borderId="19" xfId="374" applyFont="1" applyFill="1" applyBorder="1" applyAlignment="1">
      <alignment horizontal="center" vertical="center"/>
    </xf>
    <xf numFmtId="0" fontId="176" fillId="0" borderId="21" xfId="374" applyFont="1" applyFill="1" applyBorder="1" applyAlignment="1">
      <alignment horizontal="center" vertical="center"/>
    </xf>
    <xf numFmtId="0" fontId="176" fillId="0" borderId="23" xfId="374" applyFont="1" applyFill="1" applyBorder="1" applyAlignment="1">
      <alignment horizontal="center" vertical="center"/>
    </xf>
    <xf numFmtId="0" fontId="76" fillId="0" borderId="0" xfId="374" applyFont="1" applyFill="1" applyAlignment="1">
      <alignment horizontal="left" vertical="center" wrapText="1"/>
    </xf>
    <xf numFmtId="0" fontId="130" fillId="0" borderId="0" xfId="374" applyFont="1"/>
    <xf numFmtId="0" fontId="132" fillId="23" borderId="11" xfId="374" applyFont="1" applyFill="1" applyBorder="1" applyAlignment="1">
      <alignment horizontal="center" vertical="center"/>
    </xf>
    <xf numFmtId="0" fontId="132" fillId="23" borderId="15" xfId="374" applyFont="1" applyFill="1" applyBorder="1" applyAlignment="1">
      <alignment horizontal="center" vertical="center"/>
    </xf>
    <xf numFmtId="0" fontId="132" fillId="23" borderId="20" xfId="374" applyFont="1" applyFill="1" applyBorder="1" applyAlignment="1">
      <alignment horizontal="center" vertical="center"/>
    </xf>
    <xf numFmtId="0" fontId="132" fillId="23" borderId="22" xfId="374" applyFont="1" applyFill="1" applyBorder="1" applyAlignment="1">
      <alignment horizontal="center" vertical="center"/>
    </xf>
    <xf numFmtId="0" fontId="132" fillId="23" borderId="19" xfId="374" applyFont="1" applyFill="1" applyBorder="1" applyAlignment="1">
      <alignment horizontal="center" vertical="center"/>
    </xf>
    <xf numFmtId="169" fontId="132" fillId="0" borderId="11" xfId="78" applyNumberFormat="1" applyFont="1" applyFill="1" applyBorder="1" applyAlignment="1">
      <alignment horizontal="center" vertical="center"/>
    </xf>
    <xf numFmtId="169" fontId="132" fillId="0" borderId="12" xfId="78" applyNumberFormat="1" applyFont="1" applyFill="1" applyBorder="1" applyAlignment="1">
      <alignment horizontal="center" vertical="center"/>
    </xf>
    <xf numFmtId="169" fontId="132" fillId="0" borderId="15" xfId="78" applyNumberFormat="1" applyFont="1" applyFill="1" applyBorder="1" applyAlignment="1">
      <alignment horizontal="center" vertical="center"/>
    </xf>
    <xf numFmtId="169" fontId="132" fillId="0" borderId="14" xfId="78" applyNumberFormat="1" applyFont="1" applyFill="1" applyBorder="1" applyAlignment="1">
      <alignment horizontal="center" vertical="center"/>
    </xf>
    <xf numFmtId="0" fontId="175" fillId="0" borderId="19" xfId="374" applyFont="1" applyFill="1" applyBorder="1" applyAlignment="1">
      <alignment horizontal="center" vertical="center"/>
    </xf>
    <xf numFmtId="0" fontId="175" fillId="0" borderId="21" xfId="374" applyFont="1" applyFill="1" applyBorder="1" applyAlignment="1">
      <alignment horizontal="center" vertical="center"/>
    </xf>
    <xf numFmtId="0" fontId="175" fillId="0" borderId="23" xfId="374" applyFont="1" applyFill="1" applyBorder="1" applyAlignment="1">
      <alignment horizontal="center" vertical="center"/>
    </xf>
    <xf numFmtId="0" fontId="132" fillId="23" borderId="21" xfId="374" applyFont="1" applyFill="1" applyBorder="1" applyAlignment="1">
      <alignment horizontal="center" vertical="center"/>
    </xf>
    <xf numFmtId="0" fontId="81" fillId="0" borderId="24" xfId="0" applyFont="1" applyBorder="1" applyAlignment="1">
      <alignment horizontal="left" vertical="center" wrapText="1"/>
    </xf>
    <xf numFmtId="0" fontId="131" fillId="0" borderId="0" xfId="0" applyFont="1" applyAlignment="1">
      <alignment horizontal="center" vertical="center" wrapText="1"/>
    </xf>
    <xf numFmtId="0" fontId="131" fillId="0" borderId="0" xfId="0" applyFont="1" applyAlignment="1">
      <alignment horizontal="left" vertical="center" wrapText="1"/>
    </xf>
    <xf numFmtId="0" fontId="149" fillId="23" borderId="18" xfId="0" applyFont="1" applyFill="1" applyBorder="1" applyAlignment="1">
      <alignment horizontal="center" vertical="center"/>
    </xf>
    <xf numFmtId="0" fontId="129" fillId="0" borderId="13" xfId="0" applyFont="1" applyFill="1" applyBorder="1" applyAlignment="1">
      <alignment horizontal="center" vertical="center" wrapText="1"/>
    </xf>
    <xf numFmtId="0" fontId="129" fillId="0" borderId="14" xfId="0" applyFont="1" applyFill="1" applyBorder="1" applyAlignment="1">
      <alignment horizontal="center" vertical="center" wrapText="1"/>
    </xf>
    <xf numFmtId="0" fontId="129" fillId="0" borderId="180" xfId="0" applyFont="1" applyFill="1" applyBorder="1" applyAlignment="1">
      <alignment horizontal="center" vertical="center" wrapText="1"/>
    </xf>
    <xf numFmtId="0" fontId="128" fillId="0" borderId="22" xfId="0" applyFont="1" applyFill="1" applyBorder="1" applyAlignment="1">
      <alignment horizontal="center" vertical="center" wrapText="1"/>
    </xf>
    <xf numFmtId="0" fontId="128" fillId="23" borderId="19" xfId="0" applyFont="1" applyFill="1" applyBorder="1" applyAlignment="1">
      <alignment horizontal="center" vertical="center" wrapText="1"/>
    </xf>
    <xf numFmtId="0" fontId="128" fillId="23" borderId="21" xfId="0" applyFont="1" applyFill="1" applyBorder="1" applyAlignment="1">
      <alignment horizontal="center" vertical="center" wrapText="1"/>
    </xf>
    <xf numFmtId="0" fontId="128" fillId="23" borderId="23" xfId="0" applyFont="1" applyFill="1" applyBorder="1" applyAlignment="1">
      <alignment horizontal="center" vertical="center" wrapText="1"/>
    </xf>
    <xf numFmtId="0" fontId="149" fillId="23" borderId="10" xfId="0" applyFont="1" applyFill="1" applyBorder="1" applyAlignment="1">
      <alignment horizontal="center" vertical="center"/>
    </xf>
    <xf numFmtId="0" fontId="128" fillId="23" borderId="19" xfId="73" applyFont="1" applyFill="1" applyBorder="1" applyAlignment="1">
      <alignment horizontal="center" vertical="center" wrapText="1"/>
    </xf>
    <xf numFmtId="0" fontId="128" fillId="23" borderId="23" xfId="73" applyFont="1" applyFill="1" applyBorder="1" applyAlignment="1">
      <alignment horizontal="center" vertical="center" wrapText="1"/>
    </xf>
    <xf numFmtId="0" fontId="128" fillId="0" borderId="13" xfId="73" applyFont="1" applyFill="1" applyBorder="1" applyAlignment="1">
      <alignment horizontal="center" vertical="center"/>
    </xf>
    <xf numFmtId="0" fontId="128" fillId="0" borderId="14" xfId="73" applyFont="1" applyFill="1" applyBorder="1" applyAlignment="1">
      <alignment horizontal="center" vertical="center"/>
    </xf>
    <xf numFmtId="0" fontId="128" fillId="0" borderId="15" xfId="73" applyFont="1" applyFill="1" applyBorder="1" applyAlignment="1">
      <alignment horizontal="center" vertical="center"/>
    </xf>
    <xf numFmtId="0" fontId="210" fillId="0" borderId="0" xfId="73" applyFont="1" applyAlignment="1">
      <alignment horizontal="left" vertical="center" wrapText="1"/>
    </xf>
    <xf numFmtId="0" fontId="128" fillId="0" borderId="239" xfId="0" applyFont="1" applyBorder="1" applyAlignment="1">
      <alignment horizontal="center" vertical="center" textRotation="90"/>
    </xf>
    <xf numFmtId="0" fontId="128" fillId="0" borderId="21" xfId="0" applyFont="1" applyBorder="1" applyAlignment="1">
      <alignment horizontal="center" vertical="center" textRotation="90"/>
    </xf>
    <xf numFmtId="0" fontId="128" fillId="0" borderId="23" xfId="0" applyFont="1" applyBorder="1" applyAlignment="1">
      <alignment horizontal="center" vertical="center" textRotation="90"/>
    </xf>
    <xf numFmtId="0" fontId="175" fillId="0" borderId="239" xfId="0" applyFont="1" applyBorder="1" applyAlignment="1">
      <alignment horizontal="center" vertical="center" textRotation="90"/>
    </xf>
    <xf numFmtId="0" fontId="175" fillId="0" borderId="21" xfId="0" applyFont="1" applyBorder="1" applyAlignment="1">
      <alignment horizontal="center" vertical="center" textRotation="90"/>
    </xf>
    <xf numFmtId="0" fontId="175" fillId="0" borderId="23" xfId="0" applyFont="1" applyBorder="1" applyAlignment="1">
      <alignment horizontal="center" vertical="center" textRotation="90"/>
    </xf>
    <xf numFmtId="0" fontId="176" fillId="0" borderId="239" xfId="0" applyFont="1" applyBorder="1" applyAlignment="1">
      <alignment horizontal="center" vertical="center" textRotation="90"/>
    </xf>
    <xf numFmtId="0" fontId="176" fillId="0" borderId="21" xfId="0" applyFont="1" applyBorder="1" applyAlignment="1">
      <alignment horizontal="center" vertical="center" textRotation="90"/>
    </xf>
    <xf numFmtId="0" fontId="176" fillId="0" borderId="23" xfId="0" applyFont="1" applyBorder="1" applyAlignment="1">
      <alignment horizontal="center" vertical="center" textRotation="90"/>
    </xf>
    <xf numFmtId="0" fontId="179" fillId="0" borderId="239" xfId="0" applyFont="1" applyBorder="1" applyAlignment="1">
      <alignment horizontal="center" vertical="center" textRotation="90"/>
    </xf>
    <xf numFmtId="0" fontId="179" fillId="0" borderId="21" xfId="0" applyFont="1" applyBorder="1" applyAlignment="1">
      <alignment horizontal="center" vertical="center" textRotation="90"/>
    </xf>
    <xf numFmtId="0" fontId="179" fillId="0" borderId="23" xfId="0" applyFont="1" applyBorder="1" applyAlignment="1">
      <alignment horizontal="center" vertical="center" textRotation="90"/>
    </xf>
    <xf numFmtId="0" fontId="178" fillId="0" borderId="239" xfId="0" applyFont="1" applyBorder="1" applyAlignment="1">
      <alignment horizontal="center" vertical="center" textRotation="90"/>
    </xf>
    <xf numFmtId="0" fontId="178" fillId="0" borderId="21" xfId="0" applyFont="1" applyBorder="1" applyAlignment="1">
      <alignment horizontal="center" vertical="center" textRotation="90"/>
    </xf>
    <xf numFmtId="0" fontId="178" fillId="0" borderId="23" xfId="0" applyFont="1" applyBorder="1" applyAlignment="1">
      <alignment horizontal="center" vertical="center" textRotation="90"/>
    </xf>
    <xf numFmtId="0" fontId="177" fillId="0" borderId="239" xfId="0" applyFont="1" applyBorder="1" applyAlignment="1">
      <alignment horizontal="center" vertical="center" textRotation="90"/>
    </xf>
    <xf numFmtId="0" fontId="177" fillId="0" borderId="21" xfId="0" applyFont="1" applyBorder="1" applyAlignment="1">
      <alignment horizontal="center" vertical="center" textRotation="90"/>
    </xf>
    <xf numFmtId="0" fontId="177" fillId="0" borderId="23" xfId="0" applyFont="1" applyBorder="1" applyAlignment="1">
      <alignment horizontal="center" vertical="center" textRotation="90"/>
    </xf>
    <xf numFmtId="0" fontId="73" fillId="0" borderId="13" xfId="0" applyFont="1" applyFill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73" fillId="23" borderId="18" xfId="0" applyFont="1" applyFill="1" applyBorder="1" applyAlignment="1">
      <alignment horizontal="center" vertical="center"/>
    </xf>
    <xf numFmtId="0" fontId="73" fillId="23" borderId="19" xfId="0" applyFont="1" applyFill="1" applyBorder="1" applyAlignment="1">
      <alignment horizontal="center" vertical="center"/>
    </xf>
    <xf numFmtId="0" fontId="73" fillId="23" borderId="23" xfId="0" applyFont="1" applyFill="1" applyBorder="1" applyAlignment="1">
      <alignment horizontal="center" vertical="center"/>
    </xf>
    <xf numFmtId="0" fontId="185" fillId="0" borderId="189" xfId="0" applyFont="1" applyBorder="1" applyAlignment="1">
      <alignment horizontal="left" wrapText="1"/>
    </xf>
    <xf numFmtId="0" fontId="185" fillId="0" borderId="0" xfId="0" applyFont="1" applyAlignment="1">
      <alignment horizontal="left" wrapText="1"/>
    </xf>
    <xf numFmtId="0" fontId="186" fillId="23" borderId="195" xfId="0" applyFont="1" applyFill="1" applyBorder="1" applyAlignment="1">
      <alignment horizontal="center" vertical="center"/>
    </xf>
    <xf numFmtId="0" fontId="186" fillId="23" borderId="196" xfId="0" applyFont="1" applyFill="1" applyBorder="1" applyAlignment="1">
      <alignment horizontal="center" vertical="center"/>
    </xf>
    <xf numFmtId="0" fontId="186" fillId="23" borderId="197" xfId="0" applyFont="1" applyFill="1" applyBorder="1" applyAlignment="1">
      <alignment horizontal="center" vertical="center"/>
    </xf>
    <xf numFmtId="0" fontId="186" fillId="23" borderId="184" xfId="0" applyFont="1" applyFill="1" applyBorder="1" applyAlignment="1">
      <alignment horizontal="center" vertical="center"/>
    </xf>
    <xf numFmtId="0" fontId="186" fillId="23" borderId="186" xfId="0" applyFont="1" applyFill="1" applyBorder="1" applyAlignment="1">
      <alignment horizontal="center" vertical="center"/>
    </xf>
    <xf numFmtId="0" fontId="186" fillId="23" borderId="187" xfId="0" applyFont="1" applyFill="1" applyBorder="1" applyAlignment="1">
      <alignment horizontal="center" vertical="center"/>
    </xf>
    <xf numFmtId="0" fontId="186" fillId="0" borderId="184" xfId="0" applyFont="1" applyFill="1" applyBorder="1" applyAlignment="1">
      <alignment horizontal="center" vertical="center"/>
    </xf>
    <xf numFmtId="0" fontId="186" fillId="0" borderId="186" xfId="0" applyFont="1" applyFill="1" applyBorder="1" applyAlignment="1">
      <alignment horizontal="center" vertical="center"/>
    </xf>
    <xf numFmtId="0" fontId="186" fillId="0" borderId="187" xfId="0" applyFont="1" applyFill="1" applyBorder="1" applyAlignment="1">
      <alignment horizontal="center" vertical="center"/>
    </xf>
    <xf numFmtId="0" fontId="143" fillId="23" borderId="21" xfId="377" applyFont="1" applyFill="1" applyBorder="1" applyAlignment="1">
      <alignment horizontal="center" vertical="center"/>
    </xf>
    <xf numFmtId="0" fontId="143" fillId="23" borderId="23" xfId="377" applyFont="1" applyFill="1" applyBorder="1" applyAlignment="1">
      <alignment horizontal="center" vertical="center"/>
    </xf>
    <xf numFmtId="0" fontId="143" fillId="23" borderId="185" xfId="377" applyFont="1" applyFill="1" applyBorder="1" applyAlignment="1">
      <alignment horizontal="center" vertical="center"/>
    </xf>
    <xf numFmtId="0" fontId="143" fillId="0" borderId="184" xfId="377" applyFont="1" applyFill="1" applyBorder="1" applyAlignment="1">
      <alignment horizontal="center" vertical="center"/>
    </xf>
    <xf numFmtId="0" fontId="143" fillId="0" borderId="187" xfId="377" applyFont="1" applyFill="1" applyBorder="1" applyAlignment="1">
      <alignment horizontal="center" vertical="center"/>
    </xf>
    <xf numFmtId="0" fontId="143" fillId="23" borderId="182" xfId="377" applyFont="1" applyFill="1" applyBorder="1" applyAlignment="1">
      <alignment horizontal="center" vertical="center"/>
    </xf>
    <xf numFmtId="0" fontId="143" fillId="23" borderId="185" xfId="377" applyFont="1" applyFill="1" applyBorder="1" applyAlignment="1">
      <alignment horizontal="center" vertical="center" wrapText="1"/>
    </xf>
    <xf numFmtId="0" fontId="143" fillId="23" borderId="23" xfId="377" applyFont="1" applyFill="1" applyBorder="1" applyAlignment="1">
      <alignment horizontal="center" vertical="center" wrapText="1"/>
    </xf>
    <xf numFmtId="3" fontId="130" fillId="0" borderId="264" xfId="0" applyNumberFormat="1" applyFont="1" applyBorder="1" applyAlignment="1">
      <alignment horizontal="center" vertical="center"/>
    </xf>
    <xf numFmtId="3" fontId="130" fillId="0" borderId="23" xfId="0" applyNumberFormat="1" applyFont="1" applyBorder="1" applyAlignment="1">
      <alignment horizontal="center" vertical="center"/>
    </xf>
    <xf numFmtId="0" fontId="185" fillId="0" borderId="189" xfId="0" applyFont="1" applyBorder="1" applyAlignment="1">
      <alignment horizontal="center" vertical="center" wrapText="1"/>
    </xf>
    <xf numFmtId="178" fontId="143" fillId="0" borderId="185" xfId="0" applyNumberFormat="1" applyFont="1" applyBorder="1" applyAlignment="1">
      <alignment horizontal="center" vertical="center" wrapText="1"/>
    </xf>
    <xf numFmtId="178" fontId="143" fillId="0" borderId="23" xfId="0" applyNumberFormat="1" applyFont="1" applyBorder="1" applyAlignment="1">
      <alignment horizontal="center" vertical="center" wrapText="1"/>
    </xf>
    <xf numFmtId="178" fontId="130" fillId="0" borderId="185" xfId="0" applyNumberFormat="1" applyFont="1" applyBorder="1" applyAlignment="1">
      <alignment horizontal="center" vertical="center"/>
    </xf>
    <xf numFmtId="178" fontId="130" fillId="0" borderId="23" xfId="0" applyNumberFormat="1" applyFont="1" applyBorder="1" applyAlignment="1">
      <alignment horizontal="center" vertical="center"/>
    </xf>
    <xf numFmtId="178" fontId="130" fillId="0" borderId="182" xfId="377" applyNumberFormat="1" applyFont="1" applyBorder="1" applyAlignment="1">
      <alignment horizontal="center" vertical="center" wrapText="1"/>
    </xf>
    <xf numFmtId="0" fontId="130" fillId="0" borderId="182" xfId="377" applyFont="1" applyBorder="1" applyAlignment="1">
      <alignment horizontal="center" vertical="center"/>
    </xf>
    <xf numFmtId="3" fontId="130" fillId="0" borderId="182" xfId="377" applyNumberFormat="1" applyFont="1" applyBorder="1" applyAlignment="1">
      <alignment horizontal="center" vertical="center"/>
    </xf>
    <xf numFmtId="3" fontId="130" fillId="0" borderId="182" xfId="0" applyNumberFormat="1" applyFont="1" applyBorder="1" applyAlignment="1">
      <alignment horizontal="center" vertical="center"/>
    </xf>
    <xf numFmtId="0" fontId="130" fillId="0" borderId="19" xfId="377" applyFont="1" applyFill="1" applyBorder="1" applyAlignment="1">
      <alignment horizontal="center" vertical="center" wrapText="1"/>
    </xf>
    <xf numFmtId="0" fontId="130" fillId="0" borderId="21" xfId="377" applyFont="1" applyFill="1" applyBorder="1" applyAlignment="1">
      <alignment horizontal="center" vertical="center" wrapText="1"/>
    </xf>
    <xf numFmtId="0" fontId="130" fillId="0" borderId="23" xfId="377" applyFont="1" applyFill="1" applyBorder="1" applyAlignment="1">
      <alignment horizontal="center" vertical="center" wrapText="1"/>
    </xf>
    <xf numFmtId="178" fontId="130" fillId="0" borderId="19" xfId="0" applyNumberFormat="1" applyFont="1" applyBorder="1" applyAlignment="1">
      <alignment horizontal="center" vertical="center"/>
    </xf>
    <xf numFmtId="0" fontId="143" fillId="0" borderId="19" xfId="0" applyFont="1" applyFill="1" applyBorder="1" applyAlignment="1">
      <alignment horizontal="center" vertical="center"/>
    </xf>
    <xf numFmtId="0" fontId="143" fillId="0" borderId="21" xfId="0" applyFont="1" applyFill="1" applyBorder="1" applyAlignment="1">
      <alignment horizontal="center" vertical="center"/>
    </xf>
    <xf numFmtId="0" fontId="143" fillId="0" borderId="23" xfId="0" applyFont="1" applyFill="1" applyBorder="1" applyAlignment="1">
      <alignment horizontal="center" vertical="center"/>
    </xf>
    <xf numFmtId="0" fontId="143" fillId="0" borderId="13" xfId="66" applyFont="1" applyFill="1" applyBorder="1" applyAlignment="1">
      <alignment horizontal="center" vertical="center"/>
    </xf>
    <xf numFmtId="0" fontId="143" fillId="0" borderId="10" xfId="66" applyFont="1" applyFill="1" applyBorder="1" applyAlignment="1">
      <alignment horizontal="center" vertical="center"/>
    </xf>
    <xf numFmtId="0" fontId="186" fillId="23" borderId="13" xfId="0" applyFont="1" applyFill="1" applyBorder="1" applyAlignment="1">
      <alignment horizontal="center" vertical="center"/>
    </xf>
    <xf numFmtId="0" fontId="186" fillId="23" borderId="14" xfId="0" applyFont="1" applyFill="1" applyBorder="1" applyAlignment="1">
      <alignment horizontal="center" vertical="center"/>
    </xf>
    <xf numFmtId="0" fontId="186" fillId="23" borderId="10" xfId="0" applyFont="1" applyFill="1" applyBorder="1" applyAlignment="1">
      <alignment horizontal="center" vertical="center"/>
    </xf>
    <xf numFmtId="0" fontId="143" fillId="23" borderId="23" xfId="66" applyFont="1" applyFill="1" applyBorder="1" applyAlignment="1">
      <alignment horizontal="center" vertical="center"/>
    </xf>
    <xf numFmtId="0" fontId="143" fillId="23" borderId="18" xfId="66" applyFont="1" applyFill="1" applyBorder="1" applyAlignment="1">
      <alignment horizontal="center" vertical="center"/>
    </xf>
    <xf numFmtId="0" fontId="143" fillId="23" borderId="21" xfId="66" applyFont="1" applyFill="1" applyBorder="1" applyAlignment="1">
      <alignment horizontal="center" vertical="center"/>
    </xf>
    <xf numFmtId="0" fontId="143" fillId="23" borderId="13" xfId="66" applyFont="1" applyFill="1" applyBorder="1" applyAlignment="1">
      <alignment horizontal="center" vertical="center"/>
    </xf>
    <xf numFmtId="0" fontId="143" fillId="23" borderId="14" xfId="66" applyFont="1" applyFill="1" applyBorder="1" applyAlignment="1">
      <alignment horizontal="center" vertical="center"/>
    </xf>
    <xf numFmtId="0" fontId="143" fillId="0" borderId="18" xfId="0" applyFont="1" applyFill="1" applyBorder="1" applyAlignment="1">
      <alignment horizontal="center" vertical="center"/>
    </xf>
    <xf numFmtId="0" fontId="143" fillId="23" borderId="10" xfId="66" applyFont="1" applyFill="1" applyBorder="1" applyAlignment="1">
      <alignment horizontal="center" vertical="center"/>
    </xf>
    <xf numFmtId="0" fontId="236" fillId="0" borderId="18" xfId="0" applyFont="1" applyFill="1" applyBorder="1" applyAlignment="1">
      <alignment horizontal="center" vertical="center"/>
    </xf>
    <xf numFmtId="0" fontId="237" fillId="0" borderId="19" xfId="0" applyFont="1" applyFill="1" applyBorder="1" applyAlignment="1">
      <alignment horizontal="center" vertical="center"/>
    </xf>
    <xf numFmtId="0" fontId="237" fillId="0" borderId="21" xfId="0" applyFont="1" applyFill="1" applyBorder="1" applyAlignment="1">
      <alignment horizontal="center" vertical="center"/>
    </xf>
    <xf numFmtId="0" fontId="237" fillId="0" borderId="23" xfId="0" applyFont="1" applyFill="1" applyBorder="1" applyAlignment="1">
      <alignment horizontal="center" vertical="center"/>
    </xf>
    <xf numFmtId="0" fontId="238" fillId="0" borderId="11" xfId="0" applyFont="1" applyFill="1" applyBorder="1" applyAlignment="1">
      <alignment horizontal="center" vertical="center"/>
    </xf>
    <xf numFmtId="0" fontId="238" fillId="0" borderId="16" xfId="0" applyFont="1" applyFill="1" applyBorder="1" applyAlignment="1">
      <alignment horizontal="center" vertical="center"/>
    </xf>
    <xf numFmtId="0" fontId="238" fillId="0" borderId="23" xfId="0" applyFont="1" applyFill="1" applyBorder="1" applyAlignment="1">
      <alignment horizontal="center" vertical="center"/>
    </xf>
    <xf numFmtId="0" fontId="239" fillId="0" borderId="19" xfId="0" applyFont="1" applyFill="1" applyBorder="1" applyAlignment="1">
      <alignment horizontal="center" vertical="center"/>
    </xf>
    <xf numFmtId="0" fontId="239" fillId="0" borderId="21" xfId="0" applyFont="1" applyFill="1" applyBorder="1" applyAlignment="1">
      <alignment horizontal="center" vertical="center"/>
    </xf>
    <xf numFmtId="0" fontId="239" fillId="0" borderId="23" xfId="0" applyFont="1" applyFill="1" applyBorder="1" applyAlignment="1">
      <alignment horizontal="center" vertical="center"/>
    </xf>
    <xf numFmtId="0" fontId="186" fillId="0" borderId="13" xfId="0" applyFont="1" applyFill="1" applyBorder="1" applyAlignment="1">
      <alignment horizontal="center" vertical="center"/>
    </xf>
    <xf numFmtId="0" fontId="186" fillId="0" borderId="14" xfId="0" applyFont="1" applyFill="1" applyBorder="1" applyAlignment="1">
      <alignment horizontal="center" vertical="center"/>
    </xf>
    <xf numFmtId="0" fontId="186" fillId="0" borderId="10" xfId="0" applyFont="1" applyFill="1" applyBorder="1" applyAlignment="1">
      <alignment horizontal="center" vertical="center"/>
    </xf>
    <xf numFmtId="0" fontId="143" fillId="23" borderId="19" xfId="66" applyFont="1" applyFill="1" applyBorder="1" applyAlignment="1">
      <alignment horizontal="center" vertical="center" wrapText="1"/>
    </xf>
    <xf numFmtId="0" fontId="143" fillId="23" borderId="23" xfId="66" applyFont="1" applyFill="1" applyBorder="1" applyAlignment="1">
      <alignment horizontal="center" vertical="center" wrapText="1"/>
    </xf>
    <xf numFmtId="0" fontId="143" fillId="23" borderId="19" xfId="66" applyFont="1" applyFill="1" applyBorder="1" applyAlignment="1">
      <alignment horizontal="center" vertical="center"/>
    </xf>
    <xf numFmtId="178" fontId="130" fillId="0" borderId="18" xfId="0" applyNumberFormat="1" applyFont="1" applyBorder="1" applyAlignment="1">
      <alignment horizontal="center" vertical="center" wrapText="1"/>
    </xf>
    <xf numFmtId="3" fontId="130" fillId="0" borderId="18" xfId="0" applyNumberFormat="1" applyFont="1" applyBorder="1" applyAlignment="1">
      <alignment horizontal="center" vertical="center" wrapText="1"/>
    </xf>
    <xf numFmtId="3" fontId="130" fillId="0" borderId="18" xfId="0" applyNumberFormat="1" applyFont="1" applyBorder="1" applyAlignment="1">
      <alignment horizontal="center" vertical="center"/>
    </xf>
    <xf numFmtId="3" fontId="130" fillId="0" borderId="19" xfId="0" applyNumberFormat="1" applyFont="1" applyBorder="1" applyAlignment="1">
      <alignment horizontal="center" vertical="center"/>
    </xf>
    <xf numFmtId="0" fontId="185" fillId="0" borderId="0" xfId="0" applyFont="1" applyAlignment="1">
      <alignment horizontal="left"/>
    </xf>
    <xf numFmtId="178" fontId="143" fillId="0" borderId="19" xfId="0" applyNumberFormat="1" applyFont="1" applyBorder="1" applyAlignment="1">
      <alignment horizontal="center" vertical="center" wrapText="1"/>
    </xf>
    <xf numFmtId="178" fontId="143" fillId="0" borderId="21" xfId="0" applyNumberFormat="1" applyFont="1" applyBorder="1" applyAlignment="1">
      <alignment horizontal="center" vertical="center" wrapText="1"/>
    </xf>
    <xf numFmtId="3" fontId="130" fillId="0" borderId="21" xfId="0" applyNumberFormat="1" applyFont="1" applyBorder="1" applyAlignment="1">
      <alignment horizontal="center" vertical="center"/>
    </xf>
    <xf numFmtId="178" fontId="130" fillId="0" borderId="19" xfId="0" applyNumberFormat="1" applyFont="1" applyBorder="1" applyAlignment="1">
      <alignment horizontal="center" vertical="center" wrapText="1"/>
    </xf>
    <xf numFmtId="178" fontId="130" fillId="0" borderId="23" xfId="0" applyNumberFormat="1" applyFont="1" applyBorder="1" applyAlignment="1">
      <alignment horizontal="center" vertical="center" wrapText="1"/>
    </xf>
    <xf numFmtId="178" fontId="130" fillId="0" borderId="21" xfId="0" applyNumberFormat="1" applyFont="1" applyBorder="1" applyAlignment="1">
      <alignment horizontal="center" vertical="center" wrapText="1"/>
    </xf>
    <xf numFmtId="3" fontId="130" fillId="0" borderId="21" xfId="0" applyNumberFormat="1" applyFont="1" applyBorder="1" applyAlignment="1">
      <alignment horizontal="center" vertical="center" wrapText="1"/>
    </xf>
    <xf numFmtId="3" fontId="130" fillId="0" borderId="23" xfId="0" applyNumberFormat="1" applyFont="1" applyBorder="1" applyAlignment="1">
      <alignment horizontal="center" vertical="center" wrapText="1"/>
    </xf>
    <xf numFmtId="17" fontId="130" fillId="0" borderId="19" xfId="0" quotePrefix="1" applyNumberFormat="1" applyFont="1" applyBorder="1" applyAlignment="1">
      <alignment horizontal="center" vertical="center"/>
    </xf>
    <xf numFmtId="0" fontId="130" fillId="0" borderId="21" xfId="0" applyNumberFormat="1" applyFont="1" applyBorder="1" applyAlignment="1">
      <alignment horizontal="center" vertical="center"/>
    </xf>
    <xf numFmtId="3" fontId="130" fillId="0" borderId="19" xfId="66" applyNumberFormat="1" applyFont="1" applyBorder="1" applyAlignment="1">
      <alignment horizontal="center" vertical="center"/>
    </xf>
    <xf numFmtId="3" fontId="130" fillId="0" borderId="21" xfId="66" applyNumberFormat="1" applyFont="1" applyBorder="1" applyAlignment="1">
      <alignment horizontal="center" vertical="center"/>
    </xf>
    <xf numFmtId="3" fontId="130" fillId="0" borderId="23" xfId="66" applyNumberFormat="1" applyFont="1" applyBorder="1" applyAlignment="1">
      <alignment horizontal="center" vertical="center"/>
    </xf>
    <xf numFmtId="3" fontId="185" fillId="0" borderId="19" xfId="0" applyNumberFormat="1" applyFont="1" applyBorder="1" applyAlignment="1">
      <alignment horizontal="center" vertical="center"/>
    </xf>
    <xf numFmtId="3" fontId="185" fillId="0" borderId="23" xfId="0" applyNumberFormat="1" applyFont="1" applyBorder="1" applyAlignment="1">
      <alignment horizontal="center" vertical="center"/>
    </xf>
    <xf numFmtId="3" fontId="185" fillId="0" borderId="21" xfId="0" applyNumberFormat="1" applyFont="1" applyBorder="1" applyAlignment="1">
      <alignment horizontal="center" vertical="center"/>
    </xf>
    <xf numFmtId="0" fontId="185" fillId="23" borderId="13" xfId="0" applyFont="1" applyFill="1" applyBorder="1" applyAlignment="1">
      <alignment horizontal="center" vertical="center"/>
    </xf>
    <xf numFmtId="0" fontId="185" fillId="23" borderId="14" xfId="0" applyFont="1" applyFill="1" applyBorder="1" applyAlignment="1">
      <alignment horizontal="center" vertical="center"/>
    </xf>
    <xf numFmtId="0" fontId="185" fillId="23" borderId="10" xfId="0" applyFont="1" applyFill="1" applyBorder="1" applyAlignment="1">
      <alignment horizontal="center" vertical="center"/>
    </xf>
    <xf numFmtId="0" fontId="130" fillId="23" borderId="21" xfId="66" applyFont="1" applyFill="1" applyBorder="1" applyAlignment="1">
      <alignment horizontal="center" vertical="center"/>
    </xf>
    <xf numFmtId="0" fontId="130" fillId="23" borderId="23" xfId="66" applyFont="1" applyFill="1" applyBorder="1" applyAlignment="1">
      <alignment horizontal="center" vertical="center"/>
    </xf>
    <xf numFmtId="0" fontId="130" fillId="23" borderId="19" xfId="66" applyFont="1" applyFill="1" applyBorder="1" applyAlignment="1">
      <alignment horizontal="center" vertical="center"/>
    </xf>
    <xf numFmtId="0" fontId="130" fillId="23" borderId="18" xfId="66" applyFont="1" applyFill="1" applyBorder="1" applyAlignment="1">
      <alignment horizontal="center" vertical="center"/>
    </xf>
    <xf numFmtId="0" fontId="130" fillId="23" borderId="19" xfId="66" applyFont="1" applyFill="1" applyBorder="1" applyAlignment="1">
      <alignment horizontal="center" vertical="center" wrapText="1"/>
    </xf>
    <xf numFmtId="0" fontId="130" fillId="23" borderId="23" xfId="66" applyFont="1" applyFill="1" applyBorder="1" applyAlignment="1">
      <alignment horizontal="center" vertical="center" wrapText="1"/>
    </xf>
    <xf numFmtId="178" fontId="130" fillId="0" borderId="19" xfId="377" applyNumberFormat="1" applyFont="1" applyBorder="1" applyAlignment="1">
      <alignment horizontal="center" vertical="center" wrapText="1"/>
    </xf>
    <xf numFmtId="178" fontId="130" fillId="0" borderId="21" xfId="377" applyNumberFormat="1" applyFont="1" applyBorder="1" applyAlignment="1">
      <alignment horizontal="center" vertical="center" wrapText="1"/>
    </xf>
    <xf numFmtId="178" fontId="130" fillId="0" borderId="23" xfId="377" applyNumberFormat="1" applyFont="1" applyBorder="1" applyAlignment="1">
      <alignment horizontal="center" vertical="center" wrapText="1"/>
    </xf>
    <xf numFmtId="0" fontId="130" fillId="0" borderId="19" xfId="377" applyFont="1" applyBorder="1" applyAlignment="1">
      <alignment horizontal="center" vertical="center"/>
    </xf>
    <xf numFmtId="0" fontId="130" fillId="0" borderId="21" xfId="377" applyFont="1" applyBorder="1" applyAlignment="1">
      <alignment horizontal="center" vertical="center"/>
    </xf>
    <xf numFmtId="0" fontId="130" fillId="0" borderId="23" xfId="377" applyFont="1" applyBorder="1" applyAlignment="1">
      <alignment horizontal="center" vertical="center"/>
    </xf>
    <xf numFmtId="3" fontId="130" fillId="0" borderId="19" xfId="377" applyNumberFormat="1" applyFont="1" applyBorder="1" applyAlignment="1">
      <alignment horizontal="center" vertical="center"/>
    </xf>
    <xf numFmtId="3" fontId="130" fillId="0" borderId="21" xfId="377" applyNumberFormat="1" applyFont="1" applyBorder="1" applyAlignment="1">
      <alignment horizontal="center" vertical="center"/>
    </xf>
    <xf numFmtId="3" fontId="130" fillId="0" borderId="23" xfId="377" applyNumberFormat="1" applyFont="1" applyBorder="1" applyAlignment="1">
      <alignment horizontal="center" vertical="center"/>
    </xf>
    <xf numFmtId="17" fontId="130" fillId="0" borderId="19" xfId="0" applyNumberFormat="1" applyFont="1" applyBorder="1" applyAlignment="1">
      <alignment horizontal="center" vertical="center" wrapText="1"/>
    </xf>
    <xf numFmtId="17" fontId="130" fillId="0" borderId="21" xfId="0" applyNumberFormat="1" applyFont="1" applyBorder="1" applyAlignment="1">
      <alignment horizontal="center" vertical="center" wrapText="1"/>
    </xf>
    <xf numFmtId="3" fontId="130" fillId="0" borderId="15" xfId="66" applyNumberFormat="1" applyFont="1" applyBorder="1" applyAlignment="1">
      <alignment horizontal="center" vertical="center"/>
    </xf>
    <xf numFmtId="3" fontId="130" fillId="0" borderId="17" xfId="66" applyNumberFormat="1" applyFont="1" applyBorder="1" applyAlignment="1">
      <alignment horizontal="center" vertical="center"/>
    </xf>
    <xf numFmtId="3" fontId="130" fillId="0" borderId="22" xfId="66" applyNumberFormat="1" applyFont="1" applyBorder="1" applyAlignment="1">
      <alignment horizontal="center" vertical="center"/>
    </xf>
    <xf numFmtId="3" fontId="185" fillId="0" borderId="15" xfId="0" applyNumberFormat="1" applyFont="1" applyBorder="1" applyAlignment="1">
      <alignment horizontal="center" vertical="center"/>
    </xf>
    <xf numFmtId="3" fontId="185" fillId="0" borderId="17" xfId="0" applyNumberFormat="1" applyFont="1" applyBorder="1" applyAlignment="1">
      <alignment horizontal="center" vertical="center"/>
    </xf>
    <xf numFmtId="3" fontId="185" fillId="0" borderId="22" xfId="0" applyNumberFormat="1" applyFont="1" applyBorder="1" applyAlignment="1">
      <alignment horizontal="center" vertical="center"/>
    </xf>
    <xf numFmtId="178" fontId="130" fillId="0" borderId="16" xfId="0" applyNumberFormat="1" applyFont="1" applyBorder="1" applyAlignment="1">
      <alignment horizontal="center" vertical="center" wrapText="1"/>
    </xf>
    <xf numFmtId="3" fontId="130" fillId="0" borderId="19" xfId="0" applyNumberFormat="1" applyFont="1" applyFill="1" applyBorder="1" applyAlignment="1">
      <alignment horizontal="center" vertical="center"/>
    </xf>
    <xf numFmtId="3" fontId="130" fillId="0" borderId="21" xfId="0" applyNumberFormat="1" applyFont="1" applyFill="1" applyBorder="1" applyAlignment="1">
      <alignment horizontal="center" vertical="center"/>
    </xf>
    <xf numFmtId="3" fontId="130" fillId="0" borderId="23" xfId="0" applyNumberFormat="1" applyFont="1" applyFill="1" applyBorder="1" applyAlignment="1">
      <alignment horizontal="center" vertical="center"/>
    </xf>
    <xf numFmtId="0" fontId="130" fillId="0" borderId="19" xfId="377" applyFont="1" applyBorder="1" applyAlignment="1">
      <alignment horizontal="center" vertical="center" wrapText="1"/>
    </xf>
    <xf numFmtId="0" fontId="130" fillId="0" borderId="21" xfId="377" applyFont="1" applyBorder="1" applyAlignment="1">
      <alignment horizontal="center" vertical="center" wrapText="1"/>
    </xf>
    <xf numFmtId="0" fontId="130" fillId="0" borderId="23" xfId="377" applyFont="1" applyBorder="1" applyAlignment="1">
      <alignment horizontal="center" vertical="center" wrapText="1"/>
    </xf>
    <xf numFmtId="0" fontId="143" fillId="23" borderId="13" xfId="377" applyFont="1" applyFill="1" applyBorder="1" applyAlignment="1">
      <alignment horizontal="center" vertical="center"/>
    </xf>
    <xf numFmtId="0" fontId="143" fillId="23" borderId="10" xfId="377" applyFont="1" applyFill="1" applyBorder="1" applyAlignment="1">
      <alignment horizontal="center" vertical="center"/>
    </xf>
    <xf numFmtId="3" fontId="130" fillId="0" borderId="19" xfId="377" applyNumberFormat="1" applyFont="1" applyFill="1" applyBorder="1" applyAlignment="1">
      <alignment horizontal="center" vertical="center"/>
    </xf>
    <xf numFmtId="3" fontId="130" fillId="0" borderId="21" xfId="377" applyNumberFormat="1" applyFont="1" applyFill="1" applyBorder="1" applyAlignment="1">
      <alignment horizontal="center" vertical="center"/>
    </xf>
    <xf numFmtId="3" fontId="130" fillId="0" borderId="23" xfId="377" applyNumberFormat="1" applyFont="1" applyFill="1" applyBorder="1" applyAlignment="1">
      <alignment horizontal="center" vertical="center"/>
    </xf>
    <xf numFmtId="0" fontId="143" fillId="23" borderId="19" xfId="377" applyFont="1" applyFill="1" applyBorder="1" applyAlignment="1">
      <alignment horizontal="center" vertical="center"/>
    </xf>
    <xf numFmtId="0" fontId="143" fillId="0" borderId="13" xfId="377" applyFont="1" applyFill="1" applyBorder="1" applyAlignment="1">
      <alignment horizontal="center" vertical="center"/>
    </xf>
    <xf numFmtId="0" fontId="143" fillId="0" borderId="10" xfId="377" applyFont="1" applyFill="1" applyBorder="1" applyAlignment="1">
      <alignment horizontal="center" vertical="center"/>
    </xf>
    <xf numFmtId="0" fontId="111" fillId="0" borderId="18" xfId="377" applyFont="1" applyFill="1" applyBorder="1" applyAlignment="1">
      <alignment horizontal="center" vertical="center"/>
    </xf>
    <xf numFmtId="0" fontId="190" fillId="0" borderId="0" xfId="466" applyFont="1" applyAlignment="1">
      <alignment horizontal="left" vertical="center" wrapText="1"/>
    </xf>
    <xf numFmtId="0" fontId="49" fillId="0" borderId="0" xfId="466" applyAlignment="1">
      <alignment horizontal="center"/>
    </xf>
    <xf numFmtId="0" fontId="73" fillId="23" borderId="18" xfId="377" applyFont="1" applyFill="1" applyBorder="1" applyAlignment="1">
      <alignment horizontal="center" vertical="center"/>
    </xf>
    <xf numFmtId="0" fontId="132" fillId="23" borderId="184" xfId="66" applyFont="1" applyFill="1" applyBorder="1" applyAlignment="1">
      <alignment horizontal="center" vertical="center"/>
    </xf>
    <xf numFmtId="0" fontId="132" fillId="23" borderId="197" xfId="66" applyFont="1" applyFill="1" applyBorder="1" applyAlignment="1">
      <alignment horizontal="center" vertical="center"/>
    </xf>
    <xf numFmtId="0" fontId="175" fillId="0" borderId="240" xfId="66" applyFont="1" applyBorder="1" applyAlignment="1">
      <alignment horizontal="center" vertical="center"/>
    </xf>
    <xf numFmtId="0" fontId="175" fillId="0" borderId="16" xfId="66" applyFont="1" applyBorder="1" applyAlignment="1">
      <alignment horizontal="center" vertical="center"/>
    </xf>
    <xf numFmtId="0" fontId="175" fillId="0" borderId="20" xfId="66" applyFont="1" applyBorder="1" applyAlignment="1">
      <alignment horizontal="center" vertical="center"/>
    </xf>
    <xf numFmtId="0" fontId="176" fillId="0" borderId="240" xfId="66" applyFont="1" applyBorder="1" applyAlignment="1">
      <alignment horizontal="center" vertical="center"/>
    </xf>
    <xf numFmtId="0" fontId="176" fillId="0" borderId="16" xfId="66" applyFont="1" applyBorder="1" applyAlignment="1">
      <alignment horizontal="center" vertical="center"/>
    </xf>
    <xf numFmtId="0" fontId="176" fillId="0" borderId="20" xfId="66" applyFont="1" applyBorder="1" applyAlignment="1">
      <alignment horizontal="center" vertical="center"/>
    </xf>
    <xf numFmtId="0" fontId="179" fillId="0" borderId="240" xfId="66" applyFont="1" applyBorder="1" applyAlignment="1">
      <alignment horizontal="center" vertical="center"/>
    </xf>
    <xf numFmtId="0" fontId="179" fillId="0" borderId="16" xfId="66" applyFont="1" applyBorder="1" applyAlignment="1">
      <alignment horizontal="center" vertical="center"/>
    </xf>
    <xf numFmtId="0" fontId="179" fillId="0" borderId="20" xfId="66" applyFont="1" applyBorder="1" applyAlignment="1">
      <alignment horizontal="center" vertical="center"/>
    </xf>
    <xf numFmtId="0" fontId="178" fillId="0" borderId="253" xfId="66" applyFont="1" applyBorder="1" applyAlignment="1">
      <alignment horizontal="center" vertical="center"/>
    </xf>
    <xf numFmtId="0" fontId="178" fillId="0" borderId="23" xfId="66" applyFont="1" applyBorder="1" applyAlignment="1">
      <alignment horizontal="center" vertical="center"/>
    </xf>
    <xf numFmtId="0" fontId="177" fillId="0" borderId="253" xfId="66" applyFont="1" applyBorder="1" applyAlignment="1">
      <alignment horizontal="center" vertical="center"/>
    </xf>
    <xf numFmtId="0" fontId="177" fillId="0" borderId="21" xfId="66" applyFont="1" applyBorder="1" applyAlignment="1">
      <alignment horizontal="center" vertical="center"/>
    </xf>
    <xf numFmtId="0" fontId="177" fillId="0" borderId="23" xfId="66" applyFont="1" applyBorder="1" applyAlignment="1">
      <alignment horizontal="center" vertical="center"/>
    </xf>
    <xf numFmtId="0" fontId="132" fillId="23" borderId="187" xfId="66" applyFont="1" applyFill="1" applyBorder="1" applyAlignment="1">
      <alignment horizontal="center" vertical="center"/>
    </xf>
    <xf numFmtId="0" fontId="175" fillId="0" borderId="188" xfId="66" applyFont="1" applyBorder="1" applyAlignment="1">
      <alignment horizontal="center" vertical="center"/>
    </xf>
    <xf numFmtId="0" fontId="176" fillId="0" borderId="188" xfId="66" applyFont="1" applyBorder="1" applyAlignment="1">
      <alignment horizontal="center" vertical="center"/>
    </xf>
    <xf numFmtId="0" fontId="179" fillId="0" borderId="188" xfId="66" applyFont="1" applyBorder="1" applyAlignment="1">
      <alignment horizontal="center" vertical="center"/>
    </xf>
    <xf numFmtId="0" fontId="178" fillId="0" borderId="185" xfId="66" applyFont="1" applyBorder="1" applyAlignment="1">
      <alignment horizontal="center" vertical="center"/>
    </xf>
    <xf numFmtId="0" fontId="177" fillId="0" borderId="185" xfId="66" applyFont="1" applyBorder="1" applyAlignment="1">
      <alignment horizontal="center" vertical="center"/>
    </xf>
    <xf numFmtId="0" fontId="175" fillId="0" borderId="11" xfId="0" applyFont="1" applyBorder="1" applyAlignment="1">
      <alignment horizontal="center" vertical="center"/>
    </xf>
    <xf numFmtId="0" fontId="175" fillId="0" borderId="16" xfId="0" applyFont="1" applyBorder="1" applyAlignment="1">
      <alignment horizontal="center" vertical="center"/>
    </xf>
    <xf numFmtId="0" fontId="175" fillId="0" borderId="20" xfId="0" applyFont="1" applyBorder="1" applyAlignment="1">
      <alignment horizontal="center" vertical="center"/>
    </xf>
    <xf numFmtId="0" fontId="176" fillId="0" borderId="11" xfId="0" applyFont="1" applyBorder="1" applyAlignment="1">
      <alignment horizontal="center" vertical="center"/>
    </xf>
    <xf numFmtId="0" fontId="176" fillId="0" borderId="16" xfId="0" applyFont="1" applyBorder="1" applyAlignment="1">
      <alignment horizontal="center" vertical="center"/>
    </xf>
    <xf numFmtId="0" fontId="176" fillId="0" borderId="20" xfId="0" applyFont="1" applyBorder="1" applyAlignment="1">
      <alignment horizontal="center" vertical="center"/>
    </xf>
    <xf numFmtId="0" fontId="179" fillId="0" borderId="11" xfId="0" applyFont="1" applyBorder="1" applyAlignment="1">
      <alignment horizontal="center" vertical="center"/>
    </xf>
    <xf numFmtId="0" fontId="179" fillId="0" borderId="16" xfId="0" applyFont="1" applyBorder="1" applyAlignment="1">
      <alignment horizontal="center" vertical="center"/>
    </xf>
    <xf numFmtId="0" fontId="179" fillId="0" borderId="20" xfId="0" applyFont="1" applyBorder="1" applyAlignment="1">
      <alignment horizontal="center" vertical="center"/>
    </xf>
    <xf numFmtId="0" fontId="132" fillId="0" borderId="184" xfId="0" applyFont="1" applyBorder="1" applyAlignment="1">
      <alignment horizontal="center" vertical="center"/>
    </xf>
    <xf numFmtId="0" fontId="132" fillId="0" borderId="186" xfId="0" applyFont="1" applyBorder="1" applyAlignment="1">
      <alignment horizontal="center" vertical="center"/>
    </xf>
    <xf numFmtId="0" fontId="132" fillId="0" borderId="11" xfId="0" applyFont="1" applyBorder="1" applyAlignment="1">
      <alignment horizontal="center" vertical="center"/>
    </xf>
    <xf numFmtId="0" fontId="132" fillId="0" borderId="16" xfId="0" applyFont="1" applyBorder="1" applyAlignment="1">
      <alignment horizontal="center" vertical="center"/>
    </xf>
    <xf numFmtId="0" fontId="132" fillId="0" borderId="20" xfId="0" applyFont="1" applyBorder="1" applyAlignment="1">
      <alignment horizontal="center" vertical="center"/>
    </xf>
    <xf numFmtId="0" fontId="132" fillId="23" borderId="13" xfId="0" applyFont="1" applyFill="1" applyBorder="1" applyAlignment="1">
      <alignment horizontal="center"/>
    </xf>
    <xf numFmtId="0" fontId="132" fillId="23" borderId="10" xfId="0" applyFont="1" applyFill="1" applyBorder="1" applyAlignment="1">
      <alignment horizontal="center"/>
    </xf>
    <xf numFmtId="0" fontId="185" fillId="0" borderId="19" xfId="0" applyFont="1" applyBorder="1" applyAlignment="1">
      <alignment horizontal="center" vertical="center"/>
    </xf>
    <xf numFmtId="0" fontId="185" fillId="0" borderId="21" xfId="0" applyFont="1" applyBorder="1" applyAlignment="1">
      <alignment horizontal="center" vertical="center"/>
    </xf>
    <xf numFmtId="0" fontId="185" fillId="0" borderId="23" xfId="0" applyFont="1" applyBorder="1" applyAlignment="1">
      <alignment horizontal="center" vertical="center"/>
    </xf>
    <xf numFmtId="0" fontId="186" fillId="23" borderId="18" xfId="0" applyFont="1" applyFill="1" applyBorder="1" applyAlignment="1">
      <alignment horizontal="center" vertical="center"/>
    </xf>
    <xf numFmtId="0" fontId="132" fillId="23" borderId="195" xfId="66" applyFont="1" applyFill="1" applyBorder="1" applyAlignment="1">
      <alignment horizontal="center" vertical="center"/>
    </xf>
    <xf numFmtId="0" fontId="175" fillId="0" borderId="234" xfId="66" applyFont="1" applyBorder="1" applyAlignment="1">
      <alignment horizontal="center" vertical="center"/>
    </xf>
    <xf numFmtId="0" fontId="176" fillId="0" borderId="234" xfId="66" applyFont="1" applyBorder="1" applyAlignment="1">
      <alignment horizontal="center" vertical="center"/>
    </xf>
    <xf numFmtId="0" fontId="179" fillId="0" borderId="234" xfId="66" applyFont="1" applyBorder="1" applyAlignment="1">
      <alignment horizontal="center" vertical="center"/>
    </xf>
    <xf numFmtId="0" fontId="178" fillId="0" borderId="218" xfId="66" applyFont="1" applyBorder="1" applyAlignment="1">
      <alignment horizontal="center" vertical="center"/>
    </xf>
    <xf numFmtId="0" fontId="177" fillId="0" borderId="218" xfId="66" applyFont="1" applyBorder="1" applyAlignment="1">
      <alignment horizontal="center" vertical="center"/>
    </xf>
    <xf numFmtId="0" fontId="262" fillId="0" borderId="184" xfId="0" applyFont="1" applyBorder="1" applyAlignment="1">
      <alignment horizontal="center"/>
    </xf>
    <xf numFmtId="0" fontId="262" fillId="0" borderId="186" xfId="0" applyFont="1" applyBorder="1" applyAlignment="1">
      <alignment horizontal="center"/>
    </xf>
    <xf numFmtId="0" fontId="262" fillId="0" borderId="187" xfId="0" applyFont="1" applyBorder="1" applyAlignment="1">
      <alignment horizontal="center"/>
    </xf>
    <xf numFmtId="0" fontId="132" fillId="23" borderId="19" xfId="0" applyFont="1" applyFill="1" applyBorder="1" applyAlignment="1">
      <alignment horizontal="center" vertical="center" wrapText="1" readingOrder="1"/>
    </xf>
    <xf numFmtId="0" fontId="132" fillId="23" borderId="23" xfId="0" applyFont="1" applyFill="1" applyBorder="1" applyAlignment="1">
      <alignment horizontal="center" vertical="center" wrapText="1" readingOrder="1"/>
    </xf>
    <xf numFmtId="0" fontId="30" fillId="0" borderId="13" xfId="0" applyFont="1" applyFill="1" applyBorder="1" applyAlignment="1">
      <alignment horizontal="center" vertical="center" wrapText="1" readingOrder="1"/>
    </xf>
    <xf numFmtId="0" fontId="30" fillId="0" borderId="14" xfId="0" applyFont="1" applyFill="1" applyBorder="1" applyAlignment="1">
      <alignment horizontal="center" vertical="center" wrapText="1" readingOrder="1"/>
    </xf>
    <xf numFmtId="0" fontId="30" fillId="0" borderId="15" xfId="0" applyFont="1" applyFill="1" applyBorder="1" applyAlignment="1">
      <alignment horizontal="center" vertical="center" wrapText="1" readingOrder="1"/>
    </xf>
    <xf numFmtId="0" fontId="199" fillId="0" borderId="11" xfId="0" applyFont="1" applyFill="1" applyBorder="1" applyAlignment="1">
      <alignment horizontal="center" vertical="center" wrapText="1" readingOrder="1"/>
    </xf>
    <xf numFmtId="0" fontId="199" fillId="0" borderId="12" xfId="0" applyFont="1" applyFill="1" applyBorder="1" applyAlignment="1">
      <alignment horizontal="center" vertical="center" wrapText="1" readingOrder="1"/>
    </xf>
    <xf numFmtId="0" fontId="199" fillId="0" borderId="15" xfId="0" applyFont="1" applyFill="1" applyBorder="1" applyAlignment="1">
      <alignment horizontal="center" vertical="center" wrapText="1" readingOrder="1"/>
    </xf>
    <xf numFmtId="0" fontId="131" fillId="0" borderId="0" xfId="0" applyFont="1" applyAlignment="1">
      <alignment horizontal="left" wrapText="1"/>
    </xf>
    <xf numFmtId="0" fontId="146" fillId="23" borderId="239" xfId="0" applyFont="1" applyFill="1" applyBorder="1" applyAlignment="1">
      <alignment horizontal="center" vertical="center" wrapText="1" readingOrder="1"/>
    </xf>
    <xf numFmtId="0" fontId="146" fillId="23" borderId="23" xfId="0" applyFont="1" applyFill="1" applyBorder="1" applyAlignment="1">
      <alignment horizontal="center" vertical="center" wrapText="1" readingOrder="1"/>
    </xf>
    <xf numFmtId="0" fontId="132" fillId="23" borderId="239" xfId="3810" applyFont="1" applyFill="1" applyBorder="1" applyAlignment="1">
      <alignment horizontal="center" vertical="center" wrapText="1"/>
    </xf>
    <xf numFmtId="0" fontId="132" fillId="23" borderId="23" xfId="3810" applyFont="1" applyFill="1" applyBorder="1" applyAlignment="1">
      <alignment horizontal="center" vertical="center" wrapText="1"/>
    </xf>
    <xf numFmtId="0" fontId="132" fillId="0" borderId="245" xfId="3810" applyFont="1" applyBorder="1" applyAlignment="1">
      <alignment horizontal="right" vertical="center"/>
    </xf>
    <xf numFmtId="0" fontId="132" fillId="0" borderId="246" xfId="3810" applyFont="1" applyBorder="1" applyAlignment="1">
      <alignment horizontal="right" vertical="center"/>
    </xf>
    <xf numFmtId="0" fontId="132" fillId="0" borderId="243" xfId="3810" applyFont="1" applyBorder="1" applyAlignment="1">
      <alignment horizontal="right" vertical="center"/>
    </xf>
    <xf numFmtId="0" fontId="199" fillId="0" borderId="184" xfId="835" applyFont="1" applyFill="1" applyBorder="1" applyAlignment="1">
      <alignment horizontal="center"/>
    </xf>
    <xf numFmtId="0" fontId="199" fillId="0" borderId="186" xfId="835" applyFont="1" applyFill="1" applyBorder="1" applyAlignment="1">
      <alignment horizontal="center"/>
    </xf>
    <xf numFmtId="0" fontId="199" fillId="0" borderId="187" xfId="835" applyFont="1" applyFill="1" applyBorder="1" applyAlignment="1">
      <alignment horizontal="center"/>
    </xf>
    <xf numFmtId="0" fontId="318" fillId="0" borderId="0" xfId="835" applyFont="1" applyAlignment="1">
      <alignment horizontal="left" vertical="center" wrapText="1"/>
    </xf>
    <xf numFmtId="0" fontId="128" fillId="23" borderId="184" xfId="835" applyFont="1" applyFill="1" applyBorder="1" applyAlignment="1">
      <alignment horizontal="center" vertical="center"/>
    </xf>
    <xf numFmtId="0" fontId="128" fillId="23" borderId="187" xfId="835" applyFont="1" applyFill="1" applyBorder="1" applyAlignment="1">
      <alignment horizontal="center" vertical="center"/>
    </xf>
    <xf numFmtId="0" fontId="199" fillId="0" borderId="184" xfId="835" applyFont="1" applyBorder="1" applyAlignment="1">
      <alignment horizontal="center"/>
    </xf>
    <xf numFmtId="0" fontId="199" fillId="0" borderId="187" xfId="835" applyFont="1" applyBorder="1" applyAlignment="1">
      <alignment horizontal="center"/>
    </xf>
    <xf numFmtId="0" fontId="199" fillId="0" borderId="186" xfId="835" applyFont="1" applyBorder="1" applyAlignment="1">
      <alignment horizontal="center"/>
    </xf>
  </cellXfs>
  <cellStyles count="3812">
    <cellStyle name="20% - Énfasis1" xfId="1" builtinId="30" customBuiltin="1"/>
    <cellStyle name="20% - Énfasis1 2" xfId="81"/>
    <cellStyle name="20% - Énfasis1 2 2" xfId="82"/>
    <cellStyle name="20% - Énfasis1 2 2 2" xfId="83"/>
    <cellStyle name="20% - Énfasis1 2 2 2 2" xfId="837"/>
    <cellStyle name="20% - Énfasis1 2 2 2 2 2" xfId="838"/>
    <cellStyle name="20% - Énfasis1 2 2 2 3" xfId="839"/>
    <cellStyle name="20% - Énfasis1 2 2 3" xfId="840"/>
    <cellStyle name="20% - Énfasis1 2 2 3 2" xfId="841"/>
    <cellStyle name="20% - Énfasis1 2 2 4" xfId="842"/>
    <cellStyle name="20% - Énfasis1 2 2_ARTURO SSMC110113xls" xfId="843"/>
    <cellStyle name="20% - Énfasis1 2 3" xfId="84"/>
    <cellStyle name="20% - Énfasis1 2 3 2" xfId="85"/>
    <cellStyle name="20% - Énfasis1 2 3 2 2" xfId="844"/>
    <cellStyle name="20% - Énfasis1 2 3 2 2 2" xfId="845"/>
    <cellStyle name="20% - Énfasis1 2 3 2 3" xfId="846"/>
    <cellStyle name="20% - Énfasis1 2 3 3" xfId="847"/>
    <cellStyle name="20% - Énfasis1 2 3 3 2" xfId="848"/>
    <cellStyle name="20% - Énfasis1 2 3 4" xfId="849"/>
    <cellStyle name="20% - Énfasis1 2 3_ARTURO SSMC110113xls" xfId="850"/>
    <cellStyle name="20% - Énfasis1 2 4" xfId="86"/>
    <cellStyle name="20% - Énfasis1 2 4 2" xfId="851"/>
    <cellStyle name="20% - Énfasis1 2 4 2 2" xfId="852"/>
    <cellStyle name="20% - Énfasis1 2 4 3" xfId="853"/>
    <cellStyle name="20% - Énfasis1 2 5" xfId="854"/>
    <cellStyle name="20% - Énfasis1 2 5 2" xfId="855"/>
    <cellStyle name="20% - Énfasis1 2 6" xfId="856"/>
    <cellStyle name="20% - Énfasis1 2_ARTURO SSMC110113xls" xfId="857"/>
    <cellStyle name="20% - Énfasis1 3" xfId="232"/>
    <cellStyle name="20% - Énfasis2" xfId="2" builtinId="34" customBuiltin="1"/>
    <cellStyle name="20% - Énfasis2 2" xfId="87"/>
    <cellStyle name="20% - Énfasis2 2 2" xfId="88"/>
    <cellStyle name="20% - Énfasis2 2 2 2" xfId="89"/>
    <cellStyle name="20% - Énfasis2 2 2 2 2" xfId="858"/>
    <cellStyle name="20% - Énfasis2 2 2 2 2 2" xfId="859"/>
    <cellStyle name="20% - Énfasis2 2 2 2 3" xfId="860"/>
    <cellStyle name="20% - Énfasis2 2 2 3" xfId="861"/>
    <cellStyle name="20% - Énfasis2 2 2 3 2" xfId="862"/>
    <cellStyle name="20% - Énfasis2 2 2 4" xfId="863"/>
    <cellStyle name="20% - Énfasis2 2 2_ARTURO SSMC110113xls" xfId="864"/>
    <cellStyle name="20% - Énfasis2 2 3" xfId="90"/>
    <cellStyle name="20% - Énfasis2 2 3 2" xfId="91"/>
    <cellStyle name="20% - Énfasis2 2 3 2 2" xfId="865"/>
    <cellStyle name="20% - Énfasis2 2 3 2 2 2" xfId="866"/>
    <cellStyle name="20% - Énfasis2 2 3 2 3" xfId="867"/>
    <cellStyle name="20% - Énfasis2 2 3 3" xfId="868"/>
    <cellStyle name="20% - Énfasis2 2 3 3 2" xfId="869"/>
    <cellStyle name="20% - Énfasis2 2 3 4" xfId="870"/>
    <cellStyle name="20% - Énfasis2 2 3_ARTURO SSMC110113xls" xfId="871"/>
    <cellStyle name="20% - Énfasis2 2 4" xfId="92"/>
    <cellStyle name="20% - Énfasis2 2 4 2" xfId="872"/>
    <cellStyle name="20% - Énfasis2 2 4 2 2" xfId="873"/>
    <cellStyle name="20% - Énfasis2 2 4 3" xfId="874"/>
    <cellStyle name="20% - Énfasis2 2 5" xfId="875"/>
    <cellStyle name="20% - Énfasis2 2 5 2" xfId="876"/>
    <cellStyle name="20% - Énfasis2 2 6" xfId="877"/>
    <cellStyle name="20% - Énfasis2 2_ARTURO SSMC110113xls" xfId="878"/>
    <cellStyle name="20% - Énfasis2 3" xfId="233"/>
    <cellStyle name="20% - Énfasis3" xfId="3" builtinId="38" customBuiltin="1"/>
    <cellStyle name="20% - Énfasis3 2" xfId="93"/>
    <cellStyle name="20% - Énfasis3 2 2" xfId="94"/>
    <cellStyle name="20% - Énfasis3 2 2 2" xfId="95"/>
    <cellStyle name="20% - Énfasis3 2 2 2 2" xfId="879"/>
    <cellStyle name="20% - Énfasis3 2 2 2 2 2" xfId="880"/>
    <cellStyle name="20% - Énfasis3 2 2 2 3" xfId="881"/>
    <cellStyle name="20% - Énfasis3 2 2 3" xfId="882"/>
    <cellStyle name="20% - Énfasis3 2 2 3 2" xfId="883"/>
    <cellStyle name="20% - Énfasis3 2 2 4" xfId="884"/>
    <cellStyle name="20% - Énfasis3 2 2_ARTURO SSMC110113xls" xfId="885"/>
    <cellStyle name="20% - Énfasis3 2 3" xfId="96"/>
    <cellStyle name="20% - Énfasis3 2 3 2" xfId="97"/>
    <cellStyle name="20% - Énfasis3 2 3 2 2" xfId="886"/>
    <cellStyle name="20% - Énfasis3 2 3 2 2 2" xfId="887"/>
    <cellStyle name="20% - Énfasis3 2 3 2 3" xfId="888"/>
    <cellStyle name="20% - Énfasis3 2 3 3" xfId="889"/>
    <cellStyle name="20% - Énfasis3 2 3 3 2" xfId="890"/>
    <cellStyle name="20% - Énfasis3 2 3 4" xfId="891"/>
    <cellStyle name="20% - Énfasis3 2 3_ARTURO SSMC110113xls" xfId="892"/>
    <cellStyle name="20% - Énfasis3 2 4" xfId="98"/>
    <cellStyle name="20% - Énfasis3 2 4 2" xfId="893"/>
    <cellStyle name="20% - Énfasis3 2 4 2 2" xfId="894"/>
    <cellStyle name="20% - Énfasis3 2 4 3" xfId="895"/>
    <cellStyle name="20% - Énfasis3 2 5" xfId="896"/>
    <cellStyle name="20% - Énfasis3 2 5 2" xfId="897"/>
    <cellStyle name="20% - Énfasis3 2 6" xfId="898"/>
    <cellStyle name="20% - Énfasis3 2_ARTURO SSMC110113xls" xfId="899"/>
    <cellStyle name="20% - Énfasis3 3" xfId="234"/>
    <cellStyle name="20% - Énfasis4" xfId="4" builtinId="42" customBuiltin="1"/>
    <cellStyle name="20% - Énfasis4 2" xfId="99"/>
    <cellStyle name="20% - Énfasis4 2 2" xfId="100"/>
    <cellStyle name="20% - Énfasis4 2 2 2" xfId="101"/>
    <cellStyle name="20% - Énfasis4 2 2 2 2" xfId="900"/>
    <cellStyle name="20% - Énfasis4 2 2 2 2 2" xfId="901"/>
    <cellStyle name="20% - Énfasis4 2 2 2 3" xfId="902"/>
    <cellStyle name="20% - Énfasis4 2 2 3" xfId="903"/>
    <cellStyle name="20% - Énfasis4 2 2 3 2" xfId="904"/>
    <cellStyle name="20% - Énfasis4 2 2 4" xfId="905"/>
    <cellStyle name="20% - Énfasis4 2 2_ARTURO SSMC110113xls" xfId="906"/>
    <cellStyle name="20% - Énfasis4 2 3" xfId="102"/>
    <cellStyle name="20% - Énfasis4 2 3 2" xfId="103"/>
    <cellStyle name="20% - Énfasis4 2 3 2 2" xfId="907"/>
    <cellStyle name="20% - Énfasis4 2 3 2 2 2" xfId="908"/>
    <cellStyle name="20% - Énfasis4 2 3 2 3" xfId="909"/>
    <cellStyle name="20% - Énfasis4 2 3 3" xfId="910"/>
    <cellStyle name="20% - Énfasis4 2 3 3 2" xfId="911"/>
    <cellStyle name="20% - Énfasis4 2 3 4" xfId="912"/>
    <cellStyle name="20% - Énfasis4 2 3_ARTURO SSMC110113xls" xfId="913"/>
    <cellStyle name="20% - Énfasis4 2 4" xfId="104"/>
    <cellStyle name="20% - Énfasis4 2 4 2" xfId="914"/>
    <cellStyle name="20% - Énfasis4 2 4 2 2" xfId="915"/>
    <cellStyle name="20% - Énfasis4 2 4 3" xfId="916"/>
    <cellStyle name="20% - Énfasis4 2 5" xfId="917"/>
    <cellStyle name="20% - Énfasis4 2 5 2" xfId="918"/>
    <cellStyle name="20% - Énfasis4 2 6" xfId="919"/>
    <cellStyle name="20% - Énfasis4 2_ARTURO SSMC110113xls" xfId="920"/>
    <cellStyle name="20% - Énfasis4 3" xfId="235"/>
    <cellStyle name="20% - Énfasis5" xfId="5" builtinId="46" customBuiltin="1"/>
    <cellStyle name="20% - Énfasis5 2" xfId="105"/>
    <cellStyle name="20% - Énfasis5 2 2" xfId="106"/>
    <cellStyle name="20% - Énfasis5 2 2 2" xfId="107"/>
    <cellStyle name="20% - Énfasis5 2 2 2 2" xfId="921"/>
    <cellStyle name="20% - Énfasis5 2 2 2 2 2" xfId="922"/>
    <cellStyle name="20% - Énfasis5 2 2 2 3" xfId="923"/>
    <cellStyle name="20% - Énfasis5 2 2 3" xfId="924"/>
    <cellStyle name="20% - Énfasis5 2 2 3 2" xfId="925"/>
    <cellStyle name="20% - Énfasis5 2 2 4" xfId="926"/>
    <cellStyle name="20% - Énfasis5 2 2_ARTURO SSMC110113xls" xfId="927"/>
    <cellStyle name="20% - Énfasis5 2 3" xfId="108"/>
    <cellStyle name="20% - Énfasis5 2 3 2" xfId="109"/>
    <cellStyle name="20% - Énfasis5 2 3 2 2" xfId="928"/>
    <cellStyle name="20% - Énfasis5 2 3 2 2 2" xfId="929"/>
    <cellStyle name="20% - Énfasis5 2 3 2 3" xfId="930"/>
    <cellStyle name="20% - Énfasis5 2 3 3" xfId="931"/>
    <cellStyle name="20% - Énfasis5 2 3 3 2" xfId="932"/>
    <cellStyle name="20% - Énfasis5 2 3 4" xfId="933"/>
    <cellStyle name="20% - Énfasis5 2 3_ARTURO SSMC110113xls" xfId="934"/>
    <cellStyle name="20% - Énfasis5 2 4" xfId="110"/>
    <cellStyle name="20% - Énfasis5 2 4 2" xfId="935"/>
    <cellStyle name="20% - Énfasis5 2 4 2 2" xfId="936"/>
    <cellStyle name="20% - Énfasis5 2 4 3" xfId="937"/>
    <cellStyle name="20% - Énfasis5 2 5" xfId="938"/>
    <cellStyle name="20% - Énfasis5 2 5 2" xfId="939"/>
    <cellStyle name="20% - Énfasis5 2 6" xfId="940"/>
    <cellStyle name="20% - Énfasis5 2_ARTURO SSMC110113xls" xfId="941"/>
    <cellStyle name="20% - Énfasis5 3" xfId="236"/>
    <cellStyle name="20% - Énfasis5 3 10" xfId="942"/>
    <cellStyle name="20% - Énfasis5 3 2" xfId="351"/>
    <cellStyle name="20% - Énfasis5 3 2 2" xfId="760"/>
    <cellStyle name="20% - Énfasis5 3 2 2 2" xfId="943"/>
    <cellStyle name="20% - Énfasis5 3 2 2 2 2" xfId="944"/>
    <cellStyle name="20% - Énfasis5 3 2 2 3" xfId="945"/>
    <cellStyle name="20% - Énfasis5 3 2 3" xfId="946"/>
    <cellStyle name="20% - Énfasis5 3 2 3 2" xfId="947"/>
    <cellStyle name="20% - Énfasis5 3 2 4" xfId="948"/>
    <cellStyle name="20% - Énfasis5 3 3" xfId="949"/>
    <cellStyle name="20% - Énfasis5 3 3 2" xfId="950"/>
    <cellStyle name="20% - Énfasis5 3 3 2 2" xfId="951"/>
    <cellStyle name="20% - Énfasis5 3 3 2 2 2" xfId="952"/>
    <cellStyle name="20% - Énfasis5 3 3 2 3" xfId="953"/>
    <cellStyle name="20% - Énfasis5 3 3 3" xfId="954"/>
    <cellStyle name="20% - Énfasis5 3 3 3 2" xfId="955"/>
    <cellStyle name="20% - Énfasis5 3 3 4" xfId="956"/>
    <cellStyle name="20% - Énfasis5 3 4" xfId="957"/>
    <cellStyle name="20% - Énfasis5 3 4 2" xfId="958"/>
    <cellStyle name="20% - Énfasis5 3 4 2 2" xfId="959"/>
    <cellStyle name="20% - Énfasis5 3 4 2 2 2" xfId="960"/>
    <cellStyle name="20% - Énfasis5 3 4 2 3" xfId="961"/>
    <cellStyle name="20% - Énfasis5 3 4 3" xfId="962"/>
    <cellStyle name="20% - Énfasis5 3 4 3 2" xfId="963"/>
    <cellStyle name="20% - Énfasis5 3 4 4" xfId="964"/>
    <cellStyle name="20% - Énfasis5 3 5" xfId="965"/>
    <cellStyle name="20% - Énfasis5 3 5 2" xfId="966"/>
    <cellStyle name="20% - Énfasis5 3 5 2 2" xfId="967"/>
    <cellStyle name="20% - Énfasis5 3 5 2 2 2" xfId="968"/>
    <cellStyle name="20% - Énfasis5 3 5 2 3" xfId="969"/>
    <cellStyle name="20% - Énfasis5 3 5 3" xfId="970"/>
    <cellStyle name="20% - Énfasis5 3 5 3 2" xfId="971"/>
    <cellStyle name="20% - Énfasis5 3 5 4" xfId="972"/>
    <cellStyle name="20% - Énfasis5 3 6" xfId="973"/>
    <cellStyle name="20% - Énfasis5 3 6 2" xfId="974"/>
    <cellStyle name="20% - Énfasis5 3 6 2 2" xfId="975"/>
    <cellStyle name="20% - Énfasis5 3 6 2 2 2" xfId="976"/>
    <cellStyle name="20% - Énfasis5 3 6 2 3" xfId="977"/>
    <cellStyle name="20% - Énfasis5 3 6 3" xfId="978"/>
    <cellStyle name="20% - Énfasis5 3 6 3 2" xfId="979"/>
    <cellStyle name="20% - Énfasis5 3 6 4" xfId="980"/>
    <cellStyle name="20% - Énfasis5 3 7" xfId="981"/>
    <cellStyle name="20% - Énfasis5 3 7 2" xfId="982"/>
    <cellStyle name="20% - Énfasis5 3 7 2 2" xfId="983"/>
    <cellStyle name="20% - Énfasis5 3 7 2 2 2" xfId="984"/>
    <cellStyle name="20% - Énfasis5 3 7 2 3" xfId="985"/>
    <cellStyle name="20% - Énfasis5 3 7 3" xfId="986"/>
    <cellStyle name="20% - Énfasis5 3 7 3 2" xfId="987"/>
    <cellStyle name="20% - Énfasis5 3 7 4" xfId="988"/>
    <cellStyle name="20% - Énfasis5 3 8" xfId="989"/>
    <cellStyle name="20% - Énfasis5 3 8 2" xfId="990"/>
    <cellStyle name="20% - Énfasis5 3 8 2 2" xfId="991"/>
    <cellStyle name="20% - Énfasis5 3 8 3" xfId="992"/>
    <cellStyle name="20% - Énfasis5 3 9" xfId="993"/>
    <cellStyle name="20% - Énfasis5 3 9 2" xfId="994"/>
    <cellStyle name="20% - Énfasis5 4" xfId="352"/>
    <cellStyle name="20% - Énfasis5 4 10" xfId="995"/>
    <cellStyle name="20% - Énfasis5 4 2" xfId="761"/>
    <cellStyle name="20% - Énfasis5 4 2 2" xfId="996"/>
    <cellStyle name="20% - Énfasis5 4 2 2 2" xfId="997"/>
    <cellStyle name="20% - Énfasis5 4 2 2 2 2" xfId="998"/>
    <cellStyle name="20% - Énfasis5 4 2 2 3" xfId="999"/>
    <cellStyle name="20% - Énfasis5 4 2 3" xfId="1000"/>
    <cellStyle name="20% - Énfasis5 4 2 3 2" xfId="1001"/>
    <cellStyle name="20% - Énfasis5 4 2 4" xfId="1002"/>
    <cellStyle name="20% - Énfasis5 4 3" xfId="1003"/>
    <cellStyle name="20% - Énfasis5 4 3 2" xfId="1004"/>
    <cellStyle name="20% - Énfasis5 4 3 2 2" xfId="1005"/>
    <cellStyle name="20% - Énfasis5 4 3 2 2 2" xfId="1006"/>
    <cellStyle name="20% - Énfasis5 4 3 2 3" xfId="1007"/>
    <cellStyle name="20% - Énfasis5 4 3 3" xfId="1008"/>
    <cellStyle name="20% - Énfasis5 4 3 3 2" xfId="1009"/>
    <cellStyle name="20% - Énfasis5 4 3 4" xfId="1010"/>
    <cellStyle name="20% - Énfasis5 4 4" xfId="1011"/>
    <cellStyle name="20% - Énfasis5 4 4 2" xfId="1012"/>
    <cellStyle name="20% - Énfasis5 4 4 2 2" xfId="1013"/>
    <cellStyle name="20% - Énfasis5 4 4 2 2 2" xfId="1014"/>
    <cellStyle name="20% - Énfasis5 4 4 2 3" xfId="1015"/>
    <cellStyle name="20% - Énfasis5 4 4 3" xfId="1016"/>
    <cellStyle name="20% - Énfasis5 4 4 3 2" xfId="1017"/>
    <cellStyle name="20% - Énfasis5 4 4 4" xfId="1018"/>
    <cellStyle name="20% - Énfasis5 4 5" xfId="1019"/>
    <cellStyle name="20% - Énfasis5 4 5 2" xfId="1020"/>
    <cellStyle name="20% - Énfasis5 4 5 2 2" xfId="1021"/>
    <cellStyle name="20% - Énfasis5 4 5 2 2 2" xfId="1022"/>
    <cellStyle name="20% - Énfasis5 4 5 2 3" xfId="1023"/>
    <cellStyle name="20% - Énfasis5 4 5 3" xfId="1024"/>
    <cellStyle name="20% - Énfasis5 4 5 3 2" xfId="1025"/>
    <cellStyle name="20% - Énfasis5 4 5 4" xfId="1026"/>
    <cellStyle name="20% - Énfasis5 4 6" xfId="1027"/>
    <cellStyle name="20% - Énfasis5 4 6 2" xfId="1028"/>
    <cellStyle name="20% - Énfasis5 4 6 2 2" xfId="1029"/>
    <cellStyle name="20% - Énfasis5 4 6 2 2 2" xfId="1030"/>
    <cellStyle name="20% - Énfasis5 4 6 2 3" xfId="1031"/>
    <cellStyle name="20% - Énfasis5 4 6 3" xfId="1032"/>
    <cellStyle name="20% - Énfasis5 4 6 3 2" xfId="1033"/>
    <cellStyle name="20% - Énfasis5 4 6 4" xfId="1034"/>
    <cellStyle name="20% - Énfasis5 4 7" xfId="1035"/>
    <cellStyle name="20% - Énfasis5 4 7 2" xfId="1036"/>
    <cellStyle name="20% - Énfasis5 4 7 2 2" xfId="1037"/>
    <cellStyle name="20% - Énfasis5 4 7 2 2 2" xfId="1038"/>
    <cellStyle name="20% - Énfasis5 4 7 2 3" xfId="1039"/>
    <cellStyle name="20% - Énfasis5 4 7 3" xfId="1040"/>
    <cellStyle name="20% - Énfasis5 4 7 3 2" xfId="1041"/>
    <cellStyle name="20% - Énfasis5 4 7 4" xfId="1042"/>
    <cellStyle name="20% - Énfasis5 4 8" xfId="1043"/>
    <cellStyle name="20% - Énfasis5 4 8 2" xfId="1044"/>
    <cellStyle name="20% - Énfasis5 4 8 2 2" xfId="1045"/>
    <cellStyle name="20% - Énfasis5 4 8 3" xfId="1046"/>
    <cellStyle name="20% - Énfasis5 4 9" xfId="1047"/>
    <cellStyle name="20% - Énfasis5 4 9 2" xfId="1048"/>
    <cellStyle name="20% - Énfasis5 5" xfId="353"/>
    <cellStyle name="20% - Énfasis5 5 10" xfId="1049"/>
    <cellStyle name="20% - Énfasis5 5 2" xfId="762"/>
    <cellStyle name="20% - Énfasis5 5 2 2" xfId="1050"/>
    <cellStyle name="20% - Énfasis5 5 2 2 2" xfId="1051"/>
    <cellStyle name="20% - Énfasis5 5 2 2 2 2" xfId="1052"/>
    <cellStyle name="20% - Énfasis5 5 2 2 3" xfId="1053"/>
    <cellStyle name="20% - Énfasis5 5 2 3" xfId="1054"/>
    <cellStyle name="20% - Énfasis5 5 2 3 2" xfId="1055"/>
    <cellStyle name="20% - Énfasis5 5 2 4" xfId="1056"/>
    <cellStyle name="20% - Énfasis5 5 3" xfId="1057"/>
    <cellStyle name="20% - Énfasis5 5 3 2" xfId="1058"/>
    <cellStyle name="20% - Énfasis5 5 3 2 2" xfId="1059"/>
    <cellStyle name="20% - Énfasis5 5 3 2 2 2" xfId="1060"/>
    <cellStyle name="20% - Énfasis5 5 3 2 3" xfId="1061"/>
    <cellStyle name="20% - Énfasis5 5 3 3" xfId="1062"/>
    <cellStyle name="20% - Énfasis5 5 3 3 2" xfId="1063"/>
    <cellStyle name="20% - Énfasis5 5 3 4" xfId="1064"/>
    <cellStyle name="20% - Énfasis5 5 4" xfId="1065"/>
    <cellStyle name="20% - Énfasis5 5 4 2" xfId="1066"/>
    <cellStyle name="20% - Énfasis5 5 4 2 2" xfId="1067"/>
    <cellStyle name="20% - Énfasis5 5 4 2 2 2" xfId="1068"/>
    <cellStyle name="20% - Énfasis5 5 4 2 3" xfId="1069"/>
    <cellStyle name="20% - Énfasis5 5 4 3" xfId="1070"/>
    <cellStyle name="20% - Énfasis5 5 4 3 2" xfId="1071"/>
    <cellStyle name="20% - Énfasis5 5 4 4" xfId="1072"/>
    <cellStyle name="20% - Énfasis5 5 5" xfId="1073"/>
    <cellStyle name="20% - Énfasis5 5 5 2" xfId="1074"/>
    <cellStyle name="20% - Énfasis5 5 5 2 2" xfId="1075"/>
    <cellStyle name="20% - Énfasis5 5 5 2 2 2" xfId="1076"/>
    <cellStyle name="20% - Énfasis5 5 5 2 3" xfId="1077"/>
    <cellStyle name="20% - Énfasis5 5 5 3" xfId="1078"/>
    <cellStyle name="20% - Énfasis5 5 5 3 2" xfId="1079"/>
    <cellStyle name="20% - Énfasis5 5 5 4" xfId="1080"/>
    <cellStyle name="20% - Énfasis5 5 6" xfId="1081"/>
    <cellStyle name="20% - Énfasis5 5 6 2" xfId="1082"/>
    <cellStyle name="20% - Énfasis5 5 6 2 2" xfId="1083"/>
    <cellStyle name="20% - Énfasis5 5 6 2 2 2" xfId="1084"/>
    <cellStyle name="20% - Énfasis5 5 6 2 3" xfId="1085"/>
    <cellStyle name="20% - Énfasis5 5 6 3" xfId="1086"/>
    <cellStyle name="20% - Énfasis5 5 6 3 2" xfId="1087"/>
    <cellStyle name="20% - Énfasis5 5 6 4" xfId="1088"/>
    <cellStyle name="20% - Énfasis5 5 7" xfId="1089"/>
    <cellStyle name="20% - Énfasis5 5 7 2" xfId="1090"/>
    <cellStyle name="20% - Énfasis5 5 7 2 2" xfId="1091"/>
    <cellStyle name="20% - Énfasis5 5 7 2 2 2" xfId="1092"/>
    <cellStyle name="20% - Énfasis5 5 7 2 3" xfId="1093"/>
    <cellStyle name="20% - Énfasis5 5 7 3" xfId="1094"/>
    <cellStyle name="20% - Énfasis5 5 7 3 2" xfId="1095"/>
    <cellStyle name="20% - Énfasis5 5 7 4" xfId="1096"/>
    <cellStyle name="20% - Énfasis5 5 8" xfId="1097"/>
    <cellStyle name="20% - Énfasis5 5 8 2" xfId="1098"/>
    <cellStyle name="20% - Énfasis5 5 8 2 2" xfId="1099"/>
    <cellStyle name="20% - Énfasis5 5 8 3" xfId="1100"/>
    <cellStyle name="20% - Énfasis5 5 9" xfId="1101"/>
    <cellStyle name="20% - Énfasis5 5 9 2" xfId="1102"/>
    <cellStyle name="20% - Énfasis5 6" xfId="354"/>
    <cellStyle name="20% - Énfasis5 6 10" xfId="1103"/>
    <cellStyle name="20% - Énfasis5 6 2" xfId="763"/>
    <cellStyle name="20% - Énfasis5 6 2 2" xfId="1104"/>
    <cellStyle name="20% - Énfasis5 6 2 2 2" xfId="1105"/>
    <cellStyle name="20% - Énfasis5 6 2 2 2 2" xfId="1106"/>
    <cellStyle name="20% - Énfasis5 6 2 2 3" xfId="1107"/>
    <cellStyle name="20% - Énfasis5 6 2 3" xfId="1108"/>
    <cellStyle name="20% - Énfasis5 6 2 3 2" xfId="1109"/>
    <cellStyle name="20% - Énfasis5 6 2 4" xfId="1110"/>
    <cellStyle name="20% - Énfasis5 6 3" xfId="1111"/>
    <cellStyle name="20% - Énfasis5 6 3 2" xfId="1112"/>
    <cellStyle name="20% - Énfasis5 6 3 2 2" xfId="1113"/>
    <cellStyle name="20% - Énfasis5 6 3 2 2 2" xfId="1114"/>
    <cellStyle name="20% - Énfasis5 6 3 2 3" xfId="1115"/>
    <cellStyle name="20% - Énfasis5 6 3 3" xfId="1116"/>
    <cellStyle name="20% - Énfasis5 6 3 3 2" xfId="1117"/>
    <cellStyle name="20% - Énfasis5 6 3 4" xfId="1118"/>
    <cellStyle name="20% - Énfasis5 6 4" xfId="1119"/>
    <cellStyle name="20% - Énfasis5 6 4 2" xfId="1120"/>
    <cellStyle name="20% - Énfasis5 6 4 2 2" xfId="1121"/>
    <cellStyle name="20% - Énfasis5 6 4 2 2 2" xfId="1122"/>
    <cellStyle name="20% - Énfasis5 6 4 2 3" xfId="1123"/>
    <cellStyle name="20% - Énfasis5 6 4 3" xfId="1124"/>
    <cellStyle name="20% - Énfasis5 6 4 3 2" xfId="1125"/>
    <cellStyle name="20% - Énfasis5 6 4 4" xfId="1126"/>
    <cellStyle name="20% - Énfasis5 6 5" xfId="1127"/>
    <cellStyle name="20% - Énfasis5 6 5 2" xfId="1128"/>
    <cellStyle name="20% - Énfasis5 6 5 2 2" xfId="1129"/>
    <cellStyle name="20% - Énfasis5 6 5 2 2 2" xfId="1130"/>
    <cellStyle name="20% - Énfasis5 6 5 2 3" xfId="1131"/>
    <cellStyle name="20% - Énfasis5 6 5 3" xfId="1132"/>
    <cellStyle name="20% - Énfasis5 6 5 3 2" xfId="1133"/>
    <cellStyle name="20% - Énfasis5 6 5 4" xfId="1134"/>
    <cellStyle name="20% - Énfasis5 6 6" xfId="1135"/>
    <cellStyle name="20% - Énfasis5 6 6 2" xfId="1136"/>
    <cellStyle name="20% - Énfasis5 6 6 2 2" xfId="1137"/>
    <cellStyle name="20% - Énfasis5 6 6 2 2 2" xfId="1138"/>
    <cellStyle name="20% - Énfasis5 6 6 2 3" xfId="1139"/>
    <cellStyle name="20% - Énfasis5 6 6 3" xfId="1140"/>
    <cellStyle name="20% - Énfasis5 6 6 3 2" xfId="1141"/>
    <cellStyle name="20% - Énfasis5 6 6 4" xfId="1142"/>
    <cellStyle name="20% - Énfasis5 6 7" xfId="1143"/>
    <cellStyle name="20% - Énfasis5 6 7 2" xfId="1144"/>
    <cellStyle name="20% - Énfasis5 6 7 2 2" xfId="1145"/>
    <cellStyle name="20% - Énfasis5 6 7 2 2 2" xfId="1146"/>
    <cellStyle name="20% - Énfasis5 6 7 2 3" xfId="1147"/>
    <cellStyle name="20% - Énfasis5 6 7 3" xfId="1148"/>
    <cellStyle name="20% - Énfasis5 6 7 3 2" xfId="1149"/>
    <cellStyle name="20% - Énfasis5 6 7 4" xfId="1150"/>
    <cellStyle name="20% - Énfasis5 6 8" xfId="1151"/>
    <cellStyle name="20% - Énfasis5 6 8 2" xfId="1152"/>
    <cellStyle name="20% - Énfasis5 6 8 2 2" xfId="1153"/>
    <cellStyle name="20% - Énfasis5 6 8 3" xfId="1154"/>
    <cellStyle name="20% - Énfasis5 6 9" xfId="1155"/>
    <cellStyle name="20% - Énfasis5 6 9 2" xfId="1156"/>
    <cellStyle name="20% - Énfasis6" xfId="6" builtinId="50" customBuiltin="1"/>
    <cellStyle name="20% - Énfasis6 2" xfId="111"/>
    <cellStyle name="20% - Énfasis6 2 2" xfId="112"/>
    <cellStyle name="20% - Énfasis6 2 2 2" xfId="113"/>
    <cellStyle name="20% - Énfasis6 2 2 2 2" xfId="1157"/>
    <cellStyle name="20% - Énfasis6 2 2 2 2 2" xfId="1158"/>
    <cellStyle name="20% - Énfasis6 2 2 2 3" xfId="1159"/>
    <cellStyle name="20% - Énfasis6 2 2 3" xfId="1160"/>
    <cellStyle name="20% - Énfasis6 2 2 3 2" xfId="1161"/>
    <cellStyle name="20% - Énfasis6 2 2 4" xfId="1162"/>
    <cellStyle name="20% - Énfasis6 2 2_ARTURO SSMC110113xls" xfId="1163"/>
    <cellStyle name="20% - Énfasis6 2 3" xfId="114"/>
    <cellStyle name="20% - Énfasis6 2 3 2" xfId="115"/>
    <cellStyle name="20% - Énfasis6 2 3 2 2" xfId="1164"/>
    <cellStyle name="20% - Énfasis6 2 3 2 2 2" xfId="1165"/>
    <cellStyle name="20% - Énfasis6 2 3 2 3" xfId="1166"/>
    <cellStyle name="20% - Énfasis6 2 3 3" xfId="1167"/>
    <cellStyle name="20% - Énfasis6 2 3 3 2" xfId="1168"/>
    <cellStyle name="20% - Énfasis6 2 3 4" xfId="1169"/>
    <cellStyle name="20% - Énfasis6 2 3_ARTURO SSMC110113xls" xfId="1170"/>
    <cellStyle name="20% - Énfasis6 2 4" xfId="116"/>
    <cellStyle name="20% - Énfasis6 2 4 2" xfId="1171"/>
    <cellStyle name="20% - Énfasis6 2 4 2 2" xfId="1172"/>
    <cellStyle name="20% - Énfasis6 2 4 3" xfId="1173"/>
    <cellStyle name="20% - Énfasis6 2 5" xfId="1174"/>
    <cellStyle name="20% - Énfasis6 2 5 2" xfId="1175"/>
    <cellStyle name="20% - Énfasis6 2 6" xfId="1176"/>
    <cellStyle name="20% - Énfasis6 2_ARTURO SSMC110113xls" xfId="1177"/>
    <cellStyle name="20% - Énfasis6 3" xfId="237"/>
    <cellStyle name="40% - Énfasis1" xfId="7" builtinId="31" customBuiltin="1"/>
    <cellStyle name="40% - Énfasis1 2" xfId="117"/>
    <cellStyle name="40% - Énfasis1 2 2" xfId="118"/>
    <cellStyle name="40% - Énfasis1 2 2 2" xfId="119"/>
    <cellStyle name="40% - Énfasis1 2 2 2 2" xfId="1178"/>
    <cellStyle name="40% - Énfasis1 2 2 2 2 2" xfId="1179"/>
    <cellStyle name="40% - Énfasis1 2 2 2 3" xfId="1180"/>
    <cellStyle name="40% - Énfasis1 2 2 3" xfId="1181"/>
    <cellStyle name="40% - Énfasis1 2 2 3 2" xfId="1182"/>
    <cellStyle name="40% - Énfasis1 2 2 4" xfId="1183"/>
    <cellStyle name="40% - Énfasis1 2 2_ARTURO SSMC110113xls" xfId="1184"/>
    <cellStyle name="40% - Énfasis1 2 3" xfId="120"/>
    <cellStyle name="40% - Énfasis1 2 3 2" xfId="121"/>
    <cellStyle name="40% - Énfasis1 2 3 2 2" xfId="1185"/>
    <cellStyle name="40% - Énfasis1 2 3 2 2 2" xfId="1186"/>
    <cellStyle name="40% - Énfasis1 2 3 2 3" xfId="1187"/>
    <cellStyle name="40% - Énfasis1 2 3 3" xfId="1188"/>
    <cellStyle name="40% - Énfasis1 2 3 3 2" xfId="1189"/>
    <cellStyle name="40% - Énfasis1 2 3 4" xfId="1190"/>
    <cellStyle name="40% - Énfasis1 2 3_ARTURO SSMC110113xls" xfId="1191"/>
    <cellStyle name="40% - Énfasis1 2 4" xfId="122"/>
    <cellStyle name="40% - Énfasis1 2 4 2" xfId="1192"/>
    <cellStyle name="40% - Énfasis1 2 4 2 2" xfId="1193"/>
    <cellStyle name="40% - Énfasis1 2 4 3" xfId="1194"/>
    <cellStyle name="40% - Énfasis1 2 5" xfId="1195"/>
    <cellStyle name="40% - Énfasis1 2 5 2" xfId="1196"/>
    <cellStyle name="40% - Énfasis1 2 6" xfId="1197"/>
    <cellStyle name="40% - Énfasis1 2_ARTURO SSMC110113xls" xfId="1198"/>
    <cellStyle name="40% - Énfasis1 3" xfId="238"/>
    <cellStyle name="40% - Énfasis2" xfId="8" builtinId="35" customBuiltin="1"/>
    <cellStyle name="40% - Énfasis2 2" xfId="123"/>
    <cellStyle name="40% - Énfasis2 2 2" xfId="124"/>
    <cellStyle name="40% - Énfasis2 2 2 2" xfId="125"/>
    <cellStyle name="40% - Énfasis2 2 2 2 2" xfId="1199"/>
    <cellStyle name="40% - Énfasis2 2 2 2 2 2" xfId="1200"/>
    <cellStyle name="40% - Énfasis2 2 2 2 3" xfId="1201"/>
    <cellStyle name="40% - Énfasis2 2 2 3" xfId="1202"/>
    <cellStyle name="40% - Énfasis2 2 2 3 2" xfId="1203"/>
    <cellStyle name="40% - Énfasis2 2 2 4" xfId="1204"/>
    <cellStyle name="40% - Énfasis2 2 2_ARTURO SSMC110113xls" xfId="1205"/>
    <cellStyle name="40% - Énfasis2 2 3" xfId="126"/>
    <cellStyle name="40% - Énfasis2 2 3 2" xfId="127"/>
    <cellStyle name="40% - Énfasis2 2 3 2 2" xfId="1206"/>
    <cellStyle name="40% - Énfasis2 2 3 2 2 2" xfId="1207"/>
    <cellStyle name="40% - Énfasis2 2 3 2 3" xfId="1208"/>
    <cellStyle name="40% - Énfasis2 2 3 3" xfId="1209"/>
    <cellStyle name="40% - Énfasis2 2 3 3 2" xfId="1210"/>
    <cellStyle name="40% - Énfasis2 2 3 4" xfId="1211"/>
    <cellStyle name="40% - Énfasis2 2 3_ARTURO SSMC110113xls" xfId="1212"/>
    <cellStyle name="40% - Énfasis2 2 4" xfId="128"/>
    <cellStyle name="40% - Énfasis2 2 4 2" xfId="1213"/>
    <cellStyle name="40% - Énfasis2 2 4 2 2" xfId="1214"/>
    <cellStyle name="40% - Énfasis2 2 4 3" xfId="1215"/>
    <cellStyle name="40% - Énfasis2 2 5" xfId="1216"/>
    <cellStyle name="40% - Énfasis2 2 5 2" xfId="1217"/>
    <cellStyle name="40% - Énfasis2 2 6" xfId="1218"/>
    <cellStyle name="40% - Énfasis2 2_ARTURO SSMC110113xls" xfId="1219"/>
    <cellStyle name="40% - Énfasis2 3" xfId="239"/>
    <cellStyle name="40% - Énfasis3" xfId="9" builtinId="39" customBuiltin="1"/>
    <cellStyle name="40% - Énfasis3 2" xfId="129"/>
    <cellStyle name="40% - Énfasis3 2 2" xfId="130"/>
    <cellStyle name="40% - Énfasis3 2 2 2" xfId="131"/>
    <cellStyle name="40% - Énfasis3 2 2 2 2" xfId="1220"/>
    <cellStyle name="40% - Énfasis3 2 2 2 2 2" xfId="1221"/>
    <cellStyle name="40% - Énfasis3 2 2 2 3" xfId="1222"/>
    <cellStyle name="40% - Énfasis3 2 2 3" xfId="1223"/>
    <cellStyle name="40% - Énfasis3 2 2 3 2" xfId="1224"/>
    <cellStyle name="40% - Énfasis3 2 2 4" xfId="1225"/>
    <cellStyle name="40% - Énfasis3 2 2_ARTURO SSMC110113xls" xfId="1226"/>
    <cellStyle name="40% - Énfasis3 2 3" xfId="132"/>
    <cellStyle name="40% - Énfasis3 2 3 2" xfId="133"/>
    <cellStyle name="40% - Énfasis3 2 3 2 2" xfId="1227"/>
    <cellStyle name="40% - Énfasis3 2 3 2 2 2" xfId="1228"/>
    <cellStyle name="40% - Énfasis3 2 3 2 3" xfId="1229"/>
    <cellStyle name="40% - Énfasis3 2 3 3" xfId="1230"/>
    <cellStyle name="40% - Énfasis3 2 3 3 2" xfId="1231"/>
    <cellStyle name="40% - Énfasis3 2 3 4" xfId="1232"/>
    <cellStyle name="40% - Énfasis3 2 3_ARTURO SSMC110113xls" xfId="1233"/>
    <cellStyle name="40% - Énfasis3 2 4" xfId="134"/>
    <cellStyle name="40% - Énfasis3 2 4 2" xfId="1234"/>
    <cellStyle name="40% - Énfasis3 2 4 2 2" xfId="1235"/>
    <cellStyle name="40% - Énfasis3 2 4 3" xfId="1236"/>
    <cellStyle name="40% - Énfasis3 2 5" xfId="1237"/>
    <cellStyle name="40% - Énfasis3 2 5 2" xfId="1238"/>
    <cellStyle name="40% - Énfasis3 2 6" xfId="1239"/>
    <cellStyle name="40% - Énfasis3 2_ARTURO SSMC110113xls" xfId="1240"/>
    <cellStyle name="40% - Énfasis3 3" xfId="240"/>
    <cellStyle name="40% - Énfasis4" xfId="10" builtinId="43" customBuiltin="1"/>
    <cellStyle name="40% - Énfasis4 2" xfId="135"/>
    <cellStyle name="40% - Énfasis4 2 2" xfId="136"/>
    <cellStyle name="40% - Énfasis4 2 2 2" xfId="137"/>
    <cellStyle name="40% - Énfasis4 2 2 2 2" xfId="1241"/>
    <cellStyle name="40% - Énfasis4 2 2 2 2 2" xfId="1242"/>
    <cellStyle name="40% - Énfasis4 2 2 2 3" xfId="1243"/>
    <cellStyle name="40% - Énfasis4 2 2 3" xfId="1244"/>
    <cellStyle name="40% - Énfasis4 2 2 3 2" xfId="1245"/>
    <cellStyle name="40% - Énfasis4 2 2 4" xfId="1246"/>
    <cellStyle name="40% - Énfasis4 2 2_ARTURO SSMC110113xls" xfId="1247"/>
    <cellStyle name="40% - Énfasis4 2 3" xfId="138"/>
    <cellStyle name="40% - Énfasis4 2 3 2" xfId="139"/>
    <cellStyle name="40% - Énfasis4 2 3 2 2" xfId="1248"/>
    <cellStyle name="40% - Énfasis4 2 3 2 2 2" xfId="1249"/>
    <cellStyle name="40% - Énfasis4 2 3 2 3" xfId="1250"/>
    <cellStyle name="40% - Énfasis4 2 3 3" xfId="1251"/>
    <cellStyle name="40% - Énfasis4 2 3 3 2" xfId="1252"/>
    <cellStyle name="40% - Énfasis4 2 3 4" xfId="1253"/>
    <cellStyle name="40% - Énfasis4 2 3_ARTURO SSMC110113xls" xfId="1254"/>
    <cellStyle name="40% - Énfasis4 2 4" xfId="140"/>
    <cellStyle name="40% - Énfasis4 2 4 2" xfId="1255"/>
    <cellStyle name="40% - Énfasis4 2 4 2 2" xfId="1256"/>
    <cellStyle name="40% - Énfasis4 2 4 3" xfId="1257"/>
    <cellStyle name="40% - Énfasis4 2 5" xfId="1258"/>
    <cellStyle name="40% - Énfasis4 2 5 2" xfId="1259"/>
    <cellStyle name="40% - Énfasis4 2 6" xfId="1260"/>
    <cellStyle name="40% - Énfasis4 2_ARTURO SSMC110113xls" xfId="1261"/>
    <cellStyle name="40% - Énfasis4 3" xfId="241"/>
    <cellStyle name="40% - Énfasis5" xfId="11" builtinId="47" customBuiltin="1"/>
    <cellStyle name="40% - Énfasis5 2" xfId="141"/>
    <cellStyle name="40% - Énfasis5 2 2" xfId="142"/>
    <cellStyle name="40% - Énfasis5 2 2 2" xfId="143"/>
    <cellStyle name="40% - Énfasis5 2 2 2 2" xfId="1262"/>
    <cellStyle name="40% - Énfasis5 2 2 2 2 2" xfId="1263"/>
    <cellStyle name="40% - Énfasis5 2 2 2 3" xfId="1264"/>
    <cellStyle name="40% - Énfasis5 2 2 3" xfId="1265"/>
    <cellStyle name="40% - Énfasis5 2 2 3 2" xfId="1266"/>
    <cellStyle name="40% - Énfasis5 2 2 4" xfId="1267"/>
    <cellStyle name="40% - Énfasis5 2 2_ARTURO SSMC110113xls" xfId="1268"/>
    <cellStyle name="40% - Énfasis5 2 3" xfId="144"/>
    <cellStyle name="40% - Énfasis5 2 3 2" xfId="145"/>
    <cellStyle name="40% - Énfasis5 2 3 2 2" xfId="1269"/>
    <cellStyle name="40% - Énfasis5 2 3 2 2 2" xfId="1270"/>
    <cellStyle name="40% - Énfasis5 2 3 2 3" xfId="1271"/>
    <cellStyle name="40% - Énfasis5 2 3 3" xfId="1272"/>
    <cellStyle name="40% - Énfasis5 2 3 3 2" xfId="1273"/>
    <cellStyle name="40% - Énfasis5 2 3 4" xfId="1274"/>
    <cellStyle name="40% - Énfasis5 2 3_ARTURO SSMC110113xls" xfId="1275"/>
    <cellStyle name="40% - Énfasis5 2 4" xfId="146"/>
    <cellStyle name="40% - Énfasis5 2 4 2" xfId="1276"/>
    <cellStyle name="40% - Énfasis5 2 4 2 2" xfId="1277"/>
    <cellStyle name="40% - Énfasis5 2 4 3" xfId="1278"/>
    <cellStyle name="40% - Énfasis5 2 5" xfId="1279"/>
    <cellStyle name="40% - Énfasis5 2 5 2" xfId="1280"/>
    <cellStyle name="40% - Énfasis5 2 6" xfId="1281"/>
    <cellStyle name="40% - Énfasis5 2_ARTURO SSMC110113xls" xfId="1282"/>
    <cellStyle name="40% - Énfasis5 3" xfId="242"/>
    <cellStyle name="40% - Énfasis6" xfId="12" builtinId="51" customBuiltin="1"/>
    <cellStyle name="40% - Énfasis6 2" xfId="147"/>
    <cellStyle name="40% - Énfasis6 2 2" xfId="148"/>
    <cellStyle name="40% - Énfasis6 2 2 2" xfId="149"/>
    <cellStyle name="40% - Énfasis6 2 2 2 2" xfId="1283"/>
    <cellStyle name="40% - Énfasis6 2 2 2 2 2" xfId="1284"/>
    <cellStyle name="40% - Énfasis6 2 2 2 3" xfId="1285"/>
    <cellStyle name="40% - Énfasis6 2 2 3" xfId="1286"/>
    <cellStyle name="40% - Énfasis6 2 2 3 2" xfId="1287"/>
    <cellStyle name="40% - Énfasis6 2 2 4" xfId="1288"/>
    <cellStyle name="40% - Énfasis6 2 2_ARTURO SSMC110113xls" xfId="1289"/>
    <cellStyle name="40% - Énfasis6 2 3" xfId="150"/>
    <cellStyle name="40% - Énfasis6 2 3 2" xfId="151"/>
    <cellStyle name="40% - Énfasis6 2 3 2 2" xfId="1290"/>
    <cellStyle name="40% - Énfasis6 2 3 2 2 2" xfId="1291"/>
    <cellStyle name="40% - Énfasis6 2 3 2 3" xfId="1292"/>
    <cellStyle name="40% - Énfasis6 2 3 3" xfId="1293"/>
    <cellStyle name="40% - Énfasis6 2 3 3 2" xfId="1294"/>
    <cellStyle name="40% - Énfasis6 2 3 4" xfId="1295"/>
    <cellStyle name="40% - Énfasis6 2 3_ARTURO SSMC110113xls" xfId="1296"/>
    <cellStyle name="40% - Énfasis6 2 4" xfId="152"/>
    <cellStyle name="40% - Énfasis6 2 4 2" xfId="1297"/>
    <cellStyle name="40% - Énfasis6 2 4 2 2" xfId="1298"/>
    <cellStyle name="40% - Énfasis6 2 4 3" xfId="1299"/>
    <cellStyle name="40% - Énfasis6 2 5" xfId="1300"/>
    <cellStyle name="40% - Énfasis6 2 5 2" xfId="1301"/>
    <cellStyle name="40% - Énfasis6 2 6" xfId="1302"/>
    <cellStyle name="40% - Énfasis6 2_ARTURO SSMC110113xls" xfId="1303"/>
    <cellStyle name="40% - Énfasis6 3" xfId="243"/>
    <cellStyle name="40% - Énfasis6 3 10" xfId="1304"/>
    <cellStyle name="40% - Énfasis6 3 2" xfId="355"/>
    <cellStyle name="40% - Énfasis6 3 2 2" xfId="764"/>
    <cellStyle name="40% - Énfasis6 3 2 2 2" xfId="1305"/>
    <cellStyle name="40% - Énfasis6 3 2 2 2 2" xfId="1306"/>
    <cellStyle name="40% - Énfasis6 3 2 2 3" xfId="1307"/>
    <cellStyle name="40% - Énfasis6 3 2 3" xfId="1308"/>
    <cellStyle name="40% - Énfasis6 3 2 3 2" xfId="1309"/>
    <cellStyle name="40% - Énfasis6 3 2 4" xfId="1310"/>
    <cellStyle name="40% - Énfasis6 3 3" xfId="1311"/>
    <cellStyle name="40% - Énfasis6 3 3 2" xfId="1312"/>
    <cellStyle name="40% - Énfasis6 3 3 2 2" xfId="1313"/>
    <cellStyle name="40% - Énfasis6 3 3 2 2 2" xfId="1314"/>
    <cellStyle name="40% - Énfasis6 3 3 2 3" xfId="1315"/>
    <cellStyle name="40% - Énfasis6 3 3 3" xfId="1316"/>
    <cellStyle name="40% - Énfasis6 3 3 3 2" xfId="1317"/>
    <cellStyle name="40% - Énfasis6 3 3 4" xfId="1318"/>
    <cellStyle name="40% - Énfasis6 3 4" xfId="1319"/>
    <cellStyle name="40% - Énfasis6 3 4 2" xfId="1320"/>
    <cellStyle name="40% - Énfasis6 3 4 2 2" xfId="1321"/>
    <cellStyle name="40% - Énfasis6 3 4 2 2 2" xfId="1322"/>
    <cellStyle name="40% - Énfasis6 3 4 2 3" xfId="1323"/>
    <cellStyle name="40% - Énfasis6 3 4 3" xfId="1324"/>
    <cellStyle name="40% - Énfasis6 3 4 3 2" xfId="1325"/>
    <cellStyle name="40% - Énfasis6 3 4 4" xfId="1326"/>
    <cellStyle name="40% - Énfasis6 3 5" xfId="1327"/>
    <cellStyle name="40% - Énfasis6 3 5 2" xfId="1328"/>
    <cellStyle name="40% - Énfasis6 3 5 2 2" xfId="1329"/>
    <cellStyle name="40% - Énfasis6 3 5 2 2 2" xfId="1330"/>
    <cellStyle name="40% - Énfasis6 3 5 2 3" xfId="1331"/>
    <cellStyle name="40% - Énfasis6 3 5 3" xfId="1332"/>
    <cellStyle name="40% - Énfasis6 3 5 3 2" xfId="1333"/>
    <cellStyle name="40% - Énfasis6 3 5 4" xfId="1334"/>
    <cellStyle name="40% - Énfasis6 3 6" xfId="1335"/>
    <cellStyle name="40% - Énfasis6 3 6 2" xfId="1336"/>
    <cellStyle name="40% - Énfasis6 3 6 2 2" xfId="1337"/>
    <cellStyle name="40% - Énfasis6 3 6 2 2 2" xfId="1338"/>
    <cellStyle name="40% - Énfasis6 3 6 2 3" xfId="1339"/>
    <cellStyle name="40% - Énfasis6 3 6 3" xfId="1340"/>
    <cellStyle name="40% - Énfasis6 3 6 3 2" xfId="1341"/>
    <cellStyle name="40% - Énfasis6 3 6 4" xfId="1342"/>
    <cellStyle name="40% - Énfasis6 3 7" xfId="1343"/>
    <cellStyle name="40% - Énfasis6 3 7 2" xfId="1344"/>
    <cellStyle name="40% - Énfasis6 3 7 2 2" xfId="1345"/>
    <cellStyle name="40% - Énfasis6 3 7 2 2 2" xfId="1346"/>
    <cellStyle name="40% - Énfasis6 3 7 2 3" xfId="1347"/>
    <cellStyle name="40% - Énfasis6 3 7 3" xfId="1348"/>
    <cellStyle name="40% - Énfasis6 3 7 3 2" xfId="1349"/>
    <cellStyle name="40% - Énfasis6 3 7 4" xfId="1350"/>
    <cellStyle name="40% - Énfasis6 3 8" xfId="1351"/>
    <cellStyle name="40% - Énfasis6 3 8 2" xfId="1352"/>
    <cellStyle name="40% - Énfasis6 3 8 2 2" xfId="1353"/>
    <cellStyle name="40% - Énfasis6 3 8 3" xfId="1354"/>
    <cellStyle name="40% - Énfasis6 3 9" xfId="1355"/>
    <cellStyle name="40% - Énfasis6 3 9 2" xfId="1356"/>
    <cellStyle name="60% - Énfasis1" xfId="13" builtinId="32" customBuiltin="1"/>
    <cellStyle name="60% - Énfasis1 2" xfId="153"/>
    <cellStyle name="60% - Énfasis1 3" xfId="244"/>
    <cellStyle name="60% - Énfasis2" xfId="14" builtinId="36" customBuiltin="1"/>
    <cellStyle name="60% - Énfasis2 2" xfId="154"/>
    <cellStyle name="60% - Énfasis2 3" xfId="245"/>
    <cellStyle name="60% - Énfasis3" xfId="15" builtinId="40" customBuiltin="1"/>
    <cellStyle name="60% - Énfasis3 2" xfId="155"/>
    <cellStyle name="60% - Énfasis3 3" xfId="246"/>
    <cellStyle name="60% - Énfasis4" xfId="16" builtinId="44" customBuiltin="1"/>
    <cellStyle name="60% - Énfasis4 2" xfId="156"/>
    <cellStyle name="60% - Énfasis4 3" xfId="247"/>
    <cellStyle name="60% - Énfasis5" xfId="17" builtinId="48" customBuiltin="1"/>
    <cellStyle name="60% - Énfasis5 2" xfId="157"/>
    <cellStyle name="60% - Énfasis5 3" xfId="248"/>
    <cellStyle name="60% - Énfasis6" xfId="18" builtinId="52" customBuiltin="1"/>
    <cellStyle name="60% - Énfasis6 2" xfId="158"/>
    <cellStyle name="60% - Énfasis6 3" xfId="249"/>
    <cellStyle name="Buena 2" xfId="159"/>
    <cellStyle name="Buena 3" xfId="250"/>
    <cellStyle name="Bueno" xfId="19" builtinId="26" customBuiltin="1"/>
    <cellStyle name="Cálculo" xfId="20" builtinId="22" customBuiltin="1"/>
    <cellStyle name="Cálculo 2" xfId="160"/>
    <cellStyle name="Cálculo 2 2" xfId="413"/>
    <cellStyle name="Cálculo 2 2 2" xfId="438"/>
    <cellStyle name="Cálculo 2 2 2 10" xfId="1357"/>
    <cellStyle name="Cálculo 2 2 2 11" xfId="1358"/>
    <cellStyle name="Cálculo 2 2 2 2" xfId="467"/>
    <cellStyle name="Cálculo 2 2 2 2 2" xfId="1359"/>
    <cellStyle name="Cálculo 2 2 2 2 3" xfId="1360"/>
    <cellStyle name="Cálculo 2 2 2 2 4" xfId="1361"/>
    <cellStyle name="Cálculo 2 2 2 2 5" xfId="1362"/>
    <cellStyle name="Cálculo 2 2 2 3" xfId="468"/>
    <cellStyle name="Cálculo 2 2 2 3 2" xfId="1363"/>
    <cellStyle name="Cálculo 2 2 2 3 3" xfId="1364"/>
    <cellStyle name="Cálculo 2 2 2 3 4" xfId="1365"/>
    <cellStyle name="Cálculo 2 2 2 3 5" xfId="1366"/>
    <cellStyle name="Cálculo 2 2 2 4" xfId="469"/>
    <cellStyle name="Cálculo 2 2 2 4 2" xfId="1367"/>
    <cellStyle name="Cálculo 2 2 2 4 3" xfId="1368"/>
    <cellStyle name="Cálculo 2 2 2 4 4" xfId="1369"/>
    <cellStyle name="Cálculo 2 2 2 4 5" xfId="1370"/>
    <cellStyle name="Cálculo 2 2 2 5" xfId="470"/>
    <cellStyle name="Cálculo 2 2 2 5 2" xfId="1371"/>
    <cellStyle name="Cálculo 2 2 2 5 3" xfId="1372"/>
    <cellStyle name="Cálculo 2 2 2 5 4" xfId="1373"/>
    <cellStyle name="Cálculo 2 2 2 5 5" xfId="1374"/>
    <cellStyle name="Cálculo 2 2 2 6" xfId="471"/>
    <cellStyle name="Cálculo 2 2 2 6 2" xfId="1375"/>
    <cellStyle name="Cálculo 2 2 2 6 3" xfId="1376"/>
    <cellStyle name="Cálculo 2 2 2 6 4" xfId="1377"/>
    <cellStyle name="Cálculo 2 2 2 6 5" xfId="1378"/>
    <cellStyle name="Cálculo 2 2 2 7" xfId="472"/>
    <cellStyle name="Cálculo 2 2 2 7 2" xfId="1379"/>
    <cellStyle name="Cálculo 2 2 2 7 3" xfId="1380"/>
    <cellStyle name="Cálculo 2 2 2 7 4" xfId="1381"/>
    <cellStyle name="Cálculo 2 2 2 7 5" xfId="1382"/>
    <cellStyle name="Cálculo 2 2 2 8" xfId="1383"/>
    <cellStyle name="Cálculo 2 2 2 9" xfId="1384"/>
    <cellStyle name="Cálculo 2 2 3" xfId="473"/>
    <cellStyle name="Cálculo 2 2 3 2" xfId="1385"/>
    <cellStyle name="Cálculo 2 2 3 3" xfId="1386"/>
    <cellStyle name="Cálculo 2 2 3 4" xfId="1387"/>
    <cellStyle name="Cálculo 2 2 3 5" xfId="1388"/>
    <cellStyle name="Cálculo 2 2 4" xfId="474"/>
    <cellStyle name="Cálculo 2 2 4 2" xfId="1389"/>
    <cellStyle name="Cálculo 2 2 4 3" xfId="1390"/>
    <cellStyle name="Cálculo 2 2 4 4" xfId="1391"/>
    <cellStyle name="Cálculo 2 2 4 5" xfId="1392"/>
    <cellStyle name="Cálculo 2 2 5" xfId="475"/>
    <cellStyle name="Cálculo 2 2 5 2" xfId="1393"/>
    <cellStyle name="Cálculo 2 2 5 3" xfId="1394"/>
    <cellStyle name="Cálculo 2 2 5 4" xfId="1395"/>
    <cellStyle name="Cálculo 2 2 5 5" xfId="1396"/>
    <cellStyle name="Cálculo 2 3" xfId="414"/>
    <cellStyle name="Cálculo 2 3 2" xfId="439"/>
    <cellStyle name="Cálculo 2 3 2 10" xfId="1397"/>
    <cellStyle name="Cálculo 2 3 2 11" xfId="1398"/>
    <cellStyle name="Cálculo 2 3 2 2" xfId="476"/>
    <cellStyle name="Cálculo 2 3 2 2 2" xfId="1399"/>
    <cellStyle name="Cálculo 2 3 2 2 3" xfId="1400"/>
    <cellStyle name="Cálculo 2 3 2 2 4" xfId="1401"/>
    <cellStyle name="Cálculo 2 3 2 2 5" xfId="1402"/>
    <cellStyle name="Cálculo 2 3 2 3" xfId="477"/>
    <cellStyle name="Cálculo 2 3 2 3 2" xfId="1403"/>
    <cellStyle name="Cálculo 2 3 2 3 3" xfId="1404"/>
    <cellStyle name="Cálculo 2 3 2 3 4" xfId="1405"/>
    <cellStyle name="Cálculo 2 3 2 3 5" xfId="1406"/>
    <cellStyle name="Cálculo 2 3 2 4" xfId="478"/>
    <cellStyle name="Cálculo 2 3 2 4 2" xfId="1407"/>
    <cellStyle name="Cálculo 2 3 2 4 3" xfId="1408"/>
    <cellStyle name="Cálculo 2 3 2 4 4" xfId="1409"/>
    <cellStyle name="Cálculo 2 3 2 4 5" xfId="1410"/>
    <cellStyle name="Cálculo 2 3 2 5" xfId="479"/>
    <cellStyle name="Cálculo 2 3 2 5 2" xfId="1411"/>
    <cellStyle name="Cálculo 2 3 2 5 3" xfId="1412"/>
    <cellStyle name="Cálculo 2 3 2 5 4" xfId="1413"/>
    <cellStyle name="Cálculo 2 3 2 5 5" xfId="1414"/>
    <cellStyle name="Cálculo 2 3 2 6" xfId="480"/>
    <cellStyle name="Cálculo 2 3 2 6 2" xfId="1415"/>
    <cellStyle name="Cálculo 2 3 2 6 3" xfId="1416"/>
    <cellStyle name="Cálculo 2 3 2 6 4" xfId="1417"/>
    <cellStyle name="Cálculo 2 3 2 6 5" xfId="1418"/>
    <cellStyle name="Cálculo 2 3 2 7" xfId="481"/>
    <cellStyle name="Cálculo 2 3 2 7 2" xfId="1419"/>
    <cellStyle name="Cálculo 2 3 2 7 3" xfId="1420"/>
    <cellStyle name="Cálculo 2 3 2 7 4" xfId="1421"/>
    <cellStyle name="Cálculo 2 3 2 7 5" xfId="1422"/>
    <cellStyle name="Cálculo 2 3 2 8" xfId="1423"/>
    <cellStyle name="Cálculo 2 3 2 9" xfId="1424"/>
    <cellStyle name="Cálculo 2 3 3" xfId="482"/>
    <cellStyle name="Cálculo 2 3 3 2" xfId="1425"/>
    <cellStyle name="Cálculo 2 3 3 3" xfId="1426"/>
    <cellStyle name="Cálculo 2 3 3 4" xfId="1427"/>
    <cellStyle name="Cálculo 2 3 3 5" xfId="1428"/>
    <cellStyle name="Cálculo 2 3 4" xfId="483"/>
    <cellStyle name="Cálculo 2 3 4 2" xfId="1429"/>
    <cellStyle name="Cálculo 2 3 4 3" xfId="1430"/>
    <cellStyle name="Cálculo 2 3 4 4" xfId="1431"/>
    <cellStyle name="Cálculo 2 3 4 5" xfId="1432"/>
    <cellStyle name="Cálculo 2 3 5" xfId="484"/>
    <cellStyle name="Cálculo 2 3 5 2" xfId="1433"/>
    <cellStyle name="Cálculo 2 3 5 3" xfId="1434"/>
    <cellStyle name="Cálculo 2 3 5 4" xfId="1435"/>
    <cellStyle name="Cálculo 2 3 5 5" xfId="1436"/>
    <cellStyle name="Cálculo 2 4" xfId="432"/>
    <cellStyle name="Cálculo 2 4 2" xfId="485"/>
    <cellStyle name="Cálculo 2 4 2 2" xfId="1437"/>
    <cellStyle name="Cálculo 2 4 2 3" xfId="1438"/>
    <cellStyle name="Cálculo 2 4 2 4" xfId="1439"/>
    <cellStyle name="Cálculo 2 4 2 5" xfId="1440"/>
    <cellStyle name="Cálculo 2 4 3" xfId="486"/>
    <cellStyle name="Cálculo 2 4 3 2" xfId="1441"/>
    <cellStyle name="Cálculo 2 4 3 3" xfId="1442"/>
    <cellStyle name="Cálculo 2 4 3 4" xfId="1443"/>
    <cellStyle name="Cálculo 2 4 3 5" xfId="1444"/>
    <cellStyle name="Cálculo 2 4 4" xfId="487"/>
    <cellStyle name="Cálculo 2 4 4 2" xfId="1445"/>
    <cellStyle name="Cálculo 2 4 4 3" xfId="1446"/>
    <cellStyle name="Cálculo 2 4 4 4" xfId="1447"/>
    <cellStyle name="Cálculo 2 4 4 5" xfId="1448"/>
    <cellStyle name="Cálculo 2 4 5" xfId="488"/>
    <cellStyle name="Cálculo 2 4 5 2" xfId="1449"/>
    <cellStyle name="Cálculo 2 4 5 3" xfId="1450"/>
    <cellStyle name="Cálculo 2 4 5 4" xfId="1451"/>
    <cellStyle name="Cálculo 2 4 5 5" xfId="1452"/>
    <cellStyle name="Cálculo 2 4 6" xfId="489"/>
    <cellStyle name="Cálculo 2 4 6 2" xfId="1453"/>
    <cellStyle name="Cálculo 2 4 6 3" xfId="1454"/>
    <cellStyle name="Cálculo 2 4 6 4" xfId="1455"/>
    <cellStyle name="Cálculo 2 4 6 5" xfId="1456"/>
    <cellStyle name="Cálculo 2 4 7" xfId="490"/>
    <cellStyle name="Cálculo 2 4 7 2" xfId="1457"/>
    <cellStyle name="Cálculo 2 4 7 3" xfId="1458"/>
    <cellStyle name="Cálculo 2 4 7 4" xfId="1459"/>
    <cellStyle name="Cálculo 2 4 7 5" xfId="1460"/>
    <cellStyle name="Cálculo 2 5" xfId="491"/>
    <cellStyle name="Cálculo 2 5 2" xfId="1461"/>
    <cellStyle name="Cálculo 2 5 3" xfId="1462"/>
    <cellStyle name="Cálculo 2 5 4" xfId="1463"/>
    <cellStyle name="Cálculo 2 5 5" xfId="1464"/>
    <cellStyle name="Cálculo 2 6" xfId="492"/>
    <cellStyle name="Cálculo 2 6 2" xfId="1465"/>
    <cellStyle name="Cálculo 2 6 3" xfId="1466"/>
    <cellStyle name="Cálculo 2 6 4" xfId="1467"/>
    <cellStyle name="Cálculo 2 6 5" xfId="1468"/>
    <cellStyle name="Cálculo 2 7" xfId="493"/>
    <cellStyle name="Cálculo 2 7 2" xfId="1469"/>
    <cellStyle name="Cálculo 2 7 3" xfId="1470"/>
    <cellStyle name="Cálculo 2 7 4" xfId="1471"/>
    <cellStyle name="Cálculo 2 7 5" xfId="1472"/>
    <cellStyle name="Cálculo 2 8" xfId="1473"/>
    <cellStyle name="Cálculo 3" xfId="251"/>
    <cellStyle name="Cálculo 3 2" xfId="682"/>
    <cellStyle name="Celda de comprobación" xfId="21" builtinId="23" customBuiltin="1"/>
    <cellStyle name="Celda de comprobación 2" xfId="161"/>
    <cellStyle name="Celda de comprobación 3" xfId="252"/>
    <cellStyle name="Celda vinculada" xfId="22" builtinId="24" customBuiltin="1"/>
    <cellStyle name="Celda vinculada 2" xfId="162"/>
    <cellStyle name="Celda vinculada 3" xfId="253"/>
    <cellStyle name="Comma" xfId="356"/>
    <cellStyle name="Comma [0]" xfId="357"/>
    <cellStyle name="Comma [0] 2" xfId="1474"/>
    <cellStyle name="Comma 2" xfId="1475"/>
    <cellStyle name="Comma 2 2" xfId="1476"/>
    <cellStyle name="Comma 3" xfId="1477"/>
    <cellStyle name="Comma 4" xfId="1478"/>
    <cellStyle name="Comma 5" xfId="1479"/>
    <cellStyle name="Currency" xfId="358"/>
    <cellStyle name="Currency [0]" xfId="359"/>
    <cellStyle name="Currency [0] 2" xfId="1480"/>
    <cellStyle name="Currency 2" xfId="1481"/>
    <cellStyle name="Currency 2 2" xfId="1482"/>
    <cellStyle name="Currency 3" xfId="1483"/>
    <cellStyle name="Currency 3 2" xfId="1484"/>
    <cellStyle name="Currency 4" xfId="1485"/>
    <cellStyle name="Currency 5" xfId="1486"/>
    <cellStyle name="Date" xfId="360"/>
    <cellStyle name="Encabezado 1" xfId="62" builtinId="16" customBuiltin="1"/>
    <cellStyle name="Encabezado 4" xfId="23" builtinId="19" customBuiltin="1"/>
    <cellStyle name="Encabezado 4 2" xfId="163"/>
    <cellStyle name="Encabezado 4 3" xfId="254"/>
    <cellStyle name="Énfasis1" xfId="24" builtinId="29" customBuiltin="1"/>
    <cellStyle name="Énfasis1 2" xfId="164"/>
    <cellStyle name="Énfasis1 3" xfId="255"/>
    <cellStyle name="Énfasis2" xfId="25" builtinId="33" customBuiltin="1"/>
    <cellStyle name="Énfasis2 2" xfId="165"/>
    <cellStyle name="Énfasis2 3" xfId="256"/>
    <cellStyle name="Énfasis3" xfId="26" builtinId="37" customBuiltin="1"/>
    <cellStyle name="Énfasis3 2" xfId="166"/>
    <cellStyle name="Énfasis3 3" xfId="257"/>
    <cellStyle name="Énfasis4" xfId="27" builtinId="41" customBuiltin="1"/>
    <cellStyle name="Énfasis4 2" xfId="167"/>
    <cellStyle name="Énfasis4 3" xfId="258"/>
    <cellStyle name="Énfasis5" xfId="28" builtinId="45" customBuiltin="1"/>
    <cellStyle name="Énfasis5 2" xfId="168"/>
    <cellStyle name="Énfasis5 3" xfId="259"/>
    <cellStyle name="Énfasis6" xfId="29" builtinId="49" customBuiltin="1"/>
    <cellStyle name="Énfasis6 2" xfId="169"/>
    <cellStyle name="Énfasis6 3" xfId="260"/>
    <cellStyle name="Entrada" xfId="30" builtinId="20" customBuiltin="1"/>
    <cellStyle name="Entrada 2" xfId="170"/>
    <cellStyle name="Entrada 2 2" xfId="415"/>
    <cellStyle name="Entrada 2 2 2" xfId="440"/>
    <cellStyle name="Entrada 2 2 2 10" xfId="1487"/>
    <cellStyle name="Entrada 2 2 2 11" xfId="1488"/>
    <cellStyle name="Entrada 2 2 2 2" xfId="494"/>
    <cellStyle name="Entrada 2 2 2 2 2" xfId="1489"/>
    <cellStyle name="Entrada 2 2 2 2 3" xfId="1490"/>
    <cellStyle name="Entrada 2 2 2 2 4" xfId="1491"/>
    <cellStyle name="Entrada 2 2 2 2 5" xfId="1492"/>
    <cellStyle name="Entrada 2 2 2 3" xfId="495"/>
    <cellStyle name="Entrada 2 2 2 3 2" xfId="1493"/>
    <cellStyle name="Entrada 2 2 2 3 3" xfId="1494"/>
    <cellStyle name="Entrada 2 2 2 3 4" xfId="1495"/>
    <cellStyle name="Entrada 2 2 2 3 5" xfId="1496"/>
    <cellStyle name="Entrada 2 2 2 4" xfId="496"/>
    <cellStyle name="Entrada 2 2 2 4 2" xfId="1497"/>
    <cellStyle name="Entrada 2 2 2 4 3" xfId="1498"/>
    <cellStyle name="Entrada 2 2 2 4 4" xfId="1499"/>
    <cellStyle name="Entrada 2 2 2 4 5" xfId="1500"/>
    <cellStyle name="Entrada 2 2 2 5" xfId="497"/>
    <cellStyle name="Entrada 2 2 2 5 2" xfId="1501"/>
    <cellStyle name="Entrada 2 2 2 5 3" xfId="1502"/>
    <cellStyle name="Entrada 2 2 2 5 4" xfId="1503"/>
    <cellStyle name="Entrada 2 2 2 5 5" xfId="1504"/>
    <cellStyle name="Entrada 2 2 2 6" xfId="498"/>
    <cellStyle name="Entrada 2 2 2 6 2" xfId="1505"/>
    <cellStyle name="Entrada 2 2 2 6 3" xfId="1506"/>
    <cellStyle name="Entrada 2 2 2 6 4" xfId="1507"/>
    <cellStyle name="Entrada 2 2 2 6 5" xfId="1508"/>
    <cellStyle name="Entrada 2 2 2 7" xfId="499"/>
    <cellStyle name="Entrada 2 2 2 7 2" xfId="1509"/>
    <cellStyle name="Entrada 2 2 2 7 3" xfId="1510"/>
    <cellStyle name="Entrada 2 2 2 7 4" xfId="1511"/>
    <cellStyle name="Entrada 2 2 2 7 5" xfId="1512"/>
    <cellStyle name="Entrada 2 2 2 8" xfId="1513"/>
    <cellStyle name="Entrada 2 2 2 9" xfId="1514"/>
    <cellStyle name="Entrada 2 2 3" xfId="500"/>
    <cellStyle name="Entrada 2 2 3 2" xfId="1515"/>
    <cellStyle name="Entrada 2 2 3 3" xfId="1516"/>
    <cellStyle name="Entrada 2 2 3 4" xfId="1517"/>
    <cellStyle name="Entrada 2 2 3 5" xfId="1518"/>
    <cellStyle name="Entrada 2 2 4" xfId="501"/>
    <cellStyle name="Entrada 2 2 4 2" xfId="1519"/>
    <cellStyle name="Entrada 2 2 4 3" xfId="1520"/>
    <cellStyle name="Entrada 2 2 4 4" xfId="1521"/>
    <cellStyle name="Entrada 2 2 4 5" xfId="1522"/>
    <cellStyle name="Entrada 2 2 5" xfId="502"/>
    <cellStyle name="Entrada 2 2 5 2" xfId="1523"/>
    <cellStyle name="Entrada 2 2 5 3" xfId="1524"/>
    <cellStyle name="Entrada 2 2 5 4" xfId="1525"/>
    <cellStyle name="Entrada 2 2 5 5" xfId="1526"/>
    <cellStyle name="Entrada 2 3" xfId="416"/>
    <cellStyle name="Entrada 2 3 2" xfId="441"/>
    <cellStyle name="Entrada 2 3 2 10" xfId="1527"/>
    <cellStyle name="Entrada 2 3 2 11" xfId="1528"/>
    <cellStyle name="Entrada 2 3 2 2" xfId="503"/>
    <cellStyle name="Entrada 2 3 2 2 2" xfId="1529"/>
    <cellStyle name="Entrada 2 3 2 2 3" xfId="1530"/>
    <cellStyle name="Entrada 2 3 2 2 4" xfId="1531"/>
    <cellStyle name="Entrada 2 3 2 2 5" xfId="1532"/>
    <cellStyle name="Entrada 2 3 2 3" xfId="504"/>
    <cellStyle name="Entrada 2 3 2 3 2" xfId="1533"/>
    <cellStyle name="Entrada 2 3 2 3 3" xfId="1534"/>
    <cellStyle name="Entrada 2 3 2 3 4" xfId="1535"/>
    <cellStyle name="Entrada 2 3 2 3 5" xfId="1536"/>
    <cellStyle name="Entrada 2 3 2 4" xfId="505"/>
    <cellStyle name="Entrada 2 3 2 4 2" xfId="1537"/>
    <cellStyle name="Entrada 2 3 2 4 3" xfId="1538"/>
    <cellStyle name="Entrada 2 3 2 4 4" xfId="1539"/>
    <cellStyle name="Entrada 2 3 2 4 5" xfId="1540"/>
    <cellStyle name="Entrada 2 3 2 5" xfId="506"/>
    <cellStyle name="Entrada 2 3 2 5 2" xfId="1541"/>
    <cellStyle name="Entrada 2 3 2 5 3" xfId="1542"/>
    <cellStyle name="Entrada 2 3 2 5 4" xfId="1543"/>
    <cellStyle name="Entrada 2 3 2 5 5" xfId="1544"/>
    <cellStyle name="Entrada 2 3 2 6" xfId="507"/>
    <cellStyle name="Entrada 2 3 2 6 2" xfId="1545"/>
    <cellStyle name="Entrada 2 3 2 6 3" xfId="1546"/>
    <cellStyle name="Entrada 2 3 2 6 4" xfId="1547"/>
    <cellStyle name="Entrada 2 3 2 6 5" xfId="1548"/>
    <cellStyle name="Entrada 2 3 2 7" xfId="508"/>
    <cellStyle name="Entrada 2 3 2 7 2" xfId="1549"/>
    <cellStyle name="Entrada 2 3 2 7 3" xfId="1550"/>
    <cellStyle name="Entrada 2 3 2 7 4" xfId="1551"/>
    <cellStyle name="Entrada 2 3 2 7 5" xfId="1552"/>
    <cellStyle name="Entrada 2 3 2 8" xfId="1553"/>
    <cellStyle name="Entrada 2 3 2 9" xfId="1554"/>
    <cellStyle name="Entrada 2 3 3" xfId="509"/>
    <cellStyle name="Entrada 2 3 3 2" xfId="1555"/>
    <cellStyle name="Entrada 2 3 3 3" xfId="1556"/>
    <cellStyle name="Entrada 2 3 3 4" xfId="1557"/>
    <cellStyle name="Entrada 2 3 3 5" xfId="1558"/>
    <cellStyle name="Entrada 2 3 4" xfId="510"/>
    <cellStyle name="Entrada 2 3 4 2" xfId="1559"/>
    <cellStyle name="Entrada 2 3 4 3" xfId="1560"/>
    <cellStyle name="Entrada 2 3 4 4" xfId="1561"/>
    <cellStyle name="Entrada 2 3 4 5" xfId="1562"/>
    <cellStyle name="Entrada 2 3 5" xfId="511"/>
    <cellStyle name="Entrada 2 3 5 2" xfId="1563"/>
    <cellStyle name="Entrada 2 3 5 3" xfId="1564"/>
    <cellStyle name="Entrada 2 3 5 4" xfId="1565"/>
    <cellStyle name="Entrada 2 3 5 5" xfId="1566"/>
    <cellStyle name="Entrada 2 4" xfId="433"/>
    <cellStyle name="Entrada 2 4 2" xfId="512"/>
    <cellStyle name="Entrada 2 4 2 2" xfId="1567"/>
    <cellStyle name="Entrada 2 4 2 3" xfId="1568"/>
    <cellStyle name="Entrada 2 4 2 4" xfId="1569"/>
    <cellStyle name="Entrada 2 4 2 5" xfId="1570"/>
    <cellStyle name="Entrada 2 4 3" xfId="513"/>
    <cellStyle name="Entrada 2 4 3 2" xfId="1571"/>
    <cellStyle name="Entrada 2 4 3 3" xfId="1572"/>
    <cellStyle name="Entrada 2 4 3 4" xfId="1573"/>
    <cellStyle name="Entrada 2 4 3 5" xfId="1574"/>
    <cellStyle name="Entrada 2 4 4" xfId="514"/>
    <cellStyle name="Entrada 2 4 4 2" xfId="1575"/>
    <cellStyle name="Entrada 2 4 4 3" xfId="1576"/>
    <cellStyle name="Entrada 2 4 4 4" xfId="1577"/>
    <cellStyle name="Entrada 2 4 4 5" xfId="1578"/>
    <cellStyle name="Entrada 2 4 5" xfId="515"/>
    <cellStyle name="Entrada 2 4 5 2" xfId="1579"/>
    <cellStyle name="Entrada 2 4 5 3" xfId="1580"/>
    <cellStyle name="Entrada 2 4 5 4" xfId="1581"/>
    <cellStyle name="Entrada 2 4 5 5" xfId="1582"/>
    <cellStyle name="Entrada 2 4 6" xfId="516"/>
    <cellStyle name="Entrada 2 4 6 2" xfId="1583"/>
    <cellStyle name="Entrada 2 4 6 3" xfId="1584"/>
    <cellStyle name="Entrada 2 4 6 4" xfId="1585"/>
    <cellStyle name="Entrada 2 4 6 5" xfId="1586"/>
    <cellStyle name="Entrada 2 4 7" xfId="517"/>
    <cellStyle name="Entrada 2 4 7 2" xfId="1587"/>
    <cellStyle name="Entrada 2 4 7 3" xfId="1588"/>
    <cellStyle name="Entrada 2 4 7 4" xfId="1589"/>
    <cellStyle name="Entrada 2 4 7 5" xfId="1590"/>
    <cellStyle name="Entrada 2 5" xfId="518"/>
    <cellStyle name="Entrada 2 5 2" xfId="1591"/>
    <cellStyle name="Entrada 2 5 3" xfId="1592"/>
    <cellStyle name="Entrada 2 5 4" xfId="1593"/>
    <cellStyle name="Entrada 2 5 5" xfId="1594"/>
    <cellStyle name="Entrada 2 6" xfId="519"/>
    <cellStyle name="Entrada 2 6 2" xfId="1595"/>
    <cellStyle name="Entrada 2 6 3" xfId="1596"/>
    <cellStyle name="Entrada 2 6 4" xfId="1597"/>
    <cellStyle name="Entrada 2 6 5" xfId="1598"/>
    <cellStyle name="Entrada 2 7" xfId="520"/>
    <cellStyle name="Entrada 2 7 2" xfId="1599"/>
    <cellStyle name="Entrada 2 7 3" xfId="1600"/>
    <cellStyle name="Entrada 2 7 4" xfId="1601"/>
    <cellStyle name="Entrada 2 7 5" xfId="1602"/>
    <cellStyle name="Entrada 2 8" xfId="1603"/>
    <cellStyle name="Entrada 3" xfId="261"/>
    <cellStyle name="Entrada 3 2" xfId="683"/>
    <cellStyle name="Euro" xfId="31"/>
    <cellStyle name="Euro 2" xfId="262"/>
    <cellStyle name="Excel Built-in Normal" xfId="521"/>
    <cellStyle name="Excel Built-in Normal 2" xfId="1604"/>
    <cellStyle name="Fixed" xfId="361"/>
    <cellStyle name="Heading1" xfId="362"/>
    <cellStyle name="Heading2" xfId="363"/>
    <cellStyle name="Hipervínculo" xfId="32" builtinId="8"/>
    <cellStyle name="Hipervínculo 14" xfId="1605"/>
    <cellStyle name="Hipervínculo 2" xfId="364"/>
    <cellStyle name="Hipervínculo 2 2" xfId="1606"/>
    <cellStyle name="Hipervínculo 3" xfId="1607"/>
    <cellStyle name="Hipervínculo 4" xfId="1608"/>
    <cellStyle name="Incorrecto" xfId="33" builtinId="27" customBuiltin="1"/>
    <cellStyle name="Incorrecto 2" xfId="171"/>
    <cellStyle name="Incorrecto 3" xfId="263"/>
    <cellStyle name="Millares" xfId="34" builtinId="3"/>
    <cellStyle name="Millares 10" xfId="172"/>
    <cellStyle name="Millares 10 10" xfId="1609"/>
    <cellStyle name="Millares 10 10 2" xfId="1610"/>
    <cellStyle name="Millares 10 10 2 2" xfId="1611"/>
    <cellStyle name="Millares 10 10 2 2 2" xfId="1612"/>
    <cellStyle name="Millares 10 10 2 3" xfId="1613"/>
    <cellStyle name="Millares 10 10 3" xfId="1614"/>
    <cellStyle name="Millares 10 10 3 2" xfId="1615"/>
    <cellStyle name="Millares 10 10 4" xfId="1616"/>
    <cellStyle name="Millares 10 11" xfId="1617"/>
    <cellStyle name="Millares 10 11 2" xfId="1618"/>
    <cellStyle name="Millares 10 11 2 2" xfId="1619"/>
    <cellStyle name="Millares 10 11 3" xfId="1620"/>
    <cellStyle name="Millares 10 12" xfId="1621"/>
    <cellStyle name="Millares 10 12 2" xfId="1622"/>
    <cellStyle name="Millares 10 13" xfId="1623"/>
    <cellStyle name="Millares 10 2" xfId="173"/>
    <cellStyle name="Millares 10 2 10" xfId="1624"/>
    <cellStyle name="Millares 10 2 10 2" xfId="1625"/>
    <cellStyle name="Millares 10 2 11" xfId="1626"/>
    <cellStyle name="Millares 10 2 2" xfId="286"/>
    <cellStyle name="Millares 10 2 2 2" xfId="303"/>
    <cellStyle name="Millares 10 2 2 2 2" xfId="712"/>
    <cellStyle name="Millares 10 2 2 3" xfId="695"/>
    <cellStyle name="Millares 10 2 3" xfId="302"/>
    <cellStyle name="Millares 10 2 3 2" xfId="711"/>
    <cellStyle name="Millares 10 2 3 2 2" xfId="1627"/>
    <cellStyle name="Millares 10 2 3 2 2 2" xfId="1628"/>
    <cellStyle name="Millares 10 2 3 2 2 2 2" xfId="1629"/>
    <cellStyle name="Millares 10 2 3 2 2 3" xfId="1630"/>
    <cellStyle name="Millares 10 2 3 2 3" xfId="1631"/>
    <cellStyle name="Millares 10 2 3 2 3 2" xfId="1632"/>
    <cellStyle name="Millares 10 2 3 2 4" xfId="1633"/>
    <cellStyle name="Millares 10 2 3 3" xfId="1634"/>
    <cellStyle name="Millares 10 2 3 3 2" xfId="1635"/>
    <cellStyle name="Millares 10 2 3 3 2 2" xfId="1636"/>
    <cellStyle name="Millares 10 2 3 3 3" xfId="1637"/>
    <cellStyle name="Millares 10 2 3 4" xfId="1638"/>
    <cellStyle name="Millares 10 2 3 4 2" xfId="1639"/>
    <cellStyle name="Millares 10 2 3 5" xfId="1640"/>
    <cellStyle name="Millares 10 2 4" xfId="367"/>
    <cellStyle name="Millares 10 2 4 2" xfId="767"/>
    <cellStyle name="Millares 10 2 4 2 2" xfId="1641"/>
    <cellStyle name="Millares 10 2 4 2 2 2" xfId="1642"/>
    <cellStyle name="Millares 10 2 4 2 2 2 2" xfId="1643"/>
    <cellStyle name="Millares 10 2 4 2 2 3" xfId="1644"/>
    <cellStyle name="Millares 10 2 4 2 3" xfId="1645"/>
    <cellStyle name="Millares 10 2 4 2 3 2" xfId="1646"/>
    <cellStyle name="Millares 10 2 4 2 4" xfId="1647"/>
    <cellStyle name="Millares 10 2 4 3" xfId="1648"/>
    <cellStyle name="Millares 10 2 4 3 2" xfId="1649"/>
    <cellStyle name="Millares 10 2 4 3 2 2" xfId="1650"/>
    <cellStyle name="Millares 10 2 4 3 3" xfId="1651"/>
    <cellStyle name="Millares 10 2 4 4" xfId="1652"/>
    <cellStyle name="Millares 10 2 4 4 2" xfId="1653"/>
    <cellStyle name="Millares 10 2 4 5" xfId="1654"/>
    <cellStyle name="Millares 10 2 5" xfId="665"/>
    <cellStyle name="Millares 10 2 5 2" xfId="1655"/>
    <cellStyle name="Millares 10 2 5 2 2" xfId="1656"/>
    <cellStyle name="Millares 10 2 5 2 2 2" xfId="1657"/>
    <cellStyle name="Millares 10 2 5 2 2 2 2" xfId="1658"/>
    <cellStyle name="Millares 10 2 5 2 2 3" xfId="1659"/>
    <cellStyle name="Millares 10 2 5 2 3" xfId="1660"/>
    <cellStyle name="Millares 10 2 5 2 3 2" xfId="1661"/>
    <cellStyle name="Millares 10 2 5 2 4" xfId="1662"/>
    <cellStyle name="Millares 10 2 5 3" xfId="1663"/>
    <cellStyle name="Millares 10 2 5 3 2" xfId="1664"/>
    <cellStyle name="Millares 10 2 5 3 2 2" xfId="1665"/>
    <cellStyle name="Millares 10 2 5 3 3" xfId="1666"/>
    <cellStyle name="Millares 10 2 5 4" xfId="1667"/>
    <cellStyle name="Millares 10 2 5 4 2" xfId="1668"/>
    <cellStyle name="Millares 10 2 5 5" xfId="1669"/>
    <cellStyle name="Millares 10 2 6" xfId="1670"/>
    <cellStyle name="Millares 10 2 6 2" xfId="1671"/>
    <cellStyle name="Millares 10 2 6 2 2" xfId="1672"/>
    <cellStyle name="Millares 10 2 6 2 2 2" xfId="1673"/>
    <cellStyle name="Millares 10 2 6 2 2 2 2" xfId="1674"/>
    <cellStyle name="Millares 10 2 6 2 2 3" xfId="1675"/>
    <cellStyle name="Millares 10 2 6 2 3" xfId="1676"/>
    <cellStyle name="Millares 10 2 6 2 3 2" xfId="1677"/>
    <cellStyle name="Millares 10 2 6 2 4" xfId="1678"/>
    <cellStyle name="Millares 10 2 6 3" xfId="1679"/>
    <cellStyle name="Millares 10 2 6 3 2" xfId="1680"/>
    <cellStyle name="Millares 10 2 6 3 2 2" xfId="1681"/>
    <cellStyle name="Millares 10 2 6 3 3" xfId="1682"/>
    <cellStyle name="Millares 10 2 6 4" xfId="1683"/>
    <cellStyle name="Millares 10 2 6 4 2" xfId="1684"/>
    <cellStyle name="Millares 10 2 6 5" xfId="1685"/>
    <cellStyle name="Millares 10 2 7" xfId="1686"/>
    <cellStyle name="Millares 10 2 7 2" xfId="1687"/>
    <cellStyle name="Millares 10 2 7 2 2" xfId="1688"/>
    <cellStyle name="Millares 10 2 7 2 2 2" xfId="1689"/>
    <cellStyle name="Millares 10 2 7 2 2 2 2" xfId="1690"/>
    <cellStyle name="Millares 10 2 7 2 2 3" xfId="1691"/>
    <cellStyle name="Millares 10 2 7 2 3" xfId="1692"/>
    <cellStyle name="Millares 10 2 7 2 3 2" xfId="1693"/>
    <cellStyle name="Millares 10 2 7 2 4" xfId="1694"/>
    <cellStyle name="Millares 10 2 7 3" xfId="1695"/>
    <cellStyle name="Millares 10 2 7 3 2" xfId="1696"/>
    <cellStyle name="Millares 10 2 7 3 2 2" xfId="1697"/>
    <cellStyle name="Millares 10 2 7 3 3" xfId="1698"/>
    <cellStyle name="Millares 10 2 7 4" xfId="1699"/>
    <cellStyle name="Millares 10 2 7 4 2" xfId="1700"/>
    <cellStyle name="Millares 10 2 7 5" xfId="1701"/>
    <cellStyle name="Millares 10 2 8" xfId="1702"/>
    <cellStyle name="Millares 10 2 8 2" xfId="1703"/>
    <cellStyle name="Millares 10 2 8 2 2" xfId="1704"/>
    <cellStyle name="Millares 10 2 8 2 2 2" xfId="1705"/>
    <cellStyle name="Millares 10 2 8 2 3" xfId="1706"/>
    <cellStyle name="Millares 10 2 8 3" xfId="1707"/>
    <cellStyle name="Millares 10 2 8 3 2" xfId="1708"/>
    <cellStyle name="Millares 10 2 8 4" xfId="1709"/>
    <cellStyle name="Millares 10 2 9" xfId="1710"/>
    <cellStyle name="Millares 10 2 9 2" xfId="1711"/>
    <cellStyle name="Millares 10 2 9 2 2" xfId="1712"/>
    <cellStyle name="Millares 10 2 9 3" xfId="1713"/>
    <cellStyle name="Millares 10 3" xfId="285"/>
    <cellStyle name="Millares 10 3 2" xfId="304"/>
    <cellStyle name="Millares 10 3 2 2" xfId="713"/>
    <cellStyle name="Millares 10 3 3" xfId="417"/>
    <cellStyle name="Millares 10 3 4" xfId="694"/>
    <cellStyle name="Millares 10 4" xfId="301"/>
    <cellStyle name="Millares 10 4 2" xfId="710"/>
    <cellStyle name="Millares 10 4 2 2" xfId="1714"/>
    <cellStyle name="Millares 10 4 2 2 2" xfId="1715"/>
    <cellStyle name="Millares 10 4 2 2 2 2" xfId="1716"/>
    <cellStyle name="Millares 10 4 2 2 3" xfId="1717"/>
    <cellStyle name="Millares 10 4 2 3" xfId="1718"/>
    <cellStyle name="Millares 10 4 2 3 2" xfId="1719"/>
    <cellStyle name="Millares 10 4 2 4" xfId="1720"/>
    <cellStyle name="Millares 10 4 3" xfId="1721"/>
    <cellStyle name="Millares 10 4 3 2" xfId="1722"/>
    <cellStyle name="Millares 10 4 3 2 2" xfId="1723"/>
    <cellStyle name="Millares 10 4 3 3" xfId="1724"/>
    <cellStyle name="Millares 10 4 4" xfId="1725"/>
    <cellStyle name="Millares 10 4 4 2" xfId="1726"/>
    <cellStyle name="Millares 10 4 5" xfId="1727"/>
    <cellStyle name="Millares 10 5" xfId="366"/>
    <cellStyle name="Millares 10 5 2" xfId="766"/>
    <cellStyle name="Millares 10 5 2 2" xfId="1728"/>
    <cellStyle name="Millares 10 5 2 2 2" xfId="1729"/>
    <cellStyle name="Millares 10 5 2 2 2 2" xfId="1730"/>
    <cellStyle name="Millares 10 5 2 2 3" xfId="1731"/>
    <cellStyle name="Millares 10 5 2 3" xfId="1732"/>
    <cellStyle name="Millares 10 5 2 3 2" xfId="1733"/>
    <cellStyle name="Millares 10 5 2 4" xfId="1734"/>
    <cellStyle name="Millares 10 5 3" xfId="1735"/>
    <cellStyle name="Millares 10 5 3 2" xfId="1736"/>
    <cellStyle name="Millares 10 5 3 2 2" xfId="1737"/>
    <cellStyle name="Millares 10 5 3 3" xfId="1738"/>
    <cellStyle name="Millares 10 5 4" xfId="1739"/>
    <cellStyle name="Millares 10 5 4 2" xfId="1740"/>
    <cellStyle name="Millares 10 5 5" xfId="1741"/>
    <cellStyle name="Millares 10 6" xfId="664"/>
    <cellStyle name="Millares 10 6 2" xfId="1742"/>
    <cellStyle name="Millares 10 6 2 2" xfId="1743"/>
    <cellStyle name="Millares 10 6 2 2 2" xfId="1744"/>
    <cellStyle name="Millares 10 6 2 2 2 2" xfId="1745"/>
    <cellStyle name="Millares 10 6 2 2 3" xfId="1746"/>
    <cellStyle name="Millares 10 6 2 3" xfId="1747"/>
    <cellStyle name="Millares 10 6 2 3 2" xfId="1748"/>
    <cellStyle name="Millares 10 6 2 4" xfId="1749"/>
    <cellStyle name="Millares 10 6 3" xfId="1750"/>
    <cellStyle name="Millares 10 6 3 2" xfId="1751"/>
    <cellStyle name="Millares 10 6 3 2 2" xfId="1752"/>
    <cellStyle name="Millares 10 6 3 3" xfId="1753"/>
    <cellStyle name="Millares 10 6 4" xfId="1754"/>
    <cellStyle name="Millares 10 6 4 2" xfId="1755"/>
    <cellStyle name="Millares 10 6 5" xfId="1756"/>
    <cellStyle name="Millares 10 7" xfId="1757"/>
    <cellStyle name="Millares 10 7 2" xfId="1758"/>
    <cellStyle name="Millares 10 7 2 2" xfId="1759"/>
    <cellStyle name="Millares 10 7 2 2 2" xfId="1760"/>
    <cellStyle name="Millares 10 7 2 2 2 2" xfId="1761"/>
    <cellStyle name="Millares 10 7 2 2 3" xfId="1762"/>
    <cellStyle name="Millares 10 7 2 3" xfId="1763"/>
    <cellStyle name="Millares 10 7 2 3 2" xfId="1764"/>
    <cellStyle name="Millares 10 7 2 4" xfId="1765"/>
    <cellStyle name="Millares 10 7 3" xfId="1766"/>
    <cellStyle name="Millares 10 7 3 2" xfId="1767"/>
    <cellStyle name="Millares 10 7 3 2 2" xfId="1768"/>
    <cellStyle name="Millares 10 7 3 3" xfId="1769"/>
    <cellStyle name="Millares 10 7 4" xfId="1770"/>
    <cellStyle name="Millares 10 7 4 2" xfId="1771"/>
    <cellStyle name="Millares 10 7 5" xfId="1772"/>
    <cellStyle name="Millares 10 8" xfId="1773"/>
    <cellStyle name="Millares 10 8 2" xfId="1774"/>
    <cellStyle name="Millares 10 8 2 2" xfId="1775"/>
    <cellStyle name="Millares 10 8 2 2 2" xfId="1776"/>
    <cellStyle name="Millares 10 8 2 2 2 2" xfId="1777"/>
    <cellStyle name="Millares 10 8 2 2 3" xfId="1778"/>
    <cellStyle name="Millares 10 8 2 3" xfId="1779"/>
    <cellStyle name="Millares 10 8 2 3 2" xfId="1780"/>
    <cellStyle name="Millares 10 8 2 4" xfId="1781"/>
    <cellStyle name="Millares 10 8 3" xfId="1782"/>
    <cellStyle name="Millares 10 8 3 2" xfId="1783"/>
    <cellStyle name="Millares 10 8 3 2 2" xfId="1784"/>
    <cellStyle name="Millares 10 8 3 3" xfId="1785"/>
    <cellStyle name="Millares 10 8 4" xfId="1786"/>
    <cellStyle name="Millares 10 8 4 2" xfId="1787"/>
    <cellStyle name="Millares 10 8 5" xfId="1788"/>
    <cellStyle name="Millares 10 9" xfId="1789"/>
    <cellStyle name="Millares 10 9 2" xfId="1790"/>
    <cellStyle name="Millares 10 9 2 2" xfId="1791"/>
    <cellStyle name="Millares 10 9 2 2 2" xfId="1792"/>
    <cellStyle name="Millares 10 9 2 3" xfId="1793"/>
    <cellStyle name="Millares 10 9 3" xfId="1794"/>
    <cellStyle name="Millares 10 9 3 2" xfId="1795"/>
    <cellStyle name="Millares 10 9 4" xfId="1796"/>
    <cellStyle name="Millares 11" xfId="174"/>
    <cellStyle name="Millares 11 2" xfId="175"/>
    <cellStyle name="Millares 11 2 2" xfId="1797"/>
    <cellStyle name="Millares 11 2 2 2" xfId="1798"/>
    <cellStyle name="Millares 11 2 3" xfId="1799"/>
    <cellStyle name="Millares 11 3" xfId="1800"/>
    <cellStyle name="Millares 11 3 2" xfId="1801"/>
    <cellStyle name="Millares 11 4" xfId="1802"/>
    <cellStyle name="Millares 12" xfId="224"/>
    <cellStyle name="Millares 12 10" xfId="1803"/>
    <cellStyle name="Millares 12 10 2" xfId="1804"/>
    <cellStyle name="Millares 12 11" xfId="1805"/>
    <cellStyle name="Millares 12 2" xfId="296"/>
    <cellStyle name="Millares 12 2 2" xfId="306"/>
    <cellStyle name="Millares 12 2 2 2" xfId="715"/>
    <cellStyle name="Millares 12 2 3" xfId="705"/>
    <cellStyle name="Millares 12 3" xfId="305"/>
    <cellStyle name="Millares 12 3 2" xfId="714"/>
    <cellStyle name="Millares 12 3 2 2" xfId="1806"/>
    <cellStyle name="Millares 12 3 2 2 2" xfId="1807"/>
    <cellStyle name="Millares 12 3 2 2 2 2" xfId="1808"/>
    <cellStyle name="Millares 12 3 2 2 3" xfId="1809"/>
    <cellStyle name="Millares 12 3 2 3" xfId="1810"/>
    <cellStyle name="Millares 12 3 2 3 2" xfId="1811"/>
    <cellStyle name="Millares 12 3 2 4" xfId="1812"/>
    <cellStyle name="Millares 12 3 3" xfId="1813"/>
    <cellStyle name="Millares 12 3 3 2" xfId="1814"/>
    <cellStyle name="Millares 12 3 3 2 2" xfId="1815"/>
    <cellStyle name="Millares 12 3 3 3" xfId="1816"/>
    <cellStyle name="Millares 12 3 4" xfId="1817"/>
    <cellStyle name="Millares 12 3 4 2" xfId="1818"/>
    <cellStyle name="Millares 12 3 5" xfId="1819"/>
    <cellStyle name="Millares 12 4" xfId="365"/>
    <cellStyle name="Millares 12 4 2" xfId="765"/>
    <cellStyle name="Millares 12 4 2 2" xfId="1820"/>
    <cellStyle name="Millares 12 4 2 2 2" xfId="1821"/>
    <cellStyle name="Millares 12 4 2 2 2 2" xfId="1822"/>
    <cellStyle name="Millares 12 4 2 2 3" xfId="1823"/>
    <cellStyle name="Millares 12 4 2 3" xfId="1824"/>
    <cellStyle name="Millares 12 4 2 3 2" xfId="1825"/>
    <cellStyle name="Millares 12 4 2 4" xfId="1826"/>
    <cellStyle name="Millares 12 4 3" xfId="1827"/>
    <cellStyle name="Millares 12 4 3 2" xfId="1828"/>
    <cellStyle name="Millares 12 4 3 2 2" xfId="1829"/>
    <cellStyle name="Millares 12 4 3 3" xfId="1830"/>
    <cellStyle name="Millares 12 4 4" xfId="1831"/>
    <cellStyle name="Millares 12 4 4 2" xfId="1832"/>
    <cellStyle name="Millares 12 4 5" xfId="1833"/>
    <cellStyle name="Millares 12 5" xfId="675"/>
    <cellStyle name="Millares 12 5 2" xfId="1834"/>
    <cellStyle name="Millares 12 5 2 2" xfId="1835"/>
    <cellStyle name="Millares 12 5 2 2 2" xfId="1836"/>
    <cellStyle name="Millares 12 5 2 2 2 2" xfId="1837"/>
    <cellStyle name="Millares 12 5 2 2 3" xfId="1838"/>
    <cellStyle name="Millares 12 5 2 3" xfId="1839"/>
    <cellStyle name="Millares 12 5 2 3 2" xfId="1840"/>
    <cellStyle name="Millares 12 5 2 4" xfId="1841"/>
    <cellStyle name="Millares 12 5 3" xfId="1842"/>
    <cellStyle name="Millares 12 5 3 2" xfId="1843"/>
    <cellStyle name="Millares 12 5 3 2 2" xfId="1844"/>
    <cellStyle name="Millares 12 5 3 3" xfId="1845"/>
    <cellStyle name="Millares 12 5 4" xfId="1846"/>
    <cellStyle name="Millares 12 5 4 2" xfId="1847"/>
    <cellStyle name="Millares 12 5 5" xfId="1848"/>
    <cellStyle name="Millares 12 6" xfId="1849"/>
    <cellStyle name="Millares 12 6 2" xfId="1850"/>
    <cellStyle name="Millares 12 6 2 2" xfId="1851"/>
    <cellStyle name="Millares 12 6 2 2 2" xfId="1852"/>
    <cellStyle name="Millares 12 6 2 2 2 2" xfId="1853"/>
    <cellStyle name="Millares 12 6 2 2 3" xfId="1854"/>
    <cellStyle name="Millares 12 6 2 3" xfId="1855"/>
    <cellStyle name="Millares 12 6 2 3 2" xfId="1856"/>
    <cellStyle name="Millares 12 6 2 4" xfId="1857"/>
    <cellStyle name="Millares 12 6 3" xfId="1858"/>
    <cellStyle name="Millares 12 6 3 2" xfId="1859"/>
    <cellStyle name="Millares 12 6 3 2 2" xfId="1860"/>
    <cellStyle name="Millares 12 6 3 3" xfId="1861"/>
    <cellStyle name="Millares 12 6 4" xfId="1862"/>
    <cellStyle name="Millares 12 6 4 2" xfId="1863"/>
    <cellStyle name="Millares 12 6 5" xfId="1864"/>
    <cellStyle name="Millares 12 7" xfId="1865"/>
    <cellStyle name="Millares 12 7 2" xfId="1866"/>
    <cellStyle name="Millares 12 7 2 2" xfId="1867"/>
    <cellStyle name="Millares 12 7 2 2 2" xfId="1868"/>
    <cellStyle name="Millares 12 7 2 2 2 2" xfId="1869"/>
    <cellStyle name="Millares 12 7 2 2 3" xfId="1870"/>
    <cellStyle name="Millares 12 7 2 3" xfId="1871"/>
    <cellStyle name="Millares 12 7 2 3 2" xfId="1872"/>
    <cellStyle name="Millares 12 7 2 4" xfId="1873"/>
    <cellStyle name="Millares 12 7 3" xfId="1874"/>
    <cellStyle name="Millares 12 7 3 2" xfId="1875"/>
    <cellStyle name="Millares 12 7 3 2 2" xfId="1876"/>
    <cellStyle name="Millares 12 7 3 3" xfId="1877"/>
    <cellStyle name="Millares 12 7 4" xfId="1878"/>
    <cellStyle name="Millares 12 7 4 2" xfId="1879"/>
    <cellStyle name="Millares 12 7 5" xfId="1880"/>
    <cellStyle name="Millares 12 8" xfId="1881"/>
    <cellStyle name="Millares 12 8 2" xfId="1882"/>
    <cellStyle name="Millares 12 8 2 2" xfId="1883"/>
    <cellStyle name="Millares 12 8 2 2 2" xfId="1884"/>
    <cellStyle name="Millares 12 8 2 3" xfId="1885"/>
    <cellStyle name="Millares 12 8 3" xfId="1886"/>
    <cellStyle name="Millares 12 8 3 2" xfId="1887"/>
    <cellStyle name="Millares 12 8 4" xfId="1888"/>
    <cellStyle name="Millares 12 9" xfId="1889"/>
    <cellStyle name="Millares 12 9 2" xfId="1890"/>
    <cellStyle name="Millares 12 9 2 2" xfId="1891"/>
    <cellStyle name="Millares 12 9 3" xfId="1892"/>
    <cellStyle name="Millares 13" xfId="227"/>
    <cellStyle name="Millares 13 2" xfId="299"/>
    <cellStyle name="Millares 13 2 2" xfId="308"/>
    <cellStyle name="Millares 13 2 2 2" xfId="717"/>
    <cellStyle name="Millares 13 2 2 2 2" xfId="1893"/>
    <cellStyle name="Millares 13 2 2 3" xfId="1894"/>
    <cellStyle name="Millares 13 2 3" xfId="708"/>
    <cellStyle name="Millares 13 2 3 2" xfId="1895"/>
    <cellStyle name="Millares 13 2 4" xfId="1896"/>
    <cellStyle name="Millares 13 3" xfId="307"/>
    <cellStyle name="Millares 13 3 2" xfId="716"/>
    <cellStyle name="Millares 13 4" xfId="678"/>
    <cellStyle name="Millares 14" xfId="450"/>
    <cellStyle name="Millares 14 2" xfId="784"/>
    <cellStyle name="Millares 15" xfId="630"/>
    <cellStyle name="Millares 15 2" xfId="801"/>
    <cellStyle name="Millares 16" xfId="522"/>
    <cellStyle name="Millares 17" xfId="633"/>
    <cellStyle name="Millares 17 2" xfId="804"/>
    <cellStyle name="Millares 18" xfId="636"/>
    <cellStyle name="Millares 18 2" xfId="807"/>
    <cellStyle name="Millares 19" xfId="643"/>
    <cellStyle name="Millares 19 2" xfId="648"/>
    <cellStyle name="Millares 19 2 2" xfId="819"/>
    <cellStyle name="Millares 19 3" xfId="814"/>
    <cellStyle name="Millares 2" xfId="35"/>
    <cellStyle name="Millares 2 2" xfId="67"/>
    <cellStyle name="Millares 2 2 2" xfId="398"/>
    <cellStyle name="Millares 2 2 2 2" xfId="1897"/>
    <cellStyle name="Millares 2 2 3" xfId="1898"/>
    <cellStyle name="Millares 2 3" xfId="368"/>
    <cellStyle name="Millares 2 3 2" xfId="1899"/>
    <cellStyle name="Millares 2 4" xfId="1900"/>
    <cellStyle name="Millares 3" xfId="36"/>
    <cellStyle name="Millares 3 2" xfId="69"/>
    <cellStyle name="Millares 3 2 2" xfId="400"/>
    <cellStyle name="Millares 3 2 2 2" xfId="1901"/>
    <cellStyle name="Millares 3 2 3" xfId="1902"/>
    <cellStyle name="Millares 3 3" xfId="399"/>
    <cellStyle name="Millares 3 3 2" xfId="1903"/>
    <cellStyle name="Millares 3 4" xfId="369"/>
    <cellStyle name="Millares 3 4 2" xfId="1904"/>
    <cellStyle name="Millares 3 5" xfId="1905"/>
    <cellStyle name="Millares 4" xfId="37"/>
    <cellStyle name="Millares 4 2" xfId="176"/>
    <cellStyle name="Millares 4 2 2" xfId="177"/>
    <cellStyle name="Millares 4 2 2 2" xfId="1906"/>
    <cellStyle name="Millares 4 2 2 2 2" xfId="1907"/>
    <cellStyle name="Millares 4 2 2 3" xfId="1908"/>
    <cellStyle name="Millares 4 2 3" xfId="1909"/>
    <cellStyle name="Millares 4 2 3 2" xfId="1910"/>
    <cellStyle name="Millares 4 2 4" xfId="1911"/>
    <cellStyle name="Millares 4 3" xfId="178"/>
    <cellStyle name="Millares 4 3 2" xfId="179"/>
    <cellStyle name="Millares 4 3 2 2" xfId="1912"/>
    <cellStyle name="Millares 4 3 2 2 2" xfId="1913"/>
    <cellStyle name="Millares 4 3 2 3" xfId="1914"/>
    <cellStyle name="Millares 4 3 3" xfId="1915"/>
    <cellStyle name="Millares 4 3 3 2" xfId="1916"/>
    <cellStyle name="Millares 4 3 4" xfId="1917"/>
    <cellStyle name="Millares 4 4" xfId="180"/>
    <cellStyle name="Millares 4 4 2" xfId="1918"/>
    <cellStyle name="Millares 4 4 2 2" xfId="1919"/>
    <cellStyle name="Millares 4 4 3" xfId="1920"/>
    <cellStyle name="Millares 4 5" xfId="1921"/>
    <cellStyle name="Millares 4 5 2" xfId="1922"/>
    <cellStyle name="Millares 4 6" xfId="1923"/>
    <cellStyle name="Millares 5" xfId="68"/>
    <cellStyle name="Millares 5 2" xfId="78"/>
    <cellStyle name="Millares 5 2 2" xfId="418"/>
    <cellStyle name="Millares 5 2 2 2" xfId="1924"/>
    <cellStyle name="Millares 5 2 3" xfId="1925"/>
    <cellStyle name="Millares 5 3" xfId="401"/>
    <cellStyle name="Millares 5 3 2" xfId="1926"/>
    <cellStyle name="Millares 5 4" xfId="1927"/>
    <cellStyle name="Millares 6" xfId="71"/>
    <cellStyle name="Millares 6 2" xfId="277"/>
    <cellStyle name="Millares 6 2 2" xfId="1928"/>
    <cellStyle name="Millares 6 3" xfId="1929"/>
    <cellStyle name="Millares 7" xfId="77"/>
    <cellStyle name="Millares 7 2" xfId="181"/>
    <cellStyle name="Millares 7 2 10" xfId="1930"/>
    <cellStyle name="Millares 7 2 10 2" xfId="1931"/>
    <cellStyle name="Millares 7 2 11" xfId="1932"/>
    <cellStyle name="Millares 7 2 2" xfId="287"/>
    <cellStyle name="Millares 7 2 2 2" xfId="311"/>
    <cellStyle name="Millares 7 2 2 2 2" xfId="720"/>
    <cellStyle name="Millares 7 2 2 3" xfId="696"/>
    <cellStyle name="Millares 7 2 3" xfId="310"/>
    <cellStyle name="Millares 7 2 3 2" xfId="719"/>
    <cellStyle name="Millares 7 2 3 2 2" xfId="1933"/>
    <cellStyle name="Millares 7 2 3 2 2 2" xfId="1934"/>
    <cellStyle name="Millares 7 2 3 2 2 2 2" xfId="1935"/>
    <cellStyle name="Millares 7 2 3 2 2 3" xfId="1936"/>
    <cellStyle name="Millares 7 2 3 2 3" xfId="1937"/>
    <cellStyle name="Millares 7 2 3 2 3 2" xfId="1938"/>
    <cellStyle name="Millares 7 2 3 2 4" xfId="1939"/>
    <cellStyle name="Millares 7 2 3 3" xfId="1940"/>
    <cellStyle name="Millares 7 2 3 3 2" xfId="1941"/>
    <cellStyle name="Millares 7 2 3 3 2 2" xfId="1942"/>
    <cellStyle name="Millares 7 2 3 3 3" xfId="1943"/>
    <cellStyle name="Millares 7 2 3 4" xfId="1944"/>
    <cellStyle name="Millares 7 2 3 4 2" xfId="1945"/>
    <cellStyle name="Millares 7 2 3 5" xfId="1946"/>
    <cellStyle name="Millares 7 2 4" xfId="371"/>
    <cellStyle name="Millares 7 2 4 2" xfId="768"/>
    <cellStyle name="Millares 7 2 4 2 2" xfId="1947"/>
    <cellStyle name="Millares 7 2 4 2 2 2" xfId="1948"/>
    <cellStyle name="Millares 7 2 4 2 2 2 2" xfId="1949"/>
    <cellStyle name="Millares 7 2 4 2 2 3" xfId="1950"/>
    <cellStyle name="Millares 7 2 4 2 3" xfId="1951"/>
    <cellStyle name="Millares 7 2 4 2 3 2" xfId="1952"/>
    <cellStyle name="Millares 7 2 4 2 4" xfId="1953"/>
    <cellStyle name="Millares 7 2 4 3" xfId="1954"/>
    <cellStyle name="Millares 7 2 4 3 2" xfId="1955"/>
    <cellStyle name="Millares 7 2 4 3 2 2" xfId="1956"/>
    <cellStyle name="Millares 7 2 4 3 3" xfId="1957"/>
    <cellStyle name="Millares 7 2 4 4" xfId="1958"/>
    <cellStyle name="Millares 7 2 4 4 2" xfId="1959"/>
    <cellStyle name="Millares 7 2 4 5" xfId="1960"/>
    <cellStyle name="Millares 7 2 5" xfId="666"/>
    <cellStyle name="Millares 7 2 5 2" xfId="1961"/>
    <cellStyle name="Millares 7 2 5 2 2" xfId="1962"/>
    <cellStyle name="Millares 7 2 5 2 2 2" xfId="1963"/>
    <cellStyle name="Millares 7 2 5 2 2 2 2" xfId="1964"/>
    <cellStyle name="Millares 7 2 5 2 2 3" xfId="1965"/>
    <cellStyle name="Millares 7 2 5 2 3" xfId="1966"/>
    <cellStyle name="Millares 7 2 5 2 3 2" xfId="1967"/>
    <cellStyle name="Millares 7 2 5 2 4" xfId="1968"/>
    <cellStyle name="Millares 7 2 5 3" xfId="1969"/>
    <cellStyle name="Millares 7 2 5 3 2" xfId="1970"/>
    <cellStyle name="Millares 7 2 5 3 2 2" xfId="1971"/>
    <cellStyle name="Millares 7 2 5 3 3" xfId="1972"/>
    <cellStyle name="Millares 7 2 5 4" xfId="1973"/>
    <cellStyle name="Millares 7 2 5 4 2" xfId="1974"/>
    <cellStyle name="Millares 7 2 5 5" xfId="1975"/>
    <cellStyle name="Millares 7 2 6" xfId="1976"/>
    <cellStyle name="Millares 7 2 6 2" xfId="1977"/>
    <cellStyle name="Millares 7 2 6 2 2" xfId="1978"/>
    <cellStyle name="Millares 7 2 6 2 2 2" xfId="1979"/>
    <cellStyle name="Millares 7 2 6 2 2 2 2" xfId="1980"/>
    <cellStyle name="Millares 7 2 6 2 2 3" xfId="1981"/>
    <cellStyle name="Millares 7 2 6 2 3" xfId="1982"/>
    <cellStyle name="Millares 7 2 6 2 3 2" xfId="1983"/>
    <cellStyle name="Millares 7 2 6 2 4" xfId="1984"/>
    <cellStyle name="Millares 7 2 6 3" xfId="1985"/>
    <cellStyle name="Millares 7 2 6 3 2" xfId="1986"/>
    <cellStyle name="Millares 7 2 6 3 2 2" xfId="1987"/>
    <cellStyle name="Millares 7 2 6 3 3" xfId="1988"/>
    <cellStyle name="Millares 7 2 6 4" xfId="1989"/>
    <cellStyle name="Millares 7 2 6 4 2" xfId="1990"/>
    <cellStyle name="Millares 7 2 6 5" xfId="1991"/>
    <cellStyle name="Millares 7 2 7" xfId="1992"/>
    <cellStyle name="Millares 7 2 7 2" xfId="1993"/>
    <cellStyle name="Millares 7 2 7 2 2" xfId="1994"/>
    <cellStyle name="Millares 7 2 7 2 2 2" xfId="1995"/>
    <cellStyle name="Millares 7 2 7 2 2 2 2" xfId="1996"/>
    <cellStyle name="Millares 7 2 7 2 2 3" xfId="1997"/>
    <cellStyle name="Millares 7 2 7 2 3" xfId="1998"/>
    <cellStyle name="Millares 7 2 7 2 3 2" xfId="1999"/>
    <cellStyle name="Millares 7 2 7 2 4" xfId="2000"/>
    <cellStyle name="Millares 7 2 7 3" xfId="2001"/>
    <cellStyle name="Millares 7 2 7 3 2" xfId="2002"/>
    <cellStyle name="Millares 7 2 7 3 2 2" xfId="2003"/>
    <cellStyle name="Millares 7 2 7 3 3" xfId="2004"/>
    <cellStyle name="Millares 7 2 7 4" xfId="2005"/>
    <cellStyle name="Millares 7 2 7 4 2" xfId="2006"/>
    <cellStyle name="Millares 7 2 7 5" xfId="2007"/>
    <cellStyle name="Millares 7 2 8" xfId="2008"/>
    <cellStyle name="Millares 7 2 8 2" xfId="2009"/>
    <cellStyle name="Millares 7 2 8 2 2" xfId="2010"/>
    <cellStyle name="Millares 7 2 8 2 2 2" xfId="2011"/>
    <cellStyle name="Millares 7 2 8 2 3" xfId="2012"/>
    <cellStyle name="Millares 7 2 8 3" xfId="2013"/>
    <cellStyle name="Millares 7 2 8 3 2" xfId="2014"/>
    <cellStyle name="Millares 7 2 8 4" xfId="2015"/>
    <cellStyle name="Millares 7 2 9" xfId="2016"/>
    <cellStyle name="Millares 7 2 9 2" xfId="2017"/>
    <cellStyle name="Millares 7 2 9 2 2" xfId="2018"/>
    <cellStyle name="Millares 7 2 9 3" xfId="2019"/>
    <cellStyle name="Millares 7 3" xfId="282"/>
    <cellStyle name="Millares 7 3 2" xfId="312"/>
    <cellStyle name="Millares 7 3 2 2" xfId="721"/>
    <cellStyle name="Millares 7 3 3" xfId="402"/>
    <cellStyle name="Millares 7 3 4" xfId="691"/>
    <cellStyle name="Millares 7 4" xfId="309"/>
    <cellStyle name="Millares 7 4 2" xfId="718"/>
    <cellStyle name="Millares 7 5" xfId="370"/>
    <cellStyle name="Millares 7 6" xfId="661"/>
    <cellStyle name="Millares 8" xfId="182"/>
    <cellStyle name="Millares 8 2" xfId="183"/>
    <cellStyle name="Millares 8 2 2" xfId="2020"/>
    <cellStyle name="Millares 8 2 2 2" xfId="2021"/>
    <cellStyle name="Millares 8 2 3" xfId="2022"/>
    <cellStyle name="Millares 8 3" xfId="184"/>
    <cellStyle name="Millares 8 3 2" xfId="2023"/>
    <cellStyle name="Millares 8 3 2 2" xfId="2024"/>
    <cellStyle name="Millares 8 3 3" xfId="2025"/>
    <cellStyle name="Millares 8 4" xfId="2026"/>
    <cellStyle name="Millares 8 4 2" xfId="2027"/>
    <cellStyle name="Millares 8 5" xfId="2028"/>
    <cellStyle name="Millares 9" xfId="185"/>
    <cellStyle name="Millares 9 2" xfId="403"/>
    <cellStyle name="Millares 9 2 2" xfId="2029"/>
    <cellStyle name="Millares 9 3" xfId="2030"/>
    <cellStyle name="Millares_ACADÉMICOS 2003-2007 v2" xfId="831"/>
    <cellStyle name="Moneda 2" xfId="38"/>
    <cellStyle name="Moneda 2 2" xfId="186"/>
    <cellStyle name="Moneda 2 2 2" xfId="187"/>
    <cellStyle name="Moneda 2 2 2 2" xfId="2031"/>
    <cellStyle name="Moneda 2 2 2 2 2" xfId="2032"/>
    <cellStyle name="Moneda 2 2 2 3" xfId="2033"/>
    <cellStyle name="Moneda 2 2 3" xfId="2034"/>
    <cellStyle name="Moneda 2 2 3 2" xfId="2035"/>
    <cellStyle name="Moneda 2 2 4" xfId="2036"/>
    <cellStyle name="Moneda 2 3" xfId="188"/>
    <cellStyle name="Moneda 2 3 2" xfId="189"/>
    <cellStyle name="Moneda 2 3 2 2" xfId="2037"/>
    <cellStyle name="Moneda 2 3 2 2 2" xfId="2038"/>
    <cellStyle name="Moneda 2 3 2 3" xfId="2039"/>
    <cellStyle name="Moneda 2 3 3" xfId="2040"/>
    <cellStyle name="Moneda 2 3 3 2" xfId="2041"/>
    <cellStyle name="Moneda 2 3 4" xfId="2042"/>
    <cellStyle name="Moneda 2 4" xfId="190"/>
    <cellStyle name="Moneda 2 4 2" xfId="2043"/>
    <cellStyle name="Moneda 2 4 2 2" xfId="2044"/>
    <cellStyle name="Moneda 2 4 3" xfId="2045"/>
    <cellStyle name="Moneda 2 5" xfId="2046"/>
    <cellStyle name="Moneda 2 5 2" xfId="2047"/>
    <cellStyle name="Moneda 2 6" xfId="2048"/>
    <cellStyle name="Moneda 2 6 2" xfId="2049"/>
    <cellStyle name="Moneda 2 7" xfId="2050"/>
    <cellStyle name="Moneda 3" xfId="191"/>
    <cellStyle name="Moneda 3 2" xfId="404"/>
    <cellStyle name="Moneda 3 2 2" xfId="2051"/>
    <cellStyle name="Moneda 3 3" xfId="2052"/>
    <cellStyle name="Moneda 4" xfId="192"/>
    <cellStyle name="Moneda 4 2" xfId="193"/>
    <cellStyle name="Moneda 4 2 2" xfId="2053"/>
    <cellStyle name="Moneda 4 2 2 2" xfId="2054"/>
    <cellStyle name="Moneda 4 2 3" xfId="2055"/>
    <cellStyle name="Moneda 4 3" xfId="2056"/>
    <cellStyle name="Moneda 4 3 2" xfId="2057"/>
    <cellStyle name="Moneda 4 4" xfId="2058"/>
    <cellStyle name="Moneda 5" xfId="264"/>
    <cellStyle name="Moneda 5 2" xfId="2059"/>
    <cellStyle name="Moneda 5 2 2" xfId="2060"/>
    <cellStyle name="Moneda 5 2 2 2" xfId="2061"/>
    <cellStyle name="Moneda 5 2 2 2 2" xfId="2062"/>
    <cellStyle name="Moneda 5 2 2 2 2 2" xfId="2063"/>
    <cellStyle name="Moneda 5 2 2 2 3" xfId="2064"/>
    <cellStyle name="Moneda 5 2 2 3" xfId="2065"/>
    <cellStyle name="Moneda 5 2 2 3 2" xfId="2066"/>
    <cellStyle name="Moneda 5 2 2 4" xfId="2067"/>
    <cellStyle name="Moneda 5 2 3" xfId="2068"/>
    <cellStyle name="Moneda 5 2 3 2" xfId="2069"/>
    <cellStyle name="Moneda 5 2 3 2 2" xfId="2070"/>
    <cellStyle name="Moneda 5 2 3 3" xfId="2071"/>
    <cellStyle name="Moneda 5 2 4" xfId="2072"/>
    <cellStyle name="Moneda 5 2 4 2" xfId="2073"/>
    <cellStyle name="Moneda 5 2 5" xfId="2074"/>
    <cellStyle name="Moneda 5 3" xfId="2075"/>
    <cellStyle name="Moneda 5 3 2" xfId="2076"/>
    <cellStyle name="Moneda 5 3 2 2" xfId="2077"/>
    <cellStyle name="Moneda 5 3 2 2 2" xfId="2078"/>
    <cellStyle name="Moneda 5 3 2 3" xfId="2079"/>
    <cellStyle name="Moneda 5 3 3" xfId="2080"/>
    <cellStyle name="Moneda 5 3 3 2" xfId="2081"/>
    <cellStyle name="Moneda 5 3 4" xfId="2082"/>
    <cellStyle name="Moneda 5 4" xfId="2083"/>
    <cellStyle name="Moneda 5 4 2" xfId="2084"/>
    <cellStyle name="Moneda 5 5" xfId="2085"/>
    <cellStyle name="Moneda 6" xfId="2086"/>
    <cellStyle name="Moneda 6 2" xfId="2087"/>
    <cellStyle name="Moneda 7" xfId="2088"/>
    <cellStyle name="Moneda 7 2" xfId="2089"/>
    <cellStyle name="Moneda 7 2 2" xfId="2090"/>
    <cellStyle name="Moneda 7 2 2 2" xfId="2091"/>
    <cellStyle name="Moneda 7 2 3" xfId="2092"/>
    <cellStyle name="Moneda 7 3" xfId="2093"/>
    <cellStyle name="Moneda 7 3 2" xfId="2094"/>
    <cellStyle name="Moneda 7 4" xfId="2095"/>
    <cellStyle name="Moneda 8" xfId="2096"/>
    <cellStyle name="Moneda 8 2" xfId="2097"/>
    <cellStyle name="Neutral" xfId="39" builtinId="28" customBuiltin="1"/>
    <cellStyle name="Neutral 2" xfId="194"/>
    <cellStyle name="Neutral 3" xfId="265"/>
    <cellStyle name="Normal" xfId="0" builtinId="0"/>
    <cellStyle name="Normal - Modelo1" xfId="2098"/>
    <cellStyle name="Normal - Modelo2" xfId="2099"/>
    <cellStyle name="Normal - Modelo3" xfId="2100"/>
    <cellStyle name="Normal - Modelo4" xfId="2101"/>
    <cellStyle name="Normal - Modelo5" xfId="2102"/>
    <cellStyle name="Normal - Modelo6" xfId="2103"/>
    <cellStyle name="Normal - Modelo7" xfId="2104"/>
    <cellStyle name="Normal - Modelo8" xfId="2105"/>
    <cellStyle name="Normal 10" xfId="76"/>
    <cellStyle name="Normal 10 10" xfId="650"/>
    <cellStyle name="Normal 10 10 2" xfId="821"/>
    <cellStyle name="Normal 10 10 3" xfId="2106"/>
    <cellStyle name="Normal 10 10 4" xfId="2107"/>
    <cellStyle name="Normal 10 10 5" xfId="2108"/>
    <cellStyle name="Normal 10 11" xfId="2109"/>
    <cellStyle name="Normal 10 2" xfId="195"/>
    <cellStyle name="Normal 10 2 10" xfId="2110"/>
    <cellStyle name="Normal 10 2 2" xfId="288"/>
    <cellStyle name="Normal 10 2 2 2" xfId="315"/>
    <cellStyle name="Normal 10 2 2 2 2" xfId="724"/>
    <cellStyle name="Normal 10 2 2 2 2 2" xfId="2111"/>
    <cellStyle name="Normal 10 2 2 2 2 2 2" xfId="2112"/>
    <cellStyle name="Normal 10 2 2 2 2 3" xfId="2113"/>
    <cellStyle name="Normal 10 2 2 2 3" xfId="2114"/>
    <cellStyle name="Normal 10 2 2 2 3 2" xfId="2115"/>
    <cellStyle name="Normal 10 2 2 2 3 2 2" xfId="2116"/>
    <cellStyle name="Normal 10 2 2 2 3 2 2 2" xfId="2117"/>
    <cellStyle name="Normal 10 2 2 2 3 2 3" xfId="2118"/>
    <cellStyle name="Normal 10 2 2 2 3 3" xfId="2119"/>
    <cellStyle name="Normal 10 2 2 2 3 3 2" xfId="2120"/>
    <cellStyle name="Normal 10 2 2 2 3 4" xfId="2121"/>
    <cellStyle name="Normal 10 2 2 2 4" xfId="2122"/>
    <cellStyle name="Normal 10 2 2 2 4 2" xfId="2123"/>
    <cellStyle name="Normal 10 2 2 2 5" xfId="2124"/>
    <cellStyle name="Normal 10 2 2 3" xfId="697"/>
    <cellStyle name="Normal 10 2 2 3 2" xfId="2125"/>
    <cellStyle name="Normal 10 2 2 3 2 2" xfId="2126"/>
    <cellStyle name="Normal 10 2 2 3 2 2 2" xfId="2127"/>
    <cellStyle name="Normal 10 2 2 3 2 2 2 2" xfId="2128"/>
    <cellStyle name="Normal 10 2 2 3 2 2 3" xfId="2129"/>
    <cellStyle name="Normal 10 2 2 3 2 3" xfId="2130"/>
    <cellStyle name="Normal 10 2 2 3 2 3 2" xfId="2131"/>
    <cellStyle name="Normal 10 2 2 3 2 4" xfId="2132"/>
    <cellStyle name="Normal 10 2 2 3 3" xfId="2133"/>
    <cellStyle name="Normal 10 2 2 3 3 2" xfId="2134"/>
    <cellStyle name="Normal 10 2 2 3 4" xfId="2135"/>
    <cellStyle name="Normal 10 2 2 4" xfId="2136"/>
    <cellStyle name="Normal 10 2 2 4 2" xfId="2137"/>
    <cellStyle name="Normal 10 2 2 5" xfId="2138"/>
    <cellStyle name="Normal 10 2 3" xfId="314"/>
    <cellStyle name="Normal 10 2 3 2" xfId="723"/>
    <cellStyle name="Normal 10 2 3 2 2" xfId="2139"/>
    <cellStyle name="Normal 10 2 3 2 2 2" xfId="2140"/>
    <cellStyle name="Normal 10 2 3 2 3" xfId="2141"/>
    <cellStyle name="Normal 10 2 3 3" xfId="2142"/>
    <cellStyle name="Normal 10 2 3 3 2" xfId="2143"/>
    <cellStyle name="Normal 10 2 3 4" xfId="2144"/>
    <cellStyle name="Normal 10 2 4" xfId="373"/>
    <cellStyle name="Normal 10 2 4 2" xfId="770"/>
    <cellStyle name="Normal 10 2 4 2 2" xfId="2145"/>
    <cellStyle name="Normal 10 2 4 2 2 2" xfId="2146"/>
    <cellStyle name="Normal 10 2 4 2 3" xfId="2147"/>
    <cellStyle name="Normal 10 2 4 3" xfId="2148"/>
    <cellStyle name="Normal 10 2 4 3 2" xfId="2149"/>
    <cellStyle name="Normal 10 2 4 4" xfId="2150"/>
    <cellStyle name="Normal 10 2 5" xfId="667"/>
    <cellStyle name="Normal 10 2 5 2" xfId="2151"/>
    <cellStyle name="Normal 10 2 5 2 2" xfId="2152"/>
    <cellStyle name="Normal 10 2 5 2 2 2" xfId="2153"/>
    <cellStyle name="Normal 10 2 5 2 3" xfId="2154"/>
    <cellStyle name="Normal 10 2 5 3" xfId="2155"/>
    <cellStyle name="Normal 10 2 5 3 2" xfId="2156"/>
    <cellStyle name="Normal 10 2 5 4" xfId="2157"/>
    <cellStyle name="Normal 10 2 6" xfId="2158"/>
    <cellStyle name="Normal 10 2 6 2" xfId="2159"/>
    <cellStyle name="Normal 10 2 6 2 2" xfId="2160"/>
    <cellStyle name="Normal 10 2 6 2 2 2" xfId="2161"/>
    <cellStyle name="Normal 10 2 6 2 3" xfId="2162"/>
    <cellStyle name="Normal 10 2 6 3" xfId="2163"/>
    <cellStyle name="Normal 10 2 6 3 2" xfId="2164"/>
    <cellStyle name="Normal 10 2 6 4" xfId="2165"/>
    <cellStyle name="Normal 10 2 7" xfId="2166"/>
    <cellStyle name="Normal 10 2 7 2" xfId="2167"/>
    <cellStyle name="Normal 10 2 7 2 2" xfId="2168"/>
    <cellStyle name="Normal 10 2 7 2 2 2" xfId="2169"/>
    <cellStyle name="Normal 10 2 7 2 3" xfId="2170"/>
    <cellStyle name="Normal 10 2 7 3" xfId="2171"/>
    <cellStyle name="Normal 10 2 7 3 2" xfId="2172"/>
    <cellStyle name="Normal 10 2 7 4" xfId="2173"/>
    <cellStyle name="Normal 10 2 8" xfId="2174"/>
    <cellStyle name="Normal 10 2 8 2" xfId="2175"/>
    <cellStyle name="Normal 10 2 8 2 2" xfId="2176"/>
    <cellStyle name="Normal 10 2 8 3" xfId="2177"/>
    <cellStyle name="Normal 10 2 9" xfId="2178"/>
    <cellStyle name="Normal 10 2 9 2" xfId="2179"/>
    <cellStyle name="Normal 10 3" xfId="281"/>
    <cellStyle name="Normal 10 3 2" xfId="316"/>
    <cellStyle name="Normal 10 3 2 2" xfId="725"/>
    <cellStyle name="Normal 10 3 2 2 2" xfId="2180"/>
    <cellStyle name="Normal 10 3 2 3" xfId="2181"/>
    <cellStyle name="Normal 10 3 3" xfId="690"/>
    <cellStyle name="Normal 10 3 3 2" xfId="2182"/>
    <cellStyle name="Normal 10 3 4" xfId="2183"/>
    <cellStyle name="Normal 10 4" xfId="313"/>
    <cellStyle name="Normal 10 4 2" xfId="722"/>
    <cellStyle name="Normal 10 4 2 2" xfId="2184"/>
    <cellStyle name="Normal 10 4 2 2 2" xfId="2185"/>
    <cellStyle name="Normal 10 4 2 3" xfId="2186"/>
    <cellStyle name="Normal 10 4 3" xfId="2187"/>
    <cellStyle name="Normal 10 4 3 2" xfId="2188"/>
    <cellStyle name="Normal 10 4 3 2 2" xfId="2189"/>
    <cellStyle name="Normal 10 4 3 2 2 2" xfId="2190"/>
    <cellStyle name="Normal 10 4 3 2 2 2 2" xfId="2191"/>
    <cellStyle name="Normal 10 4 3 2 2 2 2 2" xfId="2192"/>
    <cellStyle name="Normal 10 4 3 2 2 2 3" xfId="2193"/>
    <cellStyle name="Normal 10 4 3 2 2 3" xfId="2194"/>
    <cellStyle name="Normal 10 4 3 2 2 3 2" xfId="2195"/>
    <cellStyle name="Normal 10 4 3 2 2 3 2 2" xfId="2196"/>
    <cellStyle name="Normal 10 4 3 2 2 3 3" xfId="2197"/>
    <cellStyle name="Normal 10 4 3 2 2 4" xfId="2198"/>
    <cellStyle name="Normal 10 4 3 2 2 4 2" xfId="2199"/>
    <cellStyle name="Normal 10 4 3 2 2 4 2 2" xfId="2200"/>
    <cellStyle name="Normal 10 4 3 2 2 4 3" xfId="2201"/>
    <cellStyle name="Normal 10 4 3 2 2 5" xfId="2202"/>
    <cellStyle name="Normal 10 4 3 2 2 5 2" xfId="2203"/>
    <cellStyle name="Normal 10 4 3 2 2 6" xfId="2204"/>
    <cellStyle name="Normal 10 4 3 2 2 6 2" xfId="2205"/>
    <cellStyle name="Normal 10 4 3 2 3" xfId="2206"/>
    <cellStyle name="Normal 10 4 3 2 3 2" xfId="2207"/>
    <cellStyle name="Normal 10 4 3 2 4" xfId="2208"/>
    <cellStyle name="Normal 10 4 3 3" xfId="2209"/>
    <cellStyle name="Normal 10 4 3 3 2" xfId="2210"/>
    <cellStyle name="Normal 10 4 3 4" xfId="2211"/>
    <cellStyle name="Normal 10 4 4" xfId="2212"/>
    <cellStyle name="Normal 10 4 4 2" xfId="2213"/>
    <cellStyle name="Normal 10 4 5" xfId="2214"/>
    <cellStyle name="Normal 10 5" xfId="372"/>
    <cellStyle name="Normal 10 5 2" xfId="769"/>
    <cellStyle name="Normal 10 5 2 2" xfId="2215"/>
    <cellStyle name="Normal 10 5 2 2 2" xfId="2216"/>
    <cellStyle name="Normal 10 5 2 3" xfId="2217"/>
    <cellStyle name="Normal 10 5 3" xfId="2218"/>
    <cellStyle name="Normal 10 5 3 2" xfId="2219"/>
    <cellStyle name="Normal 10 5 4" xfId="2220"/>
    <cellStyle name="Normal 10 6" xfId="660"/>
    <cellStyle name="Normal 10 6 2" xfId="2221"/>
    <cellStyle name="Normal 10 6 2 2" xfId="2222"/>
    <cellStyle name="Normal 10 6 2 2 2" xfId="2223"/>
    <cellStyle name="Normal 10 6 2 3" xfId="2224"/>
    <cellStyle name="Normal 10 6 3" xfId="2225"/>
    <cellStyle name="Normal 10 6 3 2" xfId="2226"/>
    <cellStyle name="Normal 10 6 4" xfId="2227"/>
    <cellStyle name="Normal 10 7" xfId="827"/>
    <cellStyle name="Normal 10 7 2" xfId="2228"/>
    <cellStyle name="Normal 10 7 2 2" xfId="2229"/>
    <cellStyle name="Normal 10 7 2 2 2" xfId="2230"/>
    <cellStyle name="Normal 10 7 2 3" xfId="2231"/>
    <cellStyle name="Normal 10 7 3" xfId="2232"/>
    <cellStyle name="Normal 10 7 3 2" xfId="2233"/>
    <cellStyle name="Normal 10 7 4" xfId="2234"/>
    <cellStyle name="Normal 10 8" xfId="2235"/>
    <cellStyle name="Normal 10 8 2" xfId="2236"/>
    <cellStyle name="Normal 10 8 2 2" xfId="2237"/>
    <cellStyle name="Normal 10 8 2 2 2" xfId="2238"/>
    <cellStyle name="Normal 10 8 2 3" xfId="2239"/>
    <cellStyle name="Normal 10 8 3" xfId="2240"/>
    <cellStyle name="Normal 10 8 3 2" xfId="2241"/>
    <cellStyle name="Normal 10 8 4" xfId="2242"/>
    <cellStyle name="Normal 10 9" xfId="2243"/>
    <cellStyle name="Normal 10 9 2" xfId="2244"/>
    <cellStyle name="Normal 10 9 2 2" xfId="2245"/>
    <cellStyle name="Normal 10 9 3" xfId="2246"/>
    <cellStyle name="Normal 10_ARTURO SSMC110113xls" xfId="2247"/>
    <cellStyle name="Normal 100" xfId="2248"/>
    <cellStyle name="Normal 101" xfId="2249"/>
    <cellStyle name="Normal 102" xfId="2250"/>
    <cellStyle name="Normal 103" xfId="2251"/>
    <cellStyle name="Normal 104" xfId="2252"/>
    <cellStyle name="Normal 105" xfId="2253"/>
    <cellStyle name="Normal 106" xfId="2254"/>
    <cellStyle name="Normal 107" xfId="2255"/>
    <cellStyle name="Normal 108" xfId="2256"/>
    <cellStyle name="Normal 109" xfId="2257"/>
    <cellStyle name="Normal 11" xfId="223"/>
    <cellStyle name="Normal 11 2" xfId="295"/>
    <cellStyle name="Normal 11 2 2" xfId="318"/>
    <cellStyle name="Normal 11 2 2 2" xfId="727"/>
    <cellStyle name="Normal 11 2 2 2 2" xfId="2258"/>
    <cellStyle name="Normal 11 2 2 3" xfId="2259"/>
    <cellStyle name="Normal 11 2 3" xfId="704"/>
    <cellStyle name="Normal 11 2 3 2" xfId="2260"/>
    <cellStyle name="Normal 11 2 4" xfId="2261"/>
    <cellStyle name="Normal 11 3" xfId="317"/>
    <cellStyle name="Normal 11 3 2" xfId="726"/>
    <cellStyle name="Normal 11 4" xfId="374"/>
    <cellStyle name="Normal 11 5" xfId="674"/>
    <cellStyle name="Normal 11_Evolución de becas SEP-UAM-PRONABES" xfId="2262"/>
    <cellStyle name="Normal 110" xfId="2263"/>
    <cellStyle name="Normal 111" xfId="2264"/>
    <cellStyle name="Normal 112" xfId="2265"/>
    <cellStyle name="Normal 113" xfId="2266"/>
    <cellStyle name="Normal 114" xfId="2267"/>
    <cellStyle name="Normal 115" xfId="2268"/>
    <cellStyle name="Normal 116" xfId="2269"/>
    <cellStyle name="Normal 117" xfId="2270"/>
    <cellStyle name="Normal 118" xfId="2271"/>
    <cellStyle name="Normal 119" xfId="2272"/>
    <cellStyle name="Normal 12" xfId="226"/>
    <cellStyle name="Normal 12 2" xfId="298"/>
    <cellStyle name="Normal 12 2 2" xfId="320"/>
    <cellStyle name="Normal 12 2 2 2" xfId="729"/>
    <cellStyle name="Normal 12 2 3" xfId="707"/>
    <cellStyle name="Normal 12 3" xfId="319"/>
    <cellStyle name="Normal 12 3 2" xfId="728"/>
    <cellStyle name="Normal 12 4" xfId="375"/>
    <cellStyle name="Normal 12 5" xfId="677"/>
    <cellStyle name="Normal 120" xfId="2273"/>
    <cellStyle name="Normal 121" xfId="2274"/>
    <cellStyle name="Normal 122" xfId="2275"/>
    <cellStyle name="Normal 123" xfId="2276"/>
    <cellStyle name="Normal 124" xfId="2277"/>
    <cellStyle name="Normal 125" xfId="2278"/>
    <cellStyle name="Normal 126" xfId="3810"/>
    <cellStyle name="Normal 13" xfId="229"/>
    <cellStyle name="Normal 13 2" xfId="321"/>
    <cellStyle name="Normal 13 2 2" xfId="412"/>
    <cellStyle name="Normal 13 2 3" xfId="730"/>
    <cellStyle name="Normal 13 3" xfId="376"/>
    <cellStyle name="Normal 13 4" xfId="679"/>
    <cellStyle name="Normal 13_Evolución de becas SEP-UAM-PRONABES" xfId="2279"/>
    <cellStyle name="Normal 14" xfId="300"/>
    <cellStyle name="Normal 14 2" xfId="322"/>
    <cellStyle name="Normal 14 2 2" xfId="419"/>
    <cellStyle name="Normal 14 2 3" xfId="731"/>
    <cellStyle name="Normal 14 3" xfId="410"/>
    <cellStyle name="Normal 14 4" xfId="451"/>
    <cellStyle name="Normal 14 4 2" xfId="457"/>
    <cellStyle name="Normal 14 4 2 2" xfId="791"/>
    <cellStyle name="Normal 14 4 3" xfId="785"/>
    <cellStyle name="Normal 14 5" xfId="709"/>
    <cellStyle name="Normal 14 6" xfId="2280"/>
    <cellStyle name="Normal 15" xfId="420"/>
    <cellStyle name="Normal 15 2" xfId="458"/>
    <cellStyle name="Normal 15 2 2" xfId="792"/>
    <cellStyle name="Normal 15 2 2 2" xfId="2281"/>
    <cellStyle name="Normal 15 2 2 2 2" xfId="2282"/>
    <cellStyle name="Normal 15 2 2 2 2 2" xfId="2283"/>
    <cellStyle name="Normal 15 2 2 2 3" xfId="2284"/>
    <cellStyle name="Normal 15 2 2 3" xfId="2285"/>
    <cellStyle name="Normal 15 2 2 3 2" xfId="2286"/>
    <cellStyle name="Normal 15 2 2 3 2 2" xfId="2287"/>
    <cellStyle name="Normal 15 2 2 3 2 2 2" xfId="2288"/>
    <cellStyle name="Normal 15 2 2 3 2 3" xfId="2289"/>
    <cellStyle name="Normal 15 2 2 3 3" xfId="2290"/>
    <cellStyle name="Normal 15 2 2 3 3 2" xfId="2291"/>
    <cellStyle name="Normal 15 2 2 3 4" xfId="2292"/>
    <cellStyle name="Normal 15 2 2 4" xfId="2293"/>
    <cellStyle name="Normal 15 2 2 4 2" xfId="2294"/>
    <cellStyle name="Normal 15 2 2 4 2 2" xfId="2295"/>
    <cellStyle name="Normal 15 2 2 4 3" xfId="2296"/>
    <cellStyle name="Normal 15 2 2 5" xfId="2297"/>
    <cellStyle name="Normal 15 2 2 5 2" xfId="2298"/>
    <cellStyle name="Normal 15 2 2 6" xfId="2299"/>
    <cellStyle name="Normal 15 2 3" xfId="2300"/>
    <cellStyle name="Normal 15 2 3 2" xfId="2301"/>
    <cellStyle name="Normal 15 2 3 2 2" xfId="2302"/>
    <cellStyle name="Normal 15 2 3 2 2 2" xfId="2303"/>
    <cellStyle name="Normal 15 2 3 2 2 2 2" xfId="2304"/>
    <cellStyle name="Normal 15 2 3 2 2 2 2 2" xfId="2305"/>
    <cellStyle name="Normal 15 2 3 2 2 2 3" xfId="2306"/>
    <cellStyle name="Normal 15 2 3 2 2 3" xfId="2307"/>
    <cellStyle name="Normal 15 2 3 2 2 3 2" xfId="2308"/>
    <cellStyle name="Normal 15 2 3 2 2 3 2 2" xfId="2309"/>
    <cellStyle name="Normal 15 2 3 2 2 3 3" xfId="2310"/>
    <cellStyle name="Normal 15 2 3 2 2 4" xfId="2311"/>
    <cellStyle name="Normal 15 2 3 2 2 4 2" xfId="2312"/>
    <cellStyle name="Normal 15 2 3 2 2 4 2 2" xfId="2313"/>
    <cellStyle name="Normal 15 2 3 2 2 4 3" xfId="2314"/>
    <cellStyle name="Normal 15 2 3 2 2 5" xfId="2315"/>
    <cellStyle name="Normal 15 2 3 2 2 5 2" xfId="2316"/>
    <cellStyle name="Normal 15 2 3 2 2 6" xfId="2317"/>
    <cellStyle name="Normal 15 2 3 2 3" xfId="2318"/>
    <cellStyle name="Normal 15 2 3 2 3 2" xfId="2319"/>
    <cellStyle name="Normal 15 2 3 2 4" xfId="2320"/>
    <cellStyle name="Normal 15 2 3 3" xfId="2321"/>
    <cellStyle name="Normal 15 2 3 3 2" xfId="2322"/>
    <cellStyle name="Normal 15 2 3 4" xfId="2323"/>
    <cellStyle name="Normal 15 2 4" xfId="2324"/>
    <cellStyle name="Normal 15 2 4 2" xfId="2325"/>
    <cellStyle name="Normal 15 2 5" xfId="2326"/>
    <cellStyle name="Normal 15 3" xfId="2327"/>
    <cellStyle name="Normal 15 4" xfId="2328"/>
    <cellStyle name="Normal 15 5" xfId="2329"/>
    <cellStyle name="Normal 15_Evolución de becas SEP-UAM-PRONABES" xfId="2330"/>
    <cellStyle name="Normal 16" xfId="421"/>
    <cellStyle name="Normal 16 2" xfId="452"/>
    <cellStyle name="Normal 16 2 2" xfId="786"/>
    <cellStyle name="Normal 16_Evolución de becas SEP-UAM-PRONABES" xfId="2331"/>
    <cellStyle name="Normal 17" xfId="350"/>
    <cellStyle name="Normal 17 2" xfId="759"/>
    <cellStyle name="Normal 17 3" xfId="2332"/>
    <cellStyle name="Normal 17_Evolución de becas SEP-UAM-PRONABES" xfId="2333"/>
    <cellStyle name="Normal 18" xfId="448"/>
    <cellStyle name="Normal 18 2" xfId="782"/>
    <cellStyle name="Normal 18_Evolución de becas SEP-UAM-PRONABES" xfId="2334"/>
    <cellStyle name="Normal 19" xfId="449"/>
    <cellStyle name="Normal 19 2" xfId="783"/>
    <cellStyle name="Normal 19 2 2" xfId="2335"/>
    <cellStyle name="Normal 19 3" xfId="2336"/>
    <cellStyle name="Normal 19 4" xfId="2337"/>
    <cellStyle name="Normal 2" xfId="40"/>
    <cellStyle name="Normal 2 2" xfId="66"/>
    <cellStyle name="Normal 2 2 2" xfId="377"/>
    <cellStyle name="Normal 2 2 3" xfId="2338"/>
    <cellStyle name="Normal 2 2_Evolución de becas SEP-UAM-PRONABES" xfId="2339"/>
    <cellStyle name="Normal 2 3" xfId="465"/>
    <cellStyle name="Normal 2 3 2" xfId="796"/>
    <cellStyle name="Normal 2 3 3" xfId="2340"/>
    <cellStyle name="Normal 2 3_Evolución de becas SEP-UAM-PRONABES" xfId="2341"/>
    <cellStyle name="Normal 2 4" xfId="2342"/>
    <cellStyle name="Normal 2 4 2" xfId="2343"/>
    <cellStyle name="Normal 2 4 2 2" xfId="2344"/>
    <cellStyle name="Normal 2 4 2 2 2" xfId="2345"/>
    <cellStyle name="Normal 2 4 2 3" xfId="2346"/>
    <cellStyle name="Normal 2 4 3" xfId="2347"/>
    <cellStyle name="Normal 2 4 3 2" xfId="2348"/>
    <cellStyle name="Normal 2 4 3 2 2" xfId="2349"/>
    <cellStyle name="Normal 2 4 3 3" xfId="2350"/>
    <cellStyle name="Normal 2 4 4" xfId="2351"/>
    <cellStyle name="Normal 2 4 4 2" xfId="2352"/>
    <cellStyle name="Normal 2 4 4 2 2" xfId="2353"/>
    <cellStyle name="Normal 2 4 4 3" xfId="2354"/>
    <cellStyle name="Normal 2 4 5" xfId="2355"/>
    <cellStyle name="Normal 2 4 5 2" xfId="2356"/>
    <cellStyle name="Normal 2 4 5 2 2" xfId="2357"/>
    <cellStyle name="Normal 2 4 5 2 2 2" xfId="2358"/>
    <cellStyle name="Normal 2 4 5 2 3" xfId="2359"/>
    <cellStyle name="Normal 2 4 5 3" xfId="2360"/>
    <cellStyle name="Normal 2 4 5 3 2" xfId="2361"/>
    <cellStyle name="Normal 2 4 5 4" xfId="2362"/>
    <cellStyle name="Normal 2 4 5 5" xfId="2363"/>
    <cellStyle name="Normal 2 4 6" xfId="2364"/>
    <cellStyle name="Normal 2 4 6 2" xfId="2365"/>
    <cellStyle name="Normal 2 4 7" xfId="2366"/>
    <cellStyle name="Normal 2_BASE_POSTULADOS_NOPOSTULADOS_G08_020211(2)" xfId="2367"/>
    <cellStyle name="Normal 20" xfId="459"/>
    <cellStyle name="Normal 20 2" xfId="793"/>
    <cellStyle name="Normal 21" xfId="460"/>
    <cellStyle name="Normal 21 2" xfId="794"/>
    <cellStyle name="Normal 22" xfId="464"/>
    <cellStyle name="Normal 22 2" xfId="795"/>
    <cellStyle name="Normal 23" xfId="466"/>
    <cellStyle name="Normal 23 2" xfId="797"/>
    <cellStyle name="Normal 23 2 2" xfId="2368"/>
    <cellStyle name="Normal 23 3" xfId="2369"/>
    <cellStyle name="Normal 24" xfId="629"/>
    <cellStyle name="Normal 24 2" xfId="800"/>
    <cellStyle name="Normal 25" xfId="631"/>
    <cellStyle name="Normal 25 2" xfId="802"/>
    <cellStyle name="Normal 26" xfId="632"/>
    <cellStyle name="Normal 26 10" xfId="2370"/>
    <cellStyle name="Normal 26 11" xfId="2371"/>
    <cellStyle name="Normal 26 12" xfId="2372"/>
    <cellStyle name="Normal 26 2" xfId="803"/>
    <cellStyle name="Normal 26 2 2" xfId="2373"/>
    <cellStyle name="Normal 26 2 2 2" xfId="2374"/>
    <cellStyle name="Normal 26 2 2 2 2" xfId="2375"/>
    <cellStyle name="Normal 26 2 2 2 2 2" xfId="2376"/>
    <cellStyle name="Normal 26 2 2 2 3" xfId="2377"/>
    <cellStyle name="Normal 26 2 2 3" xfId="2378"/>
    <cellStyle name="Normal 26 2 2 3 2" xfId="2379"/>
    <cellStyle name="Normal 26 2 2 3 2 2" xfId="2380"/>
    <cellStyle name="Normal 26 2 2 3 3" xfId="2381"/>
    <cellStyle name="Normal 26 2 2 4" xfId="2382"/>
    <cellStyle name="Normal 26 2 2 4 2" xfId="2383"/>
    <cellStyle name="Normal 26 2 2 4 2 2" xfId="2384"/>
    <cellStyle name="Normal 26 2 2 4 3" xfId="2385"/>
    <cellStyle name="Normal 26 2 2 5" xfId="2386"/>
    <cellStyle name="Normal 26 2 2 5 2" xfId="2387"/>
    <cellStyle name="Normal 26 2 2 6" xfId="651"/>
    <cellStyle name="Normal 26 2 2 6 2" xfId="822"/>
    <cellStyle name="Normal 26 2 3" xfId="2388"/>
    <cellStyle name="Normal 26 2 3 2" xfId="2389"/>
    <cellStyle name="Normal 26 2 4" xfId="2390"/>
    <cellStyle name="Normal 26 3" xfId="2391"/>
    <cellStyle name="Normal 26 3 2" xfId="2392"/>
    <cellStyle name="Normal 26 3 2 2" xfId="2393"/>
    <cellStyle name="Normal 26 3 3" xfId="2394"/>
    <cellStyle name="Normal 26 4" xfId="2395"/>
    <cellStyle name="Normal 26 4 2" xfId="2396"/>
    <cellStyle name="Normal 26 4 2 2" xfId="2397"/>
    <cellStyle name="Normal 26 4 3" xfId="2398"/>
    <cellStyle name="Normal 26 5" xfId="2399"/>
    <cellStyle name="Normal 26 5 2" xfId="2400"/>
    <cellStyle name="Normal 26 5 2 2" xfId="2401"/>
    <cellStyle name="Normal 26 5 3" xfId="2402"/>
    <cellStyle name="Normal 26 6" xfId="2403"/>
    <cellStyle name="Normal 26 6 2" xfId="2404"/>
    <cellStyle name="Normal 26 6 2 2" xfId="2405"/>
    <cellStyle name="Normal 26 6 3" xfId="2406"/>
    <cellStyle name="Normal 26 7" xfId="2407"/>
    <cellStyle name="Normal 26 7 2" xfId="2408"/>
    <cellStyle name="Normal 26 7 2 2" xfId="2409"/>
    <cellStyle name="Normal 26 7 2 2 2" xfId="2410"/>
    <cellStyle name="Normal 26 7 2 3" xfId="2411"/>
    <cellStyle name="Normal 26 7 3" xfId="2412"/>
    <cellStyle name="Normal 26 7 3 2" xfId="2413"/>
    <cellStyle name="Normal 26 7 4" xfId="2414"/>
    <cellStyle name="Normal 26 8" xfId="2415"/>
    <cellStyle name="Normal 26 8 2" xfId="2416"/>
    <cellStyle name="Normal 26 8 2 2" xfId="2417"/>
    <cellStyle name="Normal 26 8 3" xfId="2418"/>
    <cellStyle name="Normal 26 8 3 2" xfId="2419"/>
    <cellStyle name="Normal 26 9" xfId="2420"/>
    <cellStyle name="Normal 26 9 2" xfId="2421"/>
    <cellStyle name="Normal 27" xfId="635"/>
    <cellStyle name="Normal 27 2" xfId="806"/>
    <cellStyle name="Normal 28" xfId="640"/>
    <cellStyle name="Normal 28 2" xfId="811"/>
    <cellStyle name="Normal 29" xfId="644"/>
    <cellStyle name="Normal 29 2" xfId="646"/>
    <cellStyle name="Normal 29 2 2" xfId="817"/>
    <cellStyle name="Normal 29 2 2 2" xfId="2422"/>
    <cellStyle name="Normal 29 2 2 2 2" xfId="2423"/>
    <cellStyle name="Normal 29 2 2 2 2 2" xfId="2424"/>
    <cellStyle name="Normal 29 2 2 2 3" xfId="2425"/>
    <cellStyle name="Normal 29 2 2 3" xfId="2426"/>
    <cellStyle name="Normal 29 2 2 3 2" xfId="2427"/>
    <cellStyle name="Normal 29 2 2 3 2 2" xfId="2428"/>
    <cellStyle name="Normal 29 2 2 3 3" xfId="2429"/>
    <cellStyle name="Normal 29 2 2 4" xfId="2430"/>
    <cellStyle name="Normal 29 2 2 4 2" xfId="2431"/>
    <cellStyle name="Normal 29 2 2 4 2 2" xfId="2432"/>
    <cellStyle name="Normal 29 2 2 4 3" xfId="2433"/>
    <cellStyle name="Normal 29 2 2 5" xfId="2434"/>
    <cellStyle name="Normal 29 2 2 5 2" xfId="2435"/>
    <cellStyle name="Normal 29 2 2 6" xfId="2436"/>
    <cellStyle name="Normal 29 2 2 7" xfId="2437"/>
    <cellStyle name="Normal 29 2 3" xfId="2438"/>
    <cellStyle name="Normal 29 2 3 2" xfId="2439"/>
    <cellStyle name="Normal 29 2 4" xfId="2440"/>
    <cellStyle name="Normal 29 3" xfId="815"/>
    <cellStyle name="Normal 29 3 2" xfId="2441"/>
    <cellStyle name="Normal 29 4" xfId="2442"/>
    <cellStyle name="Normal 3" xfId="41"/>
    <cellStyle name="Normal 3 10" xfId="2443"/>
    <cellStyle name="Normal 3 11" xfId="2444"/>
    <cellStyle name="Normal 3 12" xfId="2445"/>
    <cellStyle name="Normal 3 12 2" xfId="2446"/>
    <cellStyle name="Normal 3 12 2 2" xfId="2447"/>
    <cellStyle name="Normal 3 12 2 2 2" xfId="2448"/>
    <cellStyle name="Normal 3 12 2 3" xfId="2449"/>
    <cellStyle name="Normal 3 12 3" xfId="2450"/>
    <cellStyle name="Normal 3 12 3 2" xfId="2451"/>
    <cellStyle name="Normal 3 12 3 2 2" xfId="2452"/>
    <cellStyle name="Normal 3 12 3 3" xfId="2453"/>
    <cellStyle name="Normal 3 12 4" xfId="2454"/>
    <cellStyle name="Normal 3 12 4 2" xfId="2455"/>
    <cellStyle name="Normal 3 12 4 2 2" xfId="2456"/>
    <cellStyle name="Normal 3 12 4 2 2 2" xfId="2457"/>
    <cellStyle name="Normal 3 12 4 2 3" xfId="2458"/>
    <cellStyle name="Normal 3 12 4 3" xfId="2459"/>
    <cellStyle name="Normal 3 12 4 3 2" xfId="2460"/>
    <cellStyle name="Normal 3 12 4 3 2 2" xfId="2461"/>
    <cellStyle name="Normal 3 12 4 3 3" xfId="2462"/>
    <cellStyle name="Normal 3 12 4 4" xfId="2463"/>
    <cellStyle name="Normal 3 12 4 4 2" xfId="2464"/>
    <cellStyle name="Normal 3 12 4 4 2 2" xfId="2465"/>
    <cellStyle name="Normal 3 12 4 4 3" xfId="2466"/>
    <cellStyle name="Normal 3 12 4 5" xfId="2467"/>
    <cellStyle name="Normal 3 12 4 5 2" xfId="2468"/>
    <cellStyle name="Normal 3 12 4 6" xfId="2469"/>
    <cellStyle name="Normal 3 12 5" xfId="2470"/>
    <cellStyle name="Normal 3 12 5 2" xfId="2471"/>
    <cellStyle name="Normal 3 12 6" xfId="2472"/>
    <cellStyle name="Normal 3 13" xfId="2473"/>
    <cellStyle name="Normal 3 14" xfId="2474"/>
    <cellStyle name="Normal 3 15" xfId="2475"/>
    <cellStyle name="Normal 3 15 2" xfId="2476"/>
    <cellStyle name="Normal 3 15 2 2" xfId="2477"/>
    <cellStyle name="Normal 3 15 3" xfId="2478"/>
    <cellStyle name="Normal 3 16" xfId="2479"/>
    <cellStyle name="Normal 3 17" xfId="2480"/>
    <cellStyle name="Normal 3 18" xfId="2481"/>
    <cellStyle name="Normal 3 18 2" xfId="2482"/>
    <cellStyle name="Normal 3 19" xfId="2483"/>
    <cellStyle name="Normal 3 2" xfId="196"/>
    <cellStyle name="Normal 3 2 2" xfId="197"/>
    <cellStyle name="Normal 3 2 2 2" xfId="2484"/>
    <cellStyle name="Normal 3 2 2 2 2" xfId="2485"/>
    <cellStyle name="Normal 3 2 2 3" xfId="2486"/>
    <cellStyle name="Normal 3 2 3" xfId="2487"/>
    <cellStyle name="Normal 3 2 3 2" xfId="2488"/>
    <cellStyle name="Normal 3 2 4" xfId="2489"/>
    <cellStyle name="Normal 3 2_ARTURO SSMC110113xls" xfId="2490"/>
    <cellStyle name="Normal 3 3" xfId="198"/>
    <cellStyle name="Normal 3 3 2" xfId="199"/>
    <cellStyle name="Normal 3 3 2 2" xfId="2491"/>
    <cellStyle name="Normal 3 3 2 2 2" xfId="2492"/>
    <cellStyle name="Normal 3 3 2 3" xfId="2493"/>
    <cellStyle name="Normal 3 3 3" xfId="2494"/>
    <cellStyle name="Normal 3 3 3 2" xfId="2495"/>
    <cellStyle name="Normal 3 3 4" xfId="2496"/>
    <cellStyle name="Normal 3 3_ARTURO SSMC110113xls" xfId="2497"/>
    <cellStyle name="Normal 3 4" xfId="200"/>
    <cellStyle name="Normal 3 4 2" xfId="2498"/>
    <cellStyle name="Normal 3 4 2 2" xfId="2499"/>
    <cellStyle name="Normal 3 4 3" xfId="2500"/>
    <cellStyle name="Normal 3 5" xfId="378"/>
    <cellStyle name="Normal 3 5 2" xfId="2501"/>
    <cellStyle name="Normal 3 5 2 2" xfId="2502"/>
    <cellStyle name="Normal 3 5 3" xfId="2503"/>
    <cellStyle name="Normal 3 6" xfId="523"/>
    <cellStyle name="Normal 3 6 2" xfId="798"/>
    <cellStyle name="Normal 3 6 2 2" xfId="2504"/>
    <cellStyle name="Normal 3 6 2 2 2" xfId="2505"/>
    <cellStyle name="Normal 3 6 2 3" xfId="2506"/>
    <cellStyle name="Normal 3 7" xfId="2507"/>
    <cellStyle name="Normal 3 7 2" xfId="2508"/>
    <cellStyle name="Normal 3 7 2 2" xfId="2509"/>
    <cellStyle name="Normal 3 7 2 2 2" xfId="2510"/>
    <cellStyle name="Normal 3 7 2 3" xfId="2511"/>
    <cellStyle name="Normal 3 7 3" xfId="2512"/>
    <cellStyle name="Normal 3 7 3 2" xfId="2513"/>
    <cellStyle name="Normal 3 7 4" xfId="2514"/>
    <cellStyle name="Normal 3 8" xfId="2515"/>
    <cellStyle name="Normal 3 9" xfId="2516"/>
    <cellStyle name="Normal 3_ARTURO SSMC110113xls" xfId="2517"/>
    <cellStyle name="Normal 30" xfId="649"/>
    <cellStyle name="Normal 30 2" xfId="820"/>
    <cellStyle name="Normal 30 2 2" xfId="2518"/>
    <cellStyle name="Normal 30 2 2 2" xfId="2519"/>
    <cellStyle name="Normal 30 2 2 2 2" xfId="2520"/>
    <cellStyle name="Normal 30 2 2 2 2 2" xfId="2521"/>
    <cellStyle name="Normal 30 2 2 2 3" xfId="2522"/>
    <cellStyle name="Normal 30 2 2 3" xfId="2523"/>
    <cellStyle name="Normal 30 2 2 3 2" xfId="2524"/>
    <cellStyle name="Normal 30 2 2 3 2 2" xfId="2525"/>
    <cellStyle name="Normal 30 2 2 3 3" xfId="2526"/>
    <cellStyle name="Normal 30 2 2 4" xfId="2527"/>
    <cellStyle name="Normal 30 2 2 4 2" xfId="2528"/>
    <cellStyle name="Normal 30 2 2 4 2 2" xfId="2529"/>
    <cellStyle name="Normal 30 2 2 4 3" xfId="2530"/>
    <cellStyle name="Normal 30 2 2 5" xfId="2531"/>
    <cellStyle name="Normal 30 2 2 5 2" xfId="2532"/>
    <cellStyle name="Normal 30 2 2 6" xfId="2533"/>
    <cellStyle name="Normal 30 2 2 7" xfId="2534"/>
    <cellStyle name="Normal 30 2 3" xfId="2535"/>
    <cellStyle name="Normal 30 2 3 2" xfId="2536"/>
    <cellStyle name="Normal 30 2 4" xfId="2537"/>
    <cellStyle name="Normal 30 3" xfId="2538"/>
    <cellStyle name="Normal 30 3 2" xfId="2539"/>
    <cellStyle name="Normal 30 4" xfId="2540"/>
    <cellStyle name="Normal 31" xfId="654"/>
    <cellStyle name="Normal 31 2" xfId="825"/>
    <cellStyle name="Normal 32" xfId="655"/>
    <cellStyle name="Normal 32 2" xfId="2541"/>
    <cellStyle name="Normal 32 2 2" xfId="2542"/>
    <cellStyle name="Normal 32 2 2 2" xfId="2543"/>
    <cellStyle name="Normal 32 2 2 2 2" xfId="2544"/>
    <cellStyle name="Normal 32 2 2 2 2 2" xfId="2545"/>
    <cellStyle name="Normal 32 2 2 2 2 2 2" xfId="2546"/>
    <cellStyle name="Normal 32 2 2 2 2 3" xfId="2547"/>
    <cellStyle name="Normal 32 2 2 2 3" xfId="2548"/>
    <cellStyle name="Normal 32 2 2 2 3 2" xfId="2549"/>
    <cellStyle name="Normal 32 2 2 2 3 2 2" xfId="2550"/>
    <cellStyle name="Normal 32 2 2 2 3 3" xfId="2551"/>
    <cellStyle name="Normal 32 2 2 2 4" xfId="2552"/>
    <cellStyle name="Normal 32 2 2 2 4 2" xfId="2553"/>
    <cellStyle name="Normal 32 2 2 2 4 2 2" xfId="2554"/>
    <cellStyle name="Normal 32 2 2 2 4 3" xfId="2555"/>
    <cellStyle name="Normal 32 2 2 2 5" xfId="2556"/>
    <cellStyle name="Normal 32 2 2 2 5 2" xfId="2557"/>
    <cellStyle name="Normal 32 2 2 2 6" xfId="2558"/>
    <cellStyle name="Normal 32 2 2 2 7" xfId="2559"/>
    <cellStyle name="Normal 32 2 2 3" xfId="2560"/>
    <cellStyle name="Normal 32 2 2 3 2" xfId="2561"/>
    <cellStyle name="Normal 32 2 2 4" xfId="2562"/>
    <cellStyle name="Normal 32 2 3" xfId="2563"/>
    <cellStyle name="Normal 32 2 3 2" xfId="2564"/>
    <cellStyle name="Normal 32 2 4" xfId="2565"/>
    <cellStyle name="Normal 32 3" xfId="2566"/>
    <cellStyle name="Normal 32 3 2" xfId="2567"/>
    <cellStyle name="Normal 32 4" xfId="2568"/>
    <cellStyle name="Normal 33" xfId="828"/>
    <cellStyle name="Normal 33 2" xfId="2569"/>
    <cellStyle name="Normal 33 2 2" xfId="2570"/>
    <cellStyle name="Normal 33 2 2 2" xfId="2571"/>
    <cellStyle name="Normal 33 2 2 2 2" xfId="2572"/>
    <cellStyle name="Normal 33 2 2 2 2 2" xfId="2573"/>
    <cellStyle name="Normal 33 2 2 2 3" xfId="2574"/>
    <cellStyle name="Normal 33 2 2 3" xfId="2575"/>
    <cellStyle name="Normal 33 2 2 3 2" xfId="2576"/>
    <cellStyle name="Normal 33 2 2 3 2 2" xfId="2577"/>
    <cellStyle name="Normal 33 2 2 3 3" xfId="2578"/>
    <cellStyle name="Normal 33 2 2 4" xfId="2579"/>
    <cellStyle name="Normal 33 2 2 4 2" xfId="2580"/>
    <cellStyle name="Normal 33 2 2 4 2 2" xfId="2581"/>
    <cellStyle name="Normal 33 2 2 4 3" xfId="2582"/>
    <cellStyle name="Normal 33 2 2 5" xfId="2583"/>
    <cellStyle name="Normal 33 2 2 5 2" xfId="2584"/>
    <cellStyle name="Normal 33 2 2 6" xfId="2585"/>
    <cellStyle name="Normal 33 2 2 6 2" xfId="2586"/>
    <cellStyle name="Normal 33 2 2 6 2 2" xfId="2587"/>
    <cellStyle name="Normal 33 2 2 7" xfId="2588"/>
    <cellStyle name="Normal 33 2 3" xfId="2589"/>
    <cellStyle name="Normal 33 2 3 2" xfId="2590"/>
    <cellStyle name="Normal 33 2 4" xfId="2591"/>
    <cellStyle name="Normal 33 3" xfId="2592"/>
    <cellStyle name="Normal 33 3 2" xfId="2593"/>
    <cellStyle name="Normal 33 4" xfId="2594"/>
    <cellStyle name="Normal 34" xfId="830"/>
    <cellStyle name="Normal 34 2" xfId="2595"/>
    <cellStyle name="Normal 34 2 2" xfId="2596"/>
    <cellStyle name="Normal 34 2 2 2" xfId="2597"/>
    <cellStyle name="Normal 34 2 2 2 2" xfId="2598"/>
    <cellStyle name="Normal 34 2 2 3" xfId="2599"/>
    <cellStyle name="Normal 34 2 3" xfId="2600"/>
    <cellStyle name="Normal 34 2 3 10" xfId="2601"/>
    <cellStyle name="Normal 34 2 3 2" xfId="2602"/>
    <cellStyle name="Normal 34 2 3 2 2" xfId="2603"/>
    <cellStyle name="Normal 34 2 3 2 2 2" xfId="2604"/>
    <cellStyle name="Normal 34 2 3 2 3" xfId="2605"/>
    <cellStyle name="Normal 34 2 3 3" xfId="2606"/>
    <cellStyle name="Normal 34 2 3 3 2" xfId="2607"/>
    <cellStyle name="Normal 34 2 3 3 2 2" xfId="2608"/>
    <cellStyle name="Normal 34 2 3 3 3" xfId="2609"/>
    <cellStyle name="Normal 34 2 3 4" xfId="2610"/>
    <cellStyle name="Normal 34 2 3 4 2" xfId="2611"/>
    <cellStyle name="Normal 34 2 3 4 2 2" xfId="2612"/>
    <cellStyle name="Normal 34 2 3 4 3" xfId="2613"/>
    <cellStyle name="Normal 34 2 3 5" xfId="2614"/>
    <cellStyle name="Normal 34 2 3 5 2" xfId="2615"/>
    <cellStyle name="Normal 34 2 3 6" xfId="2616"/>
    <cellStyle name="Normal 34 2 3 7" xfId="2617"/>
    <cellStyle name="Normal 34 2 3 8" xfId="2618"/>
    <cellStyle name="Normal 34 2 3 9" xfId="2619"/>
    <cellStyle name="Normal 34 2 4" xfId="2620"/>
    <cellStyle name="Normal 34 2 4 2" xfId="2621"/>
    <cellStyle name="Normal 34 2 5" xfId="2622"/>
    <cellStyle name="Normal 34 3" xfId="2623"/>
    <cellStyle name="Normal 34 3 2" xfId="2624"/>
    <cellStyle name="Normal 34 4" xfId="2625"/>
    <cellStyle name="Normal 35" xfId="832"/>
    <cellStyle name="Normal 35 2" xfId="2626"/>
    <cellStyle name="Normal 35 2 2" xfId="2627"/>
    <cellStyle name="Normal 35 2 2 2" xfId="2628"/>
    <cellStyle name="Normal 35 2 2 2 2" xfId="2629"/>
    <cellStyle name="Normal 35 2 2 2 2 2" xfId="2630"/>
    <cellStyle name="Normal 35 2 2 2 3" xfId="2631"/>
    <cellStyle name="Normal 35 2 2 3" xfId="2632"/>
    <cellStyle name="Normal 35 2 2 3 2" xfId="2633"/>
    <cellStyle name="Normal 35 2 2 3 2 2" xfId="2634"/>
    <cellStyle name="Normal 35 2 2 3 3" xfId="2635"/>
    <cellStyle name="Normal 35 2 2 4" xfId="2636"/>
    <cellStyle name="Normal 35 2 2 4 2" xfId="2637"/>
    <cellStyle name="Normal 35 2 2 4 2 2" xfId="2638"/>
    <cellStyle name="Normal 35 2 2 4 3" xfId="2639"/>
    <cellStyle name="Normal 35 2 2 5" xfId="2640"/>
    <cellStyle name="Normal 35 2 2 5 2" xfId="2641"/>
    <cellStyle name="Normal 35 2 2 6" xfId="2642"/>
    <cellStyle name="Normal 35 2 3" xfId="2643"/>
    <cellStyle name="Normal 35 2 3 2" xfId="2644"/>
    <cellStyle name="Normal 35 2 4" xfId="2645"/>
    <cellStyle name="Normal 35 3" xfId="2646"/>
    <cellStyle name="Normal 35 3 2" xfId="2647"/>
    <cellStyle name="Normal 35 4" xfId="2648"/>
    <cellStyle name="Normal 36" xfId="833"/>
    <cellStyle name="Normal 36 2" xfId="2649"/>
    <cellStyle name="Normal 36 2 2" xfId="2650"/>
    <cellStyle name="Normal 36 2 2 2" xfId="2651"/>
    <cellStyle name="Normal 36 2 3" xfId="2652"/>
    <cellStyle name="Normal 36 3" xfId="2653"/>
    <cellStyle name="Normal 36 3 2" xfId="2654"/>
    <cellStyle name="Normal 36 3 2 2" xfId="2655"/>
    <cellStyle name="Normal 36 3 2 2 2" xfId="2656"/>
    <cellStyle name="Normal 36 3 2 3" xfId="2657"/>
    <cellStyle name="Normal 36 3 3" xfId="2658"/>
    <cellStyle name="Normal 36 3 3 2" xfId="2659"/>
    <cellStyle name="Normal 36 3 3 2 2" xfId="2660"/>
    <cellStyle name="Normal 36 3 3 3" xfId="2661"/>
    <cellStyle name="Normal 36 3 4" xfId="2662"/>
    <cellStyle name="Normal 36 3 4 2" xfId="2663"/>
    <cellStyle name="Normal 36 3 4 2 2" xfId="2664"/>
    <cellStyle name="Normal 36 3 4 3" xfId="2665"/>
    <cellStyle name="Normal 36 3 5" xfId="2666"/>
    <cellStyle name="Normal 36 3 5 2" xfId="2667"/>
    <cellStyle name="Normal 36 3 6" xfId="2668"/>
    <cellStyle name="Normal 36 4" xfId="2669"/>
    <cellStyle name="Normal 36 4 2" xfId="2670"/>
    <cellStyle name="Normal 36 5" xfId="2671"/>
    <cellStyle name="Normal 37" xfId="835"/>
    <cellStyle name="Normal 37 2" xfId="2672"/>
    <cellStyle name="Normal 37 2 2" xfId="2673"/>
    <cellStyle name="Normal 37 2 2 2" xfId="2674"/>
    <cellStyle name="Normal 37 2 3" xfId="2675"/>
    <cellStyle name="Normal 37 3" xfId="2676"/>
    <cellStyle name="Normal 37 3 2" xfId="2677"/>
    <cellStyle name="Normal 37 3 2 2" xfId="2678"/>
    <cellStyle name="Normal 37 3 3" xfId="2679"/>
    <cellStyle name="Normal 37 4" xfId="2680"/>
    <cellStyle name="Normal 37 4 2" xfId="2681"/>
    <cellStyle name="Normal 37 4 2 2" xfId="2682"/>
    <cellStyle name="Normal 37 4 3" xfId="2683"/>
    <cellStyle name="Normal 37 5" xfId="2684"/>
    <cellStyle name="Normal 37 5 2" xfId="2685"/>
    <cellStyle name="Normal 37 5 2 2" xfId="2686"/>
    <cellStyle name="Normal 37 5 3" xfId="2687"/>
    <cellStyle name="Normal 37 6" xfId="2688"/>
    <cellStyle name="Normal 37 6 2" xfId="2689"/>
    <cellStyle name="Normal 37 7" xfId="2690"/>
    <cellStyle name="Normal 38" xfId="2691"/>
    <cellStyle name="Normal 38 2" xfId="2692"/>
    <cellStyle name="Normal 38 2 2" xfId="2693"/>
    <cellStyle name="Normal 38 2 2 2" xfId="2694"/>
    <cellStyle name="Normal 38 2 2 2 2" xfId="2695"/>
    <cellStyle name="Normal 38 2 2 3" xfId="2696"/>
    <cellStyle name="Normal 38 2 3" xfId="2697"/>
    <cellStyle name="Normal 38 2 3 2" xfId="2698"/>
    <cellStyle name="Normal 38 2 4" xfId="2699"/>
    <cellStyle name="Normal 38 3" xfId="2700"/>
    <cellStyle name="Normal 38 3 2" xfId="2701"/>
    <cellStyle name="Normal 38 4" xfId="2702"/>
    <cellStyle name="Normal 39" xfId="2703"/>
    <cellStyle name="Normal 39 2" xfId="2704"/>
    <cellStyle name="Normal 39 2 2" xfId="2705"/>
    <cellStyle name="Normal 39 3" xfId="2706"/>
    <cellStyle name="Normal 4" xfId="42"/>
    <cellStyle name="Normal 4 2" xfId="79"/>
    <cellStyle name="Normal 4 2 10" xfId="2707"/>
    <cellStyle name="Normal 4 2 10 2" xfId="2708"/>
    <cellStyle name="Normal 4 2 11" xfId="2709"/>
    <cellStyle name="Normal 4 2 2" xfId="201"/>
    <cellStyle name="Normal 4 2 2 10" xfId="2710"/>
    <cellStyle name="Normal 4 2 2 2" xfId="289"/>
    <cellStyle name="Normal 4 2 2 2 2" xfId="326"/>
    <cellStyle name="Normal 4 2 2 2 2 2" xfId="735"/>
    <cellStyle name="Normal 4 2 2 2 2 2 2" xfId="2711"/>
    <cellStyle name="Normal 4 2 2 2 2 3" xfId="2712"/>
    <cellStyle name="Normal 4 2 2 2 3" xfId="698"/>
    <cellStyle name="Normal 4 2 2 2 3 2" xfId="2713"/>
    <cellStyle name="Normal 4 2 2 2 4" xfId="2714"/>
    <cellStyle name="Normal 4 2 2 3" xfId="325"/>
    <cellStyle name="Normal 4 2 2 3 2" xfId="734"/>
    <cellStyle name="Normal 4 2 2 3 2 2" xfId="2715"/>
    <cellStyle name="Normal 4 2 2 3 2 2 2" xfId="2716"/>
    <cellStyle name="Normal 4 2 2 3 2 3" xfId="2717"/>
    <cellStyle name="Normal 4 2 2 3 3" xfId="2718"/>
    <cellStyle name="Normal 4 2 2 3 3 2" xfId="2719"/>
    <cellStyle name="Normal 4 2 2 3 4" xfId="2720"/>
    <cellStyle name="Normal 4 2 2 4" xfId="381"/>
    <cellStyle name="Normal 4 2 2 4 2" xfId="773"/>
    <cellStyle name="Normal 4 2 2 4 2 2" xfId="2721"/>
    <cellStyle name="Normal 4 2 2 4 2 2 2" xfId="2722"/>
    <cellStyle name="Normal 4 2 2 4 2 3" xfId="2723"/>
    <cellStyle name="Normal 4 2 2 4 3" xfId="2724"/>
    <cellStyle name="Normal 4 2 2 4 3 2" xfId="2725"/>
    <cellStyle name="Normal 4 2 2 4 4" xfId="2726"/>
    <cellStyle name="Normal 4 2 2 5" xfId="668"/>
    <cellStyle name="Normal 4 2 2 5 2" xfId="2727"/>
    <cellStyle name="Normal 4 2 2 5 2 2" xfId="2728"/>
    <cellStyle name="Normal 4 2 2 5 2 2 2" xfId="2729"/>
    <cellStyle name="Normal 4 2 2 5 2 3" xfId="2730"/>
    <cellStyle name="Normal 4 2 2 5 3" xfId="2731"/>
    <cellStyle name="Normal 4 2 2 5 3 2" xfId="2732"/>
    <cellStyle name="Normal 4 2 2 5 4" xfId="2733"/>
    <cellStyle name="Normal 4 2 2 6" xfId="2734"/>
    <cellStyle name="Normal 4 2 2 6 2" xfId="2735"/>
    <cellStyle name="Normal 4 2 2 6 2 2" xfId="2736"/>
    <cellStyle name="Normal 4 2 2 6 2 2 2" xfId="2737"/>
    <cellStyle name="Normal 4 2 2 6 2 3" xfId="2738"/>
    <cellStyle name="Normal 4 2 2 6 3" xfId="2739"/>
    <cellStyle name="Normal 4 2 2 6 3 2" xfId="2740"/>
    <cellStyle name="Normal 4 2 2 6 4" xfId="2741"/>
    <cellStyle name="Normal 4 2 2 7" xfId="2742"/>
    <cellStyle name="Normal 4 2 2 7 2" xfId="2743"/>
    <cellStyle name="Normal 4 2 2 7 2 2" xfId="2744"/>
    <cellStyle name="Normal 4 2 2 7 2 2 2" xfId="2745"/>
    <cellStyle name="Normal 4 2 2 7 2 3" xfId="2746"/>
    <cellStyle name="Normal 4 2 2 7 3" xfId="2747"/>
    <cellStyle name="Normal 4 2 2 7 3 2" xfId="2748"/>
    <cellStyle name="Normal 4 2 2 7 4" xfId="2749"/>
    <cellStyle name="Normal 4 2 2 8" xfId="2750"/>
    <cellStyle name="Normal 4 2 2 8 2" xfId="2751"/>
    <cellStyle name="Normal 4 2 2 8 2 2" xfId="2752"/>
    <cellStyle name="Normal 4 2 2 8 3" xfId="2753"/>
    <cellStyle name="Normal 4 2 2 9" xfId="2754"/>
    <cellStyle name="Normal 4 2 2 9 2" xfId="2755"/>
    <cellStyle name="Normal 4 2 3" xfId="283"/>
    <cellStyle name="Normal 4 2 3 2" xfId="327"/>
    <cellStyle name="Normal 4 2 3 2 2" xfId="736"/>
    <cellStyle name="Normal 4 2 3 2 2 2" xfId="2756"/>
    <cellStyle name="Normal 4 2 3 2 3" xfId="2757"/>
    <cellStyle name="Normal 4 2 3 3" xfId="692"/>
    <cellStyle name="Normal 4 2 3 3 2" xfId="2758"/>
    <cellStyle name="Normal 4 2 3 4" xfId="2759"/>
    <cellStyle name="Normal 4 2 4" xfId="324"/>
    <cellStyle name="Normal 4 2 4 2" xfId="733"/>
    <cellStyle name="Normal 4 2 4 2 2" xfId="2760"/>
    <cellStyle name="Normal 4 2 4 2 2 2" xfId="2761"/>
    <cellStyle name="Normal 4 2 4 2 3" xfId="2762"/>
    <cellStyle name="Normal 4 2 4 3" xfId="2763"/>
    <cellStyle name="Normal 4 2 4 3 2" xfId="2764"/>
    <cellStyle name="Normal 4 2 4 4" xfId="2765"/>
    <cellStyle name="Normal 4 2 5" xfId="380"/>
    <cellStyle name="Normal 4 2 5 2" xfId="772"/>
    <cellStyle name="Normal 4 2 5 2 2" xfId="2766"/>
    <cellStyle name="Normal 4 2 5 2 2 2" xfId="2767"/>
    <cellStyle name="Normal 4 2 5 2 3" xfId="2768"/>
    <cellStyle name="Normal 4 2 5 3" xfId="2769"/>
    <cellStyle name="Normal 4 2 5 3 2" xfId="2770"/>
    <cellStyle name="Normal 4 2 5 4" xfId="2771"/>
    <cellStyle name="Normal 4 2 6" xfId="662"/>
    <cellStyle name="Normal 4 2 6 2" xfId="2772"/>
    <cellStyle name="Normal 4 2 6 2 2" xfId="2773"/>
    <cellStyle name="Normal 4 2 6 2 2 2" xfId="2774"/>
    <cellStyle name="Normal 4 2 6 2 3" xfId="2775"/>
    <cellStyle name="Normal 4 2 6 3" xfId="2776"/>
    <cellStyle name="Normal 4 2 6 3 2" xfId="2777"/>
    <cellStyle name="Normal 4 2 6 4" xfId="2778"/>
    <cellStyle name="Normal 4 2 7" xfId="2779"/>
    <cellStyle name="Normal 4 2 7 2" xfId="2780"/>
    <cellStyle name="Normal 4 2 7 2 2" xfId="2781"/>
    <cellStyle name="Normal 4 2 7 2 2 2" xfId="2782"/>
    <cellStyle name="Normal 4 2 7 2 3" xfId="2783"/>
    <cellStyle name="Normal 4 2 7 3" xfId="2784"/>
    <cellStyle name="Normal 4 2 7 3 2" xfId="2785"/>
    <cellStyle name="Normal 4 2 7 4" xfId="2786"/>
    <cellStyle name="Normal 4 2 8" xfId="2787"/>
    <cellStyle name="Normal 4 2 8 2" xfId="2788"/>
    <cellStyle name="Normal 4 2 8 2 2" xfId="2789"/>
    <cellStyle name="Normal 4 2 8 2 2 2" xfId="2790"/>
    <cellStyle name="Normal 4 2 8 2 3" xfId="2791"/>
    <cellStyle name="Normal 4 2 8 3" xfId="2792"/>
    <cellStyle name="Normal 4 2 8 3 2" xfId="2793"/>
    <cellStyle name="Normal 4 2 8 4" xfId="2794"/>
    <cellStyle name="Normal 4 2 9" xfId="2795"/>
    <cellStyle name="Normal 4 2 9 2" xfId="2796"/>
    <cellStyle name="Normal 4 2 9 2 2" xfId="2797"/>
    <cellStyle name="Normal 4 2 9 3" xfId="2798"/>
    <cellStyle name="Normal 4 2_ARTURO SSMC110113xls" xfId="2799"/>
    <cellStyle name="Normal 4 3" xfId="202"/>
    <cellStyle name="Normal 4 3 10" xfId="2800"/>
    <cellStyle name="Normal 4 3 2" xfId="290"/>
    <cellStyle name="Normal 4 3 2 2" xfId="329"/>
    <cellStyle name="Normal 4 3 2 2 2" xfId="738"/>
    <cellStyle name="Normal 4 3 2 2 2 2" xfId="2801"/>
    <cellStyle name="Normal 4 3 2 2 3" xfId="2802"/>
    <cellStyle name="Normal 4 3 2 3" xfId="699"/>
    <cellStyle name="Normal 4 3 2 3 2" xfId="2803"/>
    <cellStyle name="Normal 4 3 2 4" xfId="2804"/>
    <cellStyle name="Normal 4 3 3" xfId="328"/>
    <cellStyle name="Normal 4 3 3 2" xfId="737"/>
    <cellStyle name="Normal 4 3 3 2 2" xfId="2805"/>
    <cellStyle name="Normal 4 3 3 2 2 2" xfId="2806"/>
    <cellStyle name="Normal 4 3 3 2 3" xfId="2807"/>
    <cellStyle name="Normal 4 3 3 3" xfId="2808"/>
    <cellStyle name="Normal 4 3 3 3 2" xfId="2809"/>
    <cellStyle name="Normal 4 3 3 4" xfId="2810"/>
    <cellStyle name="Normal 4 3 4" xfId="382"/>
    <cellStyle name="Normal 4 3 4 2" xfId="774"/>
    <cellStyle name="Normal 4 3 4 2 2" xfId="2811"/>
    <cellStyle name="Normal 4 3 4 2 2 2" xfId="2812"/>
    <cellStyle name="Normal 4 3 4 2 3" xfId="2813"/>
    <cellStyle name="Normal 4 3 4 3" xfId="2814"/>
    <cellStyle name="Normal 4 3 4 3 2" xfId="2815"/>
    <cellStyle name="Normal 4 3 4 4" xfId="2816"/>
    <cellStyle name="Normal 4 3 5" xfId="669"/>
    <cellStyle name="Normal 4 3 5 2" xfId="2817"/>
    <cellStyle name="Normal 4 3 5 2 2" xfId="2818"/>
    <cellStyle name="Normal 4 3 5 2 2 2" xfId="2819"/>
    <cellStyle name="Normal 4 3 5 2 3" xfId="2820"/>
    <cellStyle name="Normal 4 3 5 3" xfId="2821"/>
    <cellStyle name="Normal 4 3 5 3 2" xfId="2822"/>
    <cellStyle name="Normal 4 3 5 4" xfId="2823"/>
    <cellStyle name="Normal 4 3 6" xfId="2824"/>
    <cellStyle name="Normal 4 3 6 2" xfId="2825"/>
    <cellStyle name="Normal 4 3 6 2 2" xfId="2826"/>
    <cellStyle name="Normal 4 3 6 2 2 2" xfId="2827"/>
    <cellStyle name="Normal 4 3 6 2 3" xfId="2828"/>
    <cellStyle name="Normal 4 3 6 3" xfId="2829"/>
    <cellStyle name="Normal 4 3 6 3 2" xfId="2830"/>
    <cellStyle name="Normal 4 3 6 4" xfId="2831"/>
    <cellStyle name="Normal 4 3 7" xfId="2832"/>
    <cellStyle name="Normal 4 3 7 2" xfId="2833"/>
    <cellStyle name="Normal 4 3 7 2 2" xfId="2834"/>
    <cellStyle name="Normal 4 3 7 2 2 2" xfId="2835"/>
    <cellStyle name="Normal 4 3 7 2 3" xfId="2836"/>
    <cellStyle name="Normal 4 3 7 3" xfId="2837"/>
    <cellStyle name="Normal 4 3 7 3 2" xfId="2838"/>
    <cellStyle name="Normal 4 3 7 4" xfId="2839"/>
    <cellStyle name="Normal 4 3 8" xfId="2840"/>
    <cellStyle name="Normal 4 3 8 2" xfId="2841"/>
    <cellStyle name="Normal 4 3 8 2 2" xfId="2842"/>
    <cellStyle name="Normal 4 3 8 3" xfId="2843"/>
    <cellStyle name="Normal 4 3 9" xfId="2844"/>
    <cellStyle name="Normal 4 3 9 2" xfId="2845"/>
    <cellStyle name="Normal 4 4" xfId="230"/>
    <cellStyle name="Normal 4 4 10" xfId="2846"/>
    <cellStyle name="Normal 4 4 2" xfId="330"/>
    <cellStyle name="Normal 4 4 2 2" xfId="739"/>
    <cellStyle name="Normal 4 4 2 2 2" xfId="2847"/>
    <cellStyle name="Normal 4 4 2 2 2 2" xfId="2848"/>
    <cellStyle name="Normal 4 4 2 2 3" xfId="2849"/>
    <cellStyle name="Normal 4 4 2 3" xfId="2850"/>
    <cellStyle name="Normal 4 4 2 3 2" xfId="2851"/>
    <cellStyle name="Normal 4 4 2 4" xfId="2852"/>
    <cellStyle name="Normal 4 4 3" xfId="379"/>
    <cellStyle name="Normal 4 4 3 2" xfId="771"/>
    <cellStyle name="Normal 4 4 3 2 2" xfId="2853"/>
    <cellStyle name="Normal 4 4 3 2 2 2" xfId="2854"/>
    <cellStyle name="Normal 4 4 3 2 3" xfId="2855"/>
    <cellStyle name="Normal 4 4 3 3" xfId="2856"/>
    <cellStyle name="Normal 4 4 3 3 2" xfId="2857"/>
    <cellStyle name="Normal 4 4 3 4" xfId="2858"/>
    <cellStyle name="Normal 4 4 4" xfId="680"/>
    <cellStyle name="Normal 4 4 4 2" xfId="2859"/>
    <cellStyle name="Normal 4 4 4 2 2" xfId="2860"/>
    <cellStyle name="Normal 4 4 4 2 2 2" xfId="2861"/>
    <cellStyle name="Normal 4 4 4 2 3" xfId="2862"/>
    <cellStyle name="Normal 4 4 4 3" xfId="2863"/>
    <cellStyle name="Normal 4 4 4 3 2" xfId="2864"/>
    <cellStyle name="Normal 4 4 4 4" xfId="2865"/>
    <cellStyle name="Normal 4 4 5" xfId="2866"/>
    <cellStyle name="Normal 4 4 5 2" xfId="2867"/>
    <cellStyle name="Normal 4 4 5 2 2" xfId="2868"/>
    <cellStyle name="Normal 4 4 5 2 2 2" xfId="2869"/>
    <cellStyle name="Normal 4 4 5 2 3" xfId="2870"/>
    <cellStyle name="Normal 4 4 5 3" xfId="2871"/>
    <cellStyle name="Normal 4 4 5 3 2" xfId="2872"/>
    <cellStyle name="Normal 4 4 5 4" xfId="2873"/>
    <cellStyle name="Normal 4 4 6" xfId="2874"/>
    <cellStyle name="Normal 4 4 6 2" xfId="2875"/>
    <cellStyle name="Normal 4 4 6 2 2" xfId="2876"/>
    <cellStyle name="Normal 4 4 6 2 2 2" xfId="2877"/>
    <cellStyle name="Normal 4 4 6 2 3" xfId="2878"/>
    <cellStyle name="Normal 4 4 6 3" xfId="2879"/>
    <cellStyle name="Normal 4 4 6 3 2" xfId="2880"/>
    <cellStyle name="Normal 4 4 6 4" xfId="2881"/>
    <cellStyle name="Normal 4 4 7" xfId="2882"/>
    <cellStyle name="Normal 4 4 7 2" xfId="2883"/>
    <cellStyle name="Normal 4 4 7 2 2" xfId="2884"/>
    <cellStyle name="Normal 4 4 7 2 2 2" xfId="2885"/>
    <cellStyle name="Normal 4 4 7 2 3" xfId="2886"/>
    <cellStyle name="Normal 4 4 7 3" xfId="2887"/>
    <cellStyle name="Normal 4 4 7 3 2" xfId="2888"/>
    <cellStyle name="Normal 4 4 7 4" xfId="2889"/>
    <cellStyle name="Normal 4 4 8" xfId="2890"/>
    <cellStyle name="Normal 4 4 8 2" xfId="2891"/>
    <cellStyle name="Normal 4 4 8 2 2" xfId="2892"/>
    <cellStyle name="Normal 4 4 8 3" xfId="2893"/>
    <cellStyle name="Normal 4 4 9" xfId="2894"/>
    <cellStyle name="Normal 4 4 9 2" xfId="2895"/>
    <cellStyle name="Normal 4 5" xfId="228"/>
    <cellStyle name="Normal 4 6" xfId="323"/>
    <cellStyle name="Normal 4 6 2" xfId="422"/>
    <cellStyle name="Normal 4 6 3" xfId="732"/>
    <cellStyle name="Normal 4 7" xfId="639"/>
    <cellStyle name="Normal 4 7 2" xfId="810"/>
    <cellStyle name="Normal 4 8" xfId="641"/>
    <cellStyle name="Normal 4 8 2" xfId="812"/>
    <cellStyle name="Normal 4 9" xfId="656"/>
    <cellStyle name="Normal 4_Evolución de becas SEP-UAM-PRONABES" xfId="2896"/>
    <cellStyle name="Normal 40" xfId="2897"/>
    <cellStyle name="Normal 40 2" xfId="2898"/>
    <cellStyle name="Normal 40 2 2" xfId="2899"/>
    <cellStyle name="Normal 40 3" xfId="2900"/>
    <cellStyle name="Normal 41" xfId="829"/>
    <cellStyle name="Normal 41 2" xfId="2901"/>
    <cellStyle name="Normal 42" xfId="2902"/>
    <cellStyle name="Normal 42 2" xfId="2903"/>
    <cellStyle name="Normal 43" xfId="2904"/>
    <cellStyle name="Normal 43 2" xfId="2905"/>
    <cellStyle name="Normal 44" xfId="2906"/>
    <cellStyle name="Normal 45" xfId="2907"/>
    <cellStyle name="Normal 46" xfId="2908"/>
    <cellStyle name="Normal 47" xfId="2909"/>
    <cellStyle name="Normal 48" xfId="2910"/>
    <cellStyle name="Normal 49" xfId="2911"/>
    <cellStyle name="Normal 5" xfId="43"/>
    <cellStyle name="Normal 5 2" xfId="266"/>
    <cellStyle name="Normal 5 3" xfId="383"/>
    <cellStyle name="Normal 5 4" xfId="2912"/>
    <cellStyle name="Normal 5_Evolución de becas SEP-UAM-PRONABES" xfId="2913"/>
    <cellStyle name="Normal 50" xfId="2914"/>
    <cellStyle name="Normal 51" xfId="2915"/>
    <cellStyle name="Normal 52" xfId="2916"/>
    <cellStyle name="Normal 53" xfId="2917"/>
    <cellStyle name="Normal 54" xfId="2918"/>
    <cellStyle name="Normal 55" xfId="2919"/>
    <cellStyle name="Normal 56" xfId="2920"/>
    <cellStyle name="Normal 57" xfId="2921"/>
    <cellStyle name="Normal 58" xfId="2922"/>
    <cellStyle name="Normal 59" xfId="2923"/>
    <cellStyle name="Normal 6" xfId="72"/>
    <cellStyle name="Normal 6 2" xfId="203"/>
    <cellStyle name="Normal 6 2 2" xfId="204"/>
    <cellStyle name="Normal 6 2 2 2" xfId="2924"/>
    <cellStyle name="Normal 6 2 2 2 2" xfId="2925"/>
    <cellStyle name="Normal 6 2 2 3" xfId="2926"/>
    <cellStyle name="Normal 6 2 3" xfId="2927"/>
    <cellStyle name="Normal 6 2 3 2" xfId="2928"/>
    <cellStyle name="Normal 6 2 4" xfId="2929"/>
    <cellStyle name="Normal 6 2_ARTURO SSMC110113xls" xfId="2930"/>
    <cellStyle name="Normal 6 3" xfId="205"/>
    <cellStyle name="Normal 6 3 2" xfId="206"/>
    <cellStyle name="Normal 6 3 2 2" xfId="2931"/>
    <cellStyle name="Normal 6 3 2 2 2" xfId="2932"/>
    <cellStyle name="Normal 6 3 2 3" xfId="2933"/>
    <cellStyle name="Normal 6 3 3" xfId="2934"/>
    <cellStyle name="Normal 6 3 3 2" xfId="2935"/>
    <cellStyle name="Normal 6 3 4" xfId="2936"/>
    <cellStyle name="Normal 6 3_ARTURO SSMC110113xls" xfId="2937"/>
    <cellStyle name="Normal 6 4" xfId="207"/>
    <cellStyle name="Normal 6 4 2" xfId="2938"/>
    <cellStyle name="Normal 6 4 2 2" xfId="2939"/>
    <cellStyle name="Normal 6 4 3" xfId="2940"/>
    <cellStyle name="Normal 6 5" xfId="2941"/>
    <cellStyle name="Normal 6 5 2" xfId="2942"/>
    <cellStyle name="Normal 6 6" xfId="2943"/>
    <cellStyle name="Normal 6_ARTURO SSMC110113xls" xfId="2944"/>
    <cellStyle name="Normal 60" xfId="2945"/>
    <cellStyle name="Normal 61" xfId="2946"/>
    <cellStyle name="Normal 62" xfId="2947"/>
    <cellStyle name="Normal 63" xfId="2948"/>
    <cellStyle name="Normal 64" xfId="2949"/>
    <cellStyle name="Normal 65" xfId="2950"/>
    <cellStyle name="Normal 66" xfId="2951"/>
    <cellStyle name="Normal 67" xfId="2952"/>
    <cellStyle name="Normal 68" xfId="2953"/>
    <cellStyle name="Normal 69" xfId="2954"/>
    <cellStyle name="Normal 7" xfId="73"/>
    <cellStyle name="Normal 7 10" xfId="2955"/>
    <cellStyle name="Normal 7 10 2" xfId="2956"/>
    <cellStyle name="Normal 7 11" xfId="2957"/>
    <cellStyle name="Normal 7 2" xfId="208"/>
    <cellStyle name="Normal 7 2 10" xfId="2958"/>
    <cellStyle name="Normal 7 2 2" xfId="291"/>
    <cellStyle name="Normal 7 2 2 2" xfId="333"/>
    <cellStyle name="Normal 7 2 2 2 2" xfId="742"/>
    <cellStyle name="Normal 7 2 2 2 2 2" xfId="2959"/>
    <cellStyle name="Normal 7 2 2 2 3" xfId="2960"/>
    <cellStyle name="Normal 7 2 2 3" xfId="700"/>
    <cellStyle name="Normal 7 2 2 3 2" xfId="2961"/>
    <cellStyle name="Normal 7 2 2 4" xfId="2962"/>
    <cellStyle name="Normal 7 2 3" xfId="332"/>
    <cellStyle name="Normal 7 2 3 2" xfId="741"/>
    <cellStyle name="Normal 7 2 3 2 2" xfId="2963"/>
    <cellStyle name="Normal 7 2 3 2 2 2" xfId="2964"/>
    <cellStyle name="Normal 7 2 3 2 3" xfId="2965"/>
    <cellStyle name="Normal 7 2 3 3" xfId="2966"/>
    <cellStyle name="Normal 7 2 3 3 2" xfId="2967"/>
    <cellStyle name="Normal 7 2 3 4" xfId="2968"/>
    <cellStyle name="Normal 7 2 4" xfId="385"/>
    <cellStyle name="Normal 7 2 4 2" xfId="776"/>
    <cellStyle name="Normal 7 2 4 2 2" xfId="2969"/>
    <cellStyle name="Normal 7 2 4 2 2 2" xfId="2970"/>
    <cellStyle name="Normal 7 2 4 2 3" xfId="2971"/>
    <cellStyle name="Normal 7 2 4 3" xfId="2972"/>
    <cellStyle name="Normal 7 2 4 3 2" xfId="2973"/>
    <cellStyle name="Normal 7 2 4 4" xfId="2974"/>
    <cellStyle name="Normal 7 2 5" xfId="670"/>
    <cellStyle name="Normal 7 2 5 2" xfId="2975"/>
    <cellStyle name="Normal 7 2 5 2 2" xfId="2976"/>
    <cellStyle name="Normal 7 2 5 2 2 2" xfId="2977"/>
    <cellStyle name="Normal 7 2 5 2 3" xfId="2978"/>
    <cellStyle name="Normal 7 2 5 3" xfId="2979"/>
    <cellStyle name="Normal 7 2 5 3 2" xfId="2980"/>
    <cellStyle name="Normal 7 2 5 4" xfId="2981"/>
    <cellStyle name="Normal 7 2 6" xfId="2982"/>
    <cellStyle name="Normal 7 2 6 2" xfId="2983"/>
    <cellStyle name="Normal 7 2 6 2 2" xfId="2984"/>
    <cellStyle name="Normal 7 2 6 2 2 2" xfId="2985"/>
    <cellStyle name="Normal 7 2 6 2 3" xfId="2986"/>
    <cellStyle name="Normal 7 2 6 3" xfId="2987"/>
    <cellStyle name="Normal 7 2 6 3 2" xfId="2988"/>
    <cellStyle name="Normal 7 2 6 4" xfId="2989"/>
    <cellStyle name="Normal 7 2 7" xfId="2990"/>
    <cellStyle name="Normal 7 2 7 2" xfId="2991"/>
    <cellStyle name="Normal 7 2 7 2 2" xfId="2992"/>
    <cellStyle name="Normal 7 2 7 2 2 2" xfId="2993"/>
    <cellStyle name="Normal 7 2 7 2 3" xfId="2994"/>
    <cellStyle name="Normal 7 2 7 3" xfId="2995"/>
    <cellStyle name="Normal 7 2 7 3 2" xfId="2996"/>
    <cellStyle name="Normal 7 2 7 4" xfId="2997"/>
    <cellStyle name="Normal 7 2 8" xfId="2998"/>
    <cellStyle name="Normal 7 2 8 2" xfId="2999"/>
    <cellStyle name="Normal 7 2 8 2 2" xfId="3000"/>
    <cellStyle name="Normal 7 2 8 3" xfId="3001"/>
    <cellStyle name="Normal 7 2 9" xfId="3002"/>
    <cellStyle name="Normal 7 2 9 2" xfId="3003"/>
    <cellStyle name="Normal 7 3" xfId="278"/>
    <cellStyle name="Normal 7 3 2" xfId="334"/>
    <cellStyle name="Normal 7 3 2 2" xfId="743"/>
    <cellStyle name="Normal 7 3 2 2 2" xfId="3004"/>
    <cellStyle name="Normal 7 3 2 3" xfId="3005"/>
    <cellStyle name="Normal 7 3 3" xfId="687"/>
    <cellStyle name="Normal 7 3 3 2" xfId="3006"/>
    <cellStyle name="Normal 7 3 4" xfId="3007"/>
    <cellStyle name="Normal 7 4" xfId="331"/>
    <cellStyle name="Normal 7 4 2" xfId="740"/>
    <cellStyle name="Normal 7 4 2 2" xfId="3008"/>
    <cellStyle name="Normal 7 4 2 2 2" xfId="3009"/>
    <cellStyle name="Normal 7 4 2 3" xfId="3010"/>
    <cellStyle name="Normal 7 4 3" xfId="3011"/>
    <cellStyle name="Normal 7 4 3 2" xfId="3012"/>
    <cellStyle name="Normal 7 4 4" xfId="3013"/>
    <cellStyle name="Normal 7 5" xfId="384"/>
    <cellStyle name="Normal 7 5 2" xfId="775"/>
    <cellStyle name="Normal 7 5 2 2" xfId="3014"/>
    <cellStyle name="Normal 7 5 2 2 2" xfId="3015"/>
    <cellStyle name="Normal 7 5 2 3" xfId="3016"/>
    <cellStyle name="Normal 7 5 3" xfId="3017"/>
    <cellStyle name="Normal 7 5 3 2" xfId="3018"/>
    <cellStyle name="Normal 7 5 4" xfId="3019"/>
    <cellStyle name="Normal 7 6" xfId="642"/>
    <cellStyle name="Normal 7 6 2" xfId="813"/>
    <cellStyle name="Normal 7 6 2 2" xfId="3020"/>
    <cellStyle name="Normal 7 6 2 2 2" xfId="3021"/>
    <cellStyle name="Normal 7 6 2 3" xfId="3022"/>
    <cellStyle name="Normal 7 6 3" xfId="3023"/>
    <cellStyle name="Normal 7 6 3 2" xfId="3024"/>
    <cellStyle name="Normal 7 6 4" xfId="3025"/>
    <cellStyle name="Normal 7 7" xfId="657"/>
    <cellStyle name="Normal 7 7 2" xfId="3026"/>
    <cellStyle name="Normal 7 7 2 2" xfId="3027"/>
    <cellStyle name="Normal 7 7 2 2 2" xfId="3028"/>
    <cellStyle name="Normal 7 7 2 3" xfId="3029"/>
    <cellStyle name="Normal 7 7 3" xfId="3030"/>
    <cellStyle name="Normal 7 7 3 2" xfId="3031"/>
    <cellStyle name="Normal 7 7 4" xfId="3032"/>
    <cellStyle name="Normal 7 8" xfId="3033"/>
    <cellStyle name="Normal 7 8 2" xfId="3034"/>
    <cellStyle name="Normal 7 8 2 2" xfId="3035"/>
    <cellStyle name="Normal 7 8 2 2 2" xfId="3036"/>
    <cellStyle name="Normal 7 8 2 3" xfId="3037"/>
    <cellStyle name="Normal 7 8 3" xfId="3038"/>
    <cellStyle name="Normal 7 8 3 2" xfId="3039"/>
    <cellStyle name="Normal 7 8 4" xfId="3040"/>
    <cellStyle name="Normal 7 9" xfId="3041"/>
    <cellStyle name="Normal 7 9 2" xfId="3042"/>
    <cellStyle name="Normal 7 9 2 2" xfId="3043"/>
    <cellStyle name="Normal 7 9 3" xfId="3044"/>
    <cellStyle name="Normal 7_ARTURO SSMC110113xls" xfId="3045"/>
    <cellStyle name="Normal 70" xfId="3046"/>
    <cellStyle name="Normal 71" xfId="3047"/>
    <cellStyle name="Normal 72" xfId="3048"/>
    <cellStyle name="Normal 73" xfId="3049"/>
    <cellStyle name="Normal 74" xfId="3050"/>
    <cellStyle name="Normal 75" xfId="3051"/>
    <cellStyle name="Normal 76" xfId="3052"/>
    <cellStyle name="Normal 77" xfId="3053"/>
    <cellStyle name="Normal 78" xfId="3054"/>
    <cellStyle name="Normal 79" xfId="3055"/>
    <cellStyle name="Normal 8" xfId="74"/>
    <cellStyle name="Normal 8 2" xfId="209"/>
    <cellStyle name="Normal 8 2 10" xfId="3056"/>
    <cellStyle name="Normal 8 2 2" xfId="292"/>
    <cellStyle name="Normal 8 2 2 2" xfId="337"/>
    <cellStyle name="Normal 8 2 2 2 2" xfId="746"/>
    <cellStyle name="Normal 8 2 2 2 2 2" xfId="3057"/>
    <cellStyle name="Normal 8 2 2 2 3" xfId="3058"/>
    <cellStyle name="Normal 8 2 2 3" xfId="701"/>
    <cellStyle name="Normal 8 2 2 3 2" xfId="3059"/>
    <cellStyle name="Normal 8 2 2 4" xfId="3060"/>
    <cellStyle name="Normal 8 2 3" xfId="336"/>
    <cellStyle name="Normal 8 2 3 2" xfId="745"/>
    <cellStyle name="Normal 8 2 3 2 2" xfId="3061"/>
    <cellStyle name="Normal 8 2 3 2 2 2" xfId="3062"/>
    <cellStyle name="Normal 8 2 3 2 3" xfId="3063"/>
    <cellStyle name="Normal 8 2 3 3" xfId="3064"/>
    <cellStyle name="Normal 8 2 3 3 2" xfId="3065"/>
    <cellStyle name="Normal 8 2 3 4" xfId="3066"/>
    <cellStyle name="Normal 8 2 4" xfId="387"/>
    <cellStyle name="Normal 8 2 4 2" xfId="777"/>
    <cellStyle name="Normal 8 2 4 2 2" xfId="3067"/>
    <cellStyle name="Normal 8 2 4 2 2 2" xfId="3068"/>
    <cellStyle name="Normal 8 2 4 2 3" xfId="3069"/>
    <cellStyle name="Normal 8 2 4 3" xfId="3070"/>
    <cellStyle name="Normal 8 2 4 3 2" xfId="3071"/>
    <cellStyle name="Normal 8 2 4 4" xfId="3072"/>
    <cellStyle name="Normal 8 2 5" xfId="671"/>
    <cellStyle name="Normal 8 2 5 2" xfId="3073"/>
    <cellStyle name="Normal 8 2 5 2 2" xfId="3074"/>
    <cellStyle name="Normal 8 2 5 2 2 2" xfId="3075"/>
    <cellStyle name="Normal 8 2 5 2 3" xfId="3076"/>
    <cellStyle name="Normal 8 2 5 3" xfId="3077"/>
    <cellStyle name="Normal 8 2 5 3 2" xfId="3078"/>
    <cellStyle name="Normal 8 2 5 4" xfId="3079"/>
    <cellStyle name="Normal 8 2 6" xfId="3080"/>
    <cellStyle name="Normal 8 2 6 2" xfId="3081"/>
    <cellStyle name="Normal 8 2 6 2 2" xfId="3082"/>
    <cellStyle name="Normal 8 2 6 2 2 2" xfId="3083"/>
    <cellStyle name="Normal 8 2 6 2 3" xfId="3084"/>
    <cellStyle name="Normal 8 2 6 3" xfId="3085"/>
    <cellStyle name="Normal 8 2 6 3 2" xfId="3086"/>
    <cellStyle name="Normal 8 2 6 4" xfId="3087"/>
    <cellStyle name="Normal 8 2 7" xfId="3088"/>
    <cellStyle name="Normal 8 2 7 2" xfId="3089"/>
    <cellStyle name="Normal 8 2 7 2 2" xfId="3090"/>
    <cellStyle name="Normal 8 2 7 2 2 2" xfId="3091"/>
    <cellStyle name="Normal 8 2 7 2 3" xfId="3092"/>
    <cellStyle name="Normal 8 2 7 3" xfId="3093"/>
    <cellStyle name="Normal 8 2 7 3 2" xfId="3094"/>
    <cellStyle name="Normal 8 2 7 4" xfId="3095"/>
    <cellStyle name="Normal 8 2 8" xfId="3096"/>
    <cellStyle name="Normal 8 2 8 2" xfId="3097"/>
    <cellStyle name="Normal 8 2 8 2 2" xfId="3098"/>
    <cellStyle name="Normal 8 2 8 3" xfId="3099"/>
    <cellStyle name="Normal 8 2 9" xfId="3100"/>
    <cellStyle name="Normal 8 2 9 2" xfId="3101"/>
    <cellStyle name="Normal 8 3" xfId="279"/>
    <cellStyle name="Normal 8 3 2" xfId="338"/>
    <cellStyle name="Normal 8 3 2 2" xfId="747"/>
    <cellStyle name="Normal 8 3 3" xfId="405"/>
    <cellStyle name="Normal 8 3 4" xfId="688"/>
    <cellStyle name="Normal 8 4" xfId="335"/>
    <cellStyle name="Normal 8 4 2" xfId="744"/>
    <cellStyle name="Normal 8 5" xfId="386"/>
    <cellStyle name="Normal 8 6" xfId="638"/>
    <cellStyle name="Normal 8 6 2" xfId="809"/>
    <cellStyle name="Normal 8 7" xfId="658"/>
    <cellStyle name="Normal 8_Evolución de becas SEP-UAM-PRONABES" xfId="3102"/>
    <cellStyle name="Normal 80" xfId="3103"/>
    <cellStyle name="Normal 81" xfId="3104"/>
    <cellStyle name="Normal 82" xfId="3105"/>
    <cellStyle name="Normal 83" xfId="3106"/>
    <cellStyle name="Normal 84" xfId="3107"/>
    <cellStyle name="Normal 85" xfId="3108"/>
    <cellStyle name="Normal 86" xfId="3109"/>
    <cellStyle name="Normal 87" xfId="3110"/>
    <cellStyle name="Normal 88" xfId="3111"/>
    <cellStyle name="Normal 89" xfId="3112"/>
    <cellStyle name="Normal 9" xfId="75"/>
    <cellStyle name="Normal 9 10" xfId="3113"/>
    <cellStyle name="Normal 9 10 2" xfId="652"/>
    <cellStyle name="Normal 9 10 2 2" xfId="823"/>
    <cellStyle name="Normal 9 11" xfId="653"/>
    <cellStyle name="Normal 9 11 2" xfId="824"/>
    <cellStyle name="Normal 9 2" xfId="210"/>
    <cellStyle name="Normal 9 2 10" xfId="3114"/>
    <cellStyle name="Normal 9 2 2" xfId="293"/>
    <cellStyle name="Normal 9 2 2 2" xfId="341"/>
    <cellStyle name="Normal 9 2 2 2 2" xfId="750"/>
    <cellStyle name="Normal 9 2 2 2 2 2" xfId="3115"/>
    <cellStyle name="Normal 9 2 2 2 3" xfId="3116"/>
    <cellStyle name="Normal 9 2 2 3" xfId="702"/>
    <cellStyle name="Normal 9 2 2 3 2" xfId="3117"/>
    <cellStyle name="Normal 9 2 2 4" xfId="3118"/>
    <cellStyle name="Normal 9 2 3" xfId="340"/>
    <cellStyle name="Normal 9 2 3 2" xfId="749"/>
    <cellStyle name="Normal 9 2 3 2 2" xfId="3119"/>
    <cellStyle name="Normal 9 2 3 2 2 2" xfId="3120"/>
    <cellStyle name="Normal 9 2 3 2 3" xfId="3121"/>
    <cellStyle name="Normal 9 2 3 3" xfId="3122"/>
    <cellStyle name="Normal 9 2 3 3 2" xfId="3123"/>
    <cellStyle name="Normal 9 2 3 4" xfId="3124"/>
    <cellStyle name="Normal 9 2 4" xfId="389"/>
    <cellStyle name="Normal 9 2 4 2" xfId="778"/>
    <cellStyle name="Normal 9 2 4 2 2" xfId="3125"/>
    <cellStyle name="Normal 9 2 4 2 2 2" xfId="3126"/>
    <cellStyle name="Normal 9 2 4 2 3" xfId="3127"/>
    <cellStyle name="Normal 9 2 4 3" xfId="3128"/>
    <cellStyle name="Normal 9 2 4 3 2" xfId="3129"/>
    <cellStyle name="Normal 9 2 4 4" xfId="3130"/>
    <cellStyle name="Normal 9 2 5" xfId="672"/>
    <cellStyle name="Normal 9 2 5 2" xfId="3131"/>
    <cellStyle name="Normal 9 2 5 2 2" xfId="3132"/>
    <cellStyle name="Normal 9 2 5 2 2 2" xfId="3133"/>
    <cellStyle name="Normal 9 2 5 2 3" xfId="3134"/>
    <cellStyle name="Normal 9 2 5 3" xfId="3135"/>
    <cellStyle name="Normal 9 2 5 3 2" xfId="3136"/>
    <cellStyle name="Normal 9 2 5 4" xfId="3137"/>
    <cellStyle name="Normal 9 2 6" xfId="3138"/>
    <cellStyle name="Normal 9 2 6 2" xfId="3139"/>
    <cellStyle name="Normal 9 2 6 2 2" xfId="3140"/>
    <cellStyle name="Normal 9 2 6 2 2 2" xfId="3141"/>
    <cellStyle name="Normal 9 2 6 2 3" xfId="3142"/>
    <cellStyle name="Normal 9 2 6 3" xfId="3143"/>
    <cellStyle name="Normal 9 2 6 3 2" xfId="3144"/>
    <cellStyle name="Normal 9 2 6 4" xfId="3145"/>
    <cellStyle name="Normal 9 2 7" xfId="3146"/>
    <cellStyle name="Normal 9 2 7 2" xfId="3147"/>
    <cellStyle name="Normal 9 2 7 2 2" xfId="3148"/>
    <cellStyle name="Normal 9 2 7 2 2 2" xfId="3149"/>
    <cellStyle name="Normal 9 2 7 2 3" xfId="3150"/>
    <cellStyle name="Normal 9 2 7 3" xfId="3151"/>
    <cellStyle name="Normal 9 2 7 3 2" xfId="3152"/>
    <cellStyle name="Normal 9 2 7 4" xfId="3153"/>
    <cellStyle name="Normal 9 2 8" xfId="3154"/>
    <cellStyle name="Normal 9 2 8 2" xfId="3155"/>
    <cellStyle name="Normal 9 2 8 2 2" xfId="3156"/>
    <cellStyle name="Normal 9 2 8 3" xfId="3157"/>
    <cellStyle name="Normal 9 2 9" xfId="3158"/>
    <cellStyle name="Normal 9 2 9 2" xfId="3159"/>
    <cellStyle name="Normal 9 3" xfId="280"/>
    <cellStyle name="Normal 9 3 2" xfId="342"/>
    <cellStyle name="Normal 9 3 2 2" xfId="751"/>
    <cellStyle name="Normal 9 3 3" xfId="406"/>
    <cellStyle name="Normal 9 3 4" xfId="689"/>
    <cellStyle name="Normal 9 4" xfId="339"/>
    <cellStyle name="Normal 9 4 2" xfId="524"/>
    <cellStyle name="Normal 9 4 2 2" xfId="799"/>
    <cellStyle name="Normal 9 4 3" xfId="748"/>
    <cellStyle name="Normal 9 4 7" xfId="3160"/>
    <cellStyle name="Normal 9 5" xfId="388"/>
    <cellStyle name="Normal 9 6" xfId="659"/>
    <cellStyle name="Normal 9_Evolución de becas SEP-UAM-PRONABES" xfId="3161"/>
    <cellStyle name="Normal 90" xfId="3162"/>
    <cellStyle name="Normal 91" xfId="3163"/>
    <cellStyle name="Normal 92" xfId="3164"/>
    <cellStyle name="Normal 93" xfId="3165"/>
    <cellStyle name="Normal 94" xfId="3166"/>
    <cellStyle name="Normal 95" xfId="3167"/>
    <cellStyle name="Normal 96" xfId="3168"/>
    <cellStyle name="Normal 97" xfId="3169"/>
    <cellStyle name="Normal 98" xfId="3170"/>
    <cellStyle name="Normal 99" xfId="3171"/>
    <cellStyle name="Normal_10" xfId="834"/>
    <cellStyle name="Normal_16 EGRESO-HIST" xfId="44"/>
    <cellStyle name="Normal_ACADÉMICOS 2003-2007 v2" xfId="45"/>
    <cellStyle name="Normal_activos" xfId="46"/>
    <cellStyle name="Normal_activos_1" xfId="47"/>
    <cellStyle name="Normal_egresados acum POS 2" xfId="3811"/>
    <cellStyle name="Normal_EGRESO Y ESGREO ACUMULADO" xfId="48"/>
    <cellStyle name="Normal_ESTADÍSTICA OTOÑO ok" xfId="49"/>
    <cellStyle name="Normal_Hoja1" xfId="50"/>
    <cellStyle name="Normal_Hoja1 2" xfId="462"/>
    <cellStyle name="Normal_Hoja1_1" xfId="51"/>
    <cellStyle name="Normal_Hoja2" xfId="52"/>
    <cellStyle name="Normal_Hoja2 2" xfId="463"/>
    <cellStyle name="Normal_Hoja2_1" xfId="53"/>
    <cellStyle name="Normal_Hoja3" xfId="54"/>
    <cellStyle name="Normal_IPRIMAVERAok" xfId="55"/>
    <cellStyle name="Normal_Matricula Pos x nivel" xfId="3809"/>
    <cellStyle name="Normal_Nvo ing-Pos x nivel" xfId="3808"/>
    <cellStyle name="Normal_Posgrados evaluados 2007 2" xfId="826"/>
    <cellStyle name="Notas" xfId="56" builtinId="10" customBuiltin="1"/>
    <cellStyle name="Notas 2" xfId="211"/>
    <cellStyle name="Notas 2 2" xfId="407"/>
    <cellStyle name="Notas 2 2 2" xfId="423"/>
    <cellStyle name="Notas 2 2 2 2" xfId="442"/>
    <cellStyle name="Notas 2 2 2 2 10" xfId="3172"/>
    <cellStyle name="Notas 2 2 2 2 11" xfId="3173"/>
    <cellStyle name="Notas 2 2 2 2 12" xfId="3174"/>
    <cellStyle name="Notas 2 2 2 2 2" xfId="525"/>
    <cellStyle name="Notas 2 2 2 2 2 2" xfId="3175"/>
    <cellStyle name="Notas 2 2 2 2 2 3" xfId="3176"/>
    <cellStyle name="Notas 2 2 2 2 2 4" xfId="3177"/>
    <cellStyle name="Notas 2 2 2 2 2 5" xfId="3178"/>
    <cellStyle name="Notas 2 2 2 2 3" xfId="526"/>
    <cellStyle name="Notas 2 2 2 2 3 2" xfId="3179"/>
    <cellStyle name="Notas 2 2 2 2 3 3" xfId="3180"/>
    <cellStyle name="Notas 2 2 2 2 3 4" xfId="3181"/>
    <cellStyle name="Notas 2 2 2 2 3 5" xfId="3182"/>
    <cellStyle name="Notas 2 2 2 2 4" xfId="527"/>
    <cellStyle name="Notas 2 2 2 2 4 2" xfId="3183"/>
    <cellStyle name="Notas 2 2 2 2 4 3" xfId="3184"/>
    <cellStyle name="Notas 2 2 2 2 4 4" xfId="3185"/>
    <cellStyle name="Notas 2 2 2 2 4 5" xfId="3186"/>
    <cellStyle name="Notas 2 2 2 2 5" xfId="528"/>
    <cellStyle name="Notas 2 2 2 2 5 2" xfId="3187"/>
    <cellStyle name="Notas 2 2 2 2 5 3" xfId="3188"/>
    <cellStyle name="Notas 2 2 2 2 5 4" xfId="3189"/>
    <cellStyle name="Notas 2 2 2 2 5 5" xfId="3190"/>
    <cellStyle name="Notas 2 2 2 2 6" xfId="529"/>
    <cellStyle name="Notas 2 2 2 2 6 2" xfId="3191"/>
    <cellStyle name="Notas 2 2 2 2 6 3" xfId="3192"/>
    <cellStyle name="Notas 2 2 2 2 6 4" xfId="3193"/>
    <cellStyle name="Notas 2 2 2 2 6 5" xfId="3194"/>
    <cellStyle name="Notas 2 2 2 2 7" xfId="530"/>
    <cellStyle name="Notas 2 2 2 2 7 2" xfId="3195"/>
    <cellStyle name="Notas 2 2 2 2 7 3" xfId="3196"/>
    <cellStyle name="Notas 2 2 2 2 7 4" xfId="3197"/>
    <cellStyle name="Notas 2 2 2 2 7 5" xfId="3198"/>
    <cellStyle name="Notas 2 2 2 2 8" xfId="531"/>
    <cellStyle name="Notas 2 2 2 2 8 2" xfId="3199"/>
    <cellStyle name="Notas 2 2 2 2 8 3" xfId="3200"/>
    <cellStyle name="Notas 2 2 2 2 8 4" xfId="3201"/>
    <cellStyle name="Notas 2 2 2 2 8 5" xfId="3202"/>
    <cellStyle name="Notas 2 2 2 2 9" xfId="3203"/>
    <cellStyle name="Notas 2 2 2 3" xfId="532"/>
    <cellStyle name="Notas 2 2 2 3 2" xfId="3204"/>
    <cellStyle name="Notas 2 2 2 3 3" xfId="3205"/>
    <cellStyle name="Notas 2 2 2 3 4" xfId="3206"/>
    <cellStyle name="Notas 2 2 2 3 5" xfId="3207"/>
    <cellStyle name="Notas 2 2 2 4" xfId="533"/>
    <cellStyle name="Notas 2 2 2 4 2" xfId="3208"/>
    <cellStyle name="Notas 2 2 2 4 3" xfId="3209"/>
    <cellStyle name="Notas 2 2 2 4 4" xfId="3210"/>
    <cellStyle name="Notas 2 2 2 4 5" xfId="3211"/>
    <cellStyle name="Notas 2 2 2 5" xfId="534"/>
    <cellStyle name="Notas 2 2 2 5 2" xfId="3212"/>
    <cellStyle name="Notas 2 2 2 5 3" xfId="3213"/>
    <cellStyle name="Notas 2 2 2 5 4" xfId="3214"/>
    <cellStyle name="Notas 2 2 2 5 5" xfId="3215"/>
    <cellStyle name="Notas 2 2 2 6" xfId="535"/>
    <cellStyle name="Notas 2 2 2 6 2" xfId="3216"/>
    <cellStyle name="Notas 2 2 2 6 3" xfId="3217"/>
    <cellStyle name="Notas 2 2 2 6 4" xfId="3218"/>
    <cellStyle name="Notas 2 2 2 6 5" xfId="3219"/>
    <cellStyle name="Notas 2 2 2 7" xfId="3220"/>
    <cellStyle name="Notas 2 2 3" xfId="437"/>
    <cellStyle name="Notas 2 2 3 2" xfId="536"/>
    <cellStyle name="Notas 2 2 3 2 2" xfId="3221"/>
    <cellStyle name="Notas 2 2 3 2 3" xfId="3222"/>
    <cellStyle name="Notas 2 2 3 2 4" xfId="3223"/>
    <cellStyle name="Notas 2 2 3 2 5" xfId="3224"/>
    <cellStyle name="Notas 2 2 3 3" xfId="537"/>
    <cellStyle name="Notas 2 2 3 3 2" xfId="3225"/>
    <cellStyle name="Notas 2 2 3 3 3" xfId="3226"/>
    <cellStyle name="Notas 2 2 3 3 4" xfId="3227"/>
    <cellStyle name="Notas 2 2 3 3 5" xfId="3228"/>
    <cellStyle name="Notas 2 2 3 4" xfId="538"/>
    <cellStyle name="Notas 2 2 3 4 2" xfId="3229"/>
    <cellStyle name="Notas 2 2 3 4 3" xfId="3230"/>
    <cellStyle name="Notas 2 2 3 4 4" xfId="3231"/>
    <cellStyle name="Notas 2 2 3 4 5" xfId="3232"/>
    <cellStyle name="Notas 2 2 3 5" xfId="539"/>
    <cellStyle name="Notas 2 2 3 5 2" xfId="3233"/>
    <cellStyle name="Notas 2 2 3 5 3" xfId="3234"/>
    <cellStyle name="Notas 2 2 3 5 4" xfId="3235"/>
    <cellStyle name="Notas 2 2 3 5 5" xfId="3236"/>
    <cellStyle name="Notas 2 2 3 6" xfId="540"/>
    <cellStyle name="Notas 2 2 3 6 2" xfId="3237"/>
    <cellStyle name="Notas 2 2 3 6 3" xfId="3238"/>
    <cellStyle name="Notas 2 2 3 6 4" xfId="3239"/>
    <cellStyle name="Notas 2 2 3 6 5" xfId="3240"/>
    <cellStyle name="Notas 2 2 3 7" xfId="541"/>
    <cellStyle name="Notas 2 2 3 7 2" xfId="3241"/>
    <cellStyle name="Notas 2 2 3 7 3" xfId="3242"/>
    <cellStyle name="Notas 2 2 3 7 4" xfId="3243"/>
    <cellStyle name="Notas 2 2 3 7 5" xfId="3244"/>
    <cellStyle name="Notas 2 2 3 8" xfId="542"/>
    <cellStyle name="Notas 2 2 3 8 2" xfId="3245"/>
    <cellStyle name="Notas 2 2 3 8 3" xfId="3246"/>
    <cellStyle name="Notas 2 2 3 8 4" xfId="3247"/>
    <cellStyle name="Notas 2 2 3 8 5" xfId="3248"/>
    <cellStyle name="Notas 2 2 3 9" xfId="3249"/>
    <cellStyle name="Notas 2 2 4" xfId="543"/>
    <cellStyle name="Notas 2 2 4 2" xfId="3250"/>
    <cellStyle name="Notas 2 2 4 3" xfId="3251"/>
    <cellStyle name="Notas 2 2 4 4" xfId="3252"/>
    <cellStyle name="Notas 2 2 4 5" xfId="3253"/>
    <cellStyle name="Notas 2 2 5" xfId="544"/>
    <cellStyle name="Notas 2 2 5 2" xfId="3254"/>
    <cellStyle name="Notas 2 2 5 3" xfId="3255"/>
    <cellStyle name="Notas 2 2 5 4" xfId="3256"/>
    <cellStyle name="Notas 2 2 5 5" xfId="3257"/>
    <cellStyle name="Notas 2 2 6" xfId="545"/>
    <cellStyle name="Notas 2 2 6 2" xfId="3258"/>
    <cellStyle name="Notas 2 2 6 3" xfId="3259"/>
    <cellStyle name="Notas 2 2 6 4" xfId="3260"/>
    <cellStyle name="Notas 2 2 6 5" xfId="3261"/>
    <cellStyle name="Notas 2 2 7" xfId="3262"/>
    <cellStyle name="Notas 2 3" xfId="424"/>
    <cellStyle name="Notas 2 3 2" xfId="443"/>
    <cellStyle name="Notas 2 3 2 10" xfId="3263"/>
    <cellStyle name="Notas 2 3 2 11" xfId="3264"/>
    <cellStyle name="Notas 2 3 2 12" xfId="3265"/>
    <cellStyle name="Notas 2 3 2 2" xfId="546"/>
    <cellStyle name="Notas 2 3 2 2 2" xfId="3266"/>
    <cellStyle name="Notas 2 3 2 2 3" xfId="3267"/>
    <cellStyle name="Notas 2 3 2 2 4" xfId="3268"/>
    <cellStyle name="Notas 2 3 2 2 5" xfId="3269"/>
    <cellStyle name="Notas 2 3 2 3" xfId="547"/>
    <cellStyle name="Notas 2 3 2 3 2" xfId="3270"/>
    <cellStyle name="Notas 2 3 2 3 3" xfId="3271"/>
    <cellStyle name="Notas 2 3 2 3 4" xfId="3272"/>
    <cellStyle name="Notas 2 3 2 3 5" xfId="3273"/>
    <cellStyle name="Notas 2 3 2 4" xfId="548"/>
    <cellStyle name="Notas 2 3 2 4 2" xfId="3274"/>
    <cellStyle name="Notas 2 3 2 4 3" xfId="3275"/>
    <cellStyle name="Notas 2 3 2 4 4" xfId="3276"/>
    <cellStyle name="Notas 2 3 2 4 5" xfId="3277"/>
    <cellStyle name="Notas 2 3 2 5" xfId="549"/>
    <cellStyle name="Notas 2 3 2 5 2" xfId="3278"/>
    <cellStyle name="Notas 2 3 2 5 3" xfId="3279"/>
    <cellStyle name="Notas 2 3 2 5 4" xfId="3280"/>
    <cellStyle name="Notas 2 3 2 5 5" xfId="3281"/>
    <cellStyle name="Notas 2 3 2 6" xfId="550"/>
    <cellStyle name="Notas 2 3 2 6 2" xfId="3282"/>
    <cellStyle name="Notas 2 3 2 6 3" xfId="3283"/>
    <cellStyle name="Notas 2 3 2 6 4" xfId="3284"/>
    <cellStyle name="Notas 2 3 2 6 5" xfId="3285"/>
    <cellStyle name="Notas 2 3 2 7" xfId="551"/>
    <cellStyle name="Notas 2 3 2 7 2" xfId="3286"/>
    <cellStyle name="Notas 2 3 2 7 3" xfId="3287"/>
    <cellStyle name="Notas 2 3 2 7 4" xfId="3288"/>
    <cellStyle name="Notas 2 3 2 7 5" xfId="3289"/>
    <cellStyle name="Notas 2 3 2 8" xfId="552"/>
    <cellStyle name="Notas 2 3 2 8 2" xfId="3290"/>
    <cellStyle name="Notas 2 3 2 8 3" xfId="3291"/>
    <cellStyle name="Notas 2 3 2 8 4" xfId="3292"/>
    <cellStyle name="Notas 2 3 2 8 5" xfId="3293"/>
    <cellStyle name="Notas 2 3 2 9" xfId="3294"/>
    <cellStyle name="Notas 2 3 3" xfId="553"/>
    <cellStyle name="Notas 2 3 3 2" xfId="3295"/>
    <cellStyle name="Notas 2 3 3 3" xfId="3296"/>
    <cellStyle name="Notas 2 3 3 4" xfId="3297"/>
    <cellStyle name="Notas 2 3 3 5" xfId="3298"/>
    <cellStyle name="Notas 2 3 4" xfId="554"/>
    <cellStyle name="Notas 2 3 4 2" xfId="3299"/>
    <cellStyle name="Notas 2 3 4 3" xfId="3300"/>
    <cellStyle name="Notas 2 3 4 4" xfId="3301"/>
    <cellStyle name="Notas 2 3 4 5" xfId="3302"/>
    <cellStyle name="Notas 2 3 5" xfId="555"/>
    <cellStyle name="Notas 2 3 5 2" xfId="3303"/>
    <cellStyle name="Notas 2 3 5 3" xfId="3304"/>
    <cellStyle name="Notas 2 3 5 4" xfId="3305"/>
    <cellStyle name="Notas 2 3 5 5" xfId="3306"/>
    <cellStyle name="Notas 2 3 6" xfId="556"/>
    <cellStyle name="Notas 2 3 6 2" xfId="3307"/>
    <cellStyle name="Notas 2 3 6 3" xfId="3308"/>
    <cellStyle name="Notas 2 3 6 4" xfId="3309"/>
    <cellStyle name="Notas 2 3 6 5" xfId="3310"/>
    <cellStyle name="Notas 2 3 7" xfId="3311"/>
    <cellStyle name="Notas 2 4" xfId="434"/>
    <cellStyle name="Notas 2 4 2" xfId="557"/>
    <cellStyle name="Notas 2 4 2 2" xfId="3312"/>
    <cellStyle name="Notas 2 4 2 3" xfId="3313"/>
    <cellStyle name="Notas 2 4 2 4" xfId="3314"/>
    <cellStyle name="Notas 2 4 2 5" xfId="3315"/>
    <cellStyle name="Notas 2 4 3" xfId="558"/>
    <cellStyle name="Notas 2 4 3 2" xfId="3316"/>
    <cellStyle name="Notas 2 4 3 3" xfId="3317"/>
    <cellStyle name="Notas 2 4 3 4" xfId="3318"/>
    <cellStyle name="Notas 2 4 3 5" xfId="3319"/>
    <cellStyle name="Notas 2 4 4" xfId="559"/>
    <cellStyle name="Notas 2 4 4 2" xfId="3320"/>
    <cellStyle name="Notas 2 4 4 3" xfId="3321"/>
    <cellStyle name="Notas 2 4 4 4" xfId="3322"/>
    <cellStyle name="Notas 2 4 4 5" xfId="3323"/>
    <cellStyle name="Notas 2 4 5" xfId="560"/>
    <cellStyle name="Notas 2 4 5 2" xfId="3324"/>
    <cellStyle name="Notas 2 4 5 3" xfId="3325"/>
    <cellStyle name="Notas 2 4 5 4" xfId="3326"/>
    <cellStyle name="Notas 2 4 5 5" xfId="3327"/>
    <cellStyle name="Notas 2 4 6" xfId="561"/>
    <cellStyle name="Notas 2 4 6 2" xfId="3328"/>
    <cellStyle name="Notas 2 4 6 3" xfId="3329"/>
    <cellStyle name="Notas 2 4 6 4" xfId="3330"/>
    <cellStyle name="Notas 2 4 6 5" xfId="3331"/>
    <cellStyle name="Notas 2 4 7" xfId="562"/>
    <cellStyle name="Notas 2 4 7 2" xfId="3332"/>
    <cellStyle name="Notas 2 4 7 3" xfId="3333"/>
    <cellStyle name="Notas 2 4 7 4" xfId="3334"/>
    <cellStyle name="Notas 2 4 7 5" xfId="3335"/>
    <cellStyle name="Notas 2 4 8" xfId="563"/>
    <cellStyle name="Notas 2 4 8 2" xfId="3336"/>
    <cellStyle name="Notas 2 4 8 3" xfId="3337"/>
    <cellStyle name="Notas 2 4 8 4" xfId="3338"/>
    <cellStyle name="Notas 2 4 8 5" xfId="3339"/>
    <cellStyle name="Notas 2 4 9" xfId="3340"/>
    <cellStyle name="Notas 2 5" xfId="564"/>
    <cellStyle name="Notas 2 5 2" xfId="3341"/>
    <cellStyle name="Notas 2 5 3" xfId="3342"/>
    <cellStyle name="Notas 2 5 4" xfId="3343"/>
    <cellStyle name="Notas 2 5 5" xfId="3344"/>
    <cellStyle name="Notas 2 6" xfId="565"/>
    <cellStyle name="Notas 2 6 2" xfId="3345"/>
    <cellStyle name="Notas 2 6 3" xfId="3346"/>
    <cellStyle name="Notas 2 6 4" xfId="3347"/>
    <cellStyle name="Notas 2 6 5" xfId="3348"/>
    <cellStyle name="Notas 2 7" xfId="566"/>
    <cellStyle name="Notas 2 7 2" xfId="3349"/>
    <cellStyle name="Notas 2 7 3" xfId="3350"/>
    <cellStyle name="Notas 2 7 4" xfId="3351"/>
    <cellStyle name="Notas 2 7 5" xfId="3352"/>
    <cellStyle name="Notas 2 8" xfId="3353"/>
    <cellStyle name="Notas 3" xfId="267"/>
    <cellStyle name="Notas 3 2" xfId="684"/>
    <cellStyle name="Notas 4" xfId="3354"/>
    <cellStyle name="Percent" xfId="390"/>
    <cellStyle name="Percent 2" xfId="3355"/>
    <cellStyle name="Percent 2 2" xfId="3356"/>
    <cellStyle name="Percent 3" xfId="3357"/>
    <cellStyle name="Porcentaje" xfId="57" builtinId="5"/>
    <cellStyle name="Porcentaje 2" xfId="453"/>
    <cellStyle name="Porcentaje 2 2" xfId="787"/>
    <cellStyle name="Porcentaje 2 2 2" xfId="3358"/>
    <cellStyle name="Porcentaje 2 2 2 2" xfId="3359"/>
    <cellStyle name="Porcentaje 2 2 2 2 2" xfId="3360"/>
    <cellStyle name="Porcentaje 2 2 2 3" xfId="3361"/>
    <cellStyle name="Porcentaje 2 2 3" xfId="3362"/>
    <cellStyle name="Porcentaje 2 2 3 2" xfId="3363"/>
    <cellStyle name="Porcentaje 2 2 3 2 2" xfId="3364"/>
    <cellStyle name="Porcentaje 2 2 3 2 2 2" xfId="3365"/>
    <cellStyle name="Porcentaje 2 2 3 2 2 2 2" xfId="3366"/>
    <cellStyle name="Porcentaje 2 2 3 2 2 2 2 2" xfId="3367"/>
    <cellStyle name="Porcentaje 2 2 3 2 2 2 3" xfId="3368"/>
    <cellStyle name="Porcentaje 2 2 3 2 2 3" xfId="3369"/>
    <cellStyle name="Porcentaje 2 2 3 2 2 3 2" xfId="3370"/>
    <cellStyle name="Porcentaje 2 2 3 2 2 3 2 2" xfId="3371"/>
    <cellStyle name="Porcentaje 2 2 3 2 2 3 3" xfId="3372"/>
    <cellStyle name="Porcentaje 2 2 3 2 2 4" xfId="3373"/>
    <cellStyle name="Porcentaje 2 2 3 2 2 4 2" xfId="3374"/>
    <cellStyle name="Porcentaje 2 2 3 2 2 4 2 2" xfId="3375"/>
    <cellStyle name="Porcentaje 2 2 3 2 2 4 3" xfId="3376"/>
    <cellStyle name="Porcentaje 2 2 3 2 2 5" xfId="3377"/>
    <cellStyle name="Porcentaje 2 2 3 2 2 5 2" xfId="3378"/>
    <cellStyle name="Porcentaje 2 2 3 2 2 6" xfId="3379"/>
    <cellStyle name="Porcentaje 2 2 3 2 3" xfId="3380"/>
    <cellStyle name="Porcentaje 2 2 3 2 3 2" xfId="3381"/>
    <cellStyle name="Porcentaje 2 2 3 2 4" xfId="3382"/>
    <cellStyle name="Porcentaje 2 2 3 3" xfId="3383"/>
    <cellStyle name="Porcentaje 2 2 3 3 2" xfId="3384"/>
    <cellStyle name="Porcentaje 2 2 3 4" xfId="3385"/>
    <cellStyle name="Porcentaje 2 2 4" xfId="3386"/>
    <cellStyle name="Porcentaje 2 2 4 2" xfId="3387"/>
    <cellStyle name="Porcentaje 2 2 5" xfId="3388"/>
    <cellStyle name="Porcentaje 2 2 6" xfId="3389"/>
    <cellStyle name="Porcentaje 2 3" xfId="3390"/>
    <cellStyle name="Porcentaje 3" xfId="454"/>
    <cellStyle name="Porcentaje 3 2" xfId="455"/>
    <cellStyle name="Porcentaje 3 2 2" xfId="789"/>
    <cellStyle name="Porcentaje 3 2 2 2" xfId="3391"/>
    <cellStyle name="Porcentaje 3 2 3" xfId="3392"/>
    <cellStyle name="Porcentaje 3 3" xfId="788"/>
    <cellStyle name="Porcentaje 3 3 2" xfId="3393"/>
    <cellStyle name="Porcentaje 3 4" xfId="3394"/>
    <cellStyle name="Porcentaje 4" xfId="456"/>
    <cellStyle name="Porcentaje 4 2" xfId="790"/>
    <cellStyle name="Porcentaje 4 2 2" xfId="3395"/>
    <cellStyle name="Porcentaje 4 2 2 2" xfId="3396"/>
    <cellStyle name="Porcentaje 4 2 3" xfId="3397"/>
    <cellStyle name="Porcentaje 4 3" xfId="3398"/>
    <cellStyle name="Porcentaje 4 3 2" xfId="3399"/>
    <cellStyle name="Porcentaje 4 3 2 2" xfId="3400"/>
    <cellStyle name="Porcentaje 4 3 3" xfId="3401"/>
    <cellStyle name="Porcentaje 4 4" xfId="3402"/>
    <cellStyle name="Porcentaje 4 4 2" xfId="3403"/>
    <cellStyle name="Porcentaje 4 4 2 2" xfId="3404"/>
    <cellStyle name="Porcentaje 4 4 2 2 2" xfId="3405"/>
    <cellStyle name="Porcentaje 4 4 2 3" xfId="3406"/>
    <cellStyle name="Porcentaje 4 4 3" xfId="3407"/>
    <cellStyle name="Porcentaje 4 4 3 2" xfId="3408"/>
    <cellStyle name="Porcentaje 4 4 4" xfId="3409"/>
    <cellStyle name="Porcentaje 4 5" xfId="3410"/>
    <cellStyle name="Porcentaje 4 5 2" xfId="3411"/>
    <cellStyle name="Porcentaje 4 6" xfId="3412"/>
    <cellStyle name="Porcentaje 5" xfId="461"/>
    <cellStyle name="Porcentaje 6" xfId="634"/>
    <cellStyle name="Porcentaje 6 2" xfId="805"/>
    <cellStyle name="Porcentaje 7" xfId="637"/>
    <cellStyle name="Porcentaje 7 2" xfId="808"/>
    <cellStyle name="Porcentaje 8" xfId="645"/>
    <cellStyle name="Porcentaje 8 2" xfId="647"/>
    <cellStyle name="Porcentaje 8 2 2" xfId="818"/>
    <cellStyle name="Porcentaje 8 3" xfId="816"/>
    <cellStyle name="Porcentaje 9" xfId="836"/>
    <cellStyle name="Porcentual 10" xfId="391"/>
    <cellStyle name="Porcentual 10 10" xfId="3413"/>
    <cellStyle name="Porcentual 10 2" xfId="567"/>
    <cellStyle name="Porcentual 10 2 2" xfId="3414"/>
    <cellStyle name="Porcentual 10 3" xfId="779"/>
    <cellStyle name="Porcentual 10 3 2" xfId="3415"/>
    <cellStyle name="Porcentual 10 3 2 2" xfId="3416"/>
    <cellStyle name="Porcentual 10 3 2 2 2" xfId="3417"/>
    <cellStyle name="Porcentual 10 3 2 3" xfId="3418"/>
    <cellStyle name="Porcentual 10 3 3" xfId="3419"/>
    <cellStyle name="Porcentual 10 3 3 2" xfId="3420"/>
    <cellStyle name="Porcentual 10 3 4" xfId="3421"/>
    <cellStyle name="Porcentual 10 4" xfId="3422"/>
    <cellStyle name="Porcentual 10 4 2" xfId="3423"/>
    <cellStyle name="Porcentual 10 4 2 2" xfId="3424"/>
    <cellStyle name="Porcentual 10 4 2 2 2" xfId="3425"/>
    <cellStyle name="Porcentual 10 4 2 3" xfId="3426"/>
    <cellStyle name="Porcentual 10 4 3" xfId="3427"/>
    <cellStyle name="Porcentual 10 4 3 2" xfId="3428"/>
    <cellStyle name="Porcentual 10 4 4" xfId="3429"/>
    <cellStyle name="Porcentual 10 5" xfId="3430"/>
    <cellStyle name="Porcentual 10 5 2" xfId="3431"/>
    <cellStyle name="Porcentual 10 5 2 2" xfId="3432"/>
    <cellStyle name="Porcentual 10 5 2 2 2" xfId="3433"/>
    <cellStyle name="Porcentual 10 5 2 3" xfId="3434"/>
    <cellStyle name="Porcentual 10 5 3" xfId="3435"/>
    <cellStyle name="Porcentual 10 5 3 2" xfId="3436"/>
    <cellStyle name="Porcentual 10 5 4" xfId="3437"/>
    <cellStyle name="Porcentual 10 6" xfId="3438"/>
    <cellStyle name="Porcentual 10 6 2" xfId="3439"/>
    <cellStyle name="Porcentual 10 6 2 2" xfId="3440"/>
    <cellStyle name="Porcentual 10 6 2 2 2" xfId="3441"/>
    <cellStyle name="Porcentual 10 6 2 3" xfId="3442"/>
    <cellStyle name="Porcentual 10 6 3" xfId="3443"/>
    <cellStyle name="Porcentual 10 6 3 2" xfId="3444"/>
    <cellStyle name="Porcentual 10 6 4" xfId="3445"/>
    <cellStyle name="Porcentual 10 7" xfId="3446"/>
    <cellStyle name="Porcentual 10 7 2" xfId="3447"/>
    <cellStyle name="Porcentual 10 7 2 2" xfId="3448"/>
    <cellStyle name="Porcentual 10 7 2 2 2" xfId="3449"/>
    <cellStyle name="Porcentual 10 7 2 3" xfId="3450"/>
    <cellStyle name="Porcentual 10 7 3" xfId="3451"/>
    <cellStyle name="Porcentual 10 7 3 2" xfId="3452"/>
    <cellStyle name="Porcentual 10 7 4" xfId="3453"/>
    <cellStyle name="Porcentual 10 8" xfId="3454"/>
    <cellStyle name="Porcentual 10 8 2" xfId="3455"/>
    <cellStyle name="Porcentual 10 8 2 2" xfId="3456"/>
    <cellStyle name="Porcentual 10 8 3" xfId="3457"/>
    <cellStyle name="Porcentual 10 9" xfId="3458"/>
    <cellStyle name="Porcentual 10 9 2" xfId="3459"/>
    <cellStyle name="Porcentual 11" xfId="425"/>
    <cellStyle name="Porcentual 11 2" xfId="568"/>
    <cellStyle name="Porcentual 2" xfId="70"/>
    <cellStyle name="Porcentual 2 2" xfId="408"/>
    <cellStyle name="Porcentual 3" xfId="80"/>
    <cellStyle name="Porcentual 3 2" xfId="212"/>
    <cellStyle name="Porcentual 3 2 10" xfId="3460"/>
    <cellStyle name="Porcentual 3 2 2" xfId="294"/>
    <cellStyle name="Porcentual 3 2 2 2" xfId="345"/>
    <cellStyle name="Porcentual 3 2 2 2 2" xfId="754"/>
    <cellStyle name="Porcentual 3 2 2 3" xfId="703"/>
    <cellStyle name="Porcentual 3 2 3" xfId="344"/>
    <cellStyle name="Porcentual 3 2 3 2" xfId="753"/>
    <cellStyle name="Porcentual 3 2 3 2 2" xfId="3461"/>
    <cellStyle name="Porcentual 3 2 3 2 2 2" xfId="3462"/>
    <cellStyle name="Porcentual 3 2 3 2 3" xfId="3463"/>
    <cellStyle name="Porcentual 3 2 3 3" xfId="3464"/>
    <cellStyle name="Porcentual 3 2 3 3 2" xfId="3465"/>
    <cellStyle name="Porcentual 3 2 3 4" xfId="3466"/>
    <cellStyle name="Porcentual 3 2 4" xfId="393"/>
    <cellStyle name="Porcentual 3 2 4 2" xfId="780"/>
    <cellStyle name="Porcentual 3 2 4 2 2" xfId="3467"/>
    <cellStyle name="Porcentual 3 2 4 2 2 2" xfId="3468"/>
    <cellStyle name="Porcentual 3 2 4 2 3" xfId="3469"/>
    <cellStyle name="Porcentual 3 2 4 3" xfId="3470"/>
    <cellStyle name="Porcentual 3 2 4 3 2" xfId="3471"/>
    <cellStyle name="Porcentual 3 2 4 4" xfId="3472"/>
    <cellStyle name="Porcentual 3 2 5" xfId="673"/>
    <cellStyle name="Porcentual 3 2 5 2" xfId="3473"/>
    <cellStyle name="Porcentual 3 2 5 2 2" xfId="3474"/>
    <cellStyle name="Porcentual 3 2 5 2 2 2" xfId="3475"/>
    <cellStyle name="Porcentual 3 2 5 2 3" xfId="3476"/>
    <cellStyle name="Porcentual 3 2 5 3" xfId="3477"/>
    <cellStyle name="Porcentual 3 2 5 3 2" xfId="3478"/>
    <cellStyle name="Porcentual 3 2 5 4" xfId="3479"/>
    <cellStyle name="Porcentual 3 2 6" xfId="3480"/>
    <cellStyle name="Porcentual 3 2 6 2" xfId="3481"/>
    <cellStyle name="Porcentual 3 2 6 2 2" xfId="3482"/>
    <cellStyle name="Porcentual 3 2 6 2 2 2" xfId="3483"/>
    <cellStyle name="Porcentual 3 2 6 2 3" xfId="3484"/>
    <cellStyle name="Porcentual 3 2 6 3" xfId="3485"/>
    <cellStyle name="Porcentual 3 2 6 3 2" xfId="3486"/>
    <cellStyle name="Porcentual 3 2 6 4" xfId="3487"/>
    <cellStyle name="Porcentual 3 2 7" xfId="3488"/>
    <cellStyle name="Porcentual 3 2 7 2" xfId="3489"/>
    <cellStyle name="Porcentual 3 2 7 2 2" xfId="3490"/>
    <cellStyle name="Porcentual 3 2 7 2 2 2" xfId="3491"/>
    <cellStyle name="Porcentual 3 2 7 2 3" xfId="3492"/>
    <cellStyle name="Porcentual 3 2 7 3" xfId="3493"/>
    <cellStyle name="Porcentual 3 2 7 3 2" xfId="3494"/>
    <cellStyle name="Porcentual 3 2 7 4" xfId="3495"/>
    <cellStyle name="Porcentual 3 2 8" xfId="3496"/>
    <cellStyle name="Porcentual 3 2 8 2" xfId="3497"/>
    <cellStyle name="Porcentual 3 2 8 2 2" xfId="3498"/>
    <cellStyle name="Porcentual 3 2 8 3" xfId="3499"/>
    <cellStyle name="Porcentual 3 2 9" xfId="3500"/>
    <cellStyle name="Porcentual 3 2 9 2" xfId="3501"/>
    <cellStyle name="Porcentual 3 3" xfId="284"/>
    <cellStyle name="Porcentual 3 3 2" xfId="346"/>
    <cellStyle name="Porcentual 3 3 2 2" xfId="755"/>
    <cellStyle name="Porcentual 3 3 3" xfId="409"/>
    <cellStyle name="Porcentual 3 3 4" xfId="693"/>
    <cellStyle name="Porcentual 3 4" xfId="343"/>
    <cellStyle name="Porcentual 3 4 2" xfId="752"/>
    <cellStyle name="Porcentual 3 5" xfId="392"/>
    <cellStyle name="Porcentual 3 6" xfId="663"/>
    <cellStyle name="Porcentual 4" xfId="213"/>
    <cellStyle name="Porcentual 4 2" xfId="214"/>
    <cellStyle name="Porcentual 4 2 2" xfId="3502"/>
    <cellStyle name="Porcentual 4 2 2 2" xfId="3503"/>
    <cellStyle name="Porcentual 4 2 3" xfId="3504"/>
    <cellStyle name="Porcentual 4 3" xfId="3505"/>
    <cellStyle name="Porcentual 4 3 2" xfId="3506"/>
    <cellStyle name="Porcentual 4 4" xfId="3507"/>
    <cellStyle name="Porcentual 5" xfId="225"/>
    <cellStyle name="Porcentual 5 10" xfId="3508"/>
    <cellStyle name="Porcentual 5 2" xfId="297"/>
    <cellStyle name="Porcentual 5 2 2" xfId="348"/>
    <cellStyle name="Porcentual 5 2 2 2" xfId="757"/>
    <cellStyle name="Porcentual 5 2 3" xfId="706"/>
    <cellStyle name="Porcentual 5 3" xfId="347"/>
    <cellStyle name="Porcentual 5 3 2" xfId="756"/>
    <cellStyle name="Porcentual 5 3 2 2" xfId="3509"/>
    <cellStyle name="Porcentual 5 3 2 2 2" xfId="3510"/>
    <cellStyle name="Porcentual 5 3 2 3" xfId="3511"/>
    <cellStyle name="Porcentual 5 3 3" xfId="3512"/>
    <cellStyle name="Porcentual 5 3 3 2" xfId="3513"/>
    <cellStyle name="Porcentual 5 3 4" xfId="3514"/>
    <cellStyle name="Porcentual 5 4" xfId="394"/>
    <cellStyle name="Porcentual 5 4 2" xfId="781"/>
    <cellStyle name="Porcentual 5 4 2 2" xfId="3515"/>
    <cellStyle name="Porcentual 5 4 2 2 2" xfId="3516"/>
    <cellStyle name="Porcentual 5 4 2 3" xfId="3517"/>
    <cellStyle name="Porcentual 5 4 3" xfId="3518"/>
    <cellStyle name="Porcentual 5 4 3 2" xfId="3519"/>
    <cellStyle name="Porcentual 5 4 4" xfId="3520"/>
    <cellStyle name="Porcentual 5 5" xfId="676"/>
    <cellStyle name="Porcentual 5 5 2" xfId="3521"/>
    <cellStyle name="Porcentual 5 5 2 2" xfId="3522"/>
    <cellStyle name="Porcentual 5 5 2 2 2" xfId="3523"/>
    <cellStyle name="Porcentual 5 5 2 3" xfId="3524"/>
    <cellStyle name="Porcentual 5 5 3" xfId="3525"/>
    <cellStyle name="Porcentual 5 5 3 2" xfId="3526"/>
    <cellStyle name="Porcentual 5 5 4" xfId="3527"/>
    <cellStyle name="Porcentual 5 6" xfId="3528"/>
    <cellStyle name="Porcentual 5 6 2" xfId="3529"/>
    <cellStyle name="Porcentual 5 6 2 2" xfId="3530"/>
    <cellStyle name="Porcentual 5 6 2 2 2" xfId="3531"/>
    <cellStyle name="Porcentual 5 6 2 3" xfId="3532"/>
    <cellStyle name="Porcentual 5 6 3" xfId="3533"/>
    <cellStyle name="Porcentual 5 6 3 2" xfId="3534"/>
    <cellStyle name="Porcentual 5 6 4" xfId="3535"/>
    <cellStyle name="Porcentual 5 7" xfId="3536"/>
    <cellStyle name="Porcentual 5 7 2" xfId="3537"/>
    <cellStyle name="Porcentual 5 7 2 2" xfId="3538"/>
    <cellStyle name="Porcentual 5 7 2 2 2" xfId="3539"/>
    <cellStyle name="Porcentual 5 7 2 3" xfId="3540"/>
    <cellStyle name="Porcentual 5 7 3" xfId="3541"/>
    <cellStyle name="Porcentual 5 7 3 2" xfId="3542"/>
    <cellStyle name="Porcentual 5 7 4" xfId="3543"/>
    <cellStyle name="Porcentual 5 8" xfId="3544"/>
    <cellStyle name="Porcentual 5 8 2" xfId="3545"/>
    <cellStyle name="Porcentual 5 8 2 2" xfId="3546"/>
    <cellStyle name="Porcentual 5 8 3" xfId="3547"/>
    <cellStyle name="Porcentual 5 9" xfId="3548"/>
    <cellStyle name="Porcentual 5 9 2" xfId="3549"/>
    <cellStyle name="Porcentual 6" xfId="268"/>
    <cellStyle name="Porcentual 6 2" xfId="395"/>
    <cellStyle name="Porcentual 7" xfId="231"/>
    <cellStyle name="Porcentual 7 2" xfId="349"/>
    <cellStyle name="Porcentual 7 2 2" xfId="758"/>
    <cellStyle name="Porcentual 7 3" xfId="396"/>
    <cellStyle name="Porcentual 7 4" xfId="681"/>
    <cellStyle name="Porcentual 8" xfId="397"/>
    <cellStyle name="Porcentual 8 2" xfId="426"/>
    <cellStyle name="Porcentual 9" xfId="411"/>
    <cellStyle name="Porcentual 9 2" xfId="427"/>
    <cellStyle name="Salida" xfId="58" builtinId="21" customBuiltin="1"/>
    <cellStyle name="Salida 2" xfId="215"/>
    <cellStyle name="Salida 2 2" xfId="428"/>
    <cellStyle name="Salida 2 2 2" xfId="444"/>
    <cellStyle name="Salida 2 2 2 10" xfId="3550"/>
    <cellStyle name="Salida 2 2 2 11" xfId="3551"/>
    <cellStyle name="Salida 2 2 2 2" xfId="569"/>
    <cellStyle name="Salida 2 2 2 2 2" xfId="3552"/>
    <cellStyle name="Salida 2 2 2 2 3" xfId="3553"/>
    <cellStyle name="Salida 2 2 2 2 4" xfId="3554"/>
    <cellStyle name="Salida 2 2 2 2 5" xfId="3555"/>
    <cellStyle name="Salida 2 2 2 3" xfId="570"/>
    <cellStyle name="Salida 2 2 2 3 2" xfId="3556"/>
    <cellStyle name="Salida 2 2 2 3 3" xfId="3557"/>
    <cellStyle name="Salida 2 2 2 3 4" xfId="3558"/>
    <cellStyle name="Salida 2 2 2 3 5" xfId="3559"/>
    <cellStyle name="Salida 2 2 2 4" xfId="571"/>
    <cellStyle name="Salida 2 2 2 4 2" xfId="3560"/>
    <cellStyle name="Salida 2 2 2 4 3" xfId="3561"/>
    <cellStyle name="Salida 2 2 2 4 4" xfId="3562"/>
    <cellStyle name="Salida 2 2 2 4 5" xfId="3563"/>
    <cellStyle name="Salida 2 2 2 5" xfId="572"/>
    <cellStyle name="Salida 2 2 2 5 2" xfId="3564"/>
    <cellStyle name="Salida 2 2 2 5 3" xfId="3565"/>
    <cellStyle name="Salida 2 2 2 5 4" xfId="3566"/>
    <cellStyle name="Salida 2 2 2 5 5" xfId="3567"/>
    <cellStyle name="Salida 2 2 2 6" xfId="573"/>
    <cellStyle name="Salida 2 2 2 6 2" xfId="3568"/>
    <cellStyle name="Salida 2 2 2 6 3" xfId="3569"/>
    <cellStyle name="Salida 2 2 2 6 4" xfId="3570"/>
    <cellStyle name="Salida 2 2 2 6 5" xfId="3571"/>
    <cellStyle name="Salida 2 2 2 7" xfId="574"/>
    <cellStyle name="Salida 2 2 2 7 2" xfId="3572"/>
    <cellStyle name="Salida 2 2 2 7 3" xfId="3573"/>
    <cellStyle name="Salida 2 2 2 7 4" xfId="3574"/>
    <cellStyle name="Salida 2 2 2 7 5" xfId="3575"/>
    <cellStyle name="Salida 2 2 2 8" xfId="3576"/>
    <cellStyle name="Salida 2 2 2 9" xfId="3577"/>
    <cellStyle name="Salida 2 2 3" xfId="575"/>
    <cellStyle name="Salida 2 2 3 2" xfId="3578"/>
    <cellStyle name="Salida 2 2 3 3" xfId="3579"/>
    <cellStyle name="Salida 2 2 3 4" xfId="3580"/>
    <cellStyle name="Salida 2 2 3 5" xfId="3581"/>
    <cellStyle name="Salida 2 2 4" xfId="576"/>
    <cellStyle name="Salida 2 2 4 2" xfId="3582"/>
    <cellStyle name="Salida 2 2 4 3" xfId="3583"/>
    <cellStyle name="Salida 2 2 4 4" xfId="3584"/>
    <cellStyle name="Salida 2 2 4 5" xfId="3585"/>
    <cellStyle name="Salida 2 2 5" xfId="577"/>
    <cellStyle name="Salida 2 2 5 2" xfId="3586"/>
    <cellStyle name="Salida 2 2 5 3" xfId="3587"/>
    <cellStyle name="Salida 2 2 5 4" xfId="3588"/>
    <cellStyle name="Salida 2 2 5 5" xfId="3589"/>
    <cellStyle name="Salida 2 2 6" xfId="578"/>
    <cellStyle name="Salida 2 2 6 2" xfId="3590"/>
    <cellStyle name="Salida 2 2 6 3" xfId="3591"/>
    <cellStyle name="Salida 2 2 6 4" xfId="3592"/>
    <cellStyle name="Salida 2 2 6 5" xfId="3593"/>
    <cellStyle name="Salida 2 3" xfId="429"/>
    <cellStyle name="Salida 2 3 2" xfId="445"/>
    <cellStyle name="Salida 2 3 2 10" xfId="3594"/>
    <cellStyle name="Salida 2 3 2 11" xfId="3595"/>
    <cellStyle name="Salida 2 3 2 2" xfId="579"/>
    <cellStyle name="Salida 2 3 2 2 2" xfId="3596"/>
    <cellStyle name="Salida 2 3 2 2 3" xfId="3597"/>
    <cellStyle name="Salida 2 3 2 2 4" xfId="3598"/>
    <cellStyle name="Salida 2 3 2 2 5" xfId="3599"/>
    <cellStyle name="Salida 2 3 2 3" xfId="580"/>
    <cellStyle name="Salida 2 3 2 3 2" xfId="3600"/>
    <cellStyle name="Salida 2 3 2 3 3" xfId="3601"/>
    <cellStyle name="Salida 2 3 2 3 4" xfId="3602"/>
    <cellStyle name="Salida 2 3 2 3 5" xfId="3603"/>
    <cellStyle name="Salida 2 3 2 4" xfId="581"/>
    <cellStyle name="Salida 2 3 2 4 2" xfId="3604"/>
    <cellStyle name="Salida 2 3 2 4 3" xfId="3605"/>
    <cellStyle name="Salida 2 3 2 4 4" xfId="3606"/>
    <cellStyle name="Salida 2 3 2 4 5" xfId="3607"/>
    <cellStyle name="Salida 2 3 2 5" xfId="582"/>
    <cellStyle name="Salida 2 3 2 5 2" xfId="3608"/>
    <cellStyle name="Salida 2 3 2 5 3" xfId="3609"/>
    <cellStyle name="Salida 2 3 2 5 4" xfId="3610"/>
    <cellStyle name="Salida 2 3 2 5 5" xfId="3611"/>
    <cellStyle name="Salida 2 3 2 6" xfId="583"/>
    <cellStyle name="Salida 2 3 2 6 2" xfId="3612"/>
    <cellStyle name="Salida 2 3 2 6 3" xfId="3613"/>
    <cellStyle name="Salida 2 3 2 6 4" xfId="3614"/>
    <cellStyle name="Salida 2 3 2 6 5" xfId="3615"/>
    <cellStyle name="Salida 2 3 2 7" xfId="584"/>
    <cellStyle name="Salida 2 3 2 7 2" xfId="3616"/>
    <cellStyle name="Salida 2 3 2 7 3" xfId="3617"/>
    <cellStyle name="Salida 2 3 2 7 4" xfId="3618"/>
    <cellStyle name="Salida 2 3 2 7 5" xfId="3619"/>
    <cellStyle name="Salida 2 3 2 8" xfId="3620"/>
    <cellStyle name="Salida 2 3 2 9" xfId="3621"/>
    <cellStyle name="Salida 2 3 3" xfId="585"/>
    <cellStyle name="Salida 2 3 3 2" xfId="3622"/>
    <cellStyle name="Salida 2 3 3 3" xfId="3623"/>
    <cellStyle name="Salida 2 3 3 4" xfId="3624"/>
    <cellStyle name="Salida 2 3 3 5" xfId="3625"/>
    <cellStyle name="Salida 2 3 4" xfId="586"/>
    <cellStyle name="Salida 2 3 4 2" xfId="3626"/>
    <cellStyle name="Salida 2 3 4 3" xfId="3627"/>
    <cellStyle name="Salida 2 3 4 4" xfId="3628"/>
    <cellStyle name="Salida 2 3 4 5" xfId="3629"/>
    <cellStyle name="Salida 2 3 5" xfId="587"/>
    <cellStyle name="Salida 2 3 5 2" xfId="3630"/>
    <cellStyle name="Salida 2 3 5 3" xfId="3631"/>
    <cellStyle name="Salida 2 3 5 4" xfId="3632"/>
    <cellStyle name="Salida 2 3 5 5" xfId="3633"/>
    <cellStyle name="Salida 2 3 6" xfId="588"/>
    <cellStyle name="Salida 2 3 6 2" xfId="3634"/>
    <cellStyle name="Salida 2 3 6 3" xfId="3635"/>
    <cellStyle name="Salida 2 3 6 4" xfId="3636"/>
    <cellStyle name="Salida 2 3 6 5" xfId="3637"/>
    <cellStyle name="Salida 2 4" xfId="435"/>
    <cellStyle name="Salida 2 4 2" xfId="589"/>
    <cellStyle name="Salida 2 4 2 2" xfId="3638"/>
    <cellStyle name="Salida 2 4 2 3" xfId="3639"/>
    <cellStyle name="Salida 2 4 2 4" xfId="3640"/>
    <cellStyle name="Salida 2 4 2 5" xfId="3641"/>
    <cellStyle name="Salida 2 4 3" xfId="590"/>
    <cellStyle name="Salida 2 4 3 2" xfId="3642"/>
    <cellStyle name="Salida 2 4 3 3" xfId="3643"/>
    <cellStyle name="Salida 2 4 3 4" xfId="3644"/>
    <cellStyle name="Salida 2 4 3 5" xfId="3645"/>
    <cellStyle name="Salida 2 4 4" xfId="591"/>
    <cellStyle name="Salida 2 4 4 2" xfId="3646"/>
    <cellStyle name="Salida 2 4 4 3" xfId="3647"/>
    <cellStyle name="Salida 2 4 4 4" xfId="3648"/>
    <cellStyle name="Salida 2 4 4 5" xfId="3649"/>
    <cellStyle name="Salida 2 4 5" xfId="592"/>
    <cellStyle name="Salida 2 4 5 2" xfId="3650"/>
    <cellStyle name="Salida 2 4 5 3" xfId="3651"/>
    <cellStyle name="Salida 2 4 5 4" xfId="3652"/>
    <cellStyle name="Salida 2 4 5 5" xfId="3653"/>
    <cellStyle name="Salida 2 4 6" xfId="593"/>
    <cellStyle name="Salida 2 4 6 2" xfId="3654"/>
    <cellStyle name="Salida 2 4 6 3" xfId="3655"/>
    <cellStyle name="Salida 2 4 6 4" xfId="3656"/>
    <cellStyle name="Salida 2 4 6 5" xfId="3657"/>
    <cellStyle name="Salida 2 4 7" xfId="594"/>
    <cellStyle name="Salida 2 4 7 2" xfId="3658"/>
    <cellStyle name="Salida 2 4 7 3" xfId="3659"/>
    <cellStyle name="Salida 2 4 7 4" xfId="3660"/>
    <cellStyle name="Salida 2 4 7 5" xfId="3661"/>
    <cellStyle name="Salida 2 4 8" xfId="3662"/>
    <cellStyle name="Salida 2 5" xfId="595"/>
    <cellStyle name="Salida 2 5 2" xfId="3663"/>
    <cellStyle name="Salida 2 5 3" xfId="3664"/>
    <cellStyle name="Salida 2 5 4" xfId="3665"/>
    <cellStyle name="Salida 2 5 5" xfId="3666"/>
    <cellStyle name="Salida 2 6" xfId="596"/>
    <cellStyle name="Salida 2 6 2" xfId="3667"/>
    <cellStyle name="Salida 2 6 3" xfId="3668"/>
    <cellStyle name="Salida 2 6 4" xfId="3669"/>
    <cellStyle name="Salida 2 6 5" xfId="3670"/>
    <cellStyle name="Salida 2 7" xfId="597"/>
    <cellStyle name="Salida 2 7 2" xfId="3671"/>
    <cellStyle name="Salida 2 7 3" xfId="3672"/>
    <cellStyle name="Salida 2 7 4" xfId="3673"/>
    <cellStyle name="Salida 2 7 5" xfId="3674"/>
    <cellStyle name="Salida 2 8" xfId="598"/>
    <cellStyle name="Salida 2 8 2" xfId="3675"/>
    <cellStyle name="Salida 2 8 3" xfId="3676"/>
    <cellStyle name="Salida 2 8 4" xfId="3677"/>
    <cellStyle name="Salida 2 8 5" xfId="3678"/>
    <cellStyle name="Salida 3" xfId="269"/>
    <cellStyle name="Salida 3 2" xfId="685"/>
    <cellStyle name="TableStyleLight1" xfId="3679"/>
    <cellStyle name="Texto de advertencia" xfId="59" builtinId="11" customBuiltin="1"/>
    <cellStyle name="Texto de advertencia 2" xfId="216"/>
    <cellStyle name="Texto de advertencia 3" xfId="270"/>
    <cellStyle name="Texto explicativo" xfId="60" builtinId="53" customBuiltin="1"/>
    <cellStyle name="Texto explicativo 2" xfId="217"/>
    <cellStyle name="Texto explicativo 3" xfId="271"/>
    <cellStyle name="Título" xfId="61" builtinId="15" customBuiltin="1"/>
    <cellStyle name="Título 1 2" xfId="218"/>
    <cellStyle name="Título 1 3" xfId="273"/>
    <cellStyle name="Título 2" xfId="63" builtinId="17" customBuiltin="1"/>
    <cellStyle name="Título 2 2" xfId="219"/>
    <cellStyle name="Título 2 3" xfId="274"/>
    <cellStyle name="Título 3" xfId="64" builtinId="18" customBuiltin="1"/>
    <cellStyle name="Título 3 2" xfId="220"/>
    <cellStyle name="Título 3 3" xfId="275"/>
    <cellStyle name="Título 4" xfId="221"/>
    <cellStyle name="Título 5" xfId="272"/>
    <cellStyle name="Total" xfId="65" builtinId="25" customBuiltin="1"/>
    <cellStyle name="Total 2" xfId="222"/>
    <cellStyle name="Total 2 2" xfId="430"/>
    <cellStyle name="Total 2 2 2" xfId="446"/>
    <cellStyle name="Total 2 2 2 10" xfId="3680"/>
    <cellStyle name="Total 2 2 2 11" xfId="3681"/>
    <cellStyle name="Total 2 2 2 2" xfId="599"/>
    <cellStyle name="Total 2 2 2 2 2" xfId="3682"/>
    <cellStyle name="Total 2 2 2 2 3" xfId="3683"/>
    <cellStyle name="Total 2 2 2 2 4" xfId="3684"/>
    <cellStyle name="Total 2 2 2 2 5" xfId="3685"/>
    <cellStyle name="Total 2 2 2 3" xfId="600"/>
    <cellStyle name="Total 2 2 2 3 2" xfId="3686"/>
    <cellStyle name="Total 2 2 2 3 3" xfId="3687"/>
    <cellStyle name="Total 2 2 2 3 4" xfId="3688"/>
    <cellStyle name="Total 2 2 2 3 5" xfId="3689"/>
    <cellStyle name="Total 2 2 2 4" xfId="601"/>
    <cellStyle name="Total 2 2 2 4 2" xfId="3690"/>
    <cellStyle name="Total 2 2 2 4 3" xfId="3691"/>
    <cellStyle name="Total 2 2 2 4 4" xfId="3692"/>
    <cellStyle name="Total 2 2 2 4 5" xfId="3693"/>
    <cellStyle name="Total 2 2 2 5" xfId="602"/>
    <cellStyle name="Total 2 2 2 5 2" xfId="3694"/>
    <cellStyle name="Total 2 2 2 5 3" xfId="3695"/>
    <cellStyle name="Total 2 2 2 5 4" xfId="3696"/>
    <cellStyle name="Total 2 2 2 5 5" xfId="3697"/>
    <cellStyle name="Total 2 2 2 6" xfId="603"/>
    <cellStyle name="Total 2 2 2 6 2" xfId="3698"/>
    <cellStyle name="Total 2 2 2 6 3" xfId="3699"/>
    <cellStyle name="Total 2 2 2 6 4" xfId="3700"/>
    <cellStyle name="Total 2 2 2 6 5" xfId="3701"/>
    <cellStyle name="Total 2 2 2 7" xfId="604"/>
    <cellStyle name="Total 2 2 2 7 2" xfId="3702"/>
    <cellStyle name="Total 2 2 2 7 3" xfId="3703"/>
    <cellStyle name="Total 2 2 2 7 4" xfId="3704"/>
    <cellStyle name="Total 2 2 2 7 5" xfId="3705"/>
    <cellStyle name="Total 2 2 2 8" xfId="3706"/>
    <cellStyle name="Total 2 2 2 9" xfId="3707"/>
    <cellStyle name="Total 2 2 3" xfId="605"/>
    <cellStyle name="Total 2 2 3 2" xfId="3708"/>
    <cellStyle name="Total 2 2 3 3" xfId="3709"/>
    <cellStyle name="Total 2 2 3 4" xfId="3710"/>
    <cellStyle name="Total 2 2 3 5" xfId="3711"/>
    <cellStyle name="Total 2 2 4" xfId="606"/>
    <cellStyle name="Total 2 2 4 2" xfId="3712"/>
    <cellStyle name="Total 2 2 4 3" xfId="3713"/>
    <cellStyle name="Total 2 2 4 4" xfId="3714"/>
    <cellStyle name="Total 2 2 4 5" xfId="3715"/>
    <cellStyle name="Total 2 2 5" xfId="607"/>
    <cellStyle name="Total 2 2 5 2" xfId="3716"/>
    <cellStyle name="Total 2 2 5 3" xfId="3717"/>
    <cellStyle name="Total 2 2 5 4" xfId="3718"/>
    <cellStyle name="Total 2 2 5 5" xfId="3719"/>
    <cellStyle name="Total 2 2 6" xfId="608"/>
    <cellStyle name="Total 2 2 6 2" xfId="3720"/>
    <cellStyle name="Total 2 2 6 3" xfId="3721"/>
    <cellStyle name="Total 2 2 6 4" xfId="3722"/>
    <cellStyle name="Total 2 2 6 5" xfId="3723"/>
    <cellStyle name="Total 2 3" xfId="431"/>
    <cellStyle name="Total 2 3 2" xfId="447"/>
    <cellStyle name="Total 2 3 2 10" xfId="3724"/>
    <cellStyle name="Total 2 3 2 11" xfId="3725"/>
    <cellStyle name="Total 2 3 2 2" xfId="609"/>
    <cellStyle name="Total 2 3 2 2 2" xfId="3726"/>
    <cellStyle name="Total 2 3 2 2 3" xfId="3727"/>
    <cellStyle name="Total 2 3 2 2 4" xfId="3728"/>
    <cellStyle name="Total 2 3 2 2 5" xfId="3729"/>
    <cellStyle name="Total 2 3 2 3" xfId="610"/>
    <cellStyle name="Total 2 3 2 3 2" xfId="3730"/>
    <cellStyle name="Total 2 3 2 3 3" xfId="3731"/>
    <cellStyle name="Total 2 3 2 3 4" xfId="3732"/>
    <cellStyle name="Total 2 3 2 3 5" xfId="3733"/>
    <cellStyle name="Total 2 3 2 4" xfId="611"/>
    <cellStyle name="Total 2 3 2 4 2" xfId="3734"/>
    <cellStyle name="Total 2 3 2 4 3" xfId="3735"/>
    <cellStyle name="Total 2 3 2 4 4" xfId="3736"/>
    <cellStyle name="Total 2 3 2 4 5" xfId="3737"/>
    <cellStyle name="Total 2 3 2 5" xfId="612"/>
    <cellStyle name="Total 2 3 2 5 2" xfId="3738"/>
    <cellStyle name="Total 2 3 2 5 3" xfId="3739"/>
    <cellStyle name="Total 2 3 2 5 4" xfId="3740"/>
    <cellStyle name="Total 2 3 2 5 5" xfId="3741"/>
    <cellStyle name="Total 2 3 2 6" xfId="613"/>
    <cellStyle name="Total 2 3 2 6 2" xfId="3742"/>
    <cellStyle name="Total 2 3 2 6 3" xfId="3743"/>
    <cellStyle name="Total 2 3 2 6 4" xfId="3744"/>
    <cellStyle name="Total 2 3 2 6 5" xfId="3745"/>
    <cellStyle name="Total 2 3 2 7" xfId="614"/>
    <cellStyle name="Total 2 3 2 7 2" xfId="3746"/>
    <cellStyle name="Total 2 3 2 7 3" xfId="3747"/>
    <cellStyle name="Total 2 3 2 7 4" xfId="3748"/>
    <cellStyle name="Total 2 3 2 7 5" xfId="3749"/>
    <cellStyle name="Total 2 3 2 8" xfId="3750"/>
    <cellStyle name="Total 2 3 2 9" xfId="3751"/>
    <cellStyle name="Total 2 3 3" xfId="615"/>
    <cellStyle name="Total 2 3 3 2" xfId="3752"/>
    <cellStyle name="Total 2 3 3 3" xfId="3753"/>
    <cellStyle name="Total 2 3 3 4" xfId="3754"/>
    <cellStyle name="Total 2 3 3 5" xfId="3755"/>
    <cellStyle name="Total 2 3 4" xfId="616"/>
    <cellStyle name="Total 2 3 4 2" xfId="3756"/>
    <cellStyle name="Total 2 3 4 3" xfId="3757"/>
    <cellStyle name="Total 2 3 4 4" xfId="3758"/>
    <cellStyle name="Total 2 3 4 5" xfId="3759"/>
    <cellStyle name="Total 2 3 5" xfId="617"/>
    <cellStyle name="Total 2 3 5 2" xfId="3760"/>
    <cellStyle name="Total 2 3 5 3" xfId="3761"/>
    <cellStyle name="Total 2 3 5 4" xfId="3762"/>
    <cellStyle name="Total 2 3 5 5" xfId="3763"/>
    <cellStyle name="Total 2 3 6" xfId="618"/>
    <cellStyle name="Total 2 3 6 2" xfId="3764"/>
    <cellStyle name="Total 2 3 6 3" xfId="3765"/>
    <cellStyle name="Total 2 3 6 4" xfId="3766"/>
    <cellStyle name="Total 2 3 6 5" xfId="3767"/>
    <cellStyle name="Total 2 4" xfId="436"/>
    <cellStyle name="Total 2 4 2" xfId="619"/>
    <cellStyle name="Total 2 4 2 2" xfId="3768"/>
    <cellStyle name="Total 2 4 2 3" xfId="3769"/>
    <cellStyle name="Total 2 4 2 4" xfId="3770"/>
    <cellStyle name="Total 2 4 2 5" xfId="3771"/>
    <cellStyle name="Total 2 4 3" xfId="620"/>
    <cellStyle name="Total 2 4 3 2" xfId="3772"/>
    <cellStyle name="Total 2 4 3 3" xfId="3773"/>
    <cellStyle name="Total 2 4 3 4" xfId="3774"/>
    <cellStyle name="Total 2 4 3 5" xfId="3775"/>
    <cellStyle name="Total 2 4 4" xfId="621"/>
    <cellStyle name="Total 2 4 4 2" xfId="3776"/>
    <cellStyle name="Total 2 4 4 3" xfId="3777"/>
    <cellStyle name="Total 2 4 4 4" xfId="3778"/>
    <cellStyle name="Total 2 4 4 5" xfId="3779"/>
    <cellStyle name="Total 2 4 5" xfId="622"/>
    <cellStyle name="Total 2 4 5 2" xfId="3780"/>
    <cellStyle name="Total 2 4 5 3" xfId="3781"/>
    <cellStyle name="Total 2 4 5 4" xfId="3782"/>
    <cellStyle name="Total 2 4 5 5" xfId="3783"/>
    <cellStyle name="Total 2 4 6" xfId="623"/>
    <cellStyle name="Total 2 4 6 2" xfId="3784"/>
    <cellStyle name="Total 2 4 6 3" xfId="3785"/>
    <cellStyle name="Total 2 4 6 4" xfId="3786"/>
    <cellStyle name="Total 2 4 6 5" xfId="3787"/>
    <cellStyle name="Total 2 4 7" xfId="624"/>
    <cellStyle name="Total 2 4 7 2" xfId="3788"/>
    <cellStyle name="Total 2 4 7 3" xfId="3789"/>
    <cellStyle name="Total 2 4 7 4" xfId="3790"/>
    <cellStyle name="Total 2 4 7 5" xfId="3791"/>
    <cellStyle name="Total 2 5" xfId="625"/>
    <cellStyle name="Total 2 5 2" xfId="3792"/>
    <cellStyle name="Total 2 5 3" xfId="3793"/>
    <cellStyle name="Total 2 5 4" xfId="3794"/>
    <cellStyle name="Total 2 5 5" xfId="3795"/>
    <cellStyle name="Total 2 6" xfId="626"/>
    <cellStyle name="Total 2 6 2" xfId="3796"/>
    <cellStyle name="Total 2 6 3" xfId="3797"/>
    <cellStyle name="Total 2 6 4" xfId="3798"/>
    <cellStyle name="Total 2 6 5" xfId="3799"/>
    <cellStyle name="Total 2 7" xfId="627"/>
    <cellStyle name="Total 2 7 2" xfId="3800"/>
    <cellStyle name="Total 2 7 3" xfId="3801"/>
    <cellStyle name="Total 2 7 4" xfId="3802"/>
    <cellStyle name="Total 2 7 5" xfId="3803"/>
    <cellStyle name="Total 2 8" xfId="628"/>
    <cellStyle name="Total 2 8 2" xfId="3804"/>
    <cellStyle name="Total 2 8 3" xfId="3805"/>
    <cellStyle name="Total 2 8 4" xfId="3806"/>
    <cellStyle name="Total 2 8 5" xfId="3807"/>
    <cellStyle name="Total 3" xfId="276"/>
    <cellStyle name="Total 3 2" xfId="686"/>
  </cellStyles>
  <dxfs count="0"/>
  <tableStyles count="0" defaultTableStyle="TableStyleMedium9" defaultPivotStyle="PivotStyleLight16"/>
  <colors>
    <mruColors>
      <color rgb="FFCC9900"/>
      <color rgb="FF57A519"/>
      <color rgb="FFAD25A8"/>
      <color rgb="FF0072CE"/>
      <color rgb="FFF08200"/>
      <color rgb="FFCD032E"/>
      <color rgb="FF663300"/>
      <color rgb="FF008080"/>
      <color rgb="FF996633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externalLink" Target="externalLinks/externalLink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theme" Target="theme/theme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sharedStrings" Target="sharedStrings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Aspirantes a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484705990915E-2"/>
          <c:w val="0.96432468301766117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'Aspirantes uni'!$S$70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('Aspirantes uni'!$E$9,'Aspirantes uni'!$H$9,'Aspirantes uni'!$K$9,'Aspirantes uni'!$N$9,'Aspirantes uni'!$Q$9,'Aspirantes uni'!$T$9,'Aspirantes uni'!$W$9,'Aspirantes uni'!$Z$9,'Aspirantes uni'!$AC$9,'Aspirantes uni'!$AF$9,'Aspirantes uni'!$AI$9,'Aspirantes uni'!$AL$9,'Aspirantes uni'!$AO$9,'Aspirantes uni'!$AR$9,'Aspirantes uni'!$AU$9)</c:f>
              <c:numCache>
                <c:formatCode>#,##0</c:formatCode>
                <c:ptCount val="15"/>
                <c:pt idx="0">
                  <c:v>18977</c:v>
                </c:pt>
                <c:pt idx="1">
                  <c:v>21362</c:v>
                </c:pt>
                <c:pt idx="2">
                  <c:v>21830</c:v>
                </c:pt>
                <c:pt idx="3">
                  <c:v>20296</c:v>
                </c:pt>
                <c:pt idx="4">
                  <c:v>21368</c:v>
                </c:pt>
                <c:pt idx="5">
                  <c:v>22969</c:v>
                </c:pt>
                <c:pt idx="6">
                  <c:v>24463</c:v>
                </c:pt>
                <c:pt idx="7">
                  <c:v>27536</c:v>
                </c:pt>
                <c:pt idx="8">
                  <c:v>27386</c:v>
                </c:pt>
                <c:pt idx="9">
                  <c:v>30212</c:v>
                </c:pt>
                <c:pt idx="10">
                  <c:v>28991</c:v>
                </c:pt>
                <c:pt idx="11">
                  <c:v>27833</c:v>
                </c:pt>
                <c:pt idx="12">
                  <c:v>29297</c:v>
                </c:pt>
                <c:pt idx="13">
                  <c:v>29363</c:v>
                </c:pt>
                <c:pt idx="14">
                  <c:v>28682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D5-4945-AA87-3BF2D6B847B2}"/>
            </c:ext>
          </c:extLst>
        </c:ser>
        <c:ser>
          <c:idx val="1"/>
          <c:order val="1"/>
          <c:tx>
            <c:strRef>
              <c:f>'Aspirantes uni'!$S$71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5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D5-4945-AA87-3BF2D6B847B2}"/>
                </c:ext>
              </c:extLst>
            </c:dLbl>
            <c:dLbl>
              <c:idx val="6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D5-4945-AA87-3BF2D6B847B2}"/>
                </c:ext>
              </c:extLst>
            </c:dLbl>
            <c:dLbl>
              <c:idx val="7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D5-4945-AA87-3BF2D6B847B2}"/>
                </c:ext>
              </c:extLst>
            </c:dLbl>
            <c:dLbl>
              <c:idx val="8"/>
              <c:layout>
                <c:manualLayout>
                  <c:x val="5.213424033227984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D5-4945-AA87-3BF2D6B847B2}"/>
                </c:ext>
              </c:extLst>
            </c:dLbl>
            <c:dLbl>
              <c:idx val="9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D5-4945-AA87-3BF2D6B847B2}"/>
                </c:ext>
              </c:extLst>
            </c:dLbl>
            <c:dLbl>
              <c:idx val="10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D5-4945-AA87-3BF2D6B847B2}"/>
                </c:ext>
              </c:extLst>
            </c:dLbl>
            <c:dLbl>
              <c:idx val="11"/>
              <c:layout>
                <c:manualLayout>
                  <c:x val="6.51678004153498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D5-4945-AA87-3BF2D6B847B2}"/>
                </c:ext>
              </c:extLst>
            </c:dLbl>
            <c:dLbl>
              <c:idx val="12"/>
              <c:layout>
                <c:manualLayout>
                  <c:x val="6.93040716142073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D5-4945-AA87-3BF2D6B847B2}"/>
                </c:ext>
              </c:extLst>
            </c:dLbl>
            <c:dLbl>
              <c:idx val="13"/>
              <c:layout>
                <c:manualLayout>
                  <c:x val="4.620271440947156E-3"/>
                  <c:y val="-2.5632802236472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D5-4945-AA87-3BF2D6B847B2}"/>
                </c:ext>
              </c:extLst>
            </c:dLbl>
            <c:dLbl>
              <c:idx val="14"/>
              <c:layout>
                <c:manualLayout>
                  <c:x val="4.6202714409471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FA-4CDA-8A99-14EC96442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('Aspirantes uni'!$E$14,'Aspirantes uni'!$H$14,'Aspirantes uni'!$K$14,'Aspirantes uni'!$N$14,'Aspirantes uni'!$Q$14,'Aspirantes uni'!$T$14,'Aspirantes uni'!$W$14,'Aspirantes uni'!$Z$14,'Aspirantes uni'!$AC$14,'Aspirantes uni'!$AF$14,'Aspirantes uni'!$AI$14,'Aspirantes uni'!$AL$14,'Aspirantes uni'!$AO$14,'Aspirantes uni'!$AR$14,'Aspirantes uni'!$AU$14)</c:f>
              <c:numCache>
                <c:formatCode>#,##0</c:formatCode>
                <c:ptCount val="15"/>
                <c:pt idx="2">
                  <c:v>826</c:v>
                </c:pt>
                <c:pt idx="3">
                  <c:v>286</c:v>
                </c:pt>
                <c:pt idx="4">
                  <c:v>927</c:v>
                </c:pt>
                <c:pt idx="5">
                  <c:v>1153</c:v>
                </c:pt>
                <c:pt idx="6">
                  <c:v>1362</c:v>
                </c:pt>
                <c:pt idx="7">
                  <c:v>1844</c:v>
                </c:pt>
                <c:pt idx="8">
                  <c:v>1712</c:v>
                </c:pt>
                <c:pt idx="9">
                  <c:v>1698</c:v>
                </c:pt>
                <c:pt idx="10">
                  <c:v>3373</c:v>
                </c:pt>
                <c:pt idx="11">
                  <c:v>3920</c:v>
                </c:pt>
                <c:pt idx="12">
                  <c:v>4469</c:v>
                </c:pt>
                <c:pt idx="13">
                  <c:v>4913</c:v>
                </c:pt>
                <c:pt idx="14">
                  <c:v>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2D5-4945-AA87-3BF2D6B847B2}"/>
            </c:ext>
          </c:extLst>
        </c:ser>
        <c:ser>
          <c:idx val="2"/>
          <c:order val="2"/>
          <c:tx>
            <c:strRef>
              <c:f>'Aspirantes uni'!$S$72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('Aspirantes uni'!$E$19,'Aspirantes uni'!$H$19,'Aspirantes uni'!$K$19,'Aspirantes uni'!$N$19,'Aspirantes uni'!$Q$19,'Aspirantes uni'!$T$19,'Aspirantes uni'!$W$19,'Aspirantes uni'!$Z$19,'Aspirantes uni'!$AC$19,'Aspirantes uni'!$AF$19,'Aspirantes uni'!$AI$19,'Aspirantes uni'!$AL$19,'Aspirantes uni'!$AO$19,'Aspirantes uni'!$AR$19,'Aspirantes uni'!$AU$19)</c:f>
              <c:numCache>
                <c:formatCode>#,##0</c:formatCode>
                <c:ptCount val="15"/>
                <c:pt idx="0">
                  <c:v>9596</c:v>
                </c:pt>
                <c:pt idx="1">
                  <c:v>8675</c:v>
                </c:pt>
                <c:pt idx="2">
                  <c:v>9557</c:v>
                </c:pt>
                <c:pt idx="3">
                  <c:v>9756</c:v>
                </c:pt>
                <c:pt idx="4">
                  <c:v>9718</c:v>
                </c:pt>
                <c:pt idx="5">
                  <c:v>10924</c:v>
                </c:pt>
                <c:pt idx="6">
                  <c:v>12037</c:v>
                </c:pt>
                <c:pt idx="7">
                  <c:v>12896</c:v>
                </c:pt>
                <c:pt idx="8">
                  <c:v>13008</c:v>
                </c:pt>
                <c:pt idx="9">
                  <c:v>14731</c:v>
                </c:pt>
                <c:pt idx="10">
                  <c:v>14690</c:v>
                </c:pt>
                <c:pt idx="11">
                  <c:v>14443</c:v>
                </c:pt>
                <c:pt idx="12">
                  <c:v>15401</c:v>
                </c:pt>
                <c:pt idx="13">
                  <c:v>15641</c:v>
                </c:pt>
                <c:pt idx="14">
                  <c:v>14975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D5-4945-AA87-3BF2D6B847B2}"/>
            </c:ext>
          </c:extLst>
        </c:ser>
        <c:ser>
          <c:idx val="3"/>
          <c:order val="3"/>
          <c:tx>
            <c:strRef>
              <c:f>'Aspirantes uni'!$S$73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4"/>
              <c:layout>
                <c:manualLayout>
                  <c:x val="3.4652035807103665E-3"/>
                  <c:y val="-2.56328022364730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A-4CDA-8A99-14EC96442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('Aspirantes uni'!$E$24,'Aspirantes uni'!$H$24,'Aspirantes uni'!$K$24,'Aspirantes uni'!$N$24,'Aspirantes uni'!$Q$24,'Aspirantes uni'!$T$24,'Aspirantes uni'!$W$24,'Aspirantes uni'!$Z$24,'Aspirantes uni'!$AC$24,'Aspirantes uni'!$AF$24,'Aspirantes uni'!$AI$24,'Aspirantes uni'!$AL$24,'Aspirantes uni'!$AO$24,'Aspirantes uni'!$AR$24,'Aspirantes uni'!$AU$24)</c:f>
              <c:numCache>
                <c:formatCode>#,##0</c:formatCode>
                <c:ptCount val="15"/>
                <c:pt idx="8">
                  <c:v>402</c:v>
                </c:pt>
                <c:pt idx="9">
                  <c:v>163</c:v>
                </c:pt>
                <c:pt idx="10">
                  <c:v>401</c:v>
                </c:pt>
                <c:pt idx="11">
                  <c:v>433</c:v>
                </c:pt>
                <c:pt idx="12">
                  <c:v>645</c:v>
                </c:pt>
                <c:pt idx="13">
                  <c:v>767</c:v>
                </c:pt>
                <c:pt idx="14">
                  <c:v>1168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2D5-4945-AA87-3BF2D6B847B2}"/>
            </c:ext>
          </c:extLst>
        </c:ser>
        <c:ser>
          <c:idx val="4"/>
          <c:order val="4"/>
          <c:tx>
            <c:strRef>
              <c:f>'Aspirantes uni'!$S$74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'Aspirantes uni'!$S$51:$S$65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('Aspirantes uni'!$E$29,'Aspirantes uni'!$H$29,'Aspirantes uni'!$K$29,'Aspirantes uni'!$N$29,'Aspirantes uni'!$Q$29,'Aspirantes uni'!$T$29,'Aspirantes uni'!$W$29,'Aspirantes uni'!$Z$29,'Aspirantes uni'!$AC$29,'Aspirantes uni'!$AF$29,'Aspirantes uni'!$AI$29,'Aspirantes uni'!$AL$29,'Aspirantes uni'!$AO$29,'Aspirantes uni'!$AR$29,'Aspirantes uni'!$AU$29)</c:f>
              <c:numCache>
                <c:formatCode>#,##0</c:formatCode>
                <c:ptCount val="15"/>
                <c:pt idx="0">
                  <c:v>24707</c:v>
                </c:pt>
                <c:pt idx="1">
                  <c:v>25286</c:v>
                </c:pt>
                <c:pt idx="2">
                  <c:v>27551</c:v>
                </c:pt>
                <c:pt idx="3">
                  <c:v>26197</c:v>
                </c:pt>
                <c:pt idx="4">
                  <c:v>27570</c:v>
                </c:pt>
                <c:pt idx="5">
                  <c:v>30149</c:v>
                </c:pt>
                <c:pt idx="6">
                  <c:v>32128</c:v>
                </c:pt>
                <c:pt idx="7">
                  <c:v>34715</c:v>
                </c:pt>
                <c:pt idx="8">
                  <c:v>36519</c:v>
                </c:pt>
                <c:pt idx="9">
                  <c:v>40265</c:v>
                </c:pt>
                <c:pt idx="10">
                  <c:v>40663</c:v>
                </c:pt>
                <c:pt idx="11">
                  <c:v>39524</c:v>
                </c:pt>
                <c:pt idx="12">
                  <c:v>42878</c:v>
                </c:pt>
                <c:pt idx="13">
                  <c:v>43068</c:v>
                </c:pt>
                <c:pt idx="14">
                  <c:v>43304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2D5-4945-AA87-3BF2D6B84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99887360"/>
        <c:axId val="99909632"/>
        <c:axId val="0"/>
      </c:bar3DChart>
      <c:catAx>
        <c:axId val="9988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99909632"/>
        <c:crosses val="autoZero"/>
        <c:auto val="1"/>
        <c:lblAlgn val="ctr"/>
        <c:lblOffset val="100"/>
        <c:noMultiLvlLbl val="0"/>
      </c:catAx>
      <c:valAx>
        <c:axId val="999096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988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5910836491833602"/>
          <c:y val="0.93466827895698401"/>
          <c:w val="0.76910802009343937"/>
          <c:h val="4.9055022290746694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Estado laboral de los admitidos</a:t>
            </a:r>
          </a:p>
        </c:rich>
      </c:tx>
      <c:layout>
        <c:manualLayout>
          <c:xMode val="edge"/>
          <c:yMode val="edge"/>
          <c:x val="0.38657292571524643"/>
          <c:y val="4.592982212501012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482164373581416E-2"/>
          <c:y val="2.4309774830553917E-2"/>
          <c:w val="0.96672967863894144"/>
          <c:h val="0.79804031895590222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'Admitidos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SE'!$E$4:$R$4</c:f>
              <c:numCache>
                <c:formatCode>0%</c:formatCode>
                <c:ptCount val="14"/>
                <c:pt idx="0">
                  <c:v>0.65807513024403619</c:v>
                </c:pt>
                <c:pt idx="1">
                  <c:v>0.64029041448396284</c:v>
                </c:pt>
                <c:pt idx="2">
                  <c:v>0.65014549892049189</c:v>
                </c:pt>
                <c:pt idx="3">
                  <c:v>0.62548445032611777</c:v>
                </c:pt>
                <c:pt idx="4">
                  <c:v>0.6520669756882036</c:v>
                </c:pt>
                <c:pt idx="5">
                  <c:v>0.66371598078915151</c:v>
                </c:pt>
                <c:pt idx="6">
                  <c:v>0.66</c:v>
                </c:pt>
                <c:pt idx="7">
                  <c:v>0.66</c:v>
                </c:pt>
                <c:pt idx="8">
                  <c:v>0.66900000000000004</c:v>
                </c:pt>
                <c:pt idx="9">
                  <c:v>0.67900000000000005</c:v>
                </c:pt>
                <c:pt idx="10">
                  <c:v>0.69</c:v>
                </c:pt>
                <c:pt idx="11">
                  <c:v>0.68700000000000006</c:v>
                </c:pt>
                <c:pt idx="12">
                  <c:v>0.68</c:v>
                </c:pt>
                <c:pt idx="13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9-4A99-8422-E64E1AD81CB1}"/>
            </c:ext>
          </c:extLst>
        </c:ser>
        <c:ser>
          <c:idx val="2"/>
          <c:order val="1"/>
          <c:tx>
            <c:strRef>
              <c:f>'Admitidos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SE'!$E$5:$R$5</c:f>
              <c:numCache>
                <c:formatCode>0%</c:formatCode>
                <c:ptCount val="14"/>
                <c:pt idx="0">
                  <c:v>0.34192486975596381</c:v>
                </c:pt>
                <c:pt idx="1">
                  <c:v>0.35970958551603716</c:v>
                </c:pt>
                <c:pt idx="2">
                  <c:v>0.34985450107950811</c:v>
                </c:pt>
                <c:pt idx="3">
                  <c:v>0.37451554967388223</c:v>
                </c:pt>
                <c:pt idx="4">
                  <c:v>0.3479330243117964</c:v>
                </c:pt>
                <c:pt idx="5">
                  <c:v>0.33628401921084849</c:v>
                </c:pt>
                <c:pt idx="6">
                  <c:v>0.33821434225106856</c:v>
                </c:pt>
                <c:pt idx="7">
                  <c:v>0.33823645087705501</c:v>
                </c:pt>
                <c:pt idx="8">
                  <c:v>0.3314229572621582</c:v>
                </c:pt>
                <c:pt idx="9">
                  <c:v>0.32105432855070126</c:v>
                </c:pt>
                <c:pt idx="10">
                  <c:v>0.31</c:v>
                </c:pt>
                <c:pt idx="11">
                  <c:v>0.313</c:v>
                </c:pt>
                <c:pt idx="12">
                  <c:v>0.32</c:v>
                </c:pt>
                <c:pt idx="13">
                  <c:v>0.32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9-4A99-8422-E64E1AD81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1346048"/>
        <c:axId val="111347584"/>
        <c:axId val="0"/>
      </c:bar3DChart>
      <c:catAx>
        <c:axId val="1113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347584"/>
        <c:crosses val="autoZero"/>
        <c:auto val="1"/>
        <c:lblAlgn val="ctr"/>
        <c:lblOffset val="100"/>
        <c:noMultiLvlLbl val="0"/>
      </c:catAx>
      <c:valAx>
        <c:axId val="1113475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134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5636192451032591"/>
          <c:y val="0.91571821874705039"/>
          <c:w val="0.4886505166235664"/>
          <c:h val="6.4553024283032293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D-430C-872E-1A77A479E5A6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Acad'!$AD$26,'Cuerpos Acad'!$AH$26,'Cuerpos Acad'!$AL$26,'Cuerpos Acad'!$AP$26,'Cuerpos Acad'!$AT$26)</c:f>
              <c:numCache>
                <c:formatCode>General</c:formatCode>
                <c:ptCount val="5"/>
                <c:pt idx="0">
                  <c:v>6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2D-430C-872E-1A77A479E5A6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D-430C-872E-1A77A479E5A6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D-430C-872E-1A77A479E5A6}"/>
                </c:ext>
              </c:extLst>
            </c:dLbl>
            <c:dLbl>
              <c:idx val="2"/>
              <c:layout>
                <c:manualLayout>
                  <c:x val="-3.5175149468438145E-2"/>
                  <c:y val="4.756367303811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D-430C-872E-1A77A479E5A6}"/>
                </c:ext>
              </c:extLst>
            </c:dLbl>
            <c:dLbl>
              <c:idx val="3"/>
              <c:layout>
                <c:manualLayout>
                  <c:x val="-3.8219288769211338E-2"/>
                  <c:y val="5.2918423123075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D-430C-872E-1A77A479E5A6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Acad'!$AE$26,'Cuerpos Acad'!$AI$26,'Cuerpos Acad'!$AM$26,'Cuerpos Acad'!$AQ$26,'Cuerpos Acad'!$AU$26)</c:f>
              <c:numCache>
                <c:formatCode>General</c:formatCode>
                <c:ptCount val="5"/>
                <c:pt idx="0">
                  <c:v>17</c:v>
                </c:pt>
                <c:pt idx="1">
                  <c:v>13</c:v>
                </c:pt>
                <c:pt idx="2">
                  <c:v>11</c:v>
                </c:pt>
                <c:pt idx="3">
                  <c:v>11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2D-430C-872E-1A77A479E5A6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4.1263428069984523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D-430C-872E-1A77A479E5A6}"/>
                </c:ext>
              </c:extLst>
            </c:dLbl>
            <c:dLbl>
              <c:idx val="1"/>
              <c:layout>
                <c:manualLayout>
                  <c:x val="-3.5175149468438145E-2"/>
                  <c:y val="4.3467078406190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D-430C-872E-1A77A479E5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Acad'!$AF$26,'Cuerpos Acad'!$AJ$26,'Cuerpos Acad'!$AN$26,'Cuerpos Acad'!$AR$26,'Cuerpos Acad'!$AV$26)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13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62D-430C-872E-1A77A479E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2432"/>
        <c:axId val="144083968"/>
      </c:lineChart>
      <c:catAx>
        <c:axId val="1440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4083968"/>
        <c:crosses val="autoZero"/>
        <c:auto val="1"/>
        <c:lblAlgn val="ctr"/>
        <c:lblOffset val="100"/>
        <c:noMultiLvlLbl val="0"/>
      </c:catAx>
      <c:valAx>
        <c:axId val="144083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824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Acad'!$AD$27,'Cuerpos Acad'!$AH$27,'Cuerpos Acad'!$AL$27,'Cuerpos Acad'!$AP$27,'Cuerpos Acad'!$AT$27)</c:f>
              <c:numCache>
                <c:formatCode>General</c:formatCode>
                <c:ptCount val="5"/>
                <c:pt idx="0">
                  <c:v>5</c:v>
                </c:pt>
                <c:pt idx="1">
                  <c:v>7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4D-4395-8A18-993D5CB530EB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Acad'!$AE$27,'Cuerpos Acad'!$AI$27,'Cuerpos Acad'!$AM$27,'Cuerpos Acad'!$AQ$27,'Cuerpos Acad'!$AU$27)</c:f>
              <c:numCache>
                <c:formatCode>General</c:formatCode>
                <c:ptCount val="5"/>
                <c:pt idx="0">
                  <c:v>11</c:v>
                </c:pt>
                <c:pt idx="1">
                  <c:v>17</c:v>
                </c:pt>
                <c:pt idx="2">
                  <c:v>15</c:v>
                </c:pt>
                <c:pt idx="3">
                  <c:v>13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4D-4395-8A18-993D5CB530EB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Acad'!$AF$27,'Cuerpos Acad'!$AJ$27,'Cuerpos Acad'!$AN$27,'Cuerpos Acad'!$AR$27,'Cuerpos Acad'!$AV$27)</c:f>
              <c:numCache>
                <c:formatCode>General</c:formatCode>
                <c:ptCount val="5"/>
                <c:pt idx="0">
                  <c:v>8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4D-4395-8A18-993D5CB53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64480"/>
        <c:axId val="143366016"/>
      </c:lineChart>
      <c:catAx>
        <c:axId val="14336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366016"/>
        <c:crosses val="autoZero"/>
        <c:auto val="1"/>
        <c:lblAlgn val="ctr"/>
        <c:lblOffset val="100"/>
        <c:noMultiLvlLbl val="0"/>
      </c:catAx>
      <c:valAx>
        <c:axId val="143366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3644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Acad'!$AD$28,'Cuerpos Acad'!$AH$28,'Cuerpos Acad'!$AL$28,'Cuerpos Acad'!$AP$28,'Cuerpos Acad'!$AT$28)</c:f>
              <c:numCache>
                <c:formatCode>General</c:formatCode>
                <c:ptCount val="5"/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72-4348-9781-98E9A16BBF0B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Acad'!$AE$28,'Cuerpos Acad'!$AI$28,'Cuerpos Acad'!$AM$28,'Cuerpos Acad'!$AQ$28,'Cuerpos Acad'!$AU$28)</c:f>
              <c:numCache>
                <c:formatCode>General</c:formatCode>
                <c:ptCount val="5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72-4348-9781-98E9A16BBF0B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Acad'!$AF$28,'Cuerpos Acad'!$AJ$28,'Cuerpos Acad'!$AN$28,'Cuerpos Acad'!$AR$28,'Cuerpos Acad'!$AV$28)</c:f>
              <c:numCache>
                <c:formatCode>General</c:formatCode>
                <c:ptCount val="5"/>
                <c:pt idx="0">
                  <c:v>7</c:v>
                </c:pt>
                <c:pt idx="1">
                  <c:v>6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72-4348-9781-98E9A16B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64320"/>
        <c:axId val="143465856"/>
      </c:lineChart>
      <c:catAx>
        <c:axId val="14346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465856"/>
        <c:crosses val="autoZero"/>
        <c:auto val="1"/>
        <c:lblAlgn val="ctr"/>
        <c:lblOffset val="100"/>
        <c:noMultiLvlLbl val="0"/>
      </c:catAx>
      <c:valAx>
        <c:axId val="143465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4643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0072CE"/>
                </a:solidFill>
              </a:defRPr>
            </a:pPr>
            <a:r>
              <a:rPr lang="es-MX" sz="1200">
                <a:solidFill>
                  <a:srgbClr val="0072C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Acad'!$AD$29,'Cuerpos Acad'!$AH$29,'Cuerpos Acad'!$AL$29,'Cuerpos Acad'!$AP$29,'Cuerpos Acad'!$AT$29)</c:f>
              <c:numCache>
                <c:formatCode>General</c:formatCode>
                <c:ptCount val="5"/>
                <c:pt idx="0">
                  <c:v>11</c:v>
                </c:pt>
                <c:pt idx="1">
                  <c:v>11</c:v>
                </c:pt>
                <c:pt idx="2">
                  <c:v>13</c:v>
                </c:pt>
                <c:pt idx="3">
                  <c:v>14</c:v>
                </c:pt>
                <c:pt idx="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D-4365-906B-9B66C705B42E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8D-4365-906B-9B66C705B42E}"/>
                </c:ext>
              </c:extLst>
            </c:dLbl>
            <c:dLbl>
              <c:idx val="1"/>
              <c:layout>
                <c:manualLayout>
                  <c:x val="-3.8219288769211338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Acad'!$AE$29,'Cuerpos Acad'!$AI$29,'Cuerpos Acad'!$AM$29,'Cuerpos Acad'!$AQ$29,'Cuerpos Acad'!$AU$29)</c:f>
              <c:numCache>
                <c:formatCode>General</c:formatCode>
                <c:ptCount val="5"/>
                <c:pt idx="0">
                  <c:v>30</c:v>
                </c:pt>
                <c:pt idx="1">
                  <c:v>32</c:v>
                </c:pt>
                <c:pt idx="2">
                  <c:v>28</c:v>
                </c:pt>
                <c:pt idx="3">
                  <c:v>26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D-4365-906B-9B66C705B42E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8D-4365-906B-9B66C705B42E}"/>
                </c:ext>
              </c:extLst>
            </c:dLbl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D-4365-906B-9B66C705B42E}"/>
                </c:ext>
              </c:extLst>
            </c:dLbl>
            <c:dLbl>
              <c:idx val="2"/>
              <c:layout>
                <c:manualLayout>
                  <c:x val="-3.5175149468438145E-2"/>
                  <c:y val="-5.827317320803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D-4365-906B-9B66C705B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Acad'!$AF$29,'Cuerpos Acad'!$AJ$29,'Cuerpos Acad'!$AN$29,'Cuerpos Acad'!$AR$29,'Cuerpos Acad'!$AV$29)</c:f>
              <c:numCache>
                <c:formatCode>General</c:formatCode>
                <c:ptCount val="5"/>
                <c:pt idx="0">
                  <c:v>27</c:v>
                </c:pt>
                <c:pt idx="1">
                  <c:v>29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8D-4365-906B-9B66C705B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21280"/>
        <c:axId val="143522816"/>
      </c:lineChart>
      <c:catAx>
        <c:axId val="1435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522816"/>
        <c:crosses val="autoZero"/>
        <c:auto val="1"/>
        <c:lblAlgn val="ctr"/>
        <c:lblOffset val="100"/>
        <c:noMultiLvlLbl val="0"/>
      </c:catAx>
      <c:valAx>
        <c:axId val="143522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52128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Investigacion'!$C$3</c:f>
              <c:strCache>
                <c:ptCount val="1"/>
                <c:pt idx="0">
                  <c:v>Reporte de investigación o técnico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Investigacion'!$B$82:$B$86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'Act de Investigacion'!$C$82:$C$86</c:f>
              <c:numCache>
                <c:formatCode>#,##0</c:formatCode>
                <c:ptCount val="5"/>
                <c:pt idx="0">
                  <c:v>1610</c:v>
                </c:pt>
                <c:pt idx="1">
                  <c:v>1540</c:v>
                </c:pt>
                <c:pt idx="2">
                  <c:v>1410</c:v>
                </c:pt>
                <c:pt idx="3">
                  <c:v>1283</c:v>
                </c:pt>
                <c:pt idx="4">
                  <c:v>1285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0304-4BF1-95C8-107FEBE41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603392"/>
        <c:axId val="142604928"/>
        <c:axId val="0"/>
      </c:bar3DChart>
      <c:catAx>
        <c:axId val="14260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2604928"/>
        <c:crosses val="autoZero"/>
        <c:auto val="1"/>
        <c:lblAlgn val="ctr"/>
        <c:lblOffset val="100"/>
        <c:noMultiLvlLbl val="0"/>
      </c:catAx>
      <c:valAx>
        <c:axId val="142604928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2603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Investigacion'!$D$3</c:f>
              <c:strCache>
                <c:ptCount val="1"/>
                <c:pt idx="0">
                  <c:v>Artículo especializado de investigación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Investigacion'!$B$82:$B$86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'Act de Investigacion'!$D$82:$D$86</c:f>
              <c:numCache>
                <c:formatCode>#,##0</c:formatCode>
                <c:ptCount val="5"/>
                <c:pt idx="0">
                  <c:v>4346</c:v>
                </c:pt>
                <c:pt idx="1">
                  <c:v>4334</c:v>
                </c:pt>
                <c:pt idx="2">
                  <c:v>4634</c:v>
                </c:pt>
                <c:pt idx="3">
                  <c:v>4112</c:v>
                </c:pt>
                <c:pt idx="4">
                  <c:v>4311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A1AC-4959-A5E0-652588FAE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173824"/>
        <c:axId val="138192000"/>
        <c:axId val="0"/>
      </c:bar3DChart>
      <c:catAx>
        <c:axId val="138173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38192000"/>
        <c:crosses val="autoZero"/>
        <c:auto val="1"/>
        <c:lblAlgn val="ctr"/>
        <c:lblOffset val="100"/>
        <c:noMultiLvlLbl val="0"/>
      </c:catAx>
      <c:valAx>
        <c:axId val="138192000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38173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Investigacion'!$F$3</c:f>
              <c:strCache>
                <c:ptCount val="1"/>
                <c:pt idx="0">
                  <c:v>Libro científico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Investigacion'!$B$82:$B$86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'Act de Investigacion'!$F$82:$F$86</c:f>
              <c:numCache>
                <c:formatCode>#,##0</c:formatCode>
                <c:ptCount val="5"/>
                <c:pt idx="0">
                  <c:v>161</c:v>
                </c:pt>
                <c:pt idx="1">
                  <c:v>130</c:v>
                </c:pt>
                <c:pt idx="2">
                  <c:v>113</c:v>
                </c:pt>
                <c:pt idx="3">
                  <c:v>118</c:v>
                </c:pt>
                <c:pt idx="4">
                  <c:v>107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C2FA-4623-BF00-9DAA29D3C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8205056"/>
        <c:axId val="138206592"/>
        <c:axId val="0"/>
      </c:bar3DChart>
      <c:catAx>
        <c:axId val="13820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38206592"/>
        <c:crosses val="autoZero"/>
        <c:auto val="1"/>
        <c:lblAlgn val="ctr"/>
        <c:lblOffset val="100"/>
        <c:noMultiLvlLbl val="0"/>
      </c:catAx>
      <c:valAx>
        <c:axId val="138206592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3820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solidFill>
            <a:schemeClr val="bg1">
              <a:lumMod val="65000"/>
            </a:schemeClr>
          </a:solidFill>
        </a:ln>
        <a:effectLst/>
        <a:sp3d>
          <a:contourClr>
            <a:schemeClr val="bg1">
              <a:lumMod val="6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'Act de Investigacion'!$I$3</c:f>
              <c:strCache>
                <c:ptCount val="1"/>
                <c:pt idx="0">
                  <c:v>Trabajos presentados en eventos especializados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'Act de Investigacion'!$B$82:$B$86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'Act de Investigacion'!$I$82:$I$86</c:f>
              <c:numCache>
                <c:formatCode>#,##0</c:formatCode>
                <c:ptCount val="5"/>
                <c:pt idx="0">
                  <c:v>8737</c:v>
                </c:pt>
                <c:pt idx="1">
                  <c:v>9276</c:v>
                </c:pt>
                <c:pt idx="2">
                  <c:v>9179</c:v>
                </c:pt>
                <c:pt idx="3">
                  <c:v>8288</c:v>
                </c:pt>
                <c:pt idx="4">
                  <c:v>8228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00-71AF-401A-A9EE-98A58054F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2717312"/>
        <c:axId val="142718848"/>
        <c:axId val="0"/>
      </c:bar3DChart>
      <c:catAx>
        <c:axId val="14271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2718848"/>
        <c:crosses val="autoZero"/>
        <c:auto val="1"/>
        <c:lblAlgn val="ctr"/>
        <c:lblOffset val="100"/>
        <c:noMultiLvlLbl val="0"/>
      </c:catAx>
      <c:valAx>
        <c:axId val="142718848"/>
        <c:scaling>
          <c:orientation val="minMax"/>
          <c:min val="0"/>
        </c:scaling>
        <c:delete val="1"/>
        <c:axPos val="l"/>
        <c:numFmt formatCode="#,##0" sourceLinked="1"/>
        <c:majorTickMark val="none"/>
        <c:minorTickMark val="none"/>
        <c:tickLblPos val="nextTo"/>
        <c:crossAx val="14271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TOTAL'!$B$5</c:f>
              <c:strCache>
                <c:ptCount val="1"/>
                <c:pt idx="0">
                  <c:v>Docencia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effectLst>
              <a:outerShdw blurRad="76200" dist="12700" dir="2700000" sy="-23000" kx="-8004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8F-4165-9A05-4450A1190563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8F-4165-9A05-4450A1190563}"/>
                </c:ext>
              </c:extLst>
            </c:dLbl>
            <c:dLbl>
              <c:idx val="2"/>
              <c:layout>
                <c:manualLayout>
                  <c:x val="6.6072011625344434E-3"/>
                  <c:y val="-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8F-4165-9A05-4450A1190563}"/>
                </c:ext>
              </c:extLst>
            </c:dLbl>
            <c:dLbl>
              <c:idx val="3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8F-4165-9A05-4450A1190563}"/>
                </c:ext>
              </c:extLst>
            </c:dLbl>
            <c:dLbl>
              <c:idx val="4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8F-4165-9A05-4450A1190563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8F-4165-9A05-4450A1190563}"/>
                </c:ext>
              </c:extLst>
            </c:dLbl>
            <c:dLbl>
              <c:idx val="6"/>
              <c:layout>
                <c:manualLayout>
                  <c:x val="9.2500816275482203E-3"/>
                  <c:y val="9.82679570884983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8F-4165-9A05-4450A1190563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8F-4165-9A05-4450A1190563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8F-4165-9A05-4450A1190563}"/>
                </c:ext>
              </c:extLst>
            </c:dLbl>
            <c:dLbl>
              <c:idx val="9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8F-4165-9A05-4450A1190563}"/>
                </c:ext>
              </c:extLst>
            </c:dLbl>
            <c:dLbl>
              <c:idx val="1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9.67301750132351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8F-4165-9A05-4450A1190563}"/>
                </c:ext>
              </c:extLst>
            </c:dLbl>
            <c:dLbl>
              <c:idx val="12"/>
              <c:layout>
                <c:manualLayout>
                  <c:x val="7.0788475859085969E-3"/>
                  <c:y val="-8.339322922271107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TOTAL'!$B$10,'TIPPA PROD TOTAL'!$J$10,'TIPPA PROD TOTAL'!$R$10,'TIPPA PROD TOTAL'!$B$20,'TIPPA PROD TOTAL'!$J$20,'TIPPA PROD TOTAL'!$R$20,'TIPPA PROD TOTAL'!$B$30,'TIPPA PROD TOTAL'!$J$30,'TIPPA PROD TOTAL'!$R$30,'TIPPA PROD TOTAL'!$B$41,'TIPPA PROD TOTAL'!$J$41,'TIPPA PROD TOTAL'!$R$41,'TIPPA PROD TOTAL'!$B$52,'TIPPA PROD TOTAL'!$J$52,'TIPPA PROD TOTAL'!$R$52)</c:f>
              <c:numCache>
                <c:formatCode>#,##0</c:formatCode>
                <c:ptCount val="15"/>
                <c:pt idx="0">
                  <c:v>19851</c:v>
                </c:pt>
                <c:pt idx="1">
                  <c:v>23668</c:v>
                </c:pt>
                <c:pt idx="2">
                  <c:v>15721</c:v>
                </c:pt>
                <c:pt idx="3">
                  <c:v>14794</c:v>
                </c:pt>
                <c:pt idx="4">
                  <c:v>17545</c:v>
                </c:pt>
                <c:pt idx="5">
                  <c:v>16972</c:v>
                </c:pt>
                <c:pt idx="6">
                  <c:v>19209</c:v>
                </c:pt>
                <c:pt idx="7">
                  <c:v>21325</c:v>
                </c:pt>
                <c:pt idx="8">
                  <c:v>22784</c:v>
                </c:pt>
                <c:pt idx="9">
                  <c:v>24207</c:v>
                </c:pt>
                <c:pt idx="10">
                  <c:v>25434</c:v>
                </c:pt>
                <c:pt idx="11">
                  <c:v>24059</c:v>
                </c:pt>
                <c:pt idx="12">
                  <c:v>24163</c:v>
                </c:pt>
                <c:pt idx="13">
                  <c:v>23603</c:v>
                </c:pt>
                <c:pt idx="14">
                  <c:v>23479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A8F-4165-9A05-4450A1190563}"/>
            </c:ext>
          </c:extLst>
        </c:ser>
        <c:ser>
          <c:idx val="1"/>
          <c:order val="1"/>
          <c:tx>
            <c:strRef>
              <c:f>'TIPPA PROD TOTAL'!$C$5</c:f>
              <c:strCache>
                <c:ptCount val="1"/>
                <c:pt idx="0">
                  <c:v>Investigación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8F-4165-9A05-4450A1190563}"/>
                </c:ext>
              </c:extLst>
            </c:dLbl>
            <c:dLbl>
              <c:idx val="1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8F-4165-9A05-4450A1190563}"/>
                </c:ext>
              </c:extLst>
            </c:dLbl>
            <c:dLbl>
              <c:idx val="2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8F-4165-9A05-4450A1190563}"/>
                </c:ext>
              </c:extLst>
            </c:dLbl>
            <c:dLbl>
              <c:idx val="3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-2.6800661533179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8F-4165-9A05-4450A1190563}"/>
                </c:ext>
              </c:extLst>
            </c:dLbl>
            <c:dLbl>
              <c:idx val="5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8F-4165-9A05-4450A1190563}"/>
                </c:ext>
              </c:extLst>
            </c:dLbl>
            <c:dLbl>
              <c:idx val="6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8F-4165-9A05-4450A1190563}"/>
                </c:ext>
              </c:extLst>
            </c:dLbl>
            <c:dLbl>
              <c:idx val="7"/>
              <c:layout>
                <c:manualLayout>
                  <c:x val="5.28576093002755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8F-4165-9A05-4450A1190563}"/>
                </c:ext>
              </c:extLst>
            </c:dLbl>
            <c:dLbl>
              <c:idx val="8"/>
              <c:layout>
                <c:manualLayout>
                  <c:x val="7.9286413950412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A8F-4165-9A05-4450A1190563}"/>
                </c:ext>
              </c:extLst>
            </c:dLbl>
            <c:dLbl>
              <c:idx val="9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8F-4165-9A05-4450A1190563}"/>
                </c:ext>
              </c:extLst>
            </c:dLbl>
            <c:dLbl>
              <c:idx val="10"/>
              <c:layout>
                <c:manualLayout>
                  <c:x val="9.2500816275482203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8F-4165-9A05-4450A1190563}"/>
                </c:ext>
              </c:extLst>
            </c:dLbl>
            <c:dLbl>
              <c:idx val="12"/>
              <c:layout>
                <c:manualLayout>
                  <c:x val="8.2586555168933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TOTAL'!$C$10,'TIPPA PROD TOTAL'!$K$10,'TIPPA PROD TOTAL'!$S$10,'TIPPA PROD TOTAL'!$C$20,'TIPPA PROD TOTAL'!$K$20,'TIPPA PROD TOTAL'!$S$20,'TIPPA PROD TOTAL'!$C$30,'TIPPA PROD TOTAL'!$K$30,'TIPPA PROD TOTAL'!$S$30,'TIPPA PROD TOTAL'!$C$41,'TIPPA PROD TOTAL'!$K$41,'TIPPA PROD TOTAL'!$S$41,'TIPPA PROD TOTAL'!$C$52,'TIPPA PROD TOTAL'!$K$52,'TIPPA PROD TOTAL'!$S$52)</c:f>
              <c:numCache>
                <c:formatCode>#,##0</c:formatCode>
                <c:ptCount val="15"/>
                <c:pt idx="0">
                  <c:v>10216</c:v>
                </c:pt>
                <c:pt idx="1">
                  <c:v>11832</c:v>
                </c:pt>
                <c:pt idx="2">
                  <c:v>11997</c:v>
                </c:pt>
                <c:pt idx="3">
                  <c:v>10920</c:v>
                </c:pt>
                <c:pt idx="4">
                  <c:v>10308</c:v>
                </c:pt>
                <c:pt idx="5">
                  <c:v>11862</c:v>
                </c:pt>
                <c:pt idx="6">
                  <c:v>13327</c:v>
                </c:pt>
                <c:pt idx="7">
                  <c:v>14597</c:v>
                </c:pt>
                <c:pt idx="8">
                  <c:v>15471</c:v>
                </c:pt>
                <c:pt idx="9">
                  <c:v>15982</c:v>
                </c:pt>
                <c:pt idx="10">
                  <c:v>16010</c:v>
                </c:pt>
                <c:pt idx="11">
                  <c:v>16334</c:v>
                </c:pt>
                <c:pt idx="12">
                  <c:v>16438</c:v>
                </c:pt>
                <c:pt idx="13">
                  <c:v>14716</c:v>
                </c:pt>
                <c:pt idx="14">
                  <c:v>14876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A8F-4165-9A05-4450A1190563}"/>
            </c:ext>
          </c:extLst>
        </c:ser>
        <c:ser>
          <c:idx val="2"/>
          <c:order val="2"/>
          <c:tx>
            <c:strRef>
              <c:f>'TIPPA PROD TOTAL'!$D$5</c:f>
              <c:strCache>
                <c:ptCount val="1"/>
                <c:pt idx="0">
                  <c:v>Preservación y difusión de la cultura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9643206975206657E-3"/>
                  <c:y val="-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8F-4165-9A05-4450A1190563}"/>
                </c:ext>
              </c:extLst>
            </c:dLbl>
            <c:dLbl>
              <c:idx val="1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8F-4165-9A05-4450A1190563}"/>
                </c:ext>
              </c:extLst>
            </c:dLbl>
            <c:dLbl>
              <c:idx val="2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8F-4165-9A05-4450A1190563}"/>
                </c:ext>
              </c:extLst>
            </c:dLbl>
            <c:dLbl>
              <c:idx val="3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8F-4165-9A05-4450A1190563}"/>
                </c:ext>
              </c:extLst>
            </c:dLbl>
            <c:dLbl>
              <c:idx val="4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8F-4165-9A05-4450A1190563}"/>
                </c:ext>
              </c:extLst>
            </c:dLbl>
            <c:dLbl>
              <c:idx val="5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8F-4165-9A05-4450A1190563}"/>
                </c:ext>
              </c:extLst>
            </c:dLbl>
            <c:dLbl>
              <c:idx val="6"/>
              <c:layout>
                <c:manualLayout>
                  <c:x val="7.9286413950413314E-3"/>
                  <c:y val="4.91339785442491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8F-4165-9A05-4450A1190563}"/>
                </c:ext>
              </c:extLst>
            </c:dLbl>
            <c:dLbl>
              <c:idx val="7"/>
              <c:layout>
                <c:manualLayout>
                  <c:x val="7.9286413950413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8F-4165-9A05-4450A1190563}"/>
                </c:ext>
              </c:extLst>
            </c:dLbl>
            <c:dLbl>
              <c:idx val="8"/>
              <c:layout>
                <c:manualLayout>
                  <c:x val="1.18929620925619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8F-4165-9A05-4450A1190563}"/>
                </c:ext>
              </c:extLst>
            </c:dLbl>
            <c:dLbl>
              <c:idx val="9"/>
              <c:layout>
                <c:manualLayout>
                  <c:x val="9.25008162754822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8F-4165-9A05-4450A1190563}"/>
                </c:ext>
              </c:extLst>
            </c:dLbl>
            <c:dLbl>
              <c:idx val="10"/>
              <c:layout>
                <c:manualLayout>
                  <c:x val="6.60720116253444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8F-4165-9A05-4450A1190563}"/>
                </c:ext>
              </c:extLst>
            </c:dLbl>
            <c:dLbl>
              <c:idx val="11"/>
              <c:layout>
                <c:manualLayout>
                  <c:x val="9.0495066033913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8F-4165-9A05-4450A1190563}"/>
                </c:ext>
              </c:extLst>
            </c:dLbl>
            <c:dLbl>
              <c:idx val="12"/>
              <c:layout>
                <c:manualLayout>
                  <c:x val="7.07884758590859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8F-4165-9A05-4450A11905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TOTAL'!$D$10,'TIPPA PROD TOTAL'!$L$10,'TIPPA PROD TOTAL'!$T$10,'TIPPA PROD TOTAL'!$D$20,'TIPPA PROD TOTAL'!$L$20,'TIPPA PROD TOTAL'!$T$20,'TIPPA PROD TOTAL'!$D$30,'TIPPA PROD TOTAL'!$L$30,'TIPPA PROD TOTAL'!$T$30,'TIPPA PROD TOTAL'!$D$41,'TIPPA PROD TOTAL'!$L$41,'TIPPA PROD TOTAL'!$T$41,'TIPPA PROD TOTAL'!$D$52,'TIPPA PROD TOTAL'!$L$52,'TIPPA PROD TOTAL'!$T$52)</c:f>
              <c:numCache>
                <c:formatCode>#,##0</c:formatCode>
                <c:ptCount val="15"/>
                <c:pt idx="0">
                  <c:v>8826</c:v>
                </c:pt>
                <c:pt idx="1">
                  <c:v>10048</c:v>
                </c:pt>
                <c:pt idx="2">
                  <c:v>10354</c:v>
                </c:pt>
                <c:pt idx="3">
                  <c:v>10494</c:v>
                </c:pt>
                <c:pt idx="4">
                  <c:v>10127</c:v>
                </c:pt>
                <c:pt idx="5">
                  <c:v>10210</c:v>
                </c:pt>
                <c:pt idx="6">
                  <c:v>10022</c:v>
                </c:pt>
                <c:pt idx="7">
                  <c:v>11380</c:v>
                </c:pt>
                <c:pt idx="8">
                  <c:v>11720</c:v>
                </c:pt>
                <c:pt idx="9">
                  <c:v>13888</c:v>
                </c:pt>
                <c:pt idx="10">
                  <c:v>12668</c:v>
                </c:pt>
                <c:pt idx="11">
                  <c:v>12500</c:v>
                </c:pt>
                <c:pt idx="12">
                  <c:v>13257</c:v>
                </c:pt>
                <c:pt idx="13">
                  <c:v>12190</c:v>
                </c:pt>
                <c:pt idx="14">
                  <c:v>11389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1A8F-4165-9A05-4450A1190563}"/>
            </c:ext>
          </c:extLst>
        </c:ser>
        <c:ser>
          <c:idx val="3"/>
          <c:order val="3"/>
          <c:tx>
            <c:strRef>
              <c:f>'TIPPA PROD TOTAL'!$E$5</c:f>
              <c:strCache>
                <c:ptCount val="1"/>
                <c:pt idx="0">
                  <c:v>Dirección Académica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319949428629024E-2"/>
                  <c:y val="-9.96920870548395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8F-4165-9A05-4450A1190563}"/>
                </c:ext>
              </c:extLst>
            </c:dLbl>
            <c:dLbl>
              <c:idx val="1"/>
              <c:layout>
                <c:manualLayout>
                  <c:x val="3.5634900760810065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8F-4165-9A05-4450A1190563}"/>
                </c:ext>
              </c:extLst>
            </c:dLbl>
            <c:dLbl>
              <c:idx val="2"/>
              <c:layout>
                <c:manualLayout>
                  <c:x val="3.7013601744345842E-2"/>
                  <c:y val="-9.4419989268850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A8F-4165-9A05-4450A1190563}"/>
                </c:ext>
              </c:extLst>
            </c:dLbl>
            <c:dLbl>
              <c:idx val="3"/>
              <c:layout>
                <c:manualLayout>
                  <c:x val="3.6064879567252441E-2"/>
                  <c:y val="-8.7600329287998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A8F-4165-9A05-4450A1190563}"/>
                </c:ext>
              </c:extLst>
            </c:dLbl>
            <c:dLbl>
              <c:idx val="4"/>
              <c:layout>
                <c:manualLayout>
                  <c:x val="3.9170252181810084E-2"/>
                  <c:y val="-6.7710662052796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A8F-4165-9A05-4450A1190563}"/>
                </c:ext>
              </c:extLst>
            </c:dLbl>
            <c:dLbl>
              <c:idx val="5"/>
              <c:layout>
                <c:manualLayout>
                  <c:x val="3.442863919444122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A8F-4165-9A05-4450A1190563}"/>
                </c:ext>
              </c:extLst>
            </c:dLbl>
            <c:dLbl>
              <c:idx val="6"/>
              <c:layout>
                <c:manualLayout>
                  <c:x val="3.5721425852068563E-2"/>
                  <c:y val="-1.0683580032750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A8F-4165-9A05-4450A1190563}"/>
                </c:ext>
              </c:extLst>
            </c:dLbl>
            <c:dLbl>
              <c:idx val="7"/>
              <c:layout>
                <c:manualLayout>
                  <c:x val="3.7905624538108702E-2"/>
                  <c:y val="-1.47841005329637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A8F-4165-9A05-4450A1190563}"/>
                </c:ext>
              </c:extLst>
            </c:dLbl>
            <c:dLbl>
              <c:idx val="8"/>
              <c:layout>
                <c:manualLayout>
                  <c:x val="3.5664115703387914E-2"/>
                  <c:y val="-1.4784100532963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A8F-4165-9A05-4450A1190563}"/>
                </c:ext>
              </c:extLst>
            </c:dLbl>
            <c:dLbl>
              <c:idx val="9"/>
              <c:layout>
                <c:manualLayout>
                  <c:x val="3.8335705138776065E-2"/>
                  <c:y val="-1.01565779806203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A8F-4165-9A05-4450A1190563}"/>
                </c:ext>
              </c:extLst>
            </c:dLbl>
            <c:dLbl>
              <c:idx val="10"/>
              <c:layout>
                <c:manualLayout>
                  <c:x val="3.5692821674840745E-2"/>
                  <c:y val="-1.3542103974160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A8F-4165-9A05-4450A1190563}"/>
                </c:ext>
              </c:extLst>
            </c:dLbl>
            <c:dLbl>
              <c:idx val="11"/>
              <c:layout>
                <c:manualLayout>
                  <c:x val="3.4905239755938164E-2"/>
                  <c:y val="-1.0552504630742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A8F-4165-9A05-4450A1190563}"/>
                </c:ext>
              </c:extLst>
            </c:dLbl>
            <c:dLbl>
              <c:idx val="12"/>
              <c:layout>
                <c:manualLayout>
                  <c:x val="3.7753853791512519E-2"/>
                  <c:y val="-9.09754828237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A8F-4165-9A05-4450A1190563}"/>
                </c:ext>
              </c:extLst>
            </c:dLbl>
            <c:dLbl>
              <c:idx val="13"/>
              <c:layout>
                <c:manualLayout>
                  <c:x val="3.1854814136588687E-2"/>
                  <c:y val="-1.13719353529651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B6-4220-ACE6-C366B5CC2483}"/>
                </c:ext>
              </c:extLst>
            </c:dLbl>
            <c:dLbl>
              <c:idx val="14"/>
              <c:layout>
                <c:manualLayout>
                  <c:x val="3.1854814136588687E-2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B6-4220-ACE6-C366B5CC2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>
                        <a:lumMod val="65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TOTAL'!$E$10,'TIPPA PROD TOTAL'!$M$10,'TIPPA PROD TOTAL'!$U$10,'TIPPA PROD TOTAL'!$E$20,'TIPPA PROD TOTAL'!$M$20,'TIPPA PROD TOTAL'!$U$20,'TIPPA PROD TOTAL'!$E$30,'TIPPA PROD TOTAL'!$M$30,'TIPPA PROD TOTAL'!$U$30,'TIPPA PROD TOTAL'!$E$41,'TIPPA PROD TOTAL'!$M$41,'TIPPA PROD TOTAL'!$U$41,'TIPPA PROD TOTAL'!$E$52,'TIPPA PROD TOTAL'!$M$52,'TIPPA PROD TOTAL'!$U$52)</c:f>
              <c:numCache>
                <c:formatCode>#,##0</c:formatCode>
                <c:ptCount val="15"/>
                <c:pt idx="0">
                  <c:v>415</c:v>
                </c:pt>
                <c:pt idx="1">
                  <c:v>406</c:v>
                </c:pt>
                <c:pt idx="2">
                  <c:v>367</c:v>
                </c:pt>
                <c:pt idx="3">
                  <c:v>341</c:v>
                </c:pt>
                <c:pt idx="4">
                  <c:v>441</c:v>
                </c:pt>
                <c:pt idx="5">
                  <c:v>403</c:v>
                </c:pt>
                <c:pt idx="6">
                  <c:v>437</c:v>
                </c:pt>
                <c:pt idx="7">
                  <c:v>463</c:v>
                </c:pt>
                <c:pt idx="8">
                  <c:v>502</c:v>
                </c:pt>
                <c:pt idx="9">
                  <c:v>399</c:v>
                </c:pt>
                <c:pt idx="10">
                  <c:v>376</c:v>
                </c:pt>
                <c:pt idx="11">
                  <c:v>341</c:v>
                </c:pt>
                <c:pt idx="12">
                  <c:v>411</c:v>
                </c:pt>
                <c:pt idx="13">
                  <c:v>350</c:v>
                </c:pt>
                <c:pt idx="14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1A8F-4165-9A05-4450A1190563}"/>
            </c:ext>
          </c:extLst>
        </c:ser>
        <c:ser>
          <c:idx val="4"/>
          <c:order val="4"/>
          <c:tx>
            <c:strRef>
              <c:f>'TIPPA PROD TOTAL'!$F$5</c:f>
              <c:strCache>
                <c:ptCount val="1"/>
                <c:pt idx="0">
                  <c:v>Participación Universitaria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5930542676200902E-3"/>
                  <c:y val="-2.143876534247134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A8F-4165-9A05-4450A1190563}"/>
                </c:ext>
              </c:extLst>
            </c:dLbl>
            <c:dLbl>
              <c:idx val="1"/>
              <c:layout>
                <c:manualLayout>
                  <c:x val="5.9151110465234906E-3"/>
                  <c:y val="-5.52961994457130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A8F-4165-9A05-4450A1190563}"/>
                </c:ext>
              </c:extLst>
            </c:dLbl>
            <c:dLbl>
              <c:idx val="2"/>
              <c:layout>
                <c:manualLayout>
                  <c:x val="7.2371678254268788E-3"/>
                  <c:y val="-3.5731275570785571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A8F-4165-9A05-4450A1190563}"/>
                </c:ext>
              </c:extLst>
            </c:dLbl>
            <c:dLbl>
              <c:idx val="3"/>
              <c:layout>
                <c:manualLayout>
                  <c:x val="4.9817256261389621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A8F-4165-9A05-4450A1190563}"/>
                </c:ext>
              </c:extLst>
            </c:dLbl>
            <c:dLbl>
              <c:idx val="4"/>
              <c:layout>
                <c:manualLayout>
                  <c:x val="6.6760825352840635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A8F-4165-9A05-4450A1190563}"/>
                </c:ext>
              </c:extLst>
            </c:dLbl>
            <c:dLbl>
              <c:idx val="5"/>
              <c:layout>
                <c:manualLayout>
                  <c:x val="7.9981312154885926E-3"/>
                  <c:y val="-4.2238195324523688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A8F-4165-9A05-4450A1190563}"/>
                </c:ext>
              </c:extLst>
            </c:dLbl>
            <c:dLbl>
              <c:idx val="6"/>
              <c:layout>
                <c:manualLayout>
                  <c:x val="7.2520015657506001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A8F-4165-9A05-4450A1190563}"/>
                </c:ext>
              </c:extLst>
            </c:dLbl>
            <c:dLbl>
              <c:idx val="7"/>
              <c:layout>
                <c:manualLayout>
                  <c:x val="7.9975227677909037E-3"/>
                  <c:y val="-3.5273469096621449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A8F-4165-9A05-4450A1190563}"/>
                </c:ext>
              </c:extLst>
            </c:dLbl>
            <c:dLbl>
              <c:idx val="8"/>
              <c:layout>
                <c:manualLayout>
                  <c:x val="9.3189630002977926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A8F-4165-9A05-4450A1190563}"/>
                </c:ext>
              </c:extLst>
            </c:dLbl>
            <c:dLbl>
              <c:idx val="9"/>
              <c:layout>
                <c:manualLayout>
                  <c:x val="7.9975227677909037E-3"/>
                  <c:y val="-4.2328162915945744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A8F-4165-9A05-4450A1190563}"/>
                </c:ext>
              </c:extLst>
            </c:dLbl>
            <c:dLbl>
              <c:idx val="10"/>
              <c:layout>
                <c:manualLayout>
                  <c:x val="9.3189630002977926E-3"/>
                  <c:y val="-7.6183518268449352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A8F-4165-9A05-4450A1190563}"/>
                </c:ext>
              </c:extLst>
            </c:dLbl>
            <c:dLbl>
              <c:idx val="11"/>
              <c:layout>
                <c:manualLayout>
                  <c:x val="6.4639332881366975E-3"/>
                  <c:y val="-2.6381261576855783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1A8F-4165-9A05-4450A1190563}"/>
                </c:ext>
              </c:extLst>
            </c:dLbl>
            <c:dLbl>
              <c:idx val="12"/>
              <c:layout>
                <c:manualLayout>
                  <c:x val="8.2586555168933633E-3"/>
                  <c:y val="-6.823161211779104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A8F-4165-9A05-4450A1190563}"/>
                </c:ext>
              </c:extLst>
            </c:dLbl>
            <c:dLbl>
              <c:idx val="13"/>
              <c:layout>
                <c:manualLayout>
                  <c:x val="4.7192317239388914E-3"/>
                  <c:y val="-6.82316121177912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chemeClr val="bg1">
                          <a:lumMod val="8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B6-4220-ACE6-C366B5CC2483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083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000">
                      <a:solidFill>
                        <a:schemeClr val="bg1">
                          <a:lumMod val="8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B6-4220-ACE6-C366B5CC2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TOTAL'!$F$10,'TIPPA PROD TOTAL'!$N$10,'TIPPA PROD TOTAL'!$V$10,'TIPPA PROD TOTAL'!$F$20,'TIPPA PROD TOTAL'!$N$20,'TIPPA PROD TOTAL'!$V$20,'TIPPA PROD TOTAL'!$F$30,'TIPPA PROD TOTAL'!$N$30,'TIPPA PROD TOTAL'!$V$30,'TIPPA PROD TOTAL'!$F$41,'TIPPA PROD TOTAL'!$N$41,'TIPPA PROD TOTAL'!$V$41,'TIPPA PROD TOTAL'!$F$52,'TIPPA PROD TOTAL'!$N$52,'TIPPA PROD TOTAL'!$V$52)</c:f>
              <c:numCache>
                <c:formatCode>#,##0</c:formatCode>
                <c:ptCount val="15"/>
                <c:pt idx="0">
                  <c:v>1151</c:v>
                </c:pt>
                <c:pt idx="1">
                  <c:v>1408</c:v>
                </c:pt>
                <c:pt idx="2">
                  <c:v>1333</c:v>
                </c:pt>
                <c:pt idx="3">
                  <c:v>1429</c:v>
                </c:pt>
                <c:pt idx="4">
                  <c:v>1575</c:v>
                </c:pt>
                <c:pt idx="5">
                  <c:v>1571</c:v>
                </c:pt>
                <c:pt idx="6">
                  <c:v>1602</c:v>
                </c:pt>
                <c:pt idx="7">
                  <c:v>2174</c:v>
                </c:pt>
                <c:pt idx="8">
                  <c:v>2184</c:v>
                </c:pt>
                <c:pt idx="9">
                  <c:v>2353</c:v>
                </c:pt>
                <c:pt idx="10">
                  <c:v>2229</c:v>
                </c:pt>
                <c:pt idx="11">
                  <c:v>2230</c:v>
                </c:pt>
                <c:pt idx="12">
                  <c:v>2206</c:v>
                </c:pt>
                <c:pt idx="13">
                  <c:v>2095</c:v>
                </c:pt>
                <c:pt idx="14">
                  <c:v>2182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1A8F-4165-9A05-4450A1190563}"/>
            </c:ext>
          </c:extLst>
        </c:ser>
        <c:ser>
          <c:idx val="5"/>
          <c:order val="5"/>
          <c:tx>
            <c:strRef>
              <c:f>'TIPPA PROD TOTAL'!$G$5</c:f>
              <c:strCache>
                <c:ptCount val="1"/>
                <c:pt idx="0">
                  <c:v>Creacion artística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859956984388524E-3"/>
                  <c:y val="-9.15127396120504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A8F-4165-9A05-4450A1190563}"/>
                </c:ext>
              </c:extLst>
            </c:dLbl>
            <c:dLbl>
              <c:idx val="1"/>
              <c:layout>
                <c:manualLayout>
                  <c:x val="1.533750310280196E-3"/>
                  <c:y val="-7.98811301447262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1A8F-4165-9A05-4450A1190563}"/>
                </c:ext>
              </c:extLst>
            </c:dLbl>
            <c:dLbl>
              <c:idx val="2"/>
              <c:layout>
                <c:manualLayout>
                  <c:x val="4.5587964249775717E-3"/>
                  <c:y val="-7.2826948513966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A8F-4165-9A05-4450A1190563}"/>
                </c:ext>
              </c:extLst>
            </c:dLbl>
            <c:dLbl>
              <c:idx val="3"/>
              <c:layout>
                <c:manualLayout>
                  <c:x val="3.1478576174345514E-3"/>
                  <c:y val="-7.98811301447270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1A8F-4165-9A05-4450A1190563}"/>
                </c:ext>
              </c:extLst>
            </c:dLbl>
            <c:dLbl>
              <c:idx val="4"/>
              <c:layout>
                <c:manualLayout>
                  <c:x val="5.08255682772496E-3"/>
                  <c:y val="-5.30809706869118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A8F-4165-9A05-4450A1190563}"/>
                </c:ext>
              </c:extLst>
            </c:dLbl>
            <c:dLbl>
              <c:idx val="5"/>
              <c:layout>
                <c:manualLayout>
                  <c:x val="3.2374115422746114E-3"/>
                  <c:y val="-7.5826632248803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1A8F-4165-9A05-4450A1190563}"/>
                </c:ext>
              </c:extLst>
            </c:dLbl>
            <c:dLbl>
              <c:idx val="6"/>
              <c:layout>
                <c:manualLayout>
                  <c:x val="3.7516963222692743E-3"/>
                  <c:y val="-4.602499820018975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A8F-4165-9A05-4450A1190563}"/>
                </c:ext>
              </c:extLst>
            </c:dLbl>
            <c:dLbl>
              <c:idx val="7"/>
              <c:layout>
                <c:manualLayout>
                  <c:x val="3.1478576174345514E-3"/>
                  <c:y val="-6.876886890611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1A8F-4165-9A05-4450A1190563}"/>
                </c:ext>
              </c:extLst>
            </c:dLbl>
            <c:dLbl>
              <c:idx val="8"/>
              <c:layout>
                <c:manualLayout>
                  <c:x val="2.8644250192113607E-3"/>
                  <c:y val="-3.439338873286553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A8F-4165-9A05-4450A1190563}"/>
                </c:ext>
              </c:extLst>
            </c:dLbl>
            <c:dLbl>
              <c:idx val="9"/>
              <c:layout>
                <c:manualLayout>
                  <c:x val="3.2374115422746548E-3"/>
                  <c:y val="-4.60249982001898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1A8F-4165-9A05-4450A1190563}"/>
                </c:ext>
              </c:extLst>
            </c:dLbl>
            <c:dLbl>
              <c:idx val="10"/>
              <c:layout>
                <c:manualLayout>
                  <c:x val="4.4172194732594212E-3"/>
                  <c:y val="-5.308097068691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A8F-4165-9A05-4450A1190563}"/>
                </c:ext>
              </c:extLst>
            </c:dLbl>
            <c:dLbl>
              <c:idx val="11"/>
              <c:layout>
                <c:manualLayout>
                  <c:x val="7.7567262057822847E-3"/>
                  <c:y val="-3.72927845338813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A8F-4165-9A05-4450A1190563}"/>
                </c:ext>
              </c:extLst>
            </c:dLbl>
            <c:dLbl>
              <c:idx val="12"/>
              <c:layout>
                <c:manualLayout>
                  <c:x val="5.8990396549238305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A8F-4165-9A05-4450A1190563}"/>
                </c:ext>
              </c:extLst>
            </c:dLbl>
            <c:dLbl>
              <c:idx val="13"/>
              <c:layout>
                <c:manualLayout>
                  <c:x val="3.5394237929541254E-3"/>
                  <c:y val="-4.548774141186090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B6-4220-ACE6-C366B5CC2483}"/>
                </c:ext>
              </c:extLst>
            </c:dLbl>
            <c:dLbl>
              <c:idx val="14"/>
              <c:layout>
                <c:manualLayout>
                  <c:x val="4.7192317239390649E-3"/>
                  <c:y val="-6.82316121177910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B6-4220-ACE6-C366B5CC2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TOTAL'!$G$10,'TIPPA PROD TOTAL'!$O$10,'TIPPA PROD TOTAL'!$W$10,'TIPPA PROD TOTAL'!$G$20,'TIPPA PROD TOTAL'!$O$20,'TIPPA PROD TOTAL'!$W$20,'TIPPA PROD TOTAL'!$G$30,'TIPPA PROD TOTAL'!$O$30,'TIPPA PROD TOTAL'!$W$30,'TIPPA PROD TOTAL'!$G$41,'TIPPA PROD TOTAL'!$O$41,'TIPPA PROD TOTAL'!$W$41,'TIPPA PROD TOTAL'!$G$52,'TIPPA PROD TOTAL'!$O$52,'TIPPA PROD TOTAL'!$W$52)</c:f>
              <c:numCache>
                <c:formatCode>#,##0</c:formatCode>
                <c:ptCount val="15"/>
                <c:pt idx="0">
                  <c:v>413</c:v>
                </c:pt>
                <c:pt idx="1">
                  <c:v>418</c:v>
                </c:pt>
                <c:pt idx="2">
                  <c:v>337</c:v>
                </c:pt>
                <c:pt idx="3">
                  <c:v>415</c:v>
                </c:pt>
                <c:pt idx="4">
                  <c:v>422</c:v>
                </c:pt>
                <c:pt idx="5">
                  <c:v>332</c:v>
                </c:pt>
                <c:pt idx="6">
                  <c:v>527</c:v>
                </c:pt>
                <c:pt idx="7">
                  <c:v>449</c:v>
                </c:pt>
                <c:pt idx="8">
                  <c:v>473</c:v>
                </c:pt>
                <c:pt idx="9">
                  <c:v>542</c:v>
                </c:pt>
                <c:pt idx="10">
                  <c:v>604</c:v>
                </c:pt>
                <c:pt idx="11">
                  <c:v>618</c:v>
                </c:pt>
                <c:pt idx="12">
                  <c:v>703</c:v>
                </c:pt>
                <c:pt idx="13">
                  <c:v>691</c:v>
                </c:pt>
                <c:pt idx="14">
                  <c:v>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1A8F-4165-9A05-4450A1190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4330112"/>
        <c:axId val="144348288"/>
        <c:axId val="0"/>
      </c:bar3DChart>
      <c:catAx>
        <c:axId val="1443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348288"/>
        <c:crosses val="autoZero"/>
        <c:auto val="1"/>
        <c:lblAlgn val="ctr"/>
        <c:lblOffset val="100"/>
        <c:noMultiLvlLbl val="0"/>
      </c:catAx>
      <c:valAx>
        <c:axId val="1443482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4433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1937589272366652E-2"/>
          <c:y val="0.93827554414311642"/>
          <c:w val="0.93643648977579164"/>
          <c:h val="5.4340768090077228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Actividades evaluadas por las comisiones dictaminadoras por Unidad</a:t>
            </a:r>
            <a:endParaRPr lang="x-none" sz="12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'TIPPA PROD TOTAL'!$A$36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F4-4217-98F6-D9A69EFDA659}"/>
                </c:ext>
              </c:extLst>
            </c:dLbl>
            <c:dLbl>
              <c:idx val="1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F4-4217-98F6-D9A69EFDA659}"/>
                </c:ext>
              </c:extLst>
            </c:dLbl>
            <c:dLbl>
              <c:idx val="2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F4-4217-98F6-D9A69EFDA659}"/>
                </c:ext>
              </c:extLst>
            </c:dLbl>
            <c:dLbl>
              <c:idx val="3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F4-4217-98F6-D9A69EFDA659}"/>
                </c:ext>
              </c:extLst>
            </c:dLbl>
            <c:dLbl>
              <c:idx val="4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F4-4217-98F6-D9A69EFDA659}"/>
                </c:ext>
              </c:extLst>
            </c:dLbl>
            <c:dLbl>
              <c:idx val="5"/>
              <c:layout>
                <c:manualLayout>
                  <c:x val="7.29467165017184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F4-4217-98F6-D9A69EFDA659}"/>
                </c:ext>
              </c:extLst>
            </c:dLbl>
            <c:dLbl>
              <c:idx val="6"/>
              <c:layout>
                <c:manualLayout>
                  <c:x val="8.7536059802062818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F4-4217-98F6-D9A69EFDA65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F4-4217-98F6-D9A69EFDA65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F4-4217-98F6-D9A69EFDA659}"/>
                </c:ext>
              </c:extLst>
            </c:dLbl>
            <c:dLbl>
              <c:idx val="10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F4-4217-98F6-D9A69EFDA659}"/>
                </c:ext>
              </c:extLst>
            </c:dLbl>
            <c:dLbl>
              <c:idx val="11"/>
              <c:layout>
                <c:manualLayout>
                  <c:x val="6.4248579474025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-1.776875374885246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F4-4217-98F6-D9A69EFDA659}"/>
                </c:ext>
              </c:extLst>
            </c:dLbl>
            <c:dLbl>
              <c:idx val="14"/>
              <c:layout>
                <c:manualLayout>
                  <c:x val="7.035777853716404E-3"/>
                  <c:y val="-9.69215946273383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E1-43D8-BD1C-04D4E56C6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TOTAL'!$H$6,'TIPPA PROD TOTAL'!$P$6,'TIPPA PROD TOTAL'!$X$6,'TIPPA PROD TOTAL'!$H$16,'TIPPA PROD TOTAL'!$P$16,'TIPPA PROD TOTAL'!$X$16,'TIPPA PROD TOTAL'!$H$26,'TIPPA PROD TOTAL'!$P$26,'TIPPA PROD TOTAL'!$X$26,'TIPPA PROD TOTAL'!$H$36,'TIPPA PROD TOTAL'!$P$36,'TIPPA PROD TOTAL'!$X$36,'TIPPA PROD TOTAL'!$H$47,'TIPPA PROD TOTAL'!$P$47,'TIPPA PROD TOTAL'!$X$47)</c:f>
              <c:numCache>
                <c:formatCode>#,##0</c:formatCode>
                <c:ptCount val="15"/>
                <c:pt idx="0">
                  <c:v>13272</c:v>
                </c:pt>
                <c:pt idx="1">
                  <c:v>16841</c:v>
                </c:pt>
                <c:pt idx="2">
                  <c:v>11620</c:v>
                </c:pt>
                <c:pt idx="3">
                  <c:v>11339</c:v>
                </c:pt>
                <c:pt idx="4">
                  <c:v>10501</c:v>
                </c:pt>
                <c:pt idx="5">
                  <c:v>11064</c:v>
                </c:pt>
                <c:pt idx="6">
                  <c:v>12830</c:v>
                </c:pt>
                <c:pt idx="7">
                  <c:v>13962</c:v>
                </c:pt>
                <c:pt idx="8">
                  <c:v>15267</c:v>
                </c:pt>
                <c:pt idx="9">
                  <c:v>14011</c:v>
                </c:pt>
                <c:pt idx="10">
                  <c:v>16553</c:v>
                </c:pt>
                <c:pt idx="11">
                  <c:v>15909</c:v>
                </c:pt>
                <c:pt idx="12">
                  <c:v>16011</c:v>
                </c:pt>
                <c:pt idx="13">
                  <c:v>16334</c:v>
                </c:pt>
                <c:pt idx="14">
                  <c:v>14803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CF4-4217-98F6-D9A69EFDA659}"/>
            </c:ext>
          </c:extLst>
        </c:ser>
        <c:ser>
          <c:idx val="1"/>
          <c:order val="1"/>
          <c:tx>
            <c:strRef>
              <c:f>'TIPPA PROD TOTAL'!$A$37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541-4721-A465-47747D5C092C}"/>
                </c:ext>
              </c:extLst>
            </c:dLbl>
            <c:dLbl>
              <c:idx val="4"/>
              <c:layout>
                <c:manualLayout>
                  <c:x val="2.9178686600687606E-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F4-4217-98F6-D9A69EFDA659}"/>
                </c:ext>
              </c:extLst>
            </c:dLbl>
            <c:dLbl>
              <c:idx val="5"/>
              <c:layout>
                <c:manualLayout>
                  <c:x val="4.6630956554625748E-3"/>
                  <c:y val="-2.42303986568345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F4-4217-98F6-D9A69EFDA659}"/>
                </c:ext>
              </c:extLst>
            </c:dLbl>
            <c:dLbl>
              <c:idx val="6"/>
              <c:layout>
                <c:manualLayout>
                  <c:x val="5.8357373201375212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F4-4217-98F6-D9A69EFDA659}"/>
                </c:ext>
              </c:extLst>
            </c:dLbl>
            <c:dLbl>
              <c:idx val="7"/>
              <c:layout>
                <c:manualLayout>
                  <c:x val="5.8357373201375212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F4-4217-98F6-D9A69EFDA659}"/>
                </c:ext>
              </c:extLst>
            </c:dLbl>
            <c:dLbl>
              <c:idx val="8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F4-4217-98F6-D9A69EFDA659}"/>
                </c:ext>
              </c:extLst>
            </c:dLbl>
            <c:dLbl>
              <c:idx val="9"/>
              <c:layout>
                <c:manualLayout>
                  <c:x val="4.3768029901031409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F4-4217-98F6-D9A69EFDA65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F4-4217-98F6-D9A69EFDA659}"/>
                </c:ext>
              </c:extLst>
            </c:dLbl>
            <c:dLbl>
              <c:idx val="11"/>
              <c:layout>
                <c:manualLayout>
                  <c:x val="7.7098295368830862E-3"/>
                  <c:y val="-5.63073672869713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F4-4217-98F6-D9A69EFDA659}"/>
                </c:ext>
              </c:extLst>
            </c:dLbl>
            <c:dLbl>
              <c:idx val="12"/>
              <c:layout>
                <c:manualLayout>
                  <c:x val="4.69051856914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2.4230398656835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F4-4217-98F6-D9A69EFDA659}"/>
                </c:ext>
              </c:extLst>
            </c:dLbl>
            <c:dLbl>
              <c:idx val="14"/>
              <c:layout>
                <c:manualLayout>
                  <c:x val="5.8631482114303076E-3"/>
                  <c:y val="-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E1-43D8-BD1C-04D4E56C6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TOTAL'!$H$7,'TIPPA PROD TOTAL'!$P$7,'TIPPA PROD TOTAL'!$X$7,'TIPPA PROD TOTAL'!$H$17,'TIPPA PROD TOTAL'!$P$17,'TIPPA PROD TOTAL'!$X$17,'TIPPA PROD TOTAL'!$H$27,'TIPPA PROD TOTAL'!$P$27,'TIPPA PROD TOTAL'!$X$27,'TIPPA PROD TOTAL'!$H$37,'TIPPA PROD TOTAL'!$P$37,'TIPPA PROD TOTAL'!$X$37,'TIPPA PROD TOTAL'!$H$48,'TIPPA PROD TOTAL'!$P$48,'TIPPA PROD TOTAL'!$X$48)</c:f>
              <c:numCache>
                <c:formatCode>#,##0</c:formatCode>
                <c:ptCount val="15"/>
                <c:pt idx="3">
                  <c:v>18</c:v>
                </c:pt>
                <c:pt idx="4">
                  <c:v>845</c:v>
                </c:pt>
                <c:pt idx="5">
                  <c:v>1841</c:v>
                </c:pt>
                <c:pt idx="6">
                  <c:v>1656</c:v>
                </c:pt>
                <c:pt idx="7">
                  <c:v>2465</c:v>
                </c:pt>
                <c:pt idx="8">
                  <c:v>2577</c:v>
                </c:pt>
                <c:pt idx="9">
                  <c:v>2714</c:v>
                </c:pt>
                <c:pt idx="10">
                  <c:v>3834</c:v>
                </c:pt>
                <c:pt idx="11">
                  <c:v>2876</c:v>
                </c:pt>
                <c:pt idx="12">
                  <c:v>3917</c:v>
                </c:pt>
                <c:pt idx="13">
                  <c:v>3422</c:v>
                </c:pt>
                <c:pt idx="14">
                  <c:v>4560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FCF4-4217-98F6-D9A69EFDA659}"/>
            </c:ext>
          </c:extLst>
        </c:ser>
        <c:ser>
          <c:idx val="2"/>
          <c:order val="2"/>
          <c:tx>
            <c:strRef>
              <c:f>'TIPPA PROD TOTAL'!$A$38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768029901031409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F4-4217-98F6-D9A69EFDA659}"/>
                </c:ext>
              </c:extLst>
            </c:dLbl>
            <c:dLbl>
              <c:idx val="1"/>
              <c:layout>
                <c:manualLayout>
                  <c:x val="2.91786866006876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F4-4217-98F6-D9A69EFDA65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F4-4217-98F6-D9A69EFDA65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F4-4217-98F6-D9A69EFDA659}"/>
                </c:ext>
              </c:extLst>
            </c:dLbl>
            <c:dLbl>
              <c:idx val="4"/>
              <c:layout>
                <c:manualLayout>
                  <c:x val="7.2946716501719015E-3"/>
                  <c:y val="-5.95782050728730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CF4-4217-98F6-D9A69EFDA659}"/>
                </c:ext>
              </c:extLst>
            </c:dLbl>
            <c:dLbl>
              <c:idx val="6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CF4-4217-98F6-D9A69EFDA659}"/>
                </c:ext>
              </c:extLst>
            </c:dLbl>
            <c:dLbl>
              <c:idx val="7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CF4-4217-98F6-D9A69EFDA65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5.46127237592884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CF4-4217-98F6-D9A69EFDA659}"/>
                </c:ext>
              </c:extLst>
            </c:dLbl>
            <c:dLbl>
              <c:idx val="10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CF4-4217-98F6-D9A69EFDA659}"/>
                </c:ext>
              </c:extLst>
            </c:dLbl>
            <c:dLbl>
              <c:idx val="11"/>
              <c:layout>
                <c:manualLayout>
                  <c:x val="7.70982953688308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CF4-4217-98F6-D9A69EFDA659}"/>
                </c:ext>
              </c:extLst>
            </c:dLbl>
            <c:dLbl>
              <c:idx val="13"/>
              <c:layout>
                <c:manualLayout>
                  <c:x val="5.8631482114304802E-3"/>
                  <c:y val="-8.88437687442623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CF4-4217-98F6-D9A69EFDA659}"/>
                </c:ext>
              </c:extLst>
            </c:dLbl>
            <c:dLbl>
              <c:idx val="14"/>
              <c:layout>
                <c:manualLayout>
                  <c:x val="7.0357778537164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E1-43D8-BD1C-04D4E56C6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TOTAL'!$H$8,'TIPPA PROD TOTAL'!$P$8,'TIPPA PROD TOTAL'!$X$8,'TIPPA PROD TOTAL'!$H$18,'TIPPA PROD TOTAL'!$P$18,'TIPPA PROD TOTAL'!$X$18,'TIPPA PROD TOTAL'!$H$28,'TIPPA PROD TOTAL'!$P$28,'TIPPA PROD TOTAL'!$X$28,'TIPPA PROD TOTAL'!$H$38,'TIPPA PROD TOTAL'!$P$38,'TIPPA PROD TOTAL'!$X$38,'TIPPA PROD TOTAL'!$H$49,'TIPPA PROD TOTAL'!$P$49,'TIPPA PROD TOTAL'!$X$49)</c:f>
              <c:numCache>
                <c:formatCode>#,##0</c:formatCode>
                <c:ptCount val="15"/>
                <c:pt idx="0">
                  <c:v>14427</c:v>
                </c:pt>
                <c:pt idx="1">
                  <c:v>14906</c:v>
                </c:pt>
                <c:pt idx="2">
                  <c:v>15771</c:v>
                </c:pt>
                <c:pt idx="3">
                  <c:v>14563</c:v>
                </c:pt>
                <c:pt idx="4">
                  <c:v>15942</c:v>
                </c:pt>
                <c:pt idx="5">
                  <c:v>15541</c:v>
                </c:pt>
                <c:pt idx="6">
                  <c:v>16033</c:v>
                </c:pt>
                <c:pt idx="7">
                  <c:v>17129</c:v>
                </c:pt>
                <c:pt idx="8">
                  <c:v>17999</c:v>
                </c:pt>
                <c:pt idx="9">
                  <c:v>18833</c:v>
                </c:pt>
                <c:pt idx="10">
                  <c:v>19984</c:v>
                </c:pt>
                <c:pt idx="11">
                  <c:v>17478</c:v>
                </c:pt>
                <c:pt idx="12">
                  <c:v>19123</c:v>
                </c:pt>
                <c:pt idx="13">
                  <c:v>17274</c:v>
                </c:pt>
                <c:pt idx="14">
                  <c:v>16786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FCF4-4217-98F6-D9A69EFDA659}"/>
            </c:ext>
          </c:extLst>
        </c:ser>
        <c:ser>
          <c:idx val="3"/>
          <c:order val="3"/>
          <c:tx>
            <c:strRef>
              <c:f>'TIPPA PROD TOTAL'!$A$39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7.7098295368830862E-3"/>
                  <c:y val="-5.16144904247259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CF4-4217-98F6-D9A69EFDA659}"/>
                </c:ext>
              </c:extLst>
            </c:dLbl>
            <c:dLbl>
              <c:idx val="14"/>
              <c:layout>
                <c:manualLayout>
                  <c:x val="4.6905185691442121E-3"/>
                  <c:y val="-4.84607973136696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E1-43D8-BD1C-04D4E56C6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TOTAL'!$H$11,'TIPPA PROD TOTAL'!$P$11,'TIPPA PROD TOTAL'!$X$11,'TIPPA PROD TOTAL'!$H$21,'TIPPA PROD TOTAL'!$P$21,'TIPPA PROD TOTAL'!$X$21,'TIPPA PROD TOTAL'!$H$31,'TIPPA PROD TOTAL'!$P$31,'TIPPA PROD TOTAL'!$X$31,'TIPPA PROD TOTAL'!$H$39,'TIPPA PROD TOTAL'!$P$39,'TIPPA PROD TOTAL'!$X$39,'TIPPA PROD TOTAL'!$H$50,'TIPPA PROD TOTAL'!$P$50,'TIPPA PROD TOTAL'!$X$50)</c:f>
              <c:numCache>
                <c:formatCode>General</c:formatCode>
                <c:ptCount val="15"/>
                <c:pt idx="10" formatCode="#,##0">
                  <c:v>71</c:v>
                </c:pt>
                <c:pt idx="11" formatCode="#,##0">
                  <c:v>253</c:v>
                </c:pt>
                <c:pt idx="12" formatCode="#,##0">
                  <c:v>421</c:v>
                </c:pt>
                <c:pt idx="13" formatCode="#,##0">
                  <c:v>611</c:v>
                </c:pt>
                <c:pt idx="14" formatCode="#,##0">
                  <c:v>1570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CF4-4217-98F6-D9A69EFDA659}"/>
            </c:ext>
          </c:extLst>
        </c:ser>
        <c:ser>
          <c:idx val="4"/>
          <c:order val="4"/>
          <c:tx>
            <c:strRef>
              <c:f>'TIPPA PROD TOTAL'!$A$40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CF4-4217-98F6-D9A69EFDA659}"/>
                </c:ext>
              </c:extLst>
            </c:dLbl>
            <c:dLbl>
              <c:idx val="1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CF4-4217-98F6-D9A69EFDA659}"/>
                </c:ext>
              </c:extLst>
            </c:dLbl>
            <c:dLbl>
              <c:idx val="2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CF4-4217-98F6-D9A69EFDA659}"/>
                </c:ext>
              </c:extLst>
            </c:dLbl>
            <c:dLbl>
              <c:idx val="3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CF4-4217-98F6-D9A69EFDA659}"/>
                </c:ext>
              </c:extLst>
            </c:dLbl>
            <c:dLbl>
              <c:idx val="4"/>
              <c:layout>
                <c:manualLayout>
                  <c:x val="5.83573732013752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CF4-4217-98F6-D9A69EFDA659}"/>
                </c:ext>
              </c:extLst>
            </c:dLbl>
            <c:dLbl>
              <c:idx val="5"/>
              <c:layout>
                <c:manualLayout>
                  <c:x val="5.8357373201374674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FCF4-4217-98F6-D9A69EFDA659}"/>
                </c:ext>
              </c:extLst>
            </c:dLbl>
            <c:dLbl>
              <c:idx val="6"/>
              <c:layout>
                <c:manualLayout>
                  <c:x val="7.2946716501719015E-3"/>
                  <c:y val="-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CF4-4217-98F6-D9A69EFDA659}"/>
                </c:ext>
              </c:extLst>
            </c:dLbl>
            <c:dLbl>
              <c:idx val="7"/>
              <c:layout>
                <c:manualLayout>
                  <c:x val="7.29467165017190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CF4-4217-98F6-D9A69EFDA659}"/>
                </c:ext>
              </c:extLst>
            </c:dLbl>
            <c:dLbl>
              <c:idx val="8"/>
              <c:layout>
                <c:manualLayout>
                  <c:x val="8.75360598020628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CF4-4217-98F6-D9A69EFDA659}"/>
                </c:ext>
              </c:extLst>
            </c:dLbl>
            <c:dLbl>
              <c:idx val="9"/>
              <c:layout>
                <c:manualLayout>
                  <c:x val="5.8357373201375212E-3"/>
                  <c:y val="2.97891025364365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CF4-4217-98F6-D9A69EFDA659}"/>
                </c:ext>
              </c:extLst>
            </c:dLbl>
            <c:dLbl>
              <c:idx val="10"/>
              <c:layout>
                <c:manualLayout>
                  <c:x val="4.37680299010314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CF4-4217-98F6-D9A69EFDA659}"/>
                </c:ext>
              </c:extLst>
            </c:dLbl>
            <c:dLbl>
              <c:idx val="11"/>
              <c:layout>
                <c:manualLayout>
                  <c:x val="5.13988635792205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CF4-4217-98F6-D9A69EFDA659}"/>
                </c:ext>
              </c:extLst>
            </c:dLbl>
            <c:dLbl>
              <c:idx val="12"/>
              <c:layout>
                <c:manualLayout>
                  <c:x val="7.0357778537165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CF4-4217-98F6-D9A69EFDA659}"/>
                </c:ext>
              </c:extLst>
            </c:dLbl>
            <c:dLbl>
              <c:idx val="13"/>
              <c:layout>
                <c:manualLayout>
                  <c:x val="4.6905185691443838E-3"/>
                  <c:y val="4.84607973136691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CF4-4217-98F6-D9A69EFDA659}"/>
                </c:ext>
              </c:extLst>
            </c:dLbl>
            <c:dLbl>
              <c:idx val="14"/>
              <c:layout>
                <c:manualLayout>
                  <c:x val="4.69051856914438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E1-43D8-BD1C-04D4E56C6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'TIPPA PROD TOTAL'!$A$57:$A$71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('TIPPA PROD TOTAL'!$H$9,'TIPPA PROD TOTAL'!$P$9,'TIPPA PROD TOTAL'!$X$9,'TIPPA PROD TOTAL'!$H$19,'TIPPA PROD TOTAL'!$P$19,'TIPPA PROD TOTAL'!$X$19,'TIPPA PROD TOTAL'!$H$29,'TIPPA PROD TOTAL'!$P$29,'TIPPA PROD TOTAL'!$X$29,'TIPPA PROD TOTAL'!$H$40,'TIPPA PROD TOTAL'!$P$40,'TIPPA PROD TOTAL'!$X$40,'TIPPA PROD TOTAL'!$H$51,'TIPPA PROD TOTAL'!$P$51,'TIPPA PROD TOTAL'!$X$51)</c:f>
              <c:numCache>
                <c:formatCode>#,##0</c:formatCode>
                <c:ptCount val="15"/>
                <c:pt idx="0">
                  <c:v>13173</c:v>
                </c:pt>
                <c:pt idx="1">
                  <c:v>16033</c:v>
                </c:pt>
                <c:pt idx="2">
                  <c:v>12718</c:v>
                </c:pt>
                <c:pt idx="3">
                  <c:v>12473</c:v>
                </c:pt>
                <c:pt idx="4">
                  <c:v>13130</c:v>
                </c:pt>
                <c:pt idx="5">
                  <c:v>12904</c:v>
                </c:pt>
                <c:pt idx="6">
                  <c:v>14605</c:v>
                </c:pt>
                <c:pt idx="7">
                  <c:v>16832</c:v>
                </c:pt>
                <c:pt idx="8">
                  <c:v>17291</c:v>
                </c:pt>
                <c:pt idx="9">
                  <c:v>21813</c:v>
                </c:pt>
                <c:pt idx="10">
                  <c:v>16879</c:v>
                </c:pt>
                <c:pt idx="11">
                  <c:v>19566</c:v>
                </c:pt>
                <c:pt idx="12">
                  <c:v>17706</c:v>
                </c:pt>
                <c:pt idx="13">
                  <c:v>16004</c:v>
                </c:pt>
                <c:pt idx="14">
                  <c:v>15287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FCF4-4217-98F6-D9A69EFDA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4459264"/>
        <c:axId val="144460800"/>
        <c:axId val="0"/>
      </c:bar3DChart>
      <c:catAx>
        <c:axId val="14445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4460800"/>
        <c:crosses val="autoZero"/>
        <c:auto val="1"/>
        <c:lblAlgn val="ctr"/>
        <c:lblOffset val="100"/>
        <c:noMultiLvlLbl val="0"/>
      </c:catAx>
      <c:valAx>
        <c:axId val="1444608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44459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06887253847349E-2"/>
          <c:y val="0.9271043192859082"/>
          <c:w val="0.85801379745564588"/>
          <c:h val="5.473450240158941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Tipo de trabajo de los admitidos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'Admitidos SE'!$B$10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SE'!$E$10:$R$10</c:f>
              <c:numCache>
                <c:formatCode>0%</c:formatCode>
                <c:ptCount val="14"/>
                <c:pt idx="0">
                  <c:v>0.37289494787489974</c:v>
                </c:pt>
                <c:pt idx="1">
                  <c:v>0.37583035258048031</c:v>
                </c:pt>
                <c:pt idx="2">
                  <c:v>0.35470888113764421</c:v>
                </c:pt>
                <c:pt idx="3">
                  <c:v>0.36749116607773852</c:v>
                </c:pt>
                <c:pt idx="4">
                  <c:v>0.35263730288200107</c:v>
                </c:pt>
                <c:pt idx="5">
                  <c:v>0.33660039204704567</c:v>
                </c:pt>
                <c:pt idx="6">
                  <c:v>0.33231921366721273</c:v>
                </c:pt>
                <c:pt idx="7">
                  <c:v>0.32930232558139533</c:v>
                </c:pt>
                <c:pt idx="8">
                  <c:v>0.31101778656126483</c:v>
                </c:pt>
                <c:pt idx="9">
                  <c:v>0.29876977152899825</c:v>
                </c:pt>
                <c:pt idx="10">
                  <c:v>0.3</c:v>
                </c:pt>
                <c:pt idx="11">
                  <c:v>0.28999999999999998</c:v>
                </c:pt>
                <c:pt idx="12">
                  <c:v>0.28999999999999998</c:v>
                </c:pt>
                <c:pt idx="13">
                  <c:v>0.27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6-42DB-83BF-1BAABF1D7807}"/>
            </c:ext>
          </c:extLst>
        </c:ser>
        <c:ser>
          <c:idx val="1"/>
          <c:order val="1"/>
          <c:tx>
            <c:strRef>
              <c:f>'Admitidos SE'!$B$14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SE'!$E$14:$R$14</c:f>
              <c:numCache>
                <c:formatCode>0%</c:formatCode>
                <c:ptCount val="14"/>
                <c:pt idx="0">
                  <c:v>0.62710505212510026</c:v>
                </c:pt>
                <c:pt idx="1">
                  <c:v>0.62416964741951964</c:v>
                </c:pt>
                <c:pt idx="2">
                  <c:v>0.64529111886235579</c:v>
                </c:pt>
                <c:pt idx="3">
                  <c:v>0.63250883392226154</c:v>
                </c:pt>
                <c:pt idx="4">
                  <c:v>0.64736269711799888</c:v>
                </c:pt>
                <c:pt idx="5">
                  <c:v>0.66339960795295438</c:v>
                </c:pt>
                <c:pt idx="6">
                  <c:v>0.66768078633278727</c:v>
                </c:pt>
                <c:pt idx="7">
                  <c:v>0.67069767441860462</c:v>
                </c:pt>
                <c:pt idx="8">
                  <c:v>0.68898221343873522</c:v>
                </c:pt>
                <c:pt idx="9">
                  <c:v>0.7012302284710018</c:v>
                </c:pt>
                <c:pt idx="10">
                  <c:v>0.7</c:v>
                </c:pt>
                <c:pt idx="11">
                  <c:v>0.71</c:v>
                </c:pt>
                <c:pt idx="12">
                  <c:v>0.71</c:v>
                </c:pt>
                <c:pt idx="13">
                  <c:v>0.73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6-42DB-83BF-1BAABF1D7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1395584"/>
        <c:axId val="111397120"/>
        <c:axId val="0"/>
      </c:bar3DChart>
      <c:catAx>
        <c:axId val="1113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397120"/>
        <c:crosses val="autoZero"/>
        <c:auto val="1"/>
        <c:lblAlgn val="ctr"/>
        <c:lblOffset val="100"/>
        <c:noMultiLvlLbl val="0"/>
      </c:catAx>
      <c:valAx>
        <c:axId val="1113971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1395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722527834705593"/>
          <c:y val="0.93261733300756633"/>
          <c:w val="0.49950725947776164"/>
          <c:h val="6.697375328083989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Administrativo Definitivo por rangos de 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389996502273523E-2"/>
          <c:y val="5.0000458680529006E-2"/>
          <c:w val="0.97182815421944235"/>
          <c:h val="0.7726318579109648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EDAD'!$A$35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6-4BE4-B22C-54B0277F1D63}"/>
                </c:ext>
              </c:extLst>
            </c:dLbl>
            <c:dLbl>
              <c:idx val="1"/>
              <c:layout>
                <c:manualLayout>
                  <c:x val="8.5015940488841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6-4BE4-B22C-54B0277F1D63}"/>
                </c:ext>
              </c:extLst>
            </c:dLbl>
            <c:dLbl>
              <c:idx val="2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6-4BE4-B22C-54B0277F1D63}"/>
                </c:ext>
              </c:extLst>
            </c:dLbl>
            <c:dLbl>
              <c:idx val="3"/>
              <c:layout>
                <c:manualLayout>
                  <c:x val="8.5015940488841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6-4BE4-B22C-54B0277F1D6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6-4BE4-B22C-54B0277F1D63}"/>
                </c:ext>
              </c:extLst>
            </c:dLbl>
            <c:dLbl>
              <c:idx val="7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6-4BE4-B22C-54B0277F1D63}"/>
                </c:ext>
              </c:extLst>
            </c:dLbl>
            <c:dLbl>
              <c:idx val="9"/>
              <c:layout>
                <c:manualLayout>
                  <c:x val="7.7428126362254638E-3"/>
                  <c:y val="-2.588996763753950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6-4BE4-B22C-54B0277F1D63}"/>
                </c:ext>
              </c:extLst>
            </c:dLbl>
            <c:dLbl>
              <c:idx val="10"/>
              <c:layout>
                <c:manualLayout>
                  <c:x val="9.2915214866435506E-3"/>
                  <c:y val="-2.58899676375414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6-4BE4-B22C-54B0277F1D63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-1.5182706881016117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EDAD'!$C$35:$K$35,'ADMI X EDAD'!$L$35,'ADMI X EDAD'!$M$35,'ADMI X EDAD'!$N$35,'ADMI X EDAD'!$O$35)</c:f>
              <c:numCache>
                <c:formatCode>0.0%</c:formatCode>
                <c:ptCount val="13"/>
                <c:pt idx="0">
                  <c:v>3.1791907514450865E-2</c:v>
                </c:pt>
                <c:pt idx="1">
                  <c:v>4.3089975440946643E-2</c:v>
                </c:pt>
                <c:pt idx="2">
                  <c:v>7.0538495772140636E-2</c:v>
                </c:pt>
                <c:pt idx="3">
                  <c:v>7.5578855395369154E-2</c:v>
                </c:pt>
                <c:pt idx="4">
                  <c:v>8.116744780570942E-2</c:v>
                </c:pt>
                <c:pt idx="5">
                  <c:v>9.9023993493289955E-2</c:v>
                </c:pt>
                <c:pt idx="6">
                  <c:v>0.10187774670395526</c:v>
                </c:pt>
                <c:pt idx="7">
                  <c:v>0.11065170309115968</c:v>
                </c:pt>
                <c:pt idx="8">
                  <c:v>0.11241907004120071</c:v>
                </c:pt>
                <c:pt idx="9">
                  <c:v>0.10817634492134395</c:v>
                </c:pt>
                <c:pt idx="10">
                  <c:v>0.11076443057722309</c:v>
                </c:pt>
                <c:pt idx="11">
                  <c:v>0.11326178612495209</c:v>
                </c:pt>
                <c:pt idx="12">
                  <c:v>0.11268685320045994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616-4BE4-B22C-54B0277F1D63}"/>
            </c:ext>
          </c:extLst>
        </c:ser>
        <c:ser>
          <c:idx val="1"/>
          <c:order val="1"/>
          <c:tx>
            <c:strRef>
              <c:f>'ADMI X EDAD'!$A$36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16-4BE4-B22C-54B0277F1D63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16-4BE4-B22C-54B0277F1D63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16-4BE4-B22C-54B0277F1D63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16-4BE4-B22C-54B0277F1D63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16-4BE4-B22C-54B0277F1D63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16-4BE4-B22C-54B0277F1D63}"/>
                </c:ext>
              </c:extLst>
            </c:dLbl>
            <c:dLbl>
              <c:idx val="12"/>
              <c:layout>
                <c:manualLayout>
                  <c:x val="9.5824777549623538E-3"/>
                  <c:y val="7.591353440508058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EDAD'!$C$36:$K$36,'ADMI X EDAD'!$L$36,'ADMI X EDAD'!$M$36,'ADMI X EDAD'!$N$36,'ADMI X EDAD'!$O$36)</c:f>
              <c:numCache>
                <c:formatCode>0.0%</c:formatCode>
                <c:ptCount val="13"/>
                <c:pt idx="0">
                  <c:v>0.17407736771898621</c:v>
                </c:pt>
                <c:pt idx="1">
                  <c:v>0.18039741013619112</c:v>
                </c:pt>
                <c:pt idx="2">
                  <c:v>0.20716510903426791</c:v>
                </c:pt>
                <c:pt idx="3">
                  <c:v>0.20816950633464396</c:v>
                </c:pt>
                <c:pt idx="4">
                  <c:v>0.21154665530464423</c:v>
                </c:pt>
                <c:pt idx="5">
                  <c:v>0.20963806425376169</c:v>
                </c:pt>
                <c:pt idx="6">
                  <c:v>0.20455453455852976</c:v>
                </c:pt>
                <c:pt idx="7">
                  <c:v>0.20318960425280566</c:v>
                </c:pt>
                <c:pt idx="8">
                  <c:v>0.20953502060035314</c:v>
                </c:pt>
                <c:pt idx="9">
                  <c:v>0.21829481452709265</c:v>
                </c:pt>
                <c:pt idx="10">
                  <c:v>0.21938377535101405</c:v>
                </c:pt>
                <c:pt idx="11">
                  <c:v>0.22824837102338061</c:v>
                </c:pt>
                <c:pt idx="12">
                  <c:v>0.23323112303564583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616-4BE4-B22C-54B0277F1D63}"/>
            </c:ext>
          </c:extLst>
        </c:ser>
        <c:ser>
          <c:idx val="2"/>
          <c:order val="2"/>
          <c:tx>
            <c:strRef>
              <c:f>'ADMI X EDAD'!$A$37</c:f>
              <c:strCache>
                <c:ptCount val="1"/>
                <c:pt idx="0">
                  <c:v>41 -50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16-4BE4-B22C-54B0277F1D63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16-4BE4-B22C-54B0277F1D63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16-4BE4-B22C-54B0277F1D63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16-4BE4-B22C-54B0277F1D6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16-4BE4-B22C-54B0277F1D6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16-4BE4-B22C-54B0277F1D63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616-4BE4-B22C-54B0277F1D63}"/>
                </c:ext>
              </c:extLst>
            </c:dLbl>
            <c:dLbl>
              <c:idx val="11"/>
              <c:layout>
                <c:manualLayout>
                  <c:x val="6.1943476577621783E-3"/>
                  <c:y val="-9.4928784712226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616-4BE4-B22C-54B0277F1D63}"/>
                </c:ext>
              </c:extLst>
            </c:dLbl>
            <c:dLbl>
              <c:idx val="12"/>
              <c:layout>
                <c:manualLayout>
                  <c:x val="8.21355236139630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EDAD'!$C$37:$K$37,'ADMI X EDAD'!$L$37,'ADMI X EDAD'!$M$37,'ADMI X EDAD'!$N$37,'ADMI X EDAD'!$O$37)</c:f>
              <c:numCache>
                <c:formatCode>0.0%</c:formatCode>
                <c:ptCount val="13"/>
                <c:pt idx="0">
                  <c:v>0.36082703423743884</c:v>
                </c:pt>
                <c:pt idx="1">
                  <c:v>0.3634739897298504</c:v>
                </c:pt>
                <c:pt idx="2">
                  <c:v>0.37383177570093457</c:v>
                </c:pt>
                <c:pt idx="3">
                  <c:v>0.36194844910441243</c:v>
                </c:pt>
                <c:pt idx="4">
                  <c:v>0.34490839369407755</c:v>
                </c:pt>
                <c:pt idx="5">
                  <c:v>0.32696217974786501</c:v>
                </c:pt>
                <c:pt idx="6">
                  <c:v>0.32121454254894127</c:v>
                </c:pt>
                <c:pt idx="7">
                  <c:v>0.31403819649537312</c:v>
                </c:pt>
                <c:pt idx="8">
                  <c:v>0.3046890327643712</c:v>
                </c:pt>
                <c:pt idx="9">
                  <c:v>0.297533501650806</c:v>
                </c:pt>
                <c:pt idx="10">
                  <c:v>0.28802652106084242</c:v>
                </c:pt>
                <c:pt idx="11">
                  <c:v>0.28229206592564199</c:v>
                </c:pt>
                <c:pt idx="12">
                  <c:v>0.28765810655423535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616-4BE4-B22C-54B0277F1D63}"/>
            </c:ext>
          </c:extLst>
        </c:ser>
        <c:ser>
          <c:idx val="3"/>
          <c:order val="3"/>
          <c:tx>
            <c:strRef>
              <c:f>'ADMI X EDAD'!$A$38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616-4BE4-B22C-54B0277F1D6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616-4BE4-B22C-54B0277F1D63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616-4BE4-B22C-54B0277F1D6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616-4BE4-B22C-54B0277F1D63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616-4BE4-B22C-54B0277F1D63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616-4BE4-B22C-54B0277F1D63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616-4BE4-B22C-54B0277F1D6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616-4BE4-B22C-54B0277F1D63}"/>
                </c:ext>
              </c:extLst>
            </c:dLbl>
            <c:dLbl>
              <c:idx val="11"/>
              <c:layout>
                <c:manualLayout>
                  <c:x val="9.2915214866433251E-3"/>
                  <c:y val="-5.17799352750813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3.795676720254029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EDAD'!$C$38:$K$38,'ADMI X EDAD'!$L$38,'ADMI X EDAD'!$M$38,'ADMI X EDAD'!$N$38,'ADMI X EDAD'!$O$38)</c:f>
              <c:numCache>
                <c:formatCode>0.0%</c:formatCode>
                <c:ptCount val="13"/>
                <c:pt idx="0">
                  <c:v>0.31458425967096487</c:v>
                </c:pt>
                <c:pt idx="1">
                  <c:v>0.30229962045099351</c:v>
                </c:pt>
                <c:pt idx="2">
                  <c:v>0.26479750778816197</c:v>
                </c:pt>
                <c:pt idx="3">
                  <c:v>0.26692878986456969</c:v>
                </c:pt>
                <c:pt idx="4">
                  <c:v>0.26906689390711547</c:v>
                </c:pt>
                <c:pt idx="5">
                  <c:v>0.2686051240341602</c:v>
                </c:pt>
                <c:pt idx="6">
                  <c:v>0.26987614862165399</c:v>
                </c:pt>
                <c:pt idx="7">
                  <c:v>0.26914746997440442</c:v>
                </c:pt>
                <c:pt idx="8">
                  <c:v>0.27251324308416713</c:v>
                </c:pt>
                <c:pt idx="9">
                  <c:v>0.27209166828510389</c:v>
                </c:pt>
                <c:pt idx="10">
                  <c:v>0.27730109204368175</c:v>
                </c:pt>
                <c:pt idx="11">
                  <c:v>0.27270985051743962</c:v>
                </c:pt>
                <c:pt idx="12">
                  <c:v>0.26312763510923726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2616-4BE4-B22C-54B0277F1D63}"/>
            </c:ext>
          </c:extLst>
        </c:ser>
        <c:ser>
          <c:idx val="4"/>
          <c:order val="4"/>
          <c:tx>
            <c:strRef>
              <c:f>'ADMI X EDAD'!$A$39</c:f>
              <c:strCache>
                <c:ptCount val="1"/>
                <c:pt idx="0">
                  <c:v>61 - 70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2616-4BE4-B22C-54B0277F1D63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616-4BE4-B22C-54B0277F1D63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616-4BE4-B22C-54B0277F1D63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616-4BE4-B22C-54B0277F1D63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616-4BE4-B22C-54B0277F1D63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616-4BE4-B22C-54B0277F1D6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616-4BE4-B22C-54B0277F1D6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616-4BE4-B22C-54B0277F1D6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616-4BE4-B22C-54B0277F1D63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616-4BE4-B22C-54B0277F1D63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616-4BE4-B22C-54B0277F1D63}"/>
                </c:ext>
              </c:extLst>
            </c:dLbl>
            <c:dLbl>
              <c:idx val="11"/>
              <c:layout>
                <c:manualLayout>
                  <c:x val="4.64576074332160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616-4BE4-B22C-54B0277F1D63}"/>
                </c:ext>
              </c:extLst>
            </c:dLbl>
            <c:dLbl>
              <c:idx val="12"/>
              <c:layout>
                <c:manualLayout>
                  <c:x val="6.8446269678300526E-3"/>
                  <c:y val="-6.21117911165792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EDAD'!$C$39:$K$39,'ADMI X EDAD'!$L$39,'ADMI X EDAD'!$M$39,'ADMI X EDAD'!$N$39,'ADMI X EDAD'!$O$39)</c:f>
              <c:numCache>
                <c:formatCode>0.0%</c:formatCode>
                <c:ptCount val="13"/>
                <c:pt idx="0">
                  <c:v>9.8932859048465979E-2</c:v>
                </c:pt>
                <c:pt idx="1">
                  <c:v>9.2431346282652371E-2</c:v>
                </c:pt>
                <c:pt idx="2">
                  <c:v>7.0761014686248333E-2</c:v>
                </c:pt>
                <c:pt idx="3">
                  <c:v>7.4705111402359109E-2</c:v>
                </c:pt>
                <c:pt idx="4">
                  <c:v>7.9889220281210052E-2</c:v>
                </c:pt>
                <c:pt idx="5">
                  <c:v>8.255388369255795E-2</c:v>
                </c:pt>
                <c:pt idx="6">
                  <c:v>8.8893328006392325E-2</c:v>
                </c:pt>
                <c:pt idx="7">
                  <c:v>8.8993896436306355E-2</c:v>
                </c:pt>
                <c:pt idx="8">
                  <c:v>8.7894840102020796E-2</c:v>
                </c:pt>
                <c:pt idx="9">
                  <c:v>9.0114585356379881E-2</c:v>
                </c:pt>
                <c:pt idx="10">
                  <c:v>9.1263650546021841E-2</c:v>
                </c:pt>
                <c:pt idx="11">
                  <c:v>8.8348026063625906E-2</c:v>
                </c:pt>
                <c:pt idx="12">
                  <c:v>9.1989267918742817E-2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2616-4BE4-B22C-54B0277F1D63}"/>
            </c:ext>
          </c:extLst>
        </c:ser>
        <c:ser>
          <c:idx val="5"/>
          <c:order val="5"/>
          <c:tx>
            <c:strRef>
              <c:f>'ADMI X EDAD'!$A$40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6823443046632E-3"/>
                  <c:y val="-1.2417538257262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616-4BE4-B22C-54B0277F1D63}"/>
                </c:ext>
              </c:extLst>
            </c:dLbl>
            <c:dLbl>
              <c:idx val="1"/>
              <c:layout>
                <c:manualLayout>
                  <c:x val="5.3818176942441584E-3"/>
                  <c:y val="-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616-4BE4-B22C-54B0277F1D63}"/>
                </c:ext>
              </c:extLst>
            </c:dLbl>
            <c:dLbl>
              <c:idx val="2"/>
              <c:layout>
                <c:manualLayout>
                  <c:x val="5.9536810772216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616-4BE4-B22C-54B0277F1D63}"/>
                </c:ext>
              </c:extLst>
            </c:dLbl>
            <c:dLbl>
              <c:idx val="3"/>
              <c:layout>
                <c:manualLayout>
                  <c:x val="7.3705346218695842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616-4BE4-B22C-54B0277F1D63}"/>
                </c:ext>
              </c:extLst>
            </c:dLbl>
            <c:dLbl>
              <c:idx val="4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616-4BE4-B22C-54B0277F1D63}"/>
                </c:ext>
              </c:extLst>
            </c:dLbl>
            <c:dLbl>
              <c:idx val="5"/>
              <c:layout>
                <c:manualLayout>
                  <c:x val="7.0846699718090794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2616-4BE4-B22C-54B0277F1D63}"/>
                </c:ext>
              </c:extLst>
            </c:dLbl>
            <c:dLbl>
              <c:idx val="6"/>
              <c:layout>
                <c:manualLayout>
                  <c:x val="8.5016575993134957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616-4BE4-B22C-54B0277F1D63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2616-4BE4-B22C-54B0277F1D63}"/>
                </c:ext>
              </c:extLst>
            </c:dLbl>
            <c:dLbl>
              <c:idx val="8"/>
              <c:layout>
                <c:manualLayout>
                  <c:x val="6.5128065888315689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616-4BE4-B22C-54B0277F1D63}"/>
                </c:ext>
              </c:extLst>
            </c:dLbl>
            <c:dLbl>
              <c:idx val="9"/>
              <c:layout>
                <c:manualLayout>
                  <c:x val="4.3948972497534315E-3"/>
                  <c:y val="-5.69667829075523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2616-4BE4-B22C-54B0277F1D63}"/>
                </c:ext>
              </c:extLst>
            </c:dLbl>
            <c:dLbl>
              <c:idx val="10"/>
              <c:layout>
                <c:manualLayout>
                  <c:x val="6.8213424541444514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2616-4BE4-B22C-54B0277F1D63}"/>
                </c:ext>
              </c:extLst>
            </c:dLbl>
            <c:dLbl>
              <c:idx val="11"/>
              <c:layout>
                <c:manualLayout>
                  <c:x val="3.0971738288812596E-3"/>
                  <c:y val="-7.7669902912621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616-4BE4-B22C-54B0277F1D63}"/>
                </c:ext>
              </c:extLst>
            </c:dLbl>
            <c:dLbl>
              <c:idx val="12"/>
              <c:layout>
                <c:manualLayout>
                  <c:x val="4.1067761806981521E-3"/>
                  <c:y val="-6.21117911165793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FE-496F-9DB4-E9EA49F194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EDAD'!$C$34:$K$34,'ADMI X EDAD'!$L$34,'ADMI X EDAD'!$M$34,'ADMI X EDAD'!$N$34,'ADMI X EDAD'!$O$34)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EDAD'!$C$40:$N$40,'ADMI X EDAD'!$O$40)</c:f>
              <c:numCache>
                <c:formatCode>0.0%</c:formatCode>
                <c:ptCount val="13"/>
                <c:pt idx="0">
                  <c:v>1.9786571809693197E-2</c:v>
                </c:pt>
                <c:pt idx="1">
                  <c:v>1.8307657959365928E-2</c:v>
                </c:pt>
                <c:pt idx="2">
                  <c:v>1.290609701824655E-2</c:v>
                </c:pt>
                <c:pt idx="3">
                  <c:v>1.2669287898645697E-2</c:v>
                </c:pt>
                <c:pt idx="4">
                  <c:v>1.342138900724329E-2</c:v>
                </c:pt>
                <c:pt idx="5">
                  <c:v>1.3216754778365189E-2</c:v>
                </c:pt>
                <c:pt idx="6">
                  <c:v>1.3583699560527367E-2</c:v>
                </c:pt>
                <c:pt idx="7">
                  <c:v>1.3979129749950778E-2</c:v>
                </c:pt>
                <c:pt idx="8">
                  <c:v>1.2948793407886992E-2</c:v>
                </c:pt>
                <c:pt idx="9">
                  <c:v>1.3789085259273645E-2</c:v>
                </c:pt>
                <c:pt idx="10">
                  <c:v>1.3260530421216849E-2</c:v>
                </c:pt>
                <c:pt idx="11">
                  <c:v>1.5139900344959755E-2</c:v>
                </c:pt>
                <c:pt idx="12">
                  <c:v>1.4373323112303564E-2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2616-4BE4-B22C-54B0277F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42431744"/>
        <c:axId val="142433280"/>
        <c:axId val="0"/>
      </c:bar3DChart>
      <c:catAx>
        <c:axId val="1424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42433280"/>
        <c:crosses val="autoZero"/>
        <c:auto val="1"/>
        <c:lblAlgn val="ctr"/>
        <c:lblOffset val="100"/>
        <c:noMultiLvlLbl val="0"/>
      </c:catAx>
      <c:valAx>
        <c:axId val="14243328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2431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6976079209610992E-2"/>
          <c:y val="0.91902860629266081"/>
          <c:w val="0.89828417789239767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Administrativo Definitivopor años de ANTIGÜEDAD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6942626107046593E-2"/>
          <c:y val="7.6040634562502082E-2"/>
          <c:w val="0.96611474778590678"/>
          <c:h val="0.7825584710774088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'ADMI X ANTIG'!$A$25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D5-4F3B-8885-4B107C4989A2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D5-4F3B-8885-4B107C4989A2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D5-4F3B-8885-4B107C4989A2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D5-4F3B-8885-4B107C4989A2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D5-4F3B-8885-4B107C4989A2}"/>
                </c:ext>
              </c:extLst>
            </c:dLbl>
            <c:dLbl>
              <c:idx val="9"/>
              <c:layout>
                <c:manualLayout>
                  <c:x val="9.23670255503776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D5-4F3B-8885-4B107C4989A2}"/>
                </c:ext>
              </c:extLst>
            </c:dLbl>
            <c:dLbl>
              <c:idx val="11"/>
              <c:layout>
                <c:manualLayout>
                  <c:x val="6.1609549480169425E-3"/>
                  <c:y val="-7.86627254094858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ANTIG'!$C$25:$K$25,'ADMI X ANTIG'!$L$25,'ADMI X ANTIG'!$M$25,'ADMI X ANTIG'!$N$25,'ADMI X ANTIG'!$O$25)</c:f>
              <c:numCache>
                <c:formatCode>0.0%</c:formatCode>
                <c:ptCount val="13"/>
                <c:pt idx="0">
                  <c:v>0.11116051578479325</c:v>
                </c:pt>
                <c:pt idx="1">
                  <c:v>0.10716677829872739</c:v>
                </c:pt>
                <c:pt idx="2">
                  <c:v>0.14196706720071206</c:v>
                </c:pt>
                <c:pt idx="3">
                  <c:v>0.14591524683267804</c:v>
                </c:pt>
                <c:pt idx="4">
                  <c:v>0.18108223263740947</c:v>
                </c:pt>
                <c:pt idx="5">
                  <c:v>0.23037820252135013</c:v>
                </c:pt>
                <c:pt idx="6">
                  <c:v>0.25149820215741109</c:v>
                </c:pt>
                <c:pt idx="7">
                  <c:v>0.28017326245323881</c:v>
                </c:pt>
                <c:pt idx="8">
                  <c:v>0.28683539336864822</c:v>
                </c:pt>
                <c:pt idx="9">
                  <c:v>0.2913187026607108</c:v>
                </c:pt>
                <c:pt idx="10">
                  <c:v>0.28724648985959439</c:v>
                </c:pt>
                <c:pt idx="11">
                  <c:v>0.2753928708317363</c:v>
                </c:pt>
                <c:pt idx="12">
                  <c:v>0.26939243408482993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D5-4F3B-8885-4B107C4989A2}"/>
            </c:ext>
          </c:extLst>
        </c:ser>
        <c:ser>
          <c:idx val="1"/>
          <c:order val="1"/>
          <c:tx>
            <c:strRef>
              <c:f>'ADMI X ANTIG'!$A$26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D5-4F3B-8885-4B107C4989A2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D5-4F3B-8885-4B107C4989A2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D5-4F3B-8885-4B107C4989A2}"/>
                </c:ext>
              </c:extLst>
            </c:dLbl>
            <c:dLbl>
              <c:idx val="9"/>
              <c:layout>
                <c:manualLayout>
                  <c:x val="7.69646381803352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D5-4F3B-8885-4B107C4989A2}"/>
                </c:ext>
              </c:extLst>
            </c:dLbl>
            <c:dLbl>
              <c:idx val="10"/>
              <c:layout>
                <c:manualLayout>
                  <c:x val="4.6207162110127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D5-4F3B-8885-4B107C4989A2}"/>
                </c:ext>
              </c:extLst>
            </c:dLbl>
            <c:dLbl>
              <c:idx val="11"/>
              <c:layout>
                <c:manualLayout>
                  <c:x val="6.1609549480169425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D5-4F3B-8885-4B107C4989A2}"/>
                </c:ext>
              </c:extLst>
            </c:dLbl>
            <c:dLbl>
              <c:idx val="12"/>
              <c:layout>
                <c:manualLayout>
                  <c:x val="7.630675314765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ANTIG'!$C$26:$K$26,'ADMI X ANTIG'!$L$26,'ADMI X ANTIG'!$M$26,'ADMI X ANTIG'!$N$26,'ADMI X ANTIG'!$O$26)</c:f>
              <c:numCache>
                <c:formatCode>0.0%</c:formatCode>
                <c:ptCount val="13"/>
                <c:pt idx="0">
                  <c:v>0.13939528679413071</c:v>
                </c:pt>
                <c:pt idx="1">
                  <c:v>0.14221924536726949</c:v>
                </c:pt>
                <c:pt idx="2">
                  <c:v>0.11927013796172675</c:v>
                </c:pt>
                <c:pt idx="3">
                  <c:v>0.12669287898645698</c:v>
                </c:pt>
                <c:pt idx="4">
                  <c:v>0.11717085641244142</c:v>
                </c:pt>
                <c:pt idx="5">
                  <c:v>9.7600650671004471E-2</c:v>
                </c:pt>
                <c:pt idx="6">
                  <c:v>8.6496204554534564E-2</c:v>
                </c:pt>
                <c:pt idx="7">
                  <c:v>8.7812561527859809E-2</c:v>
                </c:pt>
                <c:pt idx="8">
                  <c:v>0.10260937806552874</c:v>
                </c:pt>
                <c:pt idx="9">
                  <c:v>0.12837444163915324</c:v>
                </c:pt>
                <c:pt idx="10">
                  <c:v>0.16107644305772231</c:v>
                </c:pt>
                <c:pt idx="11">
                  <c:v>0.20199310080490609</c:v>
                </c:pt>
                <c:pt idx="12">
                  <c:v>0.22162781811234239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1D5-4F3B-8885-4B107C4989A2}"/>
            </c:ext>
          </c:extLst>
        </c:ser>
        <c:ser>
          <c:idx val="2"/>
          <c:order val="2"/>
          <c:tx>
            <c:strRef>
              <c:f>'ADMI X ANTIG'!$A$27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D5-4F3B-8885-4B107C4989A2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1D5-4F3B-8885-4B107C4989A2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1D5-4F3B-8885-4B107C4989A2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1D5-4F3B-8885-4B107C4989A2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1D5-4F3B-8885-4B107C4989A2}"/>
                </c:ext>
              </c:extLst>
            </c:dLbl>
            <c:dLbl>
              <c:idx val="9"/>
              <c:layout>
                <c:manualLayout>
                  <c:x val="1.077752117013086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1D5-4F3B-8885-4B107C4989A2}"/>
                </c:ext>
              </c:extLst>
            </c:dLbl>
            <c:dLbl>
              <c:idx val="11"/>
              <c:layout>
                <c:manualLayout>
                  <c:x val="4.6207162110125941E-3"/>
                  <c:y val="-9.614222041290276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ANTIG'!$C$27:$K$27,'ADMI X ANTIG'!$L$27,'ADMI X ANTIG'!$M$27,'ADMI X ANTIG'!$N$27,'ADMI X ANTIG'!$O$27)</c:f>
              <c:numCache>
                <c:formatCode>0.0%</c:formatCode>
                <c:ptCount val="13"/>
                <c:pt idx="0">
                  <c:v>0.19119608714984437</c:v>
                </c:pt>
                <c:pt idx="1">
                  <c:v>0.17369948649252065</c:v>
                </c:pt>
                <c:pt idx="2">
                  <c:v>0.14574988874054295</c:v>
                </c:pt>
                <c:pt idx="3">
                  <c:v>0.14001747487986019</c:v>
                </c:pt>
                <c:pt idx="4">
                  <c:v>0.12760971452918621</c:v>
                </c:pt>
                <c:pt idx="5">
                  <c:v>0.12159414396095974</c:v>
                </c:pt>
                <c:pt idx="6">
                  <c:v>0.12385137834598482</c:v>
                </c:pt>
                <c:pt idx="7">
                  <c:v>0.12010238235873204</c:v>
                </c:pt>
                <c:pt idx="8">
                  <c:v>0.10574847949774377</c:v>
                </c:pt>
                <c:pt idx="9">
                  <c:v>9.6717809283355993E-2</c:v>
                </c:pt>
                <c:pt idx="10">
                  <c:v>8.3853354134165364E-2</c:v>
                </c:pt>
                <c:pt idx="11">
                  <c:v>7.2633192794174017E-2</c:v>
                </c:pt>
                <c:pt idx="12">
                  <c:v>7.7569736339319836E-2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71D5-4F3B-8885-4B107C4989A2}"/>
            </c:ext>
          </c:extLst>
        </c:ser>
        <c:ser>
          <c:idx val="3"/>
          <c:order val="3"/>
          <c:tx>
            <c:strRef>
              <c:f>'ADMI X ANTIG'!$A$28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1D5-4F3B-8885-4B107C4989A2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1D5-4F3B-8885-4B107C4989A2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1D5-4F3B-8885-4B107C4989A2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1D5-4F3B-8885-4B107C4989A2}"/>
                </c:ext>
              </c:extLst>
            </c:dLbl>
            <c:dLbl>
              <c:idx val="10"/>
              <c:layout>
                <c:manualLayout>
                  <c:x val="9.2414324220254137E-3"/>
                  <c:y val="-5.24418169396566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1D5-4F3B-8885-4B107C4989A2}"/>
                </c:ext>
              </c:extLst>
            </c:dLbl>
            <c:dLbl>
              <c:idx val="11"/>
              <c:layout>
                <c:manualLayout>
                  <c:x val="4.6207162110127068E-3"/>
                  <c:y val="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1D5-4F3B-8885-4B107C4989A2}"/>
                </c:ext>
              </c:extLst>
            </c:dLbl>
            <c:dLbl>
              <c:idx val="12"/>
              <c:layout>
                <c:manualLayout>
                  <c:x val="7.630675314765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ANTIG'!$C$28:$K$28,'ADMI X ANTIG'!$L$28,'ADMI X ANTIG'!$M$28,'ADMI X ANTIG'!$N$28,'ADMI X ANTIG'!$O$28)</c:f>
              <c:numCache>
                <c:formatCode>0.0%</c:formatCode>
                <c:ptCount val="13"/>
                <c:pt idx="0">
                  <c:v>0.17274344152956869</c:v>
                </c:pt>
                <c:pt idx="1">
                  <c:v>0.17146684527796383</c:v>
                </c:pt>
                <c:pt idx="2">
                  <c:v>0.18513573653760571</c:v>
                </c:pt>
                <c:pt idx="3">
                  <c:v>0.18719965050240281</c:v>
                </c:pt>
                <c:pt idx="4">
                  <c:v>0.17703451214316149</c:v>
                </c:pt>
                <c:pt idx="5">
                  <c:v>0.16104107360715739</c:v>
                </c:pt>
                <c:pt idx="6">
                  <c:v>0.14362764682381143</c:v>
                </c:pt>
                <c:pt idx="7">
                  <c:v>0.11616459933057688</c:v>
                </c:pt>
                <c:pt idx="8">
                  <c:v>0.11457720227584854</c:v>
                </c:pt>
                <c:pt idx="9">
                  <c:v>0.10448630802097494</c:v>
                </c:pt>
                <c:pt idx="10">
                  <c:v>0.10218408736349453</c:v>
                </c:pt>
                <c:pt idx="11">
                  <c:v>0.10636259103104638</c:v>
                </c:pt>
                <c:pt idx="12">
                  <c:v>0.10450897974780282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71D5-4F3B-8885-4B107C4989A2}"/>
            </c:ext>
          </c:extLst>
        </c:ser>
        <c:ser>
          <c:idx val="4"/>
          <c:order val="4"/>
          <c:tx>
            <c:strRef>
              <c:f>'ADMI X ANTIG'!$A$29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1D5-4F3B-8885-4B107C4989A2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1D5-4F3B-8885-4B107C4989A2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1D5-4F3B-8885-4B107C4989A2}"/>
                </c:ext>
              </c:extLst>
            </c:dLbl>
            <c:dLbl>
              <c:idx val="5"/>
              <c:layout>
                <c:manualLayout>
                  <c:x val="5.5518936143763697E-3"/>
                  <c:y val="1.98824683909013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1D5-4F3B-8885-4B107C4989A2}"/>
                </c:ext>
              </c:extLst>
            </c:dLbl>
            <c:dLbl>
              <c:idx val="6"/>
              <c:layout>
                <c:manualLayout>
                  <c:x val="5.7381776065053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1D5-4F3B-8885-4B107C4989A2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1D5-4F3B-8885-4B107C4989A2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1D5-4F3B-8885-4B107C4989A2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1D5-4F3B-8885-4B107C4989A2}"/>
                </c:ext>
              </c:extLst>
            </c:dLbl>
            <c:dLbl>
              <c:idx val="12"/>
              <c:layout>
                <c:manualLayout>
                  <c:x val="4.5784051888592137E-3"/>
                  <c:y val="-2.62209084698283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ANTIG'!$C$29:$K$29,'ADMI X ANTIG'!$L$29,'ADMI X ANTIG'!$M$29,'ADMI X ANTIG'!$N$29,'ADMI X ANTIG'!$O$29)</c:f>
              <c:numCache>
                <c:formatCode>0.0%</c:formatCode>
                <c:ptCount val="13"/>
                <c:pt idx="0">
                  <c:v>0.21987550022232102</c:v>
                </c:pt>
                <c:pt idx="1">
                  <c:v>0.22192453672694798</c:v>
                </c:pt>
                <c:pt idx="2">
                  <c:v>0.20850022251891412</c:v>
                </c:pt>
                <c:pt idx="3">
                  <c:v>0.17780690257754478</c:v>
                </c:pt>
                <c:pt idx="4">
                  <c:v>0.14870046868342565</c:v>
                </c:pt>
                <c:pt idx="5">
                  <c:v>0.1464009760065067</c:v>
                </c:pt>
                <c:pt idx="6">
                  <c:v>0.14342788653615662</c:v>
                </c:pt>
                <c:pt idx="7">
                  <c:v>0.15042331167552667</c:v>
                </c:pt>
                <c:pt idx="8">
                  <c:v>0.15224641946242887</c:v>
                </c:pt>
                <c:pt idx="9">
                  <c:v>0.14798990095164111</c:v>
                </c:pt>
                <c:pt idx="10">
                  <c:v>0.14021060842433697</c:v>
                </c:pt>
                <c:pt idx="11">
                  <c:v>0.12399386738213874</c:v>
                </c:pt>
                <c:pt idx="12">
                  <c:v>0.10106992739778373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71D5-4F3B-8885-4B107C4989A2}"/>
            </c:ext>
          </c:extLst>
        </c:ser>
        <c:ser>
          <c:idx val="5"/>
          <c:order val="5"/>
          <c:tx>
            <c:strRef>
              <c:f>'ADMI X ANTIG'!$A$30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1D5-4F3B-8885-4B107C4989A2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1D5-4F3B-8885-4B107C4989A2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1D5-4F3B-8885-4B107C4989A2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1D5-4F3B-8885-4B107C4989A2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1D5-4F3B-8885-4B107C4989A2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1D5-4F3B-8885-4B107C4989A2}"/>
                </c:ext>
              </c:extLst>
            </c:dLbl>
            <c:dLbl>
              <c:idx val="7"/>
              <c:layout>
                <c:manualLayout>
                  <c:x val="5.7381776065053864E-3"/>
                  <c:y val="-4.807111020645138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1D5-4F3B-8885-4B107C4989A2}"/>
                </c:ext>
              </c:extLst>
            </c:dLbl>
            <c:dLbl>
              <c:idx val="8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1D5-4F3B-8885-4B107C4989A2}"/>
                </c:ext>
              </c:extLst>
            </c:dLbl>
            <c:dLbl>
              <c:idx val="10"/>
              <c:layout>
                <c:manualLayout>
                  <c:x val="7.70119368502117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1D5-4F3B-8885-4B107C4989A2}"/>
                </c:ext>
              </c:extLst>
            </c:dLbl>
            <c:dLbl>
              <c:idx val="11"/>
              <c:layout>
                <c:manualLayout>
                  <c:x val="9.2414324220253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ANTIG'!$C$30:$K$30,'ADMI X ANTIG'!$L$30,'ADMI X ANTIG'!$M$30,'ADMI X ANTIG'!$N$30,'ADMI X ANTIG'!$O$30)</c:f>
              <c:numCache>
                <c:formatCode>0.0%</c:formatCode>
                <c:ptCount val="13"/>
                <c:pt idx="0">
                  <c:v>0.1462872387727879</c:v>
                </c:pt>
                <c:pt idx="1">
                  <c:v>0.14422862246037063</c:v>
                </c:pt>
                <c:pt idx="2">
                  <c:v>0.13840676457498888</c:v>
                </c:pt>
                <c:pt idx="3">
                  <c:v>0.16491917868064657</c:v>
                </c:pt>
                <c:pt idx="4">
                  <c:v>0.18768640818065616</c:v>
                </c:pt>
                <c:pt idx="5">
                  <c:v>0.16856445709638065</c:v>
                </c:pt>
                <c:pt idx="6">
                  <c:v>0.16380343587694765</c:v>
                </c:pt>
                <c:pt idx="7">
                  <c:v>0.15317975979523529</c:v>
                </c:pt>
                <c:pt idx="8">
                  <c:v>0.13125367863449089</c:v>
                </c:pt>
                <c:pt idx="9">
                  <c:v>0.11419693144299864</c:v>
                </c:pt>
                <c:pt idx="10">
                  <c:v>0.11154446177847113</c:v>
                </c:pt>
                <c:pt idx="11">
                  <c:v>0.11498658489842851</c:v>
                </c:pt>
                <c:pt idx="12">
                  <c:v>0.12208635842567826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71D5-4F3B-8885-4B107C4989A2}"/>
            </c:ext>
          </c:extLst>
        </c:ser>
        <c:ser>
          <c:idx val="6"/>
          <c:order val="6"/>
          <c:tx>
            <c:strRef>
              <c:f>'ADMI X ANTIG'!$A$31</c:f>
              <c:strCache>
                <c:ptCount val="1"/>
                <c:pt idx="0">
                  <c:v>MÁS DE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8438986141612116E-3"/>
                  <c:y val="-1.04883633879313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1D5-4F3B-8885-4B107C4989A2}"/>
                </c:ext>
              </c:extLst>
            </c:dLbl>
            <c:dLbl>
              <c:idx val="1"/>
              <c:layout>
                <c:manualLayout>
                  <c:x val="2.6577001324969152E-3"/>
                  <c:y val="-2.6220908469828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1D5-4F3B-8885-4B107C4989A2}"/>
                </c:ext>
              </c:extLst>
            </c:dLbl>
            <c:dLbl>
              <c:idx val="2"/>
              <c:layout>
                <c:manualLayout>
                  <c:x val="2.8438628459852224E-3"/>
                  <c:y val="-1.3110454234914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3654216403542547E-2"/>
                      <c:h val="3.08490020466761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50-71D5-4F3B-8885-4B107C4989A2}"/>
                </c:ext>
              </c:extLst>
            </c:dLbl>
            <c:dLbl>
              <c:idx val="3"/>
              <c:layout>
                <c:manualLayout>
                  <c:x val="4.01165487737213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1D5-4F3B-8885-4B107C4989A2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1D5-4F3B-8885-4B107C4989A2}"/>
                </c:ext>
              </c:extLst>
            </c:dLbl>
            <c:dLbl>
              <c:idx val="5"/>
              <c:layout>
                <c:manualLayout>
                  <c:x val="4.1979388695010944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1D5-4F3B-8885-4B107C4989A2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1D5-4F3B-8885-4B107C4989A2}"/>
                </c:ext>
              </c:extLst>
            </c:dLbl>
            <c:dLbl>
              <c:idx val="7"/>
              <c:layout>
                <c:manualLayout>
                  <c:x val="5.924340319993693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1D5-4F3B-8885-4B107C4989A2}"/>
                </c:ext>
              </c:extLst>
            </c:dLbl>
            <c:dLbl>
              <c:idx val="8"/>
              <c:layout>
                <c:manualLayout>
                  <c:x val="2.6577001324969152E-3"/>
                  <c:y val="-3.25593485487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1D5-4F3B-8885-4B107C4989A2}"/>
                </c:ext>
              </c:extLst>
            </c:dLbl>
            <c:dLbl>
              <c:idx val="9"/>
              <c:layout>
                <c:manualLayout>
                  <c:x val="9.23787528868360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1D5-4F3B-8885-4B107C4989A2}"/>
                </c:ext>
              </c:extLst>
            </c:dLbl>
            <c:dLbl>
              <c:idx val="10"/>
              <c:layout>
                <c:manualLayout>
                  <c:x val="9.24143242202541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1D5-4F3B-8885-4B107C4989A2}"/>
                </c:ext>
              </c:extLst>
            </c:dLbl>
            <c:dLbl>
              <c:idx val="11"/>
              <c:layout>
                <c:manualLayout>
                  <c:x val="7.7011936850210653E-3"/>
                  <c:y val="-2.403555510322569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1D5-4F3B-8885-4B107C4989A2}"/>
                </c:ext>
              </c:extLst>
            </c:dLbl>
            <c:dLbl>
              <c:idx val="12"/>
              <c:layout>
                <c:manualLayout>
                  <c:x val="6.10454025181228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4-440C-BB3C-E81DFAA94C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 X ANTIG'!$C$24:$K$24,'ADMI X ANTIG'!$L$24,'ADMI X ANTIG'!$M$24,'ADMI X ANTIG'!$N$24,'ADMI X ANTIG'!$O$24)</c:f>
              <c:numCache>
                <c:formatCode>General</c:formatCode>
                <c:ptCount val="13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</c:numCache>
            </c:numRef>
          </c:cat>
          <c:val>
            <c:numRef>
              <c:f>('ADMI X ANTIG'!$C$31:$K$31,'ADMI X ANTIG'!$L$31,'ADMI X ANTIG'!$M$31,'ADMI X ANTIG'!$N$31,'ADMI X ANTIG'!$O$31)</c:f>
              <c:numCache>
                <c:formatCode>0.0%</c:formatCode>
                <c:ptCount val="13"/>
                <c:pt idx="0">
                  <c:v>1.9341929746554024E-2</c:v>
                </c:pt>
                <c:pt idx="1">
                  <c:v>3.9294485376200047E-2</c:v>
                </c:pt>
                <c:pt idx="2">
                  <c:v>6.0970182465509566E-2</c:v>
                </c:pt>
                <c:pt idx="3">
                  <c:v>5.7448667540410663E-2</c:v>
                </c:pt>
                <c:pt idx="4">
                  <c:v>6.0715807413719645E-2</c:v>
                </c:pt>
                <c:pt idx="5">
                  <c:v>7.442049613664091E-2</c:v>
                </c:pt>
                <c:pt idx="6">
                  <c:v>8.7295245705153818E-2</c:v>
                </c:pt>
                <c:pt idx="7">
                  <c:v>9.2144122858830474E-2</c:v>
                </c:pt>
                <c:pt idx="8">
                  <c:v>0.10672944869531097</c:v>
                </c:pt>
                <c:pt idx="9">
                  <c:v>0.11691590600116528</c:v>
                </c:pt>
                <c:pt idx="10">
                  <c:v>0.11388455538221529</c:v>
                </c:pt>
                <c:pt idx="11">
                  <c:v>0.10463779225756994</c:v>
                </c:pt>
                <c:pt idx="12">
                  <c:v>0.10374474589224303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71D5-4F3B-8885-4B107C498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45824768"/>
        <c:axId val="145871616"/>
        <c:axId val="0"/>
      </c:bar3DChart>
      <c:catAx>
        <c:axId val="1458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145871616"/>
        <c:crosses val="autoZero"/>
        <c:auto val="1"/>
        <c:lblAlgn val="ctr"/>
        <c:lblOffset val="100"/>
        <c:noMultiLvlLbl val="0"/>
      </c:catAx>
      <c:valAx>
        <c:axId val="145871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4582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0431236526701013E-2"/>
          <c:y val="0.93862903463905867"/>
          <c:w val="0.93570996845130439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EBB-4DF9-84A1-74D98FE1BE57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EBB-4DF9-84A1-74D98FE1BE57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EBB-4DF9-84A1-74D98FE1BE5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EBB-4DF9-84A1-74D98FE1BE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EXT'!$C$95:$E$95</c:f>
              <c:numCache>
                <c:formatCode>#,##0.00</c:formatCode>
                <c:ptCount val="3"/>
                <c:pt idx="0">
                  <c:v>162654479.56</c:v>
                </c:pt>
                <c:pt idx="1">
                  <c:v>47851416.109999999</c:v>
                </c:pt>
                <c:pt idx="2">
                  <c:v>123763497.50000001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BB-4DF9-84A1-74D98FE1BE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A10-4CCB-88ED-5C545D8BFC6B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A10-4CCB-88ED-5C545D8BFC6B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A10-4CCB-88ED-5C545D8BFC6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A10-4CCB-88ED-5C545D8BFC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EXT'!$C$125:$E$125</c:f>
              <c:numCache>
                <c:formatCode>#,##0.00</c:formatCode>
                <c:ptCount val="3"/>
                <c:pt idx="0">
                  <c:v>179510848.91999999</c:v>
                </c:pt>
                <c:pt idx="1">
                  <c:v>16369562.879999999</c:v>
                </c:pt>
                <c:pt idx="2">
                  <c:v>70559754.189999998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10-4CCB-88ED-5C545D8BF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5807-4CAD-83B1-C6DDB49E7274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5807-4CAD-83B1-C6DDB49E7274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5807-4CAD-83B1-C6DDB49E727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5807-4CAD-83B1-C6DDB49E7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EXT'!$C$153:$E$153</c:f>
              <c:numCache>
                <c:formatCode>#,##0.00</c:formatCode>
                <c:ptCount val="3"/>
                <c:pt idx="0">
                  <c:v>92168755.070000008</c:v>
                </c:pt>
                <c:pt idx="1">
                  <c:v>49403744.32</c:v>
                </c:pt>
                <c:pt idx="2">
                  <c:v>71709453.480000004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07-4CAD-83B1-C6DDB49E7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D73B-48EE-A46F-7A3F4E087992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D73B-48EE-A46F-7A3F4E087992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D73B-48EE-A46F-7A3F4E08799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D73B-48EE-A46F-7A3F4E0879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EXT'!$C$180:$E$180</c:f>
              <c:numCache>
                <c:formatCode>#,##0.00</c:formatCode>
                <c:ptCount val="3"/>
                <c:pt idx="0">
                  <c:v>187167814.91000003</c:v>
                </c:pt>
                <c:pt idx="1">
                  <c:v>79421127.200000003</c:v>
                </c:pt>
                <c:pt idx="2">
                  <c:v>217868511.91999996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3B-48EE-A46F-7A3F4E087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95B3-4E80-848C-9F01F3D1A9D6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95B3-4E80-848C-9F01F3D1A9D6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95B3-4E80-848C-9F01F3D1A9D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95B3-4E80-848C-9F01F3D1A9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EXT'!$C$205:$E$205</c:f>
              <c:numCache>
                <c:formatCode>#,##0.00</c:formatCode>
                <c:ptCount val="3"/>
                <c:pt idx="0">
                  <c:v>84484040.250000015</c:v>
                </c:pt>
                <c:pt idx="1">
                  <c:v>25246906.460000001</c:v>
                </c:pt>
                <c:pt idx="2">
                  <c:v>142612817.78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B3-4E80-848C-9F01F3D1A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E194-45CE-857D-C472905A52B2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E194-45CE-857D-C472905A52B2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E194-45CE-857D-C472905A52B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E194-45CE-857D-C472905A52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'RECURSOS EXT'!$C$99:$E$99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EXT'!$C$230:$E$230</c:f>
              <c:numCache>
                <c:formatCode>#,##0.00</c:formatCode>
                <c:ptCount val="3"/>
                <c:pt idx="0">
                  <c:v>92512439.519999996</c:v>
                </c:pt>
                <c:pt idx="1">
                  <c:v>70577844.950000003</c:v>
                </c:pt>
                <c:pt idx="2">
                  <c:v>158874723.85999998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94-45CE-857D-C472905A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20510433070866141"/>
          <c:y val="0.86998651210265388"/>
          <c:w val="0.65090223097112865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40E0-4329-BE63-0AF1FDDE544D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40E0-4329-BE63-0AF1FDDE544D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40E0-4329-BE63-0AF1FDDE544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40E0-4329-BE63-0AF1FDDE5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EXT'!$C$36:$E$36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EXT'!$C$65:$E$65</c:f>
              <c:numCache>
                <c:formatCode>#,##0.00</c:formatCode>
                <c:ptCount val="3"/>
                <c:pt idx="0">
                  <c:v>83680140.38000001</c:v>
                </c:pt>
                <c:pt idx="1">
                  <c:v>32517225.670000002</c:v>
                </c:pt>
                <c:pt idx="2">
                  <c:v>174517523.32999998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E0-4329-BE63-0AF1FDDE5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0804070543813605E-2"/>
          <c:y val="8.2958223972003503E-2"/>
          <c:w val="0.89605267762582308"/>
          <c:h val="0.730862860892388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explosion val="3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1-C944-413C-BCB0-278D2EF55661}"/>
              </c:ext>
            </c:extLst>
          </c:dPt>
          <c:dPt>
            <c:idx val="1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3-C944-413C-BCB0-278D2EF55661}"/>
              </c:ext>
            </c:extLst>
          </c:dPt>
          <c:dPt>
            <c:idx val="2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 prstMaterial="metal">
                <a:bevelT w="88900" h="38100" prst="coolSlant"/>
                <a:bevelB w="88900" h="38100" prst="coolSlant"/>
              </a:sp3d>
            </c:spPr>
            <c:extLst>
              <c:ext xmlns:c16="http://schemas.microsoft.com/office/drawing/2014/chart" uri="{C3380CC4-5D6E-409C-BE32-E72D297353CC}">
                <c16:uniqueId val="{00000005-C944-413C-BCB0-278D2EF5566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C944-413C-BCB0-278D2EF5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'RECURSOS EXT'!$C$3:$E$3</c:f>
              <c:strCache>
                <c:ptCount val="3"/>
                <c:pt idx="0">
                  <c:v>CONACyT</c:v>
                </c:pt>
                <c:pt idx="1">
                  <c:v>SEP</c:v>
                </c:pt>
                <c:pt idx="2">
                  <c:v>Convenios</c:v>
                </c:pt>
              </c:strCache>
            </c:strRef>
          </c:cat>
          <c:val>
            <c:numRef>
              <c:f>'RECURSOS EXT'!$C$32:$E$32</c:f>
              <c:numCache>
                <c:formatCode>#,##0.00</c:formatCode>
                <c:ptCount val="3"/>
                <c:pt idx="0">
                  <c:v>22144000</c:v>
                </c:pt>
                <c:pt idx="1">
                  <c:v>40660476.579999998</c:v>
                </c:pt>
                <c:pt idx="2">
                  <c:v>160476268.23000002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44-413C-BCB0-278D2EF5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  <a:scene3d>
          <a:camera prst="orthographicFront"/>
          <a:lightRig rig="threePt" dir="t"/>
        </a:scene3d>
        <a:sp3d prstMaterial="metal"/>
      </c:spPr>
    </c:plotArea>
    <c:legend>
      <c:legendPos val="b"/>
      <c:layout>
        <c:manualLayout>
          <c:xMode val="edge"/>
          <c:yMode val="edge"/>
          <c:x val="8.8728572270112105E-2"/>
          <c:y val="0.86998651210265388"/>
          <c:w val="0.84375334629305998"/>
          <c:h val="0.10223571011956839"/>
        </c:manualLayout>
      </c:layout>
      <c:overlay val="0"/>
      <c:txPr>
        <a:bodyPr/>
        <a:lstStyle/>
        <a:p>
          <a:pPr rtl="0"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7682074659695883"/>
          <c:h val="0.72783756860064264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SE'!$E$22:$R$22</c:f>
              <c:numCache>
                <c:formatCode>0%</c:formatCode>
                <c:ptCount val="14"/>
                <c:pt idx="0">
                  <c:v>2.5999999999999999E-2</c:v>
                </c:pt>
                <c:pt idx="1">
                  <c:v>2.3E-2</c:v>
                </c:pt>
                <c:pt idx="2">
                  <c:v>2.1999999999999999E-2</c:v>
                </c:pt>
                <c:pt idx="3">
                  <c:v>2.5999999999999999E-2</c:v>
                </c:pt>
                <c:pt idx="4">
                  <c:v>2.9000000000000001E-2</c:v>
                </c:pt>
                <c:pt idx="5">
                  <c:v>3.2000000000000001E-2</c:v>
                </c:pt>
                <c:pt idx="6">
                  <c:v>3.2000000000000001E-2</c:v>
                </c:pt>
                <c:pt idx="7">
                  <c:v>3.2000000000000001E-2</c:v>
                </c:pt>
                <c:pt idx="8">
                  <c:v>3.4000000000000002E-2</c:v>
                </c:pt>
                <c:pt idx="9">
                  <c:v>0.03</c:v>
                </c:pt>
                <c:pt idx="10">
                  <c:v>3.4000000000000002E-2</c:v>
                </c:pt>
                <c:pt idx="11">
                  <c:v>3.3000000000000002E-2</c:v>
                </c:pt>
                <c:pt idx="12">
                  <c:v>0.04</c:v>
                </c:pt>
                <c:pt idx="13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9-467A-B622-29EE8B8D8BC9}"/>
            </c:ext>
          </c:extLst>
        </c:ser>
        <c:ser>
          <c:idx val="1"/>
          <c:order val="1"/>
          <c:tx>
            <c:strRef>
              <c:f>'Admitidos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A9-467A-B622-29EE8B8D8BC9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A9-467A-B622-29EE8B8D8BC9}"/>
                </c:ext>
              </c:extLst>
            </c:dLbl>
            <c:dLbl>
              <c:idx val="2"/>
              <c:layout>
                <c:manualLayout>
                  <c:x val="-2.6845633800752694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A9-467A-B622-29EE8B8D8BC9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A9-467A-B622-29EE8B8D8BC9}"/>
                </c:ext>
              </c:extLst>
            </c:dLbl>
            <c:dLbl>
              <c:idx val="4"/>
              <c:layout>
                <c:manualLayout>
                  <c:x val="-2.0126983114964879E-2"/>
                  <c:y val="1.854074020289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A9-467A-B622-29EE8B8D8BC9}"/>
                </c:ext>
              </c:extLst>
            </c:dLbl>
            <c:dLbl>
              <c:idx val="5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A9-467A-B622-29EE8B8D8BC9}"/>
                </c:ext>
              </c:extLst>
            </c:dLbl>
            <c:dLbl>
              <c:idx val="6"/>
              <c:layout>
                <c:manualLayout>
                  <c:x val="-2.8635342720802873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A9-467A-B622-29EE8B8D8BC9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A9-467A-B622-29EE8B8D8BC9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A9-467A-B622-29EE8B8D8BC9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A9-467A-B622-29EE8B8D8BC9}"/>
                </c:ext>
              </c:extLst>
            </c:dLbl>
            <c:dLbl>
              <c:idx val="10"/>
              <c:layout>
                <c:manualLayout>
                  <c:x val="-2.326621596065233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A9-467A-B622-29EE8B8D8BC9}"/>
                </c:ext>
              </c:extLst>
            </c:dLbl>
            <c:dLbl>
              <c:idx val="11"/>
              <c:layout>
                <c:manualLayout>
                  <c:x val="-1.8893387314439947E-2"/>
                  <c:y val="-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A9-467A-B622-29EE8B8D8BC9}"/>
                </c:ext>
              </c:extLst>
            </c:dLbl>
            <c:dLbl>
              <c:idx val="12"/>
              <c:layout>
                <c:manualLayout>
                  <c:x val="-1.8893387314439947E-2"/>
                  <c:y val="-2.96595793647457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SE'!$E$23:$R$23</c:f>
              <c:numCache>
                <c:formatCode>0%</c:formatCode>
                <c:ptCount val="14"/>
                <c:pt idx="0">
                  <c:v>0.219</c:v>
                </c:pt>
                <c:pt idx="1">
                  <c:v>0.188</c:v>
                </c:pt>
                <c:pt idx="2">
                  <c:v>0.17599999999999999</c:v>
                </c:pt>
                <c:pt idx="3">
                  <c:v>0.17</c:v>
                </c:pt>
                <c:pt idx="4">
                  <c:v>0.159</c:v>
                </c:pt>
                <c:pt idx="5">
                  <c:v>0.159</c:v>
                </c:pt>
                <c:pt idx="6">
                  <c:v>0.14599999999999999</c:v>
                </c:pt>
                <c:pt idx="7">
                  <c:v>0.14099999999999999</c:v>
                </c:pt>
                <c:pt idx="8">
                  <c:v>0.129</c:v>
                </c:pt>
                <c:pt idx="9">
                  <c:v>0.126</c:v>
                </c:pt>
                <c:pt idx="10">
                  <c:v>0.112</c:v>
                </c:pt>
                <c:pt idx="11">
                  <c:v>0.10199999999999999</c:v>
                </c:pt>
                <c:pt idx="12">
                  <c:v>0.1</c:v>
                </c:pt>
                <c:pt idx="13">
                  <c:v>0.12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DA9-467A-B622-29EE8B8D8BC9}"/>
            </c:ext>
          </c:extLst>
        </c:ser>
        <c:ser>
          <c:idx val="2"/>
          <c:order val="2"/>
          <c:tx>
            <c:strRef>
              <c:f>'Admitidos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A9-467A-B622-29EE8B8D8BC9}"/>
                </c:ext>
              </c:extLst>
            </c:dLbl>
            <c:dLbl>
              <c:idx val="1"/>
              <c:layout>
                <c:manualLayout>
                  <c:x val="-1.770155248812522E-2"/>
                  <c:y val="2.21085943992013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SE'!$E$24:$R$24</c:f>
              <c:numCache>
                <c:formatCode>0%</c:formatCode>
                <c:ptCount val="14"/>
                <c:pt idx="0">
                  <c:v>0.20599999999999999</c:v>
                </c:pt>
                <c:pt idx="1">
                  <c:v>0.185</c:v>
                </c:pt>
                <c:pt idx="2">
                  <c:v>0.191</c:v>
                </c:pt>
                <c:pt idx="3">
                  <c:v>0.19900000000000001</c:v>
                </c:pt>
                <c:pt idx="4">
                  <c:v>0.20100000000000001</c:v>
                </c:pt>
                <c:pt idx="5">
                  <c:v>0.20899999999999999</c:v>
                </c:pt>
                <c:pt idx="6">
                  <c:v>0.20899999999999999</c:v>
                </c:pt>
                <c:pt idx="7">
                  <c:v>0.222</c:v>
                </c:pt>
                <c:pt idx="8">
                  <c:v>0.214</c:v>
                </c:pt>
                <c:pt idx="9">
                  <c:v>0.22</c:v>
                </c:pt>
                <c:pt idx="10">
                  <c:v>0.223</c:v>
                </c:pt>
                <c:pt idx="11">
                  <c:v>0.22600000000000001</c:v>
                </c:pt>
                <c:pt idx="12">
                  <c:v>0.22</c:v>
                </c:pt>
                <c:pt idx="13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A9-467A-B622-29EE8B8D8BC9}"/>
            </c:ext>
          </c:extLst>
        </c:ser>
        <c:ser>
          <c:idx val="3"/>
          <c:order val="3"/>
          <c:tx>
            <c:strRef>
              <c:f>'Admitidos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8635342720802873E-2"/>
                  <c:y val="-2.2409207181755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A9-467A-B622-29EE8B8D8BC9}"/>
                </c:ext>
              </c:extLst>
            </c:dLbl>
            <c:dLbl>
              <c:idx val="1"/>
              <c:layout>
                <c:manualLayout>
                  <c:x val="-2.6845633800752694E-2"/>
                  <c:y val="-3.2012793017883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A9-467A-B622-29EE8B8D8BC9}"/>
                </c:ext>
              </c:extLst>
            </c:dLbl>
            <c:dLbl>
              <c:idx val="2"/>
              <c:layout>
                <c:manualLayout>
                  <c:x val="-2.1476507040602121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A9-467A-B622-29EE8B8D8BC9}"/>
                </c:ext>
              </c:extLst>
            </c:dLbl>
            <c:dLbl>
              <c:idx val="3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A9-467A-B622-29EE8B8D8BC9}"/>
                </c:ext>
              </c:extLst>
            </c:dLbl>
            <c:dLbl>
              <c:idx val="4"/>
              <c:layout>
                <c:manualLayout>
                  <c:x val="-1.9686798120551973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A9-467A-B622-29EE8B8D8BC9}"/>
                </c:ext>
              </c:extLst>
            </c:dLbl>
            <c:dLbl>
              <c:idx val="6"/>
              <c:layout>
                <c:manualLayout>
                  <c:x val="-2.147650704060215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A9-467A-B622-29EE8B8D8BC9}"/>
                </c:ext>
              </c:extLst>
            </c:dLbl>
            <c:dLbl>
              <c:idx val="7"/>
              <c:layout>
                <c:manualLayout>
                  <c:x val="-2.1476507040602152E-2"/>
                  <c:y val="-1.6006396508941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A9-467A-B622-29EE8B8D8BC9}"/>
                </c:ext>
              </c:extLst>
            </c:dLbl>
            <c:dLbl>
              <c:idx val="8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A9-467A-B622-29EE8B8D8BC9}"/>
                </c:ext>
              </c:extLst>
            </c:dLbl>
            <c:dLbl>
              <c:idx val="9"/>
              <c:layout>
                <c:manualLayout>
                  <c:x val="-1.9686798120551973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A9-467A-B622-29EE8B8D8BC9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A9-467A-B622-29EE8B8D8BC9}"/>
                </c:ext>
              </c:extLst>
            </c:dLbl>
            <c:dLbl>
              <c:idx val="11"/>
              <c:layout>
                <c:manualLayout>
                  <c:x val="-1.8922396846143219E-2"/>
                  <c:y val="2.4266928571155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A9-467A-B622-29EE8B8D8BC9}"/>
                </c:ext>
              </c:extLst>
            </c:dLbl>
            <c:dLbl>
              <c:idx val="12"/>
              <c:layout>
                <c:manualLayout>
                  <c:x val="-1.3495276653171391E-2"/>
                  <c:y val="1.61779523807703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SE'!$E$25:$R$25</c:f>
              <c:numCache>
                <c:formatCode>0%</c:formatCode>
                <c:ptCount val="14"/>
                <c:pt idx="0">
                  <c:v>0.1</c:v>
                </c:pt>
                <c:pt idx="1">
                  <c:v>9.8000000000000004E-2</c:v>
                </c:pt>
                <c:pt idx="2">
                  <c:v>9.4E-2</c:v>
                </c:pt>
                <c:pt idx="3">
                  <c:v>8.8999999999999996E-2</c:v>
                </c:pt>
                <c:pt idx="4">
                  <c:v>9.1999999999999998E-2</c:v>
                </c:pt>
                <c:pt idx="5">
                  <c:v>9.2999999999999999E-2</c:v>
                </c:pt>
                <c:pt idx="6">
                  <c:v>9.0999999999999998E-2</c:v>
                </c:pt>
                <c:pt idx="7">
                  <c:v>8.8999999999999996E-2</c:v>
                </c:pt>
                <c:pt idx="8">
                  <c:v>0.09</c:v>
                </c:pt>
                <c:pt idx="9">
                  <c:v>8.8999999999999996E-2</c:v>
                </c:pt>
                <c:pt idx="10">
                  <c:v>8.3000000000000004E-2</c:v>
                </c:pt>
                <c:pt idx="11">
                  <c:v>9.4E-2</c:v>
                </c:pt>
                <c:pt idx="12">
                  <c:v>0.09</c:v>
                </c:pt>
                <c:pt idx="13">
                  <c:v>0.16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A9-467A-B622-29EE8B8D8BC9}"/>
            </c:ext>
          </c:extLst>
        </c:ser>
        <c:ser>
          <c:idx val="4"/>
          <c:order val="4"/>
          <c:tx>
            <c:strRef>
              <c:f>'Admitidos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"/>
              <c:layout>
                <c:manualLayout>
                  <c:x val="-1.9686845824433891E-2"/>
                  <c:y val="2.02273235849493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A9-467A-B622-29EE8B8D8BC9}"/>
                </c:ext>
              </c:extLst>
            </c:dLbl>
            <c:dLbl>
              <c:idx val="2"/>
              <c:layout>
                <c:manualLayout>
                  <c:x val="-2.8635342720802839E-2"/>
                  <c:y val="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A9-467A-B622-29EE8B8D8BC9}"/>
                </c:ext>
              </c:extLst>
            </c:dLbl>
            <c:dLbl>
              <c:idx val="3"/>
              <c:layout>
                <c:manualLayout>
                  <c:x val="-2.6845633800752694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A9-467A-B622-29EE8B8D8BC9}"/>
                </c:ext>
              </c:extLst>
            </c:dLbl>
            <c:dLbl>
              <c:idx val="4"/>
              <c:layout>
                <c:manualLayout>
                  <c:x val="-2.232788209166162E-2"/>
                  <c:y val="-2.5114891062084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DA9-467A-B622-29EE8B8D8BC9}"/>
                </c:ext>
              </c:extLst>
            </c:dLbl>
            <c:dLbl>
              <c:idx val="5"/>
              <c:layout>
                <c:manualLayout>
                  <c:x val="-2.1476507040602152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DA9-467A-B622-29EE8B8D8BC9}"/>
                </c:ext>
              </c:extLst>
            </c:dLbl>
            <c:dLbl>
              <c:idx val="6"/>
              <c:layout>
                <c:manualLayout>
                  <c:x val="-2.6845633800752694E-2"/>
                  <c:y val="-2.8811513716095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DA9-467A-B622-29EE8B8D8BC9}"/>
                </c:ext>
              </c:extLst>
            </c:dLbl>
            <c:dLbl>
              <c:idx val="7"/>
              <c:layout>
                <c:manualLayout>
                  <c:x val="-2.6845633800752694E-2"/>
                  <c:y val="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DA9-467A-B622-29EE8B8D8BC9}"/>
                </c:ext>
              </c:extLst>
            </c:dLbl>
            <c:dLbl>
              <c:idx val="8"/>
              <c:layout>
                <c:manualLayout>
                  <c:x val="-2.8635342720802873E-2"/>
                  <c:y val="-2.2408955112518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DA9-467A-B622-29EE8B8D8BC9}"/>
                </c:ext>
              </c:extLst>
            </c:dLbl>
            <c:dLbl>
              <c:idx val="9"/>
              <c:layout>
                <c:manualLayout>
                  <c:x val="-2.6845633800752694E-2"/>
                  <c:y val="2.24089551125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DA9-467A-B622-29EE8B8D8BC9}"/>
                </c:ext>
              </c:extLst>
            </c:dLbl>
            <c:dLbl>
              <c:idx val="10"/>
              <c:layout>
                <c:manualLayout>
                  <c:x val="-3.0425051640853053E-2"/>
                  <c:y val="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DA9-467A-B622-29EE8B8D8BC9}"/>
                </c:ext>
              </c:extLst>
            </c:dLbl>
            <c:dLbl>
              <c:idx val="11"/>
              <c:layout>
                <c:manualLayout>
                  <c:x val="-2.1476507040602024E-2"/>
                  <c:y val="3.841535162146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DA9-467A-B622-29EE8B8D8BC9}"/>
                </c:ext>
              </c:extLst>
            </c:dLbl>
            <c:dLbl>
              <c:idx val="12"/>
              <c:layout>
                <c:manualLayout>
                  <c:x val="-1.6194331983805866E-2"/>
                  <c:y val="1.887427777756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DA9-467A-B622-29EE8B8D8B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SE'!$E$26:$R$26</c:f>
              <c:numCache>
                <c:formatCode>0%</c:formatCode>
                <c:ptCount val="14"/>
                <c:pt idx="0">
                  <c:v>0.14399999999999999</c:v>
                </c:pt>
                <c:pt idx="1">
                  <c:v>0.151</c:v>
                </c:pt>
                <c:pt idx="2">
                  <c:v>0.155</c:v>
                </c:pt>
                <c:pt idx="3">
                  <c:v>0.157</c:v>
                </c:pt>
                <c:pt idx="4">
                  <c:v>0.16500000000000001</c:v>
                </c:pt>
                <c:pt idx="5">
                  <c:v>0.16700000000000001</c:v>
                </c:pt>
                <c:pt idx="6">
                  <c:v>0.17899999999999999</c:v>
                </c:pt>
                <c:pt idx="7">
                  <c:v>0.17699999999999999</c:v>
                </c:pt>
                <c:pt idx="8">
                  <c:v>0.186</c:v>
                </c:pt>
                <c:pt idx="9">
                  <c:v>0.19400000000000001</c:v>
                </c:pt>
                <c:pt idx="10">
                  <c:v>0.19600000000000001</c:v>
                </c:pt>
                <c:pt idx="11">
                  <c:v>0.19700000000000001</c:v>
                </c:pt>
                <c:pt idx="12">
                  <c:v>0.21</c:v>
                </c:pt>
                <c:pt idx="13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DA9-467A-B622-29EE8B8D8BC9}"/>
            </c:ext>
          </c:extLst>
        </c:ser>
        <c:ser>
          <c:idx val="5"/>
          <c:order val="5"/>
          <c:tx>
            <c:strRef>
              <c:f>'Admitidos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SE'!$E$27:$R$27</c:f>
              <c:numCache>
                <c:formatCode>0%</c:formatCode>
                <c:ptCount val="14"/>
                <c:pt idx="0">
                  <c:v>0.27300000000000002</c:v>
                </c:pt>
                <c:pt idx="1">
                  <c:v>0.30099999999999999</c:v>
                </c:pt>
                <c:pt idx="2">
                  <c:v>0.30299999999999999</c:v>
                </c:pt>
                <c:pt idx="3">
                  <c:v>0.30399999999999999</c:v>
                </c:pt>
                <c:pt idx="4">
                  <c:v>0.30299999999999999</c:v>
                </c:pt>
                <c:pt idx="5">
                  <c:v>0.29099999999999998</c:v>
                </c:pt>
                <c:pt idx="6">
                  <c:v>0.29199999999999998</c:v>
                </c:pt>
                <c:pt idx="7">
                  <c:v>0.29199999999999998</c:v>
                </c:pt>
                <c:pt idx="8">
                  <c:v>0.29199999999999998</c:v>
                </c:pt>
                <c:pt idx="9">
                  <c:v>0.29199999999999998</c:v>
                </c:pt>
                <c:pt idx="10">
                  <c:v>0.29199999999999998</c:v>
                </c:pt>
                <c:pt idx="11">
                  <c:v>0.29199999999999998</c:v>
                </c:pt>
                <c:pt idx="12">
                  <c:v>0.28999999999999998</c:v>
                </c:pt>
                <c:pt idx="1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DA9-467A-B622-29EE8B8D8BC9}"/>
            </c:ext>
          </c:extLst>
        </c:ser>
        <c:ser>
          <c:idx val="6"/>
          <c:order val="6"/>
          <c:tx>
            <c:strRef>
              <c:f>'Admitidos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SE'!$E$28:$R$28</c:f>
              <c:numCache>
                <c:formatCode>0%</c:formatCode>
                <c:ptCount val="14"/>
                <c:pt idx="0">
                  <c:v>3.2000000000000001E-2</c:v>
                </c:pt>
                <c:pt idx="1">
                  <c:v>5.2999999999999999E-2</c:v>
                </c:pt>
                <c:pt idx="2">
                  <c:v>5.8999999999999997E-2</c:v>
                </c:pt>
                <c:pt idx="3">
                  <c:v>5.5E-2</c:v>
                </c:pt>
                <c:pt idx="4">
                  <c:v>5.0999999999999997E-2</c:v>
                </c:pt>
                <c:pt idx="5">
                  <c:v>4.9000000000000002E-2</c:v>
                </c:pt>
                <c:pt idx="6">
                  <c:v>5.0999999999999997E-2</c:v>
                </c:pt>
                <c:pt idx="7">
                  <c:v>4.3999999999999997E-2</c:v>
                </c:pt>
                <c:pt idx="8">
                  <c:v>4.4999999999999998E-2</c:v>
                </c:pt>
                <c:pt idx="9">
                  <c:v>4.9000000000000002E-2</c:v>
                </c:pt>
                <c:pt idx="10">
                  <c:v>0.05</c:v>
                </c:pt>
                <c:pt idx="11">
                  <c:v>4.8000000000000001E-2</c:v>
                </c:pt>
                <c:pt idx="12">
                  <c:v>0.05</c:v>
                </c:pt>
                <c:pt idx="13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DA9-467A-B622-29EE8B8D8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84000"/>
        <c:axId val="111585536"/>
      </c:lineChart>
      <c:catAx>
        <c:axId val="11158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585536"/>
        <c:crosses val="autoZero"/>
        <c:auto val="1"/>
        <c:lblAlgn val="ctr"/>
        <c:lblOffset val="100"/>
        <c:noMultiLvlLbl val="0"/>
      </c:catAx>
      <c:valAx>
        <c:axId val="11158553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15840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4902185809769728E-2"/>
          <c:y val="0.93832123808468326"/>
          <c:w val="0.91424421137641199"/>
          <c:h val="4.5500809534546299E-2"/>
        </c:manualLayout>
      </c:layout>
      <c:overlay val="0"/>
      <c:txPr>
        <a:bodyPr/>
        <a:lstStyle/>
        <a:p>
          <a:pPr>
            <a:defRPr sz="900" b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Convenios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(Convenios!$M$6:$X$6,Convenios!$Y$6,Convenios!$Z$6,Convenios!$AA$6)</c:f>
              <c:numCache>
                <c:formatCode>General</c:formatCode>
                <c:ptCount val="15"/>
                <c:pt idx="0">
                  <c:v>95</c:v>
                </c:pt>
                <c:pt idx="1">
                  <c:v>48</c:v>
                </c:pt>
                <c:pt idx="2">
                  <c:v>50</c:v>
                </c:pt>
                <c:pt idx="3">
                  <c:v>51</c:v>
                </c:pt>
                <c:pt idx="4">
                  <c:v>135</c:v>
                </c:pt>
                <c:pt idx="5">
                  <c:v>102</c:v>
                </c:pt>
                <c:pt idx="6">
                  <c:v>63</c:v>
                </c:pt>
                <c:pt idx="7">
                  <c:v>90</c:v>
                </c:pt>
                <c:pt idx="8">
                  <c:v>111</c:v>
                </c:pt>
                <c:pt idx="9">
                  <c:v>50</c:v>
                </c:pt>
                <c:pt idx="10">
                  <c:v>23</c:v>
                </c:pt>
                <c:pt idx="11">
                  <c:v>94</c:v>
                </c:pt>
                <c:pt idx="12">
                  <c:v>122</c:v>
                </c:pt>
                <c:pt idx="13">
                  <c:v>138</c:v>
                </c:pt>
                <c:pt idx="14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32-432A-9C1C-6BDA74DBEA95}"/>
            </c:ext>
          </c:extLst>
        </c:ser>
        <c:ser>
          <c:idx val="1"/>
          <c:order val="1"/>
          <c:tx>
            <c:strRef>
              <c:f>Convenios!$L$7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(Convenios!$M$7:$X$7,Convenios!$Y$7,Convenios!$Z$7,Convenios!$AA$7)</c:f>
              <c:numCache>
                <c:formatCode>General</c:formatCode>
                <c:ptCount val="15"/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46</c:v>
                </c:pt>
                <c:pt idx="6">
                  <c:v>2</c:v>
                </c:pt>
                <c:pt idx="7">
                  <c:v>2</c:v>
                </c:pt>
                <c:pt idx="8">
                  <c:v>19</c:v>
                </c:pt>
                <c:pt idx="9">
                  <c:v>29</c:v>
                </c:pt>
                <c:pt idx="10">
                  <c:v>38</c:v>
                </c:pt>
                <c:pt idx="11">
                  <c:v>26</c:v>
                </c:pt>
                <c:pt idx="12">
                  <c:v>55</c:v>
                </c:pt>
                <c:pt idx="13">
                  <c:v>74</c:v>
                </c:pt>
                <c:pt idx="14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32-432A-9C1C-6BDA74DBEA95}"/>
            </c:ext>
          </c:extLst>
        </c:ser>
        <c:ser>
          <c:idx val="2"/>
          <c:order val="2"/>
          <c:tx>
            <c:strRef>
              <c:f>Convenios!$L$8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2-432A-9C1C-6BDA74DBEA95}"/>
                </c:ext>
              </c:extLst>
            </c:dLbl>
            <c:dLbl>
              <c:idx val="1"/>
              <c:layout>
                <c:manualLayout>
                  <c:x val="1.092896018115110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2-432A-9C1C-6BDA74DBEA95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2-432A-9C1C-6BDA74DBEA95}"/>
                </c:ext>
              </c:extLst>
            </c:dLbl>
            <c:dLbl>
              <c:idx val="3"/>
              <c:layout>
                <c:manualLayout>
                  <c:x val="5.4644800905755504E-3"/>
                  <c:y val="-6.20876761096155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2-432A-9C1C-6BDA74DBEA95}"/>
                </c:ext>
              </c:extLst>
            </c:dLbl>
            <c:dLbl>
              <c:idx val="4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2-432A-9C1C-6BDA74DBEA95}"/>
                </c:ext>
              </c:extLst>
            </c:dLbl>
            <c:dLbl>
              <c:idx val="5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2-432A-9C1C-6BDA74DBEA95}"/>
                </c:ext>
              </c:extLst>
            </c:dLbl>
            <c:dLbl>
              <c:idx val="6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2-432A-9C1C-6BDA74DBEA95}"/>
                </c:ext>
              </c:extLst>
            </c:dLbl>
            <c:dLbl>
              <c:idx val="7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2-432A-9C1C-6BDA74DBEA95}"/>
                </c:ext>
              </c:extLst>
            </c:dLbl>
            <c:dLbl>
              <c:idx val="8"/>
              <c:layout>
                <c:manualLayout>
                  <c:x val="9.10746681762591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2-432A-9C1C-6BDA74DBEA95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32-432A-9C1C-6BDA74DBEA95}"/>
                </c:ext>
              </c:extLst>
            </c:dLbl>
            <c:dLbl>
              <c:idx val="1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(Convenios!$M$8:$X$8,Convenios!$Y$8,Convenios!$Z$8,Convenios!$AA$8)</c:f>
              <c:numCache>
                <c:formatCode>General</c:formatCode>
                <c:ptCount val="15"/>
                <c:pt idx="0">
                  <c:v>178</c:v>
                </c:pt>
                <c:pt idx="1">
                  <c:v>147</c:v>
                </c:pt>
                <c:pt idx="2">
                  <c:v>154</c:v>
                </c:pt>
                <c:pt idx="3">
                  <c:v>164</c:v>
                </c:pt>
                <c:pt idx="4">
                  <c:v>137</c:v>
                </c:pt>
                <c:pt idx="5">
                  <c:v>315</c:v>
                </c:pt>
                <c:pt idx="6">
                  <c:v>117</c:v>
                </c:pt>
                <c:pt idx="7">
                  <c:v>173</c:v>
                </c:pt>
                <c:pt idx="8">
                  <c:v>85</c:v>
                </c:pt>
                <c:pt idx="9">
                  <c:v>366</c:v>
                </c:pt>
                <c:pt idx="10">
                  <c:v>115</c:v>
                </c:pt>
                <c:pt idx="11">
                  <c:v>234</c:v>
                </c:pt>
                <c:pt idx="12">
                  <c:v>286</c:v>
                </c:pt>
                <c:pt idx="13">
                  <c:v>288</c:v>
                </c:pt>
                <c:pt idx="14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32-432A-9C1C-6BDA74DBEA95}"/>
            </c:ext>
          </c:extLst>
        </c:ser>
        <c:ser>
          <c:idx val="3"/>
          <c:order val="3"/>
          <c:tx>
            <c:strRef>
              <c:f>Convenios!$L$9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(Convenios!$M$9:$X$9,Convenios!$Y$9,Convenios!$Z$9,Convenios!$AA$9)</c:f>
              <c:numCache>
                <c:formatCode>General</c:formatCode>
                <c:ptCount val="15"/>
                <c:pt idx="8">
                  <c:v>4</c:v>
                </c:pt>
                <c:pt idx="10">
                  <c:v>10</c:v>
                </c:pt>
                <c:pt idx="11">
                  <c:v>19</c:v>
                </c:pt>
                <c:pt idx="12">
                  <c:v>20</c:v>
                </c:pt>
                <c:pt idx="13">
                  <c:v>27</c:v>
                </c:pt>
                <c:pt idx="1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432-432A-9C1C-6BDA74DBEA95}"/>
            </c:ext>
          </c:extLst>
        </c:ser>
        <c:ser>
          <c:idx val="4"/>
          <c:order val="4"/>
          <c:tx>
            <c:strRef>
              <c:f>Convenios!$L$10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32-432A-9C1C-6BDA74DBEA95}"/>
                </c:ext>
              </c:extLst>
            </c:dLbl>
            <c:dLbl>
              <c:idx val="1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32-432A-9C1C-6BDA74DBEA95}"/>
                </c:ext>
              </c:extLst>
            </c:dLbl>
            <c:dLbl>
              <c:idx val="2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32-432A-9C1C-6BDA74DBEA95}"/>
                </c:ext>
              </c:extLst>
            </c:dLbl>
            <c:dLbl>
              <c:idx val="3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32-432A-9C1C-6BDA74DBEA95}"/>
                </c:ext>
              </c:extLst>
            </c:dLbl>
            <c:dLbl>
              <c:idx val="4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32-432A-9C1C-6BDA74DBEA95}"/>
                </c:ext>
              </c:extLst>
            </c:dLbl>
            <c:dLbl>
              <c:idx val="5"/>
              <c:layout>
                <c:manualLayout>
                  <c:x val="3.6429867270503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32-432A-9C1C-6BDA74DBEA95}"/>
                </c:ext>
              </c:extLst>
            </c:dLbl>
            <c:dLbl>
              <c:idx val="6"/>
              <c:layout>
                <c:manualLayout>
                  <c:x val="5.4644800905755504E-3"/>
                  <c:y val="-3.10438380548077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32-432A-9C1C-6BDA74DBEA95}"/>
                </c:ext>
              </c:extLst>
            </c:dLbl>
            <c:dLbl>
              <c:idx val="8"/>
              <c:layout>
                <c:manualLayout>
                  <c:x val="7.285973454100733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432-432A-9C1C-6BDA74DBEA95}"/>
                </c:ext>
              </c:extLst>
            </c:dLbl>
            <c:dLbl>
              <c:idx val="9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32-432A-9C1C-6BDA74DBEA95}"/>
                </c:ext>
              </c:extLst>
            </c:dLbl>
            <c:dLbl>
              <c:idx val="10"/>
              <c:layout>
                <c:manualLayout>
                  <c:x val="5.46448009057555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(Convenios!$M$10:$X$10,Convenios!$Y$10,Convenios!$Z$10,Convenios!$AA$10)</c:f>
              <c:numCache>
                <c:formatCode>General</c:formatCode>
                <c:ptCount val="15"/>
                <c:pt idx="0">
                  <c:v>89</c:v>
                </c:pt>
                <c:pt idx="1">
                  <c:v>113</c:v>
                </c:pt>
                <c:pt idx="2">
                  <c:v>94</c:v>
                </c:pt>
                <c:pt idx="3">
                  <c:v>172</c:v>
                </c:pt>
                <c:pt idx="4">
                  <c:v>100</c:v>
                </c:pt>
                <c:pt idx="5">
                  <c:v>107</c:v>
                </c:pt>
                <c:pt idx="6">
                  <c:v>123</c:v>
                </c:pt>
                <c:pt idx="7">
                  <c:v>22</c:v>
                </c:pt>
                <c:pt idx="8">
                  <c:v>134</c:v>
                </c:pt>
                <c:pt idx="9">
                  <c:v>166</c:v>
                </c:pt>
                <c:pt idx="10">
                  <c:v>135</c:v>
                </c:pt>
                <c:pt idx="11">
                  <c:v>194</c:v>
                </c:pt>
                <c:pt idx="12">
                  <c:v>151</c:v>
                </c:pt>
                <c:pt idx="13">
                  <c:v>226</c:v>
                </c:pt>
                <c:pt idx="14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B432-432A-9C1C-6BDA74DBEA95}"/>
            </c:ext>
          </c:extLst>
        </c:ser>
        <c:ser>
          <c:idx val="5"/>
          <c:order val="5"/>
          <c:tx>
            <c:strRef>
              <c:f>Convenios!$L$11</c:f>
              <c:strCache>
                <c:ptCount val="1"/>
                <c:pt idx="0">
                  <c:v>Rectoría General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9200492004918845E-3"/>
                  <c:y val="-7.78210116731512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32-432A-9C1C-6BDA74DBE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(Convenios!$M$5:$X$5,Convenios!$Y$5,Convenios!$Z$5,Convenios!$AA$5)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(Convenios!$M$11:$X$11,Convenios!$Y$11,Convenios!$Z$11,Convenios!$AA$11)</c:f>
              <c:numCache>
                <c:formatCode>General</c:formatCode>
                <c:ptCount val="15"/>
                <c:pt idx="0">
                  <c:v>50</c:v>
                </c:pt>
                <c:pt idx="1">
                  <c:v>40</c:v>
                </c:pt>
                <c:pt idx="2">
                  <c:v>59</c:v>
                </c:pt>
                <c:pt idx="3">
                  <c:v>52</c:v>
                </c:pt>
                <c:pt idx="4">
                  <c:v>60</c:v>
                </c:pt>
                <c:pt idx="5">
                  <c:v>66</c:v>
                </c:pt>
                <c:pt idx="6">
                  <c:v>61</c:v>
                </c:pt>
                <c:pt idx="7">
                  <c:v>54</c:v>
                </c:pt>
                <c:pt idx="8">
                  <c:v>121</c:v>
                </c:pt>
                <c:pt idx="9">
                  <c:v>202</c:v>
                </c:pt>
                <c:pt idx="10">
                  <c:v>76</c:v>
                </c:pt>
                <c:pt idx="11">
                  <c:v>88</c:v>
                </c:pt>
                <c:pt idx="12">
                  <c:v>145</c:v>
                </c:pt>
                <c:pt idx="13">
                  <c:v>89</c:v>
                </c:pt>
                <c:pt idx="14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432-432A-9C1C-6BDA74DBE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6232448"/>
        <c:axId val="146233984"/>
        <c:axId val="0"/>
      </c:bar3DChart>
      <c:catAx>
        <c:axId val="1462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46233984"/>
        <c:crosses val="autoZero"/>
        <c:auto val="1"/>
        <c:lblAlgn val="ctr"/>
        <c:lblOffset val="100"/>
        <c:noMultiLvlLbl val="0"/>
      </c:catAx>
      <c:valAx>
        <c:axId val="146233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232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104237159148118E-2"/>
          <c:y val="0.93407690018129175"/>
          <c:w val="0.91077519031763809"/>
          <c:h val="5.5645642232865222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es-MX" sz="1600" i="1"/>
              <a:t>Convenios POR ORIGEN</a:t>
            </a:r>
          </a:p>
        </c:rich>
      </c:tx>
      <c:layout>
        <c:manualLayout>
          <c:xMode val="edge"/>
          <c:yMode val="edge"/>
          <c:x val="2.4992153008183894E-2"/>
          <c:y val="4.184221421822600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Convenios!$L$61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A1-47EE-A844-A241F5636BD5}"/>
                </c:ext>
              </c:extLst>
            </c:dLbl>
            <c:dLbl>
              <c:idx val="1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A1-47EE-A844-A241F5636BD5}"/>
                </c:ext>
              </c:extLst>
            </c:dLbl>
            <c:dLbl>
              <c:idx val="2"/>
              <c:layout>
                <c:manualLayout>
                  <c:x val="6.3719633612106729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A1-47EE-A844-A241F5636BD5}"/>
                </c:ext>
              </c:extLst>
            </c:dLbl>
            <c:dLbl>
              <c:idx val="3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1-47EE-A844-A241F5636BD5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1-47EE-A844-A241F5636BD5}"/>
                </c:ext>
              </c:extLst>
            </c:dLbl>
            <c:dLbl>
              <c:idx val="5"/>
              <c:layout>
                <c:manualLayout>
                  <c:x val="9.5579450418160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1-47EE-A844-A241F5636BD5}"/>
                </c:ext>
              </c:extLst>
            </c:dLbl>
            <c:dLbl>
              <c:idx val="6"/>
              <c:layout>
                <c:manualLayout>
                  <c:x val="4.77897252090806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1-47EE-A844-A241F5636BD5}"/>
                </c:ext>
              </c:extLst>
            </c:dLbl>
            <c:dLbl>
              <c:idx val="7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1-47EE-A844-A241F5636BD5}"/>
                </c:ext>
              </c:extLst>
            </c:dLbl>
            <c:dLbl>
              <c:idx val="8"/>
              <c:layout>
                <c:manualLayout>
                  <c:x val="7.96495420151334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1-47EE-A844-A241F5636BD5}"/>
                </c:ext>
              </c:extLst>
            </c:dLbl>
            <c:dLbl>
              <c:idx val="9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1-47EE-A844-A241F5636BD5}"/>
                </c:ext>
              </c:extLst>
            </c:dLbl>
            <c:dLbl>
              <c:idx val="10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(Convenios!$M$60:$Y$60,Convenios!$Z$60,Convenios!$AA$60)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(Convenios!$M$61:$X$61,Convenios!$Y$61,Convenios!$Z$61,Convenios!$AA$61)</c:f>
              <c:numCache>
                <c:formatCode>General</c:formatCode>
                <c:ptCount val="15"/>
                <c:pt idx="0">
                  <c:v>367</c:v>
                </c:pt>
                <c:pt idx="1">
                  <c:v>291</c:v>
                </c:pt>
                <c:pt idx="2">
                  <c:v>302</c:v>
                </c:pt>
                <c:pt idx="3">
                  <c:v>395</c:v>
                </c:pt>
                <c:pt idx="4">
                  <c:v>377</c:v>
                </c:pt>
                <c:pt idx="5">
                  <c:v>606</c:v>
                </c:pt>
                <c:pt idx="6">
                  <c:v>320</c:v>
                </c:pt>
                <c:pt idx="7">
                  <c:v>304</c:v>
                </c:pt>
                <c:pt idx="8">
                  <c:v>405</c:v>
                </c:pt>
                <c:pt idx="9">
                  <c:v>698</c:v>
                </c:pt>
                <c:pt idx="10">
                  <c:v>344</c:v>
                </c:pt>
                <c:pt idx="11">
                  <c:v>594</c:v>
                </c:pt>
                <c:pt idx="12">
                  <c:v>693</c:v>
                </c:pt>
                <c:pt idx="13">
                  <c:v>763</c:v>
                </c:pt>
                <c:pt idx="14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2A1-47EE-A844-A241F5636BD5}"/>
            </c:ext>
          </c:extLst>
        </c:ser>
        <c:ser>
          <c:idx val="1"/>
          <c:order val="1"/>
          <c:tx>
            <c:strRef>
              <c:f>Convenios!$L$62</c:f>
              <c:strCache>
                <c:ptCount val="1"/>
                <c:pt idx="0">
                  <c:v>Extranjero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1-47EE-A844-A241F5636BD5}"/>
                </c:ext>
              </c:extLst>
            </c:dLbl>
            <c:dLbl>
              <c:idx val="1"/>
              <c:layout>
                <c:manualLayout>
                  <c:x val="4.77897252090800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1-47EE-A844-A241F5636BD5}"/>
                </c:ext>
              </c:extLst>
            </c:dLbl>
            <c:dLbl>
              <c:idx val="2"/>
              <c:layout>
                <c:manualLayout>
                  <c:x val="6.3719633612106434E-3"/>
                  <c:y val="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1-47EE-A844-A241F5636BD5}"/>
                </c:ext>
              </c:extLst>
            </c:dLbl>
            <c:dLbl>
              <c:idx val="3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A1-47EE-A844-A241F5636BD5}"/>
                </c:ext>
              </c:extLst>
            </c:dLbl>
            <c:dLbl>
              <c:idx val="4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A1-47EE-A844-A241F5636BD5}"/>
                </c:ext>
              </c:extLst>
            </c:dLbl>
            <c:dLbl>
              <c:idx val="5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A1-47EE-A844-A241F5636BD5}"/>
                </c:ext>
              </c:extLst>
            </c:dLbl>
            <c:dLbl>
              <c:idx val="6"/>
              <c:layout>
                <c:manualLayout>
                  <c:x val="6.371963361210731E-3"/>
                  <c:y val="-3.76736436079247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A1-47EE-A844-A241F5636BD5}"/>
                </c:ext>
              </c:extLst>
            </c:dLbl>
            <c:dLbl>
              <c:idx val="7"/>
              <c:layout>
                <c:manualLayout>
                  <c:x val="4.7789725209080045E-3"/>
                  <c:y val="-1.130209308237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A1-47EE-A844-A241F5636BD5}"/>
                </c:ext>
              </c:extLst>
            </c:dLbl>
            <c:dLbl>
              <c:idx val="8"/>
              <c:layout>
                <c:manualLayout>
                  <c:x val="9.557945041816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A1-47EE-A844-A241F5636BD5}"/>
                </c:ext>
              </c:extLst>
            </c:dLbl>
            <c:dLbl>
              <c:idx val="9"/>
              <c:layout>
                <c:manualLayout>
                  <c:x val="6.37196336121067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A1-47EE-A844-A241F5636BD5}"/>
                </c:ext>
              </c:extLst>
            </c:dLbl>
            <c:dLbl>
              <c:idx val="10"/>
              <c:layout>
                <c:manualLayout>
                  <c:x val="6.3719633612106729E-3"/>
                  <c:y val="-6.90675487403119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A1-47EE-A844-A241F5636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(Convenios!$M$60:$Y$60,Convenios!$Z$60,Convenios!$AA$60)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(Convenios!$M$62:$X$62,Convenios!$Y$62,Convenios!$Z$62,Convenios!$AA$62)</c:f>
              <c:numCache>
                <c:formatCode>General</c:formatCode>
                <c:ptCount val="15"/>
                <c:pt idx="0">
                  <c:v>45</c:v>
                </c:pt>
                <c:pt idx="1">
                  <c:v>57</c:v>
                </c:pt>
                <c:pt idx="2">
                  <c:v>56</c:v>
                </c:pt>
                <c:pt idx="3">
                  <c:v>46</c:v>
                </c:pt>
                <c:pt idx="4">
                  <c:v>56</c:v>
                </c:pt>
                <c:pt idx="5">
                  <c:v>30</c:v>
                </c:pt>
                <c:pt idx="6">
                  <c:v>46</c:v>
                </c:pt>
                <c:pt idx="7">
                  <c:v>37</c:v>
                </c:pt>
                <c:pt idx="8">
                  <c:v>69</c:v>
                </c:pt>
                <c:pt idx="9">
                  <c:v>115</c:v>
                </c:pt>
                <c:pt idx="10">
                  <c:v>53</c:v>
                </c:pt>
                <c:pt idx="11">
                  <c:v>61</c:v>
                </c:pt>
                <c:pt idx="12">
                  <c:v>86</c:v>
                </c:pt>
                <c:pt idx="13">
                  <c:v>79</c:v>
                </c:pt>
                <c:pt idx="14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2A1-47EE-A844-A241F5636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6295040"/>
        <c:axId val="146309120"/>
        <c:axId val="0"/>
      </c:bar3DChart>
      <c:catAx>
        <c:axId val="1462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146309120"/>
        <c:crosses val="autoZero"/>
        <c:auto val="1"/>
        <c:lblAlgn val="ctr"/>
        <c:lblOffset val="100"/>
        <c:noMultiLvlLbl val="0"/>
      </c:catAx>
      <c:valAx>
        <c:axId val="146309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2950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949738681843961"/>
          <c:y val="0.94848411804587596"/>
          <c:w val="0.42359798775153107"/>
          <c:h val="4.833473472569659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i="1"/>
            </a:pPr>
            <a:r>
              <a:rPr lang="es-MX" sz="1600" i="1"/>
              <a:t>Convenios POR TIPO</a:t>
            </a:r>
          </a:p>
        </c:rich>
      </c:tx>
      <c:layout>
        <c:manualLayout>
          <c:xMode val="edge"/>
          <c:yMode val="edge"/>
          <c:x val="2.5944931163954965E-2"/>
          <c:y val="4.6586869839220273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Convenios!$L$113</c:f>
              <c:strCache>
                <c:ptCount val="1"/>
                <c:pt idx="0">
                  <c:v>Patrocinado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49-4F18-8039-EB57036D6268}"/>
                </c:ext>
              </c:extLst>
            </c:dLbl>
            <c:dLbl>
              <c:idx val="1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49-4F18-8039-EB57036D6268}"/>
                </c:ext>
              </c:extLst>
            </c:dLbl>
            <c:dLbl>
              <c:idx val="2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9-4F18-8039-EB57036D6268}"/>
                </c:ext>
              </c:extLst>
            </c:dLbl>
            <c:dLbl>
              <c:idx val="5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9-4F18-8039-EB57036D6268}"/>
                </c:ext>
              </c:extLst>
            </c:dLbl>
            <c:dLbl>
              <c:idx val="6"/>
              <c:layout>
                <c:manualLayout>
                  <c:x val="7.97925444108344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9-4F18-8039-EB57036D6268}"/>
                </c:ext>
              </c:extLst>
            </c:dLbl>
            <c:dLbl>
              <c:idx val="7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9-4F18-8039-EB57036D6268}"/>
                </c:ext>
              </c:extLst>
            </c:dLbl>
            <c:dLbl>
              <c:idx val="8"/>
              <c:layout>
                <c:manualLayout>
                  <c:x val="7.9792544410833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49-4F18-8039-EB57036D6268}"/>
                </c:ext>
              </c:extLst>
            </c:dLbl>
            <c:dLbl>
              <c:idx val="9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9-4F18-8039-EB57036D6268}"/>
                </c:ext>
              </c:extLst>
            </c:dLbl>
            <c:dLbl>
              <c:idx val="1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9-4F18-8039-EB57036D6268}"/>
                </c:ext>
              </c:extLst>
            </c:dLbl>
            <c:dLbl>
              <c:idx val="11"/>
              <c:layout>
                <c:manualLayout>
                  <c:x val="3.4349506225848005E-3"/>
                  <c:y val="-7.150901750507826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49-4F18-8039-EB57036D6268}"/>
                </c:ext>
              </c:extLst>
            </c:dLbl>
            <c:dLbl>
              <c:idx val="12"/>
              <c:layout>
                <c:manualLayout>
                  <c:x val="8.58737655646187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49-4F18-8039-EB57036D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(Convenios!$M$112:$X$112,Convenios!$Y$112,Convenios!$Z$112,Convenios!$AA$112)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(Convenios!$M$113:$X$113,Convenios!$Y$113,Convenios!$Z$113,Convenios!$AA$113)</c:f>
              <c:numCache>
                <c:formatCode>General</c:formatCode>
                <c:ptCount val="15"/>
                <c:pt idx="0">
                  <c:v>125</c:v>
                </c:pt>
                <c:pt idx="1">
                  <c:v>107</c:v>
                </c:pt>
                <c:pt idx="2">
                  <c:v>129</c:v>
                </c:pt>
                <c:pt idx="3">
                  <c:v>166</c:v>
                </c:pt>
                <c:pt idx="4">
                  <c:v>212</c:v>
                </c:pt>
                <c:pt idx="5">
                  <c:v>301</c:v>
                </c:pt>
                <c:pt idx="6">
                  <c:v>181</c:v>
                </c:pt>
                <c:pt idx="7">
                  <c:v>75</c:v>
                </c:pt>
                <c:pt idx="8">
                  <c:v>218</c:v>
                </c:pt>
                <c:pt idx="9">
                  <c:v>441</c:v>
                </c:pt>
                <c:pt idx="10">
                  <c:v>182</c:v>
                </c:pt>
                <c:pt idx="11">
                  <c:v>481</c:v>
                </c:pt>
                <c:pt idx="12">
                  <c:v>563</c:v>
                </c:pt>
                <c:pt idx="13">
                  <c:v>619</c:v>
                </c:pt>
                <c:pt idx="14">
                  <c:v>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449-4F18-8039-EB57036D6268}"/>
            </c:ext>
          </c:extLst>
        </c:ser>
        <c:ser>
          <c:idx val="1"/>
          <c:order val="1"/>
          <c:tx>
            <c:strRef>
              <c:f>Convenios!$L$114</c:f>
              <c:strCache>
                <c:ptCount val="1"/>
                <c:pt idx="0">
                  <c:v>No patrocinado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49-4F18-8039-EB57036D6268}"/>
                </c:ext>
              </c:extLst>
            </c:dLbl>
            <c:dLbl>
              <c:idx val="1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49-4F18-8039-EB57036D6268}"/>
                </c:ext>
              </c:extLst>
            </c:dLbl>
            <c:dLbl>
              <c:idx val="2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49-4F18-8039-EB57036D6268}"/>
                </c:ext>
              </c:extLst>
            </c:dLbl>
            <c:dLbl>
              <c:idx val="3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49-4F18-8039-EB57036D6268}"/>
                </c:ext>
              </c:extLst>
            </c:dLbl>
            <c:dLbl>
              <c:idx val="4"/>
              <c:layout>
                <c:manualLayout>
                  <c:x val="6.38340355286670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49-4F18-8039-EB57036D6268}"/>
                </c:ext>
              </c:extLst>
            </c:dLbl>
            <c:dLbl>
              <c:idx val="5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49-4F18-8039-EB57036D6268}"/>
                </c:ext>
              </c:extLst>
            </c:dLbl>
            <c:dLbl>
              <c:idx val="6"/>
              <c:layout>
                <c:manualLayout>
                  <c:x val="6.38340355286676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49-4F18-8039-EB57036D6268}"/>
                </c:ext>
              </c:extLst>
            </c:dLbl>
            <c:dLbl>
              <c:idx val="7"/>
              <c:layout>
                <c:manualLayout>
                  <c:x val="9.5751053293000616E-3"/>
                  <c:y val="6.90838408568442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49-4F18-8039-EB57036D6268}"/>
                </c:ext>
              </c:extLst>
            </c:dLbl>
            <c:dLbl>
              <c:idx val="8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49-4F18-8039-EB57036D6268}"/>
                </c:ext>
              </c:extLst>
            </c:dLbl>
            <c:dLbl>
              <c:idx val="9"/>
              <c:layout>
                <c:manualLayout>
                  <c:x val="4.78755266465003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49-4F18-8039-EB57036D6268}"/>
                </c:ext>
              </c:extLst>
            </c:dLbl>
            <c:dLbl>
              <c:idx val="10"/>
              <c:layout>
                <c:manualLayout>
                  <c:x val="9.5751053293000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49-4F18-8039-EB57036D6268}"/>
                </c:ext>
              </c:extLst>
            </c:dLbl>
            <c:dLbl>
              <c:idx val="11"/>
              <c:layout>
                <c:manualLayout>
                  <c:x val="6.3079049845735716E-3"/>
                  <c:y val="-1.1701610768184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49-4F18-8039-EB57036D6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(Convenios!$M$112:$X$112,Convenios!$Y$112,Convenios!$Z$112,Convenios!$AA$112)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(Convenios!$M$114:$X$114,Convenios!$Y$114,Convenios!$Z$114,Convenios!$AA$114)</c:f>
              <c:numCache>
                <c:formatCode>General</c:formatCode>
                <c:ptCount val="15"/>
                <c:pt idx="0">
                  <c:v>287</c:v>
                </c:pt>
                <c:pt idx="1">
                  <c:v>241</c:v>
                </c:pt>
                <c:pt idx="2">
                  <c:v>229</c:v>
                </c:pt>
                <c:pt idx="3">
                  <c:v>275</c:v>
                </c:pt>
                <c:pt idx="4">
                  <c:v>221</c:v>
                </c:pt>
                <c:pt idx="5">
                  <c:v>335</c:v>
                </c:pt>
                <c:pt idx="6">
                  <c:v>185</c:v>
                </c:pt>
                <c:pt idx="7">
                  <c:v>266</c:v>
                </c:pt>
                <c:pt idx="8">
                  <c:v>256</c:v>
                </c:pt>
                <c:pt idx="9">
                  <c:v>372</c:v>
                </c:pt>
                <c:pt idx="10">
                  <c:v>215</c:v>
                </c:pt>
                <c:pt idx="11">
                  <c:v>174</c:v>
                </c:pt>
                <c:pt idx="12">
                  <c:v>216</c:v>
                </c:pt>
                <c:pt idx="13">
                  <c:v>223</c:v>
                </c:pt>
                <c:pt idx="14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449-4F18-8039-EB57036D6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6416384"/>
        <c:axId val="146417920"/>
        <c:axId val="0"/>
      </c:bar3DChart>
      <c:catAx>
        <c:axId val="1464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46417920"/>
        <c:crosses val="autoZero"/>
        <c:auto val="1"/>
        <c:lblAlgn val="ctr"/>
        <c:lblOffset val="100"/>
        <c:noMultiLvlLbl val="0"/>
      </c:catAx>
      <c:valAx>
        <c:axId val="1464179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64163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444315236565394"/>
          <c:y val="0.95594958003681541"/>
          <c:w val="0.42359798775153107"/>
          <c:h val="4.2069227112076765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admitidos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9686798120551973E-2"/>
          <c:y val="8.0320097681870484E-2"/>
          <c:w val="0.96062640375889607"/>
          <c:h val="0.75554547998680655"/>
        </c:manualLayout>
      </c:layout>
      <c:lineChart>
        <c:grouping val="standard"/>
        <c:varyColors val="0"/>
        <c:ser>
          <c:idx val="0"/>
          <c:order val="0"/>
          <c:tx>
            <c:strRef>
              <c:f>'Admitidos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0730146312704426E-2"/>
                  <c:y val="-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32-45B0-914D-F59D751EC26C}"/>
                </c:ext>
              </c:extLst>
            </c:dLbl>
            <c:dLbl>
              <c:idx val="1"/>
              <c:layout>
                <c:manualLayout>
                  <c:x val="-1.998990946865983E-2"/>
                  <c:y val="1.468799032662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SE'!$E$29:$R$29</c:f>
              <c:numCache>
                <c:formatCode>0%</c:formatCode>
                <c:ptCount val="14"/>
                <c:pt idx="0">
                  <c:v>0.02</c:v>
                </c:pt>
                <c:pt idx="1">
                  <c:v>1.4999999999999999E-2</c:v>
                </c:pt>
                <c:pt idx="2">
                  <c:v>1.2999999999999999E-2</c:v>
                </c:pt>
                <c:pt idx="3">
                  <c:v>1.7000000000000001E-2</c:v>
                </c:pt>
                <c:pt idx="4">
                  <c:v>1.7000000000000001E-2</c:v>
                </c:pt>
                <c:pt idx="5">
                  <c:v>1.6E-2</c:v>
                </c:pt>
                <c:pt idx="6">
                  <c:v>1.6E-2</c:v>
                </c:pt>
                <c:pt idx="7">
                  <c:v>1.6E-2</c:v>
                </c:pt>
                <c:pt idx="8">
                  <c:v>1.6E-2</c:v>
                </c:pt>
                <c:pt idx="9">
                  <c:v>1.0999999999999999E-2</c:v>
                </c:pt>
                <c:pt idx="10">
                  <c:v>0.01</c:v>
                </c:pt>
                <c:pt idx="11">
                  <c:v>1.2E-2</c:v>
                </c:pt>
                <c:pt idx="12">
                  <c:v>0.01</c:v>
                </c:pt>
                <c:pt idx="13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32-45B0-914D-F59D751EC26C}"/>
            </c:ext>
          </c:extLst>
        </c:ser>
        <c:ser>
          <c:idx val="1"/>
          <c:order val="1"/>
          <c:tx>
            <c:strRef>
              <c:f>'Admitidos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00000"/>
                </a:solidFill>
              </a:ln>
            </c:spPr>
          </c:marker>
          <c:dLbls>
            <c:dLbl>
              <c:idx val="0"/>
              <c:layout>
                <c:manualLayout>
                  <c:x val="-2.1476507040602152E-2"/>
                  <c:y val="-2.56102344143070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2-45B0-914D-F59D751EC26C}"/>
                </c:ext>
              </c:extLst>
            </c:dLbl>
            <c:dLbl>
              <c:idx val="1"/>
              <c:layout>
                <c:manualLayout>
                  <c:x val="-2.3266215960652332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2-45B0-914D-F59D751EC26C}"/>
                </c:ext>
              </c:extLst>
            </c:dLbl>
            <c:dLbl>
              <c:idx val="2"/>
              <c:layout>
                <c:manualLayout>
                  <c:x val="-2.3266270981786023E-2"/>
                  <c:y val="-2.223053928131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2-45B0-914D-F59D751EC26C}"/>
                </c:ext>
              </c:extLst>
            </c:dLbl>
            <c:dLbl>
              <c:idx val="3"/>
              <c:layout>
                <c:manualLayout>
                  <c:x val="-1.0738253520301076E-2"/>
                  <c:y val="-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2-45B0-914D-F59D751EC26C}"/>
                </c:ext>
              </c:extLst>
            </c:dLbl>
            <c:dLbl>
              <c:idx val="4"/>
              <c:layout>
                <c:manualLayout>
                  <c:x val="-2.147650704060215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32-45B0-914D-F59D751EC26C}"/>
                </c:ext>
              </c:extLst>
            </c:dLbl>
            <c:dLbl>
              <c:idx val="5"/>
              <c:layout>
                <c:manualLayout>
                  <c:x val="-2.6845633800752694E-2"/>
                  <c:y val="1.28051172071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32-45B0-914D-F59D751EC26C}"/>
                </c:ext>
              </c:extLst>
            </c:dLbl>
            <c:dLbl>
              <c:idx val="6"/>
              <c:layout>
                <c:manualLayout>
                  <c:x val="-1.999603181351791E-2"/>
                  <c:y val="-2.0556699151180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32-45B0-914D-F59D751EC26C}"/>
                </c:ext>
              </c:extLst>
            </c:dLbl>
            <c:dLbl>
              <c:idx val="7"/>
              <c:layout>
                <c:manualLayout>
                  <c:x val="-2.3266215960652332E-2"/>
                  <c:y val="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32-45B0-914D-F59D751EC26C}"/>
                </c:ext>
              </c:extLst>
            </c:dLbl>
            <c:dLbl>
              <c:idx val="8"/>
              <c:layout>
                <c:manualLayout>
                  <c:x val="-2.3266215960652332E-2"/>
                  <c:y val="-1.92076758107302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32-45B0-914D-F59D751EC26C}"/>
                </c:ext>
              </c:extLst>
            </c:dLbl>
            <c:dLbl>
              <c:idx val="9"/>
              <c:layout>
                <c:manualLayout>
                  <c:x val="-2.3266215960652332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32-45B0-914D-F59D751EC26C}"/>
                </c:ext>
              </c:extLst>
            </c:dLbl>
            <c:dLbl>
              <c:idx val="10"/>
              <c:layout>
                <c:manualLayout>
                  <c:x val="-2.1476507040602152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32-45B0-914D-F59D751EC26C}"/>
                </c:ext>
              </c:extLst>
            </c:dLbl>
            <c:dLbl>
              <c:idx val="11"/>
              <c:layout>
                <c:manualLayout>
                  <c:x val="-2.1138208675730276E-2"/>
                  <c:y val="2.8811513716095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7632245310745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SE'!$E$30:$R$30</c:f>
              <c:numCache>
                <c:formatCode>0%</c:formatCode>
                <c:ptCount val="14"/>
                <c:pt idx="0">
                  <c:v>0.308</c:v>
                </c:pt>
                <c:pt idx="1">
                  <c:v>0.25900000000000001</c:v>
                </c:pt>
                <c:pt idx="2">
                  <c:v>0.23899999999999999</c:v>
                </c:pt>
                <c:pt idx="3">
                  <c:v>0.22700000000000001</c:v>
                </c:pt>
                <c:pt idx="4">
                  <c:v>0.221</c:v>
                </c:pt>
                <c:pt idx="5">
                  <c:v>0.219</c:v>
                </c:pt>
                <c:pt idx="6">
                  <c:v>0.20399999999999999</c:v>
                </c:pt>
                <c:pt idx="7">
                  <c:v>0.184</c:v>
                </c:pt>
                <c:pt idx="8">
                  <c:v>0.182</c:v>
                </c:pt>
                <c:pt idx="9">
                  <c:v>0.16400000000000001</c:v>
                </c:pt>
                <c:pt idx="10">
                  <c:v>0.151</c:v>
                </c:pt>
                <c:pt idx="11">
                  <c:v>0.14399999999999999</c:v>
                </c:pt>
                <c:pt idx="12">
                  <c:v>0.13</c:v>
                </c:pt>
                <c:pt idx="13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D32-45B0-914D-F59D751EC26C}"/>
            </c:ext>
          </c:extLst>
        </c:ser>
        <c:ser>
          <c:idx val="2"/>
          <c:order val="2"/>
          <c:tx>
            <c:strRef>
              <c:f>'Admitidos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-3.163670571723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32-45B0-914D-F59D751EC26C}"/>
                </c:ext>
              </c:extLst>
            </c:dLbl>
            <c:dLbl>
              <c:idx val="1"/>
              <c:layout>
                <c:manualLayout>
                  <c:x val="-2.5798865465466652E-2"/>
                  <c:y val="-2.203311988110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32-45B0-914D-F59D751EC26C}"/>
                </c:ext>
              </c:extLst>
            </c:dLbl>
            <c:dLbl>
              <c:idx val="2"/>
              <c:layout>
                <c:manualLayout>
                  <c:x val="-2.5075650640862118E-2"/>
                  <c:y val="-1.1901327690528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32-45B0-914D-F59D751EC26C}"/>
                </c:ext>
              </c:extLst>
            </c:dLbl>
            <c:dLbl>
              <c:idx val="3"/>
              <c:layout>
                <c:manualLayout>
                  <c:x val="-3.0835189877723167E-2"/>
                  <c:y val="-1.190132769052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32-45B0-914D-F59D751EC26C}"/>
                </c:ext>
              </c:extLst>
            </c:dLbl>
            <c:dLbl>
              <c:idx val="4"/>
              <c:layout>
                <c:manualLayout>
                  <c:x val="-1.960816992908284E-2"/>
                  <c:y val="1.849515611279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B05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SE'!$E$31:$R$31</c:f>
              <c:numCache>
                <c:formatCode>0%</c:formatCode>
                <c:ptCount val="14"/>
                <c:pt idx="0">
                  <c:v>0.215</c:v>
                </c:pt>
                <c:pt idx="1">
                  <c:v>0.20699999999999999</c:v>
                </c:pt>
                <c:pt idx="2">
                  <c:v>0.20799999999999999</c:v>
                </c:pt>
                <c:pt idx="3">
                  <c:v>0.215</c:v>
                </c:pt>
                <c:pt idx="4">
                  <c:v>0.223</c:v>
                </c:pt>
                <c:pt idx="5">
                  <c:v>0.222</c:v>
                </c:pt>
                <c:pt idx="6">
                  <c:v>0.22800000000000001</c:v>
                </c:pt>
                <c:pt idx="7">
                  <c:v>0.22800000000000001</c:v>
                </c:pt>
                <c:pt idx="8">
                  <c:v>0.22800000000000001</c:v>
                </c:pt>
                <c:pt idx="9">
                  <c:v>0.23699999999999999</c:v>
                </c:pt>
                <c:pt idx="10">
                  <c:v>0.23899999999999999</c:v>
                </c:pt>
                <c:pt idx="11">
                  <c:v>0.23699999999999999</c:v>
                </c:pt>
                <c:pt idx="12">
                  <c:v>0.24</c:v>
                </c:pt>
                <c:pt idx="13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32-45B0-914D-F59D751EC26C}"/>
            </c:ext>
          </c:extLst>
        </c:ser>
        <c:ser>
          <c:idx val="3"/>
          <c:order val="3"/>
          <c:tx>
            <c:strRef>
              <c:f>'Admitidos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6845633800752694E-2"/>
                  <c:y val="-1.9207927879966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32-45B0-914D-F59D751EC26C}"/>
                </c:ext>
              </c:extLst>
            </c:dLbl>
            <c:dLbl>
              <c:idx val="1"/>
              <c:layout>
                <c:manualLayout>
                  <c:x val="-1.676649490088037E-2"/>
                  <c:y val="3.3069138752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32-45B0-914D-F59D751EC26C}"/>
                </c:ext>
              </c:extLst>
            </c:dLbl>
            <c:dLbl>
              <c:idx val="2"/>
              <c:layout>
                <c:manualLayout>
                  <c:x val="-2.435627512003764E-2"/>
                  <c:y val="-1.8297849880282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32-45B0-914D-F59D751EC26C}"/>
                </c:ext>
              </c:extLst>
            </c:dLbl>
            <c:dLbl>
              <c:idx val="3"/>
              <c:layout>
                <c:manualLayout>
                  <c:x val="-1.8946616554140237E-2"/>
                  <c:y val="1.65913812875767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32-45B0-914D-F59D751EC26C}"/>
                </c:ext>
              </c:extLst>
            </c:dLbl>
            <c:dLbl>
              <c:idx val="4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32-45B0-914D-F59D751EC26C}"/>
                </c:ext>
              </c:extLst>
            </c:dLbl>
            <c:dLbl>
              <c:idx val="5"/>
              <c:layout>
                <c:manualLayout>
                  <c:x val="-2.5055924880702511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32-45B0-914D-F59D751EC26C}"/>
                </c:ext>
              </c:extLst>
            </c:dLbl>
            <c:dLbl>
              <c:idx val="6"/>
              <c:layout>
                <c:manualLayout>
                  <c:x val="-2.6845633800752694E-2"/>
                  <c:y val="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32-45B0-914D-F59D751EC26C}"/>
                </c:ext>
              </c:extLst>
            </c:dLbl>
            <c:dLbl>
              <c:idx val="7"/>
              <c:layout>
                <c:manualLayout>
                  <c:x val="-2.6845633800752694E-2"/>
                  <c:y val="2.56102344143071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32-45B0-914D-F59D751EC26C}"/>
                </c:ext>
              </c:extLst>
            </c:dLbl>
            <c:dLbl>
              <c:idx val="8"/>
              <c:layout>
                <c:manualLayout>
                  <c:x val="-2.1476507040602152E-2"/>
                  <c:y val="1.2805117207153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D32-45B0-914D-F59D751EC26C}"/>
                </c:ext>
              </c:extLst>
            </c:dLbl>
            <c:dLbl>
              <c:idx val="9"/>
              <c:layout>
                <c:manualLayout>
                  <c:x val="-2.1826386172570763E-2"/>
                  <c:y val="-2.71056154543752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D32-45B0-914D-F59D751EC26C}"/>
                </c:ext>
              </c:extLst>
            </c:dLbl>
            <c:dLbl>
              <c:idx val="10"/>
              <c:layout>
                <c:manualLayout>
                  <c:x val="-2.6845633800752694E-2"/>
                  <c:y val="-2.2408955112518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D32-45B0-914D-F59D751EC26C}"/>
                </c:ext>
              </c:extLst>
            </c:dLbl>
            <c:dLbl>
              <c:idx val="11"/>
              <c:layout>
                <c:manualLayout>
                  <c:x val="-1.5769154885198665E-2"/>
                  <c:y val="-1.92076758107302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D32-45B0-914D-F59D751EC26C}"/>
                </c:ext>
              </c:extLst>
            </c:dLbl>
            <c:dLbl>
              <c:idx val="12"/>
              <c:layout>
                <c:manualLayout>
                  <c:x val="-1.8731988472622477E-2"/>
                  <c:y val="1.51133531234956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SE'!$E$32:$R$32</c:f>
              <c:numCache>
                <c:formatCode>0%</c:formatCode>
                <c:ptCount val="14"/>
                <c:pt idx="0">
                  <c:v>0.193</c:v>
                </c:pt>
                <c:pt idx="1">
                  <c:v>0.187</c:v>
                </c:pt>
                <c:pt idx="2">
                  <c:v>0.192</c:v>
                </c:pt>
                <c:pt idx="3">
                  <c:v>0.187</c:v>
                </c:pt>
                <c:pt idx="4">
                  <c:v>0.187</c:v>
                </c:pt>
                <c:pt idx="5">
                  <c:v>0.18</c:v>
                </c:pt>
                <c:pt idx="6">
                  <c:v>0.17899999999999999</c:v>
                </c:pt>
                <c:pt idx="7">
                  <c:v>0.16900000000000001</c:v>
                </c:pt>
                <c:pt idx="8">
                  <c:v>0.18099999999999999</c:v>
                </c:pt>
                <c:pt idx="9">
                  <c:v>0.17899999999999999</c:v>
                </c:pt>
                <c:pt idx="10">
                  <c:v>0.17199999999999999</c:v>
                </c:pt>
                <c:pt idx="11">
                  <c:v>0.17199999999999999</c:v>
                </c:pt>
                <c:pt idx="12">
                  <c:v>0.17</c:v>
                </c:pt>
                <c:pt idx="13">
                  <c:v>0.08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D32-45B0-914D-F59D751EC26C}"/>
            </c:ext>
          </c:extLst>
        </c:ser>
        <c:ser>
          <c:idx val="4"/>
          <c:order val="4"/>
          <c:tx>
            <c:strRef>
              <c:f>'Admitidos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10"/>
              <c:layout>
                <c:manualLayout>
                  <c:x val="-2.4090293248980921E-2"/>
                  <c:y val="1.3485343582509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D32-45B0-914D-F59D751EC26C}"/>
                </c:ext>
              </c:extLst>
            </c:dLbl>
            <c:dLbl>
              <c:idx val="11"/>
              <c:layout>
                <c:manualLayout>
                  <c:x val="-2.1813197386441663E-2"/>
                  <c:y val="1.563030920829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D32-45B0-914D-F59D751EC26C}"/>
                </c:ext>
              </c:extLst>
            </c:dLbl>
            <c:dLbl>
              <c:idx val="12"/>
              <c:layout>
                <c:manualLayout>
                  <c:x val="-2.3652794481381575E-2"/>
                  <c:y val="-2.2965949932753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SE'!$E$33:$R$33</c:f>
              <c:numCache>
                <c:formatCode>0%</c:formatCode>
                <c:ptCount val="14"/>
                <c:pt idx="0">
                  <c:v>0.108</c:v>
                </c:pt>
                <c:pt idx="1">
                  <c:v>0.121</c:v>
                </c:pt>
                <c:pt idx="2">
                  <c:v>0.125</c:v>
                </c:pt>
                <c:pt idx="3">
                  <c:v>0.129</c:v>
                </c:pt>
                <c:pt idx="4">
                  <c:v>0.13100000000000001</c:v>
                </c:pt>
                <c:pt idx="5">
                  <c:v>0.13300000000000001</c:v>
                </c:pt>
                <c:pt idx="6">
                  <c:v>0.14099999999999999</c:v>
                </c:pt>
                <c:pt idx="7">
                  <c:v>0.15</c:v>
                </c:pt>
                <c:pt idx="8">
                  <c:v>0.154</c:v>
                </c:pt>
                <c:pt idx="9">
                  <c:v>0.16900000000000001</c:v>
                </c:pt>
                <c:pt idx="10">
                  <c:v>0.16900000000000001</c:v>
                </c:pt>
                <c:pt idx="11">
                  <c:v>0.17199999999999999</c:v>
                </c:pt>
                <c:pt idx="12">
                  <c:v>0.19</c:v>
                </c:pt>
                <c:pt idx="13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D32-45B0-914D-F59D751EC26C}"/>
            </c:ext>
          </c:extLst>
        </c:ser>
        <c:ser>
          <c:idx val="5"/>
          <c:order val="5"/>
          <c:tx>
            <c:strRef>
              <c:f>'Admitidos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116785130365498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D32-45B0-914D-F59D751EC26C}"/>
                </c:ext>
              </c:extLst>
            </c:dLbl>
            <c:dLbl>
              <c:idx val="2"/>
              <c:layout>
                <c:manualLayout>
                  <c:x val="-2.0429597783353903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D32-45B0-914D-F59D751EC26C}"/>
                </c:ext>
              </c:extLst>
            </c:dLbl>
            <c:dLbl>
              <c:idx val="3"/>
              <c:layout>
                <c:manualLayout>
                  <c:x val="-1.7859106704534503E-2"/>
                  <c:y val="-1.95630664996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D32-45B0-914D-F59D751EC26C}"/>
                </c:ext>
              </c:extLst>
            </c:dLbl>
            <c:dLbl>
              <c:idx val="4"/>
              <c:layout>
                <c:manualLayout>
                  <c:x val="-2.5798724543504441E-2"/>
                  <c:y val="-1.2429029906502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D32-45B0-914D-F59D751EC26C}"/>
                </c:ext>
              </c:extLst>
            </c:dLbl>
            <c:dLbl>
              <c:idx val="5"/>
              <c:layout>
                <c:manualLayout>
                  <c:x val="-2.400900211447651E-2"/>
                  <c:y val="1.1182541853200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D32-45B0-914D-F59D751EC26C}"/>
                </c:ext>
              </c:extLst>
            </c:dLbl>
            <c:dLbl>
              <c:idx val="6"/>
              <c:layout>
                <c:manualLayout>
                  <c:x val="-2.4009015623454196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D32-45B0-914D-F59D751EC26C}"/>
                </c:ext>
              </c:extLst>
            </c:dLbl>
            <c:dLbl>
              <c:idx val="7"/>
              <c:layout>
                <c:manualLayout>
                  <c:x val="-2.2195881022431592E-2"/>
                  <c:y val="1.0036515088264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D32-45B0-914D-F59D751EC26C}"/>
                </c:ext>
              </c:extLst>
            </c:dLbl>
            <c:dLbl>
              <c:idx val="8"/>
              <c:layout>
                <c:manualLayout>
                  <c:x val="-2.1479113167009525E-2"/>
                  <c:y val="-1.6979276127961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D32-45B0-914D-F59D751EC26C}"/>
                </c:ext>
              </c:extLst>
            </c:dLbl>
            <c:dLbl>
              <c:idx val="9"/>
              <c:layout>
                <c:manualLayout>
                  <c:x val="-2.5798724543504441E-2"/>
                  <c:y val="-1.56303092082908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D32-45B0-914D-F59D751EC26C}"/>
                </c:ext>
              </c:extLst>
            </c:dLbl>
            <c:dLbl>
              <c:idx val="10"/>
              <c:layout>
                <c:manualLayout>
                  <c:x val="-2.0039341734550895E-2"/>
                  <c:y val="2.1842836373058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D32-45B0-914D-F59D751EC26C}"/>
                </c:ext>
              </c:extLst>
            </c:dLbl>
            <c:dLbl>
              <c:idx val="11"/>
              <c:layout>
                <c:manualLayout>
                  <c:x val="-2.3439085405661038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SE'!$E$34:$R$34</c:f>
              <c:numCache>
                <c:formatCode>0%</c:formatCode>
                <c:ptCount val="14"/>
                <c:pt idx="0">
                  <c:v>0.14099999999999999</c:v>
                </c:pt>
                <c:pt idx="1">
                  <c:v>0.185</c:v>
                </c:pt>
                <c:pt idx="2">
                  <c:v>0.193</c:v>
                </c:pt>
                <c:pt idx="3">
                  <c:v>0.19700000000000001</c:v>
                </c:pt>
                <c:pt idx="4">
                  <c:v>0.19400000000000001</c:v>
                </c:pt>
                <c:pt idx="5">
                  <c:v>0.20100000000000001</c:v>
                </c:pt>
                <c:pt idx="6">
                  <c:v>0.20300000000000001</c:v>
                </c:pt>
                <c:pt idx="7">
                  <c:v>0.217</c:v>
                </c:pt>
                <c:pt idx="8">
                  <c:v>0.21</c:v>
                </c:pt>
                <c:pt idx="9">
                  <c:v>0.20599999999999999</c:v>
                </c:pt>
                <c:pt idx="10">
                  <c:v>0.22500000000000001</c:v>
                </c:pt>
                <c:pt idx="11">
                  <c:v>0.22800000000000001</c:v>
                </c:pt>
                <c:pt idx="12">
                  <c:v>0.22</c:v>
                </c:pt>
                <c:pt idx="13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D32-45B0-914D-F59D751EC26C}"/>
            </c:ext>
          </c:extLst>
        </c:ser>
        <c:ser>
          <c:idx val="6"/>
          <c:order val="6"/>
          <c:tx>
            <c:strRef>
              <c:f>'Admitidos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2">
                  <a:lumMod val="25000"/>
                </a:schemeClr>
              </a:solidFill>
            </a:ln>
          </c:spPr>
          <c:marker>
            <c:symbol val="square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2156312534367329E-2"/>
                  <c:y val="1.734912934786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D32-45B0-914D-F59D751EC26C}"/>
                </c:ext>
              </c:extLst>
            </c:dLbl>
            <c:dLbl>
              <c:idx val="1"/>
              <c:layout>
                <c:manualLayout>
                  <c:x val="-1.859061353831851E-2"/>
                  <c:y val="-2.429189038755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D32-45B0-914D-F59D751EC2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SE'!$E$3:$R$3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'Admitidos SE'!$E$35:$R$35</c:f>
              <c:numCache>
                <c:formatCode>0%</c:formatCode>
                <c:ptCount val="14"/>
                <c:pt idx="0">
                  <c:v>1.4E-2</c:v>
                </c:pt>
                <c:pt idx="1">
                  <c:v>2.7E-2</c:v>
                </c:pt>
                <c:pt idx="2">
                  <c:v>3.2000000000000001E-2</c:v>
                </c:pt>
                <c:pt idx="3">
                  <c:v>2.8000000000000001E-2</c:v>
                </c:pt>
                <c:pt idx="4">
                  <c:v>2.7E-2</c:v>
                </c:pt>
                <c:pt idx="5">
                  <c:v>2.9000000000000001E-2</c:v>
                </c:pt>
                <c:pt idx="6">
                  <c:v>2.9000000000000001E-2</c:v>
                </c:pt>
                <c:pt idx="7">
                  <c:v>3.1E-2</c:v>
                </c:pt>
                <c:pt idx="8">
                  <c:v>3.1E-2</c:v>
                </c:pt>
                <c:pt idx="9">
                  <c:v>3.4000000000000002E-2</c:v>
                </c:pt>
                <c:pt idx="10">
                  <c:v>3.4000000000000002E-2</c:v>
                </c:pt>
                <c:pt idx="11">
                  <c:v>3.5999999999999997E-2</c:v>
                </c:pt>
                <c:pt idx="12">
                  <c:v>0.04</c:v>
                </c:pt>
                <c:pt idx="13">
                  <c:v>0.05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9D32-45B0-914D-F59D751EC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821184"/>
        <c:axId val="111822720"/>
      </c:lineChart>
      <c:catAx>
        <c:axId val="1118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822720"/>
        <c:crosses val="autoZero"/>
        <c:auto val="1"/>
        <c:lblAlgn val="ctr"/>
        <c:lblOffset val="100"/>
        <c:noMultiLvlLbl val="0"/>
      </c:catAx>
      <c:valAx>
        <c:axId val="111822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18211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3.7097879444090986E-2"/>
          <c:y val="0.94238004370972128"/>
          <c:w val="0.91839134266852673"/>
          <c:h val="4.2506603166782994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9507339638976544E-2"/>
          <c:y val="0.10807727971506807"/>
          <c:w val="0.96302132700935417"/>
          <c:h val="0.7470712088482015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uni'!$AO$42:$AO$56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('Inscritos uni'!$E$9,'Inscritos uni'!$H$9,'Inscritos uni'!$K$9,'Inscritos uni'!$N$9,'Inscritos uni'!$Q$9,'Inscritos uni'!$T$9,'Inscritos uni'!$W$9,'Inscritos uni'!$Z$9,'Inscritos uni'!$AC$9,'Inscritos uni'!$AF$9,'Inscritos uni'!$AI$9,'Inscritos uni'!$AL$9,'Inscritos uni'!$AO$9,'Inscritos uni'!$AR$9,'Inscritos uni'!$AU$9)</c:f>
              <c:numCache>
                <c:formatCode>#,##0</c:formatCode>
                <c:ptCount val="15"/>
                <c:pt idx="0">
                  <c:v>2781</c:v>
                </c:pt>
                <c:pt idx="1">
                  <c:v>3279</c:v>
                </c:pt>
                <c:pt idx="2">
                  <c:v>2932</c:v>
                </c:pt>
                <c:pt idx="3">
                  <c:v>2956</c:v>
                </c:pt>
                <c:pt idx="4">
                  <c:v>2930</c:v>
                </c:pt>
                <c:pt idx="5">
                  <c:v>3318</c:v>
                </c:pt>
                <c:pt idx="6">
                  <c:v>3115</c:v>
                </c:pt>
                <c:pt idx="7">
                  <c:v>3329</c:v>
                </c:pt>
                <c:pt idx="8">
                  <c:v>3026</c:v>
                </c:pt>
                <c:pt idx="9">
                  <c:v>2712</c:v>
                </c:pt>
                <c:pt idx="10">
                  <c:v>2865</c:v>
                </c:pt>
                <c:pt idx="11">
                  <c:v>2876</c:v>
                </c:pt>
                <c:pt idx="12">
                  <c:v>2840</c:v>
                </c:pt>
                <c:pt idx="13">
                  <c:v>2967</c:v>
                </c:pt>
                <c:pt idx="14">
                  <c:v>3001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D3-4B5B-B88A-C5F4F6A6A553}"/>
            </c:ext>
          </c:extLst>
        </c:ser>
        <c:ser>
          <c:idx val="1"/>
          <c:order val="1"/>
          <c:tx>
            <c:strRef>
              <c:f>'Inscritos uni'!$AO$62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uni'!$AO$42:$AO$56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('Inscritos uni'!$E$14,'Inscritos uni'!$H$14,'Inscritos uni'!$K$14,'Inscritos uni'!$N$14,'Inscritos uni'!$Q$14,'Inscritos uni'!$T$14,'Inscritos uni'!$W$14,'Inscritos uni'!$Z$14,'Inscritos uni'!$AC$14,'Inscritos uni'!$AF$14,'Inscritos uni'!$AI$14,'Inscritos uni'!$AL$14,'Inscritos uni'!$AO$14,'Inscritos uni'!$AR$14,'Inscritos uni'!$AU$14)</c:f>
              <c:numCache>
                <c:formatCode>#,##0</c:formatCode>
                <c:ptCount val="15"/>
                <c:pt idx="2">
                  <c:v>203</c:v>
                </c:pt>
                <c:pt idx="3">
                  <c:v>101</c:v>
                </c:pt>
                <c:pt idx="4">
                  <c:v>316</c:v>
                </c:pt>
                <c:pt idx="5">
                  <c:v>355</c:v>
                </c:pt>
                <c:pt idx="6">
                  <c:v>260</c:v>
                </c:pt>
                <c:pt idx="7">
                  <c:v>318</c:v>
                </c:pt>
                <c:pt idx="8">
                  <c:v>322</c:v>
                </c:pt>
                <c:pt idx="9">
                  <c:v>356</c:v>
                </c:pt>
                <c:pt idx="10">
                  <c:v>361</c:v>
                </c:pt>
                <c:pt idx="11">
                  <c:v>580</c:v>
                </c:pt>
                <c:pt idx="12">
                  <c:v>608</c:v>
                </c:pt>
                <c:pt idx="13">
                  <c:v>694</c:v>
                </c:pt>
                <c:pt idx="14">
                  <c:v>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D3-4B5B-B88A-C5F4F6A6A553}"/>
            </c:ext>
          </c:extLst>
        </c:ser>
        <c:ser>
          <c:idx val="2"/>
          <c:order val="2"/>
          <c:tx>
            <c:strRef>
              <c:f>'Inscritos uni'!$AO$63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uni'!$AO$42:$AO$56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('Inscritos uni'!$E$19,'Inscritos uni'!$H$19,'Inscritos uni'!$K$19,'Inscritos uni'!$N$19,'Inscritos uni'!$Q$19,'Inscritos uni'!$T$19,'Inscritos uni'!$W$19,'Inscritos uni'!$Z$19,'Inscritos uni'!$AC$19,'Inscritos uni'!$AF$19,'Inscritos uni'!$AI$19,'Inscritos uni'!$AL$19,'Inscritos uni'!$AO$19,'Inscritos uni'!$AR$19,'Inscritos uni'!$AU$19)</c:f>
              <c:numCache>
                <c:formatCode>#,##0</c:formatCode>
                <c:ptCount val="15"/>
                <c:pt idx="0">
                  <c:v>1978</c:v>
                </c:pt>
                <c:pt idx="1">
                  <c:v>2192</c:v>
                </c:pt>
                <c:pt idx="2">
                  <c:v>2254</c:v>
                </c:pt>
                <c:pt idx="3">
                  <c:v>2386</c:v>
                </c:pt>
                <c:pt idx="4">
                  <c:v>2385</c:v>
                </c:pt>
                <c:pt idx="5">
                  <c:v>2567</c:v>
                </c:pt>
                <c:pt idx="6">
                  <c:v>2479</c:v>
                </c:pt>
                <c:pt idx="7">
                  <c:v>2676</c:v>
                </c:pt>
                <c:pt idx="8">
                  <c:v>2689</c:v>
                </c:pt>
                <c:pt idx="9">
                  <c:v>2734</c:v>
                </c:pt>
                <c:pt idx="10">
                  <c:v>2882</c:v>
                </c:pt>
                <c:pt idx="11">
                  <c:v>2617</c:v>
                </c:pt>
                <c:pt idx="12">
                  <c:v>2543</c:v>
                </c:pt>
                <c:pt idx="13">
                  <c:v>2618</c:v>
                </c:pt>
                <c:pt idx="14">
                  <c:v>2391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D3-4B5B-B88A-C5F4F6A6A553}"/>
            </c:ext>
          </c:extLst>
        </c:ser>
        <c:ser>
          <c:idx val="3"/>
          <c:order val="3"/>
          <c:tx>
            <c:strRef>
              <c:f>'Inscritos uni'!$AO$64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uni'!$AO$42:$AO$56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('Inscritos uni'!$E$24,'Inscritos uni'!$H$24,'Inscritos uni'!$K$24,'Inscritos uni'!$N$24,'Inscritos uni'!$Q$24,'Inscritos uni'!$T$24,'Inscritos uni'!$W$24,'Inscritos uni'!$Z$24,'Inscritos uni'!$AC$24,'Inscritos uni'!$AF$24,'Inscritos uni'!$AI$24,'Inscritos uni'!$AL$24,'Inscritos uni'!$AO$24,'Inscritos uni'!$AR$24,'Inscritos uni'!$AU$24)</c:f>
              <c:numCache>
                <c:formatCode>#,##0</c:formatCode>
                <c:ptCount val="15"/>
                <c:pt idx="8">
                  <c:v>173</c:v>
                </c:pt>
                <c:pt idx="9">
                  <c:v>89</c:v>
                </c:pt>
                <c:pt idx="10">
                  <c:v>176</c:v>
                </c:pt>
                <c:pt idx="11">
                  <c:v>144</c:v>
                </c:pt>
                <c:pt idx="12">
                  <c:v>201</c:v>
                </c:pt>
                <c:pt idx="13">
                  <c:v>222</c:v>
                </c:pt>
                <c:pt idx="14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D3-4B5B-B88A-C5F4F6A6A553}"/>
            </c:ext>
          </c:extLst>
        </c:ser>
        <c:ser>
          <c:idx val="4"/>
          <c:order val="4"/>
          <c:tx>
            <c:strRef>
              <c:f>'Inscritos uni'!$AO$65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'Inscritos uni'!$AO$42:$AO$56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('Inscritos uni'!$E$29,'Inscritos uni'!$H$29,'Inscritos uni'!$K$29,'Inscritos uni'!$N$29,'Inscritos uni'!$Q$29,'Inscritos uni'!$T$29,'Inscritos uni'!$W$29,'Inscritos uni'!$Z$29,'Inscritos uni'!$AC$29,'Inscritos uni'!$AF$29,'Inscritos uni'!$AI$29,'Inscritos uni'!$AL$29,'Inscritos uni'!$AO$29,'Inscritos uni'!$AR$29,'Inscritos uni'!$AU$29)</c:f>
              <c:numCache>
                <c:formatCode>#,##0</c:formatCode>
                <c:ptCount val="15"/>
                <c:pt idx="0">
                  <c:v>3558</c:v>
                </c:pt>
                <c:pt idx="1">
                  <c:v>4241</c:v>
                </c:pt>
                <c:pt idx="2">
                  <c:v>4064</c:v>
                </c:pt>
                <c:pt idx="3">
                  <c:v>3739</c:v>
                </c:pt>
                <c:pt idx="4">
                  <c:v>3633</c:v>
                </c:pt>
                <c:pt idx="5">
                  <c:v>3695</c:v>
                </c:pt>
                <c:pt idx="6">
                  <c:v>3399</c:v>
                </c:pt>
                <c:pt idx="7">
                  <c:v>3563</c:v>
                </c:pt>
                <c:pt idx="8">
                  <c:v>3482</c:v>
                </c:pt>
                <c:pt idx="9">
                  <c:v>3512</c:v>
                </c:pt>
                <c:pt idx="10">
                  <c:v>3574</c:v>
                </c:pt>
                <c:pt idx="11">
                  <c:v>3656</c:v>
                </c:pt>
                <c:pt idx="12">
                  <c:v>3657</c:v>
                </c:pt>
                <c:pt idx="13">
                  <c:v>3815</c:v>
                </c:pt>
                <c:pt idx="14">
                  <c:v>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D3-4B5B-B88A-C5F4F6A6A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2067584"/>
        <c:axId val="102081664"/>
        <c:axId val="0"/>
      </c:bar3DChart>
      <c:catAx>
        <c:axId val="10206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102081664"/>
        <c:crosses val="autoZero"/>
        <c:auto val="1"/>
        <c:lblAlgn val="ctr"/>
        <c:lblOffset val="100"/>
        <c:noMultiLvlLbl val="0"/>
      </c:catAx>
      <c:valAx>
        <c:axId val="1020816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2067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E2-41FE-A61E-41096DA78B0F}"/>
                </c:ext>
              </c:extLst>
            </c:dLbl>
            <c:dLbl>
              <c:idx val="3"/>
              <c:layout>
                <c:manualLayout>
                  <c:x val="-5.4768153980752403E-2"/>
                  <c:y val="6.2622637286618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E2-41FE-A61E-41096DA78B0F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uni'!$Z$6,'Inscritos uni'!$AC$6,'Inscritos uni'!$AF$6,'Inscritos uni'!$AI$6,'Inscritos uni'!$AL$6)</c:f>
              <c:numCache>
                <c:formatCode>#,##0</c:formatCode>
                <c:ptCount val="5"/>
                <c:pt idx="0">
                  <c:v>1757</c:v>
                </c:pt>
                <c:pt idx="1">
                  <c:v>1445</c:v>
                </c:pt>
                <c:pt idx="2">
                  <c:v>960</c:v>
                </c:pt>
                <c:pt idx="3">
                  <c:v>1077</c:v>
                </c:pt>
                <c:pt idx="4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E2-41FE-A61E-41096DA78B0F}"/>
            </c:ext>
          </c:extLst>
        </c:ser>
        <c:ser>
          <c:idx val="1"/>
          <c:order val="1"/>
          <c:tx>
            <c:strRef>
              <c:f>'Inscritos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2-41FE-A61E-41096DA78B0F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2-41FE-A61E-41096DA78B0F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2-41FE-A61E-41096DA78B0F}"/>
                </c:ext>
              </c:extLst>
            </c:dLbl>
            <c:dLbl>
              <c:idx val="3"/>
              <c:layout>
                <c:manualLayout>
                  <c:x val="-5.1824813289067344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2-41FE-A61E-41096DA78B0F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2-41FE-A61E-41096DA78B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uni'!$Z$7,'Inscritos uni'!$AC$7,'Inscritos uni'!$AF$7,'Inscritos uni'!$AI$7,'Inscritos uni'!$AL$7)</c:f>
              <c:numCache>
                <c:formatCode>#,##0</c:formatCode>
                <c:ptCount val="5"/>
                <c:pt idx="0">
                  <c:v>1039</c:v>
                </c:pt>
                <c:pt idx="1">
                  <c:v>1048</c:v>
                </c:pt>
                <c:pt idx="2">
                  <c:v>1205</c:v>
                </c:pt>
                <c:pt idx="3">
                  <c:v>1201</c:v>
                </c:pt>
                <c:pt idx="4">
                  <c:v>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2E2-41FE-A61E-41096DA78B0F}"/>
            </c:ext>
          </c:extLst>
        </c:ser>
        <c:ser>
          <c:idx val="2"/>
          <c:order val="2"/>
          <c:tx>
            <c:strRef>
              <c:f>'Inscritos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uni'!$Z$8,'Inscritos uni'!$AC$8,'Inscritos uni'!$AF$8,'Inscritos uni'!$AI$8,'Inscritos uni'!$AL$8)</c:f>
              <c:numCache>
                <c:formatCode>#,##0</c:formatCode>
                <c:ptCount val="5"/>
                <c:pt idx="0">
                  <c:v>533</c:v>
                </c:pt>
                <c:pt idx="1">
                  <c:v>533</c:v>
                </c:pt>
                <c:pt idx="2">
                  <c:v>547</c:v>
                </c:pt>
                <c:pt idx="3">
                  <c:v>587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E2-41FE-A61E-41096DA7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46464"/>
        <c:axId val="112048000"/>
      </c:lineChart>
      <c:catAx>
        <c:axId val="1120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048000"/>
        <c:crosses val="autoZero"/>
        <c:auto val="1"/>
        <c:lblAlgn val="ctr"/>
        <c:lblOffset val="100"/>
        <c:noMultiLvlLbl val="0"/>
      </c:catAx>
      <c:valAx>
        <c:axId val="1120480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046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uni'!$Z$11,'Inscritos uni'!$AC$11,'Inscritos uni'!$AF$11,'Inscritos uni'!$AI$11,'Inscritos uni'!$AL$11)</c:f>
              <c:numCache>
                <c:formatCode>#,##0</c:formatCode>
                <c:ptCount val="5"/>
                <c:pt idx="0">
                  <c:v>94</c:v>
                </c:pt>
                <c:pt idx="1">
                  <c:v>87</c:v>
                </c:pt>
                <c:pt idx="2">
                  <c:v>86</c:v>
                </c:pt>
                <c:pt idx="3">
                  <c:v>94</c:v>
                </c:pt>
                <c:pt idx="4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9F-4C2D-9855-1D1ED813F5CD}"/>
            </c:ext>
          </c:extLst>
        </c:ser>
        <c:ser>
          <c:idx val="1"/>
          <c:order val="1"/>
          <c:tx>
            <c:strRef>
              <c:f>'Inscritos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9F-4C2D-9855-1D1ED813F5CD}"/>
                </c:ext>
              </c:extLst>
            </c:dLbl>
            <c:dLbl>
              <c:idx val="1"/>
              <c:layout>
                <c:manualLayout>
                  <c:x val="-4.8881472597382278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9F-4C2D-9855-1D1ED813F5CD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9F-4C2D-9855-1D1ED813F5CD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9F-4C2D-9855-1D1ED813F5CD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uni'!$Z$12,'Inscritos uni'!$AC$12,'Inscritos uni'!$AF$12,'Inscritos uni'!$AI$12,'Inscritos uni'!$AL$12)</c:f>
              <c:numCache>
                <c:formatCode>#,##0</c:formatCode>
                <c:ptCount val="5"/>
                <c:pt idx="0">
                  <c:v>117</c:v>
                </c:pt>
                <c:pt idx="1">
                  <c:v>125</c:v>
                </c:pt>
                <c:pt idx="2">
                  <c:v>134</c:v>
                </c:pt>
                <c:pt idx="3">
                  <c:v>122</c:v>
                </c:pt>
                <c:pt idx="4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9F-4C2D-9855-1D1ED813F5CD}"/>
            </c:ext>
          </c:extLst>
        </c:ser>
        <c:ser>
          <c:idx val="2"/>
          <c:order val="2"/>
          <c:tx>
            <c:strRef>
              <c:f>'Inscritos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9F-4C2D-9855-1D1ED813F5CD}"/>
                </c:ext>
              </c:extLst>
            </c:dLbl>
            <c:dLbl>
              <c:idx val="1"/>
              <c:layout>
                <c:manualLayout>
                  <c:x val="-4.8808004959644942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9F-4C2D-9855-1D1ED813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uni'!$Z$13,'Inscritos uni'!$AC$13,'Inscritos uni'!$AF$13,'Inscritos uni'!$AI$13,'Inscritos uni'!$AL$13)</c:f>
              <c:numCache>
                <c:formatCode>#,##0</c:formatCode>
                <c:ptCount val="5"/>
                <c:pt idx="0">
                  <c:v>107</c:v>
                </c:pt>
                <c:pt idx="1">
                  <c:v>110</c:v>
                </c:pt>
                <c:pt idx="2">
                  <c:v>136</c:v>
                </c:pt>
                <c:pt idx="3">
                  <c:v>145</c:v>
                </c:pt>
                <c:pt idx="4">
                  <c:v>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9F-4C2D-9855-1D1ED813F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20960"/>
        <c:axId val="112122496"/>
      </c:lineChart>
      <c:catAx>
        <c:axId val="112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122496"/>
        <c:crosses val="autoZero"/>
        <c:auto val="1"/>
        <c:lblAlgn val="ctr"/>
        <c:lblOffset val="100"/>
        <c:noMultiLvlLbl val="0"/>
      </c:catAx>
      <c:valAx>
        <c:axId val="1121224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1209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AF-467F-B0D7-270B81C1E34B}"/>
                </c:ext>
              </c:extLst>
            </c:dLbl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uni'!$Z$16,'Inscritos uni'!$AC$16,'Inscritos uni'!$AF$16,'Inscritos uni'!$AI$16,'Inscritos uni'!$AL$16)</c:f>
              <c:numCache>
                <c:formatCode>#,##0</c:formatCode>
                <c:ptCount val="5"/>
                <c:pt idx="0">
                  <c:v>770</c:v>
                </c:pt>
                <c:pt idx="1">
                  <c:v>808</c:v>
                </c:pt>
                <c:pt idx="2">
                  <c:v>838</c:v>
                </c:pt>
                <c:pt idx="3">
                  <c:v>981</c:v>
                </c:pt>
                <c:pt idx="4">
                  <c:v>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AF-467F-B0D7-270B81C1E34B}"/>
            </c:ext>
          </c:extLst>
        </c:ser>
        <c:ser>
          <c:idx val="1"/>
          <c:order val="1"/>
          <c:tx>
            <c:strRef>
              <c:f>'Inscritos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AF-467F-B0D7-270B81C1E34B}"/>
                </c:ext>
              </c:extLst>
            </c:dLbl>
            <c:dLbl>
              <c:idx val="1"/>
              <c:layout>
                <c:manualLayout>
                  <c:x val="-5.4768153980752403E-2"/>
                  <c:y val="-4.0736535839996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AF-467F-B0D7-270B81C1E34B}"/>
                </c:ext>
              </c:extLst>
            </c:dLbl>
            <c:dLbl>
              <c:idx val="2"/>
              <c:layout>
                <c:manualLayout>
                  <c:x val="-4.8881472597382278E-2"/>
                  <c:y val="-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AF-467F-B0D7-270B81C1E34B}"/>
                </c:ext>
              </c:extLst>
            </c:dLbl>
            <c:dLbl>
              <c:idx val="3"/>
              <c:layout>
                <c:manualLayout>
                  <c:x val="-5.4768153980752403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uni'!$Z$17,'Inscritos uni'!$AC$17,'Inscritos uni'!$AF$17,'Inscritos uni'!$AI$17,'Inscritos uni'!$AL$17)</c:f>
              <c:numCache>
                <c:formatCode>#,##0</c:formatCode>
                <c:ptCount val="5"/>
                <c:pt idx="0">
                  <c:v>1103</c:v>
                </c:pt>
                <c:pt idx="1">
                  <c:v>1075</c:v>
                </c:pt>
                <c:pt idx="2">
                  <c:v>1092</c:v>
                </c:pt>
                <c:pt idx="3">
                  <c:v>1095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5AF-467F-B0D7-270B81C1E34B}"/>
            </c:ext>
          </c:extLst>
        </c:ser>
        <c:ser>
          <c:idx val="2"/>
          <c:order val="2"/>
          <c:tx>
            <c:strRef>
              <c:f>'Inscritos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4.2921323576274817E-2"/>
                  <c:y val="-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AF-467F-B0D7-270B81C1E3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uni'!$Z$18,'Inscritos uni'!$AC$18,'Inscritos uni'!$AF$18,'Inscritos uni'!$AI$18,'Inscritos uni'!$AL$18)</c:f>
              <c:numCache>
                <c:formatCode>#,##0</c:formatCode>
                <c:ptCount val="5"/>
                <c:pt idx="0">
                  <c:v>803</c:v>
                </c:pt>
                <c:pt idx="1">
                  <c:v>806</c:v>
                </c:pt>
                <c:pt idx="2">
                  <c:v>804</c:v>
                </c:pt>
                <c:pt idx="3">
                  <c:v>806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AF-467F-B0D7-270B81C1E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02272"/>
        <c:axId val="112503808"/>
      </c:lineChart>
      <c:catAx>
        <c:axId val="1125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03808"/>
        <c:crosses val="autoZero"/>
        <c:auto val="1"/>
        <c:lblAlgn val="ctr"/>
        <c:lblOffset val="100"/>
        <c:noMultiLvlLbl val="0"/>
      </c:catAx>
      <c:valAx>
        <c:axId val="112503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5022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6.7790595942948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uni'!$AC$21,'Inscritos uni'!$AF$21,'Inscritos uni'!$AI$21,'Inscritos uni'!$AL$21)</c:f>
              <c:numCache>
                <c:formatCode>#,##0</c:formatCode>
                <c:ptCount val="4"/>
                <c:pt idx="0">
                  <c:v>59</c:v>
                </c:pt>
                <c:pt idx="1">
                  <c:v>30</c:v>
                </c:pt>
                <c:pt idx="2">
                  <c:v>52</c:v>
                </c:pt>
                <c:pt idx="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6-4E12-8F1C-D52BAE53287B}"/>
            </c:ext>
          </c:extLst>
        </c:ser>
        <c:ser>
          <c:idx val="1"/>
          <c:order val="1"/>
          <c:tx>
            <c:strRef>
              <c:f>'Inscritos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050048379714125E-2"/>
                  <c:y val="-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6-4E12-8F1C-D52BAE53287B}"/>
                </c:ext>
              </c:extLst>
            </c:dLbl>
            <c:dLbl>
              <c:idx val="1"/>
              <c:layout>
                <c:manualLayout>
                  <c:x val="-3.9897098955345815E-2"/>
                  <c:y val="-0.11825591568495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6-4E12-8F1C-D52BAE53287B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uni'!$AC$22,'Inscritos uni'!$AF$22,'Inscritos uni'!$AI$22,'Inscritos uni'!$AL$22)</c:f>
              <c:numCache>
                <c:formatCode>#,##0</c:formatCode>
                <c:ptCount val="4"/>
                <c:pt idx="0">
                  <c:v>58</c:v>
                </c:pt>
                <c:pt idx="1">
                  <c:v>33</c:v>
                </c:pt>
                <c:pt idx="2">
                  <c:v>69</c:v>
                </c:pt>
                <c:pt idx="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86-4E12-8F1C-D52BAE53287B}"/>
            </c:ext>
          </c:extLst>
        </c:ser>
        <c:ser>
          <c:idx val="2"/>
          <c:order val="2"/>
          <c:tx>
            <c:strRef>
              <c:f>'Inscritos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6-4E12-8F1C-D52BAE53287B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86-4E12-8F1C-D52BAE53287B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6-4E12-8F1C-D52BAE53287B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6-4E12-8F1C-D52BAE532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('Inscritos uni'!$AC$23,'Inscritos uni'!$AF$23,'Inscritos uni'!$AI$23,'Inscritos uni'!$AL$23)</c:f>
              <c:numCache>
                <c:formatCode>#,##0</c:formatCode>
                <c:ptCount val="4"/>
                <c:pt idx="0">
                  <c:v>56</c:v>
                </c:pt>
                <c:pt idx="1">
                  <c:v>26</c:v>
                </c:pt>
                <c:pt idx="2">
                  <c:v>55</c:v>
                </c:pt>
                <c:pt idx="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86-4E12-8F1C-D52BAE532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572672"/>
        <c:axId val="112594944"/>
      </c:lineChart>
      <c:catAx>
        <c:axId val="11257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594944"/>
        <c:crosses val="autoZero"/>
        <c:auto val="1"/>
        <c:lblAlgn val="ctr"/>
        <c:lblOffset val="100"/>
        <c:noMultiLvlLbl val="0"/>
      </c:catAx>
      <c:valAx>
        <c:axId val="1125949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572672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'Inscritos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uni'!$Z$26,'Inscritos uni'!$AC$26,'Inscritos uni'!$AF$26,'Inscritos uni'!$AI$26,'Inscritos uni'!$AL$26)</c:f>
              <c:numCache>
                <c:formatCode>#,##0</c:formatCode>
                <c:ptCount val="5"/>
                <c:pt idx="0">
                  <c:v>1306</c:v>
                </c:pt>
                <c:pt idx="1">
                  <c:v>1262</c:v>
                </c:pt>
                <c:pt idx="2">
                  <c:v>1305</c:v>
                </c:pt>
                <c:pt idx="3">
                  <c:v>1279</c:v>
                </c:pt>
                <c:pt idx="4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B-4895-978E-B27E1FB7ED9D}"/>
            </c:ext>
          </c:extLst>
        </c:ser>
        <c:ser>
          <c:idx val="1"/>
          <c:order val="1"/>
          <c:tx>
            <c:strRef>
              <c:f>'Inscritos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B-4895-978E-B27E1FB7ED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uni'!$Z$27,'Inscritos uni'!$AC$27,'Inscritos uni'!$AF$27,'Inscritos uni'!$AI$27,'Inscritos uni'!$AL$27)</c:f>
              <c:numCache>
                <c:formatCode>#,##0</c:formatCode>
                <c:ptCount val="5"/>
                <c:pt idx="0">
                  <c:v>1636</c:v>
                </c:pt>
                <c:pt idx="1">
                  <c:v>1579</c:v>
                </c:pt>
                <c:pt idx="2">
                  <c:v>1576</c:v>
                </c:pt>
                <c:pt idx="3">
                  <c:v>1660</c:v>
                </c:pt>
                <c:pt idx="4">
                  <c:v>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B-4895-978E-B27E1FB7ED9D}"/>
            </c:ext>
          </c:extLst>
        </c:ser>
        <c:ser>
          <c:idx val="2"/>
          <c:order val="2"/>
          <c:tx>
            <c:strRef>
              <c:f>'Inscritos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('Inscritos uni'!$Z$28,'Inscritos uni'!$AC$28,'Inscritos uni'!$AF$28,'Inscritos uni'!$AI$28,'Inscritos uni'!$AL$28)</c:f>
              <c:numCache>
                <c:formatCode>#,##0</c:formatCode>
                <c:ptCount val="5"/>
                <c:pt idx="0">
                  <c:v>621</c:v>
                </c:pt>
                <c:pt idx="1">
                  <c:v>641</c:v>
                </c:pt>
                <c:pt idx="2">
                  <c:v>631</c:v>
                </c:pt>
                <c:pt idx="3">
                  <c:v>635</c:v>
                </c:pt>
                <c:pt idx="4">
                  <c:v>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B-4895-978E-B27E1FB7E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648576"/>
        <c:axId val="112650112"/>
      </c:lineChart>
      <c:catAx>
        <c:axId val="11264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2650112"/>
        <c:crosses val="autoZero"/>
        <c:auto val="1"/>
        <c:lblAlgn val="ctr"/>
        <c:lblOffset val="100"/>
        <c:noMultiLvlLbl val="0"/>
      </c:catAx>
      <c:valAx>
        <c:axId val="11265011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264857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Aspirantes</a:t>
            </a:r>
            <a:r>
              <a:rPr lang="es-MX" sz="1200" b="0" i="1" baseline="0"/>
              <a:t> a licenciatura por género</a:t>
            </a:r>
            <a:endParaRPr lang="es-MX" sz="1200" b="0" i="1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'Asp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gen'!$Q$41:$Q$51,'Asp x gen'!$Q$52)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('Asp x gen'!$C$37,'Asp x gen'!$F$37,'Asp x gen'!$I$37,'Asp x gen'!$L$37,'Asp x gen'!$O$37,'Asp x gen'!$R$37,'Asp x gen'!$U$37,'Asp x gen'!$X$37,'Asp x gen'!$AA$37,'Asp x gen'!$AD$37,'Asp x gen'!$AG$37,'Asp x gen'!$AJ$37)</c:f>
              <c:numCache>
                <c:formatCode>#,##0</c:formatCode>
                <c:ptCount val="12"/>
                <c:pt idx="0">
                  <c:v>30697</c:v>
                </c:pt>
                <c:pt idx="1">
                  <c:v>32320</c:v>
                </c:pt>
                <c:pt idx="2">
                  <c:v>35147</c:v>
                </c:pt>
                <c:pt idx="3">
                  <c:v>38053</c:v>
                </c:pt>
                <c:pt idx="4">
                  <c:v>41577</c:v>
                </c:pt>
                <c:pt idx="5">
                  <c:v>42701</c:v>
                </c:pt>
                <c:pt idx="6">
                  <c:v>46619</c:v>
                </c:pt>
                <c:pt idx="7">
                  <c:v>47411</c:v>
                </c:pt>
                <c:pt idx="8">
                  <c:v>46359</c:v>
                </c:pt>
                <c:pt idx="9">
                  <c:v>50302</c:v>
                </c:pt>
                <c:pt idx="10">
                  <c:v>51182</c:v>
                </c:pt>
                <c:pt idx="11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1-4367-B1E7-EE8E4C45273E}"/>
            </c:ext>
          </c:extLst>
        </c:ser>
        <c:ser>
          <c:idx val="1"/>
          <c:order val="1"/>
          <c:tx>
            <c:strRef>
              <c:f>'Asp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gen'!$Q$41:$Q$51,'Asp x gen'!$Q$52)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('Asp x gen'!$D$37,'Asp x gen'!$G$37,'Asp x gen'!$J$37,'Asp x gen'!$M$37,'Asp x gen'!$P$37,'Asp x gen'!$S$37,'Asp x gen'!$V$37,'Asp x gen'!$Y$37,'Asp x gen'!$AB$37,'Asp x gen'!$AE$37,'Asp x gen'!$AH$37,'Asp x gen'!$AK$37)</c:f>
              <c:numCache>
                <c:formatCode>#,##0</c:formatCode>
                <c:ptCount val="12"/>
                <c:pt idx="0">
                  <c:v>25838</c:v>
                </c:pt>
                <c:pt idx="1">
                  <c:v>27263</c:v>
                </c:pt>
                <c:pt idx="2">
                  <c:v>30048</c:v>
                </c:pt>
                <c:pt idx="3">
                  <c:v>31937</c:v>
                </c:pt>
                <c:pt idx="4">
                  <c:v>35414</c:v>
                </c:pt>
                <c:pt idx="5">
                  <c:v>36326</c:v>
                </c:pt>
                <c:pt idx="6">
                  <c:v>40450</c:v>
                </c:pt>
                <c:pt idx="7">
                  <c:v>40707</c:v>
                </c:pt>
                <c:pt idx="8">
                  <c:v>39794</c:v>
                </c:pt>
                <c:pt idx="9">
                  <c:v>42388</c:v>
                </c:pt>
                <c:pt idx="10">
                  <c:v>42570</c:v>
                </c:pt>
                <c:pt idx="11">
                  <c:v>41679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1-4367-B1E7-EE8E4C45273E}"/>
            </c:ext>
          </c:extLst>
        </c:ser>
        <c:ser>
          <c:idx val="2"/>
          <c:order val="2"/>
          <c:tx>
            <c:strRef>
              <c:f>'Asp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('Asp x gen'!$Q$41:$Q$51,'Asp x gen'!$Q$52)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('Asp x gen'!$E$37,'Asp x gen'!$H$37,'Asp x gen'!$K$37,'Asp x gen'!$N$37,'Asp x gen'!$Q$37,'Asp x gen'!$T$37,'Asp x gen'!$W$37,'Asp x gen'!$Z$37,'Asp x gen'!$AC$37,'Asp x gen'!$AF$37,'Asp x gen'!$AI$37,'Asp x gen'!$AL$37)</c:f>
              <c:numCache>
                <c:formatCode>#,##0</c:formatCode>
                <c:ptCount val="12"/>
                <c:pt idx="0">
                  <c:v>56535</c:v>
                </c:pt>
                <c:pt idx="1">
                  <c:v>59583</c:v>
                </c:pt>
                <c:pt idx="2">
                  <c:v>65195</c:v>
                </c:pt>
                <c:pt idx="3">
                  <c:v>69990</c:v>
                </c:pt>
                <c:pt idx="4">
                  <c:v>76991</c:v>
                </c:pt>
                <c:pt idx="5">
                  <c:v>79027</c:v>
                </c:pt>
                <c:pt idx="6">
                  <c:v>87069</c:v>
                </c:pt>
                <c:pt idx="7">
                  <c:v>88118</c:v>
                </c:pt>
                <c:pt idx="8">
                  <c:v>86153</c:v>
                </c:pt>
                <c:pt idx="9">
                  <c:v>92690</c:v>
                </c:pt>
                <c:pt idx="10">
                  <c:v>93752</c:v>
                </c:pt>
                <c:pt idx="11">
                  <c:v>93007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1-4367-B1E7-EE8E4C45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0117248"/>
        <c:axId val="90118784"/>
      </c:lineChart>
      <c:catAx>
        <c:axId val="9011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0118784"/>
        <c:crosses val="autoZero"/>
        <c:auto val="1"/>
        <c:lblAlgn val="ctr"/>
        <c:lblOffset val="100"/>
        <c:noMultiLvlLbl val="0"/>
      </c:catAx>
      <c:valAx>
        <c:axId val="901187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90117248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7.2002564230802646E-2"/>
          <c:y val="7.635366419942298E-2"/>
          <c:w val="0.14301539692628423"/>
          <c:h val="0.16518458653580209"/>
        </c:manualLayout>
      </c:layout>
      <c:overlay val="1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Estado laboral de los inscritos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SE'!$B$4</c:f>
              <c:strCache>
                <c:ptCount val="1"/>
                <c:pt idx="0">
                  <c:v>No trabajan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55-444D-8607-04E4DB2440BA}"/>
                </c:ext>
              </c:extLst>
            </c:dLbl>
            <c:dLbl>
              <c:idx val="1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55-444D-8607-04E4DB2440BA}"/>
                </c:ext>
              </c:extLst>
            </c:dLbl>
            <c:dLbl>
              <c:idx val="2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55-444D-8607-04E4DB2440BA}"/>
                </c:ext>
              </c:extLst>
            </c:dLbl>
            <c:dLbl>
              <c:idx val="3"/>
              <c:layout>
                <c:manualLayout>
                  <c:x val="8.39536668306444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55-444D-8607-04E4DB2440BA}"/>
                </c:ext>
              </c:extLst>
            </c:dLbl>
            <c:dLbl>
              <c:idx val="4"/>
              <c:layout>
                <c:manualLayout>
                  <c:x val="4.1976833415321695E-3"/>
                  <c:y val="-5.12820512820512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55-444D-8607-04E4DB2440BA}"/>
                </c:ext>
              </c:extLst>
            </c:dLbl>
            <c:dLbl>
              <c:idx val="5"/>
              <c:layout>
                <c:manualLayout>
                  <c:x val="5.59691112204296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55-444D-8607-04E4DB2440BA}"/>
                </c:ext>
              </c:extLst>
            </c:dLbl>
            <c:dLbl>
              <c:idx val="6"/>
              <c:layout>
                <c:manualLayout>
                  <c:x val="5.5969111220429604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55-444D-8607-04E4DB2440BA}"/>
                </c:ext>
              </c:extLst>
            </c:dLbl>
            <c:dLbl>
              <c:idx val="7"/>
              <c:layout>
                <c:manualLayout>
                  <c:x val="8.39536668306433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55-444D-8607-04E4DB2440BA}"/>
                </c:ext>
              </c:extLst>
            </c:dLbl>
            <c:dLbl>
              <c:idx val="8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55-444D-8607-04E4DB2440BA}"/>
                </c:ext>
              </c:extLst>
            </c:dLbl>
            <c:dLbl>
              <c:idx val="9"/>
              <c:layout>
                <c:manualLayout>
                  <c:x val="5.596911122042960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55-444D-8607-04E4DB2440BA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55-444D-8607-04E4DB2440BA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55-444D-8607-04E4DB2440BA}"/>
                </c:ext>
              </c:extLst>
            </c:dLbl>
            <c:dLbl>
              <c:idx val="12"/>
              <c:layout>
                <c:manualLayout>
                  <c:x val="6.9961389025537009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SE'!$E$4:$N$4,'Inscritos SE'!$O$4,'Inscritos SE'!$P$4,'Inscritos SE'!$AA$4)</c:f>
              <c:numCache>
                <c:formatCode>0%</c:formatCode>
                <c:ptCount val="13"/>
                <c:pt idx="0">
                  <c:v>0.63124806760795626</c:v>
                </c:pt>
                <c:pt idx="1">
                  <c:v>0.61490420239229382</c:v>
                </c:pt>
                <c:pt idx="2">
                  <c:v>0.62113289760348589</c:v>
                </c:pt>
                <c:pt idx="3">
                  <c:v>0.59876810028095961</c:v>
                </c:pt>
                <c:pt idx="4">
                  <c:v>0.63076278290025145</c:v>
                </c:pt>
                <c:pt idx="5">
                  <c:v>0.64</c:v>
                </c:pt>
                <c:pt idx="6">
                  <c:v>0.64</c:v>
                </c:pt>
                <c:pt idx="7">
                  <c:v>0.64</c:v>
                </c:pt>
                <c:pt idx="8">
                  <c:v>0.64400000000000002</c:v>
                </c:pt>
                <c:pt idx="9">
                  <c:v>0.65800000000000003</c:v>
                </c:pt>
                <c:pt idx="10">
                  <c:v>0.67300000000000004</c:v>
                </c:pt>
                <c:pt idx="11">
                  <c:v>0.67300000000000004</c:v>
                </c:pt>
                <c:pt idx="12">
                  <c:v>0.66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C55-444D-8607-04E4DB2440BA}"/>
            </c:ext>
          </c:extLst>
        </c:ser>
        <c:ser>
          <c:idx val="1"/>
          <c:order val="1"/>
          <c:tx>
            <c:strRef>
              <c:f>'Inscritos SE'!$B$5</c:f>
              <c:strCache>
                <c:ptCount val="1"/>
                <c:pt idx="0">
                  <c:v>Trabajan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19768334153220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55-444D-8607-04E4DB2440BA}"/>
                </c:ext>
              </c:extLst>
            </c:dLbl>
            <c:dLbl>
              <c:idx val="1"/>
              <c:layout>
                <c:manualLayout>
                  <c:x val="4.19768334153219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55-444D-8607-04E4DB2440BA}"/>
                </c:ext>
              </c:extLst>
            </c:dLbl>
            <c:dLbl>
              <c:idx val="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55-444D-8607-04E4DB2440BA}"/>
                </c:ext>
              </c:extLst>
            </c:dLbl>
            <c:dLbl>
              <c:idx val="3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55-444D-8607-04E4DB2440BA}"/>
                </c:ext>
              </c:extLst>
            </c:dLbl>
            <c:dLbl>
              <c:idx val="4"/>
              <c:layout>
                <c:manualLayout>
                  <c:x val="4.19768334153216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55-444D-8607-04E4DB2440BA}"/>
                </c:ext>
              </c:extLst>
            </c:dLbl>
            <c:dLbl>
              <c:idx val="5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55-444D-8607-04E4DB2440BA}"/>
                </c:ext>
              </c:extLst>
            </c:dLbl>
            <c:dLbl>
              <c:idx val="6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55-444D-8607-04E4DB2440BA}"/>
                </c:ext>
              </c:extLst>
            </c:dLbl>
            <c:dLbl>
              <c:idx val="7"/>
              <c:layout>
                <c:manualLayout>
                  <c:x val="5.5969111220428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55-444D-8607-04E4DB2440BA}"/>
                </c:ext>
              </c:extLst>
            </c:dLbl>
            <c:dLbl>
              <c:idx val="8"/>
              <c:layout>
                <c:manualLayout>
                  <c:x val="4.19768334153222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55-444D-8607-04E4DB2440BA}"/>
                </c:ext>
              </c:extLst>
            </c:dLbl>
            <c:dLbl>
              <c:idx val="9"/>
              <c:layout>
                <c:manualLayout>
                  <c:x val="6.9961389025537009E-3"/>
                  <c:y val="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55-444D-8607-04E4DB2440BA}"/>
                </c:ext>
              </c:extLst>
            </c:dLbl>
            <c:dLbl>
              <c:idx val="10"/>
              <c:layout>
                <c:manualLayout>
                  <c:x val="5.59691112204306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55-444D-8607-04E4DB2440BA}"/>
                </c:ext>
              </c:extLst>
            </c:dLbl>
            <c:dLbl>
              <c:idx val="11"/>
              <c:layout>
                <c:manualLayout>
                  <c:x val="4.19768334153211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55-444D-8607-04E4DB2440BA}"/>
                </c:ext>
              </c:extLst>
            </c:dLbl>
            <c:dLbl>
              <c:idx val="12"/>
              <c:layout>
                <c:manualLayout>
                  <c:x val="6.99613890255370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55-444D-8607-04E4DB2440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SE'!$E$5:$N$5,'Inscritos SE'!$O$5,'Inscritos SE'!$P$5,'Inscritos SE'!$AA$5)</c:f>
              <c:numCache>
                <c:formatCode>0%</c:formatCode>
                <c:ptCount val="13"/>
                <c:pt idx="0">
                  <c:v>0.36875193239204368</c:v>
                </c:pt>
                <c:pt idx="1">
                  <c:v>0.38509579760770613</c:v>
                </c:pt>
                <c:pt idx="2">
                  <c:v>0.37886710239651417</c:v>
                </c:pt>
                <c:pt idx="3">
                  <c:v>0.40123189971904044</c:v>
                </c:pt>
                <c:pt idx="4">
                  <c:v>0.36923721709974855</c:v>
                </c:pt>
                <c:pt idx="5">
                  <c:v>0.36</c:v>
                </c:pt>
                <c:pt idx="6">
                  <c:v>0.36</c:v>
                </c:pt>
                <c:pt idx="7">
                  <c:v>0.36</c:v>
                </c:pt>
                <c:pt idx="8">
                  <c:v>0.35599999999999998</c:v>
                </c:pt>
                <c:pt idx="9">
                  <c:v>0.34200000000000003</c:v>
                </c:pt>
                <c:pt idx="10">
                  <c:v>0.32700000000000001</c:v>
                </c:pt>
                <c:pt idx="11">
                  <c:v>0.32700000000000001</c:v>
                </c:pt>
                <c:pt idx="12">
                  <c:v>0.34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C55-444D-8607-04E4DB244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0395392"/>
        <c:axId val="110396928"/>
        <c:axId val="0"/>
      </c:bar3DChart>
      <c:catAx>
        <c:axId val="1103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396928"/>
        <c:crosses val="autoZero"/>
        <c:auto val="1"/>
        <c:lblAlgn val="ctr"/>
        <c:lblOffset val="100"/>
        <c:noMultiLvlLbl val="0"/>
      </c:catAx>
      <c:valAx>
        <c:axId val="1103969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03953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1" i="0" baseline="0">
                <a:effectLst/>
              </a:rPr>
              <a:t>Tipo de trabajo de los inscritos</a:t>
            </a:r>
            <a:endParaRPr lang="es-MX" sz="14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'Inscritos SE'!$B$7</c:f>
              <c:strCache>
                <c:ptCount val="1"/>
                <c:pt idx="0">
                  <c:v>Permanente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B-4CA1-AB24-C37F4D729ED4}"/>
                </c:ext>
              </c:extLst>
            </c:dLbl>
            <c:dLbl>
              <c:idx val="2"/>
              <c:layout>
                <c:manualLayout>
                  <c:x val="4.2872444799476536E-3"/>
                  <c:y val="-2.564102564102658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B-4CA1-AB24-C37F4D729ED4}"/>
                </c:ext>
              </c:extLst>
            </c:dLbl>
            <c:dLbl>
              <c:idx val="3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B-4CA1-AB24-C37F4D729ED4}"/>
                </c:ext>
              </c:extLst>
            </c:dLbl>
            <c:dLbl>
              <c:idx val="4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B-4CA1-AB24-C37F4D729ED4}"/>
                </c:ext>
              </c:extLst>
            </c:dLbl>
            <c:dLbl>
              <c:idx val="5"/>
              <c:layout>
                <c:manualLayout>
                  <c:x val="5.71632597326352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B-4CA1-AB24-C37F4D729ED4}"/>
                </c:ext>
              </c:extLst>
            </c:dLbl>
            <c:dLbl>
              <c:idx val="6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B-4CA1-AB24-C37F4D729ED4}"/>
                </c:ext>
              </c:extLst>
            </c:dLbl>
            <c:dLbl>
              <c:idx val="7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B-4CA1-AB24-C37F4D729ED4}"/>
                </c:ext>
              </c:extLst>
            </c:dLbl>
            <c:dLbl>
              <c:idx val="8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B-4CA1-AB24-C37F4D729ED4}"/>
                </c:ext>
              </c:extLst>
            </c:dLbl>
            <c:dLbl>
              <c:idx val="9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B-4CA1-AB24-C37F4D729ED4}"/>
                </c:ext>
              </c:extLst>
            </c:dLbl>
            <c:dLbl>
              <c:idx val="10"/>
              <c:layout>
                <c:manualLayout>
                  <c:x val="5.7163259732635734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B-4CA1-AB24-C37F4D729ED4}"/>
                </c:ext>
              </c:extLst>
            </c:dLbl>
            <c:dLbl>
              <c:idx val="11"/>
              <c:layout>
                <c:manualLayout>
                  <c:x val="4.2872444799475747E-3"/>
                  <c:y val="-9.4016007936147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B-4CA1-AB24-C37F4D729ED4}"/>
                </c:ext>
              </c:extLst>
            </c:dLbl>
            <c:dLbl>
              <c:idx val="12"/>
              <c:layout>
                <c:manualLayout>
                  <c:x val="7.1454074665794664E-3"/>
                  <c:y val="2.564102564102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SE'!$E$7:$N$7,'Inscritos SE'!$O$7,'Inscritos SE'!$P$7,'Inscritos SE'!$AA$7)</c:f>
              <c:numCache>
                <c:formatCode>0%</c:formatCode>
                <c:ptCount val="13"/>
                <c:pt idx="0">
                  <c:v>0.38680827277808832</c:v>
                </c:pt>
                <c:pt idx="1">
                  <c:v>0.38812534359538209</c:v>
                </c:pt>
                <c:pt idx="2">
                  <c:v>0.36831512363427255</c:v>
                </c:pt>
                <c:pt idx="3">
                  <c:v>0.37678427147858873</c:v>
                </c:pt>
                <c:pt idx="4">
                  <c:v>0.36152099886492622</c:v>
                </c:pt>
                <c:pt idx="5">
                  <c:v>0.33333333333333331</c:v>
                </c:pt>
                <c:pt idx="6">
                  <c:v>0.33333333333333331</c:v>
                </c:pt>
                <c:pt idx="7">
                  <c:v>0.33333333333333331</c:v>
                </c:pt>
                <c:pt idx="8">
                  <c:v>0.32303370786516855</c:v>
                </c:pt>
                <c:pt idx="9">
                  <c:v>0.30701754385964908</c:v>
                </c:pt>
                <c:pt idx="10">
                  <c:v>0.31</c:v>
                </c:pt>
                <c:pt idx="11">
                  <c:v>0.28999999999999998</c:v>
                </c:pt>
                <c:pt idx="12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2B-4CA1-AB24-C37F4D729ED4}"/>
            </c:ext>
          </c:extLst>
        </c:ser>
        <c:ser>
          <c:idx val="1"/>
          <c:order val="1"/>
          <c:tx>
            <c:strRef>
              <c:f>'Inscritos SE'!$B$11</c:f>
              <c:strCache>
                <c:ptCount val="1"/>
                <c:pt idx="0">
                  <c:v>Eventual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8724447994767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B-4CA1-AB24-C37F4D729ED4}"/>
                </c:ext>
              </c:extLst>
            </c:dLbl>
            <c:dLbl>
              <c:idx val="1"/>
              <c:layout>
                <c:manualLayout>
                  <c:x val="4.28724447994765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B-4CA1-AB24-C37F4D729ED4}"/>
                </c:ext>
              </c:extLst>
            </c:dLbl>
            <c:dLbl>
              <c:idx val="2"/>
              <c:layout>
                <c:manualLayout>
                  <c:x val="5.71632597326354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B-4CA1-AB24-C37F4D729ED4}"/>
                </c:ext>
              </c:extLst>
            </c:dLbl>
            <c:dLbl>
              <c:idx val="3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B-4CA1-AB24-C37F4D729ED4}"/>
                </c:ext>
              </c:extLst>
            </c:dLbl>
            <c:dLbl>
              <c:idx val="4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B-4CA1-AB24-C37F4D729ED4}"/>
                </c:ext>
              </c:extLst>
            </c:dLbl>
            <c:dLbl>
              <c:idx val="5"/>
              <c:layout>
                <c:manualLayout>
                  <c:x val="5.7163259732635205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B-4CA1-AB24-C37F4D729ED4}"/>
                </c:ext>
              </c:extLst>
            </c:dLbl>
            <c:dLbl>
              <c:idx val="6"/>
              <c:layout>
                <c:manualLayout>
                  <c:x val="7.1454074665794664E-3"/>
                  <c:y val="-2.56410256410261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B-4CA1-AB24-C37F4D729ED4}"/>
                </c:ext>
              </c:extLst>
            </c:dLbl>
            <c:dLbl>
              <c:idx val="7"/>
              <c:layout>
                <c:manualLayout>
                  <c:x val="4.2872444799476796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B-4CA1-AB24-C37F4D729ED4}"/>
                </c:ext>
              </c:extLst>
            </c:dLbl>
            <c:dLbl>
              <c:idx val="8"/>
              <c:layout>
                <c:manualLayout>
                  <c:x val="5.71632597326357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B-4CA1-AB24-C37F4D729ED4}"/>
                </c:ext>
              </c:extLst>
            </c:dLbl>
            <c:dLbl>
              <c:idx val="9"/>
              <c:layout>
                <c:manualLayout>
                  <c:x val="4.2872444799475747E-3"/>
                  <c:y val="-2.56410256410256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B-4CA1-AB24-C37F4D729ED4}"/>
                </c:ext>
              </c:extLst>
            </c:dLbl>
            <c:dLbl>
              <c:idx val="10"/>
              <c:layout>
                <c:manualLayout>
                  <c:x val="5.716325973263573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B-4CA1-AB24-C37F4D729ED4}"/>
                </c:ext>
              </c:extLst>
            </c:dLbl>
            <c:dLbl>
              <c:idx val="11"/>
              <c:layout>
                <c:manualLayout>
                  <c:x val="7.1454074665794664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B-4CA1-AB24-C37F4D729ED4}"/>
                </c:ext>
              </c:extLst>
            </c:dLbl>
            <c:dLbl>
              <c:idx val="12"/>
              <c:layout>
                <c:manualLayout>
                  <c:x val="4.2872444799475747E-3"/>
                  <c:y val="-4.70080039680738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B-4CA1-AB24-C37F4D729E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SE'!$E$11:$N$11,'Inscritos SE'!$O$11,'Inscritos SE'!$P$11,'Inscritos SE'!$AA$11)</c:f>
              <c:numCache>
                <c:formatCode>0%</c:formatCode>
                <c:ptCount val="13"/>
                <c:pt idx="0">
                  <c:v>0.61319172722191173</c:v>
                </c:pt>
                <c:pt idx="1">
                  <c:v>0.61187465640461791</c:v>
                </c:pt>
                <c:pt idx="2">
                  <c:v>0.63168487636572745</c:v>
                </c:pt>
                <c:pt idx="3">
                  <c:v>0.62321572852141127</c:v>
                </c:pt>
                <c:pt idx="4">
                  <c:v>0.63847900113507383</c:v>
                </c:pt>
                <c:pt idx="5">
                  <c:v>0.66666666666666663</c:v>
                </c:pt>
                <c:pt idx="6">
                  <c:v>0.66666666666666663</c:v>
                </c:pt>
                <c:pt idx="7">
                  <c:v>0.66666666666666663</c:v>
                </c:pt>
                <c:pt idx="8">
                  <c:v>0.6769662921348315</c:v>
                </c:pt>
                <c:pt idx="9">
                  <c:v>0.69298245614035081</c:v>
                </c:pt>
                <c:pt idx="10">
                  <c:v>0.69</c:v>
                </c:pt>
                <c:pt idx="11">
                  <c:v>0.71</c:v>
                </c:pt>
                <c:pt idx="12">
                  <c:v>0.71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C2B-4CA1-AB24-C37F4D729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2144256"/>
        <c:axId val="110567424"/>
        <c:axId val="0"/>
      </c:bar3DChart>
      <c:catAx>
        <c:axId val="10214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567424"/>
        <c:crosses val="autoZero"/>
        <c:auto val="1"/>
        <c:lblAlgn val="ctr"/>
        <c:lblOffset val="100"/>
        <c:noMultiLvlLbl val="0"/>
      </c:catAx>
      <c:valAx>
        <c:axId val="11056742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021442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del Padre de</a:t>
            </a:r>
            <a:r>
              <a:rPr lang="es-MX" sz="1400" b="1" i="0" baseline="0"/>
              <a:t> los inscritos</a:t>
            </a:r>
            <a:endParaRPr lang="es-MX" sz="1400" b="1" i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3266215960652332E-2"/>
          <c:y val="9.9159752407513277E-2"/>
          <c:w val="0.96062640375889607"/>
          <c:h val="0.70833270316024244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SE'!$B$22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FC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SE'!$E$22:$N$22,'Inscritos SE'!$O$22,'Inscritos SE'!$P$22,'Inscritos SE'!$AA$22)</c:f>
              <c:numCache>
                <c:formatCode>0%</c:formatCode>
                <c:ptCount val="13"/>
                <c:pt idx="0">
                  <c:v>2.1999999999999999E-2</c:v>
                </c:pt>
                <c:pt idx="1">
                  <c:v>2.4E-2</c:v>
                </c:pt>
                <c:pt idx="2">
                  <c:v>2.4E-2</c:v>
                </c:pt>
                <c:pt idx="3">
                  <c:v>0.03</c:v>
                </c:pt>
                <c:pt idx="4">
                  <c:v>0.03</c:v>
                </c:pt>
                <c:pt idx="5">
                  <c:v>0.03</c:v>
                </c:pt>
                <c:pt idx="6">
                  <c:v>0.03</c:v>
                </c:pt>
                <c:pt idx="7">
                  <c:v>0.03</c:v>
                </c:pt>
                <c:pt idx="8">
                  <c:v>3.7999999999999999E-2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78-4D7C-8A5D-290736907538}"/>
            </c:ext>
          </c:extLst>
        </c:ser>
        <c:ser>
          <c:idx val="1"/>
          <c:order val="1"/>
          <c:tx>
            <c:strRef>
              <c:f>'Inscritos SE'!$B$23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8-4D7C-8A5D-290736907538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8-4D7C-8A5D-290736907538}"/>
                </c:ext>
              </c:extLst>
            </c:dLbl>
            <c:dLbl>
              <c:idx val="3"/>
              <c:layout>
                <c:manualLayout>
                  <c:x val="-2.93781423836048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8-4D7C-8A5D-290736907538}"/>
                </c:ext>
              </c:extLst>
            </c:dLbl>
            <c:dLbl>
              <c:idx val="10"/>
              <c:layout>
                <c:manualLayout>
                  <c:x val="-2.7588433463554621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8-4D7C-8A5D-290736907538}"/>
                </c:ext>
              </c:extLst>
            </c:dLbl>
            <c:dLbl>
              <c:idx val="11"/>
              <c:layout>
                <c:manualLayout>
                  <c:x val="-2.3260738946404153E-2"/>
                  <c:y val="-2.9447096755675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8-4D7C-8A5D-290736907538}"/>
                </c:ext>
              </c:extLst>
            </c:dLbl>
            <c:dLbl>
              <c:idx val="12"/>
              <c:layout>
                <c:manualLayout>
                  <c:x val="-2.4677777213689824E-2"/>
                  <c:y val="-2.2156695783622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SE'!$E$23:$N$23,'Inscritos SE'!$O$23,'Inscritos SE'!$P$23,'Inscritos SE'!$AA$23)</c:f>
              <c:numCache>
                <c:formatCode>0%</c:formatCode>
                <c:ptCount val="13"/>
                <c:pt idx="0">
                  <c:v>0.20499999999999999</c:v>
                </c:pt>
                <c:pt idx="1">
                  <c:v>0.20300000000000001</c:v>
                </c:pt>
                <c:pt idx="2">
                  <c:v>0.19500000000000001</c:v>
                </c:pt>
                <c:pt idx="3">
                  <c:v>0.18</c:v>
                </c:pt>
                <c:pt idx="4">
                  <c:v>0.17</c:v>
                </c:pt>
                <c:pt idx="5">
                  <c:v>0.17</c:v>
                </c:pt>
                <c:pt idx="6">
                  <c:v>0.16</c:v>
                </c:pt>
                <c:pt idx="7">
                  <c:v>0.15</c:v>
                </c:pt>
                <c:pt idx="8">
                  <c:v>0.13600000000000001</c:v>
                </c:pt>
                <c:pt idx="9">
                  <c:v>0.13</c:v>
                </c:pt>
                <c:pt idx="10">
                  <c:v>0.12</c:v>
                </c:pt>
                <c:pt idx="11">
                  <c:v>0.11</c:v>
                </c:pt>
                <c:pt idx="12">
                  <c:v>0.11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78-4D7C-8A5D-290736907538}"/>
            </c:ext>
          </c:extLst>
        </c:ser>
        <c:ser>
          <c:idx val="2"/>
          <c:order val="2"/>
          <c:tx>
            <c:strRef>
              <c:f>'Inscritos SE'!$B$24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93781423836048E-2"/>
                  <c:y val="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8-4D7C-8A5D-290736907538}"/>
                </c:ext>
              </c:extLst>
            </c:dLbl>
            <c:dLbl>
              <c:idx val="1"/>
              <c:layout>
                <c:manualLayout>
                  <c:x val="-2.93781423836048E-2"/>
                  <c:y val="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SE'!$E$24:$N$24,'Inscritos SE'!$O$24,'Inscritos SE'!$P$24,'Inscritos SE'!$AA$24)</c:f>
              <c:numCache>
                <c:formatCode>0%</c:formatCode>
                <c:ptCount val="13"/>
                <c:pt idx="0">
                  <c:v>0.20100000000000001</c:v>
                </c:pt>
                <c:pt idx="1">
                  <c:v>0.19500000000000001</c:v>
                </c:pt>
                <c:pt idx="2">
                  <c:v>0.2</c:v>
                </c:pt>
                <c:pt idx="3">
                  <c:v>0.21</c:v>
                </c:pt>
                <c:pt idx="4">
                  <c:v>0.21</c:v>
                </c:pt>
                <c:pt idx="5">
                  <c:v>0.22</c:v>
                </c:pt>
                <c:pt idx="6">
                  <c:v>0.22</c:v>
                </c:pt>
                <c:pt idx="7">
                  <c:v>0.24</c:v>
                </c:pt>
                <c:pt idx="8">
                  <c:v>0.222</c:v>
                </c:pt>
                <c:pt idx="9">
                  <c:v>0.23</c:v>
                </c:pt>
                <c:pt idx="10">
                  <c:v>0.23</c:v>
                </c:pt>
                <c:pt idx="11">
                  <c:v>0.23</c:v>
                </c:pt>
                <c:pt idx="12">
                  <c:v>0.23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478-4D7C-8A5D-290736907538}"/>
            </c:ext>
          </c:extLst>
        </c:ser>
        <c:ser>
          <c:idx val="3"/>
          <c:order val="3"/>
          <c:tx>
            <c:strRef>
              <c:f>'Inscritos SE'!$B$25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6382483809592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8-4D7C-8A5D-290736907538}"/>
                </c:ext>
              </c:extLst>
            </c:dLbl>
            <c:dLbl>
              <c:idx val="1"/>
              <c:layout>
                <c:manualLayout>
                  <c:x val="-2.579872454350444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8-4D7C-8A5D-290736907538}"/>
                </c:ext>
              </c:extLst>
            </c:dLbl>
            <c:dLbl>
              <c:idx val="8"/>
              <c:layout>
                <c:manualLayout>
                  <c:x val="-2.216998401663104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8-4D7C-8A5D-290736907538}"/>
                </c:ext>
              </c:extLst>
            </c:dLbl>
            <c:dLbl>
              <c:idx val="9"/>
              <c:layout>
                <c:manualLayout>
                  <c:x val="-2.3959692936681227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78-4D7C-8A5D-290736907538}"/>
                </c:ext>
              </c:extLst>
            </c:dLbl>
            <c:dLbl>
              <c:idx val="11"/>
              <c:layout>
                <c:manualLayout>
                  <c:x val="-1.4758509342689505E-2"/>
                  <c:y val="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8-4D7C-8A5D-290736907538}"/>
                </c:ext>
              </c:extLst>
            </c:dLbl>
            <c:dLbl>
              <c:idx val="12"/>
              <c:layout>
                <c:manualLayout>
                  <c:x val="-1.8970683486650552E-2"/>
                  <c:y val="1.486629481156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SE'!$E$25:$N$25,'Inscritos SE'!$O$25,'Inscritos SE'!$P$25,'Inscritos SE'!$AA$25)</c:f>
              <c:numCache>
                <c:formatCode>0%</c:formatCode>
                <c:ptCount val="13"/>
                <c:pt idx="0">
                  <c:v>0.1</c:v>
                </c:pt>
                <c:pt idx="1">
                  <c:v>0.10199999999999999</c:v>
                </c:pt>
                <c:pt idx="2">
                  <c:v>9.7000000000000003E-2</c:v>
                </c:pt>
                <c:pt idx="3">
                  <c:v>0.09</c:v>
                </c:pt>
                <c:pt idx="4">
                  <c:v>0.09</c:v>
                </c:pt>
                <c:pt idx="5">
                  <c:v>0.1</c:v>
                </c:pt>
                <c:pt idx="6">
                  <c:v>0.09</c:v>
                </c:pt>
                <c:pt idx="7">
                  <c:v>0.09</c:v>
                </c:pt>
                <c:pt idx="8">
                  <c:v>9.1999999999999998E-2</c:v>
                </c:pt>
                <c:pt idx="9">
                  <c:v>0.09</c:v>
                </c:pt>
                <c:pt idx="10">
                  <c:v>0.08</c:v>
                </c:pt>
                <c:pt idx="11">
                  <c:v>0.1</c:v>
                </c:pt>
                <c:pt idx="12">
                  <c:v>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78-4D7C-8A5D-290736907538}"/>
            </c:ext>
          </c:extLst>
        </c:ser>
        <c:ser>
          <c:idx val="4"/>
          <c:order val="4"/>
          <c:tx>
            <c:strRef>
              <c:f>'Inscritos SE'!$B$26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4"/>
              <c:layout>
                <c:manualLayout>
                  <c:x val="-3.116785130365498E-2"/>
                  <c:y val="-3.559015962032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8-4D7C-8A5D-290736907538}"/>
                </c:ext>
              </c:extLst>
            </c:dLbl>
            <c:dLbl>
              <c:idx val="5"/>
              <c:layout>
                <c:manualLayout>
                  <c:x val="-2.758843346355462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8-4D7C-8A5D-290736907538}"/>
                </c:ext>
              </c:extLst>
            </c:dLbl>
            <c:dLbl>
              <c:idx val="6"/>
              <c:layout>
                <c:manualLayout>
                  <c:x val="-2.5798724543504441E-2"/>
                  <c:y val="1.8831588510079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8-4D7C-8A5D-290736907538}"/>
                </c:ext>
              </c:extLst>
            </c:dLbl>
            <c:dLbl>
              <c:idx val="7"/>
              <c:layout>
                <c:manualLayout>
                  <c:x val="-2.5798724543504441E-2"/>
                  <c:y val="2.5234147113656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'Inscritos SE'!$E$26:$AA$26</c:f>
              <c:numCache>
                <c:formatCode>0%</c:formatCode>
                <c:ptCount val="13"/>
                <c:pt idx="0">
                  <c:v>0.14799999999999999</c:v>
                </c:pt>
                <c:pt idx="1">
                  <c:v>0.152</c:v>
                </c:pt>
                <c:pt idx="2">
                  <c:v>0.159</c:v>
                </c:pt>
                <c:pt idx="3">
                  <c:v>0.16</c:v>
                </c:pt>
                <c:pt idx="4">
                  <c:v>0.17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0.189</c:v>
                </c:pt>
                <c:pt idx="9">
                  <c:v>0.2</c:v>
                </c:pt>
                <c:pt idx="10">
                  <c:v>0.2</c:v>
                </c:pt>
                <c:pt idx="11">
                  <c:v>0.2</c:v>
                </c:pt>
                <c:pt idx="12">
                  <c:v>0.22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78-4D7C-8A5D-290736907538}"/>
            </c:ext>
          </c:extLst>
        </c:ser>
        <c:ser>
          <c:idx val="5"/>
          <c:order val="5"/>
          <c:tx>
            <c:strRef>
              <c:f>'Inscritos SE'!$B$27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SE'!$E$27:$N$27,'Inscritos SE'!$O$27,'Inscritos SE'!$P$27,'Inscritos SE'!$AA$27)</c:f>
              <c:numCache>
                <c:formatCode>0%</c:formatCode>
                <c:ptCount val="13"/>
                <c:pt idx="0">
                  <c:v>0.28299999999999997</c:v>
                </c:pt>
                <c:pt idx="1">
                  <c:v>0.28000000000000003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0.28999999999999998</c:v>
                </c:pt>
                <c:pt idx="5">
                  <c:v>0.27</c:v>
                </c:pt>
                <c:pt idx="6">
                  <c:v>0.28000000000000003</c:v>
                </c:pt>
                <c:pt idx="7">
                  <c:v>0.27</c:v>
                </c:pt>
                <c:pt idx="8">
                  <c:v>0.28499999999999998</c:v>
                </c:pt>
                <c:pt idx="9">
                  <c:v>0.28000000000000003</c:v>
                </c:pt>
                <c:pt idx="10">
                  <c:v>0.28999999999999998</c:v>
                </c:pt>
                <c:pt idx="11">
                  <c:v>0.28999999999999998</c:v>
                </c:pt>
                <c:pt idx="12">
                  <c:v>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478-4D7C-8A5D-290736907538}"/>
            </c:ext>
          </c:extLst>
        </c:ser>
        <c:ser>
          <c:idx val="6"/>
          <c:order val="6"/>
          <c:tx>
            <c:strRef>
              <c:f>'Inscritos SE'!$B$28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8-4D7C-8A5D-290736907538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8-4D7C-8A5D-2907369075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SE'!$E$28:$N$28,'Inscritos SE'!$O$28,'Inscritos SE'!$P$28,'Inscritos SE'!$AA$28)</c:f>
              <c:numCache>
                <c:formatCode>0%</c:formatCode>
                <c:ptCount val="13"/>
                <c:pt idx="0">
                  <c:v>4.2000000000000003E-2</c:v>
                </c:pt>
                <c:pt idx="1">
                  <c:v>4.3999999999999997E-2</c:v>
                </c:pt>
                <c:pt idx="2">
                  <c:v>4.5999999999999999E-2</c:v>
                </c:pt>
                <c:pt idx="3">
                  <c:v>0.05</c:v>
                </c:pt>
                <c:pt idx="4">
                  <c:v>0.04</c:v>
                </c:pt>
                <c:pt idx="5">
                  <c:v>0.04</c:v>
                </c:pt>
                <c:pt idx="6">
                  <c:v>0.04</c:v>
                </c:pt>
                <c:pt idx="7">
                  <c:v>0.04</c:v>
                </c:pt>
                <c:pt idx="8">
                  <c:v>3.9E-2</c:v>
                </c:pt>
                <c:pt idx="9">
                  <c:v>0.04</c:v>
                </c:pt>
                <c:pt idx="10">
                  <c:v>0.05</c:v>
                </c:pt>
                <c:pt idx="11">
                  <c:v>0.04</c:v>
                </c:pt>
                <c:pt idx="12">
                  <c:v>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478-4D7C-8A5D-290736907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28736"/>
        <c:axId val="113451008"/>
      </c:lineChart>
      <c:catAx>
        <c:axId val="1134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451008"/>
        <c:crosses val="autoZero"/>
        <c:auto val="1"/>
        <c:lblAlgn val="ctr"/>
        <c:lblOffset val="100"/>
        <c:noMultiLvlLbl val="0"/>
      </c:catAx>
      <c:valAx>
        <c:axId val="1134510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428736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/>
            </a:pPr>
            <a:r>
              <a:rPr lang="es-MX" sz="1400" b="1" i="0"/>
              <a:t>Estudios de la Madre de los inscritos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581196363399559E-2"/>
          <c:y val="9.4299518756996187E-2"/>
          <c:w val="0.96062640375889607"/>
          <c:h val="0.75450521904689005"/>
        </c:manualLayout>
      </c:layout>
      <c:lineChart>
        <c:grouping val="standard"/>
        <c:varyColors val="0"/>
        <c:ser>
          <c:idx val="0"/>
          <c:order val="0"/>
          <c:tx>
            <c:strRef>
              <c:f>'Inscritos SE'!$B$29</c:f>
              <c:strCache>
                <c:ptCount val="1"/>
                <c:pt idx="0">
                  <c:v>ninguno</c:v>
                </c:pt>
              </c:strCache>
            </c:strRef>
          </c:tx>
          <c:spPr>
            <a:ln w="12700">
              <a:solidFill>
                <a:srgbClr val="FFC00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FFC000"/>
                </a:solidFill>
              </a:ln>
            </c:spPr>
          </c:marker>
          <c:dLbls>
            <c:dLbl>
              <c:idx val="7"/>
              <c:layout>
                <c:manualLayout>
                  <c:x val="-1.7817303581388895E-2"/>
                  <c:y val="1.6725442733996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24-4A30-9F3E-1E776BB0788F}"/>
                </c:ext>
              </c:extLst>
            </c:dLbl>
            <c:dLbl>
              <c:idx val="8"/>
              <c:layout>
                <c:manualLayout>
                  <c:x val="-1.7817303581388895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24-4A30-9F3E-1E776BB0788F}"/>
                </c:ext>
              </c:extLst>
            </c:dLbl>
            <c:dLbl>
              <c:idx val="9"/>
              <c:layout>
                <c:manualLayout>
                  <c:x val="-2.2132298187645744E-2"/>
                  <c:y val="-1.729642846892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24-4A30-9F3E-1E776BB0788F}"/>
                </c:ext>
              </c:extLst>
            </c:dLbl>
            <c:dLbl>
              <c:idx val="10"/>
              <c:layout>
                <c:manualLayout>
                  <c:x val="-1.6890315894979042E-2"/>
                  <c:y val="-1.8508242362778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24-4A30-9F3E-1E776BB0788F}"/>
                </c:ext>
              </c:extLst>
            </c:dLbl>
            <c:dLbl>
              <c:idx val="11"/>
              <c:layout>
                <c:manualLayout>
                  <c:x val="-1.7817303581388791E-2"/>
                  <c:y val="-1.972656212627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24-4A30-9F3E-1E776BB0788F}"/>
                </c:ext>
              </c:extLst>
            </c:dLbl>
            <c:dLbl>
              <c:idx val="12"/>
              <c:layout>
                <c:manualLayout>
                  <c:x val="-1.7817303581388895E-2"/>
                  <c:y val="-1.7296428468920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SE'!$E$29:$N$29,'Inscritos SE'!$O$29,'Inscritos SE'!$P$29,'Inscritos SE'!$AA$29)</c:f>
              <c:numCache>
                <c:formatCode>0%</c:formatCode>
                <c:ptCount val="13"/>
                <c:pt idx="0">
                  <c:v>1.7000000000000001E-2</c:v>
                </c:pt>
                <c:pt idx="1">
                  <c:v>1.4999999999999999E-2</c:v>
                </c:pt>
                <c:pt idx="2">
                  <c:v>1.6E-2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0.01</c:v>
                </c:pt>
                <c:pt idx="8">
                  <c:v>1.2999999999999999E-2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24-4A30-9F3E-1E776BB0788F}"/>
            </c:ext>
          </c:extLst>
        </c:ser>
        <c:ser>
          <c:idx val="1"/>
          <c:order val="1"/>
          <c:tx>
            <c:strRef>
              <c:f>'Inscritos SE'!$B$30</c:f>
              <c:strCache>
                <c:ptCount val="1"/>
                <c:pt idx="0">
                  <c:v>primaria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0"/>
              <c:layout>
                <c:manualLayout>
                  <c:x val="-2.5798724543504441E-2"/>
                  <c:y val="-3.87914389221116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24-4A30-9F3E-1E776BB0788F}"/>
                </c:ext>
              </c:extLst>
            </c:dLbl>
            <c:dLbl>
              <c:idx val="1"/>
              <c:layout>
                <c:manualLayout>
                  <c:x val="-2.5798724543504441E-2"/>
                  <c:y val="-3.2388880318534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24-4A30-9F3E-1E776BB0788F}"/>
                </c:ext>
              </c:extLst>
            </c:dLbl>
            <c:dLbl>
              <c:idx val="2"/>
              <c:layout>
                <c:manualLayout>
                  <c:x val="-2.579872454350441E-2"/>
                  <c:y val="-1.9583763111381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24-4A30-9F3E-1E776BB0788F}"/>
                </c:ext>
              </c:extLst>
            </c:dLbl>
            <c:dLbl>
              <c:idx val="3"/>
              <c:layout>
                <c:manualLayout>
                  <c:x val="-3.2957560223705162E-2"/>
                  <c:y val="-2.918760101674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24-4A30-9F3E-1E776BB0788F}"/>
                </c:ext>
              </c:extLst>
            </c:dLbl>
            <c:dLbl>
              <c:idx val="6"/>
              <c:layout>
                <c:manualLayout>
                  <c:x val="-2.579872454350444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24-4A30-9F3E-1E776BB0788F}"/>
                </c:ext>
              </c:extLst>
            </c:dLbl>
            <c:dLbl>
              <c:idx val="7"/>
              <c:layout>
                <c:manualLayout>
                  <c:x val="-2.5798724543504441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24-4A30-9F3E-1E776BB0788F}"/>
                </c:ext>
              </c:extLst>
            </c:dLbl>
            <c:dLbl>
              <c:idx val="8"/>
              <c:layout>
                <c:manualLayout>
                  <c:x val="-4.3695813744006239E-2"/>
                  <c:y val="-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SE'!$E$30:$N$30,'Inscritos SE'!$O$30,'Inscritos SE'!$P$30,'Inscritos SE'!$AA$30)</c:f>
              <c:numCache>
                <c:formatCode>0%</c:formatCode>
                <c:ptCount val="13"/>
                <c:pt idx="0">
                  <c:v>0.29199999999999998</c:v>
                </c:pt>
                <c:pt idx="1">
                  <c:v>0.25900000000000001</c:v>
                </c:pt>
                <c:pt idx="2">
                  <c:v>0.26100000000000001</c:v>
                </c:pt>
                <c:pt idx="3">
                  <c:v>0.25</c:v>
                </c:pt>
                <c:pt idx="4">
                  <c:v>0.23</c:v>
                </c:pt>
                <c:pt idx="5">
                  <c:v>0.23</c:v>
                </c:pt>
                <c:pt idx="6">
                  <c:v>0.22</c:v>
                </c:pt>
                <c:pt idx="7">
                  <c:v>0.21</c:v>
                </c:pt>
                <c:pt idx="8">
                  <c:v>0.192</c:v>
                </c:pt>
                <c:pt idx="9">
                  <c:v>0.17</c:v>
                </c:pt>
                <c:pt idx="10">
                  <c:v>0.16</c:v>
                </c:pt>
                <c:pt idx="11">
                  <c:v>0.15</c:v>
                </c:pt>
                <c:pt idx="12">
                  <c:v>0.14000000000000001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24-4A30-9F3E-1E776BB0788F}"/>
            </c:ext>
          </c:extLst>
        </c:ser>
        <c:ser>
          <c:idx val="2"/>
          <c:order val="2"/>
          <c:tx>
            <c:strRef>
              <c:f>'Inscritos SE'!$B$31</c:f>
              <c:strCache>
                <c:ptCount val="1"/>
                <c:pt idx="0">
                  <c:v>secundaria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3"/>
            <c:spPr>
              <a:noFill/>
            </c:spPr>
          </c:marker>
          <c:dLbls>
            <c:dLbl>
              <c:idx val="3"/>
              <c:layout>
                <c:manualLayout>
                  <c:x val="-2.5798724543504441E-2"/>
                  <c:y val="-1.8831588510079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SE'!$E$31:$N$31,'Inscritos SE'!$O$31,'Inscritos SE'!$P$31,'Inscritos SE'!$AA$31)</c:f>
              <c:numCache>
                <c:formatCode>0%</c:formatCode>
                <c:ptCount val="13"/>
                <c:pt idx="0">
                  <c:v>0.21299999999999999</c:v>
                </c:pt>
                <c:pt idx="1">
                  <c:v>0.20699999999999999</c:v>
                </c:pt>
                <c:pt idx="2">
                  <c:v>0.22</c:v>
                </c:pt>
                <c:pt idx="3">
                  <c:v>0.23</c:v>
                </c:pt>
                <c:pt idx="4">
                  <c:v>0.23</c:v>
                </c:pt>
                <c:pt idx="5">
                  <c:v>0.24</c:v>
                </c:pt>
                <c:pt idx="6">
                  <c:v>0.24</c:v>
                </c:pt>
                <c:pt idx="7">
                  <c:v>0.25</c:v>
                </c:pt>
                <c:pt idx="8">
                  <c:v>0.23699999999999999</c:v>
                </c:pt>
                <c:pt idx="9">
                  <c:v>0.24</c:v>
                </c:pt>
                <c:pt idx="10">
                  <c:v>0.25</c:v>
                </c:pt>
                <c:pt idx="11">
                  <c:v>0.25</c:v>
                </c:pt>
                <c:pt idx="12">
                  <c:v>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24-4A30-9F3E-1E776BB0788F}"/>
            </c:ext>
          </c:extLst>
        </c:ser>
        <c:ser>
          <c:idx val="3"/>
          <c:order val="3"/>
          <c:tx>
            <c:strRef>
              <c:f>'Inscritos SE'!$B$32</c:f>
              <c:strCache>
                <c:ptCount val="1"/>
                <c:pt idx="0">
                  <c:v>tecnica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1.88315885100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24-4A30-9F3E-1E776BB0788F}"/>
                </c:ext>
              </c:extLst>
            </c:dLbl>
            <c:dLbl>
              <c:idx val="1"/>
              <c:layout>
                <c:manualLayout>
                  <c:x val="-2.5798724543504441E-2"/>
                  <c:y val="-1.31812045078045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24-4A30-9F3E-1E776BB0788F}"/>
                </c:ext>
              </c:extLst>
            </c:dLbl>
            <c:dLbl>
              <c:idx val="2"/>
              <c:layout>
                <c:manualLayout>
                  <c:x val="-2.579872454350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24-4A30-9F3E-1E776BB0788F}"/>
                </c:ext>
              </c:extLst>
            </c:dLbl>
            <c:dLbl>
              <c:idx val="3"/>
              <c:layout>
                <c:manualLayout>
                  <c:x val="-2.5798724543504441E-2"/>
                  <c:y val="-1.9583763111381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24-4A30-9F3E-1E776BB0788F}"/>
                </c:ext>
              </c:extLst>
            </c:dLbl>
            <c:dLbl>
              <c:idx val="4"/>
              <c:layout>
                <c:manualLayout>
                  <c:x val="-2.5798724543504441E-2"/>
                  <c:y val="-1.6382483809593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24-4A30-9F3E-1E776BB0788F}"/>
                </c:ext>
              </c:extLst>
            </c:dLbl>
            <c:dLbl>
              <c:idx val="5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24-4A30-9F3E-1E776BB0788F}"/>
                </c:ext>
              </c:extLst>
            </c:dLbl>
            <c:dLbl>
              <c:idx val="6"/>
              <c:layout>
                <c:manualLayout>
                  <c:x val="-2.5798724543504441E-2"/>
                  <c:y val="-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24-4A30-9F3E-1E776BB0788F}"/>
                </c:ext>
              </c:extLst>
            </c:dLbl>
            <c:dLbl>
              <c:idx val="7"/>
              <c:layout>
                <c:manualLayout>
                  <c:x val="-2.5798724543504441E-2"/>
                  <c:y val="-2.59863217149580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24-4A30-9F3E-1E776BB0788F}"/>
                </c:ext>
              </c:extLst>
            </c:dLbl>
            <c:dLbl>
              <c:idx val="8"/>
              <c:layout>
                <c:manualLayout>
                  <c:x val="-3.6536978063805521E-2"/>
                  <c:y val="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24-4A30-9F3E-1E776BB0788F}"/>
                </c:ext>
              </c:extLst>
            </c:dLbl>
            <c:dLbl>
              <c:idx val="9"/>
              <c:layout>
                <c:manualLayout>
                  <c:x val="-2.0429597783353903E-2"/>
                  <c:y val="-1.6382483809592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24-4A30-9F3E-1E776BB0788F}"/>
                </c:ext>
              </c:extLst>
            </c:dLbl>
            <c:dLbl>
              <c:idx val="10"/>
              <c:layout>
                <c:manualLayout>
                  <c:x val="-1.3682989093785404E-2"/>
                  <c:y val="6.02647130292571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24-4A30-9F3E-1E776BB0788F}"/>
                </c:ext>
              </c:extLst>
            </c:dLbl>
            <c:dLbl>
              <c:idx val="11"/>
              <c:layout>
                <c:manualLayout>
                  <c:x val="-2.0733605710289343E-2"/>
                  <c:y val="1.91555763913471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SE'!$E$32:$N$32,'Inscritos SE'!$O$32,'Inscritos SE'!$P$32,'Inscritos SE'!$AA$32)</c:f>
              <c:numCache>
                <c:formatCode>0%</c:formatCode>
                <c:ptCount val="13"/>
                <c:pt idx="0">
                  <c:v>0.192</c:v>
                </c:pt>
                <c:pt idx="1">
                  <c:v>0.187</c:v>
                </c:pt>
                <c:pt idx="2">
                  <c:v>0.188</c:v>
                </c:pt>
                <c:pt idx="3">
                  <c:v>0.18</c:v>
                </c:pt>
                <c:pt idx="4">
                  <c:v>0.19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0.183</c:v>
                </c:pt>
                <c:pt idx="9">
                  <c:v>0.18</c:v>
                </c:pt>
                <c:pt idx="10">
                  <c:v>0.17</c:v>
                </c:pt>
                <c:pt idx="11">
                  <c:v>0.17</c:v>
                </c:pt>
                <c:pt idx="12">
                  <c:v>0.18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24-4A30-9F3E-1E776BB0788F}"/>
            </c:ext>
          </c:extLst>
        </c:ser>
        <c:ser>
          <c:idx val="4"/>
          <c:order val="4"/>
          <c:tx>
            <c:strRef>
              <c:f>'Inscritos SE'!$B$33</c:f>
              <c:strCache>
                <c:ptCount val="1"/>
                <c:pt idx="0">
                  <c:v>media superior</c:v>
                </c:pt>
              </c:strCache>
            </c:strRef>
          </c:tx>
          <c:spPr>
            <a:ln w="12700">
              <a:solidFill>
                <a:srgbClr val="7030A0"/>
              </a:solidFill>
            </a:ln>
          </c:spPr>
          <c:marker>
            <c:symbol val="circle"/>
            <c:size val="3"/>
            <c:spPr>
              <a:noFill/>
              <a:ln>
                <a:solidFill>
                  <a:srgbClr val="7030A0"/>
                </a:solidFill>
              </a:ln>
            </c:spPr>
          </c:marker>
          <c:dLbls>
            <c:dLbl>
              <c:idx val="10"/>
              <c:layout>
                <c:manualLayout>
                  <c:x val="-2.3439085405660916E-2"/>
                  <c:y val="-2.5986321714958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24-4A30-9F3E-1E776BB0788F}"/>
                </c:ext>
              </c:extLst>
            </c:dLbl>
            <c:dLbl>
              <c:idx val="11"/>
              <c:layout>
                <c:manualLayout>
                  <c:x val="-2.0733605710289343E-2"/>
                  <c:y val="-2.7016963098324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24-4A30-9F3E-1E776BB0788F}"/>
                </c:ext>
              </c:extLst>
            </c:dLbl>
            <c:dLbl>
              <c:idx val="12"/>
              <c:layout>
                <c:manualLayout>
                  <c:x val="-2.5048600316546193E-2"/>
                  <c:y val="9.43504176194257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7030A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SE'!$E$33:$N$33,'Inscritos SE'!$O$33,'Inscritos SE'!$P$33,'Inscritos SE'!$AA$33)</c:f>
              <c:numCache>
                <c:formatCode>0%</c:formatCode>
                <c:ptCount val="13"/>
                <c:pt idx="0">
                  <c:v>0.112</c:v>
                </c:pt>
                <c:pt idx="1">
                  <c:v>0.121</c:v>
                </c:pt>
                <c:pt idx="2">
                  <c:v>0.125</c:v>
                </c:pt>
                <c:pt idx="3">
                  <c:v>0.13</c:v>
                </c:pt>
                <c:pt idx="4">
                  <c:v>0.13</c:v>
                </c:pt>
                <c:pt idx="5">
                  <c:v>0.13</c:v>
                </c:pt>
                <c:pt idx="6">
                  <c:v>0.14000000000000001</c:v>
                </c:pt>
                <c:pt idx="7">
                  <c:v>0.15</c:v>
                </c:pt>
                <c:pt idx="8">
                  <c:v>0.154</c:v>
                </c:pt>
                <c:pt idx="9">
                  <c:v>0.17</c:v>
                </c:pt>
                <c:pt idx="10">
                  <c:v>0.17</c:v>
                </c:pt>
                <c:pt idx="11">
                  <c:v>0.17</c:v>
                </c:pt>
                <c:pt idx="12">
                  <c:v>0.19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24-4A30-9F3E-1E776BB0788F}"/>
            </c:ext>
          </c:extLst>
        </c:ser>
        <c:ser>
          <c:idx val="5"/>
          <c:order val="5"/>
          <c:tx>
            <c:strRef>
              <c:f>'Inscritos SE'!$B$34</c:f>
              <c:strCache>
                <c:ptCount val="1"/>
                <c:pt idx="0">
                  <c:v>superior </c:v>
                </c:pt>
              </c:strCache>
            </c:strRef>
          </c:tx>
          <c:spPr>
            <a:ln w="12700"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B24-4A30-9F3E-1E776BB0788F}"/>
                </c:ext>
              </c:extLst>
            </c:dLbl>
            <c:dLbl>
              <c:idx val="1"/>
              <c:layout>
                <c:manualLayout>
                  <c:x val="-2.7588433463554621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B24-4A30-9F3E-1E776BB0788F}"/>
                </c:ext>
              </c:extLst>
            </c:dLbl>
            <c:dLbl>
              <c:idx val="2"/>
              <c:layout>
                <c:manualLayout>
                  <c:x val="-2.758843346355459E-2"/>
                  <c:y val="2.2785042413169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B24-4A30-9F3E-1E776BB0788F}"/>
                </c:ext>
              </c:extLst>
            </c:dLbl>
            <c:dLbl>
              <c:idx val="3"/>
              <c:layout>
                <c:manualLayout>
                  <c:x val="-2.5798724543504441E-2"/>
                  <c:y val="2.2785042413169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B24-4A30-9F3E-1E776BB0788F}"/>
                </c:ext>
              </c:extLst>
            </c:dLbl>
            <c:dLbl>
              <c:idx val="4"/>
              <c:layout>
                <c:manualLayout>
                  <c:x val="-2.4009015623454262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B24-4A30-9F3E-1E776BB0788F}"/>
                </c:ext>
              </c:extLst>
            </c:dLbl>
            <c:dLbl>
              <c:idx val="5"/>
              <c:layout>
                <c:manualLayout>
                  <c:x val="-2.7588433463554621E-2"/>
                  <c:y val="2.59863217149581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B24-4A30-9F3E-1E776BB0788F}"/>
                </c:ext>
              </c:extLst>
            </c:dLbl>
            <c:dLbl>
              <c:idx val="6"/>
              <c:layout>
                <c:manualLayout>
                  <c:x val="-2.7588574385516831E-2"/>
                  <c:y val="2.2785042413169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B24-4A30-9F3E-1E776BB0788F}"/>
                </c:ext>
              </c:extLst>
            </c:dLbl>
            <c:dLbl>
              <c:idx val="7"/>
              <c:layout>
                <c:manualLayout>
                  <c:x val="-2.7588433463554621E-2"/>
                  <c:y val="2.9187601016746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B24-4A30-9F3E-1E776BB0788F}"/>
                </c:ext>
              </c:extLst>
            </c:dLbl>
            <c:dLbl>
              <c:idx val="8"/>
              <c:layout>
                <c:manualLayout>
                  <c:x val="-9.6913442630528271E-3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SE'!$E$34:$N$34,'Inscritos SE'!$O$34,'Inscritos SE'!$P$34,'Inscritos SE'!$AA$34)</c:f>
              <c:numCache>
                <c:formatCode>0%</c:formatCode>
                <c:ptCount val="13"/>
                <c:pt idx="0">
                  <c:v>0.155</c:v>
                </c:pt>
                <c:pt idx="1">
                  <c:v>0.185</c:v>
                </c:pt>
                <c:pt idx="2">
                  <c:v>0.16700000000000001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0.18</c:v>
                </c:pt>
                <c:pt idx="7">
                  <c:v>0.18</c:v>
                </c:pt>
                <c:pt idx="8">
                  <c:v>0.19400000000000001</c:v>
                </c:pt>
                <c:pt idx="9">
                  <c:v>0.2</c:v>
                </c:pt>
                <c:pt idx="10">
                  <c:v>0.21</c:v>
                </c:pt>
                <c:pt idx="11">
                  <c:v>0.22</c:v>
                </c:pt>
                <c:pt idx="12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0B24-4A30-9F3E-1E776BB0788F}"/>
            </c:ext>
          </c:extLst>
        </c:ser>
        <c:ser>
          <c:idx val="6"/>
          <c:order val="6"/>
          <c:tx>
            <c:strRef>
              <c:f>'Inscritos SE'!$B$35</c:f>
              <c:strCache>
                <c:ptCount val="1"/>
                <c:pt idx="0">
                  <c:v>posgrado</c:v>
                </c:pt>
              </c:strCache>
            </c:strRef>
          </c:tx>
          <c:spPr>
            <a:ln w="12700">
              <a:solidFill>
                <a:schemeClr val="bg1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bg1">
                    <a:lumMod val="50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2.2169984016631047E-2"/>
                  <c:y val="-2.20328678118676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B24-4A30-9F3E-1E776BB0788F}"/>
                </c:ext>
              </c:extLst>
            </c:dLbl>
            <c:dLbl>
              <c:idx val="4"/>
              <c:layout>
                <c:manualLayout>
                  <c:x val="-2.2169984016631047E-2"/>
                  <c:y val="-2.5234147113656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B24-4A30-9F3E-1E776BB07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('Inscritos SE'!$E$3:$O$3,'Inscritos SE'!$P$3,'Inscritos SE'!$AA$3)</c:f>
              <c:numCache>
                <c:formatCode>General</c:formatCode>
                <c:ptCount val="1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</c:numCache>
            </c:numRef>
          </c:cat>
          <c:val>
            <c:numRef>
              <c:f>('Inscritos SE'!$E$35:$N$35,'Inscritos SE'!$O$35,'Inscritos SE'!$P$35,'Inscritos SE'!$AA$35)</c:f>
              <c:numCache>
                <c:formatCode>0%</c:formatCode>
                <c:ptCount val="13"/>
                <c:pt idx="0">
                  <c:v>1.9E-2</c:v>
                </c:pt>
                <c:pt idx="1">
                  <c:v>2.7E-2</c:v>
                </c:pt>
                <c:pt idx="2">
                  <c:v>2.4E-2</c:v>
                </c:pt>
                <c:pt idx="3">
                  <c:v>0.02</c:v>
                </c:pt>
                <c:pt idx="4">
                  <c:v>0.02</c:v>
                </c:pt>
                <c:pt idx="5">
                  <c:v>0.02</c:v>
                </c:pt>
                <c:pt idx="6">
                  <c:v>0.02</c:v>
                </c:pt>
                <c:pt idx="7">
                  <c:v>0.02</c:v>
                </c:pt>
                <c:pt idx="8">
                  <c:v>2.7E-2</c:v>
                </c:pt>
                <c:pt idx="9">
                  <c:v>0.03</c:v>
                </c:pt>
                <c:pt idx="10">
                  <c:v>0.03</c:v>
                </c:pt>
                <c:pt idx="11">
                  <c:v>0.03</c:v>
                </c:pt>
                <c:pt idx="12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0B24-4A30-9F3E-1E776BB07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569152"/>
        <c:axId val="113869952"/>
      </c:lineChart>
      <c:catAx>
        <c:axId val="1135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3869952"/>
        <c:crosses val="autoZero"/>
        <c:auto val="1"/>
        <c:lblAlgn val="ctr"/>
        <c:lblOffset val="100"/>
        <c:noMultiLvlLbl val="0"/>
      </c:catAx>
      <c:valAx>
        <c:axId val="113869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35691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778519716250811E-2"/>
          <c:y val="0.92290386785119038"/>
          <c:w val="0.9680088825931219"/>
          <c:h val="5.788845633807929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</a:t>
            </a:r>
            <a:r>
              <a:rPr lang="es-MX" sz="1200" b="0" i="1" baseline="0"/>
              <a:t> primer ingreso y reinscritos de licencitura</a:t>
            </a:r>
            <a:endParaRPr lang="es-MX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 uni'!$AO$63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BA-440B-9C2D-B78C320A7036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BA-440B-9C2D-B78C320A7036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BA-440B-9C2D-B78C320A7036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BA-440B-9C2D-B78C320A7036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BA-440B-9C2D-B78C320A7036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BA-440B-9C2D-B78C320A7036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BA-440B-9C2D-B78C320A7036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BA-440B-9C2D-B78C320A7036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BA-440B-9C2D-B78C320A7036}"/>
                </c:ext>
              </c:extLst>
            </c:dLbl>
            <c:dLbl>
              <c:idx val="9"/>
              <c:layout>
                <c:manualLayout>
                  <c:x val="8.4388185654008432E-3"/>
                  <c:y val="-9.347671917169554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BA-440B-9C2D-B78C320A7036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BA-440B-9C2D-B78C320A7036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BA-440B-9C2D-B78C320A7036}"/>
                </c:ext>
              </c:extLst>
            </c:dLbl>
            <c:dLbl>
              <c:idx val="12"/>
              <c:layout>
                <c:manualLayout>
                  <c:x val="7.03234880450080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BA-440B-9C2D-B78C320A7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uni'!$AO$47:$AO$61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 uni'!$E$9,'Matricula uni'!$H$9,'Matricula uni'!$K$9,'Matricula uni'!$N$9,'Matricula uni'!$Q$9,'Matricula uni'!$T$9,'Matricula uni'!$W$9,'Matricula uni'!$Z$9,'Matricula uni'!$AC$9,'Matricula uni'!$AF$9,'Matricula uni'!$AI$9,'Matricula uni'!$AL$9,'Matricula uni'!$AO$9,'Matricula uni'!$AR$9,'Matricula uni'!$AU$9)</c:f>
              <c:numCache>
                <c:formatCode>#,##0</c:formatCode>
                <c:ptCount val="15"/>
                <c:pt idx="0">
                  <c:v>12329</c:v>
                </c:pt>
                <c:pt idx="1">
                  <c:v>12690</c:v>
                </c:pt>
                <c:pt idx="2">
                  <c:v>12956</c:v>
                </c:pt>
                <c:pt idx="3">
                  <c:v>13214</c:v>
                </c:pt>
                <c:pt idx="4">
                  <c:v>13271</c:v>
                </c:pt>
                <c:pt idx="5">
                  <c:v>13426</c:v>
                </c:pt>
                <c:pt idx="6">
                  <c:v>13765</c:v>
                </c:pt>
                <c:pt idx="7">
                  <c:v>14704</c:v>
                </c:pt>
                <c:pt idx="8">
                  <c:v>14648</c:v>
                </c:pt>
                <c:pt idx="9">
                  <c:v>15075</c:v>
                </c:pt>
                <c:pt idx="10">
                  <c:v>15257</c:v>
                </c:pt>
                <c:pt idx="11">
                  <c:v>15208</c:v>
                </c:pt>
                <c:pt idx="12">
                  <c:v>15120</c:v>
                </c:pt>
                <c:pt idx="13">
                  <c:v>14923</c:v>
                </c:pt>
                <c:pt idx="14">
                  <c:v>14525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4BA-440B-9C2D-B78C320A7036}"/>
            </c:ext>
          </c:extLst>
        </c:ser>
        <c:ser>
          <c:idx val="1"/>
          <c:order val="1"/>
          <c:tx>
            <c:strRef>
              <c:f>'Matricula uni'!$AO$64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BA-440B-9C2D-B78C320A7036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BA-440B-9C2D-B78C320A7036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BA-440B-9C2D-B78C320A7036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BA-440B-9C2D-B78C320A7036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BA-440B-9C2D-B78C320A7036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BA-440B-9C2D-B78C320A7036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BA-440B-9C2D-B78C320A7036}"/>
                </c:ext>
              </c:extLst>
            </c:dLbl>
            <c:dLbl>
              <c:idx val="12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BA-440B-9C2D-B78C320A7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uni'!$AO$47:$AO$61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 uni'!$E$14,'Matricula uni'!$H$14,'Matricula uni'!$K$14,'Matricula uni'!$N$14,'Matricula uni'!$Q$14,'Matricula uni'!$T$14,'Matricula uni'!$W$14,'Matricula uni'!$Z$14,'Matricula uni'!$AC$14,'Matricula uni'!$AF$14,'Matricula uni'!$AI$14,'Matricula uni'!$AL$14,'Matricula uni'!$AO$14,'Matricula uni'!$AR$14,'Matricula uni'!$AU$14)</c:f>
              <c:numCache>
                <c:formatCode>#,##0</c:formatCode>
                <c:ptCount val="15"/>
                <c:pt idx="2">
                  <c:v>203</c:v>
                </c:pt>
                <c:pt idx="3">
                  <c:v>265</c:v>
                </c:pt>
                <c:pt idx="4">
                  <c:v>546</c:v>
                </c:pt>
                <c:pt idx="5">
                  <c:v>825</c:v>
                </c:pt>
                <c:pt idx="6">
                  <c:v>969</c:v>
                </c:pt>
                <c:pt idx="7">
                  <c:v>1124</c:v>
                </c:pt>
                <c:pt idx="8">
                  <c:v>1227</c:v>
                </c:pt>
                <c:pt idx="9">
                  <c:v>1347</c:v>
                </c:pt>
                <c:pt idx="10">
                  <c:v>1490</c:v>
                </c:pt>
                <c:pt idx="11">
                  <c:v>1782</c:v>
                </c:pt>
                <c:pt idx="12">
                  <c:v>2089</c:v>
                </c:pt>
                <c:pt idx="13">
                  <c:v>2301</c:v>
                </c:pt>
                <c:pt idx="14">
                  <c:v>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BA-440B-9C2D-B78C320A7036}"/>
            </c:ext>
          </c:extLst>
        </c:ser>
        <c:ser>
          <c:idx val="2"/>
          <c:order val="2"/>
          <c:tx>
            <c:strRef>
              <c:f>'Matricula uni'!$AO$65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BA-440B-9C2D-B78C320A7036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BA-440B-9C2D-B78C320A7036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BA-440B-9C2D-B78C320A7036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BA-440B-9C2D-B78C320A7036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BA-440B-9C2D-B78C320A7036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BA-440B-9C2D-B78C320A7036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BA-440B-9C2D-B78C320A7036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BA-440B-9C2D-B78C320A7036}"/>
                </c:ext>
              </c:extLst>
            </c:dLbl>
            <c:dLbl>
              <c:idx val="8"/>
              <c:layout>
                <c:manualLayout>
                  <c:x val="8.4845565190427141E-3"/>
                  <c:y val="-3.5809959701500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BA-440B-9C2D-B78C320A7036}"/>
                </c:ext>
              </c:extLst>
            </c:dLbl>
            <c:dLbl>
              <c:idx val="9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BA-440B-9C2D-B78C320A7036}"/>
                </c:ext>
              </c:extLst>
            </c:dLbl>
            <c:dLbl>
              <c:idx val="10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BA-440B-9C2D-B78C320A7036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BA-440B-9C2D-B78C320A7036}"/>
                </c:ext>
              </c:extLst>
            </c:dLbl>
            <c:dLbl>
              <c:idx val="12"/>
              <c:layout>
                <c:manualLayout>
                  <c:x val="8.4388185654009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BA-440B-9C2D-B78C320A7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uni'!$AO$47:$AO$61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 uni'!$E$19,'Matricula uni'!$H$19,'Matricula uni'!$K$19,'Matricula uni'!$N$19,'Matricula uni'!$Q$19,'Matricula uni'!$T$19,'Matricula uni'!$W$19,'Matricula uni'!$Z$19,'Matricula uni'!$AC$19,'Matricula uni'!$AF$19,'Matricula uni'!$AI$19,'Matricula uni'!$AL$19,'Matricula uni'!$AO$19,'Matricula uni'!$AR$19,'Matricula uni'!$AU$19)</c:f>
              <c:numCache>
                <c:formatCode>#,##0</c:formatCode>
                <c:ptCount val="15"/>
                <c:pt idx="0">
                  <c:v>10121</c:v>
                </c:pt>
                <c:pt idx="1">
                  <c:v>9961</c:v>
                </c:pt>
                <c:pt idx="2">
                  <c:v>9974</c:v>
                </c:pt>
                <c:pt idx="3">
                  <c:v>10039</c:v>
                </c:pt>
                <c:pt idx="4">
                  <c:v>10243</c:v>
                </c:pt>
                <c:pt idx="5">
                  <c:v>10369</c:v>
                </c:pt>
                <c:pt idx="6">
                  <c:v>10789</c:v>
                </c:pt>
                <c:pt idx="7">
                  <c:v>11399</c:v>
                </c:pt>
                <c:pt idx="8">
                  <c:v>11743</c:v>
                </c:pt>
                <c:pt idx="9">
                  <c:v>12168</c:v>
                </c:pt>
                <c:pt idx="10">
                  <c:v>13176</c:v>
                </c:pt>
                <c:pt idx="11">
                  <c:v>13328</c:v>
                </c:pt>
                <c:pt idx="12">
                  <c:v>13384</c:v>
                </c:pt>
                <c:pt idx="13">
                  <c:v>13602</c:v>
                </c:pt>
                <c:pt idx="14">
                  <c:v>13154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94BA-440B-9C2D-B78C320A7036}"/>
            </c:ext>
          </c:extLst>
        </c:ser>
        <c:ser>
          <c:idx val="3"/>
          <c:order val="3"/>
          <c:tx>
            <c:strRef>
              <c:f>'Matricula uni'!$AO$66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BA-440B-9C2D-B78C320A7036}"/>
                </c:ext>
              </c:extLst>
            </c:dLbl>
            <c:dLbl>
              <c:idx val="10"/>
              <c:layout>
                <c:manualLayout>
                  <c:x val="5.62587904360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BA-440B-9C2D-B78C320A7036}"/>
                </c:ext>
              </c:extLst>
            </c:dLbl>
            <c:dLbl>
              <c:idx val="11"/>
              <c:layout>
                <c:manualLayout>
                  <c:x val="8.4388185654009473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BA-440B-9C2D-B78C320A7036}"/>
                </c:ext>
              </c:extLst>
            </c:dLbl>
            <c:dLbl>
              <c:idx val="12"/>
              <c:layout>
                <c:manualLayout>
                  <c:x val="5.6258790436005627E-3"/>
                  <c:y val="-4.691777747293356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BA-440B-9C2D-B78C320A7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uni'!$AO$47:$AO$61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 uni'!$E$24,'Matricula uni'!$H$24,'Matricula uni'!$K$24,'Matricula uni'!$N$24,'Matricula uni'!$Q$24,'Matricula uni'!$T$24,'Matricula uni'!$W$24,'Matricula uni'!$Z$24,'Matricula uni'!$AC$24,'Matricula uni'!$AF$24,'Matricula uni'!$AI$24,'Matricula uni'!$AL$24,'Matricula uni'!$AO$24,'Matricula uni'!$AR$24,'Matricula uni'!$AU$24)</c:f>
              <c:numCache>
                <c:formatCode>#,##0</c:formatCode>
                <c:ptCount val="15"/>
                <c:pt idx="8">
                  <c:v>161</c:v>
                </c:pt>
                <c:pt idx="9">
                  <c:v>220</c:v>
                </c:pt>
                <c:pt idx="10">
                  <c:v>348</c:v>
                </c:pt>
                <c:pt idx="11">
                  <c:v>416</c:v>
                </c:pt>
                <c:pt idx="12">
                  <c:v>495</c:v>
                </c:pt>
                <c:pt idx="13">
                  <c:v>598</c:v>
                </c:pt>
                <c:pt idx="14">
                  <c:v>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4BA-440B-9C2D-B78C320A7036}"/>
            </c:ext>
          </c:extLst>
        </c:ser>
        <c:ser>
          <c:idx val="4"/>
          <c:order val="4"/>
          <c:tx>
            <c:strRef>
              <c:f>'Matricula uni'!$AO$67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BA-440B-9C2D-B78C320A7036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BA-440B-9C2D-B78C320A7036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4BA-440B-9C2D-B78C320A7036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4BA-440B-9C2D-B78C320A7036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4BA-440B-9C2D-B78C320A7036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4BA-440B-9C2D-B78C320A7036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4BA-440B-9C2D-B78C320A7036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4BA-440B-9C2D-B78C320A7036}"/>
                </c:ext>
              </c:extLst>
            </c:dLbl>
            <c:dLbl>
              <c:idx val="8"/>
              <c:layout>
                <c:manualLayout>
                  <c:x val="7.804135242588347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94BA-440B-9C2D-B78C320A7036}"/>
                </c:ext>
              </c:extLst>
            </c:dLbl>
            <c:dLbl>
              <c:idx val="9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4BA-440B-9C2D-B78C320A7036}"/>
                </c:ext>
              </c:extLst>
            </c:dLbl>
            <c:dLbl>
              <c:idx val="10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4BA-440B-9C2D-B78C320A7036}"/>
                </c:ext>
              </c:extLst>
            </c:dLbl>
            <c:dLbl>
              <c:idx val="11"/>
              <c:layout>
                <c:manualLayout>
                  <c:x val="8.43881856540084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4BA-440B-9C2D-B78C320A7036}"/>
                </c:ext>
              </c:extLst>
            </c:dLbl>
            <c:dLbl>
              <c:idx val="12"/>
              <c:layout>
                <c:manualLayout>
                  <c:x val="7.0323488045008061E-3"/>
                  <c:y val="-2.5591810620601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4BA-440B-9C2D-B78C320A70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 uni'!$AO$47:$AO$61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 uni'!$E$29,'Matricula uni'!$H$29,'Matricula uni'!$K$29,'Matricula uni'!$N$29,'Matricula uni'!$Q$29,'Matricula uni'!$T$29,'Matricula uni'!$W$29,'Matricula uni'!$Z$29,'Matricula uni'!$AC$29,'Matricula uni'!$AF$29,'Matricula uni'!$AI$29,'Matricula uni'!$AL$29,'Matricula uni'!$AO$29,'Matricula uni'!$AR$29,'Matricula uni'!$AU$29)</c:f>
              <c:numCache>
                <c:formatCode>#,##0</c:formatCode>
                <c:ptCount val="15"/>
                <c:pt idx="0">
                  <c:v>11859</c:v>
                </c:pt>
                <c:pt idx="1">
                  <c:v>12916</c:v>
                </c:pt>
                <c:pt idx="2">
                  <c:v>13875</c:v>
                </c:pt>
                <c:pt idx="3">
                  <c:v>14227</c:v>
                </c:pt>
                <c:pt idx="4">
                  <c:v>14343</c:v>
                </c:pt>
                <c:pt idx="5">
                  <c:v>13745</c:v>
                </c:pt>
                <c:pt idx="6">
                  <c:v>13387</c:v>
                </c:pt>
                <c:pt idx="7">
                  <c:v>13485</c:v>
                </c:pt>
                <c:pt idx="8">
                  <c:v>13456</c:v>
                </c:pt>
                <c:pt idx="9">
                  <c:v>13432</c:v>
                </c:pt>
                <c:pt idx="10">
                  <c:v>13491</c:v>
                </c:pt>
                <c:pt idx="11">
                  <c:v>13567</c:v>
                </c:pt>
                <c:pt idx="12">
                  <c:v>13624</c:v>
                </c:pt>
                <c:pt idx="13">
                  <c:v>13654</c:v>
                </c:pt>
                <c:pt idx="14">
                  <c:v>14099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94BA-440B-9C2D-B78C320A7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14008448"/>
        <c:axId val="114009984"/>
        <c:axId val="0"/>
      </c:bar3DChart>
      <c:catAx>
        <c:axId val="1140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14009984"/>
        <c:crosses val="autoZero"/>
        <c:auto val="1"/>
        <c:lblAlgn val="ctr"/>
        <c:lblOffset val="100"/>
        <c:noMultiLvlLbl val="0"/>
      </c:catAx>
      <c:valAx>
        <c:axId val="11400998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008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uni'!$Z$6,'Matricula uni'!$AC$6,'Matricula uni'!$AF$6,'Matricula uni'!$AI$6,'Matricula uni'!$AL$6)</c:f>
              <c:numCache>
                <c:formatCode>#,##0</c:formatCode>
                <c:ptCount val="5"/>
                <c:pt idx="0">
                  <c:v>7272</c:v>
                </c:pt>
                <c:pt idx="1">
                  <c:v>7261</c:v>
                </c:pt>
                <c:pt idx="2">
                  <c:v>7200</c:v>
                </c:pt>
                <c:pt idx="3">
                  <c:v>7158</c:v>
                </c:pt>
                <c:pt idx="4">
                  <c:v>6918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5-49CC-91FD-296ECC9F548A}"/>
            </c:ext>
          </c:extLst>
        </c:ser>
        <c:ser>
          <c:idx val="1"/>
          <c:order val="1"/>
          <c:tx>
            <c:strRef>
              <c:f>'Matricula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uni'!$Z$7,'Matricula uni'!$AC$7,'Matricula uni'!$AF$7,'Matricula uni'!$AI$7,'Matricula uni'!$AL$7)</c:f>
              <c:numCache>
                <c:formatCode>#,##0</c:formatCode>
                <c:ptCount val="5"/>
                <c:pt idx="0">
                  <c:v>4785</c:v>
                </c:pt>
                <c:pt idx="1">
                  <c:v>4840</c:v>
                </c:pt>
                <c:pt idx="2">
                  <c:v>5201</c:v>
                </c:pt>
                <c:pt idx="3">
                  <c:v>5297</c:v>
                </c:pt>
                <c:pt idx="4">
                  <c:v>5452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5-49CC-91FD-296ECC9F548A}"/>
            </c:ext>
          </c:extLst>
        </c:ser>
        <c:ser>
          <c:idx val="2"/>
          <c:order val="2"/>
          <c:tx>
            <c:strRef>
              <c:f>'Matricula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uni'!$Z$8,'Matricula uni'!$AC$8,'Matricula uni'!$AF$8,'Matricula uni'!$AI$8,'Matricula uni'!$AL$8)</c:f>
              <c:numCache>
                <c:formatCode>#,##0</c:formatCode>
                <c:ptCount val="5"/>
                <c:pt idx="0">
                  <c:v>2647</c:v>
                </c:pt>
                <c:pt idx="1">
                  <c:v>2547</c:v>
                </c:pt>
                <c:pt idx="2">
                  <c:v>2674</c:v>
                </c:pt>
                <c:pt idx="3">
                  <c:v>2802</c:v>
                </c:pt>
                <c:pt idx="4">
                  <c:v>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65-49CC-91FD-296ECC9F5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41056"/>
        <c:axId val="114142592"/>
      </c:lineChart>
      <c:catAx>
        <c:axId val="11414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142592"/>
        <c:crosses val="autoZero"/>
        <c:auto val="1"/>
        <c:lblAlgn val="ctr"/>
        <c:lblOffset val="100"/>
        <c:noMultiLvlLbl val="0"/>
      </c:catAx>
      <c:valAx>
        <c:axId val="1141425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1410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4.2921323576274817E-2"/>
                  <c:y val="-4.19508026612952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1E-4781-9660-EBFFFCE65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uni'!$Z$11,'Matricula uni'!$AC$11,'Matricula uni'!$AF$11,'Matricula uni'!$AI$11,'Matricula uni'!$AL$11)</c:f>
              <c:numCache>
                <c:formatCode>#,##0</c:formatCode>
                <c:ptCount val="5"/>
                <c:pt idx="0">
                  <c:v>405</c:v>
                </c:pt>
                <c:pt idx="1">
                  <c:v>373</c:v>
                </c:pt>
                <c:pt idx="2">
                  <c:v>378</c:v>
                </c:pt>
                <c:pt idx="3">
                  <c:v>389</c:v>
                </c:pt>
                <c:pt idx="4">
                  <c:v>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1E-4781-9660-EBFFFCE65D44}"/>
            </c:ext>
          </c:extLst>
        </c:ser>
        <c:ser>
          <c:idx val="1"/>
          <c:order val="1"/>
          <c:tx>
            <c:strRef>
              <c:f>'Matricula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4"/>
              <c:layout>
                <c:manualLayout>
                  <c:x val="-3.9977982884589758E-2"/>
                  <c:y val="5.2286719973956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E-4781-9660-EBFFFCE65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uni'!$Z$12,'Matricula uni'!$AC$12,'Matricula uni'!$AF$12,'Matricula uni'!$AI$12,'Matricula uni'!$AL$12)</c:f>
              <c:numCache>
                <c:formatCode>#,##0</c:formatCode>
                <c:ptCount val="5"/>
                <c:pt idx="0">
                  <c:v>423</c:v>
                </c:pt>
                <c:pt idx="1">
                  <c:v>498</c:v>
                </c:pt>
                <c:pt idx="2">
                  <c:v>520</c:v>
                </c:pt>
                <c:pt idx="3">
                  <c:v>576</c:v>
                </c:pt>
                <c:pt idx="4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1E-4781-9660-EBFFFCE65D44}"/>
            </c:ext>
          </c:extLst>
        </c:ser>
        <c:ser>
          <c:idx val="2"/>
          <c:order val="2"/>
          <c:tx>
            <c:strRef>
              <c:f>'Matricula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E-4781-9660-EBFFFCE65D44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E-4781-9660-EBFFFCE65D44}"/>
                </c:ext>
              </c:extLst>
            </c:dLbl>
            <c:dLbl>
              <c:idx val="2"/>
              <c:layout>
                <c:manualLayout>
                  <c:x val="-3.9977982884589758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E-4781-9660-EBFFFCE65D44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11E-4781-9660-EBFFFCE65D44}"/>
                </c:ext>
              </c:extLst>
            </c:dLbl>
            <c:dLbl>
              <c:idx val="4"/>
              <c:layout>
                <c:manualLayout>
                  <c:x val="-3.7034642192904692E-2"/>
                  <c:y val="-3.04010254532136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11E-4781-9660-EBFFFCE65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uni'!$Z$13,'Matricula uni'!$AC$13,'Matricula uni'!$AF$13,'Matricula uni'!$AI$13,'Matricula uni'!$AL$13)</c:f>
              <c:numCache>
                <c:formatCode>#,##0</c:formatCode>
                <c:ptCount val="5"/>
                <c:pt idx="0">
                  <c:v>296</c:v>
                </c:pt>
                <c:pt idx="1">
                  <c:v>356</c:v>
                </c:pt>
                <c:pt idx="2">
                  <c:v>449</c:v>
                </c:pt>
                <c:pt idx="3">
                  <c:v>525</c:v>
                </c:pt>
                <c:pt idx="4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11E-4781-9660-EBFFFCE65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98784"/>
        <c:axId val="114221056"/>
      </c:lineChart>
      <c:catAx>
        <c:axId val="1141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221056"/>
        <c:crosses val="autoZero"/>
        <c:auto val="1"/>
        <c:lblAlgn val="ctr"/>
        <c:lblOffset val="100"/>
        <c:noMultiLvlLbl val="0"/>
      </c:catAx>
      <c:valAx>
        <c:axId val="11422105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1987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uni'!$Z$16,'Matricula uni'!$AC$16,'Matricula uni'!$AF$16,'Matricula uni'!$AI$16,'Matricula uni'!$AL$16)</c:f>
              <c:numCache>
                <c:formatCode>#,##0</c:formatCode>
                <c:ptCount val="5"/>
                <c:pt idx="0">
                  <c:v>2868</c:v>
                </c:pt>
                <c:pt idx="1">
                  <c:v>3016</c:v>
                </c:pt>
                <c:pt idx="2">
                  <c:v>3114</c:v>
                </c:pt>
                <c:pt idx="3">
                  <c:v>3623</c:v>
                </c:pt>
                <c:pt idx="4">
                  <c:v>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D-4453-B7D9-66332C899C64}"/>
            </c:ext>
          </c:extLst>
        </c:ser>
        <c:ser>
          <c:idx val="1"/>
          <c:order val="1"/>
          <c:tx>
            <c:strRef>
              <c:f>'Matricula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D-4453-B7D9-66332C899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uni'!$Z$17,'Matricula uni'!$AC$17,'Matricula uni'!$AF$17,'Matricula uni'!$AI$17,'Matricula uni'!$AL$17)</c:f>
              <c:numCache>
                <c:formatCode>#,##0</c:formatCode>
                <c:ptCount val="5"/>
                <c:pt idx="0">
                  <c:v>5289</c:v>
                </c:pt>
                <c:pt idx="1">
                  <c:v>5318</c:v>
                </c:pt>
                <c:pt idx="2">
                  <c:v>5362</c:v>
                </c:pt>
                <c:pt idx="3">
                  <c:v>5492</c:v>
                </c:pt>
                <c:pt idx="4">
                  <c:v>5510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D-4453-B7D9-66332C899C64}"/>
            </c:ext>
          </c:extLst>
        </c:ser>
        <c:ser>
          <c:idx val="2"/>
          <c:order val="2"/>
          <c:tx>
            <c:strRef>
              <c:f>'Matricula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D-4453-B7D9-66332C899C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uni'!$Z$18,'Matricula uni'!$AC$18,'Matricula uni'!$AF$18,'Matricula uni'!$AI$18,'Matricula uni'!$AL$18)</c:f>
              <c:numCache>
                <c:formatCode>#,##0</c:formatCode>
                <c:ptCount val="5"/>
                <c:pt idx="0">
                  <c:v>3242</c:v>
                </c:pt>
                <c:pt idx="1">
                  <c:v>3409</c:v>
                </c:pt>
                <c:pt idx="2">
                  <c:v>3692</c:v>
                </c:pt>
                <c:pt idx="3">
                  <c:v>4061</c:v>
                </c:pt>
                <c:pt idx="4">
                  <c:v>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5D-4453-B7D9-66332C89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13344"/>
        <c:axId val="114714880"/>
      </c:lineChart>
      <c:catAx>
        <c:axId val="11471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714880"/>
        <c:crosses val="autoZero"/>
        <c:auto val="1"/>
        <c:lblAlgn val="ctr"/>
        <c:lblOffset val="100"/>
        <c:noMultiLvlLbl val="0"/>
      </c:catAx>
      <c:valAx>
        <c:axId val="114714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7133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3.401041757197569E-2"/>
                  <c:y val="-5.2286719973956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98-41F7-A403-22782C31C053}"/>
                </c:ext>
              </c:extLst>
            </c:dLbl>
            <c:dLbl>
              <c:idx val="1"/>
              <c:layout>
                <c:manualLayout>
                  <c:x val="-3.9897098955345815E-2"/>
                  <c:y val="-8.3294471911941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98-41F7-A403-22782C31C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uni'!$AC$21,'Matricula uni'!$AF$21,'Matricula uni'!$AI$21,'Matricula uni'!$AL$21)</c:f>
              <c:numCache>
                <c:formatCode>#,##0</c:formatCode>
                <c:ptCount val="4"/>
                <c:pt idx="0">
                  <c:v>57</c:v>
                </c:pt>
                <c:pt idx="1">
                  <c:v>78</c:v>
                </c:pt>
                <c:pt idx="2">
                  <c:v>106</c:v>
                </c:pt>
                <c:pt idx="3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98-41F7-A403-22782C31C053}"/>
            </c:ext>
          </c:extLst>
        </c:ser>
        <c:ser>
          <c:idx val="1"/>
          <c:order val="1"/>
          <c:tx>
            <c:strRef>
              <c:f>'Matricula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9.728783902012249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98-41F7-A403-22782C31C053}"/>
                </c:ext>
              </c:extLst>
            </c:dLbl>
            <c:dLbl>
              <c:idx val="1"/>
              <c:layout>
                <c:manualLayout>
                  <c:x val="-3.9897098955345815E-2"/>
                  <c:y val="-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98-41F7-A403-22782C31C053}"/>
                </c:ext>
              </c:extLst>
            </c:dLbl>
            <c:dLbl>
              <c:idx val="3"/>
              <c:layout>
                <c:manualLayout>
                  <c:x val="-3.416476913895685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98-41F7-A403-22782C31C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uni'!$AC$22,'Matricula uni'!$AF$22,'Matricula uni'!$AI$22,'Matricula uni'!$AL$22)</c:f>
              <c:numCache>
                <c:formatCode>#,##0</c:formatCode>
                <c:ptCount val="4"/>
                <c:pt idx="0">
                  <c:v>51</c:v>
                </c:pt>
                <c:pt idx="1">
                  <c:v>76</c:v>
                </c:pt>
                <c:pt idx="2">
                  <c:v>132</c:v>
                </c:pt>
                <c:pt idx="3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598-41F7-A403-22782C31C053}"/>
            </c:ext>
          </c:extLst>
        </c:ser>
        <c:ser>
          <c:idx val="2"/>
          <c:order val="2"/>
          <c:tx>
            <c:strRef>
              <c:f>'Matricula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3.6953758263660749E-2"/>
                  <c:y val="5.1072453152658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98-41F7-A403-22782C31C053}"/>
                </c:ext>
              </c:extLst>
            </c:dLbl>
            <c:dLbl>
              <c:idx val="1"/>
              <c:layout>
                <c:manualLayout>
                  <c:x val="-3.6953758263660749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98-41F7-A403-22782C31C053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98-41F7-A403-22782C31C053}"/>
                </c:ext>
              </c:extLst>
            </c:dLbl>
            <c:dLbl>
              <c:idx val="3"/>
              <c:layout>
                <c:manualLayout>
                  <c:x val="-3.401041757197569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98-41F7-A403-22782C31C0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('Matricula uni'!$AC$23,'Matricula uni'!$AF$23,'Matricula uni'!$AI$23,'Matricula uni'!$AL$23)</c:f>
              <c:numCache>
                <c:formatCode>#,##0</c:formatCode>
                <c:ptCount val="4"/>
                <c:pt idx="0">
                  <c:v>53</c:v>
                </c:pt>
                <c:pt idx="1">
                  <c:v>66</c:v>
                </c:pt>
                <c:pt idx="2">
                  <c:v>110</c:v>
                </c:pt>
                <c:pt idx="3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598-41F7-A403-22782C31C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788224"/>
        <c:axId val="114789760"/>
      </c:lineChart>
      <c:catAx>
        <c:axId val="1147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4789760"/>
        <c:crosses val="autoZero"/>
        <c:auto val="1"/>
        <c:lblAlgn val="ctr"/>
        <c:lblOffset val="100"/>
        <c:noMultiLvlLbl val="0"/>
      </c:catAx>
      <c:valAx>
        <c:axId val="11478976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78822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'Matricula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uni'!$Z$26,'Matricula uni'!$AC$26,'Matricula uni'!$AF$26,'Matricula uni'!$AI$26,'Matricula uni'!$AL$26)</c:f>
              <c:numCache>
                <c:formatCode>#,##0</c:formatCode>
                <c:ptCount val="5"/>
                <c:pt idx="0">
                  <c:v>4746</c:v>
                </c:pt>
                <c:pt idx="1">
                  <c:v>4733</c:v>
                </c:pt>
                <c:pt idx="2">
                  <c:v>4841</c:v>
                </c:pt>
                <c:pt idx="3">
                  <c:v>4753</c:v>
                </c:pt>
                <c:pt idx="4">
                  <c:v>4782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0-499A-9BB7-56F0A755EF50}"/>
            </c:ext>
          </c:extLst>
        </c:ser>
        <c:ser>
          <c:idx val="1"/>
          <c:order val="1"/>
          <c:tx>
            <c:strRef>
              <c:f>'Matricula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uni'!$Z$27,'Matricula uni'!$AC$27,'Matricula uni'!$AF$27,'Matricula uni'!$AI$27,'Matricula uni'!$AL$27)</c:f>
              <c:numCache>
                <c:formatCode>#,##0</c:formatCode>
                <c:ptCount val="5"/>
                <c:pt idx="0">
                  <c:v>6339</c:v>
                </c:pt>
                <c:pt idx="1">
                  <c:v>6294</c:v>
                </c:pt>
                <c:pt idx="2">
                  <c:v>6161</c:v>
                </c:pt>
                <c:pt idx="3">
                  <c:v>6284</c:v>
                </c:pt>
                <c:pt idx="4">
                  <c:v>6362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0-499A-9BB7-56F0A755EF50}"/>
            </c:ext>
          </c:extLst>
        </c:ser>
        <c:ser>
          <c:idx val="2"/>
          <c:order val="2"/>
          <c:tx>
            <c:strRef>
              <c:f>'Matricula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('Matricula uni'!$Z$28,'Matricula uni'!$AC$28,'Matricula uni'!$AF$28,'Matricula uni'!$AI$28,'Matricula uni'!$AL$28)</c:f>
              <c:numCache>
                <c:formatCode>#,##0</c:formatCode>
                <c:ptCount val="5"/>
                <c:pt idx="0">
                  <c:v>2400</c:v>
                </c:pt>
                <c:pt idx="1">
                  <c:v>2429</c:v>
                </c:pt>
                <c:pt idx="2">
                  <c:v>2430</c:v>
                </c:pt>
                <c:pt idx="3">
                  <c:v>2454</c:v>
                </c:pt>
                <c:pt idx="4">
                  <c:v>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90-499A-9BB7-56F0A755E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23936"/>
        <c:axId val="115238016"/>
      </c:lineChart>
      <c:catAx>
        <c:axId val="115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238016"/>
        <c:crosses val="autoZero"/>
        <c:auto val="1"/>
        <c:lblAlgn val="ctr"/>
        <c:lblOffset val="100"/>
        <c:noMultiLvlLbl val="0"/>
      </c:catAx>
      <c:valAx>
        <c:axId val="1152380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22393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Admitidos</a:t>
            </a:r>
            <a:r>
              <a:rPr lang="es-MX" sz="1200" b="0" i="1" baseline="0"/>
              <a:t> a licenciatura</a:t>
            </a:r>
            <a:endParaRPr lang="es-MX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ln w="3175">
          <a:solidFill>
            <a:schemeClr val="bg1">
              <a:lumMod val="85000"/>
            </a:schemeClr>
          </a:solidFill>
        </a:ln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293915605748563E-2"/>
          <c:y val="4.2970558271059923E-2"/>
          <c:w val="0.96823475104258216"/>
          <c:h val="0.812178003857278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'Admitidos uni'!$S$64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schemeClr val="bg1">
                  <a:lumMod val="50000"/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('Admitidos uni'!$E$9,'Admitidos uni'!$H$9,'Admitidos uni'!$K$9,'Admitidos uni'!$N$9,'Admitidos uni'!$Q$9,'Admitidos uni'!$T$9,'Admitidos uni'!$W$9,'Admitidos uni'!$Z$9,'Admitidos uni'!$AC$9,'Admitidos uni'!$AF$9,'Admitidos uni'!$AI$9,'Admitidos uni'!$AL$9,'Admitidos uni'!$AO$9,'Admitidos uni'!$AR$9,'Admitidos uni'!$AU$9)</c:f>
              <c:numCache>
                <c:formatCode>#,##0</c:formatCode>
                <c:ptCount val="15"/>
                <c:pt idx="0">
                  <c:v>3442</c:v>
                </c:pt>
                <c:pt idx="1">
                  <c:v>3997</c:v>
                </c:pt>
                <c:pt idx="2">
                  <c:v>4015</c:v>
                </c:pt>
                <c:pt idx="3">
                  <c:v>4052</c:v>
                </c:pt>
                <c:pt idx="4">
                  <c:v>4088</c:v>
                </c:pt>
                <c:pt idx="5">
                  <c:v>4133</c:v>
                </c:pt>
                <c:pt idx="6">
                  <c:v>4132</c:v>
                </c:pt>
                <c:pt idx="7">
                  <c:v>4356</c:v>
                </c:pt>
                <c:pt idx="8">
                  <c:v>4099</c:v>
                </c:pt>
                <c:pt idx="9">
                  <c:v>3675</c:v>
                </c:pt>
                <c:pt idx="10">
                  <c:v>3751</c:v>
                </c:pt>
                <c:pt idx="11">
                  <c:v>3575</c:v>
                </c:pt>
                <c:pt idx="12">
                  <c:v>3590</c:v>
                </c:pt>
                <c:pt idx="13">
                  <c:v>3873</c:v>
                </c:pt>
                <c:pt idx="14">
                  <c:v>4042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7-46C2-B7EE-0F3901DE79C9}"/>
            </c:ext>
          </c:extLst>
        </c:ser>
        <c:ser>
          <c:idx val="1"/>
          <c:order val="1"/>
          <c:tx>
            <c:strRef>
              <c:f>'Admitidos uni'!$S$65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17-46C2-B7EE-0F3901DE79C9}"/>
                </c:ext>
              </c:extLst>
            </c:dLbl>
            <c:dLbl>
              <c:idx val="3"/>
              <c:layout>
                <c:manualLayout>
                  <c:x val="2.60671201661403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17-46C2-B7EE-0F3901DE79C9}"/>
                </c:ext>
              </c:extLst>
            </c:dLbl>
            <c:dLbl>
              <c:idx val="4"/>
              <c:layout>
                <c:manualLayout>
                  <c:x val="3.91006802492098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17-46C2-B7EE-0F3901DE79C9}"/>
                </c:ext>
              </c:extLst>
            </c:dLbl>
            <c:dLbl>
              <c:idx val="5"/>
              <c:layout>
                <c:manualLayout>
                  <c:x val="5.213424033227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17-46C2-B7EE-0F3901DE79C9}"/>
                </c:ext>
              </c:extLst>
            </c:dLbl>
            <c:dLbl>
              <c:idx val="6"/>
              <c:layout>
                <c:manualLayout>
                  <c:x val="3.910068024920988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17-46C2-B7EE-0F3901DE79C9}"/>
                </c:ext>
              </c:extLst>
            </c:dLbl>
            <c:dLbl>
              <c:idx val="7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17-46C2-B7EE-0F3901DE79C9}"/>
                </c:ext>
              </c:extLst>
            </c:dLbl>
            <c:dLbl>
              <c:idx val="8"/>
              <c:layout>
                <c:manualLayout>
                  <c:x val="3.91006802492089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17-46C2-B7EE-0F3901DE79C9}"/>
                </c:ext>
              </c:extLst>
            </c:dLbl>
            <c:dLbl>
              <c:idx val="9"/>
              <c:layout>
                <c:manualLayout>
                  <c:x val="5.21342403322788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17-46C2-B7EE-0F3901DE79C9}"/>
                </c:ext>
              </c:extLst>
            </c:dLbl>
            <c:dLbl>
              <c:idx val="10"/>
              <c:layout>
                <c:manualLayout>
                  <c:x val="6.5167800415349801E-3"/>
                  <c:y val="-2.71278312537821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17-46C2-B7EE-0F3901DE7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('Admitidos uni'!$E$14,'Admitidos uni'!$H$14,'Admitidos uni'!$K$14,'Admitidos uni'!$N$14,'Admitidos uni'!$Q$14,'Admitidos uni'!$T$14,'Admitidos uni'!$W$14,'Admitidos uni'!$Z$14,'Admitidos uni'!$AC$14,'Admitidos uni'!$AF$14,'Admitidos uni'!$AI$14,'Admitidos uni'!$AL$14,'Admitidos uni'!$AO$14,'Admitidos uni'!$AR$14,'Admitidos uni'!$AU$14)</c:f>
              <c:numCache>
                <c:formatCode>#,##0</c:formatCode>
                <c:ptCount val="15"/>
                <c:pt idx="2">
                  <c:v>252</c:v>
                </c:pt>
                <c:pt idx="3">
                  <c:v>123</c:v>
                </c:pt>
                <c:pt idx="4">
                  <c:v>382</c:v>
                </c:pt>
                <c:pt idx="5">
                  <c:v>403</c:v>
                </c:pt>
                <c:pt idx="6">
                  <c:v>315</c:v>
                </c:pt>
                <c:pt idx="7">
                  <c:v>399</c:v>
                </c:pt>
                <c:pt idx="8">
                  <c:v>429</c:v>
                </c:pt>
                <c:pt idx="9">
                  <c:v>434</c:v>
                </c:pt>
                <c:pt idx="10">
                  <c:v>503</c:v>
                </c:pt>
                <c:pt idx="11">
                  <c:v>709</c:v>
                </c:pt>
                <c:pt idx="12">
                  <c:v>792</c:v>
                </c:pt>
                <c:pt idx="13">
                  <c:v>829</c:v>
                </c:pt>
                <c:pt idx="14">
                  <c:v>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17-46C2-B7EE-0F3901DE79C9}"/>
            </c:ext>
          </c:extLst>
        </c:ser>
        <c:ser>
          <c:idx val="2"/>
          <c:order val="2"/>
          <c:tx>
            <c:strRef>
              <c:f>'Admitidos uni'!$S$66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('Admitidos uni'!$E$19,'Admitidos uni'!$H$19,'Admitidos uni'!$K$19,'Admitidos uni'!$N$19,'Admitidos uni'!$Q$19,'Admitidos uni'!$T$19,'Admitidos uni'!$W$19,'Admitidos uni'!$Z$19,'Admitidos uni'!$AC$19,'Admitidos uni'!$AF$19,'Admitidos uni'!$AI$19,'Admitidos uni'!$AL$19,'Admitidos uni'!$AO$19,'Admitidos uni'!$AR$19,'Admitidos uni'!$AU$19)</c:f>
              <c:numCache>
                <c:formatCode>#,##0</c:formatCode>
                <c:ptCount val="15"/>
                <c:pt idx="0">
                  <c:v>2494</c:v>
                </c:pt>
                <c:pt idx="1">
                  <c:v>2672</c:v>
                </c:pt>
                <c:pt idx="2">
                  <c:v>2928</c:v>
                </c:pt>
                <c:pt idx="3">
                  <c:v>3083</c:v>
                </c:pt>
                <c:pt idx="4">
                  <c:v>3093</c:v>
                </c:pt>
                <c:pt idx="5">
                  <c:v>2967</c:v>
                </c:pt>
                <c:pt idx="6">
                  <c:v>3166</c:v>
                </c:pt>
                <c:pt idx="7">
                  <c:v>3382</c:v>
                </c:pt>
                <c:pt idx="8">
                  <c:v>3479</c:v>
                </c:pt>
                <c:pt idx="9">
                  <c:v>3510</c:v>
                </c:pt>
                <c:pt idx="10">
                  <c:v>3570</c:v>
                </c:pt>
                <c:pt idx="11">
                  <c:v>3228</c:v>
                </c:pt>
                <c:pt idx="12">
                  <c:v>3089</c:v>
                </c:pt>
                <c:pt idx="13">
                  <c:v>3248</c:v>
                </c:pt>
                <c:pt idx="14">
                  <c:v>3081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17-46C2-B7EE-0F3901DE79C9}"/>
            </c:ext>
          </c:extLst>
        </c:ser>
        <c:ser>
          <c:idx val="3"/>
          <c:order val="3"/>
          <c:tx>
            <c:strRef>
              <c:f>'Admitidos uni'!$S$67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('Admitidos uni'!$E$24,'Admitidos uni'!$H$24,'Admitidos uni'!$K$24,'Admitidos uni'!$N$24,'Admitidos uni'!$Q$24,'Admitidos uni'!$T$24,'Admitidos uni'!$W$24,'Admitidos uni'!$Z$24,'Admitidos uni'!$AC$24,'Admitidos uni'!$AF$24,'Admitidos uni'!$AI$24,'Admitidos uni'!$AL$24,'Admitidos uni'!$AO$24,'Admitidos uni'!$AR$24,'Admitidos uni'!$AU$24)</c:f>
              <c:numCache>
                <c:formatCode>#,##0</c:formatCode>
                <c:ptCount val="15"/>
                <c:pt idx="8">
                  <c:v>238</c:v>
                </c:pt>
                <c:pt idx="9">
                  <c:v>107</c:v>
                </c:pt>
                <c:pt idx="10">
                  <c:v>234</c:v>
                </c:pt>
                <c:pt idx="11">
                  <c:v>187</c:v>
                </c:pt>
                <c:pt idx="12">
                  <c:v>240</c:v>
                </c:pt>
                <c:pt idx="13">
                  <c:v>266</c:v>
                </c:pt>
                <c:pt idx="1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D17-46C2-B7EE-0F3901DE79C9}"/>
            </c:ext>
          </c:extLst>
        </c:ser>
        <c:ser>
          <c:idx val="4"/>
          <c:order val="4"/>
          <c:tx>
            <c:strRef>
              <c:f>'Admitidos uni'!$S$68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uni'!$S$43:$S$57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('Admitidos uni'!$E$29,'Admitidos uni'!$H$29,'Admitidos uni'!$K$29,'Admitidos uni'!$N$29,'Admitidos uni'!$Q$29,'Admitidos uni'!$T$29,'Admitidos uni'!$W$29,'Admitidos uni'!$Z$29,'Admitidos uni'!$AC$29,'Admitidos uni'!$AF$29,'Admitidos uni'!$AI$29,'Admitidos uni'!$AL$29,'Admitidos uni'!$AO$29,'Admitidos uni'!$AR$29,'Admitidos uni'!$AU$29)</c:f>
              <c:numCache>
                <c:formatCode>#,##0</c:formatCode>
                <c:ptCount val="15"/>
                <c:pt idx="0">
                  <c:v>4393</c:v>
                </c:pt>
                <c:pt idx="1">
                  <c:v>4794</c:v>
                </c:pt>
                <c:pt idx="2">
                  <c:v>5169</c:v>
                </c:pt>
                <c:pt idx="3">
                  <c:v>4769</c:v>
                </c:pt>
                <c:pt idx="4">
                  <c:v>4675</c:v>
                </c:pt>
                <c:pt idx="5">
                  <c:v>4201</c:v>
                </c:pt>
                <c:pt idx="6">
                  <c:v>4237</c:v>
                </c:pt>
                <c:pt idx="7">
                  <c:v>4510</c:v>
                </c:pt>
                <c:pt idx="8">
                  <c:v>4468</c:v>
                </c:pt>
                <c:pt idx="9">
                  <c:v>4501</c:v>
                </c:pt>
                <c:pt idx="10">
                  <c:v>4352</c:v>
                </c:pt>
                <c:pt idx="11">
                  <c:v>4212</c:v>
                </c:pt>
                <c:pt idx="12">
                  <c:v>4374</c:v>
                </c:pt>
                <c:pt idx="13">
                  <c:v>4730</c:v>
                </c:pt>
                <c:pt idx="14">
                  <c:v>4661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D17-46C2-B7EE-0F3901DE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02304768"/>
        <c:axId val="102322944"/>
        <c:axId val="0"/>
      </c:bar3DChart>
      <c:catAx>
        <c:axId val="10230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</a:ln>
        </c:spPr>
        <c:crossAx val="102322944"/>
        <c:crosses val="autoZero"/>
        <c:auto val="1"/>
        <c:lblAlgn val="ctr"/>
        <c:lblOffset val="100"/>
        <c:noMultiLvlLbl val="0"/>
      </c:catAx>
      <c:valAx>
        <c:axId val="1023229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230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34460076050311"/>
          <c:y val="0.93466827895698401"/>
          <c:w val="0.79387178425127225"/>
          <c:h val="4.9055022290746694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Definitivas de Licenciatura</a:t>
            </a:r>
          </a:p>
        </c:rich>
      </c:tx>
      <c:layout>
        <c:manualLayout>
          <c:xMode val="edge"/>
          <c:yMode val="edge"/>
          <c:x val="0.3752350254463806"/>
          <c:y val="2.668449462685089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'BAJAS-DEF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('BAJAS-DEF uni'!$C$9:$O$9,'BAJAS-DEF uni'!$P$9,'BAJAS-DEF uni'!$Q$9,'BAJAS-DEF uni'!$R$9)</c:f>
              <c:numCache>
                <c:formatCode>General</c:formatCode>
                <c:ptCount val="16"/>
                <c:pt idx="0">
                  <c:v>297</c:v>
                </c:pt>
                <c:pt idx="1">
                  <c:v>300</c:v>
                </c:pt>
                <c:pt idx="2">
                  <c:v>251</c:v>
                </c:pt>
                <c:pt idx="3">
                  <c:v>205</c:v>
                </c:pt>
                <c:pt idx="4">
                  <c:v>218</c:v>
                </c:pt>
                <c:pt idx="5">
                  <c:v>231</c:v>
                </c:pt>
                <c:pt idx="6">
                  <c:v>221</c:v>
                </c:pt>
                <c:pt idx="7">
                  <c:v>222</c:v>
                </c:pt>
                <c:pt idx="8">
                  <c:v>204</c:v>
                </c:pt>
                <c:pt idx="9">
                  <c:v>197</c:v>
                </c:pt>
                <c:pt idx="10">
                  <c:v>201</c:v>
                </c:pt>
                <c:pt idx="11">
                  <c:v>227</c:v>
                </c:pt>
                <c:pt idx="12">
                  <c:v>168</c:v>
                </c:pt>
                <c:pt idx="13">
                  <c:v>242</c:v>
                </c:pt>
                <c:pt idx="14">
                  <c:v>151</c:v>
                </c:pt>
                <c:pt idx="15" formatCode="#,##0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01-463E-8856-65F9255921C1}"/>
            </c:ext>
          </c:extLst>
        </c:ser>
        <c:ser>
          <c:idx val="1"/>
          <c:order val="1"/>
          <c:tx>
            <c:strRef>
              <c:f>'BAJAS-DEF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01-463E-8856-65F9255921C1}"/>
                </c:ext>
              </c:extLst>
            </c:dLbl>
            <c:dLbl>
              <c:idx val="3"/>
              <c:layout>
                <c:manualLayout>
                  <c:x val="3.53904028194168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1-463E-8856-65F9255921C1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1-463E-8856-65F9255921C1}"/>
                </c:ext>
              </c:extLst>
            </c:dLbl>
            <c:dLbl>
              <c:idx val="5"/>
              <c:layout>
                <c:manualLayout>
                  <c:x val="3.5390402819416846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1-463E-8856-65F9255921C1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01-463E-8856-65F9255921C1}"/>
                </c:ext>
              </c:extLst>
            </c:dLbl>
            <c:dLbl>
              <c:idx val="7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1-463E-8856-65F9255921C1}"/>
                </c:ext>
              </c:extLst>
            </c:dLbl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('BAJAS-DEF uni'!$C$14:$O$14,'BAJAS-DEF uni'!$P$14,'BAJAS-DEF uni'!$Q$14,'BAJAS-DEF uni'!$R$14)</c:f>
              <c:numCache>
                <c:formatCode>General</c:formatCode>
                <c:ptCount val="16"/>
                <c:pt idx="4">
                  <c:v>1</c:v>
                </c:pt>
                <c:pt idx="5">
                  <c:v>3</c:v>
                </c:pt>
                <c:pt idx="6">
                  <c:v>12</c:v>
                </c:pt>
                <c:pt idx="7">
                  <c:v>17</c:v>
                </c:pt>
                <c:pt idx="8">
                  <c:v>12</c:v>
                </c:pt>
                <c:pt idx="9">
                  <c:v>16</c:v>
                </c:pt>
                <c:pt idx="10">
                  <c:v>23</c:v>
                </c:pt>
                <c:pt idx="11">
                  <c:v>27</c:v>
                </c:pt>
                <c:pt idx="12">
                  <c:v>19</c:v>
                </c:pt>
                <c:pt idx="13">
                  <c:v>32</c:v>
                </c:pt>
                <c:pt idx="14">
                  <c:v>41</c:v>
                </c:pt>
                <c:pt idx="15" formatCode="#,##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01-463E-8856-65F9255921C1}"/>
            </c:ext>
          </c:extLst>
        </c:ser>
        <c:ser>
          <c:idx val="2"/>
          <c:order val="2"/>
          <c:tx>
            <c:strRef>
              <c:f>'BAJAS-DEF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1-463E-8856-65F9255921C1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1-463E-8856-65F9255921C1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1-463E-8856-65F9255921C1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1-463E-8856-65F9255921C1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1-463E-8856-65F9255921C1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01-463E-8856-65F9255921C1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01-463E-8856-65F9255921C1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01-463E-8856-65F9255921C1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('BAJAS-DEF uni'!$C$19:$O$19,'BAJAS-DEF uni'!$P$19,'BAJAS-DEF uni'!$Q$19,'BAJAS-DEF uni'!$R$19)</c:f>
              <c:numCache>
                <c:formatCode>General</c:formatCode>
                <c:ptCount val="16"/>
                <c:pt idx="0">
                  <c:v>319</c:v>
                </c:pt>
                <c:pt idx="1">
                  <c:v>337</c:v>
                </c:pt>
                <c:pt idx="2">
                  <c:v>302</c:v>
                </c:pt>
                <c:pt idx="3">
                  <c:v>245</c:v>
                </c:pt>
                <c:pt idx="4">
                  <c:v>262</c:v>
                </c:pt>
                <c:pt idx="5">
                  <c:v>293</c:v>
                </c:pt>
                <c:pt idx="6">
                  <c:v>295</c:v>
                </c:pt>
                <c:pt idx="7">
                  <c:v>285</c:v>
                </c:pt>
                <c:pt idx="8">
                  <c:v>229</c:v>
                </c:pt>
                <c:pt idx="9">
                  <c:v>253</c:v>
                </c:pt>
                <c:pt idx="10">
                  <c:v>269</c:v>
                </c:pt>
                <c:pt idx="11">
                  <c:v>234</c:v>
                </c:pt>
                <c:pt idx="12">
                  <c:v>192</c:v>
                </c:pt>
                <c:pt idx="13">
                  <c:v>256</c:v>
                </c:pt>
                <c:pt idx="14">
                  <c:v>211</c:v>
                </c:pt>
                <c:pt idx="15" formatCode="#,##0">
                  <c:v>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F101-463E-8856-65F9255921C1}"/>
            </c:ext>
          </c:extLst>
        </c:ser>
        <c:ser>
          <c:idx val="3"/>
          <c:order val="3"/>
          <c:tx>
            <c:strRef>
              <c:f>'BAJAS-DEF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01-463E-8856-65F9255921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4">
                        <a:lumMod val="20000"/>
                        <a:lumOff val="80000"/>
                      </a:schemeClr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('BAJAS-DEF uni'!$C$24:$O$24,'BAJAS-DEF uni'!$P$24,'BAJAS-DEF uni'!$Q$24,'BAJAS-DEF uni'!$R$24)</c:f>
              <c:numCache>
                <c:formatCode>General</c:formatCode>
                <c:ptCount val="16"/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14</c:v>
                </c:pt>
                <c:pt idx="13">
                  <c:v>16</c:v>
                </c:pt>
                <c:pt idx="14">
                  <c:v>22</c:v>
                </c:pt>
                <c:pt idx="15" formatCode="#,##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01-463E-8856-65F9255921C1}"/>
            </c:ext>
          </c:extLst>
        </c:ser>
        <c:ser>
          <c:idx val="4"/>
          <c:order val="4"/>
          <c:tx>
            <c:strRef>
              <c:f>'BAJAS-DEF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('BAJAS-DEF uni'!$C$4:$O$4,'BAJAS-DEF uni'!$P$4,'BAJAS-DEF uni'!$Q$4,'BAJAS-DEF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('BAJAS-DEF uni'!$C$29:$O$29,'BAJAS-DEF uni'!$P$29,'BAJAS-DEF uni'!$Q$29,'BAJAS-DEF uni'!$R$29)</c:f>
              <c:numCache>
                <c:formatCode>General</c:formatCode>
                <c:ptCount val="16"/>
                <c:pt idx="0">
                  <c:v>201</c:v>
                </c:pt>
                <c:pt idx="1">
                  <c:v>205</c:v>
                </c:pt>
                <c:pt idx="2">
                  <c:v>240</c:v>
                </c:pt>
                <c:pt idx="3">
                  <c:v>214</c:v>
                </c:pt>
                <c:pt idx="4">
                  <c:v>177</c:v>
                </c:pt>
                <c:pt idx="5">
                  <c:v>242</c:v>
                </c:pt>
                <c:pt idx="6">
                  <c:v>207</c:v>
                </c:pt>
                <c:pt idx="7">
                  <c:v>204</c:v>
                </c:pt>
                <c:pt idx="8">
                  <c:v>228</c:v>
                </c:pt>
                <c:pt idx="9">
                  <c:v>226</c:v>
                </c:pt>
                <c:pt idx="10">
                  <c:v>237</c:v>
                </c:pt>
                <c:pt idx="11">
                  <c:v>238</c:v>
                </c:pt>
                <c:pt idx="12">
                  <c:v>209</c:v>
                </c:pt>
                <c:pt idx="13">
                  <c:v>219</c:v>
                </c:pt>
                <c:pt idx="14">
                  <c:v>152</c:v>
                </c:pt>
                <c:pt idx="15" formatCode="#,##0">
                  <c:v>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101-463E-8856-65F925592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4868992"/>
        <c:axId val="114870528"/>
        <c:axId val="0"/>
      </c:bar3DChart>
      <c:catAx>
        <c:axId val="11486899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14870528"/>
        <c:crosses val="autoZero"/>
        <c:auto val="1"/>
        <c:lblAlgn val="ctr"/>
        <c:lblOffset val="100"/>
        <c:noMultiLvlLbl val="0"/>
      </c:catAx>
      <c:valAx>
        <c:axId val="1148705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4868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Bajas Reglamentarias de Licenciatura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'BAJAS-REG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2E-4416-BCE9-B62B460B784E}"/>
                </c:ext>
              </c:extLst>
            </c:dLbl>
            <c:dLbl>
              <c:idx val="1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2E-4416-BCE9-B62B460B784E}"/>
                </c:ext>
              </c:extLst>
            </c:dLbl>
            <c:dLbl>
              <c:idx val="2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2E-4416-BCE9-B62B460B784E}"/>
                </c:ext>
              </c:extLst>
            </c:dLbl>
            <c:dLbl>
              <c:idx val="3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E-4416-BCE9-B62B460B784E}"/>
                </c:ext>
              </c:extLst>
            </c:dLbl>
            <c:dLbl>
              <c:idx val="4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E-4416-BCE9-B62B460B784E}"/>
                </c:ext>
              </c:extLst>
            </c:dLbl>
            <c:dLbl>
              <c:idx val="5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E-4416-BCE9-B62B460B784E}"/>
                </c:ext>
              </c:extLst>
            </c:dLbl>
            <c:dLbl>
              <c:idx val="6"/>
              <c:layout>
                <c:manualLayout>
                  <c:x val="8.8476007048542121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E-4416-BCE9-B62B460B784E}"/>
                </c:ext>
              </c:extLst>
            </c:dLbl>
            <c:dLbl>
              <c:idx val="7"/>
              <c:layout>
                <c:manualLayout>
                  <c:x val="8.8476007048542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E-4416-BCE9-B62B460B784E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('BAJAS-REG uni'!$C$9:$P$9,'BAJAS-REG uni'!$Q$9,'BAJAS-REG uni'!$R$9)</c:f>
              <c:numCache>
                <c:formatCode>#,##0</c:formatCode>
                <c:ptCount val="16"/>
                <c:pt idx="0">
                  <c:v>1717</c:v>
                </c:pt>
                <c:pt idx="1">
                  <c:v>1610</c:v>
                </c:pt>
                <c:pt idx="2">
                  <c:v>1626</c:v>
                </c:pt>
                <c:pt idx="3">
                  <c:v>1507</c:v>
                </c:pt>
                <c:pt idx="4">
                  <c:v>1743</c:v>
                </c:pt>
                <c:pt idx="5">
                  <c:v>1469</c:v>
                </c:pt>
                <c:pt idx="6">
                  <c:v>1569</c:v>
                </c:pt>
                <c:pt idx="7">
                  <c:v>1534</c:v>
                </c:pt>
                <c:pt idx="8">
                  <c:v>1526</c:v>
                </c:pt>
                <c:pt idx="9">
                  <c:v>1391</c:v>
                </c:pt>
                <c:pt idx="10">
                  <c:v>1294</c:v>
                </c:pt>
                <c:pt idx="11">
                  <c:v>1270</c:v>
                </c:pt>
                <c:pt idx="12">
                  <c:v>1575</c:v>
                </c:pt>
                <c:pt idx="13">
                  <c:v>1494</c:v>
                </c:pt>
                <c:pt idx="14">
                  <c:v>990</c:v>
                </c:pt>
                <c:pt idx="15">
                  <c:v>2213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52E-4416-BCE9-B62B460B784E}"/>
            </c:ext>
          </c:extLst>
        </c:ser>
        <c:ser>
          <c:idx val="1"/>
          <c:order val="1"/>
          <c:tx>
            <c:strRef>
              <c:f>'BAJAS-REG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9.1648670498466166E-3"/>
                  <c:y val="-5.0987890376035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E-4416-BCE9-B62B460B784E}"/>
                </c:ext>
              </c:extLst>
            </c:dLbl>
            <c:dLbl>
              <c:idx val="3"/>
              <c:layout>
                <c:manualLayout>
                  <c:x val="7.7583972889464763E-3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E-4416-BCE9-B62B460B784E}"/>
                </c:ext>
              </c:extLst>
            </c:dLbl>
            <c:dLbl>
              <c:idx val="4"/>
              <c:layout>
                <c:manualLayout>
                  <c:x val="5.3085927550195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E-4416-BCE9-B62B460B784E}"/>
                </c:ext>
              </c:extLst>
            </c:dLbl>
            <c:dLbl>
              <c:idx val="5"/>
              <c:layout>
                <c:manualLayout>
                  <c:x val="1.0571336810746759E-2"/>
                  <c:y val="-2.54939451880178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E-4416-BCE9-B62B460B784E}"/>
                </c:ext>
              </c:extLst>
            </c:dLbl>
            <c:dLbl>
              <c:idx val="6"/>
              <c:layout>
                <c:manualLayout>
                  <c:x val="1.0934471798620109E-2"/>
                  <c:y val="-7.64818355640535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E-4416-BCE9-B62B460B784E}"/>
                </c:ext>
              </c:extLst>
            </c:dLbl>
            <c:dLbl>
              <c:idx val="7"/>
              <c:layout>
                <c:manualLayout>
                  <c:x val="8.4845565190427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2E-4416-BCE9-B62B460B784E}"/>
                </c:ext>
              </c:extLst>
            </c:dLbl>
            <c:dLbl>
              <c:idx val="8"/>
              <c:layout>
                <c:manualLayout>
                  <c:x val="8.1215322768198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2E-4416-BCE9-B62B460B784E}"/>
                </c:ext>
              </c:extLst>
            </c:dLbl>
            <c:dLbl>
              <c:idx val="10"/>
              <c:layout>
                <c:manualLayout>
                  <c:x val="9.84528832630098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('BAJAS-REG uni'!$C$14:$P$14,'BAJAS-REG uni'!$Q$14,'BAJAS-REG uni'!$R$14)</c:f>
              <c:numCache>
                <c:formatCode>#,##0</c:formatCode>
                <c:ptCount val="16"/>
                <c:pt idx="4">
                  <c:v>3</c:v>
                </c:pt>
                <c:pt idx="5">
                  <c:v>5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73</c:v>
                </c:pt>
                <c:pt idx="14">
                  <c:v>13</c:v>
                </c:pt>
                <c:pt idx="15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B52E-4416-BCE9-B62B460B784E}"/>
            </c:ext>
          </c:extLst>
        </c:ser>
        <c:ser>
          <c:idx val="2"/>
          <c:order val="2"/>
          <c:tx>
            <c:strRef>
              <c:f>'BAJAS-REG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E-4416-BCE9-B62B460B784E}"/>
                </c:ext>
              </c:extLst>
            </c:dLbl>
            <c:dLbl>
              <c:idx val="1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E-4416-BCE9-B62B460B784E}"/>
                </c:ext>
              </c:extLst>
            </c:dLbl>
            <c:dLbl>
              <c:idx val="2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E-4416-BCE9-B62B460B784E}"/>
                </c:ext>
              </c:extLst>
            </c:dLbl>
            <c:dLbl>
              <c:idx val="3"/>
              <c:layout>
                <c:manualLayout>
                  <c:x val="5.3085604229125274E-3"/>
                  <c:y val="-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E-4416-BCE9-B62B460B784E}"/>
                </c:ext>
              </c:extLst>
            </c:dLbl>
            <c:dLbl>
              <c:idx val="4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E-4416-BCE9-B62B460B784E}"/>
                </c:ext>
              </c:extLst>
            </c:dLbl>
            <c:dLbl>
              <c:idx val="5"/>
              <c:layout>
                <c:manualLayout>
                  <c:x val="7.0780805638833693E-3"/>
                  <c:y val="6.565128575666531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E-4416-BCE9-B62B460B784E}"/>
                </c:ext>
              </c:extLst>
            </c:dLbl>
            <c:dLbl>
              <c:idx val="6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E-4416-BCE9-B62B460B784E}"/>
                </c:ext>
              </c:extLst>
            </c:dLbl>
            <c:dLbl>
              <c:idx val="7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E-4416-BCE9-B62B460B784E}"/>
                </c:ext>
              </c:extLst>
            </c:dLbl>
            <c:dLbl>
              <c:idx val="8"/>
              <c:layout>
                <c:manualLayout>
                  <c:x val="7.0780805638833693E-3"/>
                  <c:y val="-3.5810205908683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('BAJAS-REG uni'!$C$19:$P$19,'BAJAS-REG uni'!$Q$19,'BAJAS-REG uni'!$R$19)</c:f>
              <c:numCache>
                <c:formatCode>#,##0</c:formatCode>
                <c:ptCount val="16"/>
                <c:pt idx="0">
                  <c:v>1591</c:v>
                </c:pt>
                <c:pt idx="1">
                  <c:v>1212</c:v>
                </c:pt>
                <c:pt idx="2">
                  <c:v>1315</c:v>
                </c:pt>
                <c:pt idx="3">
                  <c:v>1586</c:v>
                </c:pt>
                <c:pt idx="4">
                  <c:v>1794</c:v>
                </c:pt>
                <c:pt idx="5">
                  <c:v>1639</c:v>
                </c:pt>
                <c:pt idx="6">
                  <c:v>1567</c:v>
                </c:pt>
                <c:pt idx="7">
                  <c:v>1435</c:v>
                </c:pt>
                <c:pt idx="8">
                  <c:v>1164</c:v>
                </c:pt>
                <c:pt idx="9">
                  <c:v>1005</c:v>
                </c:pt>
                <c:pt idx="10">
                  <c:v>1048</c:v>
                </c:pt>
                <c:pt idx="11">
                  <c:v>930</c:v>
                </c:pt>
                <c:pt idx="12">
                  <c:v>1064</c:v>
                </c:pt>
                <c:pt idx="13">
                  <c:v>1118</c:v>
                </c:pt>
                <c:pt idx="14">
                  <c:v>612</c:v>
                </c:pt>
                <c:pt idx="15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B52E-4416-BCE9-B62B460B784E}"/>
            </c:ext>
          </c:extLst>
        </c:ser>
        <c:ser>
          <c:idx val="3"/>
          <c:order val="3"/>
          <c:tx>
            <c:strRef>
              <c:f>'BAJAS-REG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2E-4416-BCE9-B62B460B784E}"/>
                </c:ext>
              </c:extLst>
            </c:dLbl>
            <c:dLbl>
              <c:idx val="9"/>
              <c:layout>
                <c:manualLayout>
                  <c:x val="2.8955529431281699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2E-4416-BCE9-B62B460B784E}"/>
                </c:ext>
              </c:extLst>
            </c:dLbl>
            <c:dLbl>
              <c:idx val="11"/>
              <c:layout>
                <c:manualLayout>
                  <c:x val="2.8955529431281699E-2"/>
                  <c:y val="-6.9930069930069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2E-4416-BCE9-B62B460B784E}"/>
                </c:ext>
              </c:extLst>
            </c:dLbl>
            <c:dLbl>
              <c:idx val="12"/>
              <c:layout>
                <c:manualLayout>
                  <c:x val="2.757669469645866E-2"/>
                  <c:y val="-9.324009324009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2E-4416-BCE9-B62B460B784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2E-4416-BCE9-B62B460B784E}"/>
                </c:ext>
              </c:extLst>
            </c:dLbl>
            <c:dLbl>
              <c:idx val="14"/>
              <c:layout>
                <c:manualLayout>
                  <c:x val="2.7576694696458761E-2"/>
                  <c:y val="-1.1655011655011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('BAJAS-REG uni'!$C$24:$P$24,'BAJAS-REG uni'!$Q$24,'BAJAS-REG uni'!$R$24)</c:f>
              <c:numCache>
                <c:formatCode>#,##0</c:formatCode>
                <c:ptCount val="16"/>
                <c:pt idx="9">
                  <c:v>3</c:v>
                </c:pt>
                <c:pt idx="11">
                  <c:v>7</c:v>
                </c:pt>
                <c:pt idx="12">
                  <c:v>6</c:v>
                </c:pt>
                <c:pt idx="1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52E-4416-BCE9-B62B460B784E}"/>
            </c:ext>
          </c:extLst>
        </c:ser>
        <c:ser>
          <c:idx val="4"/>
          <c:order val="4"/>
          <c:tx>
            <c:strRef>
              <c:f>'BAJAS-REG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2E-4416-BCE9-B62B460B784E}"/>
                </c:ext>
              </c:extLst>
            </c:dLbl>
            <c:dLbl>
              <c:idx val="1"/>
              <c:layout>
                <c:manualLayout>
                  <c:x val="5.3085604229125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2E-4416-BCE9-B62B460B784E}"/>
                </c:ext>
              </c:extLst>
            </c:dLbl>
            <c:dLbl>
              <c:idx val="2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2E-4416-BCE9-B62B460B784E}"/>
                </c:ext>
              </c:extLst>
            </c:dLbl>
            <c:dLbl>
              <c:idx val="3"/>
              <c:layout>
                <c:manualLayout>
                  <c:x val="7.0780805638833693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2E-4416-BCE9-B62B460B784E}"/>
                </c:ext>
              </c:extLst>
            </c:dLbl>
            <c:dLbl>
              <c:idx val="4"/>
              <c:layout>
                <c:manualLayout>
                  <c:x val="7.07808056388336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2E-4416-BCE9-B62B460B784E}"/>
                </c:ext>
              </c:extLst>
            </c:dLbl>
            <c:dLbl>
              <c:idx val="5"/>
              <c:layout>
                <c:manualLayout>
                  <c:x val="8.8476007048542121E-3"/>
                  <c:y val="-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2E-4416-BCE9-B62B460B784E}"/>
                </c:ext>
              </c:extLst>
            </c:dLbl>
            <c:dLbl>
              <c:idx val="6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2E-4416-BCE9-B62B460B784E}"/>
                </c:ext>
              </c:extLst>
            </c:dLbl>
            <c:dLbl>
              <c:idx val="7"/>
              <c:layout>
                <c:manualLayout>
                  <c:x val="5.3085604229125274E-3"/>
                  <c:y val="3.282564287833265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2E-4416-BCE9-B62B460B784E}"/>
                </c:ext>
              </c:extLst>
            </c:dLbl>
            <c:dLbl>
              <c:idx val="8"/>
              <c:layout>
                <c:manualLayout>
                  <c:x val="1.061712084582505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52E-4416-BCE9-B62B460B78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('BAJAS-REG uni'!$C$4:$O$4,'BAJAS-REG uni'!$P$4,'BAJAS-REG uni'!$Q$4,'BAJAS-REG uni'!$R$4)</c:f>
              <c:numCache>
                <c:formatCode>General</c:formatCode>
                <c:ptCount val="16"/>
                <c:pt idx="0" formatCode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  <c:pt idx="14">
                  <c:v>2016</c:v>
                </c:pt>
                <c:pt idx="15">
                  <c:v>2017</c:v>
                </c:pt>
              </c:numCache>
            </c:numRef>
          </c:cat>
          <c:val>
            <c:numRef>
              <c:f>('BAJAS-REG uni'!$C$29:$P$29,'BAJAS-REG uni'!$Q$29,'BAJAS-REG uni'!$R$29)</c:f>
              <c:numCache>
                <c:formatCode>#,##0</c:formatCode>
                <c:ptCount val="16"/>
                <c:pt idx="0">
                  <c:v>1340</c:v>
                </c:pt>
                <c:pt idx="1">
                  <c:v>1199</c:v>
                </c:pt>
                <c:pt idx="2">
                  <c:v>1121</c:v>
                </c:pt>
                <c:pt idx="3">
                  <c:v>1225</c:v>
                </c:pt>
                <c:pt idx="4">
                  <c:v>1148</c:v>
                </c:pt>
                <c:pt idx="5">
                  <c:v>1228</c:v>
                </c:pt>
                <c:pt idx="6">
                  <c:v>1281</c:v>
                </c:pt>
                <c:pt idx="7">
                  <c:v>1306</c:v>
                </c:pt>
                <c:pt idx="8">
                  <c:v>1338</c:v>
                </c:pt>
                <c:pt idx="9">
                  <c:v>1207</c:v>
                </c:pt>
                <c:pt idx="10">
                  <c:v>1190</c:v>
                </c:pt>
                <c:pt idx="11">
                  <c:v>1007</c:v>
                </c:pt>
                <c:pt idx="12">
                  <c:v>1115</c:v>
                </c:pt>
                <c:pt idx="13">
                  <c:v>1108</c:v>
                </c:pt>
                <c:pt idx="14">
                  <c:v>582</c:v>
                </c:pt>
                <c:pt idx="15">
                  <c:v>1644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B52E-4416-BCE9-B62B460B78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4338816"/>
        <c:axId val="114508544"/>
        <c:axId val="0"/>
      </c:bar3DChart>
      <c:catAx>
        <c:axId val="1143388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14508544"/>
        <c:crosses val="autoZero"/>
        <c:auto val="1"/>
        <c:lblAlgn val="ctr"/>
        <c:lblOffset val="100"/>
        <c:noMultiLvlLbl val="0"/>
      </c:catAx>
      <c:valAx>
        <c:axId val="1145085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433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79256939160884E-2"/>
          <c:y val="0.93913430993209979"/>
          <c:w val="0.83696395096754084"/>
          <c:h val="3.617430230399020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B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3994910941475827E-2"/>
          <c:y val="4.3210993365299773E-2"/>
          <c:w val="0.97201017811704837"/>
          <c:h val="0.7827682126116504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uni'!$A$7:$A$10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C-4727-AC9F-5DED74D37E92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C-4727-AC9F-5DED74D37E92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C-4727-AC9F-5DED74D37E92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C-4727-AC9F-5DED74D37E9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0C-4727-AC9F-5DED74D37E92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C-4727-AC9F-5DED74D37E9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0C-4727-AC9F-5DED74D37E92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0C-4727-AC9F-5DED74D37E92}"/>
                </c:ext>
              </c:extLst>
            </c:dLbl>
            <c:dLbl>
              <c:idx val="10"/>
              <c:layout>
                <c:manualLayout>
                  <c:x val="5.72246130270018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0C-4727-AC9F-5DED74D37E9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uni'!$C$5:$Q$5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uni'!$C$10:$M$10,'ACTIVOS uni'!$N$10,'ACTIVOS uni'!$O$10,'ACTIVOS uni'!$P$10,'ACTIVOS uni'!$Q$10)</c:f>
              <c:numCache>
                <c:formatCode>#,##0</c:formatCode>
                <c:ptCount val="15"/>
                <c:pt idx="0">
                  <c:v>14809</c:v>
                </c:pt>
                <c:pt idx="1">
                  <c:v>15053</c:v>
                </c:pt>
                <c:pt idx="2">
                  <c:v>15326</c:v>
                </c:pt>
                <c:pt idx="3">
                  <c:v>15516</c:v>
                </c:pt>
                <c:pt idx="4">
                  <c:v>15714</c:v>
                </c:pt>
                <c:pt idx="5">
                  <c:v>16179</c:v>
                </c:pt>
                <c:pt idx="6">
                  <c:v>16371</c:v>
                </c:pt>
                <c:pt idx="7">
                  <c:v>17035</c:v>
                </c:pt>
                <c:pt idx="8">
                  <c:v>17391</c:v>
                </c:pt>
                <c:pt idx="9">
                  <c:v>17855</c:v>
                </c:pt>
                <c:pt idx="10">
                  <c:v>18138</c:v>
                </c:pt>
                <c:pt idx="11">
                  <c:v>17966</c:v>
                </c:pt>
                <c:pt idx="12">
                  <c:v>17808</c:v>
                </c:pt>
                <c:pt idx="13">
                  <c:v>17637</c:v>
                </c:pt>
                <c:pt idx="14">
                  <c:v>17249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C0C-4727-AC9F-5DED74D37E92}"/>
            </c:ext>
          </c:extLst>
        </c:ser>
        <c:ser>
          <c:idx val="3"/>
          <c:order val="1"/>
          <c:tx>
            <c:strRef>
              <c:f>'ACTIVOS uni'!$A$12:$A$15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2"/>
              <c:layout>
                <c:manualLayout>
                  <c:x val="8.9988762033339775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0C-4727-AC9F-5DED74D37E92}"/>
                </c:ext>
              </c:extLst>
            </c:dLbl>
            <c:dLbl>
              <c:idx val="3"/>
              <c:layout>
                <c:manualLayout>
                  <c:x val="5.9992508022227069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0C-4727-AC9F-5DED74D37E92}"/>
                </c:ext>
              </c:extLst>
            </c:dLbl>
            <c:dLbl>
              <c:idx val="4"/>
              <c:layout>
                <c:manualLayout>
                  <c:x val="4.4994381016669888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0C-4727-AC9F-5DED74D37E92}"/>
                </c:ext>
              </c:extLst>
            </c:dLbl>
            <c:dLbl>
              <c:idx val="5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0C-4727-AC9F-5DED74D37E92}"/>
                </c:ext>
              </c:extLst>
            </c:dLbl>
            <c:dLbl>
              <c:idx val="6"/>
              <c:layout>
                <c:manualLayout>
                  <c:x val="4.7070623620991021E-3"/>
                  <c:y val="-9.58086816283262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0C-4727-AC9F-5DED74D37E92}"/>
                </c:ext>
              </c:extLst>
            </c:dLbl>
            <c:dLbl>
              <c:idx val="7"/>
              <c:layout>
                <c:manualLayout>
                  <c:x val="5.9992508022226514E-3"/>
                  <c:y val="-9.58083470947816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0C-4727-AC9F-5DED74D37E92}"/>
                </c:ext>
              </c:extLst>
            </c:dLbl>
            <c:dLbl>
              <c:idx val="8"/>
              <c:layout>
                <c:manualLayout>
                  <c:x val="5.99925080222265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0C-4727-AC9F-5DED74D37E92}"/>
                </c:ext>
              </c:extLst>
            </c:dLbl>
            <c:dLbl>
              <c:idx val="9"/>
              <c:layout>
                <c:manualLayout>
                  <c:x val="5.99925080222276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0C-4727-AC9F-5DED74D37E92}"/>
                </c:ext>
              </c:extLst>
            </c:dLbl>
            <c:dLbl>
              <c:idx val="10"/>
              <c:layout>
                <c:manualLayout>
                  <c:x val="5.72246130270039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0C-4727-AC9F-5DED74D37E92}"/>
                </c:ext>
              </c:extLst>
            </c:dLbl>
            <c:dLbl>
              <c:idx val="11"/>
              <c:layout>
                <c:manualLayout>
                  <c:x val="5.72246130270029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0C-4727-AC9F-5DED74D37E92}"/>
                </c:ext>
              </c:extLst>
            </c:dLbl>
            <c:dLbl>
              <c:idx val="12"/>
              <c:layout>
                <c:manualLayout>
                  <c:x val="5.8377126903967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09-4BA2-A4C6-8A6A7E2958BC}"/>
                </c:ext>
              </c:extLst>
            </c:dLbl>
            <c:dLbl>
              <c:idx val="13"/>
              <c:layout>
                <c:manualLayout>
                  <c:x val="4.6701701523174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09-4BA2-A4C6-8A6A7E2958BC}"/>
                </c:ext>
              </c:extLst>
            </c:dLbl>
            <c:dLbl>
              <c:idx val="14"/>
              <c:layout>
                <c:manualLayout>
                  <c:x val="6.1461169735510064E-3"/>
                  <c:y val="-4.7101491579134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09-4BA2-A4C6-8A6A7E295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uni'!$C$5:$Q$5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uni'!$C$15:$P$15,'ACTIVOS uni'!$Q$15)</c:f>
              <c:numCache>
                <c:formatCode>#,##0</c:formatCode>
                <c:ptCount val="15"/>
                <c:pt idx="2">
                  <c:v>203</c:v>
                </c:pt>
                <c:pt idx="3">
                  <c:v>287</c:v>
                </c:pt>
                <c:pt idx="4">
                  <c:v>562</c:v>
                </c:pt>
                <c:pt idx="5">
                  <c:v>871</c:v>
                </c:pt>
                <c:pt idx="6">
                  <c:v>1054</c:v>
                </c:pt>
                <c:pt idx="7">
                  <c:v>1205</c:v>
                </c:pt>
                <c:pt idx="8">
                  <c:v>1388</c:v>
                </c:pt>
                <c:pt idx="9">
                  <c:v>1528</c:v>
                </c:pt>
                <c:pt idx="10">
                  <c:v>1654</c:v>
                </c:pt>
                <c:pt idx="11">
                  <c:v>2009</c:v>
                </c:pt>
                <c:pt idx="12">
                  <c:v>2326</c:v>
                </c:pt>
                <c:pt idx="13">
                  <c:v>2697</c:v>
                </c:pt>
                <c:pt idx="14">
                  <c:v>3006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C0C-4727-AC9F-5DED74D37E92}"/>
            </c:ext>
          </c:extLst>
        </c:ser>
        <c:ser>
          <c:idx val="1"/>
          <c:order val="2"/>
          <c:tx>
            <c:strRef>
              <c:f>'ACTIVOS uni'!$A$17:$A$20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0C-4727-AC9F-5DED74D37E92}"/>
                </c:ext>
              </c:extLst>
            </c:dLbl>
            <c:dLbl>
              <c:idx val="1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0C-4727-AC9F-5DED74D37E92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0C-4727-AC9F-5DED74D37E92}"/>
                </c:ext>
              </c:extLst>
            </c:dLbl>
            <c:dLbl>
              <c:idx val="3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0C-4727-AC9F-5DED74D37E9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0C-4727-AC9F-5DED74D37E92}"/>
                </c:ext>
              </c:extLst>
            </c:dLbl>
            <c:dLbl>
              <c:idx val="5"/>
              <c:layout>
                <c:manualLayout>
                  <c:x val="7.499063502778314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0C-4727-AC9F-5DED74D37E92}"/>
                </c:ext>
              </c:extLst>
            </c:dLbl>
            <c:dLbl>
              <c:idx val="6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0C-4727-AC9F-5DED74D37E92}"/>
                </c:ext>
              </c:extLst>
            </c:dLbl>
            <c:dLbl>
              <c:idx val="7"/>
              <c:layout>
                <c:manualLayout>
                  <c:x val="8.9988762033339775E-3"/>
                  <c:y val="3.19361156982599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0C-4727-AC9F-5DED74D37E92}"/>
                </c:ext>
              </c:extLst>
            </c:dLbl>
            <c:dLbl>
              <c:idx val="9"/>
              <c:layout>
                <c:manualLayout>
                  <c:x val="1.0498570808401518E-2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0C-4727-AC9F-5DED74D37E92}"/>
                </c:ext>
              </c:extLst>
            </c:dLbl>
            <c:dLbl>
              <c:idx val="11"/>
              <c:layout>
                <c:manualLayout>
                  <c:x val="8.58369195405054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uni'!$C$5:$Q$5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uni'!$C$20:$M$20,'ACTIVOS uni'!$N$20,'ACTIVOS uni'!$O$20,'ACTIVOS uni'!$P$20,'ACTIVOS uni'!$Q$20)</c:f>
              <c:numCache>
                <c:formatCode>#,##0</c:formatCode>
                <c:ptCount val="15"/>
                <c:pt idx="0">
                  <c:v>12203</c:v>
                </c:pt>
                <c:pt idx="1">
                  <c:v>12093</c:v>
                </c:pt>
                <c:pt idx="2">
                  <c:v>11948</c:v>
                </c:pt>
                <c:pt idx="3">
                  <c:v>12096</c:v>
                </c:pt>
                <c:pt idx="4">
                  <c:v>12200</c:v>
                </c:pt>
                <c:pt idx="5">
                  <c:v>12545</c:v>
                </c:pt>
                <c:pt idx="6">
                  <c:v>12769</c:v>
                </c:pt>
                <c:pt idx="7">
                  <c:v>13388</c:v>
                </c:pt>
                <c:pt idx="8">
                  <c:v>13841</c:v>
                </c:pt>
                <c:pt idx="9">
                  <c:v>14547</c:v>
                </c:pt>
                <c:pt idx="10">
                  <c:v>15315</c:v>
                </c:pt>
                <c:pt idx="11">
                  <c:v>15582</c:v>
                </c:pt>
                <c:pt idx="12">
                  <c:v>15677</c:v>
                </c:pt>
                <c:pt idx="13">
                  <c:v>15778</c:v>
                </c:pt>
                <c:pt idx="14">
                  <c:v>15486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C0C-4727-AC9F-5DED74D37E92}"/>
            </c:ext>
          </c:extLst>
        </c:ser>
        <c:ser>
          <c:idx val="4"/>
          <c:order val="3"/>
          <c:tx>
            <c:strRef>
              <c:f>'ACTIVOS uni'!$A$22:$A$25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0356105990063116E-2"/>
                  <c:y val="-1.0482171263833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0C-4727-AC9F-5DED74D37E92}"/>
                </c:ext>
              </c:extLst>
            </c:dLbl>
            <c:dLbl>
              <c:idx val="9"/>
              <c:layout>
                <c:manualLayout>
                  <c:x val="2.9853143373855945E-2"/>
                  <c:y val="-1.0481632869883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0C-4727-AC9F-5DED74D37E92}"/>
                </c:ext>
              </c:extLst>
            </c:dLbl>
            <c:dLbl>
              <c:idx val="10"/>
              <c:layout>
                <c:manualLayout>
                  <c:x val="3.0356105990063203E-2"/>
                  <c:y val="-9.1168042083742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8-4BD2-841D-4DEE9AB17468}"/>
                </c:ext>
              </c:extLst>
            </c:dLbl>
            <c:dLbl>
              <c:idx val="11"/>
              <c:layout>
                <c:manualLayout>
                  <c:x val="2.9977803821228829E-2"/>
                  <c:y val="-6.83760315628072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0C-4727-AC9F-5DED74D37E92}"/>
                </c:ext>
              </c:extLst>
            </c:dLbl>
            <c:dLbl>
              <c:idx val="12"/>
              <c:layout>
                <c:manualLayout>
                  <c:x val="3.2845517692280453E-2"/>
                  <c:y val="-1.2611535386507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37726806796969E-2"/>
                      <c:h val="3.70862995871537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B9A8-4BD2-841D-4DEE9AB17468}"/>
                </c:ext>
              </c:extLst>
            </c:dLbl>
            <c:dLbl>
              <c:idx val="13"/>
              <c:layout>
                <c:manualLayout>
                  <c:x val="3.0356105990063029E-2"/>
                  <c:y val="-1.59544073646549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8-4BD2-841D-4DEE9AB17468}"/>
                </c:ext>
              </c:extLst>
            </c:dLbl>
            <c:dLbl>
              <c:idx val="14"/>
              <c:layout>
                <c:manualLayout>
                  <c:x val="3.1523648528142559E-2"/>
                  <c:y val="-1.1396005260467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8-4BD2-841D-4DEE9AB174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uni'!$C$5:$Q$5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uni'!$C$25:$M$25,'ACTIVOS uni'!$N$25,'ACTIVOS uni'!$O$25,'ACTIVOS uni'!$P$25,'ACTIVOS uni'!$Q$25)</c:f>
              <c:numCache>
                <c:formatCode>#,##0</c:formatCode>
                <c:ptCount val="15"/>
                <c:pt idx="8">
                  <c:v>173</c:v>
                </c:pt>
                <c:pt idx="9">
                  <c:v>228</c:v>
                </c:pt>
                <c:pt idx="10">
                  <c:v>377</c:v>
                </c:pt>
                <c:pt idx="11">
                  <c:v>458</c:v>
                </c:pt>
                <c:pt idx="12">
                  <c:v>594</c:v>
                </c:pt>
                <c:pt idx="13">
                  <c:v>674</c:v>
                </c:pt>
                <c:pt idx="14">
                  <c:v>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6C0C-4727-AC9F-5DED74D37E92}"/>
            </c:ext>
          </c:extLst>
        </c:ser>
        <c:ser>
          <c:idx val="2"/>
          <c:order val="4"/>
          <c:tx>
            <c:strRef>
              <c:f>'ACTIVOS uni'!$A$27:$A$30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C0C-4727-AC9F-5DED74D37E92}"/>
                </c:ext>
              </c:extLst>
            </c:dLbl>
            <c:dLbl>
              <c:idx val="1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C0C-4727-AC9F-5DED74D37E92}"/>
                </c:ext>
              </c:extLst>
            </c:dLbl>
            <c:dLbl>
              <c:idx val="2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C0C-4727-AC9F-5DED74D37E92}"/>
                </c:ext>
              </c:extLst>
            </c:dLbl>
            <c:dLbl>
              <c:idx val="3"/>
              <c:layout>
                <c:manualLayout>
                  <c:x val="4.4994381016669888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C0C-4727-AC9F-5DED74D37E92}"/>
                </c:ext>
              </c:extLst>
            </c:dLbl>
            <c:dLbl>
              <c:idx val="4"/>
              <c:layout>
                <c:manualLayout>
                  <c:x val="4.4994381016669888E-3"/>
                  <c:y val="2.92744345426395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C0C-4727-AC9F-5DED74D37E92}"/>
                </c:ext>
              </c:extLst>
            </c:dLbl>
            <c:dLbl>
              <c:idx val="5"/>
              <c:layout>
                <c:manualLayout>
                  <c:x val="4.499438101666988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C0C-4727-AC9F-5DED74D37E92}"/>
                </c:ext>
              </c:extLst>
            </c:dLbl>
            <c:dLbl>
              <c:idx val="6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0C-4727-AC9F-5DED74D37E92}"/>
                </c:ext>
              </c:extLst>
            </c:dLbl>
            <c:dLbl>
              <c:idx val="7"/>
              <c:layout>
                <c:manualLayout>
                  <c:x val="5.9992508022226514E-3"/>
                  <c:y val="-6.38722313965213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C0C-4727-AC9F-5DED74D37E9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0C-4727-AC9F-5DED74D37E92}"/>
                </c:ext>
              </c:extLst>
            </c:dLbl>
            <c:dLbl>
              <c:idx val="9"/>
              <c:layout>
                <c:manualLayout>
                  <c:x val="7.49906350277820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C0C-4727-AC9F-5DED74D37E92}"/>
                </c:ext>
              </c:extLst>
            </c:dLbl>
            <c:dLbl>
              <c:idx val="11"/>
              <c:layout>
                <c:manualLayout>
                  <c:x val="5.7224613027003967E-3"/>
                  <c:y val="-2.63690919324221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C0C-4727-AC9F-5DED74D37E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'ACTIVOS uni'!$C$5:$Q$5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uni'!$C$30:$M$30,'ACTIVOS uni'!$N$30,'ACTIVOS uni'!$O$30,'ACTIVOS uni'!$P$30,'ACTIVOS uni'!$Q$30)</c:f>
              <c:numCache>
                <c:formatCode>#,##0</c:formatCode>
                <c:ptCount val="15"/>
                <c:pt idx="0">
                  <c:v>15223</c:v>
                </c:pt>
                <c:pt idx="1">
                  <c:v>16100</c:v>
                </c:pt>
                <c:pt idx="2">
                  <c:v>17019</c:v>
                </c:pt>
                <c:pt idx="3">
                  <c:v>17549</c:v>
                </c:pt>
                <c:pt idx="4">
                  <c:v>17791</c:v>
                </c:pt>
                <c:pt idx="5">
                  <c:v>17791</c:v>
                </c:pt>
                <c:pt idx="6">
                  <c:v>17149</c:v>
                </c:pt>
                <c:pt idx="7">
                  <c:v>16968</c:v>
                </c:pt>
                <c:pt idx="8">
                  <c:v>16715</c:v>
                </c:pt>
                <c:pt idx="9">
                  <c:v>16770</c:v>
                </c:pt>
                <c:pt idx="10">
                  <c:v>16975</c:v>
                </c:pt>
                <c:pt idx="11">
                  <c:v>16883</c:v>
                </c:pt>
                <c:pt idx="12">
                  <c:v>16969</c:v>
                </c:pt>
                <c:pt idx="13">
                  <c:v>17114</c:v>
                </c:pt>
                <c:pt idx="14">
                  <c:v>17380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6C0C-4727-AC9F-5DED74D37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15580288"/>
        <c:axId val="115356800"/>
        <c:axId val="0"/>
      </c:bar3DChart>
      <c:catAx>
        <c:axId val="1155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15356800"/>
        <c:crosses val="autoZero"/>
        <c:auto val="1"/>
        <c:lblAlgn val="ctr"/>
        <c:lblOffset val="100"/>
        <c:noMultiLvlLbl val="0"/>
      </c:catAx>
      <c:valAx>
        <c:axId val="1153568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558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67241634233709"/>
          <c:y val="0.92308852917590489"/>
          <c:w val="0.73355567564554536"/>
          <c:h val="5.7749801405138801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effectLst>
          <a:outerShdw blurRad="76200" dist="12700" dir="8100000" sy="-23000" kx="800400" algn="br" rotWithShape="0">
            <a:prstClr val="black">
              <a:alpha val="20000"/>
            </a:prstClr>
          </a:outerShdw>
        </a:effectLst>
      </c:spPr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 uni'!$AP$67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101600" dist="12700" dir="8100000" sx="124000" sy="124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uni'!$AP$45:$AP$63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('EGRESO uni'!$F$9,'EGRESO uni'!$J$9,'EGRESO uni'!$N$9,'EGRESO uni'!$R$9,'EGRESO uni'!$V$9,'EGRESO uni'!$Z$9,'EGRESO uni'!$AD$9,'EGRESO uni'!$AH$9,'EGRESO uni'!$AL$9,'EGRESO uni'!$AP$9,'EGRESO uni'!$AT$9,'EGRESO uni'!$AX$9,'EGRESO uni'!$BB$9,'EGRESO uni'!$BF$9,'EGRESO uni'!$BJ$9,'EGRESO uni'!$BN$9,'EGRESO uni'!$BR$9,'EGRESO uni'!$BV$9,'EGRESO uni'!$BZ$9)</c:f>
              <c:numCache>
                <c:formatCode>#,##0</c:formatCode>
                <c:ptCount val="19"/>
                <c:pt idx="0">
                  <c:v>1409</c:v>
                </c:pt>
                <c:pt idx="1">
                  <c:v>1366</c:v>
                </c:pt>
                <c:pt idx="2">
                  <c:v>1296</c:v>
                </c:pt>
                <c:pt idx="3">
                  <c:v>1258</c:v>
                </c:pt>
                <c:pt idx="4">
                  <c:v>1467</c:v>
                </c:pt>
                <c:pt idx="5">
                  <c:v>1278</c:v>
                </c:pt>
                <c:pt idx="6">
                  <c:v>1291</c:v>
                </c:pt>
                <c:pt idx="7">
                  <c:v>1247</c:v>
                </c:pt>
                <c:pt idx="8">
                  <c:v>1196</c:v>
                </c:pt>
                <c:pt idx="9">
                  <c:v>1193</c:v>
                </c:pt>
                <c:pt idx="10">
                  <c:v>1214</c:v>
                </c:pt>
                <c:pt idx="11">
                  <c:v>1192</c:v>
                </c:pt>
                <c:pt idx="12">
                  <c:v>1085</c:v>
                </c:pt>
                <c:pt idx="13">
                  <c:v>1139</c:v>
                </c:pt>
                <c:pt idx="14">
                  <c:v>1579</c:v>
                </c:pt>
                <c:pt idx="15">
                  <c:v>1480</c:v>
                </c:pt>
                <c:pt idx="16">
                  <c:v>1499</c:v>
                </c:pt>
                <c:pt idx="17">
                  <c:v>1428</c:v>
                </c:pt>
                <c:pt idx="18">
                  <c:v>1675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9-4F4E-B1E7-37D007CE7425}"/>
            </c:ext>
          </c:extLst>
        </c:ser>
        <c:ser>
          <c:idx val="1"/>
          <c:order val="1"/>
          <c:tx>
            <c:strRef>
              <c:f>'EGRESO uni'!$AP$68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8"/>
              <c:layout>
                <c:manualLayout>
                  <c:x val="7.1916576770945703E-3"/>
                  <c:y val="-5.0955424235001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6C-425F-A626-502CFACD53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uni'!$AP$45:$AP$63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('EGRESO uni'!$F$14,'EGRESO uni'!$J$14,'EGRESO uni'!$N$14,'EGRESO uni'!$R$14,'EGRESO uni'!$V$14,'EGRESO uni'!$Z$14,'EGRESO uni'!$AD$14,'EGRESO uni'!$AH$14,'EGRESO uni'!$AL$14,'EGRESO uni'!$AP$14,'EGRESO uni'!$AT$14,'EGRESO uni'!$AX$14,'EGRESO uni'!$BB$14,'EGRESO uni'!$BF$14,'EGRESO uni'!$BJ$14,'EGRESO uni'!$BN$14,'EGRESO uni'!$BR$14,'EGRESO uni'!$BV$14,'EGRESO uni'!$BZ$14)</c:f>
              <c:numCache>
                <c:formatCode>#,##0</c:formatCode>
                <c:ptCount val="19"/>
                <c:pt idx="10">
                  <c:v>67</c:v>
                </c:pt>
                <c:pt idx="11">
                  <c:v>53</c:v>
                </c:pt>
                <c:pt idx="12">
                  <c:v>94</c:v>
                </c:pt>
                <c:pt idx="13">
                  <c:v>120</c:v>
                </c:pt>
                <c:pt idx="14">
                  <c:v>79</c:v>
                </c:pt>
                <c:pt idx="15">
                  <c:v>86</c:v>
                </c:pt>
                <c:pt idx="16">
                  <c:v>81</c:v>
                </c:pt>
                <c:pt idx="17">
                  <c:v>113</c:v>
                </c:pt>
                <c:pt idx="18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C9-4F4E-B1E7-37D007CE7425}"/>
            </c:ext>
          </c:extLst>
        </c:ser>
        <c:ser>
          <c:idx val="2"/>
          <c:order val="2"/>
          <c:tx>
            <c:strRef>
              <c:f>'EGRESO uni'!$AP$69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uni'!$AP$45:$AP$63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('EGRESO uni'!$F$19,'EGRESO uni'!$J$19,'EGRESO uni'!$N$19,'EGRESO uni'!$R$19,'EGRESO uni'!$V$19,'EGRESO uni'!$Z$19,'EGRESO uni'!$AD$19,'EGRESO uni'!$AH$19,'EGRESO uni'!$AL$19,'EGRESO uni'!$AP$19,'EGRESO uni'!$AT$19,'EGRESO uni'!$AX$19,'EGRESO uni'!$BB$19,'EGRESO uni'!$BF$19,'EGRESO uni'!$BJ$19,'EGRESO uni'!$BN$19,'EGRESO uni'!$BR$19,'EGRESO uni'!$BV$19,'EGRESO uni'!$BZ$19)</c:f>
              <c:numCache>
                <c:formatCode>#,##0</c:formatCode>
                <c:ptCount val="19"/>
                <c:pt idx="0">
                  <c:v>990</c:v>
                </c:pt>
                <c:pt idx="1">
                  <c:v>852</c:v>
                </c:pt>
                <c:pt idx="2">
                  <c:v>943</c:v>
                </c:pt>
                <c:pt idx="3">
                  <c:v>952</c:v>
                </c:pt>
                <c:pt idx="4">
                  <c:v>1040</c:v>
                </c:pt>
                <c:pt idx="5">
                  <c:v>1188</c:v>
                </c:pt>
                <c:pt idx="6">
                  <c:v>1097</c:v>
                </c:pt>
                <c:pt idx="7">
                  <c:v>1150</c:v>
                </c:pt>
                <c:pt idx="8">
                  <c:v>953</c:v>
                </c:pt>
                <c:pt idx="9">
                  <c:v>946</c:v>
                </c:pt>
                <c:pt idx="10">
                  <c:v>896</c:v>
                </c:pt>
                <c:pt idx="11">
                  <c:v>1089</c:v>
                </c:pt>
                <c:pt idx="12">
                  <c:v>916</c:v>
                </c:pt>
                <c:pt idx="13">
                  <c:v>1064</c:v>
                </c:pt>
                <c:pt idx="14">
                  <c:v>1185</c:v>
                </c:pt>
                <c:pt idx="15">
                  <c:v>1109</c:v>
                </c:pt>
                <c:pt idx="16">
                  <c:v>1132</c:v>
                </c:pt>
                <c:pt idx="17">
                  <c:v>1192</c:v>
                </c:pt>
                <c:pt idx="18">
                  <c:v>1256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C9-4F4E-B1E7-37D007CE7425}"/>
            </c:ext>
          </c:extLst>
        </c:ser>
        <c:ser>
          <c:idx val="4"/>
          <c:order val="3"/>
          <c:tx>
            <c:strRef>
              <c:f>'EGRESO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6"/>
              <c:layout>
                <c:manualLayout>
                  <c:x val="2.7498675658117342E-2"/>
                  <c:y val="-1.06302196889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C12-88B7-A04AE2444D7D}"/>
                </c:ext>
              </c:extLst>
            </c:dLbl>
            <c:dLbl>
              <c:idx val="17"/>
              <c:layout>
                <c:manualLayout>
                  <c:x val="2.5383392915185085E-2"/>
                  <c:y val="-1.275626362676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98-4C12-88B7-A04AE2444D7D}"/>
                </c:ext>
              </c:extLst>
            </c:dLbl>
            <c:dLbl>
              <c:idx val="18"/>
              <c:layout>
                <c:manualLayout>
                  <c:x val="3.0204962243796984E-2"/>
                  <c:y val="-7.64331363525024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F0-4BB8-82AF-BE56925E92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rgbClr val="AD25A8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uni'!$AP$45:$AP$63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('EGRESO uni'!$F$24,'EGRESO uni'!$J$24,'EGRESO uni'!$N$24,'EGRESO uni'!$R$24,'EGRESO uni'!$V$24,'EGRESO uni'!$Z$24,'EGRESO uni'!$AD$24,'EGRESO uni'!$AH$24,'EGRESO uni'!$AL$24,'EGRESO uni'!$AP$24,'EGRESO uni'!$AT$24,'EGRESO uni'!$AX$24,'EGRESO uni'!$BB$24,'EGRESO uni'!$BF$24,'EGRESO uni'!$BJ$24,'EGRESO uni'!$BN$24,'EGRESO uni'!$BR$24,'EGRESO uni'!$BV$24,'EGRESO uni'!$BZ$24)</c:f>
              <c:numCache>
                <c:formatCode>#,##0</c:formatCode>
                <c:ptCount val="19"/>
                <c:pt idx="16">
                  <c:v>75</c:v>
                </c:pt>
                <c:pt idx="17">
                  <c:v>29</c:v>
                </c:pt>
                <c:pt idx="18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9-4F4E-B1E7-37D007CE7425}"/>
            </c:ext>
          </c:extLst>
        </c:ser>
        <c:ser>
          <c:idx val="3"/>
          <c:order val="4"/>
          <c:tx>
            <c:strRef>
              <c:f>'EGRESO uni'!$AP$70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 uni'!$AP$45:$AP$63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('EGRESO uni'!$F$29,'EGRESO uni'!$J$29,'EGRESO uni'!$N$29,'EGRESO uni'!$R$29,'EGRESO uni'!$V$29,'EGRESO uni'!$Z$29,'EGRESO uni'!$AD$29,'EGRESO uni'!$AH$29,'EGRESO uni'!$AL$29,'EGRESO uni'!$AP$29,'EGRESO uni'!$AT$29,'EGRESO uni'!$AX$29,'EGRESO uni'!$BB$29,'EGRESO uni'!$BF$29,'EGRESO uni'!$BJ$29,'EGRESO uni'!$BN$29,'EGRESO uni'!$BR$29,'EGRESO uni'!$BV$29,'EGRESO uni'!$BZ$29)</c:f>
              <c:numCache>
                <c:formatCode>#,##0</c:formatCode>
                <c:ptCount val="19"/>
                <c:pt idx="0">
                  <c:v>2127</c:v>
                </c:pt>
                <c:pt idx="1">
                  <c:v>2344</c:v>
                </c:pt>
                <c:pt idx="2">
                  <c:v>2252</c:v>
                </c:pt>
                <c:pt idx="3">
                  <c:v>2522</c:v>
                </c:pt>
                <c:pt idx="4">
                  <c:v>2186</c:v>
                </c:pt>
                <c:pt idx="5">
                  <c:v>1979</c:v>
                </c:pt>
                <c:pt idx="6">
                  <c:v>2046</c:v>
                </c:pt>
                <c:pt idx="7">
                  <c:v>2143</c:v>
                </c:pt>
                <c:pt idx="8">
                  <c:v>2277</c:v>
                </c:pt>
                <c:pt idx="9">
                  <c:v>2718</c:v>
                </c:pt>
                <c:pt idx="10">
                  <c:v>2674</c:v>
                </c:pt>
                <c:pt idx="11">
                  <c:v>2520</c:v>
                </c:pt>
                <c:pt idx="12">
                  <c:v>2353</c:v>
                </c:pt>
                <c:pt idx="13">
                  <c:v>2351</c:v>
                </c:pt>
                <c:pt idx="14">
                  <c:v>2491</c:v>
                </c:pt>
                <c:pt idx="15">
                  <c:v>2388</c:v>
                </c:pt>
                <c:pt idx="16">
                  <c:v>2360</c:v>
                </c:pt>
                <c:pt idx="17">
                  <c:v>2383</c:v>
                </c:pt>
                <c:pt idx="18">
                  <c:v>2281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9-4F4E-B1E7-37D007CE7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431104"/>
        <c:axId val="118441088"/>
        <c:axId val="0"/>
      </c:bar3DChart>
      <c:catAx>
        <c:axId val="1184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419"/>
          </a:p>
        </c:txPr>
        <c:crossAx val="118441088"/>
        <c:crosses val="autoZero"/>
        <c:auto val="1"/>
        <c:lblAlgn val="ctr"/>
        <c:lblOffset val="100"/>
        <c:noMultiLvlLbl val="0"/>
      </c:catAx>
      <c:valAx>
        <c:axId val="1184410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43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0213172028993066"/>
          <c:y val="0.93913430993209979"/>
          <c:w val="0.7755720104523357"/>
          <c:h val="4.9192273527950497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0"/>
              <c:layout>
                <c:manualLayout>
                  <c:x val="-6.9411389801440376E-2"/>
                  <c:y val="4.56082524568149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BF-4FDC-9AEF-56456DADA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uni'!$AX$6,'EGRESO uni'!$BB$6,'EGRESO uni'!$BF$6,'EGRESO uni'!$BJ$6,'EGRESO uni'!$BN$6)</c:f>
              <c:numCache>
                <c:formatCode>#,##0</c:formatCode>
                <c:ptCount val="5"/>
                <c:pt idx="0">
                  <c:v>368</c:v>
                </c:pt>
                <c:pt idx="1">
                  <c:v>404</c:v>
                </c:pt>
                <c:pt idx="2">
                  <c:v>362</c:v>
                </c:pt>
                <c:pt idx="3">
                  <c:v>522</c:v>
                </c:pt>
                <c:pt idx="4">
                  <c:v>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BF-4FDC-9AEF-56456DADAC63}"/>
            </c:ext>
          </c:extLst>
        </c:ser>
        <c:ser>
          <c:idx val="1"/>
          <c:order val="1"/>
          <c:tx>
            <c:strRef>
              <c:f>'EGRESO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uni'!$AX$7,'EGRESO uni'!$BB$7,'EGRESO uni'!$BF$7,'EGRESO uni'!$BJ$7,'EGRESO uni'!$BN$7)</c:f>
              <c:numCache>
                <c:formatCode>#,##0</c:formatCode>
                <c:ptCount val="5"/>
                <c:pt idx="0">
                  <c:v>503</c:v>
                </c:pt>
                <c:pt idx="1">
                  <c:v>439</c:v>
                </c:pt>
                <c:pt idx="2">
                  <c:v>524</c:v>
                </c:pt>
                <c:pt idx="3">
                  <c:v>724</c:v>
                </c:pt>
                <c:pt idx="4">
                  <c:v>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BF-4FDC-9AEF-56456DADAC63}"/>
            </c:ext>
          </c:extLst>
        </c:ser>
        <c:ser>
          <c:idx val="2"/>
          <c:order val="2"/>
          <c:tx>
            <c:strRef>
              <c:f>'EGRESO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uni'!$AX$8,'EGRESO uni'!$BB$8,'EGRESO uni'!$BF$8,'EGRESO uni'!$BJ$8,'EGRESO uni'!$BN$8)</c:f>
              <c:numCache>
                <c:formatCode>#,##0</c:formatCode>
                <c:ptCount val="5"/>
                <c:pt idx="0">
                  <c:v>321</c:v>
                </c:pt>
                <c:pt idx="1">
                  <c:v>242</c:v>
                </c:pt>
                <c:pt idx="2">
                  <c:v>253</c:v>
                </c:pt>
                <c:pt idx="3">
                  <c:v>333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BF-4FDC-9AEF-56456DADA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17184"/>
        <c:axId val="117918720"/>
      </c:lineChart>
      <c:catAx>
        <c:axId val="11791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918720"/>
        <c:crosses val="autoZero"/>
        <c:auto val="1"/>
        <c:lblAlgn val="ctr"/>
        <c:lblOffset val="100"/>
        <c:noMultiLvlLbl val="0"/>
      </c:catAx>
      <c:valAx>
        <c:axId val="1179187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791718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-3.04006185273352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uni'!$AX$11,'EGRESO uni'!$BB$11,'EGRESO uni'!$BF$11,'EGRESO uni'!$BJ$11,'EGRESO uni'!$BN$11)</c:f>
              <c:numCache>
                <c:formatCode>#,##0</c:formatCode>
                <c:ptCount val="5"/>
                <c:pt idx="0">
                  <c:v>28</c:v>
                </c:pt>
                <c:pt idx="1">
                  <c:v>51</c:v>
                </c:pt>
                <c:pt idx="2">
                  <c:v>54</c:v>
                </c:pt>
                <c:pt idx="3">
                  <c:v>43</c:v>
                </c:pt>
                <c:pt idx="4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4-4C3F-881B-05E2DD668142}"/>
            </c:ext>
          </c:extLst>
        </c:ser>
        <c:ser>
          <c:idx val="1"/>
          <c:order val="1"/>
          <c:tx>
            <c:strRef>
              <c:f>'EGRESO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2"/>
              <c:layout>
                <c:manualLayout>
                  <c:x val="-3.401041757197569E-2"/>
                  <c:y val="4.1950802661295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uni'!$AX$12,'EGRESO uni'!$BB$12,'EGRESO uni'!$BF$12,'EGRESO uni'!$BJ$12,'EGRESO uni'!$BN$12)</c:f>
              <c:numCache>
                <c:formatCode>#,##0</c:formatCode>
                <c:ptCount val="5"/>
                <c:pt idx="0">
                  <c:v>15</c:v>
                </c:pt>
                <c:pt idx="1">
                  <c:v>32</c:v>
                </c:pt>
                <c:pt idx="2">
                  <c:v>48</c:v>
                </c:pt>
                <c:pt idx="3">
                  <c:v>21</c:v>
                </c:pt>
                <c:pt idx="4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44-4C3F-881B-05E2DD668142}"/>
            </c:ext>
          </c:extLst>
        </c:ser>
        <c:ser>
          <c:idx val="2"/>
          <c:order val="2"/>
          <c:tx>
            <c:strRef>
              <c:f>'EGRESO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7.5298071184810508E-2"/>
                  <c:y val="2.1278968035972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4-4C3F-881B-05E2DD668142}"/>
                </c:ext>
              </c:extLst>
            </c:dLbl>
            <c:dLbl>
              <c:idx val="1"/>
              <c:layout>
                <c:manualLayout>
                  <c:x val="-4.2921323576274817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4-4C3F-881B-05E2DD668142}"/>
                </c:ext>
              </c:extLst>
            </c:dLbl>
            <c:dLbl>
              <c:idx val="2"/>
              <c:layout>
                <c:manualLayout>
                  <c:x val="-3.997798288458975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4-4C3F-881B-05E2DD668142}"/>
                </c:ext>
              </c:extLst>
            </c:dLbl>
            <c:dLbl>
              <c:idx val="3"/>
              <c:layout>
                <c:manualLayout>
                  <c:x val="-5.1751345651330008E-2"/>
                  <c:y val="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4-4C3F-881B-05E2DD6681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uni'!$AX$13,'EGRESO uni'!$BB$13,'EGRESO uni'!$BF$13,'EGRESO uni'!$BJ$13,'EGRESO uni'!$BN$13)</c:f>
              <c:numCache>
                <c:formatCode>#,##0</c:formatCode>
                <c:ptCount val="5"/>
                <c:pt idx="0">
                  <c:v>10</c:v>
                </c:pt>
                <c:pt idx="1">
                  <c:v>11</c:v>
                </c:pt>
                <c:pt idx="2">
                  <c:v>18</c:v>
                </c:pt>
                <c:pt idx="3">
                  <c:v>15</c:v>
                </c:pt>
                <c:pt idx="4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44-4C3F-881B-05E2DD668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62240"/>
        <c:axId val="117963776"/>
      </c:lineChart>
      <c:catAx>
        <c:axId val="11796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963776"/>
        <c:crosses val="autoZero"/>
        <c:auto val="1"/>
        <c:lblAlgn val="ctr"/>
        <c:lblOffset val="100"/>
        <c:noMultiLvlLbl val="0"/>
      </c:catAx>
      <c:valAx>
        <c:axId val="11796377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79622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uni'!$AX$16,'EGRESO uni'!$BB$16,'EGRESO uni'!$BF$16,'EGRESO uni'!$BJ$16,'EGRESO uni'!$BN$16)</c:f>
              <c:numCache>
                <c:formatCode>#,##0</c:formatCode>
                <c:ptCount val="5"/>
                <c:pt idx="0">
                  <c:v>239</c:v>
                </c:pt>
                <c:pt idx="1">
                  <c:v>179</c:v>
                </c:pt>
                <c:pt idx="2">
                  <c:v>202</c:v>
                </c:pt>
                <c:pt idx="3">
                  <c:v>163</c:v>
                </c:pt>
                <c:pt idx="4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F-4A73-804D-59B89C01D907}"/>
            </c:ext>
          </c:extLst>
        </c:ser>
        <c:ser>
          <c:idx val="1"/>
          <c:order val="1"/>
          <c:tx>
            <c:strRef>
              <c:f>'EGRESO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4.0736535839996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uni'!$AX$17,'EGRESO uni'!$BB$17,'EGRESO uni'!$BF$17,'EGRESO uni'!$BJ$17,'EGRESO uni'!$BN$17)</c:f>
              <c:numCache>
                <c:formatCode>#,##0</c:formatCode>
                <c:ptCount val="5"/>
                <c:pt idx="0">
                  <c:v>547</c:v>
                </c:pt>
                <c:pt idx="1">
                  <c:v>482</c:v>
                </c:pt>
                <c:pt idx="2">
                  <c:v>565</c:v>
                </c:pt>
                <c:pt idx="3">
                  <c:v>668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9F-4A73-804D-59B89C01D907}"/>
            </c:ext>
          </c:extLst>
        </c:ser>
        <c:ser>
          <c:idx val="2"/>
          <c:order val="2"/>
          <c:tx>
            <c:strRef>
              <c:f>'EGRESO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9F-4A73-804D-59B89C01D9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uni'!$AX$18,'EGRESO uni'!$BB$18,'EGRESO uni'!$BF$18,'EGRESO uni'!$BJ$18,'EGRESO uni'!$BN$18)</c:f>
              <c:numCache>
                <c:formatCode>#,##0</c:formatCode>
                <c:ptCount val="5"/>
                <c:pt idx="0">
                  <c:v>303</c:v>
                </c:pt>
                <c:pt idx="1">
                  <c:v>255</c:v>
                </c:pt>
                <c:pt idx="2">
                  <c:v>297</c:v>
                </c:pt>
                <c:pt idx="3">
                  <c:v>354</c:v>
                </c:pt>
                <c:pt idx="4">
                  <c:v>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9F-4A73-804D-59B89C01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22528"/>
        <c:axId val="118024064"/>
      </c:lineChart>
      <c:catAx>
        <c:axId val="1180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024064"/>
        <c:crosses val="autoZero"/>
        <c:auto val="1"/>
        <c:lblAlgn val="ctr"/>
        <c:lblOffset val="100"/>
        <c:noMultiLvlLbl val="0"/>
      </c:catAx>
      <c:valAx>
        <c:axId val="11802406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022528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'EGRESO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uni'!$AX$26,'EGRESO uni'!$BB$26,'EGRESO uni'!$BF$26,'EGRESO uni'!$BJ$26,'EGRESO uni'!$BN$26)</c:f>
              <c:numCache>
                <c:formatCode>#,##0</c:formatCode>
                <c:ptCount val="5"/>
                <c:pt idx="0">
                  <c:v>885</c:v>
                </c:pt>
                <c:pt idx="1">
                  <c:v>816</c:v>
                </c:pt>
                <c:pt idx="2">
                  <c:v>794</c:v>
                </c:pt>
                <c:pt idx="3">
                  <c:v>910</c:v>
                </c:pt>
                <c:pt idx="4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4-4BA0-BF64-FE03E9EDFFFE}"/>
            </c:ext>
          </c:extLst>
        </c:ser>
        <c:ser>
          <c:idx val="1"/>
          <c:order val="1"/>
          <c:tx>
            <c:strRef>
              <c:f>'EGRESO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uni'!$AX$27,'EGRESO uni'!$BB$27,'EGRESO uni'!$BF$27,'EGRESO uni'!$BJ$27,'EGRESO uni'!$BN$27)</c:f>
              <c:numCache>
                <c:formatCode>#,##0</c:formatCode>
                <c:ptCount val="5"/>
                <c:pt idx="0">
                  <c:v>1190</c:v>
                </c:pt>
                <c:pt idx="1">
                  <c:v>1160</c:v>
                </c:pt>
                <c:pt idx="2">
                  <c:v>1185</c:v>
                </c:pt>
                <c:pt idx="3">
                  <c:v>1145</c:v>
                </c:pt>
                <c:pt idx="4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4-4BA0-BF64-FE03E9EDFFFE}"/>
            </c:ext>
          </c:extLst>
        </c:ser>
        <c:ser>
          <c:idx val="2"/>
          <c:order val="2"/>
          <c:tx>
            <c:strRef>
              <c:f>'EGRESO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('EGRESO uni'!$AX$28,'EGRESO uni'!$BB$28,'EGRESO uni'!$BF$28,'EGRESO uni'!$BJ$28,'EGRESO uni'!$BN$28)</c:f>
              <c:numCache>
                <c:formatCode>#,##0</c:formatCode>
                <c:ptCount val="5"/>
                <c:pt idx="0">
                  <c:v>445</c:v>
                </c:pt>
                <c:pt idx="1">
                  <c:v>377</c:v>
                </c:pt>
                <c:pt idx="2">
                  <c:v>372</c:v>
                </c:pt>
                <c:pt idx="3">
                  <c:v>436</c:v>
                </c:pt>
                <c:pt idx="4">
                  <c:v>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14-4BA0-BF64-FE03E9EDF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73216"/>
        <c:axId val="118074752"/>
      </c:lineChart>
      <c:catAx>
        <c:axId val="1180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8074752"/>
        <c:crosses val="autoZero"/>
        <c:auto val="1"/>
        <c:lblAlgn val="ctr"/>
        <c:lblOffset val="100"/>
        <c:noMultiLvlLbl val="0"/>
      </c:catAx>
      <c:valAx>
        <c:axId val="11807475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0732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i="1">
                <a:effectLst/>
              </a:rPr>
              <a:t>Estudiantes que terminaron estudios de licenciatura por Género</a:t>
            </a:r>
            <a:endParaRPr lang="x-none" sz="1200" i="1">
              <a:effectLst/>
            </a:endParaRP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'egresados x gen'!$C$4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dLbl>
              <c:idx val="0"/>
              <c:layout>
                <c:manualLayout>
                  <c:x val="-2.8723827812860085E-2"/>
                  <c:y val="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gen'!$W$43:$W$54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('egresados x gen'!$C$37,'egresados x gen'!$F$37,'egresados x gen'!$I$37,'egresados x gen'!$L$37,'egresados x gen'!$O$37,'egresados x gen'!$R$37,'egresados x gen'!$U$37,'egresados x gen'!$X$37,'egresados x gen'!$AA$37,'egresados x gen'!$AD$37,'egresados x gen'!$AG$37,'egresados x gen'!$AJ$37)</c:f>
              <c:numCache>
                <c:formatCode>#,##0</c:formatCode>
                <c:ptCount val="12"/>
                <c:pt idx="0">
                  <c:v>2160</c:v>
                </c:pt>
                <c:pt idx="1">
                  <c:v>2287</c:v>
                </c:pt>
                <c:pt idx="2">
                  <c:v>2556</c:v>
                </c:pt>
                <c:pt idx="3">
                  <c:v>2557</c:v>
                </c:pt>
                <c:pt idx="4">
                  <c:v>2462</c:v>
                </c:pt>
                <c:pt idx="5">
                  <c:v>2265</c:v>
                </c:pt>
                <c:pt idx="6">
                  <c:v>2462</c:v>
                </c:pt>
                <c:pt idx="7">
                  <c:v>2859</c:v>
                </c:pt>
                <c:pt idx="8">
                  <c:v>2685</c:v>
                </c:pt>
                <c:pt idx="9">
                  <c:v>2832</c:v>
                </c:pt>
                <c:pt idx="10">
                  <c:v>2749</c:v>
                </c:pt>
                <c:pt idx="11">
                  <c:v>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4-4D2E-9598-C41215C0B755}"/>
            </c:ext>
          </c:extLst>
        </c:ser>
        <c:ser>
          <c:idx val="1"/>
          <c:order val="1"/>
          <c:tx>
            <c:strRef>
              <c:f>'egresados x gen'!$D$4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036163635257029E-2"/>
                  <c:y val="-4.068050849137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24-4D2E-9598-C41215C0B7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gen'!$W$43:$W$54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('egresados x gen'!$D$37,'egresados x gen'!$G$37,'egresados x gen'!$J$37,'egresados x gen'!$M$37,'egresados x gen'!$P$37,'egresados x gen'!$S$37,'egresados x gen'!$V$37,'egresados x gen'!$Y$37,'egresados x gen'!$AB$37,'egresados x gen'!$AE$37,'egresados x gen'!$AH$37,'egresados x gen'!$AK$37)</c:f>
              <c:numCache>
                <c:formatCode>#,##0</c:formatCode>
                <c:ptCount val="12"/>
                <c:pt idx="0">
                  <c:v>2338</c:v>
                </c:pt>
                <c:pt idx="1">
                  <c:v>2139</c:v>
                </c:pt>
                <c:pt idx="2">
                  <c:v>2301</c:v>
                </c:pt>
                <c:pt idx="3">
                  <c:v>2294</c:v>
                </c:pt>
                <c:pt idx="4">
                  <c:v>2394</c:v>
                </c:pt>
                <c:pt idx="5">
                  <c:v>2183</c:v>
                </c:pt>
                <c:pt idx="6">
                  <c:v>2212</c:v>
                </c:pt>
                <c:pt idx="7">
                  <c:v>2475</c:v>
                </c:pt>
                <c:pt idx="8">
                  <c:v>2378</c:v>
                </c:pt>
                <c:pt idx="9">
                  <c:v>2315</c:v>
                </c:pt>
                <c:pt idx="10">
                  <c:v>2396</c:v>
                </c:pt>
                <c:pt idx="11">
                  <c:v>2532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24-4D2E-9598-C41215C0B755}"/>
            </c:ext>
          </c:extLst>
        </c:ser>
        <c:ser>
          <c:idx val="2"/>
          <c:order val="2"/>
          <c:tx>
            <c:strRef>
              <c:f>'egresados x gen'!$E$4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x gen'!$W$43:$W$54</c:f>
              <c:numCache>
                <c:formatCode>General</c:formatCode>
                <c:ptCount val="12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</c:numCache>
            </c:numRef>
          </c:cat>
          <c:val>
            <c:numRef>
              <c:f>('egresados x gen'!$E$37,'egresados x gen'!$H$37,'egresados x gen'!$K$37,'egresados x gen'!$N$37,'egresados x gen'!$Q$37,'egresados x gen'!$T$37,'egresados x gen'!$W$37,'egresados x gen'!$Z$37,'egresados x gen'!$AC$37,'egresados x gen'!$AF$37,'egresados x gen'!$AI$37,'egresados x gen'!$AL$37)</c:f>
              <c:numCache>
                <c:formatCode>#,##0</c:formatCode>
                <c:ptCount val="12"/>
                <c:pt idx="0">
                  <c:v>4498</c:v>
                </c:pt>
                <c:pt idx="1">
                  <c:v>4426</c:v>
                </c:pt>
                <c:pt idx="2">
                  <c:v>4857</c:v>
                </c:pt>
                <c:pt idx="3">
                  <c:v>4851</c:v>
                </c:pt>
                <c:pt idx="4">
                  <c:v>4856</c:v>
                </c:pt>
                <c:pt idx="5">
                  <c:v>4448</c:v>
                </c:pt>
                <c:pt idx="6">
                  <c:v>4674</c:v>
                </c:pt>
                <c:pt idx="7">
                  <c:v>5334</c:v>
                </c:pt>
                <c:pt idx="8">
                  <c:v>5063</c:v>
                </c:pt>
                <c:pt idx="9">
                  <c:v>5147</c:v>
                </c:pt>
                <c:pt idx="10">
                  <c:v>5145</c:v>
                </c:pt>
                <c:pt idx="11">
                  <c:v>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124-4D2E-9598-C41215C0B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17152"/>
        <c:axId val="117218688"/>
      </c:lineChart>
      <c:catAx>
        <c:axId val="1172171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85000"/>
              </a:schemeClr>
            </a:solidFill>
          </a:ln>
        </c:spPr>
        <c:crossAx val="117218688"/>
        <c:crosses val="autoZero"/>
        <c:auto val="1"/>
        <c:lblAlgn val="ctr"/>
        <c:lblOffset val="100"/>
        <c:noMultiLvlLbl val="0"/>
      </c:catAx>
      <c:valAx>
        <c:axId val="1172186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7217152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27907947411385037"/>
          <c:y val="0.86090725431530579"/>
          <c:w val="0.43998671019639263"/>
          <c:h val="5.7121620431790268E-2"/>
        </c:manualLayout>
      </c:layout>
      <c:overlay val="1"/>
      <c:txPr>
        <a:bodyPr/>
        <a:lstStyle/>
        <a:p>
          <a:pPr>
            <a:defRPr sz="12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Egresados de Estudios de Licenciatura Acumulado</a:t>
            </a:r>
          </a:p>
        </c:rich>
      </c:tx>
      <c:layout>
        <c:manualLayout>
          <c:xMode val="edge"/>
          <c:yMode val="edge"/>
          <c:x val="0.29749540400136726"/>
          <c:y val="3.0868167202572346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>
        <c:manualLayout>
          <c:layoutTarget val="inner"/>
          <c:xMode val="edge"/>
          <c:yMode val="edge"/>
          <c:x val="1.9400352733686066E-2"/>
          <c:y val="4.62033462033462E-2"/>
          <c:w val="0.96119929453262787"/>
          <c:h val="0.824202515226137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'EGR-ACUM uni'!$B$6:$B$9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6-4ABC-82D8-7023E1804762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6-4ABC-82D8-7023E1804762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6-4ABC-82D8-7023E1804762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6-4ABC-82D8-7023E1804762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6-4ABC-82D8-7023E1804762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6-4ABC-82D8-7023E1804762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6-4ABC-82D8-7023E1804762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6-4ABC-82D8-7023E1804762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6-4ABC-82D8-7023E1804762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6-4ABC-82D8-7023E1804762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uni'!$D$4:$Q$4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('EGR-ACUM uni'!$D$9:$O$9,'EGR-ACUM uni'!$P$9,'EGR-ACUM uni'!$Q$9)</c:f>
              <c:numCache>
                <c:formatCode>#,##0</c:formatCode>
                <c:ptCount val="10"/>
                <c:pt idx="0">
                  <c:v>34119</c:v>
                </c:pt>
                <c:pt idx="1">
                  <c:v>35375</c:v>
                </c:pt>
                <c:pt idx="2">
                  <c:v>36633</c:v>
                </c:pt>
                <c:pt idx="3">
                  <c:v>37743</c:v>
                </c:pt>
                <c:pt idx="4">
                  <c:v>38914</c:v>
                </c:pt>
                <c:pt idx="5">
                  <c:v>40551</c:v>
                </c:pt>
                <c:pt idx="6">
                  <c:v>42043</c:v>
                </c:pt>
                <c:pt idx="7">
                  <c:v>43555</c:v>
                </c:pt>
                <c:pt idx="8">
                  <c:v>45004</c:v>
                </c:pt>
                <c:pt idx="9">
                  <c:v>46883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F26-4ABC-82D8-7023E1804762}"/>
            </c:ext>
          </c:extLst>
        </c:ser>
        <c:ser>
          <c:idx val="1"/>
          <c:order val="1"/>
          <c:tx>
            <c:strRef>
              <c:f>'EGR-ACUM uni'!$B$11:$B$14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uni'!$D$4:$Q$4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('EGR-ACUM uni'!$D$14:$G$14,'EGR-ACUM uni'!$J$14,'EGR-ACUM uni'!$M$14,'EGR-ACUM uni'!$N$14,'EGR-ACUM uni'!$O$14,'EGR-ACUM uni'!$P$14,'EGR-ACUM uni'!$Q$14)</c:f>
              <c:numCache>
                <c:formatCode>#,##0</c:formatCode>
                <c:ptCount val="10"/>
                <c:pt idx="1">
                  <c:v>67</c:v>
                </c:pt>
                <c:pt idx="2">
                  <c:v>122</c:v>
                </c:pt>
                <c:pt idx="3">
                  <c:v>217</c:v>
                </c:pt>
                <c:pt idx="4">
                  <c:v>339</c:v>
                </c:pt>
                <c:pt idx="5">
                  <c:v>422</c:v>
                </c:pt>
                <c:pt idx="6">
                  <c:v>526</c:v>
                </c:pt>
                <c:pt idx="7">
                  <c:v>626</c:v>
                </c:pt>
                <c:pt idx="8">
                  <c:v>767</c:v>
                </c:pt>
                <c:pt idx="9">
                  <c:v>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F26-4ABC-82D8-7023E1804762}"/>
            </c:ext>
          </c:extLst>
        </c:ser>
        <c:ser>
          <c:idx val="2"/>
          <c:order val="2"/>
          <c:tx>
            <c:strRef>
              <c:f>'EGR-ACUM uni'!$B$16:$B$19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uni'!$D$4:$Q$4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('EGR-ACUM uni'!$D$19:$G$19,'EGR-ACUM uni'!$J$19,'EGR-ACUM uni'!$M$19,'EGR-ACUM uni'!$N$19,'EGR-ACUM uni'!$O$19,'EGR-ACUM uni'!$P$19,'EGR-ACUM uni'!$Q$19)</c:f>
              <c:numCache>
                <c:formatCode>#,##0</c:formatCode>
                <c:ptCount val="10"/>
                <c:pt idx="0">
                  <c:v>24047</c:v>
                </c:pt>
                <c:pt idx="1">
                  <c:v>24949</c:v>
                </c:pt>
                <c:pt idx="2">
                  <c:v>26082</c:v>
                </c:pt>
                <c:pt idx="3">
                  <c:v>27025</c:v>
                </c:pt>
                <c:pt idx="4">
                  <c:v>28116</c:v>
                </c:pt>
                <c:pt idx="5">
                  <c:v>29317</c:v>
                </c:pt>
                <c:pt idx="6">
                  <c:v>30416</c:v>
                </c:pt>
                <c:pt idx="7">
                  <c:v>31541</c:v>
                </c:pt>
                <c:pt idx="8">
                  <c:v>32755</c:v>
                </c:pt>
                <c:pt idx="9">
                  <c:v>34080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F26-4ABC-82D8-7023E1804762}"/>
            </c:ext>
          </c:extLst>
        </c:ser>
        <c:ser>
          <c:idx val="4"/>
          <c:order val="3"/>
          <c:tx>
            <c:strRef>
              <c:f>'EGR-ACUM uni'!$B$59</c:f>
              <c:strCache>
                <c:ptCount val="1"/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uni'!$D$4:$Q$4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('EGR-ACUM uni'!$D$24:$O$24,'EGR-ACUM uni'!$P$24,'EGR-ACUM uni'!$Q$24)</c:f>
              <c:numCache>
                <c:formatCode>#,##0</c:formatCode>
                <c:ptCount val="10"/>
                <c:pt idx="7">
                  <c:v>75</c:v>
                </c:pt>
                <c:pt idx="8">
                  <c:v>110</c:v>
                </c:pt>
                <c:pt idx="9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F26-4ABC-82D8-7023E1804762}"/>
            </c:ext>
          </c:extLst>
        </c:ser>
        <c:ser>
          <c:idx val="3"/>
          <c:order val="4"/>
          <c:tx>
            <c:strRef>
              <c:f>'EGR-ACUM uni'!$B$26:$B$29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'EGR-ACUM uni'!$D$4:$Q$4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('EGR-ACUM uni'!$D$29:$G$29,'EGR-ACUM uni'!$J$29,'EGR-ACUM uni'!$M$29,'EGR-ACUM uni'!$N$29,'EGR-ACUM uni'!$O$29,'EGR-ACUM uni'!$P$29,'EGR-ACUM uni'!$Q$29)</c:f>
              <c:numCache>
                <c:formatCode>#,##0</c:formatCode>
                <c:ptCount val="10"/>
                <c:pt idx="0">
                  <c:v>53543</c:v>
                </c:pt>
                <c:pt idx="1">
                  <c:v>56227</c:v>
                </c:pt>
                <c:pt idx="2">
                  <c:v>58752</c:v>
                </c:pt>
                <c:pt idx="3">
                  <c:v>61105</c:v>
                </c:pt>
                <c:pt idx="4">
                  <c:v>63462</c:v>
                </c:pt>
                <c:pt idx="5">
                  <c:v>65946</c:v>
                </c:pt>
                <c:pt idx="6">
                  <c:v>68337</c:v>
                </c:pt>
                <c:pt idx="7">
                  <c:v>70700</c:v>
                </c:pt>
                <c:pt idx="8">
                  <c:v>73084</c:v>
                </c:pt>
                <c:pt idx="9">
                  <c:v>75373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F26-4ABC-82D8-7023E1804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784768"/>
        <c:axId val="118786304"/>
        <c:axId val="0"/>
      </c:bar3DChart>
      <c:catAx>
        <c:axId val="11878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118786304"/>
        <c:crosses val="autoZero"/>
        <c:auto val="1"/>
        <c:lblAlgn val="ctr"/>
        <c:lblOffset val="100"/>
        <c:noMultiLvlLbl val="0"/>
      </c:catAx>
      <c:valAx>
        <c:axId val="11878630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78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4633157697393088E-2"/>
          <c:y val="0.92597758309655376"/>
          <c:w val="0.77529267174936467"/>
          <c:h val="4.9667102423007932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CD032E"/>
                </a:solidFill>
              </a:defRPr>
            </a:pPr>
            <a:r>
              <a:rPr lang="es-MX" sz="1200" b="0">
                <a:solidFill>
                  <a:srgbClr val="CD032E"/>
                </a:solidFill>
              </a:rPr>
              <a:t>Azcapotzalco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4.8881472597382278E-2"/>
                  <c:y val="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9-4D98-A0C4-15A943B3CC03}"/>
                </c:ext>
              </c:extLst>
            </c:dLbl>
            <c:dLbl>
              <c:idx val="4"/>
              <c:layout>
                <c:manualLayout>
                  <c:x val="1.2287867990011182E-3"/>
                  <c:y val="5.7750920669799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uni'!$Z$6,'Admitidos uni'!$AC$6,'Admitidos uni'!$AF$6,'Admitidos uni'!$AI$6,'Admitidos uni'!$AL$6)</c:f>
              <c:numCache>
                <c:formatCode>#,##0</c:formatCode>
                <c:ptCount val="5"/>
                <c:pt idx="0">
                  <c:v>2385</c:v>
                </c:pt>
                <c:pt idx="1">
                  <c:v>2036</c:v>
                </c:pt>
                <c:pt idx="2">
                  <c:v>1449</c:v>
                </c:pt>
                <c:pt idx="3">
                  <c:v>1548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A9-4D98-A0C4-15A943B3CC03}"/>
            </c:ext>
          </c:extLst>
        </c:ser>
        <c:ser>
          <c:idx val="1"/>
          <c:order val="1"/>
          <c:tx>
            <c:strRef>
              <c:f>'Admitidos uni'!$B$7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4.8881472597382278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9-4D98-A0C4-15A943B3CC03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A9-4D98-A0C4-15A943B3CC03}"/>
                </c:ext>
              </c:extLst>
            </c:dLbl>
            <c:dLbl>
              <c:idx val="2"/>
              <c:layout>
                <c:manualLayout>
                  <c:x val="-5.4768153980752403E-2"/>
                  <c:y val="-4.7118761317625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A9-4D98-A0C4-15A943B3CC03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A9-4D98-A0C4-15A943B3CC03}"/>
                </c:ext>
              </c:extLst>
            </c:dLbl>
            <c:dLbl>
              <c:idx val="4"/>
              <c:layout>
                <c:manualLayout>
                  <c:x val="-3.9977982884589758E-2"/>
                  <c:y val="-3.1614885348633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A9-4D98-A0C4-15A943B3CC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uni'!$Z$7,'Admitidos uni'!$AC$7,'Admitidos uni'!$AF$7,'Admitidos uni'!$AI$7,'Admitidos uni'!$AL$7)</c:f>
              <c:numCache>
                <c:formatCode>#,##0</c:formatCode>
                <c:ptCount val="5"/>
                <c:pt idx="0">
                  <c:v>1349</c:v>
                </c:pt>
                <c:pt idx="1">
                  <c:v>1405</c:v>
                </c:pt>
                <c:pt idx="2">
                  <c:v>1586</c:v>
                </c:pt>
                <c:pt idx="3">
                  <c:v>1512</c:v>
                </c:pt>
                <c:pt idx="4">
                  <c:v>1454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A9-4D98-A0C4-15A943B3CC03}"/>
            </c:ext>
          </c:extLst>
        </c:ser>
        <c:ser>
          <c:idx val="2"/>
          <c:order val="2"/>
          <c:tx>
            <c:strRef>
              <c:f>'Admitidos uni'!$B$8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uni'!$Z$8,'Admitidos uni'!$AC$8,'Admitidos uni'!$AF$8,'Admitidos uni'!$AI$8,'Admitidos uni'!$AL$8)</c:f>
              <c:numCache>
                <c:formatCode>#,##0</c:formatCode>
                <c:ptCount val="5"/>
                <c:pt idx="0">
                  <c:v>622</c:v>
                </c:pt>
                <c:pt idx="1">
                  <c:v>658</c:v>
                </c:pt>
                <c:pt idx="2">
                  <c:v>640</c:v>
                </c:pt>
                <c:pt idx="3">
                  <c:v>691</c:v>
                </c:pt>
                <c:pt idx="4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A9-4D98-A0C4-15A943B3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972864"/>
        <c:axId val="109982848"/>
      </c:lineChart>
      <c:catAx>
        <c:axId val="10997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9982848"/>
        <c:crosses val="autoZero"/>
        <c:auto val="1"/>
        <c:lblAlgn val="ctr"/>
        <c:lblOffset val="100"/>
        <c:noMultiLvlLbl val="0"/>
      </c:catAx>
      <c:valAx>
        <c:axId val="10998284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099728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Titulados de Licenciatura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  <c:spPr>
        <a:noFill/>
        <a:ln w="6350">
          <a:solidFill>
            <a:schemeClr val="bg1">
              <a:lumMod val="65000"/>
            </a:schemeClr>
          </a:solidFill>
        </a:ln>
      </c:spPr>
    </c:floor>
    <c:sideWall>
      <c:thickness val="0"/>
      <c:spPr>
        <a:scene3d>
          <a:camera prst="orthographicFront"/>
          <a:lightRig rig="threePt" dir="t"/>
        </a:scene3d>
        <a:sp3d prstMaterial="metal"/>
      </c:spPr>
    </c:sideWall>
    <c:backWall>
      <c:thickness val="0"/>
      <c:spPr>
        <a:scene3d>
          <a:camera prst="orthographicFront"/>
          <a:lightRig rig="threePt" dir="t"/>
        </a:scene3d>
        <a:sp3d prstMaterial="metal"/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'TITULADOS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68-46A6-9FDA-36799EAB3D00}"/>
                </c:ext>
              </c:extLst>
            </c:dLbl>
            <c:dLbl>
              <c:idx val="1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68-46A6-9FDA-36799EAB3D00}"/>
                </c:ext>
              </c:extLst>
            </c:dLbl>
            <c:dLbl>
              <c:idx val="2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68-46A6-9FDA-36799EAB3D00}"/>
                </c:ext>
              </c:extLst>
            </c:dLbl>
            <c:dLbl>
              <c:idx val="3"/>
              <c:layout>
                <c:manualLayout>
                  <c:x val="5.99925080222265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68-46A6-9FDA-36799EAB3D00}"/>
                </c:ext>
              </c:extLst>
            </c:dLbl>
            <c:dLbl>
              <c:idx val="4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68-46A6-9FDA-36799EAB3D00}"/>
                </c:ext>
              </c:extLst>
            </c:dLbl>
            <c:dLbl>
              <c:idx val="5"/>
              <c:layout>
                <c:manualLayout>
                  <c:x val="7.4990635027783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68-46A6-9FDA-36799EAB3D00}"/>
                </c:ext>
              </c:extLst>
            </c:dLbl>
            <c:dLbl>
              <c:idx val="6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68-46A6-9FDA-36799EAB3D00}"/>
                </c:ext>
              </c:extLst>
            </c:dLbl>
            <c:dLbl>
              <c:idx val="7"/>
              <c:layout>
                <c:manualLayout>
                  <c:x val="8.9988762033339775E-3"/>
                  <c:y val="-3.19361156982605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68-46A6-9FDA-36799EAB3D00}"/>
                </c:ext>
              </c:extLst>
            </c:dLbl>
            <c:dLbl>
              <c:idx val="8"/>
              <c:layout>
                <c:manualLayout>
                  <c:x val="8.998876203333977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68-46A6-9FDA-36799EAB3D00}"/>
                </c:ext>
              </c:extLst>
            </c:dLbl>
            <c:dLbl>
              <c:idx val="9"/>
              <c:layout>
                <c:manualLayout>
                  <c:x val="1.04985708084015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68-46A6-9FDA-36799EAB3D00}"/>
                </c:ext>
              </c:extLst>
            </c:dLbl>
            <c:spPr>
              <a:ln>
                <a:noFill/>
              </a:ln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uni'!$H$4:$X$4,'TITULADOS uni'!$Y$4,'TITULADOS uni'!$Z$4)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('TITULADOS uni'!$H$9:$V$9,'TITULADOS uni'!$W$9,'TITULADOS uni'!$X$9,'TITULADOS uni'!$Y$9,'TITULADOS uni'!$Z$9)</c:f>
              <c:numCache>
                <c:formatCode>#,##0</c:formatCode>
                <c:ptCount val="19"/>
                <c:pt idx="0">
                  <c:v>1391</c:v>
                </c:pt>
                <c:pt idx="1">
                  <c:v>1223</c:v>
                </c:pt>
                <c:pt idx="2">
                  <c:v>1314</c:v>
                </c:pt>
                <c:pt idx="3">
                  <c:v>1184</c:v>
                </c:pt>
                <c:pt idx="4">
                  <c:v>1334</c:v>
                </c:pt>
                <c:pt idx="5">
                  <c:v>1179</c:v>
                </c:pt>
                <c:pt idx="6">
                  <c:v>1073</c:v>
                </c:pt>
                <c:pt idx="7">
                  <c:v>1110</c:v>
                </c:pt>
                <c:pt idx="8">
                  <c:v>1141</c:v>
                </c:pt>
                <c:pt idx="9">
                  <c:v>870</c:v>
                </c:pt>
                <c:pt idx="10">
                  <c:v>1143</c:v>
                </c:pt>
                <c:pt idx="11">
                  <c:v>1084</c:v>
                </c:pt>
                <c:pt idx="12">
                  <c:v>1027</c:v>
                </c:pt>
                <c:pt idx="13">
                  <c:v>934</c:v>
                </c:pt>
                <c:pt idx="14">
                  <c:v>1118</c:v>
                </c:pt>
                <c:pt idx="15">
                  <c:v>1241</c:v>
                </c:pt>
                <c:pt idx="16">
                  <c:v>1001</c:v>
                </c:pt>
                <c:pt idx="17">
                  <c:v>1310</c:v>
                </c:pt>
                <c:pt idx="18">
                  <c:v>1147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68-46A6-9FDA-36799EAB3D00}"/>
            </c:ext>
          </c:extLst>
        </c:ser>
        <c:ser>
          <c:idx val="1"/>
          <c:order val="1"/>
          <c:tx>
            <c:strRef>
              <c:f>'TITULADOS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4.29184597702521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68-46A6-9FDA-36799EAB3D00}"/>
                </c:ext>
              </c:extLst>
            </c:dLbl>
            <c:dLbl>
              <c:idx val="12"/>
              <c:layout>
                <c:manualLayout>
                  <c:x val="4.29184597702532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68-46A6-9FDA-36799EAB3D00}"/>
                </c:ext>
              </c:extLst>
            </c:dLbl>
            <c:dLbl>
              <c:idx val="13"/>
              <c:layout>
                <c:manualLayout>
                  <c:x val="7.15307662837526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68-46A6-9FDA-36799EAB3D00}"/>
                </c:ext>
              </c:extLst>
            </c:dLbl>
            <c:dLbl>
              <c:idx val="14"/>
              <c:layout>
                <c:manualLayout>
                  <c:x val="5.7224613027002918E-3"/>
                  <c:y val="-2.8891280065699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68-46A6-9FDA-36799EAB3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uni'!$H$4:$X$4,'TITULADOS uni'!$Y$4,'TITULADOS uni'!$Z$4)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('TITULADOS uni'!$H$14:$V$14,'TITULADOS uni'!$W$14,'TITULADOS uni'!$X$14,'TITULADOS uni'!$Y$14,'TITULADOS uni'!$Z$14)</c:f>
              <c:numCache>
                <c:formatCode>General</c:formatCode>
                <c:ptCount val="19"/>
                <c:pt idx="11" formatCode="#,##0">
                  <c:v>18</c:v>
                </c:pt>
                <c:pt idx="12" formatCode="#,##0">
                  <c:v>67</c:v>
                </c:pt>
                <c:pt idx="13" formatCode="#,##0">
                  <c:v>76</c:v>
                </c:pt>
                <c:pt idx="14" formatCode="#,##0">
                  <c:v>92</c:v>
                </c:pt>
                <c:pt idx="15" formatCode="#,##0">
                  <c:v>81</c:v>
                </c:pt>
                <c:pt idx="16" formatCode="#,##0">
                  <c:v>88</c:v>
                </c:pt>
                <c:pt idx="17" formatCode="#,##0">
                  <c:v>102</c:v>
                </c:pt>
                <c:pt idx="18" formatCode="#,##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C68-46A6-9FDA-36799EAB3D00}"/>
            </c:ext>
          </c:extLst>
        </c:ser>
        <c:ser>
          <c:idx val="2"/>
          <c:order val="2"/>
          <c:tx>
            <c:strRef>
              <c:f>'TITULADOS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uni'!$H$4:$X$4,'TITULADOS uni'!$Y$4,'TITULADOS uni'!$Z$4)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('TITULADOS uni'!$H$19:$V$19,'TITULADOS uni'!$W$19,'TITULADOS uni'!$X$19,'TITULADOS uni'!$Y$19,'TITULADOS uni'!$Z$19)</c:f>
              <c:numCache>
                <c:formatCode>#,##0</c:formatCode>
                <c:ptCount val="19"/>
                <c:pt idx="0">
                  <c:v>791</c:v>
                </c:pt>
                <c:pt idx="1">
                  <c:v>821</c:v>
                </c:pt>
                <c:pt idx="2">
                  <c:v>865</c:v>
                </c:pt>
                <c:pt idx="3">
                  <c:v>856</c:v>
                </c:pt>
                <c:pt idx="4">
                  <c:v>972</c:v>
                </c:pt>
                <c:pt idx="5">
                  <c:v>1037</c:v>
                </c:pt>
                <c:pt idx="6">
                  <c:v>1062</c:v>
                </c:pt>
                <c:pt idx="7">
                  <c:v>1036</c:v>
                </c:pt>
                <c:pt idx="8">
                  <c:v>1056</c:v>
                </c:pt>
                <c:pt idx="9">
                  <c:v>930</c:v>
                </c:pt>
                <c:pt idx="10">
                  <c:v>870</c:v>
                </c:pt>
                <c:pt idx="11">
                  <c:v>1004</c:v>
                </c:pt>
                <c:pt idx="12">
                  <c:v>1025</c:v>
                </c:pt>
                <c:pt idx="13">
                  <c:v>966</c:v>
                </c:pt>
                <c:pt idx="14">
                  <c:v>965</c:v>
                </c:pt>
                <c:pt idx="15">
                  <c:v>1211</c:v>
                </c:pt>
                <c:pt idx="16">
                  <c:v>874</c:v>
                </c:pt>
                <c:pt idx="17">
                  <c:v>1117</c:v>
                </c:pt>
                <c:pt idx="18">
                  <c:v>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C68-46A6-9FDA-36799EAB3D00}"/>
            </c:ext>
          </c:extLst>
        </c:ser>
        <c:ser>
          <c:idx val="4"/>
          <c:order val="3"/>
          <c:tx>
            <c:strRef>
              <c:f>'TITULADOS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uni'!$H$4:$X$4,'TITULADOS uni'!$Y$4,'TITULADOS uni'!$Z$4)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('TITULADOS uni'!$H$24:$X$24,'TITULADOS uni'!$Y$24,'TITULADOS uni'!$Z$24)</c:f>
              <c:numCache>
                <c:formatCode>#,##0</c:formatCode>
                <c:ptCount val="19"/>
                <c:pt idx="16">
                  <c:v>12</c:v>
                </c:pt>
                <c:pt idx="17">
                  <c:v>52</c:v>
                </c:pt>
                <c:pt idx="18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68-46A6-9FDA-36799EAB3D00}"/>
            </c:ext>
          </c:extLst>
        </c:ser>
        <c:ser>
          <c:idx val="3"/>
          <c:order val="4"/>
          <c:tx>
            <c:strRef>
              <c:f>'TITULADOS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('TITULADOS uni'!$H$4:$X$4,'TITULADOS uni'!$Y$4,'TITULADOS uni'!$Z$4)</c:f>
              <c:numCache>
                <c:formatCode>0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('TITULADOS uni'!$H$29:$V$29,'TITULADOS uni'!$W$29,'TITULADOS uni'!$X$29,'TITULADOS uni'!$Y$29,'TITULADOS uni'!$Z$29)</c:f>
              <c:numCache>
                <c:formatCode>#,##0</c:formatCode>
                <c:ptCount val="19"/>
                <c:pt idx="0">
                  <c:v>1832</c:v>
                </c:pt>
                <c:pt idx="1">
                  <c:v>1744</c:v>
                </c:pt>
                <c:pt idx="2">
                  <c:v>1894</c:v>
                </c:pt>
                <c:pt idx="3">
                  <c:v>2117</c:v>
                </c:pt>
                <c:pt idx="4">
                  <c:v>2100</c:v>
                </c:pt>
                <c:pt idx="5">
                  <c:v>1943</c:v>
                </c:pt>
                <c:pt idx="6">
                  <c:v>1915</c:v>
                </c:pt>
                <c:pt idx="7">
                  <c:v>1667</c:v>
                </c:pt>
                <c:pt idx="8">
                  <c:v>1851</c:v>
                </c:pt>
                <c:pt idx="9">
                  <c:v>1687</c:v>
                </c:pt>
                <c:pt idx="10">
                  <c:v>2167</c:v>
                </c:pt>
                <c:pt idx="11">
                  <c:v>2431</c:v>
                </c:pt>
                <c:pt idx="12">
                  <c:v>2420</c:v>
                </c:pt>
                <c:pt idx="13">
                  <c:v>2229</c:v>
                </c:pt>
                <c:pt idx="14">
                  <c:v>2093</c:v>
                </c:pt>
                <c:pt idx="15">
                  <c:v>2157</c:v>
                </c:pt>
                <c:pt idx="16">
                  <c:v>1948</c:v>
                </c:pt>
                <c:pt idx="17">
                  <c:v>2182</c:v>
                </c:pt>
                <c:pt idx="18">
                  <c:v>1505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C68-46A6-9FDA-36799EAB3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18646272"/>
        <c:axId val="118647808"/>
        <c:axId val="0"/>
      </c:bar3DChart>
      <c:catAx>
        <c:axId val="11864627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118647808"/>
        <c:crosses val="autoZero"/>
        <c:auto val="1"/>
        <c:lblAlgn val="ctr"/>
        <c:lblOffset val="100"/>
        <c:noMultiLvlLbl val="0"/>
      </c:catAx>
      <c:valAx>
        <c:axId val="1186478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8646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42992074300526"/>
          <c:y val="0.9317516734049941"/>
          <c:w val="0.70287542412958137"/>
          <c:h val="5.9194606003912277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Trimestres cursados promedio para terminar estudios de Licenciatura</a:t>
            </a:r>
            <a:endParaRPr lang="es-MX" sz="1200" b="0" i="1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0686097768059646E-2"/>
          <c:y val="0.11688948462126922"/>
          <c:w val="0.93780233157709048"/>
          <c:h val="0.70408844927947722"/>
        </c:manualLayout>
      </c:layout>
      <c:lineChart>
        <c:grouping val="standard"/>
        <c:varyColors val="0"/>
        <c:ser>
          <c:idx val="0"/>
          <c:order val="0"/>
          <c:tx>
            <c:strRef>
              <c:f>'TRIM EGRESO uni'!$A$5:$A$8</c:f>
              <c:strCache>
                <c:ptCount val="1"/>
                <c:pt idx="0">
                  <c:v>Azcapotzalco</c:v>
                </c:pt>
              </c:strCache>
            </c:strRef>
          </c:tx>
          <c:spPr>
            <a:ln w="9525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 w="3175">
                <a:solidFill>
                  <a:srgbClr val="CD032E"/>
                </a:solidFill>
              </a:ln>
            </c:spPr>
          </c:marker>
          <c:dLbls>
            <c:dLbl>
              <c:idx val="8"/>
              <c:layout>
                <c:manualLayout>
                  <c:x val="-3.3717380600689316E-2"/>
                  <c:y val="-4.6926930608809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03-429D-AC10-3DFBD3C87B67}"/>
                </c:ext>
              </c:extLst>
            </c:dLbl>
            <c:dLbl>
              <c:idx val="10"/>
              <c:layout>
                <c:manualLayout>
                  <c:x val="-2.8095864422261942E-2"/>
                  <c:y val="-3.6067859210113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03-429D-AC10-3DFBD3C87B67}"/>
                </c:ext>
              </c:extLst>
            </c:dLbl>
            <c:dLbl>
              <c:idx val="13"/>
              <c:layout>
                <c:manualLayout>
                  <c:x val="-1.9795180848152953E-2"/>
                  <c:y val="1.3920311420080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uni'!$C$8:$M$8,'TRIM EGRESO uni'!$N$8,'TRIM EGRESO uni'!$O$8,'TRIM EGRESO uni'!$P$8,'TRIM EGRESO uni'!$Q$8)</c:f>
              <c:numCache>
                <c:formatCode>#,##0.0</c:formatCode>
                <c:ptCount val="15"/>
                <c:pt idx="0">
                  <c:v>18.575323790047715</c:v>
                </c:pt>
                <c:pt idx="1">
                  <c:v>18.727699530516432</c:v>
                </c:pt>
                <c:pt idx="2">
                  <c:v>18.514329976762198</c:v>
                </c:pt>
                <c:pt idx="3">
                  <c:v>18.741780272654371</c:v>
                </c:pt>
                <c:pt idx="4">
                  <c:v>17.784280936454874</c:v>
                </c:pt>
                <c:pt idx="5">
                  <c:v>17.637049455155072</c:v>
                </c:pt>
                <c:pt idx="6">
                  <c:v>17.510000000000002</c:v>
                </c:pt>
                <c:pt idx="7">
                  <c:v>17.630033557046996</c:v>
                </c:pt>
                <c:pt idx="8">
                  <c:v>17.967741935483861</c:v>
                </c:pt>
                <c:pt idx="9">
                  <c:v>17.540825285338023</c:v>
                </c:pt>
                <c:pt idx="10">
                  <c:v>17.55</c:v>
                </c:pt>
                <c:pt idx="11">
                  <c:v>17.837162162162194</c:v>
                </c:pt>
                <c:pt idx="12">
                  <c:v>17.991994663108716</c:v>
                </c:pt>
                <c:pt idx="13">
                  <c:v>17.68</c:v>
                </c:pt>
                <c:pt idx="14">
                  <c:v>18.03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03-429D-AC10-3DFBD3C87B67}"/>
            </c:ext>
          </c:extLst>
        </c:ser>
        <c:ser>
          <c:idx val="1"/>
          <c:order val="1"/>
          <c:tx>
            <c:strRef>
              <c:f>'TRIM EGRESO uni'!$A$10:$A$13</c:f>
              <c:strCache>
                <c:ptCount val="1"/>
                <c:pt idx="0">
                  <c:v>Cuajimalpa</c:v>
                </c:pt>
              </c:strCache>
            </c:strRef>
          </c:tx>
          <c:spPr>
            <a:ln w="9525">
              <a:solidFill>
                <a:srgbClr val="F08200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9"/>
              <c:layout>
                <c:manualLayout>
                  <c:x val="-3.3717380600689316E-2"/>
                  <c:y val="-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03-429D-AC10-3DFBD3C87B67}"/>
                </c:ext>
              </c:extLst>
            </c:dLbl>
            <c:dLbl>
              <c:idx val="10"/>
              <c:layout>
                <c:manualLayout>
                  <c:x val="-2.983878405143452E-2"/>
                  <c:y val="-2.927380673435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03-429D-AC10-3DFBD3C87B67}"/>
                </c:ext>
              </c:extLst>
            </c:dLbl>
            <c:dLbl>
              <c:idx val="12"/>
              <c:layout>
                <c:manualLayout>
                  <c:x val="-2.2604498314520122E-2"/>
                  <c:y val="-3.2631419037662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03-429D-AC10-3DFBD3C87B67}"/>
                </c:ext>
              </c:extLst>
            </c:dLbl>
            <c:dLbl>
              <c:idx val="13"/>
              <c:layout>
                <c:manualLayout>
                  <c:x val="-2.1199839581336487E-2"/>
                  <c:y val="-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-2.2301008804702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uni'!$C$13:$M$13,'TRIM EGRESO uni'!$N$13,'TRIM EGRESO uni'!$O$13,'TRIM EGRESO uni'!$P$13,'TRIM EGRESO uni'!$Q$13)</c:f>
              <c:numCache>
                <c:formatCode>#,##0.0</c:formatCode>
                <c:ptCount val="15"/>
                <c:pt idx="6">
                  <c:v>12.61</c:v>
                </c:pt>
                <c:pt idx="7">
                  <c:v>13.584905660377357</c:v>
                </c:pt>
                <c:pt idx="8">
                  <c:v>13.13829787234042</c:v>
                </c:pt>
                <c:pt idx="9">
                  <c:v>13.748617609527864</c:v>
                </c:pt>
                <c:pt idx="10">
                  <c:v>14.62</c:v>
                </c:pt>
                <c:pt idx="11">
                  <c:v>15.441860465116276</c:v>
                </c:pt>
                <c:pt idx="12">
                  <c:v>15.975308641975314</c:v>
                </c:pt>
                <c:pt idx="13">
                  <c:v>16.170000000000002</c:v>
                </c:pt>
                <c:pt idx="14">
                  <c:v>16.309999999999999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3-429D-AC10-3DFBD3C87B67}"/>
            </c:ext>
          </c:extLst>
        </c:ser>
        <c:ser>
          <c:idx val="2"/>
          <c:order val="2"/>
          <c:tx>
            <c:strRef>
              <c:f>'TRIM EGRESO uni'!$A$15:$A$18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8"/>
              <c:layout>
                <c:manualLayout>
                  <c:x val="-3.5686853766617427E-2"/>
                  <c:y val="3.576933112680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03-429D-AC10-3DFBD3C87B67}"/>
                </c:ext>
              </c:extLst>
            </c:dLbl>
            <c:dLbl>
              <c:idx val="10"/>
              <c:layout>
                <c:manualLayout>
                  <c:x val="-2.983878405143452E-2"/>
                  <c:y val="2.5876780496468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uni'!$C$18:$M$18,'TRIM EGRESO uni'!$N$18,'TRIM EGRESO uni'!$O$18,'TRIM EGRESO uni'!$P$18,'TRIM EGRESO uni'!$Q$18)</c:f>
              <c:numCache>
                <c:formatCode>#,##0.0</c:formatCode>
                <c:ptCount val="15"/>
                <c:pt idx="0">
                  <c:v>19.565384615384616</c:v>
                </c:pt>
                <c:pt idx="1">
                  <c:v>19.156565656565657</c:v>
                </c:pt>
                <c:pt idx="2">
                  <c:v>19.314494074749316</c:v>
                </c:pt>
                <c:pt idx="3">
                  <c:v>19.681739130434782</c:v>
                </c:pt>
                <c:pt idx="4">
                  <c:v>19.219307450157412</c:v>
                </c:pt>
                <c:pt idx="5">
                  <c:v>18.842494714587744</c:v>
                </c:pt>
                <c:pt idx="6">
                  <c:v>17.98</c:v>
                </c:pt>
                <c:pt idx="7">
                  <c:v>17.807162534435271</c:v>
                </c:pt>
                <c:pt idx="8">
                  <c:v>17.68449781659389</c:v>
                </c:pt>
                <c:pt idx="9">
                  <c:v>17.710526315789497</c:v>
                </c:pt>
                <c:pt idx="10">
                  <c:v>17.54</c:v>
                </c:pt>
                <c:pt idx="11">
                  <c:v>17.979260595130754</c:v>
                </c:pt>
                <c:pt idx="12">
                  <c:v>18.018551236749143</c:v>
                </c:pt>
                <c:pt idx="13">
                  <c:v>18</c:v>
                </c:pt>
                <c:pt idx="14">
                  <c:v>17.989999999999998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803-429D-AC10-3DFBD3C87B67}"/>
            </c:ext>
          </c:extLst>
        </c:ser>
        <c:ser>
          <c:idx val="5"/>
          <c:order val="3"/>
          <c:tx>
            <c:strRef>
              <c:f>'TRIM EGRESO uni'!$A$20:$A$23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ln>
                <a:solidFill>
                  <a:srgbClr val="AD25A8"/>
                </a:solidFill>
              </a:ln>
            </c:spPr>
          </c:marker>
          <c:dLbls>
            <c:dLbl>
              <c:idx val="1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03-429D-AC10-3DFBD3C87B67}"/>
                </c:ext>
              </c:extLst>
            </c:dLbl>
            <c:dLbl>
              <c:idx val="13"/>
              <c:layout>
                <c:manualLayout>
                  <c:x val="-2.3879198464121912E-2"/>
                  <c:y val="3.3620694219480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03-429D-AC10-3DFBD3C87B67}"/>
                </c:ext>
              </c:extLst>
            </c:dLbl>
            <c:dLbl>
              <c:idx val="14"/>
              <c:layout>
                <c:manualLayout>
                  <c:x val="-1.8198363885886609E-2"/>
                  <c:y val="3.1054565357328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uni'!$C$23:$O$23,'TRIM EGRESO uni'!$P$23,'TRIM EGRESO uni'!$Q$23)</c:f>
              <c:numCache>
                <c:formatCode>#,##0.0</c:formatCode>
                <c:ptCount val="15"/>
                <c:pt idx="12">
                  <c:v>12.226666666666667</c:v>
                </c:pt>
                <c:pt idx="13">
                  <c:v>12.83</c:v>
                </c:pt>
                <c:pt idx="14">
                  <c:v>13.05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803-429D-AC10-3DFBD3C87B67}"/>
            </c:ext>
          </c:extLst>
        </c:ser>
        <c:ser>
          <c:idx val="3"/>
          <c:order val="4"/>
          <c:tx>
            <c:strRef>
              <c:f>'TRIM EGRESO uni'!$A$25:$A$28</c:f>
              <c:strCache>
                <c:ptCount val="1"/>
                <c:pt idx="0">
                  <c:v>Xochimilco</c:v>
                </c:pt>
              </c:strCache>
            </c:strRef>
          </c:tx>
          <c:spPr>
            <a:ln w="9525">
              <a:solidFill>
                <a:srgbClr val="0072CE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8"/>
              <c:layout>
                <c:manualLayout>
                  <c:x val="-2.983878405143452E-2"/>
                  <c:y val="-3.1872665547520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03-429D-AC10-3DFBD3C87B67}"/>
                </c:ext>
              </c:extLst>
            </c:dLbl>
            <c:dLbl>
              <c:idx val="9"/>
              <c:layout>
                <c:manualLayout>
                  <c:x val="-3.3717380600689316E-2"/>
                  <c:y val="3.2050131299467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03-429D-AC10-3DFBD3C87B67}"/>
                </c:ext>
              </c:extLst>
            </c:dLbl>
            <c:dLbl>
              <c:idx val="10"/>
              <c:layout>
                <c:manualLayout>
                  <c:x val="-2.4610025163916787E-2"/>
                  <c:y val="2.927380673435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03-429D-AC10-3DFBD3C87B67}"/>
                </c:ext>
              </c:extLst>
            </c:dLbl>
            <c:dLbl>
              <c:idx val="11"/>
              <c:layout>
                <c:manualLayout>
                  <c:x val="-2.119235298062461E-2"/>
                  <c:y val="-2.5071671043309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03-429D-AC10-3DFBD3C87B67}"/>
                </c:ext>
              </c:extLst>
            </c:dLbl>
            <c:dLbl>
              <c:idx val="12"/>
              <c:layout>
                <c:manualLayout>
                  <c:x val="-1.998658002016445E-2"/>
                  <c:y val="-2.6884817516731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03-429D-AC10-3DFBD3C87B67}"/>
                </c:ext>
              </c:extLst>
            </c:dLbl>
            <c:dLbl>
              <c:idx val="13"/>
              <c:layout>
                <c:manualLayout>
                  <c:x val="-2.1199804279223647E-2"/>
                  <c:y val="-2.6886447677642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03-429D-AC10-3DFBD3C87B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uni'!$C$28:$M$28,'TRIM EGRESO uni'!$N$28,'TRIM EGRESO uni'!$O$28,'TRIM EGRESO uni'!$P$28,'TRIM EGRESO uni'!$Q$28)</c:f>
              <c:numCache>
                <c:formatCode>#,##0.0</c:formatCode>
                <c:ptCount val="15"/>
                <c:pt idx="0">
                  <c:v>13.608874656907593</c:v>
                </c:pt>
                <c:pt idx="1">
                  <c:v>13.718039413845377</c:v>
                </c:pt>
                <c:pt idx="2">
                  <c:v>13.740957966764418</c:v>
                </c:pt>
                <c:pt idx="3">
                  <c:v>13.648156789547363</c:v>
                </c:pt>
                <c:pt idx="4">
                  <c:v>13.535792709705744</c:v>
                </c:pt>
                <c:pt idx="5">
                  <c:v>13.463944076526859</c:v>
                </c:pt>
                <c:pt idx="6">
                  <c:v>13.5</c:v>
                </c:pt>
                <c:pt idx="7">
                  <c:v>13.781349206349185</c:v>
                </c:pt>
                <c:pt idx="8">
                  <c:v>13.886527836804103</c:v>
                </c:pt>
                <c:pt idx="9">
                  <c:v>13.558333333333332</c:v>
                </c:pt>
                <c:pt idx="10">
                  <c:v>13.8</c:v>
                </c:pt>
                <c:pt idx="11">
                  <c:v>13.662060301507545</c:v>
                </c:pt>
                <c:pt idx="12">
                  <c:v>13.775423728813557</c:v>
                </c:pt>
                <c:pt idx="13">
                  <c:v>13.71</c:v>
                </c:pt>
                <c:pt idx="14">
                  <c:v>13.76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03-429D-AC10-3DFBD3C87B67}"/>
            </c:ext>
          </c:extLst>
        </c:ser>
        <c:ser>
          <c:idx val="4"/>
          <c:order val="5"/>
          <c:tx>
            <c:strRef>
              <c:f>'TRIM EGRESO uni'!$A$30:$A$36</c:f>
              <c:strCache>
                <c:ptCount val="1"/>
                <c:pt idx="0">
                  <c:v>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ln>
                <a:solidFill>
                  <a:schemeClr val="tx1"/>
                </a:solidFill>
              </a:ln>
            </c:spPr>
          </c:marker>
          <c:dLbls>
            <c:dLbl>
              <c:idx val="12"/>
              <c:layout>
                <c:manualLayout>
                  <c:x val="-2.1199839581336487E-2"/>
                  <c:y val="2.228659004705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03-429D-AC10-3DFBD3C87B67}"/>
                </c:ext>
              </c:extLst>
            </c:dLbl>
            <c:dLbl>
              <c:idx val="13"/>
              <c:layout>
                <c:manualLayout>
                  <c:x val="-1.9795180848152953E-2"/>
                  <c:y val="2.4872797294705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03-429D-AC10-3DFBD3C87B67}"/>
                </c:ext>
              </c:extLst>
            </c:dLbl>
            <c:dLbl>
              <c:idx val="14"/>
              <c:layout>
                <c:manualLayout>
                  <c:x val="-1.8310611012216881E-2"/>
                  <c:y val="2.4888889251146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93-4033-92CF-318EC662C1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('TRIM EGRESO uni'!$C$3:$O$3,'TRIM EGRESO uni'!$P$3,'TRIM EGRESO uni'!$Q$3)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('TRIM EGRESO uni'!$C$36:$M$36,'TRIM EGRESO uni'!$N$36,'TRIM EGRESO uni'!$O$36,'TRIM EGRESO uni'!$P$36,'TRIM EGRESO uni'!$Q$36)</c:f>
              <c:numCache>
                <c:formatCode>#,##0.0</c:formatCode>
                <c:ptCount val="15"/>
                <c:pt idx="0">
                  <c:v>16.481355209887067</c:v>
                </c:pt>
                <c:pt idx="1">
                  <c:v>16.611923509561304</c:v>
                </c:pt>
                <c:pt idx="2">
                  <c:v>16.509697789806044</c:v>
                </c:pt>
                <c:pt idx="3">
                  <c:v>16.575550660792953</c:v>
                </c:pt>
                <c:pt idx="4">
                  <c:v>15.90759150474473</c:v>
                </c:pt>
                <c:pt idx="5">
                  <c:v>15.536545192505656</c:v>
                </c:pt>
                <c:pt idx="6">
                  <c:v>15.32</c:v>
                </c:pt>
                <c:pt idx="7">
                  <c:v>15.627523691800636</c:v>
                </c:pt>
                <c:pt idx="8">
                  <c:v>15.648381294964095</c:v>
                </c:pt>
                <c:pt idx="9">
                  <c:v>15.57</c:v>
                </c:pt>
                <c:pt idx="10">
                  <c:v>15.751781027371603</c:v>
                </c:pt>
                <c:pt idx="11">
                  <c:v>15.858384357100615</c:v>
                </c:pt>
                <c:pt idx="12">
                  <c:v>15.948707985234114</c:v>
                </c:pt>
                <c:pt idx="13">
                  <c:v>15.86</c:v>
                </c:pt>
                <c:pt idx="14">
                  <c:v>16.11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03-429D-AC10-3DFBD3C8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6656"/>
        <c:axId val="56217600"/>
      </c:lineChart>
      <c:catAx>
        <c:axId val="5616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217600"/>
        <c:crosses val="autoZero"/>
        <c:auto val="1"/>
        <c:lblAlgn val="ctr"/>
        <c:lblOffset val="100"/>
        <c:noMultiLvlLbl val="0"/>
      </c:catAx>
      <c:valAx>
        <c:axId val="56217600"/>
        <c:scaling>
          <c:orientation val="minMax"/>
          <c:min val="10"/>
        </c:scaling>
        <c:delete val="1"/>
        <c:axPos val="l"/>
        <c:numFmt formatCode="#,##0.0" sourceLinked="1"/>
        <c:majorTickMark val="out"/>
        <c:minorTickMark val="none"/>
        <c:tickLblPos val="nextTo"/>
        <c:crossAx val="561666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18406570820438489"/>
          <c:y val="0.93453509888131781"/>
          <c:w val="0.6315417556376034"/>
          <c:h val="4.6766161657094983E-2"/>
        </c:manualLayout>
      </c:layout>
      <c:overlay val="0"/>
      <c:txPr>
        <a:bodyPr/>
        <a:lstStyle/>
        <a:p>
          <a:pPr>
            <a:defRPr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/>
              <a:t>EFICIENCIA TERMINAL 2014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terminal'!$A$106:$A$109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86-47C6-8289-02FD22235C35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terminal'!$D$104:$J$104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terminal'!$D$109:$J$109</c:f>
              <c:numCache>
                <c:formatCode>0.0%</c:formatCode>
                <c:ptCount val="7"/>
                <c:pt idx="0">
                  <c:v>0.45231874591770083</c:v>
                </c:pt>
                <c:pt idx="1">
                  <c:v>0.40036363636363637</c:v>
                </c:pt>
                <c:pt idx="2">
                  <c:v>0.35623678646934459</c:v>
                </c:pt>
                <c:pt idx="3">
                  <c:v>0.33915834522111271</c:v>
                </c:pt>
                <c:pt idx="4">
                  <c:v>0.33598472796691059</c:v>
                </c:pt>
                <c:pt idx="5">
                  <c:v>0.27563468513023409</c:v>
                </c:pt>
                <c:pt idx="6">
                  <c:v>0.13277880468268638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6-47C6-8289-02FD22235C35}"/>
            </c:ext>
          </c:extLst>
        </c:ser>
        <c:ser>
          <c:idx val="1"/>
          <c:order val="1"/>
          <c:tx>
            <c:strRef>
              <c:f>'Eficiencia terminal'!$A$111:$A$114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1"/>
              <c:layout>
                <c:manualLayout>
                  <c:x val="-3.5296587926509186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86-47C6-8289-02FD22235C35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86-47C6-8289-02FD22235C35}"/>
                </c:ext>
              </c:extLst>
            </c:dLbl>
            <c:dLbl>
              <c:idx val="4"/>
              <c:layout>
                <c:manualLayout>
                  <c:x val="-3.5296587926509186E-2"/>
                  <c:y val="-3.311266187194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86-47C6-8289-02FD22235C35}"/>
                </c:ext>
              </c:extLst>
            </c:dLbl>
            <c:dLbl>
              <c:idx val="6"/>
              <c:layout>
                <c:manualLayout>
                  <c:x val="-1.1388541949497693E-2"/>
                  <c:y val="-2.0628236190264429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terminal'!$D$104:$J$104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terminal'!$D$114:$J$114</c:f>
              <c:numCache>
                <c:formatCode>0.0%</c:formatCode>
                <c:ptCount val="7"/>
                <c:pt idx="1">
                  <c:v>0.62352941176470589</c:v>
                </c:pt>
                <c:pt idx="2">
                  <c:v>0.63440860215053763</c:v>
                </c:pt>
                <c:pt idx="3">
                  <c:v>0.49829351535836175</c:v>
                </c:pt>
                <c:pt idx="4">
                  <c:v>0.38750000000000001</c:v>
                </c:pt>
                <c:pt idx="5">
                  <c:v>0.23580786026200873</c:v>
                </c:pt>
                <c:pt idx="6">
                  <c:v>0.12847222222222221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E86-47C6-8289-02FD22235C35}"/>
            </c:ext>
          </c:extLst>
        </c:ser>
        <c:ser>
          <c:idx val="2"/>
          <c:order val="2"/>
          <c:tx>
            <c:strRef>
              <c:f>'Eficiencia terminal'!$A$116:$A$119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3.5296587926509186E-2"/>
                  <c:y val="-2.75560664602684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86-47C6-8289-02FD22235C35}"/>
                </c:ext>
              </c:extLst>
            </c:dLbl>
            <c:dLbl>
              <c:idx val="6"/>
              <c:layout>
                <c:manualLayout>
                  <c:x val="-3.5296587926509186E-2"/>
                  <c:y val="2.7597322932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terminal'!$D$104:$J$104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terminal'!$D$119:$J$119</c:f>
              <c:numCache>
                <c:formatCode>0.0%</c:formatCode>
                <c:ptCount val="7"/>
                <c:pt idx="0">
                  <c:v>0.48972431077694234</c:v>
                </c:pt>
                <c:pt idx="1">
                  <c:v>0.45689235265465172</c:v>
                </c:pt>
                <c:pt idx="2">
                  <c:v>0.43040380047505938</c:v>
                </c:pt>
                <c:pt idx="3">
                  <c:v>0.38863000931966452</c:v>
                </c:pt>
                <c:pt idx="4">
                  <c:v>0.33820369574559517</c:v>
                </c:pt>
                <c:pt idx="5">
                  <c:v>0.26002587322121606</c:v>
                </c:pt>
                <c:pt idx="6">
                  <c:v>0.1001980198019802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E86-47C6-8289-02FD22235C35}"/>
            </c:ext>
          </c:extLst>
        </c:ser>
        <c:ser>
          <c:idx val="3"/>
          <c:order val="3"/>
          <c:tx>
            <c:strRef>
              <c:f>'Eficiencia terminal'!$A$121:$A$124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terminal'!$D$104:$J$104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terminal'!$D$124:$J$124</c:f>
              <c:numCache>
                <c:formatCode>0.0%</c:formatCode>
                <c:ptCount val="7"/>
                <c:pt idx="0">
                  <c:v>0.72020460358056271</c:v>
                </c:pt>
                <c:pt idx="1">
                  <c:v>0.70861977789529351</c:v>
                </c:pt>
                <c:pt idx="2">
                  <c:v>0.69351166761525329</c:v>
                </c:pt>
                <c:pt idx="3">
                  <c:v>0.65065243179122179</c:v>
                </c:pt>
                <c:pt idx="4">
                  <c:v>0.68734413965087282</c:v>
                </c:pt>
                <c:pt idx="5">
                  <c:v>0.63243581715716968</c:v>
                </c:pt>
                <c:pt idx="6">
                  <c:v>0.48381294964028776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86-47C6-8289-02FD22235C35}"/>
            </c:ext>
          </c:extLst>
        </c:ser>
        <c:ser>
          <c:idx val="4"/>
          <c:order val="4"/>
          <c:tx>
            <c:strRef>
              <c:f>'Eficiencia terminal'!$A$126:$B$126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x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3"/>
              <c:layout>
                <c:manualLayout>
                  <c:x val="-3.5296587926509186E-2"/>
                  <c:y val="1.656664505406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86-47C6-8289-02FD22235C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terminal'!$D$104:$J$104</c:f>
              <c:numCache>
                <c:formatCode>General</c:formatCode>
                <c:ptCount val="7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</c:numCache>
            </c:numRef>
          </c:cat>
          <c:val>
            <c:numRef>
              <c:f>'Eficiencia terminal'!$D$126:$J$126</c:f>
              <c:numCache>
                <c:formatCode>0.0%</c:formatCode>
                <c:ptCount val="7"/>
                <c:pt idx="0">
                  <c:v>0.57745065239210436</c:v>
                </c:pt>
                <c:pt idx="1">
                  <c:v>0.55111364934323248</c:v>
                </c:pt>
                <c:pt idx="2">
                  <c:v>0.51614035087719301</c:v>
                </c:pt>
                <c:pt idx="3">
                  <c:v>0.4788160185722577</c:v>
                </c:pt>
                <c:pt idx="4">
                  <c:v>0.46365859079795513</c:v>
                </c:pt>
                <c:pt idx="5">
                  <c:v>0.40034188034188034</c:v>
                </c:pt>
                <c:pt idx="6">
                  <c:v>0.24853645556146886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86-47C6-8289-02FD22235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86400"/>
        <c:axId val="115287936"/>
      </c:lineChart>
      <c:catAx>
        <c:axId val="1152864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15287936"/>
        <c:crosses val="autoZero"/>
        <c:auto val="1"/>
        <c:lblAlgn val="ctr"/>
        <c:lblOffset val="100"/>
        <c:noMultiLvlLbl val="0"/>
      </c:catAx>
      <c:valAx>
        <c:axId val="115287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152864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7101630916825057"/>
          <c:h val="4.98666981663452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terminal'!$A$73:$A$76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A5-44D5-B805-12AFC8E4B101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A5-44D5-B805-12AFC8E4B101}"/>
                </c:ext>
              </c:extLst>
            </c:dLbl>
            <c:dLbl>
              <c:idx val="6"/>
              <c:layout>
                <c:manualLayout>
                  <c:x val="-3.4377047696624127E-2"/>
                  <c:y val="-3.17338271371179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terminal'!$D$76:$J$76</c:f>
              <c:numCache>
                <c:formatCode>0.0%</c:formatCode>
                <c:ptCount val="7"/>
                <c:pt idx="0">
                  <c:v>0.43099630996309962</c:v>
                </c:pt>
                <c:pt idx="1">
                  <c:v>0.3763213530655391</c:v>
                </c:pt>
                <c:pt idx="2">
                  <c:v>0.38072378138847857</c:v>
                </c:pt>
                <c:pt idx="3">
                  <c:v>0.38975501113585748</c:v>
                </c:pt>
                <c:pt idx="4">
                  <c:v>0.35761371127224784</c:v>
                </c:pt>
                <c:pt idx="5">
                  <c:v>0.25292307692307692</c:v>
                </c:pt>
                <c:pt idx="6">
                  <c:v>0.13919784293899562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A5-44D5-B805-12AFC8E4B101}"/>
            </c:ext>
          </c:extLst>
        </c:ser>
        <c:ser>
          <c:idx val="1"/>
          <c:order val="1"/>
          <c:tx>
            <c:strRef>
              <c:f>'Eficiencia terminal'!$A$78:$A$81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5-44D5-B805-12AFC8E4B101}"/>
                </c:ext>
              </c:extLst>
            </c:dLbl>
            <c:dLbl>
              <c:idx val="1"/>
              <c:layout>
                <c:manualLayout>
                  <c:x val="-3.0498536900384805E-2"/>
                  <c:y val="2.4849502507838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5-44D5-B805-12AFC8E4B101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5-44D5-B805-12AFC8E4B101}"/>
                </c:ext>
              </c:extLst>
            </c:dLbl>
            <c:dLbl>
              <c:idx val="3"/>
              <c:layout>
                <c:manualLayout>
                  <c:x val="-3.1618427006968958E-2"/>
                  <c:y val="-2.4839653463003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5-44D5-B805-12AFC8E4B101}"/>
                </c:ext>
              </c:extLst>
            </c:dLbl>
            <c:dLbl>
              <c:idx val="4"/>
              <c:layout>
                <c:manualLayout>
                  <c:x val="-3.3697257009352853E-2"/>
                  <c:y val="3.0379463436635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5-44D5-B805-12AFC8E4B101}"/>
                </c:ext>
              </c:extLst>
            </c:dLbl>
            <c:dLbl>
              <c:idx val="6"/>
              <c:layout>
                <c:manualLayout>
                  <c:x val="-2.7382177537529549E-2"/>
                  <c:y val="2.7584595403835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terminal'!$D$81:$J$81</c:f>
              <c:numCache>
                <c:formatCode>0.0%</c:formatCode>
                <c:ptCount val="7"/>
                <c:pt idx="0">
                  <c:v>0.62941176470588234</c:v>
                </c:pt>
                <c:pt idx="1">
                  <c:v>0.65934065934065933</c:v>
                </c:pt>
                <c:pt idx="2">
                  <c:v>0.54285714285714282</c:v>
                </c:pt>
                <c:pt idx="3">
                  <c:v>0.42633228840125392</c:v>
                </c:pt>
                <c:pt idx="4">
                  <c:v>0.3056768558951965</c:v>
                </c:pt>
                <c:pt idx="5">
                  <c:v>0.27681660899653981</c:v>
                </c:pt>
                <c:pt idx="6">
                  <c:v>7.0000000000000007E-2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5-44D5-B805-12AFC8E4B101}"/>
            </c:ext>
          </c:extLst>
        </c:ser>
        <c:ser>
          <c:idx val="2"/>
          <c:order val="2"/>
          <c:tx>
            <c:strRef>
              <c:f>'Eficiencia terminal'!$A$83:$A$86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2.4865370089608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5-44D5-B805-12AFC8E4B101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5-44D5-B805-12AFC8E4B101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5-44D5-B805-12AFC8E4B101}"/>
                </c:ext>
              </c:extLst>
            </c:dLbl>
            <c:dLbl>
              <c:idx val="5"/>
              <c:layout>
                <c:manualLayout>
                  <c:x val="-3.3894469438118364E-2"/>
                  <c:y val="2.7625894589263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5-44D5-B805-12AFC8E4B101}"/>
                </c:ext>
              </c:extLst>
            </c:dLbl>
            <c:dLbl>
              <c:idx val="6"/>
              <c:layout>
                <c:manualLayout>
                  <c:x val="-2.5700582670795166E-2"/>
                  <c:y val="-1.9331713970536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terminal'!$D$86:$J$86</c:f>
              <c:numCache>
                <c:formatCode>0.0%</c:formatCode>
                <c:ptCount val="7"/>
                <c:pt idx="0">
                  <c:v>0.48045522018802572</c:v>
                </c:pt>
                <c:pt idx="1">
                  <c:v>0.45437262357414449</c:v>
                </c:pt>
                <c:pt idx="2">
                  <c:v>0.44239183276616434</c:v>
                </c:pt>
                <c:pt idx="3">
                  <c:v>0.3904639175257732</c:v>
                </c:pt>
                <c:pt idx="4">
                  <c:v>0.3544358311800172</c:v>
                </c:pt>
                <c:pt idx="5">
                  <c:v>0.22310126582278481</c:v>
                </c:pt>
                <c:pt idx="6">
                  <c:v>0.10011778563015312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DA5-44D5-B805-12AFC8E4B101}"/>
            </c:ext>
          </c:extLst>
        </c:ser>
        <c:ser>
          <c:idx val="5"/>
          <c:order val="3"/>
          <c:tx>
            <c:strRef>
              <c:f>'Eficiencia terminal'!$A$88:$A$91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terminal'!$D$91:$J$91</c:f>
              <c:numCache>
                <c:formatCode>0.0%</c:formatCode>
                <c:ptCount val="7"/>
                <c:pt idx="6">
                  <c:v>0.55147058823529416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DA5-44D5-B805-12AFC8E4B101}"/>
            </c:ext>
          </c:extLst>
        </c:ser>
        <c:ser>
          <c:idx val="3"/>
          <c:order val="4"/>
          <c:tx>
            <c:strRef>
              <c:f>'Eficiencia terminal'!$A$93:$A$96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terminal'!$D$96:$J$96</c:f>
              <c:numCache>
                <c:formatCode>0.0%</c:formatCode>
                <c:ptCount val="7"/>
                <c:pt idx="0">
                  <c:v>0.71443708609271528</c:v>
                </c:pt>
                <c:pt idx="1">
                  <c:v>0.69691780821917804</c:v>
                </c:pt>
                <c:pt idx="2">
                  <c:v>0.66495468277945624</c:v>
                </c:pt>
                <c:pt idx="3">
                  <c:v>0.70977627949739508</c:v>
                </c:pt>
                <c:pt idx="4">
                  <c:v>0.671608832807571</c:v>
                </c:pt>
                <c:pt idx="5">
                  <c:v>0.65083632019115889</c:v>
                </c:pt>
                <c:pt idx="6">
                  <c:v>0.44129287598944589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5-44D5-B805-12AFC8E4B101}"/>
            </c:ext>
          </c:extLst>
        </c:ser>
        <c:ser>
          <c:idx val="4"/>
          <c:order val="5"/>
          <c:tx>
            <c:strRef>
              <c:f>'Eficiencia terminal'!$A$126:$B$126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A5-44D5-B805-12AFC8E4B101}"/>
                </c:ext>
              </c:extLst>
            </c:dLbl>
            <c:dLbl>
              <c:idx val="1"/>
              <c:layout>
                <c:manualLayout>
                  <c:x val="-3.0695749329150313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A5-44D5-B805-12AFC8E4B101}"/>
                </c:ext>
              </c:extLst>
            </c:dLbl>
            <c:dLbl>
              <c:idx val="2"/>
              <c:layout>
                <c:manualLayout>
                  <c:x val="-3.8692549601570446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A5-44D5-B805-12AFC8E4B101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A5-44D5-B805-12AFC8E4B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terminal'!$D$71:$J$71</c:f>
              <c:numCache>
                <c:formatCode>General</c:formatCode>
                <c:ptCount val="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</c:numCache>
            </c:numRef>
          </c:cat>
          <c:val>
            <c:numRef>
              <c:f>'Eficiencia terminal'!$D$98:$J$98</c:f>
              <c:numCache>
                <c:formatCode>0.0%</c:formatCode>
                <c:ptCount val="7"/>
                <c:pt idx="0">
                  <c:v>0.5697325956662056</c:v>
                </c:pt>
                <c:pt idx="1">
                  <c:v>0.53016282066299636</c:v>
                </c:pt>
                <c:pt idx="2">
                  <c:v>0.51394374625972472</c:v>
                </c:pt>
                <c:pt idx="3">
                  <c:v>0.50657240693692696</c:v>
                </c:pt>
                <c:pt idx="4">
                  <c:v>0.46910336950314108</c:v>
                </c:pt>
                <c:pt idx="5">
                  <c:v>0.38714816781731282</c:v>
                </c:pt>
                <c:pt idx="6">
                  <c:v>0.2340236027610777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A5-44D5-B805-12AFC8E4B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081984"/>
        <c:axId val="117083520"/>
      </c:lineChart>
      <c:catAx>
        <c:axId val="1170819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17083520"/>
        <c:crosses val="autoZero"/>
        <c:auto val="1"/>
        <c:lblAlgn val="ctr"/>
        <c:lblOffset val="100"/>
        <c:noMultiLvlLbl val="0"/>
      </c:catAx>
      <c:valAx>
        <c:axId val="1170835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17081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terminal'!$A$73:$A$76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4.3490629765022583E-2"/>
                  <c:y val="1.102144840590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9B-4FF4-9248-13C91DE9C5D7}"/>
                </c:ext>
              </c:extLst>
            </c:dLbl>
            <c:dLbl>
              <c:idx val="4"/>
              <c:layout>
                <c:manualLayout>
                  <c:x val="-3.3894469438118364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9B-4FF4-9248-13C91DE9C5D7}"/>
                </c:ext>
              </c:extLst>
            </c:dLbl>
            <c:dLbl>
              <c:idx val="5"/>
              <c:layout>
                <c:manualLayout>
                  <c:x val="-3.4377047696624127E-2"/>
                  <c:y val="-4.0006835546055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B-4FF4-9248-13C91DE9C5D7}"/>
                </c:ext>
              </c:extLst>
            </c:dLbl>
            <c:dLbl>
              <c:idx val="6"/>
              <c:layout>
                <c:manualLayout>
                  <c:x val="-2.9578967835987766E-2"/>
                  <c:y val="1.5195057139596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terminal'!$D$43:$J$43</c:f>
              <c:numCache>
                <c:formatCode>0.0%</c:formatCode>
                <c:ptCount val="7"/>
                <c:pt idx="0">
                  <c:v>0.38865546218487396</c:v>
                </c:pt>
                <c:pt idx="1">
                  <c:v>0.38892831795599714</c:v>
                </c:pt>
                <c:pt idx="2">
                  <c:v>0.42246835443037972</c:v>
                </c:pt>
                <c:pt idx="3">
                  <c:v>0.3988173455978975</c:v>
                </c:pt>
                <c:pt idx="4">
                  <c:v>0.32536764705882354</c:v>
                </c:pt>
                <c:pt idx="5">
                  <c:v>0.25310090512906469</c:v>
                </c:pt>
                <c:pt idx="6">
                  <c:v>0.17329762815608263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9B-4FF4-9248-13C91DE9C5D7}"/>
            </c:ext>
          </c:extLst>
        </c:ser>
        <c:ser>
          <c:idx val="1"/>
          <c:order val="1"/>
          <c:tx>
            <c:strRef>
              <c:f>'Eficiencia terminal'!$A$78:$A$81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B-4FF4-9248-13C91DE9C5D7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9B-4FF4-9248-13C91DE9C5D7}"/>
                </c:ext>
              </c:extLst>
            </c:dLbl>
            <c:dLbl>
              <c:idx val="2"/>
              <c:layout>
                <c:manualLayout>
                  <c:x val="-2.7497029220182261E-2"/>
                  <c:y val="-3.3146943588573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B-4FF4-9248-13C91DE9C5D7}"/>
                </c:ext>
              </c:extLst>
            </c:dLbl>
            <c:dLbl>
              <c:idx val="3"/>
              <c:layout>
                <c:manualLayout>
                  <c:x val="-3.1618466740111352E-2"/>
                  <c:y val="3.0370768871282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B-4FF4-9248-13C91DE9C5D7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B-4FF4-9248-13C91DE9C5D7}"/>
                </c:ext>
              </c:extLst>
            </c:dLbl>
            <c:dLbl>
              <c:idx val="5"/>
              <c:layout>
                <c:manualLayout>
                  <c:x val="-3.069574932915043E-2"/>
                  <c:y val="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B-4FF4-9248-13C91DE9C5D7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terminal'!$D$48:$J$48</c:f>
              <c:numCache>
                <c:formatCode>0.0%</c:formatCode>
                <c:ptCount val="7"/>
                <c:pt idx="0">
                  <c:v>0.64210526315789473</c:v>
                </c:pt>
                <c:pt idx="1">
                  <c:v>0.5374149659863946</c:v>
                </c:pt>
                <c:pt idx="2">
                  <c:v>0.46105919003115264</c:v>
                </c:pt>
                <c:pt idx="3">
                  <c:v>0.37280701754385964</c:v>
                </c:pt>
                <c:pt idx="4">
                  <c:v>0.375</c:v>
                </c:pt>
                <c:pt idx="5">
                  <c:v>0.21</c:v>
                </c:pt>
                <c:pt idx="6">
                  <c:v>0.10843373493975904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C9B-4FF4-9248-13C91DE9C5D7}"/>
            </c:ext>
          </c:extLst>
        </c:ser>
        <c:ser>
          <c:idx val="2"/>
          <c:order val="2"/>
          <c:tx>
            <c:strRef>
              <c:f>'Eficiencia terminal'!$A$83:$A$86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B-4FF4-9248-13C91DE9C5D7}"/>
                </c:ext>
              </c:extLst>
            </c:dLbl>
            <c:dLbl>
              <c:idx val="3"/>
              <c:layout>
                <c:manualLayout>
                  <c:x val="-4.3490629765022527E-2"/>
                  <c:y val="-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B-4FF4-9248-13C91DE9C5D7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B-4FF4-9248-13C91DE9C5D7}"/>
                </c:ext>
              </c:extLst>
            </c:dLbl>
            <c:dLbl>
              <c:idx val="5"/>
              <c:layout>
                <c:manualLayout>
                  <c:x val="-3.3894469438118482E-2"/>
                  <c:y val="-1.6542497405215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B-4FF4-9248-13C91DE9C5D7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terminal'!$D$53:$J$53</c:f>
              <c:numCache>
                <c:formatCode>0.0%</c:formatCode>
                <c:ptCount val="7"/>
                <c:pt idx="0">
                  <c:v>0.46672958942897591</c:v>
                </c:pt>
                <c:pt idx="1">
                  <c:v>0.44935543278084716</c:v>
                </c:pt>
                <c:pt idx="2">
                  <c:v>0.42552283397353818</c:v>
                </c:pt>
                <c:pt idx="3">
                  <c:v>0.41156316916488223</c:v>
                </c:pt>
                <c:pt idx="4">
                  <c:v>0.31778996865203762</c:v>
                </c:pt>
                <c:pt idx="5">
                  <c:v>0.22608356110894182</c:v>
                </c:pt>
                <c:pt idx="6">
                  <c:v>9.8392036753445641E-2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9B-4FF4-9248-13C91DE9C5D7}"/>
            </c:ext>
          </c:extLst>
        </c:ser>
        <c:ser>
          <c:idx val="5"/>
          <c:order val="3"/>
          <c:tx>
            <c:strRef>
              <c:f>'Eficiencia terminal'!$A$88:$A$91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terminal'!$D$58:$J$58</c:f>
              <c:numCache>
                <c:formatCode>0.0%</c:formatCode>
                <c:ptCount val="7"/>
                <c:pt idx="5">
                  <c:v>0.66911764705882348</c:v>
                </c:pt>
                <c:pt idx="6">
                  <c:v>0.23376623376623376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9B-4FF4-9248-13C91DE9C5D7}"/>
            </c:ext>
          </c:extLst>
        </c:ser>
        <c:ser>
          <c:idx val="3"/>
          <c:order val="4"/>
          <c:tx>
            <c:strRef>
              <c:f>'Eficiencia terminal'!$A$93:$A$96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5"/>
              <c:layout>
                <c:manualLayout>
                  <c:x val="-3.2295109383634342E-2"/>
                  <c:y val="2.4865370089608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terminal'!$D$63:$J$63</c:f>
              <c:numCache>
                <c:formatCode>0.0%</c:formatCode>
                <c:ptCount val="7"/>
                <c:pt idx="0">
                  <c:v>0.6987849675049449</c:v>
                </c:pt>
                <c:pt idx="1">
                  <c:v>0.66488095238095235</c:v>
                </c:pt>
                <c:pt idx="2">
                  <c:v>0.71968312004875079</c:v>
                </c:pt>
                <c:pt idx="3">
                  <c:v>0.69122257053291536</c:v>
                </c:pt>
                <c:pt idx="4">
                  <c:v>0.69413159454653228</c:v>
                </c:pt>
                <c:pt idx="5">
                  <c:v>0.61767441860465111</c:v>
                </c:pt>
                <c:pt idx="6">
                  <c:v>0.45387807213533354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9B-4FF4-9248-13C91DE9C5D7}"/>
            </c:ext>
          </c:extLst>
        </c:ser>
        <c:ser>
          <c:idx val="4"/>
          <c:order val="5"/>
          <c:tx>
            <c:strRef>
              <c:f>'Eficiencia terminal'!$A$126:$B$126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9E-2"/>
                  <c:y val="-2.206354640452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9B-4FF4-9248-13C91DE9C5D7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9B-4FF4-9248-13C91DE9C5D7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9B-4FF4-9248-13C91DE9C5D7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9B-4FF4-9248-13C91DE9C5D7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9B-4FF4-9248-13C91DE9C5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terminal'!$D$38:$J$38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'Eficiencia terminal'!$D$65:$J$65</c:f>
              <c:numCache>
                <c:formatCode>0.0%</c:formatCode>
                <c:ptCount val="7"/>
                <c:pt idx="0">
                  <c:v>0.53815774189801369</c:v>
                </c:pt>
                <c:pt idx="1">
                  <c:v>0.51642757982415544</c:v>
                </c:pt>
                <c:pt idx="2">
                  <c:v>0.53173731605534813</c:v>
                </c:pt>
                <c:pt idx="3">
                  <c:v>0.50755939524838012</c:v>
                </c:pt>
                <c:pt idx="4">
                  <c:v>0.45610888373074487</c:v>
                </c:pt>
                <c:pt idx="5">
                  <c:v>0.37805540467137427</c:v>
                </c:pt>
                <c:pt idx="6">
                  <c:v>0.24931569343065693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9B-4FF4-9248-13C91DE9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98400"/>
        <c:axId val="121399936"/>
      </c:lineChart>
      <c:catAx>
        <c:axId val="12139840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21399936"/>
        <c:crosses val="autoZero"/>
        <c:auto val="1"/>
        <c:lblAlgn val="ctr"/>
        <c:lblOffset val="100"/>
        <c:noMultiLvlLbl val="0"/>
      </c:catAx>
      <c:valAx>
        <c:axId val="12139993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139840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'Eficiencia terminal'!$A$8:$A$11</c:f>
              <c:strCache>
                <c:ptCount val="1"/>
                <c:pt idx="0">
                  <c:v>Azcapotzalco</c:v>
                </c:pt>
              </c:strCache>
            </c:strRef>
          </c:tx>
          <c:spPr>
            <a:ln w="12700">
              <a:solidFill>
                <a:srgbClr val="CD032E"/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2"/>
              <c:layout>
                <c:manualLayout>
                  <c:x val="-3.0695749329150313E-2"/>
                  <c:y val="1.9303021904870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CF-436F-8DB7-278C1C7FFF2D}"/>
                </c:ext>
              </c:extLst>
            </c:dLbl>
            <c:dLbl>
              <c:idx val="3"/>
              <c:layout>
                <c:manualLayout>
                  <c:x val="-3.229510938363428E-2"/>
                  <c:y val="-1.10627475913337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CF-436F-8DB7-278C1C7FFF2D}"/>
                </c:ext>
              </c:extLst>
            </c:dLbl>
            <c:dLbl>
              <c:idx val="4"/>
              <c:layout>
                <c:manualLayout>
                  <c:x val="-3.3894469438118364E-2"/>
                  <c:y val="-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CF-436F-8DB7-278C1C7FFF2D}"/>
                </c:ext>
              </c:extLst>
            </c:dLbl>
            <c:dLbl>
              <c:idx val="5"/>
              <c:layout>
                <c:manualLayout>
                  <c:x val="-3.4377047999439962E-2"/>
                  <c:y val="-2.34435912902191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CF-436F-8DB7-278C1C7FFF2D}"/>
                </c:ext>
              </c:extLst>
            </c:dLbl>
            <c:dLbl>
              <c:idx val="6"/>
              <c:layout>
                <c:manualLayout>
                  <c:x val="-2.4780887672535688E-2"/>
                  <c:y val="-1.7931236856262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C000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terminal'!$D$11:$J$11</c:f>
              <c:numCache>
                <c:formatCode>0.0%</c:formatCode>
                <c:ptCount val="7"/>
                <c:pt idx="0">
                  <c:v>0.41349911190053285</c:v>
                </c:pt>
                <c:pt idx="1">
                  <c:v>0.4498258942703387</c:v>
                </c:pt>
                <c:pt idx="2">
                  <c:v>0.44134078212290501</c:v>
                </c:pt>
                <c:pt idx="3">
                  <c:v>0.39816232771822357</c:v>
                </c:pt>
                <c:pt idx="4">
                  <c:v>0.34673366834170855</c:v>
                </c:pt>
                <c:pt idx="5">
                  <c:v>0.34288990825688076</c:v>
                </c:pt>
                <c:pt idx="6">
                  <c:v>0.17902813299232737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CF-436F-8DB7-278C1C7FFF2D}"/>
            </c:ext>
          </c:extLst>
        </c:ser>
        <c:ser>
          <c:idx val="1"/>
          <c:order val="1"/>
          <c:tx>
            <c:strRef>
              <c:f>'Eficiencia terminal'!$A$13:$A$16</c:f>
              <c:strCache>
                <c:ptCount val="1"/>
                <c:pt idx="0">
                  <c:v>Cuajimalpa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3.3894469438118371E-2"/>
                  <c:y val="-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CF-436F-8DB7-278C1C7FFF2D}"/>
                </c:ext>
              </c:extLst>
            </c:dLbl>
            <c:dLbl>
              <c:idx val="1"/>
              <c:layout>
                <c:manualLayout>
                  <c:x val="-2.5700456736932754E-2"/>
                  <c:y val="-2.4839938485950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CF-436F-8DB7-278C1C7FFF2D}"/>
                </c:ext>
              </c:extLst>
            </c:dLbl>
            <c:dLbl>
              <c:idx val="2"/>
              <c:layout>
                <c:manualLayout>
                  <c:x val="-3.2295109383634342E-2"/>
                  <c:y val="2.20635464045255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CF-436F-8DB7-278C1C7FFF2D}"/>
                </c:ext>
              </c:extLst>
            </c:dLbl>
            <c:dLbl>
              <c:idx val="3"/>
              <c:layout>
                <c:manualLayout>
                  <c:x val="-3.6416546903563371E-2"/>
                  <c:y val="-2.7600245621471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CF-436F-8DB7-278C1C7FFF2D}"/>
                </c:ext>
              </c:extLst>
            </c:dLbl>
            <c:dLbl>
              <c:idx val="4"/>
              <c:layout>
                <c:manualLayout>
                  <c:x val="-3.3697257009352853E-2"/>
                  <c:y val="-2.2070502056808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CF-436F-8DB7-278C1C7FFF2D}"/>
                </c:ext>
              </c:extLst>
            </c:dLbl>
            <c:dLbl>
              <c:idx val="5"/>
              <c:layout>
                <c:manualLayout>
                  <c:x val="-3.069574932915043E-2"/>
                  <c:y val="-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CF-436F-8DB7-278C1C7FFF2D}"/>
                </c:ext>
              </c:extLst>
            </c:dLbl>
            <c:dLbl>
              <c:idx val="6"/>
              <c:layout>
                <c:manualLayout>
                  <c:x val="-3.2180257700981631E-2"/>
                  <c:y val="-2.2104845589953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terminal'!$D$16:$J$16</c:f>
              <c:numCache>
                <c:formatCode>0.0%</c:formatCode>
                <c:ptCount val="7"/>
                <c:pt idx="0">
                  <c:v>0.55892255892255893</c:v>
                </c:pt>
                <c:pt idx="1">
                  <c:v>0.47648902821316613</c:v>
                </c:pt>
                <c:pt idx="2">
                  <c:v>0.40789473684210525</c:v>
                </c:pt>
                <c:pt idx="3">
                  <c:v>0.43205574912891986</c:v>
                </c:pt>
                <c:pt idx="4">
                  <c:v>0.36789297658862874</c:v>
                </c:pt>
                <c:pt idx="5">
                  <c:v>0.27439024390243905</c:v>
                </c:pt>
                <c:pt idx="6">
                  <c:v>0.12721893491124261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F-436F-8DB7-278C1C7FFF2D}"/>
            </c:ext>
          </c:extLst>
        </c:ser>
        <c:ser>
          <c:idx val="2"/>
          <c:order val="2"/>
          <c:tx>
            <c:strRef>
              <c:f>'Eficiencia terminal'!$A$18:$A$21</c:f>
              <c:strCache>
                <c:ptCount val="1"/>
                <c:pt idx="0">
                  <c:v>Iztapalapa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0"/>
              <c:layout>
                <c:manualLayout>
                  <c:x val="-3.5493829492602394E-2"/>
                  <c:y val="2.4865370089608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CF-436F-8DB7-278C1C7FFF2D}"/>
                </c:ext>
              </c:extLst>
            </c:dLbl>
            <c:dLbl>
              <c:idx val="1"/>
              <c:layout>
                <c:manualLayout>
                  <c:x val="-3.3894469438118399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CF-436F-8DB7-278C1C7FFF2D}"/>
                </c:ext>
              </c:extLst>
            </c:dLbl>
            <c:dLbl>
              <c:idx val="3"/>
              <c:layout>
                <c:manualLayout>
                  <c:x val="-3.3894469438118364E-2"/>
                  <c:y val="2.2104845589953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CF-436F-8DB7-278C1C7FFF2D}"/>
                </c:ext>
              </c:extLst>
            </c:dLbl>
            <c:dLbl>
              <c:idx val="4"/>
              <c:layout>
                <c:manualLayout>
                  <c:x val="-3.2097896954868831E-2"/>
                  <c:y val="2.2133320291485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CF-436F-8DB7-278C1C7FFF2D}"/>
                </c:ext>
              </c:extLst>
            </c:dLbl>
            <c:dLbl>
              <c:idx val="5"/>
              <c:layout>
                <c:manualLayout>
                  <c:x val="-3.8692549601570446E-2"/>
                  <c:y val="2.7625894589263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CF-436F-8DB7-278C1C7FFF2D}"/>
                </c:ext>
              </c:extLst>
            </c:dLbl>
            <c:dLbl>
              <c:idx val="6"/>
              <c:layout>
                <c:manualLayout>
                  <c:x val="-2.4101222616311372E-2"/>
                  <c:y val="2.2076153524287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terminal'!$D$21:$J$21</c:f>
              <c:numCache>
                <c:formatCode>0.0%</c:formatCode>
                <c:ptCount val="7"/>
                <c:pt idx="0">
                  <c:v>0.46722068328716526</c:v>
                </c:pt>
                <c:pt idx="1">
                  <c:v>0.45520477815699661</c:v>
                </c:pt>
                <c:pt idx="2">
                  <c:v>0.44796573875802997</c:v>
                </c:pt>
                <c:pt idx="3">
                  <c:v>0.3692669541356331</c:v>
                </c:pt>
                <c:pt idx="4">
                  <c:v>0.32890625000000001</c:v>
                </c:pt>
                <c:pt idx="5">
                  <c:v>0.23197252956886685</c:v>
                </c:pt>
                <c:pt idx="6">
                  <c:v>0.10394932935916543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CF-436F-8DB7-278C1C7FFF2D}"/>
            </c:ext>
          </c:extLst>
        </c:ser>
        <c:ser>
          <c:idx val="5"/>
          <c:order val="3"/>
          <c:tx>
            <c:strRef>
              <c:f>'Eficiencia terminal'!$A$23:$A$26</c:f>
              <c:strCache>
                <c:ptCount val="1"/>
                <c:pt idx="0">
                  <c:v>Lerma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plus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dLbl>
              <c:idx val="6"/>
              <c:layout>
                <c:manualLayout>
                  <c:x val="-3.069574932915043E-2"/>
                  <c:y val="1.6583796590643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terminal'!$D$26:$J$26</c:f>
              <c:numCache>
                <c:formatCode>0.0%</c:formatCode>
                <c:ptCount val="7"/>
                <c:pt idx="4">
                  <c:v>0.69852941176470584</c:v>
                </c:pt>
                <c:pt idx="5">
                  <c:v>0.4935064935064935</c:v>
                </c:pt>
                <c:pt idx="6">
                  <c:v>0.41258741258741261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6CF-436F-8DB7-278C1C7FFF2D}"/>
            </c:ext>
          </c:extLst>
        </c:ser>
        <c:ser>
          <c:idx val="3"/>
          <c:order val="4"/>
          <c:tx>
            <c:strRef>
              <c:f>'Eficiencia terminal'!$A$28:$A$31</c:f>
              <c:strCache>
                <c:ptCount val="1"/>
                <c:pt idx="0">
                  <c:v>Xochimilco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4"/>
              <c:layout>
                <c:manualLayout>
                  <c:x val="-3.229510938363446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CF-436F-8DB7-278C1C7FFF2D}"/>
                </c:ext>
              </c:extLst>
            </c:dLbl>
            <c:dLbl>
              <c:idx val="5"/>
              <c:layout>
                <c:manualLayout>
                  <c:x val="-3.069574932915043E-2"/>
                  <c:y val="-2.4824070904180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terminal'!$D$31:$J$31</c:f>
              <c:numCache>
                <c:formatCode>0.0%</c:formatCode>
                <c:ptCount val="7"/>
                <c:pt idx="0">
                  <c:v>0.66735966735966734</c:v>
                </c:pt>
                <c:pt idx="1">
                  <c:v>0.72455819622181594</c:v>
                </c:pt>
                <c:pt idx="2">
                  <c:v>0.70156739811912228</c:v>
                </c:pt>
                <c:pt idx="3">
                  <c:v>0.71221102548903381</c:v>
                </c:pt>
                <c:pt idx="4">
                  <c:v>0.67255266418835191</c:v>
                </c:pt>
                <c:pt idx="5">
                  <c:v>0.61993957703927494</c:v>
                </c:pt>
                <c:pt idx="6">
                  <c:v>0.43151125401929258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6CF-436F-8DB7-278C1C7FFF2D}"/>
            </c:ext>
          </c:extLst>
        </c:ser>
        <c:ser>
          <c:idx val="4"/>
          <c:order val="5"/>
          <c:tx>
            <c:strRef>
              <c:f>'Eficiencia terminal'!$A$33:$B$33</c:f>
              <c:strCache>
                <c:ptCount val="2"/>
                <c:pt idx="0">
                  <c:v>TOTAL UAM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star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2295109383634342E-2"/>
                  <c:y val="2.4865370089608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CF-436F-8DB7-278C1C7FFF2D}"/>
                </c:ext>
              </c:extLst>
            </c:dLbl>
            <c:dLbl>
              <c:idx val="1"/>
              <c:layout>
                <c:manualLayout>
                  <c:x val="-3.5493829492602394E-2"/>
                  <c:y val="-1.65424974052157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CF-436F-8DB7-278C1C7FFF2D}"/>
                </c:ext>
              </c:extLst>
            </c:dLbl>
            <c:dLbl>
              <c:idx val="2"/>
              <c:layout>
                <c:manualLayout>
                  <c:x val="-3.3894469438118364E-2"/>
                  <c:y val="-1.9303021904870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CF-436F-8DB7-278C1C7FFF2D}"/>
                </c:ext>
              </c:extLst>
            </c:dLbl>
            <c:dLbl>
              <c:idx val="3"/>
              <c:layout>
                <c:manualLayout>
                  <c:x val="-3.5296617063836883E-2"/>
                  <c:y val="-3.5883340669372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CF-436F-8DB7-278C1C7FFF2D}"/>
                </c:ext>
              </c:extLst>
            </c:dLbl>
            <c:dLbl>
              <c:idx val="6"/>
              <c:layout>
                <c:manualLayout>
                  <c:x val="-1.6301508838794193E-2"/>
                  <c:y val="-3.0345119903490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CF-436F-8DB7-278C1C7FFF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'Eficiencia terminal'!$D$6:$J$6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'Eficiencia terminal'!$D$33:$J$33</c:f>
              <c:numCache>
                <c:formatCode>0.0%</c:formatCode>
                <c:ptCount val="7"/>
                <c:pt idx="0">
                  <c:v>0.53076567198704605</c:v>
                </c:pt>
                <c:pt idx="1">
                  <c:v>0.55123558484349255</c:v>
                </c:pt>
                <c:pt idx="2">
                  <c:v>0.53660754888585716</c:v>
                </c:pt>
                <c:pt idx="3">
                  <c:v>0.50321831803313288</c:v>
                </c:pt>
                <c:pt idx="4">
                  <c:v>0.46188097306689835</c:v>
                </c:pt>
                <c:pt idx="5">
                  <c:v>0.41163985701519212</c:v>
                </c:pt>
                <c:pt idx="6">
                  <c:v>0.24556147359076785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CF-436F-8DB7-278C1C7FF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538432"/>
        <c:axId val="121539968"/>
      </c:lineChart>
      <c:catAx>
        <c:axId val="1215384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121539968"/>
        <c:crosses val="autoZero"/>
        <c:auto val="1"/>
        <c:lblAlgn val="ctr"/>
        <c:lblOffset val="100"/>
        <c:noMultiLvlLbl val="0"/>
      </c:catAx>
      <c:valAx>
        <c:axId val="121539968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215384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6.5411313241017288E-2"/>
          <c:y val="0.93358728501577948"/>
          <c:w val="0.86517268806837111"/>
          <c:h val="4.9918325426712963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Activos de Licenciatura y Posgrado</a:t>
            </a:r>
          </a:p>
        </c:rich>
      </c:tx>
      <c:layout>
        <c:manualLayout>
          <c:xMode val="edge"/>
          <c:yMode val="edge"/>
          <c:x val="0.34653092006033182"/>
          <c:y val="6.9726902963393378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591251885369532E-2"/>
          <c:y val="7.2051133062173159E-2"/>
          <c:w val="0.96681749622926094"/>
          <c:h val="0.7807092718061404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'Activos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Lic-Pos'!$A$4:$A$17,'Activos Lic-Pos'!$A$18)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 uni'!$C$38:$M$38,'ACTIVOS uni'!$N$38,'ACTIVOS uni'!$O$38,'ACTIVOS uni'!$P$38,'ACTIVOS uni'!$Q$38)</c:f>
              <c:numCache>
                <c:formatCode>#,##0</c:formatCode>
                <c:ptCount val="15"/>
                <c:pt idx="0">
                  <c:v>42235</c:v>
                </c:pt>
                <c:pt idx="1">
                  <c:v>43246</c:v>
                </c:pt>
                <c:pt idx="2">
                  <c:v>44496</c:v>
                </c:pt>
                <c:pt idx="3">
                  <c:v>45448</c:v>
                </c:pt>
                <c:pt idx="4">
                  <c:v>46267</c:v>
                </c:pt>
                <c:pt idx="5">
                  <c:v>47386</c:v>
                </c:pt>
                <c:pt idx="6">
                  <c:v>47343</c:v>
                </c:pt>
                <c:pt idx="7">
                  <c:v>48596</c:v>
                </c:pt>
                <c:pt idx="8">
                  <c:v>49508</c:v>
                </c:pt>
                <c:pt idx="9">
                  <c:v>50928</c:v>
                </c:pt>
                <c:pt idx="10">
                  <c:v>52459</c:v>
                </c:pt>
                <c:pt idx="11">
                  <c:v>52898</c:v>
                </c:pt>
                <c:pt idx="12">
                  <c:v>53374</c:v>
                </c:pt>
                <c:pt idx="13">
                  <c:v>53900</c:v>
                </c:pt>
                <c:pt idx="14">
                  <c:v>53989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B-463A-B8ED-8717E107762A}"/>
            </c:ext>
          </c:extLst>
        </c:ser>
        <c:ser>
          <c:idx val="1"/>
          <c:order val="1"/>
          <c:tx>
            <c:strRef>
              <c:f>'Activos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B-463A-B8ED-8717E107762A}"/>
                </c:ext>
              </c:extLst>
            </c:dLbl>
            <c:dLbl>
              <c:idx val="1"/>
              <c:layout>
                <c:manualLayout>
                  <c:x val="4.5248868778280547E-3"/>
                  <c:y val="-2.46006126923137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B-463A-B8ED-8717E107762A}"/>
                </c:ext>
              </c:extLst>
            </c:dLbl>
            <c:dLbl>
              <c:idx val="2"/>
              <c:layout>
                <c:manualLayout>
                  <c:x val="4.5248868778280547E-3"/>
                  <c:y val="-2.45851259987707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B-463A-B8ED-8717E107762A}"/>
                </c:ext>
              </c:extLst>
            </c:dLbl>
            <c:dLbl>
              <c:idx val="3"/>
              <c:layout>
                <c:manualLayout>
                  <c:x val="6.0331825037707393E-3"/>
                  <c:y val="-4.91702519975414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B-463A-B8ED-8717E107762A}"/>
                </c:ext>
              </c:extLst>
            </c:dLbl>
            <c:dLbl>
              <c:idx val="4"/>
              <c:layout>
                <c:manualLayout>
                  <c:x val="6.0331825037707393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B-463A-B8ED-8717E107762A}"/>
                </c:ext>
              </c:extLst>
            </c:dLbl>
            <c:dLbl>
              <c:idx val="5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B-463A-B8ED-8717E107762A}"/>
                </c:ext>
              </c:extLst>
            </c:dLbl>
            <c:dLbl>
              <c:idx val="6"/>
              <c:layout>
                <c:manualLayout>
                  <c:x val="7.5414781297134239E-3"/>
                  <c:y val="-9.83559906886257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B-463A-B8ED-8717E107762A}"/>
                </c:ext>
              </c:extLst>
            </c:dLbl>
            <c:dLbl>
              <c:idx val="7"/>
              <c:layout>
                <c:manualLayout>
                  <c:x val="4.5248868778280547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B-463A-B8ED-8717E107762A}"/>
                </c:ext>
              </c:extLst>
            </c:dLbl>
            <c:dLbl>
              <c:idx val="8"/>
              <c:layout>
                <c:manualLayout>
                  <c:x val="7.5414781297133129E-3"/>
                  <c:y val="-7.37553779963122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B-463A-B8ED-8717E107762A}"/>
                </c:ext>
              </c:extLst>
            </c:dLbl>
            <c:dLbl>
              <c:idx val="9"/>
              <c:layout>
                <c:manualLayout>
                  <c:x val="7.5414781297134239E-3"/>
                  <c:y val="-9.83559906886255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B-463A-B8ED-8717E107762A}"/>
                </c:ext>
              </c:extLst>
            </c:dLbl>
            <c:dLbl>
              <c:idx val="10"/>
              <c:layout>
                <c:manualLayout>
                  <c:x val="4.5248868778280547E-3"/>
                  <c:y val="-7.37553779963124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B-463A-B8ED-8717E107762A}"/>
                </c:ext>
              </c:extLst>
            </c:dLbl>
            <c:dLbl>
              <c:idx val="11"/>
              <c:layout>
                <c:manualLayout>
                  <c:x val="6.0331825037707393E-3"/>
                  <c:y val="-1.2292562999385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B-463A-B8ED-8717E107762A}"/>
                </c:ext>
              </c:extLst>
            </c:dLbl>
            <c:dLbl>
              <c:idx val="12"/>
              <c:layout>
                <c:manualLayout>
                  <c:x val="6.03318250377073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B-463A-B8ED-8717E107762A}"/>
                </c:ext>
              </c:extLst>
            </c:dLbl>
            <c:dLbl>
              <c:idx val="13"/>
              <c:layout>
                <c:manualLayout>
                  <c:x val="6.0331825037707393E-3"/>
                  <c:y val="-4.91702519975415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B-463A-B8ED-8717E107762A}"/>
                </c:ext>
              </c:extLst>
            </c:dLbl>
            <c:dLbl>
              <c:idx val="14"/>
              <c:layout>
                <c:manualLayout>
                  <c:x val="4.05679513184584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86-46A9-B723-A23A03180D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('Activos Lic-Pos'!$A$4:$A$17,'Activos Lic-Pos'!$A$18)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uni'!$D$84:$N$84,'ACTIVOS-POS uni'!$O$84,'ACTIVOS-POS uni'!$P$84,'ACTIVOS-POS uni'!$Q$84,'ACTIVOS-POS uni'!$R$84)</c:f>
              <c:numCache>
                <c:formatCode>#,##0</c:formatCode>
                <c:ptCount val="15"/>
                <c:pt idx="0">
                  <c:v>2154</c:v>
                </c:pt>
                <c:pt idx="1">
                  <c:v>2264</c:v>
                </c:pt>
                <c:pt idx="2">
                  <c:v>2341</c:v>
                </c:pt>
                <c:pt idx="3">
                  <c:v>2344</c:v>
                </c:pt>
                <c:pt idx="4">
                  <c:v>2617</c:v>
                </c:pt>
                <c:pt idx="5">
                  <c:v>2744</c:v>
                </c:pt>
                <c:pt idx="6">
                  <c:v>3049</c:v>
                </c:pt>
                <c:pt idx="7">
                  <c:v>3326</c:v>
                </c:pt>
                <c:pt idx="8">
                  <c:v>3380</c:v>
                </c:pt>
                <c:pt idx="9">
                  <c:v>3436</c:v>
                </c:pt>
                <c:pt idx="10">
                  <c:v>3508</c:v>
                </c:pt>
                <c:pt idx="11">
                  <c:v>3708</c:v>
                </c:pt>
                <c:pt idx="12">
                  <c:v>3718</c:v>
                </c:pt>
                <c:pt idx="13">
                  <c:v>3842</c:v>
                </c:pt>
                <c:pt idx="14">
                  <c:v>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FCB-463A-B8ED-8717E1077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56809728"/>
        <c:axId val="56954880"/>
        <c:axId val="0"/>
      </c:bar3DChart>
      <c:catAx>
        <c:axId val="5680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954880"/>
        <c:crosses val="autoZero"/>
        <c:auto val="1"/>
        <c:lblAlgn val="ctr"/>
        <c:lblOffset val="100"/>
        <c:noMultiLvlLbl val="0"/>
      </c:catAx>
      <c:valAx>
        <c:axId val="569548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680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080202200327844"/>
          <c:y val="0.95220944612077685"/>
          <c:w val="0.38850926837270339"/>
          <c:h val="4.2880331415241807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Egresados de Licenciatura y Posgrado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202716626416E-2"/>
          <c:y val="2.4403771491957847E-2"/>
          <c:w val="0.96811594566747172"/>
          <c:h val="0.8284030552753283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'Egresados Lic-Pos'!$A$2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rgbClr val="CC9900"/>
            </a:solidFill>
            <a:ln w="3175">
              <a:solidFill>
                <a:srgbClr val="FFC000"/>
              </a:solidFill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1"/>
              <c:layout>
                <c:manualLayout>
                  <c:x val="5.7971007877324222E-3"/>
                  <c:y val="-2.21852468108707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1-46B2-91AE-6CD1FDA4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Lic-Pos'!$A$4:$A$18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 uni'!$V$37,'EGRESO uni'!$Z$37,'EGRESO uni'!$AD$37,'EGRESO uni'!$AH$37,'EGRESO uni'!$AL$37,'EGRESO uni'!$AP$37,'EGRESO uni'!$AT$37,'EGRESO uni'!$AX$37,'EGRESO uni'!$BB$37,'EGRESO uni'!$BF$37,'EGRESO uni'!$BJ$37,'EGRESO uni'!$BN$37,'EGRESO uni'!$BR$37,'EGRESO uni'!$BV$37,'EGRESO uni'!$BZ$37)</c:f>
              <c:numCache>
                <c:formatCode>#,##0</c:formatCode>
                <c:ptCount val="15"/>
                <c:pt idx="0">
                  <c:v>4693</c:v>
                </c:pt>
                <c:pt idx="1">
                  <c:v>4445</c:v>
                </c:pt>
                <c:pt idx="2">
                  <c:v>4434</c:v>
                </c:pt>
                <c:pt idx="3">
                  <c:v>4540</c:v>
                </c:pt>
                <c:pt idx="4">
                  <c:v>4426</c:v>
                </c:pt>
                <c:pt idx="5">
                  <c:v>4857</c:v>
                </c:pt>
                <c:pt idx="6">
                  <c:v>4851</c:v>
                </c:pt>
                <c:pt idx="7">
                  <c:v>4854</c:v>
                </c:pt>
                <c:pt idx="8">
                  <c:v>4448</c:v>
                </c:pt>
                <c:pt idx="9">
                  <c:v>4674</c:v>
                </c:pt>
                <c:pt idx="10">
                  <c:v>5334</c:v>
                </c:pt>
                <c:pt idx="11">
                  <c:v>5063</c:v>
                </c:pt>
                <c:pt idx="12">
                  <c:v>5147</c:v>
                </c:pt>
                <c:pt idx="13">
                  <c:v>5145</c:v>
                </c:pt>
                <c:pt idx="14">
                  <c:v>5427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91-46B2-91AE-6CD1FDA422E3}"/>
            </c:ext>
          </c:extLst>
        </c:ser>
        <c:ser>
          <c:idx val="1"/>
          <c:order val="1"/>
          <c:tx>
            <c:strRef>
              <c:f>'Egresados Lic-Pos'!$A$3</c:f>
              <c:strCache>
                <c:ptCount val="1"/>
                <c:pt idx="0">
                  <c:v>Posgrado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">
              <a:solidFill>
                <a:schemeClr val="accent6">
                  <a:lumMod val="50000"/>
                </a:schemeClr>
              </a:solidFill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'Egresados Lic-Pos'!$A$4:$A$18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uni'!$V$77,'EGRESO-POs uni'!$Z$77,'EGRESO-POs uni'!$AD$77,'EGRESO-POs uni'!$AH$77,'EGRESO-POs uni'!$AL$77,'EGRESO-POs uni'!$AP$77,'EGRESO-POs uni'!$AT$77,'EGRESO-POs uni'!$AX$77,'EGRESO-POs uni'!$BB$77,'EGRESO-POs uni'!$BF$77,'EGRESO-POs uni'!$BJ$77,'EGRESO-POs uni'!$BN$77,'EGRESO-POs uni'!$BR$77,'EGRESO-POs uni'!$BV$77,'EGRESO-POs uni'!$BZ$77)</c:f>
              <c:numCache>
                <c:formatCode>0</c:formatCode>
                <c:ptCount val="15"/>
                <c:pt idx="0">
                  <c:v>389</c:v>
                </c:pt>
                <c:pt idx="1">
                  <c:v>475</c:v>
                </c:pt>
                <c:pt idx="2">
                  <c:v>501</c:v>
                </c:pt>
                <c:pt idx="3">
                  <c:v>521</c:v>
                </c:pt>
                <c:pt idx="4">
                  <c:v>540</c:v>
                </c:pt>
                <c:pt idx="5" formatCode="#,##0">
                  <c:v>562</c:v>
                </c:pt>
                <c:pt idx="6" formatCode="#,##0">
                  <c:v>627</c:v>
                </c:pt>
                <c:pt idx="7" formatCode="#,##0">
                  <c:v>737</c:v>
                </c:pt>
                <c:pt idx="8" formatCode="#,##0">
                  <c:v>861</c:v>
                </c:pt>
                <c:pt idx="9" formatCode="#,##0">
                  <c:v>663</c:v>
                </c:pt>
                <c:pt idx="10" formatCode="#,##0">
                  <c:v>732</c:v>
                </c:pt>
                <c:pt idx="11" formatCode="#,##0">
                  <c:v>815</c:v>
                </c:pt>
                <c:pt idx="12" formatCode="#,##0">
                  <c:v>659</c:v>
                </c:pt>
                <c:pt idx="13" formatCode="#,##0">
                  <c:v>824</c:v>
                </c:pt>
                <c:pt idx="14" formatCode="#,##0">
                  <c:v>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91-46B2-91AE-6CD1FDA4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56541184"/>
        <c:axId val="56542720"/>
        <c:axId val="0"/>
      </c:bar3DChart>
      <c:catAx>
        <c:axId val="565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6542720"/>
        <c:crosses val="autoZero"/>
        <c:auto val="1"/>
        <c:lblAlgn val="ctr"/>
        <c:lblOffset val="100"/>
        <c:noMultiLvlLbl val="0"/>
      </c:catAx>
      <c:valAx>
        <c:axId val="565427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56541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519430501034978"/>
          <c:y val="0.9597984112218918"/>
          <c:w val="0.40066204615048118"/>
          <c:h val="3.964328918119844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Aspirantes de primer ingreso a Posgrado por</a:t>
            </a:r>
            <a:r>
              <a:rPr lang="es-MX" sz="1200" b="0" i="1" baseline="0"/>
              <a:t> Unidad</a:t>
            </a:r>
            <a:endParaRPr lang="es-MX" sz="1200" b="0" i="1"/>
          </a:p>
        </c:rich>
      </c:tx>
      <c:layout>
        <c:manualLayout>
          <c:xMode val="edge"/>
          <c:yMode val="edge"/>
          <c:x val="0.28663997283050746"/>
          <c:y val="1.4011041723232875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5947807176513229E-2"/>
          <c:y val="5.436781609195402E-2"/>
          <c:w val="0.96810438564697354"/>
          <c:h val="0.8298912118743777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A-427E-AEC8-D6F74525761C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A-427E-AEC8-D6F74525761C}"/>
                </c:ext>
              </c:extLst>
            </c:dLbl>
            <c:dLbl>
              <c:idx val="2"/>
              <c:layout>
                <c:manualLayout>
                  <c:x val="5.51724137931037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A-427E-AEC8-D6F74525761C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A-427E-AEC8-D6F74525761C}"/>
                </c:ext>
              </c:extLst>
            </c:dLbl>
            <c:dLbl>
              <c:idx val="4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A-427E-AEC8-D6F74525761C}"/>
                </c:ext>
              </c:extLst>
            </c:dLbl>
            <c:dLbl>
              <c:idx val="5"/>
              <c:layout>
                <c:manualLayout>
                  <c:x val="3.0069093846052859E-3"/>
                  <c:y val="2.2988505747126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A-427E-AEC8-D6F74525761C}"/>
                </c:ext>
              </c:extLst>
            </c:dLbl>
            <c:dLbl>
              <c:idx val="6"/>
              <c:layout>
                <c:manualLayout>
                  <c:x val="5.2352644031130229E-3"/>
                  <c:y val="2.2988505747124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A-427E-AEC8-D6F74525761C}"/>
                </c:ext>
              </c:extLst>
            </c:dLbl>
            <c:dLbl>
              <c:idx val="7"/>
              <c:layout>
                <c:manualLayout>
                  <c:x val="3.006909384605285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A-427E-AEC8-D6F74525761C}"/>
                </c:ext>
              </c:extLst>
            </c:dLbl>
            <c:dLbl>
              <c:idx val="8"/>
              <c:layout>
                <c:manualLayout>
                  <c:x val="4.4567100370155798E-3"/>
                  <c:y val="2.29885057471247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A-427E-AEC8-D6F74525761C}"/>
                </c:ext>
              </c:extLst>
            </c:dLbl>
            <c:dLbl>
              <c:idx val="9"/>
              <c:layout>
                <c:manualLayout>
                  <c:x val="3.39618656765403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A-427E-AEC8-D6F74525761C}"/>
                </c:ext>
              </c:extLst>
            </c:dLbl>
            <c:dLbl>
              <c:idx val="10"/>
              <c:layout>
                <c:manualLayout>
                  <c:x val="4.84598722006432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A-427E-AEC8-D6F74525761C}"/>
                </c:ext>
              </c:extLst>
            </c:dLbl>
            <c:dLbl>
              <c:idx val="11"/>
              <c:layout>
                <c:manualLayout>
                  <c:x val="4.34940195723077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3-4BE9-91F7-CDDE502DC167}"/>
                </c:ext>
              </c:extLst>
            </c:dLbl>
            <c:dLbl>
              <c:idx val="12"/>
              <c:layout>
                <c:manualLayout>
                  <c:x val="4.3494019572307748E-3"/>
                  <c:y val="-4.59770114942528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3-4BE9-91F7-CDDE502DC167}"/>
                </c:ext>
              </c:extLst>
            </c:dLbl>
            <c:dLbl>
              <c:idx val="13"/>
              <c:layout>
                <c:manualLayout>
                  <c:x val="7.24900326205136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E3-4BE9-91F7-CDDE502DC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uni'!$J$21,'ASPI-POS uni'!$N$21,'ASPI-POS uni'!$R$21,'ASPI-POS uni'!$V$21,'ASPI-POS uni'!$Z$21,'ASPI-POS uni'!$AD$21,'ASPI-POS uni'!$AH$21,'ASPI-POS uni'!$AL$21,'ASPI-POS uni'!$AP$21,'ASPI-POS uni'!$AT$21,'ASPI-POS uni'!$AX$21,'ASPI-POS uni'!$BB$21,'ASPI-POS uni'!$BF$21,'ASPI-POS uni'!$BJ$21)</c:f>
              <c:numCache>
                <c:formatCode>#,##0</c:formatCode>
                <c:ptCount val="14"/>
                <c:pt idx="0">
                  <c:v>200</c:v>
                </c:pt>
                <c:pt idx="1">
                  <c:v>433</c:v>
                </c:pt>
                <c:pt idx="2">
                  <c:v>275</c:v>
                </c:pt>
                <c:pt idx="3">
                  <c:v>378</c:v>
                </c:pt>
                <c:pt idx="4">
                  <c:v>360</c:v>
                </c:pt>
                <c:pt idx="5">
                  <c:v>529</c:v>
                </c:pt>
                <c:pt idx="6">
                  <c:v>527</c:v>
                </c:pt>
                <c:pt idx="7">
                  <c:v>656</c:v>
                </c:pt>
                <c:pt idx="8">
                  <c:v>372</c:v>
                </c:pt>
                <c:pt idx="9">
                  <c:v>458</c:v>
                </c:pt>
                <c:pt idx="10">
                  <c:v>682</c:v>
                </c:pt>
                <c:pt idx="11">
                  <c:v>521</c:v>
                </c:pt>
                <c:pt idx="12">
                  <c:v>552</c:v>
                </c:pt>
                <c:pt idx="13">
                  <c:v>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7DA-427E-AEC8-D6F74525761C}"/>
            </c:ext>
          </c:extLst>
        </c:ser>
        <c:ser>
          <c:idx val="1"/>
          <c:order val="1"/>
          <c:tx>
            <c:strRef>
              <c:f>'ASPI-POS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A-427E-AEC8-D6F74525761C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A-427E-AEC8-D6F74525761C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A-427E-AEC8-D6F74525761C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A-427E-AEC8-D6F74525761C}"/>
                </c:ext>
              </c:extLst>
            </c:dLbl>
            <c:dLbl>
              <c:idx val="11"/>
              <c:layout>
                <c:manualLayout>
                  <c:x val="4.3494019572307748E-3"/>
                  <c:y val="8.42902140117185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3-4BE9-91F7-CDDE502DC167}"/>
                </c:ext>
              </c:extLst>
            </c:dLbl>
            <c:dLbl>
              <c:idx val="12"/>
              <c:layout>
                <c:manualLayout>
                  <c:x val="4.3494019572307748E-3"/>
                  <c:y val="-8.42902140117185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3-4BE9-91F7-CDDE502DC167}"/>
                </c:ext>
              </c:extLst>
            </c:dLbl>
            <c:dLbl>
              <c:idx val="13"/>
              <c:layout>
                <c:manualLayout>
                  <c:x val="5.79920260964117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3-4BE9-91F7-CDDE502DC1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uni'!$J$38,'ASPI-POS uni'!$N$38,'ASPI-POS uni'!$R$38,'ASPI-POS uni'!$V$38,'ASPI-POS uni'!$Z$38,'ASPI-POS uni'!$AD$38,'ASPI-POS uni'!$AH$38,'ASPI-POS uni'!$AL$38,'ASPI-POS uni'!$AP$38,'ASPI-POS uni'!$AT$38,'ASPI-POS uni'!$AX$38,'ASPI-POS uni'!$BB$38,'ASPI-POS uni'!$BF$38,'ASPI-POS uni'!$BJ$38)</c:f>
              <c:numCache>
                <c:formatCode>#,##0</c:formatCode>
                <c:ptCount val="14"/>
                <c:pt idx="7">
                  <c:v>171</c:v>
                </c:pt>
                <c:pt idx="8">
                  <c:v>232</c:v>
                </c:pt>
                <c:pt idx="9">
                  <c:v>329</c:v>
                </c:pt>
                <c:pt idx="10">
                  <c:v>329</c:v>
                </c:pt>
                <c:pt idx="11">
                  <c:v>215</c:v>
                </c:pt>
                <c:pt idx="12">
                  <c:v>173</c:v>
                </c:pt>
                <c:pt idx="13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7DA-427E-AEC8-D6F74525761C}"/>
            </c:ext>
          </c:extLst>
        </c:ser>
        <c:ser>
          <c:idx val="2"/>
          <c:order val="2"/>
          <c:tx>
            <c:strRef>
              <c:f>'ASPI-POS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uni'!$J$55,'ASPI-POS uni'!$N$55,'ASPI-POS uni'!$R$55,'ASPI-POS uni'!$V$55,'ASPI-POS uni'!$Z$55,'ASPI-POS uni'!$AD$55,'ASPI-POS uni'!$AH$55,'ASPI-POS uni'!$AL$55,'ASPI-POS uni'!$AP$55,'ASPI-POS uni'!$AT$55,'ASPI-POS uni'!$AX$55,'ASPI-POS uni'!$BB$55,'ASPI-POS uni'!$BF$55,'ASPI-POS uni'!$BJ$55)</c:f>
              <c:numCache>
                <c:formatCode>#,##0</c:formatCode>
                <c:ptCount val="14"/>
                <c:pt idx="0">
                  <c:v>728</c:v>
                </c:pt>
                <c:pt idx="1">
                  <c:v>653</c:v>
                </c:pt>
                <c:pt idx="2">
                  <c:v>781</c:v>
                </c:pt>
                <c:pt idx="3">
                  <c:v>851</c:v>
                </c:pt>
                <c:pt idx="4">
                  <c:v>1036</c:v>
                </c:pt>
                <c:pt idx="5">
                  <c:v>859</c:v>
                </c:pt>
                <c:pt idx="6">
                  <c:v>1117</c:v>
                </c:pt>
                <c:pt idx="7">
                  <c:v>761</c:v>
                </c:pt>
                <c:pt idx="8">
                  <c:v>1127</c:v>
                </c:pt>
                <c:pt idx="9">
                  <c:v>675</c:v>
                </c:pt>
                <c:pt idx="10">
                  <c:v>1229</c:v>
                </c:pt>
                <c:pt idx="11">
                  <c:v>793</c:v>
                </c:pt>
                <c:pt idx="12">
                  <c:v>861</c:v>
                </c:pt>
                <c:pt idx="13">
                  <c:v>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7DA-427E-AEC8-D6F74525761C}"/>
            </c:ext>
          </c:extLst>
        </c:ser>
        <c:ser>
          <c:idx val="3"/>
          <c:order val="3"/>
          <c:tx>
            <c:strRef>
              <c:f>'ASPI-POS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uni'!$J$72,'ASPI-POS uni'!$N$72,'ASPI-POS uni'!$R$72,'ASPI-POS uni'!$V$72,'ASPI-POS uni'!$Z$72,'ASPI-POS uni'!$AD$72,'ASPI-POS uni'!$AH$72,'ASPI-POS uni'!$AL$72,'ASPI-POS uni'!$AP$72,'ASPI-POS uni'!$AT$72,'ASPI-POS uni'!$AX$72,'ASPI-POS uni'!$BB$72,'ASPI-POS uni'!$BF$72,'ASPI-POS uni'!$BJ$72)</c:f>
              <c:numCache>
                <c:formatCode>#,##0</c:formatCode>
                <c:ptCount val="14"/>
                <c:pt idx="0">
                  <c:v>668</c:v>
                </c:pt>
                <c:pt idx="1">
                  <c:v>459</c:v>
                </c:pt>
                <c:pt idx="2">
                  <c:v>658</c:v>
                </c:pt>
                <c:pt idx="3">
                  <c:v>664</c:v>
                </c:pt>
                <c:pt idx="4">
                  <c:v>735</c:v>
                </c:pt>
                <c:pt idx="5">
                  <c:v>795</c:v>
                </c:pt>
                <c:pt idx="6">
                  <c:v>930</c:v>
                </c:pt>
                <c:pt idx="7">
                  <c:v>880</c:v>
                </c:pt>
                <c:pt idx="8">
                  <c:v>1298</c:v>
                </c:pt>
                <c:pt idx="9">
                  <c:v>1031</c:v>
                </c:pt>
                <c:pt idx="10">
                  <c:v>1323</c:v>
                </c:pt>
                <c:pt idx="11">
                  <c:v>999</c:v>
                </c:pt>
                <c:pt idx="12">
                  <c:v>1224</c:v>
                </c:pt>
                <c:pt idx="13">
                  <c:v>1280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07DA-427E-AEC8-D6F745257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3241984"/>
        <c:axId val="123243520"/>
        <c:axId val="0"/>
      </c:bar3DChart>
      <c:catAx>
        <c:axId val="12324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243520"/>
        <c:crosses val="autoZero"/>
        <c:auto val="1"/>
        <c:lblAlgn val="ctr"/>
        <c:lblOffset val="100"/>
        <c:noMultiLvlLbl val="0"/>
      </c:catAx>
      <c:valAx>
        <c:axId val="12324352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241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4.0396777988958278E-2"/>
          <c:y val="0.9588017074083367"/>
          <c:w val="0.91185012218300299"/>
          <c:h val="3.796390435176198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Aspirantes de primer ingreso a Posgrado </a:t>
            </a:r>
            <a:r>
              <a:rPr lang="es-MX" sz="1200" b="0" i="1" baseline="0">
                <a:effectLst/>
              </a:rPr>
              <a:t>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43358963300489E-2"/>
          <c:y val="5.9505745778247777E-2"/>
          <c:w val="0.96811328207339897"/>
          <c:h val="0.8155579427774228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'ASPI-POS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3481888081728605E-3"/>
                  <c:y val="-7.88155573221834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E-4C39-A5BB-BE607D0609A2}"/>
                </c:ext>
              </c:extLst>
            </c:dLbl>
            <c:dLbl>
              <c:idx val="1"/>
              <c:layout>
                <c:manualLayout>
                  <c:x val="4.8472604527434616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E5-43B6-AFDF-C68033BE1BB1}"/>
                </c:ext>
              </c:extLst>
            </c:dLbl>
            <c:dLbl>
              <c:idx val="2"/>
              <c:layout>
                <c:manualLayout>
                  <c:x val="3.7874892907304907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E5-43B6-AFDF-C68033BE1BB1}"/>
                </c:ext>
              </c:extLst>
            </c:dLbl>
            <c:dLbl>
              <c:idx val="3"/>
              <c:layout>
                <c:manualLayout>
                  <c:x val="6.6862818295124245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E5-43B6-AFDF-C68033BE1BB1}"/>
                </c:ext>
              </c:extLst>
            </c:dLbl>
            <c:dLbl>
              <c:idx val="4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E5-43B6-AFDF-C68033BE1BB1}"/>
                </c:ext>
              </c:extLst>
            </c:dLbl>
            <c:dLbl>
              <c:idx val="5"/>
              <c:layout>
                <c:manualLayout>
                  <c:x val="4.8472604527434087E-3"/>
                  <c:y val="-1.9265802563004939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E5-43B6-AFDF-C68033BE1BB1}"/>
                </c:ext>
              </c:extLst>
            </c:dLbl>
            <c:dLbl>
              <c:idx val="6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E5-43B6-AFDF-C68033BE1BB1}"/>
                </c:ext>
              </c:extLst>
            </c:dLbl>
            <c:dLbl>
              <c:idx val="7"/>
              <c:layout>
                <c:manualLayout>
                  <c:x val="4.8472604527434616E-3"/>
                  <c:y val="-2.62718524407284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E5-43B6-AFDF-C68033BE1BB1}"/>
                </c:ext>
              </c:extLst>
            </c:dLbl>
            <c:dLbl>
              <c:idx val="8"/>
              <c:layout>
                <c:manualLayout>
                  <c:x val="4.4575212196749491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E5-43B6-AFDF-C68033BE1BB1}"/>
                </c:ext>
              </c:extLst>
            </c:dLbl>
            <c:dLbl>
              <c:idx val="9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E5-43B6-AFDF-C68033BE1BB1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E5-43B6-AFDF-C68033BE1BB1}"/>
                </c:ext>
              </c:extLst>
            </c:dLbl>
            <c:dLbl>
              <c:idx val="11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E-4C39-A5BB-BE607D0609A2}"/>
                </c:ext>
              </c:extLst>
            </c:dLbl>
            <c:dLbl>
              <c:idx val="12"/>
              <c:layout>
                <c:manualLayout>
                  <c:x val="2.8987925387818007E-3"/>
                  <c:y val="-9.632901281502469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E-4C39-A5BB-BE607D0609A2}"/>
                </c:ext>
              </c:extLst>
            </c:dLbl>
            <c:dLbl>
              <c:idx val="13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E-4C39-A5BB-BE607D060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uni'!$J$74,'ASPI-POS uni'!$N$74,'ASPI-POS uni'!$R$74,'ASPI-POS uni'!$V$74,'ASPI-POS uni'!$Z$74,'ASPI-POS uni'!$AD$74,'ASPI-POS uni'!$AH$74,'ASPI-POS uni'!$AL$74,'ASPI-POS uni'!$AP$74,'ASPI-POS uni'!$AT$74,'ASPI-POS uni'!$AX$74,'ASPI-POS uni'!$BB$74,'ASPI-POS uni'!$BF$74,'ASPI-POS uni'!$BJ$74)</c:f>
              <c:numCache>
                <c:formatCode>#,##0</c:formatCode>
                <c:ptCount val="14"/>
                <c:pt idx="0">
                  <c:v>358</c:v>
                </c:pt>
                <c:pt idx="1">
                  <c:v>267</c:v>
                </c:pt>
                <c:pt idx="2">
                  <c:v>419</c:v>
                </c:pt>
                <c:pt idx="3">
                  <c:v>412</c:v>
                </c:pt>
                <c:pt idx="4">
                  <c:v>430</c:v>
                </c:pt>
                <c:pt idx="5">
                  <c:v>563</c:v>
                </c:pt>
                <c:pt idx="6">
                  <c:v>449</c:v>
                </c:pt>
                <c:pt idx="7">
                  <c:v>287</c:v>
                </c:pt>
                <c:pt idx="8">
                  <c:v>604</c:v>
                </c:pt>
                <c:pt idx="9">
                  <c:v>226</c:v>
                </c:pt>
                <c:pt idx="10">
                  <c:v>318</c:v>
                </c:pt>
                <c:pt idx="11">
                  <c:v>266</c:v>
                </c:pt>
                <c:pt idx="12">
                  <c:v>131</c:v>
                </c:pt>
                <c:pt idx="13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6E5-43B6-AFDF-C68033BE1BB1}"/>
            </c:ext>
          </c:extLst>
        </c:ser>
        <c:ser>
          <c:idx val="1"/>
          <c:order val="1"/>
          <c:tx>
            <c:strRef>
              <c:f>'ASPI-POS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uni'!$J$75,'ASPI-POS uni'!$N$75,'ASPI-POS uni'!$R$75,'ASPI-POS uni'!$V$75,'ASPI-POS uni'!$Z$75,'ASPI-POS uni'!$AD$75,'ASPI-POS uni'!$AH$75,'ASPI-POS uni'!$AL$75,'ASPI-POS uni'!$AP$75,'ASPI-POS uni'!$AT$75,'ASPI-POS uni'!$AX$75,'ASPI-POS uni'!$BB$75,'ASPI-POS uni'!$BF$75,'ASPI-POS uni'!$BJ$75)</c:f>
              <c:numCache>
                <c:formatCode>#,##0</c:formatCode>
                <c:ptCount val="14"/>
                <c:pt idx="0">
                  <c:v>1176</c:v>
                </c:pt>
                <c:pt idx="1">
                  <c:v>1032</c:v>
                </c:pt>
                <c:pt idx="2">
                  <c:v>1177</c:v>
                </c:pt>
                <c:pt idx="3">
                  <c:v>1110</c:v>
                </c:pt>
                <c:pt idx="4">
                  <c:v>1355</c:v>
                </c:pt>
                <c:pt idx="5">
                  <c:v>1213</c:v>
                </c:pt>
                <c:pt idx="6">
                  <c:v>1615</c:v>
                </c:pt>
                <c:pt idx="7">
                  <c:v>1500</c:v>
                </c:pt>
                <c:pt idx="8">
                  <c:v>1870</c:v>
                </c:pt>
                <c:pt idx="9">
                  <c:v>1486</c:v>
                </c:pt>
                <c:pt idx="10">
                  <c:v>2570</c:v>
                </c:pt>
                <c:pt idx="11">
                  <c:v>1611</c:v>
                </c:pt>
                <c:pt idx="12">
                  <c:v>2107</c:v>
                </c:pt>
                <c:pt idx="13">
                  <c:v>1980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6E5-43B6-AFDF-C68033BE1BB1}"/>
            </c:ext>
          </c:extLst>
        </c:ser>
        <c:ser>
          <c:idx val="2"/>
          <c:order val="2"/>
          <c:tx>
            <c:strRef>
              <c:f>'ASPI-POS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379280412413729E-3"/>
                  <c:y val="-5.25809405778276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E5-43B6-AFDF-C68033BE1BB1}"/>
                </c:ext>
              </c:extLst>
            </c:dLbl>
            <c:dLbl>
              <c:idx val="1"/>
              <c:layout>
                <c:manualLayout>
                  <c:x val="4.8472604527434616E-3"/>
                  <c:y val="-5.25437048814549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E5-43B6-AFDF-C68033BE1BB1}"/>
                </c:ext>
              </c:extLst>
            </c:dLbl>
            <c:dLbl>
              <c:idx val="2"/>
              <c:layout>
                <c:manualLayout>
                  <c:x val="7.3563218390804595E-3"/>
                  <c:y val="-7.00832141596788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E5-43B6-AFDF-C68033BE1BB1}"/>
                </c:ext>
              </c:extLst>
            </c:dLbl>
            <c:dLbl>
              <c:idx val="3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E5-43B6-AFDF-C68033BE1BB1}"/>
                </c:ext>
              </c:extLst>
            </c:dLbl>
            <c:dLbl>
              <c:idx val="4"/>
              <c:layout>
                <c:manualLayout>
                  <c:x val="6.6862818295124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E5-43B6-AFDF-C68033BE1BB1}"/>
                </c:ext>
              </c:extLst>
            </c:dLbl>
            <c:dLbl>
              <c:idx val="5"/>
              <c:layout>
                <c:manualLayout>
                  <c:x val="3.39786418335245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E5-43B6-AFDF-C68033BE1BB1}"/>
                </c:ext>
              </c:extLst>
            </c:dLbl>
            <c:dLbl>
              <c:idx val="6"/>
              <c:layout>
                <c:manualLayout>
                  <c:x val="7.3563218390804595E-3"/>
                  <c:y val="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E5-43B6-AFDF-C68033BE1BB1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E5-43B6-AFDF-C68033BE1BB1}"/>
                </c:ext>
              </c:extLst>
            </c:dLbl>
            <c:dLbl>
              <c:idx val="8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E5-43B6-AFDF-C68033BE1BB1}"/>
                </c:ext>
              </c:extLst>
            </c:dLbl>
            <c:dLbl>
              <c:idx val="9"/>
              <c:layout>
                <c:manualLayout>
                  <c:x val="9.1954022988505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E5-43B6-AFDF-C68033BE1BB1}"/>
                </c:ext>
              </c:extLst>
            </c:dLbl>
            <c:dLbl>
              <c:idx val="10"/>
              <c:layout>
                <c:manualLayout>
                  <c:x val="6.6862818295123179E-3"/>
                  <c:y val="-4.81645064075123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E5-43B6-AFDF-C68033BE1BB1}"/>
                </c:ext>
              </c:extLst>
            </c:dLbl>
            <c:dLbl>
              <c:idx val="11"/>
              <c:layout>
                <c:manualLayout>
                  <c:x val="4.3481888081727538E-3"/>
                  <c:y val="-2.62718524407274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E-4C39-A5BB-BE607D0609A2}"/>
                </c:ext>
              </c:extLst>
            </c:dLbl>
            <c:dLbl>
              <c:idx val="12"/>
              <c:layout>
                <c:manualLayout>
                  <c:x val="4.3481888081727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E-4C39-A5BB-BE607D0609A2}"/>
                </c:ext>
              </c:extLst>
            </c:dLbl>
            <c:dLbl>
              <c:idx val="13"/>
              <c:layout>
                <c:manualLayout>
                  <c:x val="4.3481888081727538E-3"/>
                  <c:y val="-4.816450640751234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E-4C39-A5BB-BE607D0609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'ASPI-POS uni'!$AA$83:$AA$96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('ASPI-POS uni'!$J$76,'ASPI-POS uni'!$N$76,'ASPI-POS uni'!$R$76,'ASPI-POS uni'!$V$76,'ASPI-POS uni'!$Z$76,'ASPI-POS uni'!$AD$76,'ASPI-POS uni'!$AH$76,'ASPI-POS uni'!$AL$76,'ASPI-POS uni'!$AP$76,'ASPI-POS uni'!$AT$76,'ASPI-POS uni'!$AX$76,'ASPI-POS uni'!$BB$76,'ASPI-POS uni'!$BF$76,'ASPI-POS uni'!$BJ$76)</c:f>
              <c:numCache>
                <c:formatCode>#,##0</c:formatCode>
                <c:ptCount val="14"/>
                <c:pt idx="0">
                  <c:v>62</c:v>
                </c:pt>
                <c:pt idx="1">
                  <c:v>234</c:v>
                </c:pt>
                <c:pt idx="2">
                  <c:v>118</c:v>
                </c:pt>
                <c:pt idx="3">
                  <c:v>371</c:v>
                </c:pt>
                <c:pt idx="4">
                  <c:v>346</c:v>
                </c:pt>
                <c:pt idx="5">
                  <c:v>407</c:v>
                </c:pt>
                <c:pt idx="6">
                  <c:v>510</c:v>
                </c:pt>
                <c:pt idx="7">
                  <c:v>681</c:v>
                </c:pt>
                <c:pt idx="8">
                  <c:v>555</c:v>
                </c:pt>
                <c:pt idx="9">
                  <c:v>781</c:v>
                </c:pt>
                <c:pt idx="10">
                  <c:v>675</c:v>
                </c:pt>
                <c:pt idx="11">
                  <c:v>651</c:v>
                </c:pt>
                <c:pt idx="12">
                  <c:v>572</c:v>
                </c:pt>
                <c:pt idx="13">
                  <c:v>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6E5-43B6-AFDF-C68033BE1B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3702272"/>
        <c:axId val="123724544"/>
        <c:axId val="0"/>
      </c:bar3DChart>
      <c:catAx>
        <c:axId val="12370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724544"/>
        <c:crosses val="autoZero"/>
        <c:auto val="1"/>
        <c:lblAlgn val="ctr"/>
        <c:lblOffset val="100"/>
        <c:noMultiLvlLbl val="0"/>
      </c:catAx>
      <c:valAx>
        <c:axId val="1237245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370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265450266992488"/>
          <c:y val="0.94845026494655738"/>
          <c:w val="0.56526556249434334"/>
          <c:h val="4.4047327139787984E-2"/>
        </c:manualLayout>
      </c:layout>
      <c:overlay val="0"/>
      <c:txPr>
        <a:bodyPr/>
        <a:lstStyle/>
        <a:p>
          <a:pPr>
            <a:defRPr sz="12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F08200"/>
                </a:solidFill>
              </a:defRPr>
            </a:pPr>
            <a:r>
              <a:rPr lang="es-MX" sz="1200" b="0">
                <a:solidFill>
                  <a:srgbClr val="F08200"/>
                </a:solidFill>
              </a:rPr>
              <a:t>Cuajimalpa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uni'!$B$11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4"/>
              <c:layout>
                <c:manualLayout>
                  <c:x val="-4.2921323576274817E-2"/>
                  <c:y val="-4.7118761317625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uni'!$Z$11,'Admitidos uni'!$AC$11,'Admitidos uni'!$AF$11,'Admitidos uni'!$AI$11,'Admitidos uni'!$AL$11)</c:f>
              <c:numCache>
                <c:formatCode>#,##0</c:formatCode>
                <c:ptCount val="5"/>
                <c:pt idx="0">
                  <c:v>94</c:v>
                </c:pt>
                <c:pt idx="1">
                  <c:v>105</c:v>
                </c:pt>
                <c:pt idx="2">
                  <c:v>106</c:v>
                </c:pt>
                <c:pt idx="3">
                  <c:v>123</c:v>
                </c:pt>
                <c:pt idx="4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E-4D06-8147-4F0C77C54D18}"/>
            </c:ext>
          </c:extLst>
        </c:ser>
        <c:ser>
          <c:idx val="1"/>
          <c:order val="1"/>
          <c:tx>
            <c:strRef>
              <c:f>'Admitidos uni'!$B$12</c:f>
              <c:strCache>
                <c:ptCount val="1"/>
                <c:pt idx="0">
                  <c:v>CCD</c:v>
                </c:pt>
              </c:strCache>
            </c:strRef>
          </c:tx>
          <c:spPr>
            <a:ln w="12700">
              <a:solidFill>
                <a:srgbClr val="F082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F08200"/>
                </a:solidFill>
              </a:ln>
            </c:spPr>
          </c:marker>
          <c:dLbls>
            <c:dLbl>
              <c:idx val="0"/>
              <c:layout>
                <c:manualLayout>
                  <c:x val="-4.2994791214012153E-2"/>
                  <c:y val="-5.228671997395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3E-4D06-8147-4F0C77C54D18}"/>
                </c:ext>
              </c:extLst>
            </c:dLbl>
            <c:dLbl>
              <c:idx val="1"/>
              <c:layout>
                <c:manualLayout>
                  <c:x val="-5.1824813289067344E-2"/>
                  <c:y val="4.590449449632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3E-4D06-8147-4F0C77C54D18}"/>
                </c:ext>
              </c:extLst>
            </c:dLbl>
            <c:dLbl>
              <c:idx val="2"/>
              <c:layout>
                <c:manualLayout>
                  <c:x val="-4.2994791214012153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3E-4D06-8147-4F0C77C54D18}"/>
                </c:ext>
              </c:extLst>
            </c:dLbl>
            <c:dLbl>
              <c:idx val="3"/>
              <c:layout>
                <c:manualLayout>
                  <c:x val="-5.1824813289067344E-2"/>
                  <c:y val="4.0736535839996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3E-4D06-8147-4F0C77C54D18}"/>
                </c:ext>
              </c:extLst>
            </c:dLbl>
            <c:dLbl>
              <c:idx val="4"/>
              <c:layout>
                <c:manualLayout>
                  <c:x val="-4.8808004959644942E-2"/>
                  <c:y val="4.5904494496327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F082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uni'!$Z$12,'Admitidos uni'!$AC$12,'Admitidos uni'!$AF$12,'Admitidos uni'!$AI$12,'Admitidos uni'!$AL$12)</c:f>
              <c:numCache>
                <c:formatCode>#,##0</c:formatCode>
                <c:ptCount val="5"/>
                <c:pt idx="0">
                  <c:v>159</c:v>
                </c:pt>
                <c:pt idx="1">
                  <c:v>158</c:v>
                </c:pt>
                <c:pt idx="2">
                  <c:v>153</c:v>
                </c:pt>
                <c:pt idx="3">
                  <c:v>158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23E-4D06-8147-4F0C77C54D18}"/>
            </c:ext>
          </c:extLst>
        </c:ser>
        <c:ser>
          <c:idx val="2"/>
          <c:order val="2"/>
          <c:tx>
            <c:strRef>
              <c:f>'Admitidos uni'!$B$13</c:f>
              <c:strCache>
                <c:ptCount val="1"/>
                <c:pt idx="0">
                  <c:v>CNI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chemeClr val="tx1"/>
                </a:solidFill>
              </a:ln>
            </c:spPr>
          </c:marker>
          <c:dLbls>
            <c:dLbl>
              <c:idx val="0"/>
              <c:layout>
                <c:manualLayout>
                  <c:x val="-3.4091301501219633E-2"/>
                  <c:y val="6.77905959429489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3E-4D06-8147-4F0C77C54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uni'!$Z$13,'Admitidos uni'!$AC$13,'Admitidos uni'!$AF$13,'Admitidos uni'!$AI$13,'Admitidos uni'!$AL$13)</c:f>
              <c:numCache>
                <c:formatCode>#,##0</c:formatCode>
                <c:ptCount val="5"/>
                <c:pt idx="0">
                  <c:v>146</c:v>
                </c:pt>
                <c:pt idx="1">
                  <c:v>166</c:v>
                </c:pt>
                <c:pt idx="2">
                  <c:v>175</c:v>
                </c:pt>
                <c:pt idx="3">
                  <c:v>222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3E-4D06-8147-4F0C77C54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37760"/>
        <c:axId val="110839296"/>
      </c:lineChart>
      <c:catAx>
        <c:axId val="11083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839296"/>
        <c:crosses val="autoZero"/>
        <c:auto val="1"/>
        <c:lblAlgn val="ctr"/>
        <c:lblOffset val="100"/>
        <c:noMultiLvlLbl val="0"/>
      </c:catAx>
      <c:valAx>
        <c:axId val="1108392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083776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Inscritos de primer ingreso a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48850203235312E-2"/>
          <c:y val="5.8374748616502936E-2"/>
          <c:w val="0.96902299593529373"/>
          <c:h val="0.8118675333267041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'INSC-POSG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C4-46A2-9A35-FEB79EDF2819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C4-46A2-9A35-FEB79EDF2819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4-46A2-9A35-FEB79EDF2819}"/>
                </c:ext>
              </c:extLst>
            </c:dLbl>
            <c:dLbl>
              <c:idx val="3"/>
              <c:layout>
                <c:manualLayout>
                  <c:x val="6.1092019854906456E-3"/>
                  <c:y val="-3.5730231686638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4-46A2-9A35-FEB79EDF2819}"/>
                </c:ext>
              </c:extLst>
            </c:dLbl>
            <c:dLbl>
              <c:idx val="4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4-46A2-9A35-FEB79EDF2819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4-46A2-9A35-FEB79EDF2819}"/>
                </c:ext>
              </c:extLst>
            </c:dLbl>
            <c:dLbl>
              <c:idx val="6"/>
              <c:layout>
                <c:manualLayout>
                  <c:x val="2.0043030761695037E-3"/>
                  <c:y val="-1.889962669658196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4-46A2-9A35-FEB79EDF2819}"/>
                </c:ext>
              </c:extLst>
            </c:dLbl>
            <c:dLbl>
              <c:idx val="7"/>
              <c:layout>
                <c:manualLayout>
                  <c:x val="4.7707247133286362E-4"/>
                  <c:y val="-9.44981334829098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4-46A2-9A35-FEB79EDF2819}"/>
                </c:ext>
              </c:extLst>
            </c:dLbl>
            <c:dLbl>
              <c:idx val="8"/>
              <c:layout>
                <c:manualLayout>
                  <c:x val="3.4123487154743329E-3"/>
                  <c:y val="2.5772515945475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C4-46A2-9A35-FEB79EDF2819}"/>
                </c:ext>
              </c:extLst>
            </c:dLbl>
            <c:dLbl>
              <c:idx val="9"/>
              <c:layout>
                <c:manualLayout>
                  <c:x val="3.4123487154743329E-3"/>
                  <c:y val="-3.5730447893858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4-46A2-9A35-FEB79EDF2819}"/>
                </c:ext>
              </c:extLst>
            </c:dLbl>
            <c:dLbl>
              <c:idx val="10"/>
              <c:layout>
                <c:manualLayout>
                  <c:x val="3.4123487154742297E-3"/>
                  <c:y val="2.5772515945475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C4-46A2-9A35-FEB79EDF2819}"/>
                </c:ext>
              </c:extLst>
            </c:dLbl>
            <c:dLbl>
              <c:idx val="11"/>
              <c:layout>
                <c:manualLayout>
                  <c:x val="6.08828006088268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C4-46A2-9A35-FEB79EDF2819}"/>
                </c:ext>
              </c:extLst>
            </c:dLbl>
            <c:dLbl>
              <c:idx val="12"/>
              <c:layout>
                <c:manualLayout>
                  <c:x val="5.6321825572193162E-3"/>
                  <c:y val="-9.44981334829098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E-4A03-A340-DE2CB7052969}"/>
                </c:ext>
              </c:extLst>
            </c:dLbl>
            <c:dLbl>
              <c:idx val="13"/>
              <c:layout>
                <c:manualLayout>
                  <c:x val="5.6321825572193162E-3"/>
                  <c:y val="2.57725159454749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E-4A03-A340-DE2CB7052969}"/>
                </c:ext>
              </c:extLst>
            </c:dLbl>
            <c:dLbl>
              <c:idx val="14"/>
              <c:layout>
                <c:manualLayout>
                  <c:x val="4.22413691791459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E-4A03-A340-DE2CB7052969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uni'!$AR$86:$AR$100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uni'!$V$21,'INSC-POSG uni'!$Z$21,'INSC-POSG uni'!$AD$21,'INSC-POSG uni'!$AH$21,'INSC-POSG uni'!$AL$21,'INSC-POSG uni'!$AP$21,'INSC-POSG uni'!$AT$21,'INSC-POSG uni'!$AX$21,'INSC-POSG uni'!$BB$21,'INSC-POSG uni'!$BF$21,'INSC-POSG uni'!$BJ$21,'INSC-POSG uni'!$BN$21,'INSC-POSG uni'!$BR$21,'INSC-POSG uni'!$BV$21,'INSC-POSG uni'!$BZ$21)</c:f>
              <c:numCache>
                <c:formatCode>0</c:formatCode>
                <c:ptCount val="15"/>
                <c:pt idx="0">
                  <c:v>104</c:v>
                </c:pt>
                <c:pt idx="1">
                  <c:v>158</c:v>
                </c:pt>
                <c:pt idx="2">
                  <c:v>154</c:v>
                </c:pt>
                <c:pt idx="3">
                  <c:v>136</c:v>
                </c:pt>
                <c:pt idx="4">
                  <c:v>201</c:v>
                </c:pt>
                <c:pt idx="5" formatCode="#,##0">
                  <c:v>158</c:v>
                </c:pt>
                <c:pt idx="6" formatCode="#,##0">
                  <c:v>210</c:v>
                </c:pt>
                <c:pt idx="7" formatCode="#,##0">
                  <c:v>196</c:v>
                </c:pt>
                <c:pt idx="8" formatCode="#,##0">
                  <c:v>186</c:v>
                </c:pt>
                <c:pt idx="9" formatCode="#,##0">
                  <c:v>217</c:v>
                </c:pt>
                <c:pt idx="10" formatCode="#,##0">
                  <c:v>217</c:v>
                </c:pt>
                <c:pt idx="11" formatCode="#,##0">
                  <c:v>280</c:v>
                </c:pt>
                <c:pt idx="12" formatCode="#,##0">
                  <c:v>222</c:v>
                </c:pt>
                <c:pt idx="13" formatCode="#,##0">
                  <c:v>201</c:v>
                </c:pt>
                <c:pt idx="14" formatCode="#,##0">
                  <c:v>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9C4-46A2-9A35-FEB79EDF2819}"/>
            </c:ext>
          </c:extLst>
        </c:ser>
        <c:ser>
          <c:idx val="1"/>
          <c:order val="1"/>
          <c:tx>
            <c:strRef>
              <c:f>'INSC-POSG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9"/>
              <c:layout>
                <c:manualLayout>
                  <c:x val="3.5002684156293508E-3"/>
                  <c:y val="-3.06165313440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C4-46A2-9A35-FEB79EDF2819}"/>
                </c:ext>
              </c:extLst>
            </c:dLbl>
            <c:dLbl>
              <c:idx val="10"/>
              <c:layout>
                <c:manualLayout>
                  <c:x val="4.908314054934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C4-46A2-9A35-FEB79EDF2819}"/>
                </c:ext>
              </c:extLst>
            </c:dLbl>
            <c:dLbl>
              <c:idx val="11"/>
              <c:layout>
                <c:manualLayout>
                  <c:x val="7.610350076103612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C4-46A2-9A35-FEB79EDF2819}"/>
                </c:ext>
              </c:extLst>
            </c:dLbl>
            <c:dLbl>
              <c:idx val="12"/>
              <c:layout>
                <c:manualLayout>
                  <c:x val="4.2241369179143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E-4A03-A340-DE2CB7052969}"/>
                </c:ext>
              </c:extLst>
            </c:dLbl>
            <c:dLbl>
              <c:idx val="13"/>
              <c:layout>
                <c:manualLayout>
                  <c:x val="5.63218255721921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E-4A03-A340-DE2CB7052969}"/>
                </c:ext>
              </c:extLst>
            </c:dLbl>
            <c:dLbl>
              <c:idx val="14"/>
              <c:layout>
                <c:manualLayout>
                  <c:x val="5.63218255721941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E-4A03-A340-DE2CB7052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uni'!$AR$86:$AR$100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uni'!$V$38,'INSC-POSG uni'!$Z$38,'INSC-POSG uni'!$AD$38,'INSC-POSG uni'!$AH$38,'INSC-POSG uni'!$AL$38,'INSC-POSG uni'!$AP$38,'INSC-POSG uni'!$AT$38,'INSC-POSG uni'!$AX$38,'INSC-POSG uni'!$BB$38,'INSC-POSG uni'!$BF$38,'INSC-POSG uni'!$BJ$38,'INSC-POSG uni'!$BN$38,'INSC-POSG uni'!$BR$38,'INSC-POSG uni'!$BV$38,'INSC-POSG uni'!$BZ$38)</c:f>
              <c:numCache>
                <c:formatCode>#,##0</c:formatCode>
                <c:ptCount val="15"/>
                <c:pt idx="9">
                  <c:v>54</c:v>
                </c:pt>
                <c:pt idx="10">
                  <c:v>73</c:v>
                </c:pt>
                <c:pt idx="11">
                  <c:v>73</c:v>
                </c:pt>
                <c:pt idx="12">
                  <c:v>90</c:v>
                </c:pt>
                <c:pt idx="13">
                  <c:v>63</c:v>
                </c:pt>
                <c:pt idx="14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C4-46A2-9A35-FEB79EDF2819}"/>
            </c:ext>
          </c:extLst>
        </c:ser>
        <c:ser>
          <c:idx val="2"/>
          <c:order val="2"/>
          <c:tx>
            <c:strRef>
              <c:f>'INSC-POSG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C4-46A2-9A35-FEB79EDF2819}"/>
                </c:ext>
              </c:extLst>
            </c:dLbl>
            <c:dLbl>
              <c:idx val="1"/>
              <c:layout>
                <c:manualLayout>
                  <c:x val="3.054600992745322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C4-46A2-9A35-FEB79EDF2819}"/>
                </c:ext>
              </c:extLst>
            </c:dLbl>
            <c:dLbl>
              <c:idx val="3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C4-46A2-9A35-FEB79EDF2819}"/>
                </c:ext>
              </c:extLst>
            </c:dLbl>
            <c:dLbl>
              <c:idx val="4"/>
              <c:layout>
                <c:manualLayout>
                  <c:x val="4.566210045662100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C4-46A2-9A35-FEB79EDF2819}"/>
                </c:ext>
              </c:extLst>
            </c:dLbl>
            <c:dLbl>
              <c:idx val="5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C4-46A2-9A35-FEB79EDF2819}"/>
                </c:ext>
              </c:extLst>
            </c:dLbl>
            <c:dLbl>
              <c:idx val="6"/>
              <c:layout>
                <c:manualLayout>
                  <c:x val="6.0882800608828003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C4-46A2-9A35-FEB79EDF2819}"/>
                </c:ext>
              </c:extLst>
            </c:dLbl>
            <c:dLbl>
              <c:idx val="7"/>
              <c:layout>
                <c:manualLayout>
                  <c:x val="7.6103500761035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C4-46A2-9A35-FEB79EDF2819}"/>
                </c:ext>
              </c:extLst>
            </c:dLbl>
            <c:dLbl>
              <c:idx val="8"/>
              <c:layout>
                <c:manualLayout>
                  <c:x val="6.0882800608828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C4-46A2-9A35-FEB79EDF2819}"/>
                </c:ext>
              </c:extLst>
            </c:dLbl>
            <c:dLbl>
              <c:idx val="9"/>
              <c:layout>
                <c:manualLayout>
                  <c:x val="4.56621004566210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C4-46A2-9A35-FEB79EDF2819}"/>
                </c:ext>
              </c:extLst>
            </c:dLbl>
            <c:dLbl>
              <c:idx val="10"/>
              <c:layout>
                <c:manualLayout>
                  <c:x val="6.0882800608826892E-3"/>
                  <c:y val="6.42422041816141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C4-46A2-9A35-FEB79EDF2819}"/>
                </c:ext>
              </c:extLst>
            </c:dLbl>
            <c:dLbl>
              <c:idx val="11"/>
              <c:layout>
                <c:manualLayout>
                  <c:x val="4.908314054934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C4-46A2-9A35-FEB79EDF2819}"/>
                </c:ext>
              </c:extLst>
            </c:dLbl>
            <c:dLbl>
              <c:idx val="12"/>
              <c:layout>
                <c:manualLayout>
                  <c:x val="5.6321825572193162E-3"/>
                  <c:y val="-2.577251594547590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E-4A03-A340-DE2CB7052969}"/>
                </c:ext>
              </c:extLst>
            </c:dLbl>
            <c:dLbl>
              <c:idx val="13"/>
              <c:layout>
                <c:manualLayout>
                  <c:x val="4.2241369179143841E-3"/>
                  <c:y val="-9.449813348290982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E-4A03-A340-DE2CB7052969}"/>
                </c:ext>
              </c:extLst>
            </c:dLbl>
            <c:dLbl>
              <c:idx val="14"/>
              <c:layout>
                <c:manualLayout>
                  <c:x val="5.6321825572194194E-3"/>
                  <c:y val="-2.57725159454768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E-4A03-A340-DE2CB7052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uni'!$AR$86:$AR$100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uni'!$V$55,'INSC-POSG uni'!$Z$55,'INSC-POSG uni'!$AD$55,'INSC-POSG uni'!$AH$55,'INSC-POSG uni'!$AL$55,'INSC-POSG uni'!$AP$55,'INSC-POSG uni'!$AT$55,'INSC-POSG uni'!$AX$55,'INSC-POSG uni'!$BB$55,'INSC-POSG uni'!$BF$55,'INSC-POSG uni'!$BJ$55,'INSC-POSG uni'!$BN$55,'INSC-POSG uni'!$BR$55,'INSC-POSG uni'!$BV$55,'INSC-POSG uni'!$BZ$55)</c:f>
              <c:numCache>
                <c:formatCode>0</c:formatCode>
                <c:ptCount val="15"/>
                <c:pt idx="0">
                  <c:v>247</c:v>
                </c:pt>
                <c:pt idx="1">
                  <c:v>317</c:v>
                </c:pt>
                <c:pt idx="2">
                  <c:v>333</c:v>
                </c:pt>
                <c:pt idx="3">
                  <c:v>320</c:v>
                </c:pt>
                <c:pt idx="4">
                  <c:v>416</c:v>
                </c:pt>
                <c:pt idx="5" formatCode="#,##0">
                  <c:v>514</c:v>
                </c:pt>
                <c:pt idx="6" formatCode="#,##0">
                  <c:v>402</c:v>
                </c:pt>
                <c:pt idx="7" formatCode="#,##0">
                  <c:v>529</c:v>
                </c:pt>
                <c:pt idx="8" formatCode="#,##0">
                  <c:v>472</c:v>
                </c:pt>
                <c:pt idx="9" formatCode="#,##0">
                  <c:v>490</c:v>
                </c:pt>
                <c:pt idx="10" formatCode="#,##0">
                  <c:v>404</c:v>
                </c:pt>
                <c:pt idx="11" formatCode="#,##0">
                  <c:v>508</c:v>
                </c:pt>
                <c:pt idx="12" formatCode="#,##0">
                  <c:v>445</c:v>
                </c:pt>
                <c:pt idx="13" formatCode="#,##0">
                  <c:v>436</c:v>
                </c:pt>
                <c:pt idx="14" formatCode="#,##0">
                  <c:v>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29C4-46A2-9A35-FEB79EDF2819}"/>
            </c:ext>
          </c:extLst>
        </c:ser>
        <c:ser>
          <c:idx val="3"/>
          <c:order val="3"/>
          <c:tx>
            <c:strRef>
              <c:f>'INSC-POSG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00430307616951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C4-46A2-9A35-FEB79EDF2819}"/>
                </c:ext>
              </c:extLst>
            </c:dLbl>
            <c:dLbl>
              <c:idx val="1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C4-46A2-9A35-FEB79EDF2819}"/>
                </c:ext>
              </c:extLst>
            </c:dLbl>
            <c:dLbl>
              <c:idx val="2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C4-46A2-9A35-FEB79EDF2819}"/>
                </c:ext>
              </c:extLst>
            </c:dLbl>
            <c:dLbl>
              <c:idx val="3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C4-46A2-9A35-FEB79EDF2819}"/>
                </c:ext>
              </c:extLst>
            </c:dLbl>
            <c:dLbl>
              <c:idx val="4"/>
              <c:layout>
                <c:manualLayout>
                  <c:x val="3.4123487154742813E-3"/>
                  <c:y val="3.57304478938573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C4-46A2-9A35-FEB79EDF2819}"/>
                </c:ext>
              </c:extLst>
            </c:dLbl>
            <c:dLbl>
              <c:idx val="5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C4-46A2-9A35-FEB79EDF2819}"/>
                </c:ext>
              </c:extLst>
            </c:dLbl>
            <c:dLbl>
              <c:idx val="6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9C4-46A2-9A35-FEB79EDF2819}"/>
                </c:ext>
              </c:extLst>
            </c:dLbl>
            <c:dLbl>
              <c:idx val="7"/>
              <c:layout>
                <c:manualLayout>
                  <c:x val="7.63650248186330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9C4-46A2-9A35-FEB79EDF2819}"/>
                </c:ext>
              </c:extLst>
            </c:dLbl>
            <c:dLbl>
              <c:idx val="8"/>
              <c:layout>
                <c:manualLayout>
                  <c:x val="4.58190148911798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9C4-46A2-9A35-FEB79EDF2819}"/>
                </c:ext>
              </c:extLst>
            </c:dLbl>
            <c:dLbl>
              <c:idx val="9"/>
              <c:layout>
                <c:manualLayout>
                  <c:x val="7.6365024818633069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9C4-46A2-9A35-FEB79EDF2819}"/>
                </c:ext>
              </c:extLst>
            </c:dLbl>
            <c:dLbl>
              <c:idx val="10"/>
              <c:layout>
                <c:manualLayout>
                  <c:x val="4.5819014891179842E-3"/>
                  <c:y val="-3.27523340216611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9C4-46A2-9A35-FEB79EDF2819}"/>
                </c:ext>
              </c:extLst>
            </c:dLbl>
            <c:dLbl>
              <c:idx val="11"/>
              <c:layout>
                <c:manualLayout>
                  <c:x val="7.610350076103389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9C4-46A2-9A35-FEB79EDF2819}"/>
                </c:ext>
              </c:extLst>
            </c:dLbl>
            <c:dLbl>
              <c:idx val="12"/>
              <c:layout>
                <c:manualLayout>
                  <c:x val="4.2241369179144873E-3"/>
                  <c:y val="5.15450318909518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E-4A03-A340-DE2CB7052969}"/>
                </c:ext>
              </c:extLst>
            </c:dLbl>
            <c:dLbl>
              <c:idx val="13"/>
              <c:layout>
                <c:manualLayout>
                  <c:x val="5.63218255721931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E-4A03-A340-DE2CB7052969}"/>
                </c:ext>
              </c:extLst>
            </c:dLbl>
            <c:dLbl>
              <c:idx val="14"/>
              <c:layout>
                <c:manualLayout>
                  <c:x val="5.63218255721941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E-4A03-A340-DE2CB70529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'INSC-POSG uni'!$AR$86:$AR$100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uni'!$V$72,'INSC-POSG uni'!$Z$72,'INSC-POSG uni'!$AD$72,'INSC-POSG uni'!$AH$72,'INSC-POSG uni'!$AL$72,'INSC-POSG uni'!$AP$72,'INSC-POSG uni'!$AT$72,'INSC-POSG uni'!$AX$72,'INSC-POSG uni'!$BB$72,'INSC-POSG uni'!$BF$72,'INSC-POSG uni'!$BJ$72,'INSC-POSG uni'!$BN$72,'INSC-POSG uni'!$BR$72,'INSC-POSG uni'!$BV$72,'INSC-POSG uni'!$BZ$72)</c:f>
              <c:numCache>
                <c:formatCode>0</c:formatCode>
                <c:ptCount val="15"/>
                <c:pt idx="0">
                  <c:v>230</c:v>
                </c:pt>
                <c:pt idx="1">
                  <c:v>219</c:v>
                </c:pt>
                <c:pt idx="2">
                  <c:v>209</c:v>
                </c:pt>
                <c:pt idx="3">
                  <c:v>261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280</c:v>
                </c:pt>
                <c:pt idx="7" formatCode="#,##0">
                  <c:v>241</c:v>
                </c:pt>
                <c:pt idx="8" formatCode="#,##0">
                  <c:v>300</c:v>
                </c:pt>
                <c:pt idx="9" formatCode="#,##0">
                  <c:v>287</c:v>
                </c:pt>
                <c:pt idx="10" formatCode="#,##0">
                  <c:v>294</c:v>
                </c:pt>
                <c:pt idx="11" formatCode="#,##0">
                  <c:v>307</c:v>
                </c:pt>
                <c:pt idx="12" formatCode="#,##0">
                  <c:v>315</c:v>
                </c:pt>
                <c:pt idx="13" formatCode="#,##0">
                  <c:v>290</c:v>
                </c:pt>
                <c:pt idx="14" formatCode="#,##0">
                  <c:v>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9C4-46A2-9A35-FEB79EDF2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3195392"/>
        <c:axId val="123196928"/>
        <c:axId val="0"/>
      </c:bar3DChart>
      <c:catAx>
        <c:axId val="1231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3196928"/>
        <c:crosses val="autoZero"/>
        <c:auto val="1"/>
        <c:lblAlgn val="ctr"/>
        <c:lblOffset val="100"/>
        <c:noMultiLvlLbl val="0"/>
      </c:catAx>
      <c:valAx>
        <c:axId val="12319692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319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8094805670549055E-2"/>
          <c:y val="0.96800831653451336"/>
          <c:w val="0.85922350459617192"/>
          <c:h val="3.199168346548649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u="none" strike="noStrike" baseline="0">
                <a:effectLst/>
              </a:rPr>
              <a:t>Inscritos de primer ingreso a Posgrado </a:t>
            </a:r>
            <a:r>
              <a:rPr lang="es-MX" sz="1200" b="0" i="1" baseline="0">
                <a:effectLst/>
              </a:rPr>
              <a:t>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498291138671764E-2"/>
          <c:y val="6.009204945263457E-2"/>
          <c:w val="0.96900341772265652"/>
          <c:h val="0.8186429606470067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'INSC-POSG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31453720849039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67-4645-B343-E60096949208}"/>
                </c:ext>
              </c:extLst>
            </c:dLbl>
            <c:dLbl>
              <c:idx val="1"/>
              <c:layout>
                <c:manualLayout>
                  <c:x val="2.3145372084903879E-3"/>
                  <c:y val="-8.93853830958590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67-4645-B343-E60096949208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67-4645-B343-E60096949208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67-4645-B343-E60096949208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67-4645-B343-E60096949208}"/>
                </c:ext>
              </c:extLst>
            </c:dLbl>
            <c:dLbl>
              <c:idx val="5"/>
              <c:layout>
                <c:manualLayout>
                  <c:x val="6.5411631395625837E-3"/>
                  <c:y val="-7.14604633732771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67-4645-B343-E60096949208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67-4645-B343-E60096949208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67-4645-B343-E60096949208}"/>
                </c:ext>
              </c:extLst>
            </c:dLbl>
            <c:dLbl>
              <c:idx val="8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67-4645-B343-E60096949208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67-4645-B343-E60096949208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67-4645-B343-E60096949208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67-4645-B343-E60096949208}"/>
                </c:ext>
              </c:extLst>
            </c:dLbl>
            <c:dLbl>
              <c:idx val="12"/>
              <c:layout>
                <c:manualLayout>
                  <c:x val="5.635742232244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A3-4648-99C0-708E4D8675E4}"/>
                </c:ext>
              </c:extLst>
            </c:dLbl>
            <c:dLbl>
              <c:idx val="13"/>
              <c:layout>
                <c:manualLayout>
                  <c:x val="5.6357422322441744E-3"/>
                  <c:y val="-1.78770766191718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A3-4648-99C0-708E4D8675E4}"/>
                </c:ext>
              </c:extLst>
            </c:dLbl>
            <c:dLbl>
              <c:idx val="14"/>
              <c:layout>
                <c:manualLayout>
                  <c:x val="5.6357422322443809E-3"/>
                  <c:y val="-2.43781133682096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A3-4648-99C0-708E4D867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uni'!$AR$86:$AR$99,'INSC-POSG uni'!$AR$100)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uni'!$V$74,'INSC-POSG uni'!$Z$74,'INSC-POSG uni'!$AD$74,'INSC-POSG uni'!$AH$74,'INSC-POSG uni'!$AL$74,'INSC-POSG uni'!$AP$74,'INSC-POSG uni'!$AT$74,'INSC-POSG uni'!$AX$74,'INSC-POSG uni'!$BB$74,'INSC-POSG uni'!$BF$74,'INSC-POSG uni'!$BJ$74,'INSC-POSG uni'!$BN$74,'INSC-POSG uni'!$BR$74,'INSC-POSG uni'!$BV$74,'INSC-POSG uni'!$BZ$74)</c:f>
              <c:numCache>
                <c:formatCode>0</c:formatCode>
                <c:ptCount val="15"/>
                <c:pt idx="0">
                  <c:v>113</c:v>
                </c:pt>
                <c:pt idx="1">
                  <c:v>167</c:v>
                </c:pt>
                <c:pt idx="2">
                  <c:v>64</c:v>
                </c:pt>
                <c:pt idx="3">
                  <c:v>184</c:v>
                </c:pt>
                <c:pt idx="4">
                  <c:v>254</c:v>
                </c:pt>
                <c:pt idx="5" formatCode="#,##0">
                  <c:v>231</c:v>
                </c:pt>
                <c:pt idx="6" formatCode="#,##0">
                  <c:v>221</c:v>
                </c:pt>
                <c:pt idx="7" formatCode="#,##0">
                  <c:v>260</c:v>
                </c:pt>
                <c:pt idx="8" formatCode="#,##0">
                  <c:v>199</c:v>
                </c:pt>
                <c:pt idx="9" formatCode="#,##0">
                  <c:v>129</c:v>
                </c:pt>
                <c:pt idx="10" formatCode="#,##0">
                  <c:v>135</c:v>
                </c:pt>
                <c:pt idx="11" formatCode="#,##0">
                  <c:v>122</c:v>
                </c:pt>
                <c:pt idx="12" formatCode="#,##0">
                  <c:v>113</c:v>
                </c:pt>
                <c:pt idx="13" formatCode="#,##0">
                  <c:v>65</c:v>
                </c:pt>
                <c:pt idx="14" formatCode="#,##0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967-4645-B343-E60096949208}"/>
            </c:ext>
          </c:extLst>
        </c:ser>
        <c:ser>
          <c:idx val="1"/>
          <c:order val="1"/>
          <c:tx>
            <c:strRef>
              <c:f>'INSC-POSG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7661488143908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67-4645-B343-E60096949208}"/>
                </c:ext>
              </c:extLst>
            </c:dLbl>
            <c:dLbl>
              <c:idx val="1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67-4645-B343-E60096949208}"/>
                </c:ext>
              </c:extLst>
            </c:dLbl>
            <c:dLbl>
              <c:idx val="2"/>
              <c:layout>
                <c:manualLayout>
                  <c:x val="5.35872553236408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67-4645-B343-E60096949208}"/>
                </c:ext>
              </c:extLst>
            </c:dLbl>
            <c:dLbl>
              <c:idx val="3"/>
              <c:layout>
                <c:manualLayout>
                  <c:x val="5.3587255323640816E-3"/>
                  <c:y val="-8.938538309585901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67-4645-B343-E60096949208}"/>
                </c:ext>
              </c:extLst>
            </c:dLbl>
            <c:dLbl>
              <c:idx val="4"/>
              <c:layout>
                <c:manualLayout>
                  <c:x val="4.9059689288634507E-3"/>
                  <c:y val="6.550466804332237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67-4645-B343-E60096949208}"/>
                </c:ext>
              </c:extLst>
            </c:dLbl>
            <c:dLbl>
              <c:idx val="5"/>
              <c:layout>
                <c:manualLayout>
                  <c:x val="4.90596892886339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67-4645-B343-E60096949208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67-4645-B343-E60096949208}"/>
                </c:ext>
              </c:extLst>
            </c:dLbl>
            <c:dLbl>
              <c:idx val="7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67-4645-B343-E60096949208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67-4645-B343-E60096949208}"/>
                </c:ext>
              </c:extLst>
            </c:dLbl>
            <c:dLbl>
              <c:idx val="9"/>
              <c:layout>
                <c:manualLayout>
                  <c:x val="3.9497899743030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67-4645-B343-E60096949208}"/>
                </c:ext>
              </c:extLst>
            </c:dLbl>
            <c:dLbl>
              <c:idx val="1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67-4645-B343-E60096949208}"/>
                </c:ext>
              </c:extLst>
            </c:dLbl>
            <c:dLbl>
              <c:idx val="11"/>
              <c:layout>
                <c:manualLayout>
                  <c:x val="5.33209997851085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67-4645-B343-E60096949208}"/>
                </c:ext>
              </c:extLst>
            </c:dLbl>
            <c:dLbl>
              <c:idx val="12"/>
              <c:layout>
                <c:manualLayout>
                  <c:x val="4.226806674183208E-3"/>
                  <c:y val="-2.4378113368208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A3-4648-99C0-708E4D8675E4}"/>
                </c:ext>
              </c:extLst>
            </c:dLbl>
            <c:dLbl>
              <c:idx val="13"/>
              <c:layout>
                <c:manualLayout>
                  <c:x val="4.22680667418310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A3-4648-99C0-708E4D8675E4}"/>
                </c:ext>
              </c:extLst>
            </c:dLbl>
            <c:dLbl>
              <c:idx val="14"/>
              <c:layout>
                <c:manualLayout>
                  <c:x val="4.22680667418331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A3-4648-99C0-708E4D867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uni'!$AR$86:$AR$99,'INSC-POSG uni'!$AR$100)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uni'!$V$75,'INSC-POSG uni'!$Z$75,'INSC-POSG uni'!$AD$75,'INSC-POSG uni'!$AH$75,'INSC-POSG uni'!$AL$75,'INSC-POSG uni'!$AP$75,'INSC-POSG uni'!$AT$75,'INSC-POSG uni'!$AX$75,'INSC-POSG uni'!$BB$75,'INSC-POSG uni'!$BF$75,'INSC-POSG uni'!$BJ$75,'INSC-POSG uni'!$BN$75,'INSC-POSG uni'!$BR$75,'INSC-POSG uni'!$BV$75,'INSC-POSG uni'!$BZ$75)</c:f>
              <c:numCache>
                <c:formatCode>0</c:formatCode>
                <c:ptCount val="15"/>
                <c:pt idx="0">
                  <c:v>270</c:v>
                </c:pt>
                <c:pt idx="1">
                  <c:v>346</c:v>
                </c:pt>
                <c:pt idx="2">
                  <c:v>408</c:v>
                </c:pt>
                <c:pt idx="3">
                  <c:v>403</c:v>
                </c:pt>
                <c:pt idx="4">
                  <c:v>393</c:v>
                </c:pt>
                <c:pt idx="5" formatCode="#,##0">
                  <c:v>532</c:v>
                </c:pt>
                <c:pt idx="6" formatCode="#,##0">
                  <c:v>452</c:v>
                </c:pt>
                <c:pt idx="7" formatCode="#,##0">
                  <c:v>469</c:v>
                </c:pt>
                <c:pt idx="8" formatCode="#,##0">
                  <c:v>486</c:v>
                </c:pt>
                <c:pt idx="9" formatCode="#,##0">
                  <c:v>636</c:v>
                </c:pt>
                <c:pt idx="10" formatCode="#,##0">
                  <c:v>571</c:v>
                </c:pt>
                <c:pt idx="11" formatCode="#,##0">
                  <c:v>709</c:v>
                </c:pt>
                <c:pt idx="12" formatCode="#,##0">
                  <c:v>647</c:v>
                </c:pt>
                <c:pt idx="13" formatCode="#,##0">
                  <c:v>647</c:v>
                </c:pt>
                <c:pt idx="14" formatCode="#,##0">
                  <c:v>644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967-4645-B343-E60096949208}"/>
            </c:ext>
          </c:extLst>
        </c:ser>
        <c:ser>
          <c:idx val="2"/>
          <c:order val="2"/>
          <c:tx>
            <c:strRef>
              <c:f>'INSC-POSG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67-4645-B343-E60096949208}"/>
                </c:ext>
              </c:extLst>
            </c:dLbl>
            <c:dLbl>
              <c:idx val="1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67-4645-B343-E60096949208}"/>
                </c:ext>
              </c:extLst>
            </c:dLbl>
            <c:dLbl>
              <c:idx val="2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67-4645-B343-E60096949208}"/>
                </c:ext>
              </c:extLst>
            </c:dLbl>
            <c:dLbl>
              <c:idx val="3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67-4645-B343-E60096949208}"/>
                </c:ext>
              </c:extLst>
            </c:dLbl>
            <c:dLbl>
              <c:idx val="4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67-4645-B343-E60096949208}"/>
                </c:ext>
              </c:extLst>
            </c:dLbl>
            <c:dLbl>
              <c:idx val="5"/>
              <c:layout>
                <c:manualLayout>
                  <c:x val="5.35872553236408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67-4645-B343-E60096949208}"/>
                </c:ext>
              </c:extLst>
            </c:dLbl>
            <c:dLbl>
              <c:idx val="6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967-4645-B343-E60096949208}"/>
                </c:ext>
              </c:extLst>
            </c:dLbl>
            <c:dLbl>
              <c:idx val="7"/>
              <c:layout>
                <c:manualLayout>
                  <c:x val="3.949789974303012E-3"/>
                  <c:y val="-4.469269154792950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967-4645-B343-E60096949208}"/>
                </c:ext>
              </c:extLst>
            </c:dLbl>
            <c:dLbl>
              <c:idx val="8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967-4645-B343-E60096949208}"/>
                </c:ext>
              </c:extLst>
            </c:dLbl>
            <c:dLbl>
              <c:idx val="9"/>
              <c:layout>
                <c:manualLayout>
                  <c:x val="4.905968928863450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967-4645-B343-E60096949208}"/>
                </c:ext>
              </c:extLst>
            </c:dLbl>
            <c:dLbl>
              <c:idx val="10"/>
              <c:layout>
                <c:manualLayout>
                  <c:x val="6.54129190515126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967-4645-B343-E60096949208}"/>
                </c:ext>
              </c:extLst>
            </c:dLbl>
            <c:dLbl>
              <c:idx val="11"/>
              <c:layout>
                <c:manualLayout>
                  <c:x val="4.8899755501221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967-4645-B343-E60096949208}"/>
                </c:ext>
              </c:extLst>
            </c:dLbl>
            <c:dLbl>
              <c:idx val="12"/>
              <c:layout>
                <c:manualLayout>
                  <c:x val="4.2268066741832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A3-4648-99C0-708E4D8675E4}"/>
                </c:ext>
              </c:extLst>
            </c:dLbl>
            <c:dLbl>
              <c:idx val="13"/>
              <c:layout>
                <c:manualLayout>
                  <c:x val="4.2268066741831048E-3"/>
                  <c:y val="2.43781133682087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A3-4648-99C0-708E4D8675E4}"/>
                </c:ext>
              </c:extLst>
            </c:dLbl>
            <c:dLbl>
              <c:idx val="14"/>
              <c:layout>
                <c:manualLayout>
                  <c:x val="7.044677790305347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A3-4648-99C0-708E4D8675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('INSC-POSG uni'!$AR$86:$AR$99,'INSC-POSG uni'!$AR$100)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('INSC-POSG uni'!$V$76,'INSC-POSG uni'!$Z$76,'INSC-POSG uni'!$AD$76,'INSC-POSG uni'!$AH$76,'INSC-POSG uni'!$AL$76,'INSC-POSG uni'!$AP$76,'INSC-POSG uni'!$AT$76,'INSC-POSG uni'!$AX$76,'INSC-POSG uni'!$BB$76,'INSC-POSG uni'!$BF$76,'INSC-POSG uni'!$BJ$76,'INSC-POSG uni'!$BN$76,'INSC-POSG uni'!$BR$76,'INSC-POSG uni'!$BV$76,'INSC-POSG uni'!$BZ$76)</c:f>
              <c:numCache>
                <c:formatCode>0</c:formatCode>
                <c:ptCount val="15"/>
                <c:pt idx="0">
                  <c:v>198</c:v>
                </c:pt>
                <c:pt idx="1">
                  <c:v>181</c:v>
                </c:pt>
                <c:pt idx="2">
                  <c:v>224</c:v>
                </c:pt>
                <c:pt idx="3">
                  <c:v>130</c:v>
                </c:pt>
                <c:pt idx="4">
                  <c:v>249</c:v>
                </c:pt>
                <c:pt idx="5" formatCode="#,##0">
                  <c:v>177</c:v>
                </c:pt>
                <c:pt idx="6" formatCode="#,##0">
                  <c:v>219</c:v>
                </c:pt>
                <c:pt idx="7" formatCode="#,##0">
                  <c:v>237</c:v>
                </c:pt>
                <c:pt idx="8" formatCode="#,##0">
                  <c:v>305</c:v>
                </c:pt>
                <c:pt idx="9" formatCode="#,##0">
                  <c:v>283</c:v>
                </c:pt>
                <c:pt idx="10" formatCode="#,##0">
                  <c:v>282</c:v>
                </c:pt>
                <c:pt idx="11" formatCode="#,##0">
                  <c:v>337</c:v>
                </c:pt>
                <c:pt idx="12" formatCode="#,##0">
                  <c:v>312</c:v>
                </c:pt>
                <c:pt idx="13" formatCode="#,##0">
                  <c:v>278</c:v>
                </c:pt>
                <c:pt idx="14" formatCode="#,##0">
                  <c:v>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967-4645-B343-E60096949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shape val="cylinder"/>
        <c:axId val="124899328"/>
        <c:axId val="124900864"/>
        <c:axId val="0"/>
      </c:bar3DChart>
      <c:catAx>
        <c:axId val="1248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4900864"/>
        <c:crosses val="autoZero"/>
        <c:auto val="1"/>
        <c:lblAlgn val="ctr"/>
        <c:lblOffset val="100"/>
        <c:noMultiLvlLbl val="0"/>
      </c:catAx>
      <c:valAx>
        <c:axId val="12490086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489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3778383742858158"/>
          <c:y val="0.96258341691028448"/>
          <c:w val="0.53013623000424259"/>
          <c:h val="3.7416583089715405E-2"/>
        </c:manualLayout>
      </c:layout>
      <c:overlay val="0"/>
      <c:txPr>
        <a:bodyPr/>
        <a:lstStyle/>
        <a:p>
          <a:pPr>
            <a:defRPr sz="105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MATRÍCULA (Inscritos de primer ingreso y Reinscritos) DE POSGRADO por</a:t>
            </a:r>
            <a:r>
              <a:rPr lang="es-MX" sz="1200" b="0" i="1" baseline="0"/>
              <a:t> Unidad</a:t>
            </a:r>
            <a:endParaRPr lang="es-MX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'MATRICULA-POS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4.6843637873228757E-3"/>
                  <c:y val="-6.6782177046387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89-4639-97A4-FB1DC9597BEB}"/>
                </c:ext>
              </c:extLst>
            </c:dLbl>
            <c:dLbl>
              <c:idx val="8"/>
              <c:layout>
                <c:manualLayout>
                  <c:x val="4.6843637873227898E-3"/>
                  <c:y val="-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89-4639-97A4-FB1DC9597BEB}"/>
                </c:ext>
              </c:extLst>
            </c:dLbl>
            <c:dLbl>
              <c:idx val="10"/>
              <c:layout>
                <c:manualLayout>
                  <c:x val="3.5132728404921568E-3"/>
                  <c:y val="-2.22607256821307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89-4639-97A4-FB1DC9597BEB}"/>
                </c:ext>
              </c:extLst>
            </c:dLbl>
            <c:dLbl>
              <c:idx val="11"/>
              <c:layout>
                <c:manualLayout>
                  <c:x val="5.8554547341535092E-3"/>
                  <c:y val="-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89-4639-97A4-FB1DC9597BEB}"/>
                </c:ext>
              </c:extLst>
            </c:dLbl>
            <c:dLbl>
              <c:idx val="12"/>
              <c:layout>
                <c:manualLayout>
                  <c:x val="4.6843637873227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89-4639-97A4-FB1DC9597BEB}"/>
                </c:ext>
              </c:extLst>
            </c:dLbl>
            <c:dLbl>
              <c:idx val="13"/>
              <c:layout>
                <c:manualLayout>
                  <c:x val="3.5132728404921568E-3"/>
                  <c:y val="-1.6324343586684554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89-4639-97A4-FB1DC9597BEB}"/>
                </c:ext>
              </c:extLst>
            </c:dLbl>
            <c:dLbl>
              <c:idx val="14"/>
              <c:layout>
                <c:manualLayout>
                  <c:x val="4.6843637873228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89-4639-97A4-FB1DC9597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uni'!$U$84:$U$97,'MATRICULA-POS uni'!$U$98)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uni'!$E$21,'MATRICULA-POS uni'!$H$21,'MATRICULA-POS uni'!$K$21,'MATRICULA-POS uni'!$N$21,'MATRICULA-POS uni'!$Q$21,'MATRICULA-POS uni'!$T$21,'MATRICULA-POS uni'!$W$21,'MATRICULA-POS uni'!$Z$21,'MATRICULA-POS uni'!$AC$21,'MATRICULA-POS uni'!$AF$21,'MATRICULA-POS uni'!$AI$21,'MATRICULA-POS uni'!$AL$21,'MATRICULA-POS uni'!$AO$21,'MATRICULA-POS uni'!$AR$21,'MATRICULA-POS uni'!$AU$21)</c:f>
              <c:numCache>
                <c:formatCode>#,##0</c:formatCode>
                <c:ptCount val="15"/>
                <c:pt idx="0">
                  <c:v>226</c:v>
                </c:pt>
                <c:pt idx="1">
                  <c:v>269</c:v>
                </c:pt>
                <c:pt idx="2">
                  <c:v>281</c:v>
                </c:pt>
                <c:pt idx="3">
                  <c:v>288</c:v>
                </c:pt>
                <c:pt idx="4">
                  <c:v>365</c:v>
                </c:pt>
                <c:pt idx="5">
                  <c:v>365</c:v>
                </c:pt>
                <c:pt idx="6">
                  <c:v>469</c:v>
                </c:pt>
                <c:pt idx="7">
                  <c:v>519</c:v>
                </c:pt>
                <c:pt idx="8">
                  <c:v>416</c:v>
                </c:pt>
                <c:pt idx="9">
                  <c:v>450</c:v>
                </c:pt>
                <c:pt idx="10">
                  <c:v>469</c:v>
                </c:pt>
                <c:pt idx="11">
                  <c:v>597</c:v>
                </c:pt>
                <c:pt idx="12">
                  <c:v>509</c:v>
                </c:pt>
                <c:pt idx="13">
                  <c:v>548</c:v>
                </c:pt>
                <c:pt idx="14">
                  <c:v>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F-4754-8980-AAB9B629C7F1}"/>
            </c:ext>
          </c:extLst>
        </c:ser>
        <c:ser>
          <c:idx val="1"/>
          <c:order val="1"/>
          <c:tx>
            <c:strRef>
              <c:f>'MATRICULA-POS uni'!$A$35:$A$38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3.3399144956069798E-3"/>
                  <c:y val="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DF-4754-8980-AAB9B629C7F1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DF-4754-8980-AAB9B629C7F1}"/>
                </c:ext>
              </c:extLst>
            </c:dLbl>
            <c:dLbl>
              <c:idx val="10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DF-4754-8980-AAB9B629C7F1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DF-4754-8980-AAB9B629C7F1}"/>
                </c:ext>
              </c:extLst>
            </c:dLbl>
            <c:dLbl>
              <c:idx val="13"/>
              <c:layout>
                <c:manualLayout>
                  <c:x val="4.6843637873228757E-3"/>
                  <c:y val="-4.4521451364258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89-4639-97A4-FB1DC9597BEB}"/>
                </c:ext>
              </c:extLst>
            </c:dLbl>
            <c:dLbl>
              <c:idx val="14"/>
              <c:layout>
                <c:manualLayout>
                  <c:x val="4.6843637873228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9-4639-97A4-FB1DC9597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uni'!$U$84:$U$97,'MATRICULA-POS uni'!$U$98)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uni'!$E$38,'MATRICULA-POS uni'!$H$38,'MATRICULA-POS uni'!$K$38,'MATRICULA-POS uni'!$N$38,'MATRICULA-POS uni'!$Q$38,'MATRICULA-POS uni'!$T$38,'MATRICULA-POS uni'!$W$38,'MATRICULA-POS uni'!$Z$38,'MATRICULA-POS uni'!$AC$38,'MATRICULA-POS uni'!$AF$38,'MATRICULA-POS uni'!$AI$38,'MATRICULA-POS uni'!$AL$38,'MATRICULA-POS uni'!$AO$38,'MATRICULA-POS uni'!$AR$38,'MATRICULA-POS uni'!$AU$38)</c:f>
              <c:numCache>
                <c:formatCode>#,##0</c:formatCode>
                <c:ptCount val="15"/>
                <c:pt idx="8">
                  <c:v>30</c:v>
                </c:pt>
                <c:pt idx="9">
                  <c:v>80</c:v>
                </c:pt>
                <c:pt idx="10">
                  <c:v>123</c:v>
                </c:pt>
                <c:pt idx="11">
                  <c:v>160</c:v>
                </c:pt>
                <c:pt idx="12">
                  <c:v>201</c:v>
                </c:pt>
                <c:pt idx="13">
                  <c:v>210</c:v>
                </c:pt>
                <c:pt idx="14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DF-4754-8980-AAB9B629C7F1}"/>
            </c:ext>
          </c:extLst>
        </c:ser>
        <c:ser>
          <c:idx val="2"/>
          <c:order val="2"/>
          <c:tx>
            <c:strRef>
              <c:f>'MATRICULA-POS uni'!$A$52:$A$55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1"/>
              <c:layout>
                <c:manualLayout>
                  <c:x val="4.68436378732287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89-4639-97A4-FB1DC9597BEB}"/>
                </c:ext>
              </c:extLst>
            </c:dLbl>
            <c:dLbl>
              <c:idx val="2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89-4639-97A4-FB1DC9597BEB}"/>
                </c:ext>
              </c:extLst>
            </c:dLbl>
            <c:dLbl>
              <c:idx val="3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89-4639-97A4-FB1DC9597BEB}"/>
                </c:ext>
              </c:extLst>
            </c:dLbl>
            <c:dLbl>
              <c:idx val="4"/>
              <c:layout>
                <c:manualLayout>
                  <c:x val="5.85545473415355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89-4639-97A4-FB1DC9597BEB}"/>
                </c:ext>
              </c:extLst>
            </c:dLbl>
            <c:dLbl>
              <c:idx val="5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89-4639-97A4-FB1DC9597BEB}"/>
                </c:ext>
              </c:extLst>
            </c:dLbl>
            <c:dLbl>
              <c:idx val="6"/>
              <c:layout>
                <c:manualLayout>
                  <c:x val="4.68436378732278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89-4639-97A4-FB1DC9597BEB}"/>
                </c:ext>
              </c:extLst>
            </c:dLbl>
            <c:dLbl>
              <c:idx val="7"/>
              <c:layout>
                <c:manualLayout>
                  <c:x val="4.6843637873228757E-3"/>
                  <c:y val="2.22607256821282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89-4639-97A4-FB1DC9597BEB}"/>
                </c:ext>
              </c:extLst>
            </c:dLbl>
            <c:dLbl>
              <c:idx val="8"/>
              <c:layout>
                <c:manualLayout>
                  <c:x val="4.6843637873228757E-3"/>
                  <c:y val="-2.2260725682129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89-4639-97A4-FB1DC9597BEB}"/>
                </c:ext>
              </c:extLst>
            </c:dLbl>
            <c:dLbl>
              <c:idx val="9"/>
              <c:layout>
                <c:manualLayout>
                  <c:x val="4.6843637873228757E-3"/>
                  <c:y val="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89-4639-97A4-FB1DC9597BEB}"/>
                </c:ext>
              </c:extLst>
            </c:dLbl>
            <c:dLbl>
              <c:idx val="10"/>
              <c:layout>
                <c:manualLayout>
                  <c:x val="4.6843637873228757E-3"/>
                  <c:y val="-8.16217179334227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89-4639-97A4-FB1DC9597BEB}"/>
                </c:ext>
              </c:extLst>
            </c:dLbl>
            <c:dLbl>
              <c:idx val="11"/>
              <c:layout>
                <c:manualLayout>
                  <c:x val="7.02654568098422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89-4639-97A4-FB1DC9597BEB}"/>
                </c:ext>
              </c:extLst>
            </c:dLbl>
            <c:dLbl>
              <c:idx val="12"/>
              <c:layout>
                <c:manualLayout>
                  <c:x val="5.85545473415342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9-4639-97A4-FB1DC9597BEB}"/>
                </c:ext>
              </c:extLst>
            </c:dLbl>
            <c:dLbl>
              <c:idx val="13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89-4639-97A4-FB1DC9597BEB}"/>
                </c:ext>
              </c:extLst>
            </c:dLbl>
            <c:dLbl>
              <c:idx val="14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9-4639-97A4-FB1DC9597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uni'!$U$84:$U$97,'MATRICULA-POS uni'!$U$98)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uni'!$E$55,'MATRICULA-POS uni'!$H$55,'MATRICULA-POS uni'!$K$55,'MATRICULA-POS uni'!$N$55,'MATRICULA-POS uni'!$Q$55,'MATRICULA-POS uni'!$T$55,'MATRICULA-POS uni'!$W$55,'MATRICULA-POS uni'!$Z$55,'MATRICULA-POS uni'!$AC$55,'MATRICULA-POS uni'!$AF$55,'MATRICULA-POS uni'!$AI$55,'MATRICULA-POS uni'!$AL$55,'MATRICULA-POS uni'!$AO$55,'MATRICULA-POS uni'!$AR$55,'MATRICULA-POS uni'!$AU$55)</c:f>
              <c:numCache>
                <c:formatCode>#,##0</c:formatCode>
                <c:ptCount val="15"/>
                <c:pt idx="0">
                  <c:v>950</c:v>
                </c:pt>
                <c:pt idx="1">
                  <c:v>947</c:v>
                </c:pt>
                <c:pt idx="2">
                  <c:v>930</c:v>
                </c:pt>
                <c:pt idx="3">
                  <c:v>1022</c:v>
                </c:pt>
                <c:pt idx="4">
                  <c:v>1091</c:v>
                </c:pt>
                <c:pt idx="5">
                  <c:v>1252</c:v>
                </c:pt>
                <c:pt idx="6">
                  <c:v>1303</c:v>
                </c:pt>
                <c:pt idx="7">
                  <c:v>1434</c:v>
                </c:pt>
                <c:pt idx="8">
                  <c:v>1552</c:v>
                </c:pt>
                <c:pt idx="9">
                  <c:v>1522</c:v>
                </c:pt>
                <c:pt idx="10">
                  <c:v>1616</c:v>
                </c:pt>
                <c:pt idx="11">
                  <c:v>1679</c:v>
                </c:pt>
                <c:pt idx="12">
                  <c:v>1657</c:v>
                </c:pt>
                <c:pt idx="13">
                  <c:v>1551</c:v>
                </c:pt>
                <c:pt idx="14">
                  <c:v>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DF-4754-8980-AAB9B629C7F1}"/>
            </c:ext>
          </c:extLst>
        </c:ser>
        <c:ser>
          <c:idx val="3"/>
          <c:order val="3"/>
          <c:tx>
            <c:strRef>
              <c:f>'MATRICULA-POS uni'!$A$69:$A$72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132728404921568E-3"/>
                  <c:y val="-4.4521451364258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89-4639-97A4-FB1DC9597BEB}"/>
                </c:ext>
              </c:extLst>
            </c:dLbl>
            <c:dLbl>
              <c:idx val="1"/>
              <c:layout>
                <c:manualLayout>
                  <c:x val="5.8554547341535734E-3"/>
                  <c:y val="-4.45214513642582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89-4639-97A4-FB1DC9597BEB}"/>
                </c:ext>
              </c:extLst>
            </c:dLbl>
            <c:dLbl>
              <c:idx val="2"/>
              <c:layout>
                <c:manualLayout>
                  <c:x val="3.5132728404921785E-3"/>
                  <c:y val="-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89-4639-97A4-FB1DC9597BEB}"/>
                </c:ext>
              </c:extLst>
            </c:dLbl>
            <c:dLbl>
              <c:idx val="3"/>
              <c:layout>
                <c:manualLayout>
                  <c:x val="5.8554547341535951E-3"/>
                  <c:y val="-2.2260725682129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89-4639-97A4-FB1DC9597BEB}"/>
                </c:ext>
              </c:extLst>
            </c:dLbl>
            <c:dLbl>
              <c:idx val="4"/>
              <c:layout>
                <c:manualLayout>
                  <c:x val="7.0265456809843136E-3"/>
                  <c:y val="-4.4521451364259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89-4639-97A4-FB1DC9597BEB}"/>
                </c:ext>
              </c:extLst>
            </c:dLbl>
            <c:dLbl>
              <c:idx val="5"/>
              <c:layout>
                <c:manualLayout>
                  <c:x val="5.8554547341535517E-3"/>
                  <c:y val="-6.67821770463873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89-4639-97A4-FB1DC9597BEB}"/>
                </c:ext>
              </c:extLst>
            </c:dLbl>
            <c:dLbl>
              <c:idx val="6"/>
              <c:layout>
                <c:manualLayout>
                  <c:x val="4.6843637873228757E-3"/>
                  <c:y val="-2.22607256821299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89-4639-97A4-FB1DC9597BEB}"/>
                </c:ext>
              </c:extLst>
            </c:dLbl>
            <c:dLbl>
              <c:idx val="7"/>
              <c:layout>
                <c:manualLayout>
                  <c:x val="5.8554547341535092E-3"/>
                  <c:y val="-4.08108589667113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89-4639-97A4-FB1DC9597BEB}"/>
                </c:ext>
              </c:extLst>
            </c:dLbl>
            <c:dLbl>
              <c:idx val="8"/>
              <c:layout>
                <c:manualLayout>
                  <c:x val="4.68436378732278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89-4639-97A4-FB1DC9597BEB}"/>
                </c:ext>
              </c:extLst>
            </c:dLbl>
            <c:dLbl>
              <c:idx val="9"/>
              <c:layout>
                <c:manualLayout>
                  <c:x val="8.1976366278150321E-3"/>
                  <c:y val="-4.08108589667113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89-4639-97A4-FB1DC9597BEB}"/>
                </c:ext>
              </c:extLst>
            </c:dLbl>
            <c:dLbl>
              <c:idx val="10"/>
              <c:layout>
                <c:manualLayout>
                  <c:x val="5.8554547341535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89-4639-97A4-FB1DC9597BEB}"/>
                </c:ext>
              </c:extLst>
            </c:dLbl>
            <c:dLbl>
              <c:idx val="11"/>
              <c:layout>
                <c:manualLayout>
                  <c:x val="4.68436378732270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89-4639-97A4-FB1DC9597BEB}"/>
                </c:ext>
              </c:extLst>
            </c:dLbl>
            <c:dLbl>
              <c:idx val="12"/>
              <c:layout>
                <c:manualLayout>
                  <c:x val="3.513272840491985E-3"/>
                  <c:y val="-2.22607256821291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89-4639-97A4-FB1DC9597BEB}"/>
                </c:ext>
              </c:extLst>
            </c:dLbl>
            <c:dLbl>
              <c:idx val="13"/>
              <c:layout>
                <c:manualLayout>
                  <c:x val="4.6843637873228757E-3"/>
                  <c:y val="-8.90429027285168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89-4639-97A4-FB1DC9597BEB}"/>
                </c:ext>
              </c:extLst>
            </c:dLbl>
            <c:dLbl>
              <c:idx val="14"/>
              <c:layout>
                <c:manualLayout>
                  <c:x val="7.026545680984313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89-4639-97A4-FB1DC9597B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('MATRICULA-POS uni'!$U$84:$U$97,'MATRICULA-POS uni'!$U$98)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uni'!$E$72,'MATRICULA-POS uni'!$H$72,'MATRICULA-POS uni'!$K$72,'MATRICULA-POS uni'!$N$72,'MATRICULA-POS uni'!$Q$72,'MATRICULA-POS uni'!$T$72,'MATRICULA-POS uni'!$W$72,'MATRICULA-POS uni'!$Z$72,'MATRICULA-POS uni'!$AC$72,'MATRICULA-POS uni'!$AF$72,'MATRICULA-POS uni'!$AI$72,'MATRICULA-POS uni'!$AL$72,'MATRICULA-POS uni'!$AO$72,'MATRICULA-POS uni'!$AR$72,'MATRICULA-POS uni'!$AU$72)</c:f>
              <c:numCache>
                <c:formatCode>#,##0</c:formatCode>
                <c:ptCount val="15"/>
                <c:pt idx="0">
                  <c:v>516</c:v>
                </c:pt>
                <c:pt idx="1">
                  <c:v>476</c:v>
                </c:pt>
                <c:pt idx="2">
                  <c:v>530</c:v>
                </c:pt>
                <c:pt idx="3">
                  <c:v>547</c:v>
                </c:pt>
                <c:pt idx="4">
                  <c:v>590</c:v>
                </c:pt>
                <c:pt idx="5">
                  <c:v>630</c:v>
                </c:pt>
                <c:pt idx="6">
                  <c:v>747</c:v>
                </c:pt>
                <c:pt idx="7">
                  <c:v>685</c:v>
                </c:pt>
                <c:pt idx="8">
                  <c:v>687</c:v>
                </c:pt>
                <c:pt idx="9">
                  <c:v>746</c:v>
                </c:pt>
                <c:pt idx="10">
                  <c:v>739</c:v>
                </c:pt>
                <c:pt idx="11">
                  <c:v>814</c:v>
                </c:pt>
                <c:pt idx="12">
                  <c:v>786</c:v>
                </c:pt>
                <c:pt idx="13">
                  <c:v>795</c:v>
                </c:pt>
                <c:pt idx="14">
                  <c:v>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DF-4754-8980-AAB9B629C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6637952"/>
        <c:axId val="126639488"/>
        <c:axId val="0"/>
      </c:bar3DChart>
      <c:catAx>
        <c:axId val="12663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639488"/>
        <c:crosses val="autoZero"/>
        <c:auto val="1"/>
        <c:lblAlgn val="ctr"/>
        <c:lblOffset val="100"/>
        <c:noMultiLvlLbl val="0"/>
      </c:catAx>
      <c:valAx>
        <c:axId val="12663948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637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596342801028655"/>
          <c:y val="0.93802761366001053"/>
          <c:w val="0.65544507574345179"/>
          <c:h val="4.653262985858439E-2"/>
        </c:manualLayout>
      </c:layout>
      <c:overlay val="0"/>
      <c:txPr>
        <a:bodyPr/>
        <a:lstStyle/>
        <a:p>
          <a:pPr>
            <a:defRPr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s-MX" sz="1200" b="0" i="1" baseline="0">
                <a:effectLst/>
              </a:rPr>
              <a:t>MATRÍCULA (Inscritos de primer ingreso y Reinscritos) DE POSGRADO por nivel</a:t>
            </a:r>
            <a:endParaRPr lang="x-none" sz="12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sideWall>
    <c:backWall>
      <c:thickness val="0"/>
      <c:spPr>
        <a:noFill/>
        <a:ln>
          <a:noFill/>
        </a:ln>
        <a:scene3d>
          <a:camera prst="orthographicFront"/>
          <a:lightRig rig="threePt" dir="t"/>
        </a:scene3d>
        <a:sp3d>
          <a:bevelT w="165100" prst="coolSlant"/>
        </a:sp3d>
      </c:spPr>
    </c:backWall>
    <c:plotArea>
      <c:layout>
        <c:manualLayout>
          <c:layoutTarget val="inner"/>
          <c:xMode val="edge"/>
          <c:yMode val="edge"/>
          <c:x val="1.2923802665652252E-2"/>
          <c:y val="5.5834659990989549E-2"/>
          <c:w val="0.97415239466869552"/>
          <c:h val="0.8328707421066693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'MATRICULA-POS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9925968905904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DC-42DE-ADFD-B610C8033F55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C-42DE-ADFD-B610C8033F55}"/>
                </c:ext>
              </c:extLst>
            </c:dLbl>
            <c:dLbl>
              <c:idx val="2"/>
              <c:layout>
                <c:manualLayout>
                  <c:x val="3.831625331467344E-3"/>
                  <c:y val="-4.53019553679428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C-42DE-ADFD-B610C8033F55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C-42DE-ADFD-B610C8033F55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C-42DE-ADFD-B610C8033F55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DC-42DE-ADFD-B610C8033F55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C-42DE-ADFD-B610C8033F55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C-42DE-ADFD-B610C8033F55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C-42DE-ADFD-B610C8033F55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C-42DE-ADFD-B610C8033F55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DC-42DE-ADFD-B610C8033F55}"/>
                </c:ext>
              </c:extLst>
            </c:dLbl>
            <c:dLbl>
              <c:idx val="1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C-42DE-ADFD-B610C8033F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uni'!$U$84:$U$98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uni'!$E$74,'MATRICULA-POS uni'!$H$74,'MATRICULA-POS uni'!$K$74,'MATRICULA-POS uni'!$N$74,'MATRICULA-POS uni'!$Q$74,'MATRICULA-POS uni'!$T$74,'MATRICULA-POS uni'!$W$74,'MATRICULA-POS uni'!$Z$74,'MATRICULA-POS uni'!$AC$74,'MATRICULA-POS uni'!$AF$74,'MATRICULA-POS uni'!$AI$74,'MATRICULA-POS uni'!$AL$74,'MATRICULA-POS uni'!$AO$74,'MATRICULA-POS uni'!$AR$74,'MATRICULA-POS uni'!$AU$74)</c:f>
              <c:numCache>
                <c:formatCode>#,##0</c:formatCode>
                <c:ptCount val="15"/>
                <c:pt idx="0">
                  <c:v>147</c:v>
                </c:pt>
                <c:pt idx="1">
                  <c:v>195</c:v>
                </c:pt>
                <c:pt idx="2">
                  <c:v>82</c:v>
                </c:pt>
                <c:pt idx="3">
                  <c:v>180</c:v>
                </c:pt>
                <c:pt idx="4">
                  <c:v>253</c:v>
                </c:pt>
                <c:pt idx="5">
                  <c:v>242</c:v>
                </c:pt>
                <c:pt idx="6">
                  <c:v>237</c:v>
                </c:pt>
                <c:pt idx="7">
                  <c:v>283</c:v>
                </c:pt>
                <c:pt idx="8">
                  <c:v>277</c:v>
                </c:pt>
                <c:pt idx="9">
                  <c:v>210</c:v>
                </c:pt>
                <c:pt idx="10">
                  <c:v>200</c:v>
                </c:pt>
                <c:pt idx="11">
                  <c:v>214</c:v>
                </c:pt>
                <c:pt idx="12">
                  <c:v>145</c:v>
                </c:pt>
                <c:pt idx="13">
                  <c:v>112</c:v>
                </c:pt>
                <c:pt idx="14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DC-42DE-ADFD-B610C8033F55}"/>
            </c:ext>
          </c:extLst>
        </c:ser>
        <c:ser>
          <c:idx val="1"/>
          <c:order val="1"/>
          <c:tx>
            <c:strRef>
              <c:f>'MATRICULA-POS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uni'!$U$84:$U$98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uni'!$E$75,'MATRICULA-POS uni'!$H$75,'MATRICULA-POS uni'!$K$75,'MATRICULA-POS uni'!$N$75,'MATRICULA-POS uni'!$Q$75,'MATRICULA-POS uni'!$T$75,'MATRICULA-POS uni'!$W$75,'MATRICULA-POS uni'!$Z$75,'MATRICULA-POS uni'!$AC$75,'MATRICULA-POS uni'!$AF$75,'MATRICULA-POS uni'!$AI$75,'MATRICULA-POS uni'!$AL$75,'MATRICULA-POS uni'!$AO$75,'MATRICULA-POS uni'!$AR$75,'MATRICULA-POS uni'!$AU$75)</c:f>
              <c:numCache>
                <c:formatCode>#,##0</c:formatCode>
                <c:ptCount val="15"/>
                <c:pt idx="0">
                  <c:v>728</c:v>
                </c:pt>
                <c:pt idx="1">
                  <c:v>731</c:v>
                </c:pt>
                <c:pt idx="2">
                  <c:v>832</c:v>
                </c:pt>
                <c:pt idx="3">
                  <c:v>884</c:v>
                </c:pt>
                <c:pt idx="4">
                  <c:v>914</c:v>
                </c:pt>
                <c:pt idx="5">
                  <c:v>1118</c:v>
                </c:pt>
                <c:pt idx="6">
                  <c:v>1231</c:v>
                </c:pt>
                <c:pt idx="7">
                  <c:v>1243</c:v>
                </c:pt>
                <c:pt idx="8">
                  <c:v>1249</c:v>
                </c:pt>
                <c:pt idx="9">
                  <c:v>1418</c:v>
                </c:pt>
                <c:pt idx="10">
                  <c:v>1443</c:v>
                </c:pt>
                <c:pt idx="11">
                  <c:v>1629</c:v>
                </c:pt>
                <c:pt idx="12">
                  <c:v>1629</c:v>
                </c:pt>
                <c:pt idx="13">
                  <c:v>1597</c:v>
                </c:pt>
                <c:pt idx="14">
                  <c:v>1617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CDC-42DE-ADFD-B610C8033F55}"/>
            </c:ext>
          </c:extLst>
        </c:ser>
        <c:ser>
          <c:idx val="2"/>
          <c:order val="2"/>
          <c:tx>
            <c:strRef>
              <c:f>'MATRICULA-POS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'MATRICULA-POS uni'!$U$84:$U$98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('MATRICULA-POS uni'!$E$76,'MATRICULA-POS uni'!$H$76,'MATRICULA-POS uni'!$K$76,'MATRICULA-POS uni'!$N$76,'MATRICULA-POS uni'!$Q$76,'MATRICULA-POS uni'!$T$76,'MATRICULA-POS uni'!$W$76,'MATRICULA-POS uni'!$Z$76,'MATRICULA-POS uni'!$AC$76,'MATRICULA-POS uni'!$AF$76,'MATRICULA-POS uni'!$AI$76,'MATRICULA-POS uni'!$AL$76,'MATRICULA-POS uni'!$AO$76,'MATRICULA-POS uni'!$AR$76,'MATRICULA-POS uni'!$AU$76)</c:f>
              <c:numCache>
                <c:formatCode>#,##0</c:formatCode>
                <c:ptCount val="15"/>
                <c:pt idx="0">
                  <c:v>817</c:v>
                </c:pt>
                <c:pt idx="1">
                  <c:v>766</c:v>
                </c:pt>
                <c:pt idx="2">
                  <c:v>827</c:v>
                </c:pt>
                <c:pt idx="3">
                  <c:v>793</c:v>
                </c:pt>
                <c:pt idx="4">
                  <c:v>879</c:v>
                </c:pt>
                <c:pt idx="5">
                  <c:v>887</c:v>
                </c:pt>
                <c:pt idx="6">
                  <c:v>1051</c:v>
                </c:pt>
                <c:pt idx="7">
                  <c:v>1112</c:v>
                </c:pt>
                <c:pt idx="8">
                  <c:v>1159</c:v>
                </c:pt>
                <c:pt idx="9">
                  <c:v>1170</c:v>
                </c:pt>
                <c:pt idx="10">
                  <c:v>1304</c:v>
                </c:pt>
                <c:pt idx="11">
                  <c:v>1407</c:v>
                </c:pt>
                <c:pt idx="12">
                  <c:v>1379</c:v>
                </c:pt>
                <c:pt idx="13">
                  <c:v>1395</c:v>
                </c:pt>
                <c:pt idx="14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CDC-42DE-ADFD-B610C8033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shape val="cylinder"/>
        <c:axId val="125956864"/>
        <c:axId val="125958400"/>
        <c:axId val="0"/>
      </c:bar3DChart>
      <c:catAx>
        <c:axId val="12595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5958400"/>
        <c:crosses val="autoZero"/>
        <c:auto val="1"/>
        <c:lblAlgn val="ctr"/>
        <c:lblOffset val="100"/>
        <c:noMultiLvlLbl val="0"/>
      </c:catAx>
      <c:valAx>
        <c:axId val="1259584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5956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46978273941453"/>
          <c:y val="0.94178630871099889"/>
          <c:w val="0.56526556249434334"/>
          <c:h val="4.5041609769922442E-2"/>
        </c:manualLayout>
      </c:layout>
      <c:overlay val="0"/>
      <c:txPr>
        <a:bodyPr/>
        <a:lstStyle/>
        <a:p>
          <a:pPr>
            <a:defRPr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 DE POSGRADO QUE REGISTRARON ACTIVIDAD ACADEMICA por Unidad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uni'!$B$88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('ACTIVOS-POS uni'!$D$3:$Q$3,'ACTIVOS-POS uni'!$R$3)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uni'!$D$20:$N$20,'ACTIVOS-POS uni'!$O$20,'ACTIVOS-POS uni'!$P$20,'ACTIVOS-POS uni'!$Q$20,'ACTIVOS-POS uni'!$R$20)</c:f>
              <c:numCache>
                <c:formatCode>#,##0</c:formatCode>
                <c:ptCount val="15"/>
                <c:pt idx="0">
                  <c:v>374</c:v>
                </c:pt>
                <c:pt idx="1">
                  <c:v>381</c:v>
                </c:pt>
                <c:pt idx="2">
                  <c:v>398</c:v>
                </c:pt>
                <c:pt idx="3">
                  <c:v>395</c:v>
                </c:pt>
                <c:pt idx="4">
                  <c:v>510</c:v>
                </c:pt>
                <c:pt idx="5">
                  <c:v>462</c:v>
                </c:pt>
                <c:pt idx="6">
                  <c:v>553</c:v>
                </c:pt>
                <c:pt idx="7">
                  <c:v>599</c:v>
                </c:pt>
                <c:pt idx="8">
                  <c:v>575</c:v>
                </c:pt>
                <c:pt idx="9">
                  <c:v>589</c:v>
                </c:pt>
                <c:pt idx="10">
                  <c:v>607</c:v>
                </c:pt>
                <c:pt idx="11">
                  <c:v>698</c:v>
                </c:pt>
                <c:pt idx="12">
                  <c:v>707</c:v>
                </c:pt>
                <c:pt idx="13">
                  <c:v>727</c:v>
                </c:pt>
                <c:pt idx="14">
                  <c:v>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C-45FB-ADF5-A5138B509C92}"/>
            </c:ext>
          </c:extLst>
        </c:ser>
        <c:ser>
          <c:idx val="1"/>
          <c:order val="1"/>
          <c:tx>
            <c:strRef>
              <c:f>'ACTIVOS-POS uni'!$B$89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25C-45FB-ADF5-A5138B509C92}"/>
                </c:ext>
              </c:extLst>
            </c:dLbl>
            <c:dLbl>
              <c:idx val="9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25C-45FB-ADF5-A5138B509C92}"/>
                </c:ext>
              </c:extLst>
            </c:dLbl>
            <c:dLbl>
              <c:idx val="10"/>
              <c:layout>
                <c:manualLayout>
                  <c:x val="5.5172413793103444E-3"/>
                  <c:y val="-3.50416070798394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25C-45FB-ADF5-A5138B509C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('ACTIVOS-POS uni'!$D$3:$Q$3,'ACTIVOS-POS uni'!$R$3)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uni'!$D$71:$N$71,'ACTIVOS-POS uni'!$O$71,'ACTIVOS-POS uni'!$P$71,'ACTIVOS-POS uni'!$Q$71,'ACTIVOS-POS uni'!$R$71)</c:f>
              <c:numCache>
                <c:formatCode>#,##0</c:formatCode>
                <c:ptCount val="15"/>
                <c:pt idx="8">
                  <c:v>32</c:v>
                </c:pt>
                <c:pt idx="9">
                  <c:v>85</c:v>
                </c:pt>
                <c:pt idx="10">
                  <c:v>138</c:v>
                </c:pt>
                <c:pt idx="11">
                  <c:v>179</c:v>
                </c:pt>
                <c:pt idx="12">
                  <c:v>219</c:v>
                </c:pt>
                <c:pt idx="13">
                  <c:v>253</c:v>
                </c:pt>
                <c:pt idx="14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5C-45FB-ADF5-A5138B509C92}"/>
            </c:ext>
          </c:extLst>
        </c:ser>
        <c:ser>
          <c:idx val="2"/>
          <c:order val="2"/>
          <c:tx>
            <c:strRef>
              <c:f>'ACTIVOS-POS uni'!$B$90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('ACTIVOS-POS uni'!$D$3:$Q$3,'ACTIVOS-POS uni'!$R$3)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uni'!$D$37:$N$37,'ACTIVOS-POS uni'!$O$37,'ACTIVOS-POS uni'!$P$37,'ACTIVOS-POS uni'!$Q$37,'ACTIVOS-POS uni'!$R$37)</c:f>
              <c:numCache>
                <c:formatCode>#,##0</c:formatCode>
                <c:ptCount val="15"/>
                <c:pt idx="0">
                  <c:v>1142</c:v>
                </c:pt>
                <c:pt idx="1">
                  <c:v>1209</c:v>
                </c:pt>
                <c:pt idx="2">
                  <c:v>1213</c:v>
                </c:pt>
                <c:pt idx="3">
                  <c:v>1210</c:v>
                </c:pt>
                <c:pt idx="4">
                  <c:v>1314</c:v>
                </c:pt>
                <c:pt idx="5">
                  <c:v>1459</c:v>
                </c:pt>
                <c:pt idx="6">
                  <c:v>1563</c:v>
                </c:pt>
                <c:pt idx="7">
                  <c:v>1781</c:v>
                </c:pt>
                <c:pt idx="8">
                  <c:v>1821</c:v>
                </c:pt>
                <c:pt idx="9">
                  <c:v>1826</c:v>
                </c:pt>
                <c:pt idx="10">
                  <c:v>1773</c:v>
                </c:pt>
                <c:pt idx="11">
                  <c:v>1875</c:v>
                </c:pt>
                <c:pt idx="12">
                  <c:v>1802</c:v>
                </c:pt>
                <c:pt idx="13">
                  <c:v>1833</c:v>
                </c:pt>
                <c:pt idx="14">
                  <c:v>1717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5C-45FB-ADF5-A5138B509C92}"/>
            </c:ext>
          </c:extLst>
        </c:ser>
        <c:ser>
          <c:idx val="3"/>
          <c:order val="3"/>
          <c:tx>
            <c:strRef>
              <c:f>'ACTIVOS-POS uni'!$B$91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('ACTIVOS-POS uni'!$D$3:$Q$3,'ACTIVOS-POS uni'!$R$3)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uni'!$D$54:$N$54,'ACTIVOS-POS uni'!$O$54,'ACTIVOS-POS uni'!$P$54,'ACTIVOS-POS uni'!$Q$54,'ACTIVOS-POS uni'!$R$54)</c:f>
              <c:numCache>
                <c:formatCode>#,##0</c:formatCode>
                <c:ptCount val="15"/>
                <c:pt idx="0">
                  <c:v>638</c:v>
                </c:pt>
                <c:pt idx="1">
                  <c:v>642</c:v>
                </c:pt>
                <c:pt idx="2">
                  <c:v>645</c:v>
                </c:pt>
                <c:pt idx="3">
                  <c:v>739</c:v>
                </c:pt>
                <c:pt idx="4">
                  <c:v>793</c:v>
                </c:pt>
                <c:pt idx="5">
                  <c:v>823</c:v>
                </c:pt>
                <c:pt idx="6">
                  <c:v>933</c:v>
                </c:pt>
                <c:pt idx="7">
                  <c:v>946</c:v>
                </c:pt>
                <c:pt idx="8">
                  <c:v>952</c:v>
                </c:pt>
                <c:pt idx="9">
                  <c:v>936</c:v>
                </c:pt>
                <c:pt idx="10">
                  <c:v>990</c:v>
                </c:pt>
                <c:pt idx="11">
                  <c:v>956</c:v>
                </c:pt>
                <c:pt idx="12">
                  <c:v>990</c:v>
                </c:pt>
                <c:pt idx="13">
                  <c:v>1029</c:v>
                </c:pt>
                <c:pt idx="14">
                  <c:v>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5C-45FB-ADF5-A5138B509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shape val="cylinder"/>
        <c:axId val="126102528"/>
        <c:axId val="126132992"/>
        <c:axId val="0"/>
      </c:bar3DChart>
      <c:catAx>
        <c:axId val="12610252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6132992"/>
        <c:crosses val="autoZero"/>
        <c:auto val="1"/>
        <c:lblAlgn val="ctr"/>
        <c:lblOffset val="100"/>
        <c:noMultiLvlLbl val="0"/>
      </c:catAx>
      <c:valAx>
        <c:axId val="1261329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102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1958801701511451"/>
          <c:y val="0.92612208330355716"/>
          <c:w val="0.72036405104534351"/>
          <c:h val="6.3365434572491011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DE POSGRADO QUE REGISTRARON ACTIVIDAD ACADEMICA por nivel</a:t>
            </a:r>
            <a:endParaRPr lang="es-MX" sz="1200" b="0" i="1">
              <a:effectLst/>
            </a:endParaRP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'ACTIVOS-POS uni'!$C$73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8A9-4F07-A0F3-A0201E2E5605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8A9-4F07-A0F3-A0201E2E5605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8A9-4F07-A0F3-A0201E2E5605}"/>
                </c:ext>
              </c:extLst>
            </c:dLbl>
            <c:dLbl>
              <c:idx val="3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8A9-4F07-A0F3-A0201E2E5605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8A9-4F07-A0F3-A0201E2E5605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8A9-4F07-A0F3-A0201E2E5605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8A9-4F07-A0F3-A0201E2E5605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28A9-4F07-A0F3-A0201E2E5605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8A9-4F07-A0F3-A0201E2E5605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28A9-4F07-A0F3-A0201E2E5605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8A9-4F07-A0F3-A0201E2E56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'ACTIVOS-POS uni'!$D$3:$R$3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uni'!$D$73:$N$73,'ACTIVOS-POS uni'!$O$73,'ACTIVOS-POS uni'!$P$73,'ACTIVOS-POS uni'!$Q$73,'ACTIVOS-POS uni'!$R$73)</c:f>
              <c:numCache>
                <c:formatCode>#,##0</c:formatCode>
                <c:ptCount val="15"/>
                <c:pt idx="0">
                  <c:v>223</c:v>
                </c:pt>
                <c:pt idx="1">
                  <c:v>282</c:v>
                </c:pt>
                <c:pt idx="2">
                  <c:v>225</c:v>
                </c:pt>
                <c:pt idx="3">
                  <c:v>254</c:v>
                </c:pt>
                <c:pt idx="4">
                  <c:v>336</c:v>
                </c:pt>
                <c:pt idx="5">
                  <c:v>322</c:v>
                </c:pt>
                <c:pt idx="6">
                  <c:v>365</c:v>
                </c:pt>
                <c:pt idx="7">
                  <c:v>394</c:v>
                </c:pt>
                <c:pt idx="8">
                  <c:v>363</c:v>
                </c:pt>
                <c:pt idx="9">
                  <c:v>349</c:v>
                </c:pt>
                <c:pt idx="10">
                  <c:v>221</c:v>
                </c:pt>
                <c:pt idx="11">
                  <c:v>221</c:v>
                </c:pt>
                <c:pt idx="12">
                  <c:v>190</c:v>
                </c:pt>
                <c:pt idx="13">
                  <c:v>145</c:v>
                </c:pt>
                <c:pt idx="14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8A9-4F07-A0F3-A0201E2E5605}"/>
            </c:ext>
          </c:extLst>
        </c:ser>
        <c:ser>
          <c:idx val="1"/>
          <c:order val="1"/>
          <c:tx>
            <c:strRef>
              <c:f>'ACTIVOS-POS uni'!$C$74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'ACTIVOS-POS uni'!$D$3:$R$3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uni'!$D$74:$N$74,'ACTIVOS-POS uni'!$O$74,'ACTIVOS-POS uni'!$P$74,'ACTIVOS-POS uni'!$Q$74,'ACTIVOS-POS uni'!$R$74)</c:f>
              <c:numCache>
                <c:formatCode>#,##0</c:formatCode>
                <c:ptCount val="15"/>
                <c:pt idx="0">
                  <c:v>956</c:v>
                </c:pt>
                <c:pt idx="1">
                  <c:v>1012</c:v>
                </c:pt>
                <c:pt idx="2">
                  <c:v>1073</c:v>
                </c:pt>
                <c:pt idx="3">
                  <c:v>1172</c:v>
                </c:pt>
                <c:pt idx="4">
                  <c:v>1232</c:v>
                </c:pt>
                <c:pt idx="5">
                  <c:v>1404</c:v>
                </c:pt>
                <c:pt idx="6">
                  <c:v>1561</c:v>
                </c:pt>
                <c:pt idx="7">
                  <c:v>1630</c:v>
                </c:pt>
                <c:pt idx="8">
                  <c:v>1625</c:v>
                </c:pt>
                <c:pt idx="9">
                  <c:v>1759</c:v>
                </c:pt>
                <c:pt idx="10">
                  <c:v>1791</c:v>
                </c:pt>
                <c:pt idx="11">
                  <c:v>1914</c:v>
                </c:pt>
                <c:pt idx="12">
                  <c:v>1943</c:v>
                </c:pt>
                <c:pt idx="13">
                  <c:v>2078</c:v>
                </c:pt>
                <c:pt idx="14">
                  <c:v>2026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A9-4F07-A0F3-A0201E2E5605}"/>
            </c:ext>
          </c:extLst>
        </c:ser>
        <c:ser>
          <c:idx val="2"/>
          <c:order val="2"/>
          <c:tx>
            <c:strRef>
              <c:f>'ACTIVOS-POS uni'!$C$75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'ACTIVOS-POS uni'!$D$3:$R$3</c:f>
              <c:numCache>
                <c:formatCode>0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('ACTIVOS-POS uni'!$D$75:$N$75,'ACTIVOS-POS uni'!$O$75,'ACTIVOS-POS uni'!$P$75,'ACTIVOS-POS uni'!$Q$75,'ACTIVOS-POS uni'!$R$75)</c:f>
              <c:numCache>
                <c:formatCode>#,##0</c:formatCode>
                <c:ptCount val="15"/>
                <c:pt idx="0">
                  <c:v>975</c:v>
                </c:pt>
                <c:pt idx="1">
                  <c:v>938</c:v>
                </c:pt>
                <c:pt idx="2">
                  <c:v>958</c:v>
                </c:pt>
                <c:pt idx="3">
                  <c:v>918</c:v>
                </c:pt>
                <c:pt idx="4">
                  <c:v>1049</c:v>
                </c:pt>
                <c:pt idx="5">
                  <c:v>1018</c:v>
                </c:pt>
                <c:pt idx="6">
                  <c:v>1123</c:v>
                </c:pt>
                <c:pt idx="7">
                  <c:v>1302</c:v>
                </c:pt>
                <c:pt idx="8">
                  <c:v>1392</c:v>
                </c:pt>
                <c:pt idx="9">
                  <c:v>1328</c:v>
                </c:pt>
                <c:pt idx="10">
                  <c:v>1496</c:v>
                </c:pt>
                <c:pt idx="11">
                  <c:v>1573</c:v>
                </c:pt>
                <c:pt idx="12">
                  <c:v>1585</c:v>
                </c:pt>
                <c:pt idx="13">
                  <c:v>1619</c:v>
                </c:pt>
                <c:pt idx="14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8A9-4F07-A0F3-A0201E2E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6559744"/>
        <c:axId val="126561280"/>
        <c:axId val="0"/>
      </c:bar3DChart>
      <c:catAx>
        <c:axId val="12655974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26561280"/>
        <c:crosses val="autoZero"/>
        <c:auto val="1"/>
        <c:lblAlgn val="ctr"/>
        <c:lblOffset val="100"/>
        <c:noMultiLvlLbl val="0"/>
      </c:catAx>
      <c:valAx>
        <c:axId val="12656128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559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28325753173983"/>
          <c:y val="0.92209794943515255"/>
          <c:w val="0.56526556249434334"/>
          <c:h val="5.6877087444361436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ESTUDIANTES QUE TERMINARON ESTUDIOS DE POSGRADO por Unidad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uni'!$A$18:$A$21</c:f>
              <c:strCache>
                <c:ptCount val="1"/>
                <c:pt idx="0">
                  <c:v>Unidad 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uni'!$V$21,'EGRESO-POs uni'!$Z$21,'EGRESO-POs uni'!$AD$21,'EGRESO-POs uni'!$AH$21,'EGRESO-POs uni'!$AL$21,'EGRESO-POs uni'!$AP$21,'EGRESO-POs uni'!$AT$21,'EGRESO-POs uni'!$AX$21,'EGRESO-POs uni'!$BB$21,'EGRESO-POs uni'!$BF$21,'EGRESO-POs uni'!$BJ$21,'EGRESO-POs uni'!$BN$21,'EGRESO-POs uni'!$BR$21,'EGRESO-POs uni'!$BV$21,'EGRESO-POs uni'!$BZ$21)</c:f>
              <c:numCache>
                <c:formatCode>0</c:formatCode>
                <c:ptCount val="15"/>
                <c:pt idx="0">
                  <c:v>69</c:v>
                </c:pt>
                <c:pt idx="1">
                  <c:v>84</c:v>
                </c:pt>
                <c:pt idx="2">
                  <c:v>103</c:v>
                </c:pt>
                <c:pt idx="3">
                  <c:v>107</c:v>
                </c:pt>
                <c:pt idx="4">
                  <c:v>97</c:v>
                </c:pt>
                <c:pt idx="5" formatCode="#,##0">
                  <c:v>84</c:v>
                </c:pt>
                <c:pt idx="6" formatCode="#,##0">
                  <c:v>121</c:v>
                </c:pt>
                <c:pt idx="7" formatCode="#,##0">
                  <c:v>104</c:v>
                </c:pt>
                <c:pt idx="8" formatCode="#,##0">
                  <c:v>158</c:v>
                </c:pt>
                <c:pt idx="9" formatCode="#,##0">
                  <c:v>121</c:v>
                </c:pt>
                <c:pt idx="10" formatCode="#,##0">
                  <c:v>154</c:v>
                </c:pt>
                <c:pt idx="11" formatCode="#,##0">
                  <c:v>138</c:v>
                </c:pt>
                <c:pt idx="12" formatCode="#,##0">
                  <c:v>105</c:v>
                </c:pt>
                <c:pt idx="13" formatCode="#,##0">
                  <c:v>158</c:v>
                </c:pt>
                <c:pt idx="14" formatCode="#,##0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6C-4160-AFFD-33C5F54B1704}"/>
            </c:ext>
          </c:extLst>
        </c:ser>
        <c:ser>
          <c:idx val="1"/>
          <c:order val="1"/>
          <c:tx>
            <c:strRef>
              <c:f>'EGRESO-POs uni'!$A$69:$A$72</c:f>
              <c:strCache>
                <c:ptCount val="1"/>
                <c:pt idx="0">
                  <c:v>Unidad 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152400" h="50800" prst="softRound"/>
            </a:sp3d>
          </c:spPr>
          <c:invertIfNegative val="0"/>
          <c:dLbls>
            <c:dLbl>
              <c:idx val="10"/>
              <c:layout>
                <c:manualLayout>
                  <c:x val="7.3698761000463176E-3"/>
                  <c:y val="3.5041607079839407E-3"/>
                </c:manualLayout>
              </c:layout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C-4160-AFFD-33C5F54B1704}"/>
                </c:ext>
              </c:extLst>
            </c:dLbl>
            <c:dLbl>
              <c:idx val="11"/>
              <c:spPr/>
              <c:txPr>
                <a:bodyPr/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136-4771-BDAA-0137295BCC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uni'!$V$72,'EGRESO-POs uni'!$Z$72,'EGRESO-POs uni'!$AD$72,'EGRESO-POs uni'!$AH$72,'EGRESO-POs uni'!$AL$72,'EGRESO-POs uni'!$AP$72,'EGRESO-POs uni'!$AT$72,'EGRESO-POs uni'!$AX$72,'EGRESO-POs uni'!$BB$72,'EGRESO-POs uni'!$BF$72,'EGRESO-POs uni'!$BJ$72,'EGRESO-POs uni'!$BN$72,'EGRESO-POs uni'!$BR$72,'EGRESO-POs uni'!$BV$72,'EGRESO-POs uni'!$BZ$72)</c:f>
              <c:numCache>
                <c:formatCode>0</c:formatCode>
                <c:ptCount val="15"/>
                <c:pt idx="10" formatCode="#,##0">
                  <c:v>12</c:v>
                </c:pt>
                <c:pt idx="11" formatCode="#,##0">
                  <c:v>19</c:v>
                </c:pt>
                <c:pt idx="12" formatCode="#,##0">
                  <c:v>31</c:v>
                </c:pt>
                <c:pt idx="13" formatCode="#,##0">
                  <c:v>41</c:v>
                </c:pt>
                <c:pt idx="14" formatCode="#,##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6C-4160-AFFD-33C5F54B1704}"/>
            </c:ext>
          </c:extLst>
        </c:ser>
        <c:ser>
          <c:idx val="2"/>
          <c:order val="2"/>
          <c:tx>
            <c:strRef>
              <c:f>'EGRESO-POs uni'!$A$35:$A$38</c:f>
              <c:strCache>
                <c:ptCount val="1"/>
                <c:pt idx="0">
                  <c:v>Unidad 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uni'!$V$38,'EGRESO-POs uni'!$Z$38,'EGRESO-POs uni'!$AD$38,'EGRESO-POs uni'!$AH$38,'EGRESO-POs uni'!$AL$38,'EGRESO-POs uni'!$AP$38,'EGRESO-POs uni'!$AT$38,'EGRESO-POs uni'!$AX$38,'EGRESO-POs uni'!$BB$38,'EGRESO-POs uni'!$BF$38,'EGRESO-POs uni'!$BJ$38,'EGRESO-POs uni'!$BN$38,'EGRESO-POs uni'!$BR$38,'EGRESO-POs uni'!$BV$38,'EGRESO-POs uni'!$BZ$38)</c:f>
              <c:numCache>
                <c:formatCode>0</c:formatCode>
                <c:ptCount val="15"/>
                <c:pt idx="0">
                  <c:v>196</c:v>
                </c:pt>
                <c:pt idx="1">
                  <c:v>255</c:v>
                </c:pt>
                <c:pt idx="2">
                  <c:v>234</c:v>
                </c:pt>
                <c:pt idx="3">
                  <c:v>277</c:v>
                </c:pt>
                <c:pt idx="4">
                  <c:v>238</c:v>
                </c:pt>
                <c:pt idx="5" formatCode="#,##0">
                  <c:v>283</c:v>
                </c:pt>
                <c:pt idx="6" formatCode="#,##0">
                  <c:v>304</c:v>
                </c:pt>
                <c:pt idx="7" formatCode="#,##0">
                  <c:v>335</c:v>
                </c:pt>
                <c:pt idx="8" formatCode="#,##0">
                  <c:v>437</c:v>
                </c:pt>
                <c:pt idx="9" formatCode="#,##0">
                  <c:v>377</c:v>
                </c:pt>
                <c:pt idx="10" formatCode="#,##0">
                  <c:v>341</c:v>
                </c:pt>
                <c:pt idx="11" formatCode="#,##0">
                  <c:v>437</c:v>
                </c:pt>
                <c:pt idx="12" formatCode="#,##0">
                  <c:v>282</c:v>
                </c:pt>
                <c:pt idx="13" formatCode="#,##0">
                  <c:v>424</c:v>
                </c:pt>
                <c:pt idx="14" formatCode="#,##0">
                  <c:v>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16C-4160-AFFD-33C5F54B1704}"/>
            </c:ext>
          </c:extLst>
        </c:ser>
        <c:ser>
          <c:idx val="3"/>
          <c:order val="3"/>
          <c:tx>
            <c:strRef>
              <c:f>'EGRESO-POs uni'!$A$52:$A$55</c:f>
              <c:strCache>
                <c:ptCount val="1"/>
                <c:pt idx="0">
                  <c:v>Unidad 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uni'!$V$55,'EGRESO-POs uni'!$Z$55,'EGRESO-POs uni'!$AD$55,'EGRESO-POs uni'!$AH$55,'EGRESO-POs uni'!$AL$55,'EGRESO-POs uni'!$AP$55,'EGRESO-POs uni'!$AT$55,'EGRESO-POs uni'!$AX$55,'EGRESO-POs uni'!$BB$55,'EGRESO-POs uni'!$BF$55,'EGRESO-POs uni'!$BJ$55,'EGRESO-POs uni'!$BN$55,'EGRESO-POs uni'!$BR$55,'EGRESO-POs uni'!$BV$55,'EGRESO-POs uni'!$BZ$55)</c:f>
              <c:numCache>
                <c:formatCode>0</c:formatCode>
                <c:ptCount val="15"/>
                <c:pt idx="0">
                  <c:v>124</c:v>
                </c:pt>
                <c:pt idx="1">
                  <c:v>136</c:v>
                </c:pt>
                <c:pt idx="2">
                  <c:v>164</c:v>
                </c:pt>
                <c:pt idx="3">
                  <c:v>137</c:v>
                </c:pt>
                <c:pt idx="4">
                  <c:v>205</c:v>
                </c:pt>
                <c:pt idx="5" formatCode="#,##0">
                  <c:v>195</c:v>
                </c:pt>
                <c:pt idx="6" formatCode="#,##0">
                  <c:v>202</c:v>
                </c:pt>
                <c:pt idx="7" formatCode="#,##0">
                  <c:v>298</c:v>
                </c:pt>
                <c:pt idx="8" formatCode="#,##0">
                  <c:v>266</c:v>
                </c:pt>
                <c:pt idx="9" formatCode="#,##0">
                  <c:v>165</c:v>
                </c:pt>
                <c:pt idx="10" formatCode="#,##0">
                  <c:v>225</c:v>
                </c:pt>
                <c:pt idx="11" formatCode="#,##0">
                  <c:v>221</c:v>
                </c:pt>
                <c:pt idx="12" formatCode="#,##0">
                  <c:v>241</c:v>
                </c:pt>
                <c:pt idx="13" formatCode="#,##0">
                  <c:v>201</c:v>
                </c:pt>
                <c:pt idx="14" formatCode="#,##0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16C-4160-AFFD-33C5F54B1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778624"/>
        <c:axId val="128780160"/>
        <c:axId val="0"/>
      </c:bar3DChart>
      <c:catAx>
        <c:axId val="1287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780160"/>
        <c:crosses val="autoZero"/>
        <c:auto val="1"/>
        <c:lblAlgn val="ctr"/>
        <c:lblOffset val="100"/>
        <c:noMultiLvlLbl val="0"/>
      </c:catAx>
      <c:valAx>
        <c:axId val="1287801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8778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2278978034055495"/>
          <c:y val="0.95914202158685613"/>
          <c:w val="0.73431946723676744"/>
          <c:h val="3.6157669858096673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ESTUDIANTES QUE TERMINARON ESTUDIOS DE POSGRADO por nivel</a:t>
            </a:r>
            <a:endParaRPr lang="es-MX" sz="1200" b="0" i="1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uni'!$B$74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B1-4BEA-AC69-9440389D1243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B1-4BEA-AC69-9440389D1243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B1-4BEA-AC69-9440389D1243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B1-4BEA-AC69-9440389D1243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B1-4BEA-AC69-9440389D1243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B1-4BEA-AC69-9440389D1243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B1-4BEA-AC69-9440389D1243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B1-4BEA-AC69-9440389D1243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B1-4BEA-AC69-9440389D1243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B1-4BEA-AC69-9440389D1243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B1-4BEA-AC69-9440389D1243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B1-4BEA-AC69-9440389D1243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B1-4BEA-AC69-9440389D1243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B1-4BEA-AC69-9440389D1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uni'!$V$74,'EGRESO-POs uni'!$Z$74,'EGRESO-POs uni'!$AD$74,'EGRESO-POs uni'!$AH$74,'EGRESO-POs uni'!$AL$74,'EGRESO-POs uni'!$AP$74,'EGRESO-POs uni'!$AT$74,'EGRESO-POs uni'!$AX$74,'EGRESO-POs uni'!$BB$74,'EGRESO-POs uni'!$BF$74,'EGRESO-POs uni'!$BJ$74,'EGRESO-POs uni'!$BN$74,'EGRESO-POs uni'!$BR$74,'EGRESO-POs uni'!$BV$74,'EGRESO-POs uni'!$BZ$74)</c:f>
              <c:numCache>
                <c:formatCode>0</c:formatCode>
                <c:ptCount val="15"/>
                <c:pt idx="0">
                  <c:v>75</c:v>
                </c:pt>
                <c:pt idx="1">
                  <c:v>125</c:v>
                </c:pt>
                <c:pt idx="2">
                  <c:v>159</c:v>
                </c:pt>
                <c:pt idx="3">
                  <c:v>124</c:v>
                </c:pt>
                <c:pt idx="4">
                  <c:v>124</c:v>
                </c:pt>
                <c:pt idx="5" formatCode="#,##0">
                  <c:v>166</c:v>
                </c:pt>
                <c:pt idx="6" formatCode="#,##0">
                  <c:v>133</c:v>
                </c:pt>
                <c:pt idx="7" formatCode="#,##0">
                  <c:v>116</c:v>
                </c:pt>
                <c:pt idx="8" formatCode="#,##0">
                  <c:v>205</c:v>
                </c:pt>
                <c:pt idx="9" formatCode="#,##0">
                  <c:v>155</c:v>
                </c:pt>
                <c:pt idx="10" formatCode="#,##0">
                  <c:v>92</c:v>
                </c:pt>
                <c:pt idx="11" formatCode="#,##0">
                  <c:v>99</c:v>
                </c:pt>
                <c:pt idx="12" formatCode="#,##0">
                  <c:v>59</c:v>
                </c:pt>
                <c:pt idx="13" formatCode="#,##0">
                  <c:v>99</c:v>
                </c:pt>
                <c:pt idx="14" formatCode="#,##0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7B1-4BEA-AC69-9440389D1243}"/>
            </c:ext>
          </c:extLst>
        </c:ser>
        <c:ser>
          <c:idx val="1"/>
          <c:order val="1"/>
          <c:tx>
            <c:strRef>
              <c:f>'EGRESO-POs uni'!$B$75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uni'!$V$75,'EGRESO-POs uni'!$Z$75,'EGRESO-POs uni'!$AD$75,'EGRESO-POs uni'!$AH$75,'EGRESO-POs uni'!$AL$75,'EGRESO-POs uni'!$AP$75,'EGRESO-POs uni'!$AT$75,'EGRESO-POs uni'!$AX$75,'EGRESO-POs uni'!$BB$75,'EGRESO-POs uni'!$BF$75,'EGRESO-POs uni'!$BJ$75,'EGRESO-POs uni'!$BN$75,'EGRESO-POs uni'!$BR$75,'EGRESO-POs uni'!$BV$75,'EGRESO-POs uni'!$BZ$75)</c:f>
              <c:numCache>
                <c:formatCode>0</c:formatCode>
                <c:ptCount val="15"/>
                <c:pt idx="0">
                  <c:v>213</c:v>
                </c:pt>
                <c:pt idx="1">
                  <c:v>222</c:v>
                </c:pt>
                <c:pt idx="2">
                  <c:v>225</c:v>
                </c:pt>
                <c:pt idx="3">
                  <c:v>266</c:v>
                </c:pt>
                <c:pt idx="4">
                  <c:v>279</c:v>
                </c:pt>
                <c:pt idx="5" formatCode="#,##0">
                  <c:v>268</c:v>
                </c:pt>
                <c:pt idx="6" formatCode="#,##0">
                  <c:v>335</c:v>
                </c:pt>
                <c:pt idx="7" formatCode="#,##0">
                  <c:v>432</c:v>
                </c:pt>
                <c:pt idx="8" formatCode="#,##0">
                  <c:v>465</c:v>
                </c:pt>
                <c:pt idx="9" formatCode="#,##0">
                  <c:v>346</c:v>
                </c:pt>
                <c:pt idx="10" formatCode="#,##0">
                  <c:v>451</c:v>
                </c:pt>
                <c:pt idx="11" formatCode="#,##0">
                  <c:v>491</c:v>
                </c:pt>
                <c:pt idx="12" formatCode="#,##0">
                  <c:v>428</c:v>
                </c:pt>
                <c:pt idx="13" formatCode="#,##0">
                  <c:v>520</c:v>
                </c:pt>
                <c:pt idx="14" formatCode="#,##0">
                  <c:v>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7B1-4BEA-AC69-9440389D1243}"/>
            </c:ext>
          </c:extLst>
        </c:ser>
        <c:ser>
          <c:idx val="2"/>
          <c:order val="2"/>
          <c:tx>
            <c:strRef>
              <c:f>'EGRESO-POs uni'!$B$76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anchor="ctr" anchorCtr="1"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uni'!$AE$87:$AE$101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('EGRESO-POs uni'!$V$76,'EGRESO-POs uni'!$Z$76,'EGRESO-POs uni'!$AD$76,'EGRESO-POs uni'!$AH$76,'EGRESO-POs uni'!$AL$76,'EGRESO-POs uni'!$AP$76,'EGRESO-POs uni'!$AT$76,'EGRESO-POs uni'!$AX$76,'EGRESO-POs uni'!$BB$76,'EGRESO-POs uni'!$BF$76,'EGRESO-POs uni'!$BJ$76,'EGRESO-POs uni'!$BN$76,'EGRESO-POs uni'!$BR$76,'EGRESO-POs uni'!$BV$76,'EGRESO-POs uni'!$BZ$76)</c:f>
              <c:numCache>
                <c:formatCode>0</c:formatCode>
                <c:ptCount val="15"/>
                <c:pt idx="0">
                  <c:v>101</c:v>
                </c:pt>
                <c:pt idx="1">
                  <c:v>128</c:v>
                </c:pt>
                <c:pt idx="2">
                  <c:v>117</c:v>
                </c:pt>
                <c:pt idx="3">
                  <c:v>131</c:v>
                </c:pt>
                <c:pt idx="4">
                  <c:v>137</c:v>
                </c:pt>
                <c:pt idx="5" formatCode="#,##0">
                  <c:v>128</c:v>
                </c:pt>
                <c:pt idx="6" formatCode="#,##0">
                  <c:v>159</c:v>
                </c:pt>
                <c:pt idx="7" formatCode="#,##0">
                  <c:v>189</c:v>
                </c:pt>
                <c:pt idx="8" formatCode="#,##0">
                  <c:v>191</c:v>
                </c:pt>
                <c:pt idx="9" formatCode="#,##0">
                  <c:v>162</c:v>
                </c:pt>
                <c:pt idx="10" formatCode="#,##0">
                  <c:v>189</c:v>
                </c:pt>
                <c:pt idx="11" formatCode="#,##0">
                  <c:v>225</c:v>
                </c:pt>
                <c:pt idx="12" formatCode="#,##0">
                  <c:v>172</c:v>
                </c:pt>
                <c:pt idx="13" formatCode="#,##0">
                  <c:v>205</c:v>
                </c:pt>
                <c:pt idx="14" formatCode="#,##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7B1-4BEA-AC69-9440389D1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876928"/>
        <c:axId val="128878464"/>
        <c:axId val="0"/>
      </c:bar3DChart>
      <c:catAx>
        <c:axId val="12887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878464"/>
        <c:crosses val="autoZero"/>
        <c:auto val="1"/>
        <c:lblAlgn val="ctr"/>
        <c:lblOffset val="100"/>
        <c:noMultiLvlLbl val="0"/>
      </c:catAx>
      <c:valAx>
        <c:axId val="12887846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128876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6907844255562396"/>
          <c:y val="0.95346287851335221"/>
          <c:w val="0.47227203907644066"/>
          <c:h val="4.344265766846913E-2"/>
        </c:manualLayout>
      </c:layout>
      <c:overlay val="0"/>
      <c:txPr>
        <a:bodyPr/>
        <a:lstStyle/>
        <a:p>
          <a:pPr>
            <a:defRPr sz="1100" i="1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 QUE TERMINARON ESTUDIOS DE POSGRADO ACUMULADO por Unidad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8390804597701149E-2"/>
          <c:y val="4.2049928495807284E-2"/>
          <c:w val="0.95954022988505749"/>
          <c:h val="0.83929158615356658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'EGRESO-POS ACUM uni'!$A$6:$A$9</c:f>
              <c:strCache>
                <c:ptCount val="1"/>
                <c:pt idx="0">
                  <c:v>AZCAPOTZALCO 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42-4B94-AF0F-558E8FB2F778}"/>
                </c:ext>
              </c:extLst>
            </c:dLbl>
            <c:dLbl>
              <c:idx val="1"/>
              <c:layout>
                <c:manualLayout>
                  <c:x val="7.7381318687344746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42-4B94-AF0F-558E8FB2F778}"/>
                </c:ext>
              </c:extLst>
            </c:dLbl>
            <c:dLbl>
              <c:idx val="2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42-4B94-AF0F-558E8FB2F778}"/>
                </c:ext>
              </c:extLst>
            </c:dLbl>
            <c:dLbl>
              <c:idx val="3"/>
              <c:layout>
                <c:manualLayout>
                  <c:x val="7.738131868734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42-4B94-AF0F-558E8FB2F778}"/>
                </c:ext>
              </c:extLst>
            </c:dLbl>
            <c:dLbl>
              <c:idx val="4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42-4B94-AF0F-558E8FB2F778}"/>
                </c:ext>
              </c:extLst>
            </c:dLbl>
            <c:dLbl>
              <c:idx val="5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42-4B94-AF0F-558E8FB2F778}"/>
                </c:ext>
              </c:extLst>
            </c:dLbl>
            <c:dLbl>
              <c:idx val="6"/>
              <c:layout>
                <c:manualLayout>
                  <c:x val="6.1905054949875794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42-4B94-AF0F-558E8FB2F778}"/>
                </c:ext>
              </c:extLst>
            </c:dLbl>
            <c:dLbl>
              <c:idx val="7"/>
              <c:layout>
                <c:manualLayout>
                  <c:x val="9.2857582424813699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42-4B94-AF0F-558E8FB2F778}"/>
                </c:ext>
              </c:extLst>
            </c:dLbl>
            <c:dLbl>
              <c:idx val="8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42-4B94-AF0F-558E8FB2F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uni'!$F$9,'EGRESO-POS ACUM uni'!$J$9,'EGRESO-POS ACUM uni'!$N$9,'EGRESO-POS ACUM uni'!$R$9,'EGRESO-POS ACUM uni'!$V$9,'EGRESO-POS ACUM uni'!$Z$9,'EGRESO-POS ACUM uni'!$AD$9,'EGRESO-POS ACUM uni'!$AH$9,'EGRESO-POS ACUM uni'!$AL$9)</c:f>
              <c:numCache>
                <c:formatCode>#,##0</c:formatCode>
                <c:ptCount val="9"/>
                <c:pt idx="0">
                  <c:v>1221</c:v>
                </c:pt>
                <c:pt idx="1">
                  <c:v>1346</c:v>
                </c:pt>
                <c:pt idx="2">
                  <c:v>1524</c:v>
                </c:pt>
                <c:pt idx="3">
                  <c:v>1655</c:v>
                </c:pt>
                <c:pt idx="4">
                  <c:v>1821</c:v>
                </c:pt>
                <c:pt idx="5">
                  <c:v>1970</c:v>
                </c:pt>
                <c:pt idx="6">
                  <c:v>2067</c:v>
                </c:pt>
                <c:pt idx="7">
                  <c:v>2254</c:v>
                </c:pt>
                <c:pt idx="8">
                  <c:v>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A7-488F-9522-568714BAC100}"/>
            </c:ext>
          </c:extLst>
        </c:ser>
        <c:ser>
          <c:idx val="1"/>
          <c:order val="1"/>
          <c:tx>
            <c:strRef>
              <c:f>'EGRESO-POS ACUM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scene3d>
              <a:camera prst="orthographicFront"/>
              <a:lightRig rig="threePt" dir="t"/>
            </a:scene3d>
            <a:sp3d prstMaterial="metal"/>
          </c:spPr>
          <c:invertIfNegative val="0"/>
          <c:dLbls>
            <c:dLbl>
              <c:idx val="4"/>
              <c:layout>
                <c:manualLayout>
                  <c:x val="5.2103127092985771E-2"/>
                  <c:y val="-1.5279693335708161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A7-488F-9522-568714BAC100}"/>
                </c:ext>
              </c:extLst>
            </c:dLbl>
            <c:dLbl>
              <c:idx val="5"/>
              <c:layout>
                <c:manualLayout>
                  <c:x val="4.9915603308223554E-2"/>
                  <c:y val="-1.8184519467687128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A7-488F-9522-568714BAC100}"/>
                </c:ext>
              </c:extLst>
            </c:dLbl>
            <c:dLbl>
              <c:idx val="6"/>
              <c:layout>
                <c:manualLayout>
                  <c:x val="4.7660412058506442E-2"/>
                  <c:y val="-1.36398663579498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rgbClr val="F08200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A7-488F-9522-568714BAC100}"/>
                </c:ext>
              </c:extLst>
            </c:dLbl>
            <c:dLbl>
              <c:idx val="7"/>
              <c:layout>
                <c:manualLayout>
                  <c:x val="5.510735144264807E-2"/>
                  <c:y val="-1.363986635794983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A7-488F-9522-568714BAC100}"/>
                </c:ext>
              </c:extLst>
            </c:dLbl>
            <c:dLbl>
              <c:idx val="8"/>
              <c:layout>
                <c:manualLayout>
                  <c:x val="5.1071670333647533E-2"/>
                  <c:y val="-7.801399706249801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6">
                          <a:lumMod val="75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42-4B94-AF0F-558E8FB2F7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uni'!$F$14,'EGRESO-POS ACUM uni'!$J$14,'EGRESO-POS ACUM uni'!$N$14,'EGRESO-POS ACUM uni'!$R$14,'EGRESO-POS ACUM uni'!$V$14,'EGRESO-POS ACUM uni'!$Z$14,'EGRESO-POS ACUM uni'!$AD$14,'EGRESO-POS ACUM uni'!$AH$14,'EGRESO-POS ACUM uni'!$AL$14)</c:f>
              <c:numCache>
                <c:formatCode>#,##0</c:formatCode>
                <c:ptCount val="9"/>
                <c:pt idx="4">
                  <c:v>12</c:v>
                </c:pt>
                <c:pt idx="5">
                  <c:v>31</c:v>
                </c:pt>
                <c:pt idx="6">
                  <c:v>65</c:v>
                </c:pt>
                <c:pt idx="7">
                  <c:v>106</c:v>
                </c:pt>
                <c:pt idx="8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6A7-488F-9522-568714BAC100}"/>
            </c:ext>
          </c:extLst>
        </c:ser>
        <c:ser>
          <c:idx val="2"/>
          <c:order val="2"/>
          <c:tx>
            <c:strRef>
              <c:f>'EGRESO-POS ACUM uni'!$A$16:$A$19</c:f>
              <c:strCache>
                <c:ptCount val="1"/>
                <c:pt idx="0">
                  <c:v>IZTAPALAPA 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42-4B94-AF0F-558E8FB2F778}"/>
                </c:ext>
              </c:extLst>
            </c:dLbl>
            <c:dLbl>
              <c:idx val="1"/>
              <c:layout>
                <c:manualLayout>
                  <c:x val="6.19050549498757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42-4B94-AF0F-558E8FB2F778}"/>
                </c:ext>
              </c:extLst>
            </c:dLbl>
            <c:dLbl>
              <c:idx val="2"/>
              <c:layout>
                <c:manualLayout>
                  <c:x val="6.1905054949875794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42-4B94-AF0F-558E8FB2F778}"/>
                </c:ext>
              </c:extLst>
            </c:dLbl>
            <c:dLbl>
              <c:idx val="3"/>
              <c:layout>
                <c:manualLayout>
                  <c:x val="9.28575824248131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42-4B94-AF0F-558E8FB2F778}"/>
                </c:ext>
              </c:extLst>
            </c:dLbl>
            <c:dLbl>
              <c:idx val="4"/>
              <c:layout>
                <c:manualLayout>
                  <c:x val="6.190505494987523E-3"/>
                  <c:y val="-1.4302400905568641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42-4B94-AF0F-558E8FB2F778}"/>
                </c:ext>
              </c:extLst>
            </c:dLbl>
            <c:dLbl>
              <c:idx val="5"/>
              <c:layout>
                <c:manualLayout>
                  <c:x val="9.2857582424813699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42-4B94-AF0F-558E8FB2F778}"/>
                </c:ext>
              </c:extLst>
            </c:dLbl>
            <c:dLbl>
              <c:idx val="6"/>
              <c:layout>
                <c:manualLayout>
                  <c:x val="7.738131868734361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42-4B94-AF0F-558E8FB2F778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42-4B94-AF0F-558E8FB2F778}"/>
                </c:ext>
              </c:extLst>
            </c:dLbl>
            <c:dLbl>
              <c:idx val="8"/>
              <c:layout>
                <c:manualLayout>
                  <c:x val="9.2857582424813699E-3"/>
                  <c:y val="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42-4B94-AF0F-558E8FB2F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uni'!$F$19,'EGRESO-POS ACUM uni'!$J$19,'EGRESO-POS ACUM uni'!$N$19,'EGRESO-POS ACUM uni'!$R$19,'EGRESO-POS ACUM uni'!$V$19,'EGRESO-POS ACUM uni'!$Z$19,'EGRESO-POS ACUM uni'!$AD$19,'EGRESO-POS ACUM uni'!$AH$19,'EGRESO-POS ACUM uni'!$AL$19)</c:f>
              <c:numCache>
                <c:formatCode>#,##0</c:formatCode>
                <c:ptCount val="9"/>
                <c:pt idx="0">
                  <c:v>3487</c:v>
                </c:pt>
                <c:pt idx="1">
                  <c:v>3812</c:v>
                </c:pt>
                <c:pt idx="2">
                  <c:v>4268</c:v>
                </c:pt>
                <c:pt idx="3">
                  <c:v>4631</c:v>
                </c:pt>
                <c:pt idx="4">
                  <c:v>4976</c:v>
                </c:pt>
                <c:pt idx="5">
                  <c:v>5399</c:v>
                </c:pt>
                <c:pt idx="6">
                  <c:v>5677</c:v>
                </c:pt>
                <c:pt idx="7">
                  <c:v>6126</c:v>
                </c:pt>
                <c:pt idx="8">
                  <c:v>6460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6A7-488F-9522-568714BAC100}"/>
            </c:ext>
          </c:extLst>
        </c:ser>
        <c:ser>
          <c:idx val="3"/>
          <c:order val="3"/>
          <c:tx>
            <c:strRef>
              <c:f>'EGRESO-POS ACUM uni'!$A$21:$A$24</c:f>
              <c:strCache>
                <c:ptCount val="1"/>
                <c:pt idx="0">
                  <c:v>XOCHIMILCO 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8575824248136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42-4B94-AF0F-558E8FB2F778}"/>
                </c:ext>
              </c:extLst>
            </c:dLbl>
            <c:dLbl>
              <c:idx val="1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42-4B94-AF0F-558E8FB2F778}"/>
                </c:ext>
              </c:extLst>
            </c:dLbl>
            <c:dLbl>
              <c:idx val="2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42-4B94-AF0F-558E8FB2F778}"/>
                </c:ext>
              </c:extLst>
            </c:dLbl>
            <c:dLbl>
              <c:idx val="3"/>
              <c:layout>
                <c:manualLayout>
                  <c:x val="9.2857582424813127E-3"/>
                  <c:y val="-7.15120045278432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42-4B94-AF0F-558E8FB2F778}"/>
                </c:ext>
              </c:extLst>
            </c:dLbl>
            <c:dLbl>
              <c:idx val="4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42-4B94-AF0F-558E8FB2F778}"/>
                </c:ext>
              </c:extLst>
            </c:dLbl>
            <c:dLbl>
              <c:idx val="5"/>
              <c:layout>
                <c:manualLayout>
                  <c:x val="4.6428791212405713E-3"/>
                  <c:y val="-1.95034992656241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42-4B94-AF0F-558E8FB2F778}"/>
                </c:ext>
              </c:extLst>
            </c:dLbl>
            <c:dLbl>
              <c:idx val="6"/>
              <c:layout>
                <c:manualLayout>
                  <c:x val="9.2857582424813699E-3"/>
                  <c:y val="-3.57560022639216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42-4B94-AF0F-558E8FB2F778}"/>
                </c:ext>
              </c:extLst>
            </c:dLbl>
            <c:dLbl>
              <c:idx val="7"/>
              <c:layout>
                <c:manualLayout>
                  <c:x val="7.73813186873447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42-4B94-AF0F-558E8FB2F778}"/>
                </c:ext>
              </c:extLst>
            </c:dLbl>
            <c:dLbl>
              <c:idx val="8"/>
              <c:layout>
                <c:manualLayout>
                  <c:x val="1.08333846162282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42-4B94-AF0F-558E8FB2F7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uni'!$F$24,'EGRESO-POS ACUM uni'!$J$24,'EGRESO-POS ACUM uni'!$N$24,'EGRESO-POS ACUM uni'!$R$24,'EGRESO-POS ACUM uni'!$V$24,'EGRESO-POS ACUM uni'!$Z$24,'EGRESO-POS ACUM uni'!$AD$24,'EGRESO-POS ACUM uni'!$AH$24,'EGRESO-POS ACUM uni'!$AL$24)</c:f>
              <c:numCache>
                <c:formatCode>#,##0</c:formatCode>
                <c:ptCount val="9"/>
                <c:pt idx="0">
                  <c:v>2041</c:v>
                </c:pt>
                <c:pt idx="1">
                  <c:v>2335</c:v>
                </c:pt>
                <c:pt idx="2">
                  <c:v>2616</c:v>
                </c:pt>
                <c:pt idx="3">
                  <c:v>2783</c:v>
                </c:pt>
                <c:pt idx="4">
                  <c:v>3053</c:v>
                </c:pt>
                <c:pt idx="5">
                  <c:v>3273</c:v>
                </c:pt>
                <c:pt idx="6">
                  <c:v>3523</c:v>
                </c:pt>
                <c:pt idx="7">
                  <c:v>3732</c:v>
                </c:pt>
                <c:pt idx="8">
                  <c:v>4027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6A7-488F-9522-568714BAC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6878080"/>
        <c:axId val="126879616"/>
        <c:axId val="0"/>
      </c:bar3DChart>
      <c:catAx>
        <c:axId val="1268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6879616"/>
        <c:crosses val="autoZero"/>
        <c:auto val="1"/>
        <c:lblAlgn val="ctr"/>
        <c:lblOffset val="100"/>
        <c:noMultiLvlLbl val="0"/>
      </c:catAx>
      <c:valAx>
        <c:axId val="12687961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6878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6809137758175713"/>
          <c:y val="0.936069480978025"/>
          <c:w val="0.67473139650647118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ALUMNOS QUE TERMINARON ESTUDIOS DE POSGRADO ACUMULADO por nivel</a:t>
            </a:r>
            <a:endParaRPr lang="es-MX" sz="1200" b="0" i="1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'EGRESO-POS ACUM uni'!$C$53</c:f>
              <c:strCache>
                <c:ptCount val="1"/>
                <c:pt idx="0">
                  <c:v>Especialización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ED-4C0A-893F-34DE8E04113F}"/>
                </c:ext>
              </c:extLst>
            </c:dLbl>
            <c:dLbl>
              <c:idx val="1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ED-4C0A-893F-34DE8E04113F}"/>
                </c:ext>
              </c:extLst>
            </c:dLbl>
            <c:dLbl>
              <c:idx val="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D-4C0A-893F-34DE8E04113F}"/>
                </c:ext>
              </c:extLst>
            </c:dLbl>
            <c:dLbl>
              <c:idx val="3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D-4C0A-893F-34DE8E04113F}"/>
                </c:ext>
              </c:extLst>
            </c:dLbl>
            <c:dLbl>
              <c:idx val="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D-4C0A-893F-34DE8E04113F}"/>
                </c:ext>
              </c:extLst>
            </c:dLbl>
            <c:dLbl>
              <c:idx val="5"/>
              <c:layout>
                <c:manualLayout>
                  <c:x val="3.6781609195402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D-4C0A-893F-34DE8E04113F}"/>
                </c:ext>
              </c:extLst>
            </c:dLbl>
            <c:dLbl>
              <c:idx val="6"/>
              <c:layout>
                <c:manualLayout>
                  <c:x val="5.51724137931027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D-4C0A-893F-34DE8E04113F}"/>
                </c:ext>
              </c:extLst>
            </c:dLbl>
            <c:dLbl>
              <c:idx val="7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D-4C0A-893F-34DE8E04113F}"/>
                </c:ext>
              </c:extLst>
            </c:dLbl>
            <c:dLbl>
              <c:idx val="8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ED-4C0A-893F-34DE8E04113F}"/>
                </c:ext>
              </c:extLst>
            </c:dLbl>
            <c:dLbl>
              <c:idx val="9"/>
              <c:layout>
                <c:manualLayout>
                  <c:x val="3.67816091954022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D-4C0A-893F-34DE8E04113F}"/>
                </c:ext>
              </c:extLst>
            </c:dLbl>
            <c:dLbl>
              <c:idx val="10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D-4C0A-893F-34DE8E04113F}"/>
                </c:ext>
              </c:extLst>
            </c:dLbl>
            <c:dLbl>
              <c:idx val="12"/>
              <c:layout>
                <c:manualLayout>
                  <c:x val="7.35632183908045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D-4C0A-893F-34DE8E04113F}"/>
                </c:ext>
              </c:extLst>
            </c:dLbl>
            <c:dLbl>
              <c:idx val="13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D-4C0A-893F-34DE8E04113F}"/>
                </c:ext>
              </c:extLst>
            </c:dLbl>
            <c:dLbl>
              <c:idx val="14"/>
              <c:layout>
                <c:manualLayout>
                  <c:x val="5.51724137931034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D-4C0A-893F-34DE8E041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uni'!$C$32,'EGRESO-POS ACUM uni'!$G$32,'EGRESO-POS ACUM uni'!$K$32,'EGRESO-POS ACUM uni'!$O$32,'EGRESO-POS ACUM uni'!$S$32,'EGRESO-POS ACUM uni'!$W$32,'EGRESO-POS ACUM uni'!$AA$32,'EGRESO-POS ACUM uni'!$AE$32,'EGRESO-POS ACUM uni'!$AI$32)</c:f>
              <c:numCache>
                <c:formatCode>#,##0</c:formatCode>
                <c:ptCount val="9"/>
                <c:pt idx="0">
                  <c:v>1537</c:v>
                </c:pt>
                <c:pt idx="1">
                  <c:v>1672</c:v>
                </c:pt>
                <c:pt idx="2">
                  <c:v>1891</c:v>
                </c:pt>
                <c:pt idx="3">
                  <c:v>2055</c:v>
                </c:pt>
                <c:pt idx="4">
                  <c:v>2186</c:v>
                </c:pt>
                <c:pt idx="5">
                  <c:v>2258</c:v>
                </c:pt>
                <c:pt idx="6">
                  <c:v>2331</c:v>
                </c:pt>
                <c:pt idx="7">
                  <c:v>2444</c:v>
                </c:pt>
                <c:pt idx="8">
                  <c:v>2545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6ED-4C0A-893F-34DE8E04113F}"/>
            </c:ext>
          </c:extLst>
        </c:ser>
        <c:ser>
          <c:idx val="1"/>
          <c:order val="1"/>
          <c:tx>
            <c:strRef>
              <c:f>'EGRESO-POS ACUM uni'!$C$54</c:f>
              <c:strCache>
                <c:ptCount val="1"/>
                <c:pt idx="0">
                  <c:v>Maestría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A-4459-B523-20FC30D898D7}"/>
                </c:ext>
              </c:extLst>
            </c:dLbl>
            <c:dLbl>
              <c:idx val="1"/>
              <c:layout>
                <c:manualLayout>
                  <c:x val="6.194347657762291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A-4459-B523-20FC30D898D7}"/>
                </c:ext>
              </c:extLst>
            </c:dLbl>
            <c:dLbl>
              <c:idx val="2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A-4459-B523-20FC30D898D7}"/>
                </c:ext>
              </c:extLst>
            </c:dLbl>
            <c:dLbl>
              <c:idx val="3"/>
              <c:layout>
                <c:manualLayout>
                  <c:x val="7.742934572202808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A-4459-B523-20FC30D898D7}"/>
                </c:ext>
              </c:extLst>
            </c:dLbl>
            <c:dLbl>
              <c:idx val="4"/>
              <c:layout>
                <c:manualLayout>
                  <c:x val="7.7429345722029213E-3"/>
                  <c:y val="-2.07684319833852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A-4459-B523-20FC30D898D7}"/>
                </c:ext>
              </c:extLst>
            </c:dLbl>
            <c:dLbl>
              <c:idx val="5"/>
              <c:layout>
                <c:manualLayout>
                  <c:x val="7.742934572202864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A-4459-B523-20FC30D898D7}"/>
                </c:ext>
              </c:extLst>
            </c:dLbl>
            <c:dLbl>
              <c:idx val="6"/>
              <c:layout>
                <c:manualLayout>
                  <c:x val="9.291521486643437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A-4459-B523-20FC30D898D7}"/>
                </c:ext>
              </c:extLst>
            </c:dLbl>
            <c:dLbl>
              <c:idx val="7"/>
              <c:layout>
                <c:manualLayout>
                  <c:x val="7.7429345722028649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A-4459-B523-20FC30D898D7}"/>
                </c:ext>
              </c:extLst>
            </c:dLbl>
            <c:dLbl>
              <c:idx val="8"/>
              <c:layout>
                <c:manualLayout>
                  <c:x val="7.7429345722027513E-3"/>
                  <c:y val="-7.615003758068032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A-4459-B523-20FC30D89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uni'!$D$32,'EGRESO-POS ACUM uni'!$H$32,'EGRESO-POS ACUM uni'!$L$32,'EGRESO-POS ACUM uni'!$P$32,'EGRESO-POS ACUM uni'!$T$32,'EGRESO-POS ACUM uni'!$X$32,'EGRESO-POS ACUM uni'!$AB$32,'EGRESO-POS ACUM uni'!$AF$32,'EGRESO-POS ACUM uni'!$AJ$32)</c:f>
              <c:numCache>
                <c:formatCode>#,##0</c:formatCode>
                <c:ptCount val="9"/>
                <c:pt idx="0">
                  <c:v>3861</c:v>
                </c:pt>
                <c:pt idx="1">
                  <c:v>4286</c:v>
                </c:pt>
                <c:pt idx="2">
                  <c:v>4781</c:v>
                </c:pt>
                <c:pt idx="3">
                  <c:v>5114</c:v>
                </c:pt>
                <c:pt idx="4">
                  <c:v>5583</c:v>
                </c:pt>
                <c:pt idx="5">
                  <c:v>6097</c:v>
                </c:pt>
                <c:pt idx="6">
                  <c:v>6506</c:v>
                </c:pt>
                <c:pt idx="7">
                  <c:v>7064</c:v>
                </c:pt>
                <c:pt idx="8">
                  <c:v>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6ED-4C0A-893F-34DE8E04113F}"/>
            </c:ext>
          </c:extLst>
        </c:ser>
        <c:ser>
          <c:idx val="2"/>
          <c:order val="2"/>
          <c:tx>
            <c:strRef>
              <c:f>'EGRESO-POS ACUM uni'!$C$55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9.291521486643437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A-4459-B523-20FC30D898D7}"/>
                </c:ext>
              </c:extLst>
            </c:dLbl>
            <c:dLbl>
              <c:idx val="1"/>
              <c:layout>
                <c:manualLayout>
                  <c:x val="7.742934572202864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A-4459-B523-20FC30D898D7}"/>
                </c:ext>
              </c:extLst>
            </c:dLbl>
            <c:dLbl>
              <c:idx val="2"/>
              <c:layout>
                <c:manualLayout>
                  <c:x val="9.2915214866434379E-3"/>
                  <c:y val="-6.23052959501557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A-4459-B523-20FC30D898D7}"/>
                </c:ext>
              </c:extLst>
            </c:dLbl>
            <c:dLbl>
              <c:idx val="3"/>
              <c:layout>
                <c:manualLayout>
                  <c:x val="6.1943476577622919E-3"/>
                  <c:y val="-6.23052959501565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A-4459-B523-20FC30D898D7}"/>
                </c:ext>
              </c:extLst>
            </c:dLbl>
            <c:dLbl>
              <c:idx val="4"/>
              <c:layout>
                <c:manualLayout>
                  <c:x val="6.19434765776229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A-4459-B523-20FC30D898D7}"/>
                </c:ext>
              </c:extLst>
            </c:dLbl>
            <c:dLbl>
              <c:idx val="5"/>
              <c:layout>
                <c:manualLayout>
                  <c:x val="9.2915214866433251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A-4459-B523-20FC30D898D7}"/>
                </c:ext>
              </c:extLst>
            </c:dLbl>
            <c:dLbl>
              <c:idx val="6"/>
              <c:layout>
                <c:manualLayout>
                  <c:x val="7.7429345722028649E-3"/>
                  <c:y val="-3.807501879034016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A-4459-B523-20FC30D898D7}"/>
                </c:ext>
              </c:extLst>
            </c:dLbl>
            <c:dLbl>
              <c:idx val="7"/>
              <c:layout>
                <c:manualLayout>
                  <c:x val="9.2915214866434379E-3"/>
                  <c:y val="-1.0384215991692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A-4459-B523-20FC30D898D7}"/>
                </c:ext>
              </c:extLst>
            </c:dLbl>
            <c:dLbl>
              <c:idx val="8"/>
              <c:layout>
                <c:manualLayout>
                  <c:x val="7.74293457220275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A-4459-B523-20FC30D898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anchor="ctr" anchorCtr="1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'EGRESO-POS ACUM uni'!$C$43:$C$51</c:f>
              <c:numCache>
                <c:formatCode>General</c:formatCode>
                <c:ptCount val="9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</c:numCache>
            </c:numRef>
          </c:cat>
          <c:val>
            <c:numRef>
              <c:f>('EGRESO-POS ACUM uni'!$E$32,'EGRESO-POS ACUM uni'!$I$32,'EGRESO-POS ACUM uni'!$M$32,'EGRESO-POS ACUM uni'!$Q$32,'EGRESO-POS ACUM uni'!$U$32,'EGRESO-POS ACUM uni'!$Y$32,'EGRESO-POS ACUM uni'!$AC$32,'EGRESO-POS ACUM uni'!$AG$32,'EGRESO-POS ACUM uni'!$AK$32)</c:f>
              <c:numCache>
                <c:formatCode>#,##0</c:formatCode>
                <c:ptCount val="9"/>
                <c:pt idx="0">
                  <c:v>1351</c:v>
                </c:pt>
                <c:pt idx="1">
                  <c:v>1535</c:v>
                </c:pt>
                <c:pt idx="2">
                  <c:v>1736</c:v>
                </c:pt>
                <c:pt idx="3">
                  <c:v>1900</c:v>
                </c:pt>
                <c:pt idx="4">
                  <c:v>2093</c:v>
                </c:pt>
                <c:pt idx="5">
                  <c:v>2318</c:v>
                </c:pt>
                <c:pt idx="6">
                  <c:v>2495</c:v>
                </c:pt>
                <c:pt idx="7">
                  <c:v>2710</c:v>
                </c:pt>
                <c:pt idx="8">
                  <c:v>2915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6ED-4C0A-893F-34DE8E04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28154624"/>
        <c:axId val="128176896"/>
        <c:axId val="0"/>
      </c:bar3DChart>
      <c:catAx>
        <c:axId val="1281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8176896"/>
        <c:crosses val="autoZero"/>
        <c:auto val="1"/>
        <c:lblAlgn val="ctr"/>
        <c:lblOffset val="100"/>
        <c:noMultiLvlLbl val="0"/>
      </c:catAx>
      <c:valAx>
        <c:axId val="1281768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2815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606728327275468"/>
          <c:y val="0.93251110236150114"/>
          <c:w val="0.56526556249434334"/>
          <c:h val="6.3365434572491011E-2"/>
        </c:manualLayout>
      </c:layout>
      <c:overlay val="0"/>
      <c:txPr>
        <a:bodyPr/>
        <a:lstStyle/>
        <a:p>
          <a:pPr>
            <a:defRPr sz="110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52400" h="50800" prst="softRound"/>
    </a:sp3d>
  </c:sp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57A519"/>
                </a:solidFill>
              </a:defRPr>
            </a:pPr>
            <a:r>
              <a:rPr lang="es-MX" sz="1200" b="0">
                <a:solidFill>
                  <a:srgbClr val="57A519"/>
                </a:solidFill>
              </a:rPr>
              <a:t>Iztapalapa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3255813953488371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uni'!$B$16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dLbl>
              <c:idx val="3"/>
              <c:layout>
                <c:manualLayout>
                  <c:x val="-6.0654835364122528E-2"/>
                  <c:y val="3.67828440049644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uni'!$Z$16,'Admitidos uni'!$AC$16,'Admitidos uni'!$AF$16,'Admitidos uni'!$AI$16,'Admitidos uni'!$AL$16)</c:f>
              <c:numCache>
                <c:formatCode>#,##0</c:formatCode>
                <c:ptCount val="5"/>
                <c:pt idx="0">
                  <c:v>1032</c:v>
                </c:pt>
                <c:pt idx="1">
                  <c:v>1098</c:v>
                </c:pt>
                <c:pt idx="2">
                  <c:v>1119</c:v>
                </c:pt>
                <c:pt idx="3">
                  <c:v>1290</c:v>
                </c:pt>
                <c:pt idx="4">
                  <c:v>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C-4182-9A0B-D127E15B81C8}"/>
            </c:ext>
          </c:extLst>
        </c:ser>
        <c:ser>
          <c:idx val="1"/>
          <c:order val="1"/>
          <c:tx>
            <c:strRef>
              <c:f>'Admitidos uni'!$B$17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C-4182-9A0B-D127E15B81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uni'!$Z$17,'Admitidos uni'!$AC$17,'Admitidos uni'!$AF$17,'Admitidos uni'!$AI$17,'Admitidos uni'!$AL$17)</c:f>
              <c:numCache>
                <c:formatCode>#,##0</c:formatCode>
                <c:ptCount val="5"/>
                <c:pt idx="0">
                  <c:v>1392</c:v>
                </c:pt>
                <c:pt idx="1">
                  <c:v>1375</c:v>
                </c:pt>
                <c:pt idx="2">
                  <c:v>1385</c:v>
                </c:pt>
                <c:pt idx="3">
                  <c:v>1312</c:v>
                </c:pt>
                <c:pt idx="4">
                  <c:v>1315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5C-4182-9A0B-D127E15B81C8}"/>
            </c:ext>
          </c:extLst>
        </c:ser>
        <c:ser>
          <c:idx val="2"/>
          <c:order val="2"/>
          <c:tx>
            <c:strRef>
              <c:f>'Admitidos uni'!$B$18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uni'!$Z$18,'Admitidos uni'!$AC$18,'Admitidos uni'!$AF$18,'Admitidos uni'!$AI$18,'Admitidos uni'!$AL$18)</c:f>
              <c:numCache>
                <c:formatCode>#,##0</c:formatCode>
                <c:ptCount val="5"/>
                <c:pt idx="0">
                  <c:v>958</c:v>
                </c:pt>
                <c:pt idx="1">
                  <c:v>1006</c:v>
                </c:pt>
                <c:pt idx="2">
                  <c:v>1006</c:v>
                </c:pt>
                <c:pt idx="3">
                  <c:v>968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5C-4182-9A0B-D127E15B8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889216"/>
        <c:axId val="110907392"/>
      </c:lineChart>
      <c:catAx>
        <c:axId val="11088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907392"/>
        <c:crosses val="autoZero"/>
        <c:auto val="1"/>
        <c:lblAlgn val="ctr"/>
        <c:lblOffset val="100"/>
        <c:noMultiLvlLbl val="0"/>
      </c:catAx>
      <c:valAx>
        <c:axId val="1109073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088921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311744972275816E-2"/>
          <c:y val="0.91171620989236812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19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spPr>
            <a:solidFill>
              <a:srgbClr val="FFC0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5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64DA-454E-984C-C9D1BE7339F1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6-64DA-454E-984C-C9D1BE7339F1}"/>
              </c:ext>
            </c:extLst>
          </c:dPt>
          <c:dPt>
            <c:idx val="2"/>
            <c:bubble3D val="0"/>
            <c:spPr>
              <a:solidFill>
                <a:schemeClr val="tx1"/>
              </a:solidFill>
              <a:ln w="25400"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4-64DA-454E-984C-C9D1BE7339F1}"/>
              </c:ext>
            </c:extLst>
          </c:dPt>
          <c:dLbls>
            <c:dLbl>
              <c:idx val="0"/>
              <c:layout>
                <c:manualLayout>
                  <c:x val="-5.4238845144356958E-2"/>
                  <c:y val="0.1074894284047827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DA-454E-984C-C9D1BE7339F1}"/>
                </c:ext>
              </c:extLst>
            </c:dLbl>
            <c:dLbl>
              <c:idx val="1"/>
              <c:layout>
                <c:manualLayout>
                  <c:x val="4.3152012248468943E-2"/>
                  <c:y val="-0.224052930883639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419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DA-454E-984C-C9D1BE7339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'Becas UAM pagadas'!$I$4:$K$4</c:f>
              <c:strCache>
                <c:ptCount val="3"/>
                <c:pt idx="0">
                  <c:v>Licenciatura</c:v>
                </c:pt>
                <c:pt idx="1">
                  <c:v>Posgrado</c:v>
                </c:pt>
                <c:pt idx="2">
                  <c:v>Personal Académico</c:v>
                </c:pt>
              </c:strCache>
            </c:strRef>
          </c:cat>
          <c:val>
            <c:numRef>
              <c:f>'Becas UAM pagadas'!$L$19:$N$19</c:f>
              <c:numCache>
                <c:formatCode>#,##0</c:formatCode>
                <c:ptCount val="3"/>
                <c:pt idx="0">
                  <c:v>16075</c:v>
                </c:pt>
                <c:pt idx="1">
                  <c:v>477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4DA-454E-984C-C9D1BE733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174978127734027E-2"/>
          <c:y val="0.89409667541557303"/>
          <c:w val="0.9340151231096113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'1 Manutención uni'!$A$6:$A$9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effectLst>
              <a:outerShdw blurRad="609600" dist="317500" dir="5400000" sx="90000" sy="-19000" rotWithShape="0">
                <a:prstClr val="black"/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0"/>
                  <c:y val="8.1135902636916835E-3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CD032E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B3-498A-AECD-B68C70015D03}"/>
                </c:ext>
              </c:extLst>
            </c:dLbl>
            <c:dLbl>
              <c:idx val="2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3-498A-AECD-B68C70015D03}"/>
                </c:ext>
              </c:extLst>
            </c:dLbl>
            <c:dLbl>
              <c:idx val="3"/>
              <c:layout>
                <c:manualLayout>
                  <c:x val="3.11486022555267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3-498A-AECD-B68C70015D03}"/>
                </c:ext>
              </c:extLst>
            </c:dLbl>
            <c:dLbl>
              <c:idx val="4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3-498A-AECD-B68C70015D03}"/>
                </c:ext>
              </c:extLst>
            </c:dLbl>
            <c:dLbl>
              <c:idx val="5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3-498A-AECD-B68C70015D03}"/>
                </c:ext>
              </c:extLst>
            </c:dLbl>
            <c:dLbl>
              <c:idx val="6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3-498A-AECD-B68C70015D03}"/>
                </c:ext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3-498A-AECD-B68C70015D03}"/>
                </c:ext>
              </c:extLst>
            </c:dLbl>
            <c:dLbl>
              <c:idx val="8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3-498A-AECD-B68C70015D03}"/>
                </c:ext>
              </c:extLst>
            </c:dLbl>
            <c:dLbl>
              <c:idx val="9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3-498A-AECD-B68C70015D03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3-498A-AECD-B68C70015D03}"/>
                </c:ext>
              </c:extLst>
            </c:dLbl>
            <c:dLbl>
              <c:idx val="11"/>
              <c:layout>
                <c:manualLayout>
                  <c:x val="5.404112325527446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3-498A-AECD-B68C70015D03}"/>
                </c:ext>
              </c:extLst>
            </c:dLbl>
            <c:dLbl>
              <c:idx val="12"/>
              <c:layout>
                <c:manualLayout>
                  <c:x val="7.7871505638817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3-498A-AECD-B68C70015D03}"/>
                </c:ext>
              </c:extLst>
            </c:dLbl>
            <c:dLbl>
              <c:idx val="13"/>
              <c:layout>
                <c:manualLayout>
                  <c:x val="5.619293112837286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3-498A-AECD-B68C70015D03}"/>
                </c:ext>
              </c:extLst>
            </c:dLbl>
            <c:dLbl>
              <c:idx val="14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-1.6516325718512423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3-498A-AECD-B68C70015D03}"/>
                </c:ext>
              </c:extLst>
            </c:dLbl>
            <c:dLbl>
              <c:idx val="16"/>
              <c:layout>
                <c:manualLayout>
                  <c:x val="3.9404554773520509E-3"/>
                  <c:y val="-4.50450450450466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7-4C5F-BBEF-D627238AA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('1 Manutención uni'!$D$9,'1 Manutención uni'!$F$9,'1 Manutención uni'!$H$9,'1 Manutención uni'!$J$9,'1 Manutención uni'!$L$9,'1 Manutención uni'!$N$9,'1 Manutención uni'!$P$9,'1 Manutención uni'!$R$9,'1 Manutención uni'!$T$9,'1 Manutención uni'!$V$9,'1 Manutención uni'!$X$9,'1 Manutención uni'!$Z$9,'1 Manutención uni'!$AB$9,'1 Manutención uni'!$AD$9,'1 Manutención uni'!$AF$9,'1 Manutención uni'!$AH$9,'1 Manutención uni'!$AJ$9)</c:f>
              <c:numCache>
                <c:formatCode>#,##0</c:formatCode>
                <c:ptCount val="17"/>
                <c:pt idx="0">
                  <c:v>51</c:v>
                </c:pt>
                <c:pt idx="1">
                  <c:v>299</c:v>
                </c:pt>
                <c:pt idx="2">
                  <c:v>558</c:v>
                </c:pt>
                <c:pt idx="3">
                  <c:v>811</c:v>
                </c:pt>
                <c:pt idx="4">
                  <c:v>1092</c:v>
                </c:pt>
                <c:pt idx="5">
                  <c:v>1645</c:v>
                </c:pt>
                <c:pt idx="6">
                  <c:v>2231</c:v>
                </c:pt>
                <c:pt idx="7">
                  <c:v>2234</c:v>
                </c:pt>
                <c:pt idx="8">
                  <c:v>2381</c:v>
                </c:pt>
                <c:pt idx="9">
                  <c:v>2915</c:v>
                </c:pt>
                <c:pt idx="10">
                  <c:v>3523</c:v>
                </c:pt>
                <c:pt idx="11">
                  <c:v>3788</c:v>
                </c:pt>
                <c:pt idx="12">
                  <c:v>3742</c:v>
                </c:pt>
                <c:pt idx="13">
                  <c:v>3964</c:v>
                </c:pt>
                <c:pt idx="14">
                  <c:v>3994</c:v>
                </c:pt>
                <c:pt idx="15">
                  <c:v>4147</c:v>
                </c:pt>
                <c:pt idx="16">
                  <c:v>4439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2B3-498A-AECD-B68C70015D03}"/>
            </c:ext>
          </c:extLst>
        </c:ser>
        <c:ser>
          <c:idx val="1"/>
          <c:order val="1"/>
          <c:tx>
            <c:strRef>
              <c:f>'1 Manutención uni'!$A$11:$A$14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3-498A-AECD-B68C70015D03}"/>
                </c:ext>
              </c:extLst>
            </c:dLbl>
            <c:dLbl>
              <c:idx val="5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3-498A-AECD-B68C70015D03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3-498A-AECD-B68C70015D03}"/>
                </c:ext>
              </c:extLst>
            </c:dLbl>
            <c:dLbl>
              <c:idx val="7"/>
              <c:layout>
                <c:manualLayout>
                  <c:x val="6.2297204511053399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3-498A-AECD-B68C70015D03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B3-498A-AECD-B68C70015D03}"/>
                </c:ext>
              </c:extLst>
            </c:dLbl>
            <c:dLbl>
              <c:idx val="9"/>
              <c:layout>
                <c:manualLayout>
                  <c:x val="4.6722903383290054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3-498A-AECD-B68C70015D03}"/>
                </c:ext>
              </c:extLst>
            </c:dLbl>
            <c:dLbl>
              <c:idx val="10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B3-498A-AECD-B68C70015D03}"/>
                </c:ext>
              </c:extLst>
            </c:dLbl>
            <c:dLbl>
              <c:idx val="12"/>
              <c:layout>
                <c:manualLayout>
                  <c:x val="7.7871505638816754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3-498A-AECD-B68C70015D03}"/>
                </c:ext>
              </c:extLst>
            </c:dLbl>
            <c:dLbl>
              <c:idx val="13"/>
              <c:layout>
                <c:manualLayout>
                  <c:x val="8.428939669255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3-498A-AECD-B68C70015D03}"/>
                </c:ext>
              </c:extLst>
            </c:dLbl>
            <c:dLbl>
              <c:idx val="15"/>
              <c:layout>
                <c:manualLayout>
                  <c:x val="6.5674257955867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3-498A-AECD-B68C70015D03}"/>
                </c:ext>
              </c:extLst>
            </c:dLbl>
            <c:dLbl>
              <c:idx val="16"/>
              <c:layout>
                <c:manualLayout>
                  <c:x val="6.5674257955865593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7-4C5F-BBEF-D627238AA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('1 Manutención uni'!$D$14,'1 Manutención uni'!$F$14,'1 Manutención uni'!$H$14,'1 Manutención uni'!$J$14,'1 Manutención uni'!$L$14,'1 Manutención uni'!$N$14,'1 Manutención uni'!$P$14,'1 Manutención uni'!$R$14,'1 Manutención uni'!$T$14,'1 Manutención uni'!$V$14,'1 Manutención uni'!$X$14,'1 Manutención uni'!$Z$14,'1 Manutención uni'!$AB$14,'1 Manutención uni'!$AD$14,'1 Manutención uni'!$AF$14,'1 Manutención uni'!$AH$14,'1 Manutención uni'!$AJ$14)</c:f>
              <c:numCache>
                <c:formatCode>#,##0</c:formatCode>
                <c:ptCount val="17"/>
                <c:pt idx="4">
                  <c:v>28</c:v>
                </c:pt>
                <c:pt idx="5">
                  <c:v>99</c:v>
                </c:pt>
                <c:pt idx="6">
                  <c:v>162</c:v>
                </c:pt>
                <c:pt idx="7">
                  <c:v>225</c:v>
                </c:pt>
                <c:pt idx="8">
                  <c:v>263</c:v>
                </c:pt>
                <c:pt idx="9">
                  <c:v>283</c:v>
                </c:pt>
                <c:pt idx="10">
                  <c:v>339</c:v>
                </c:pt>
                <c:pt idx="11">
                  <c:v>311</c:v>
                </c:pt>
                <c:pt idx="12">
                  <c:v>326</c:v>
                </c:pt>
                <c:pt idx="13">
                  <c:v>497</c:v>
                </c:pt>
                <c:pt idx="14">
                  <c:v>614</c:v>
                </c:pt>
                <c:pt idx="15">
                  <c:v>745</c:v>
                </c:pt>
                <c:pt idx="16">
                  <c:v>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2B3-498A-AECD-B68C70015D03}"/>
            </c:ext>
          </c:extLst>
        </c:ser>
        <c:ser>
          <c:idx val="2"/>
          <c:order val="2"/>
          <c:tx>
            <c:strRef>
              <c:f>'1 Manutención uni'!$A$16:$A$19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2.434077079107505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57A519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3-498A-AECD-B68C70015D03}"/>
                </c:ext>
              </c:extLst>
            </c:dLbl>
            <c:dLbl>
              <c:idx val="3"/>
              <c:layout>
                <c:manualLayout>
                  <c:x val="7.78715056388167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3-498A-AECD-B68C70015D03}"/>
                </c:ext>
              </c:extLst>
            </c:dLbl>
            <c:dLbl>
              <c:idx val="4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B3-498A-AECD-B68C70015D03}"/>
                </c:ext>
              </c:extLst>
            </c:dLbl>
            <c:dLbl>
              <c:idx val="5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B3-498A-AECD-B68C70015D03}"/>
                </c:ext>
              </c:extLst>
            </c:dLbl>
            <c:dLbl>
              <c:idx val="6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B3-498A-AECD-B68C70015D03}"/>
                </c:ext>
              </c:extLst>
            </c:dLbl>
            <c:dLbl>
              <c:idx val="7"/>
              <c:layout>
                <c:manualLayout>
                  <c:x val="6.2297204511053399E-3"/>
                  <c:y val="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B3-498A-AECD-B68C70015D03}"/>
                </c:ext>
              </c:extLst>
            </c:dLbl>
            <c:dLbl>
              <c:idx val="8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B3-498A-AECD-B68C70015D03}"/>
                </c:ext>
              </c:extLst>
            </c:dLbl>
            <c:dLbl>
              <c:idx val="9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B3-498A-AECD-B68C70015D03}"/>
                </c:ext>
              </c:extLst>
            </c:dLbl>
            <c:dLbl>
              <c:idx val="10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2B3-498A-AECD-B68C70015D03}"/>
                </c:ext>
              </c:extLst>
            </c:dLbl>
            <c:dLbl>
              <c:idx val="12"/>
              <c:layout>
                <c:manualLayout>
                  <c:x val="6.2297204511054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2B3-498A-AECD-B68C70015D03}"/>
                </c:ext>
              </c:extLst>
            </c:dLbl>
            <c:dLbl>
              <c:idx val="13"/>
              <c:layout>
                <c:manualLayout>
                  <c:x val="7.024116391046607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02B3-498A-AECD-B68C70015D03}"/>
                </c:ext>
              </c:extLst>
            </c:dLbl>
            <c:dLbl>
              <c:idx val="14"/>
              <c:layout>
                <c:manualLayout>
                  <c:x val="3.9404554773520509E-3"/>
                  <c:y val="-8.258162859256211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02B3-498A-AECD-B68C70015D03}"/>
                </c:ext>
              </c:extLst>
            </c:dLbl>
            <c:dLbl>
              <c:idx val="16"/>
              <c:layout>
                <c:manualLayout>
                  <c:x val="5.253940636469401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7-4C5F-BBEF-D627238AA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('1 Manutención uni'!$D$19,'1 Manutención uni'!$F$19,'1 Manutención uni'!$H$19,'1 Manutención uni'!$J$19,'1 Manutención uni'!$L$19,'1 Manutención uni'!$N$19,'1 Manutención uni'!$P$19,'1 Manutención uni'!$R$19,'1 Manutención uni'!$T$19,'1 Manutención uni'!$V$19,'1 Manutención uni'!$X$19,'1 Manutención uni'!$Z$19,'1 Manutención uni'!$AB$19,'1 Manutención uni'!$AD$19,'1 Manutención uni'!$AF$19,'1 Manutención uni'!$AH$19,'1 Manutención uni'!$AJ$19)</c:f>
              <c:numCache>
                <c:formatCode>#,##0</c:formatCode>
                <c:ptCount val="17"/>
                <c:pt idx="0">
                  <c:v>58</c:v>
                </c:pt>
                <c:pt idx="1">
                  <c:v>325</c:v>
                </c:pt>
                <c:pt idx="2">
                  <c:v>565</c:v>
                </c:pt>
                <c:pt idx="3">
                  <c:v>767</c:v>
                </c:pt>
                <c:pt idx="4">
                  <c:v>1005</c:v>
                </c:pt>
                <c:pt idx="5">
                  <c:v>1515</c:v>
                </c:pt>
                <c:pt idx="6">
                  <c:v>1776</c:v>
                </c:pt>
                <c:pt idx="7">
                  <c:v>1809</c:v>
                </c:pt>
                <c:pt idx="8">
                  <c:v>2042</c:v>
                </c:pt>
                <c:pt idx="9">
                  <c:v>2801</c:v>
                </c:pt>
                <c:pt idx="10">
                  <c:v>3345</c:v>
                </c:pt>
                <c:pt idx="11">
                  <c:v>3333</c:v>
                </c:pt>
                <c:pt idx="12">
                  <c:v>3498</c:v>
                </c:pt>
                <c:pt idx="13">
                  <c:v>3693</c:v>
                </c:pt>
                <c:pt idx="14">
                  <c:v>3663</c:v>
                </c:pt>
                <c:pt idx="15">
                  <c:v>3744</c:v>
                </c:pt>
                <c:pt idx="16">
                  <c:v>3857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02B3-498A-AECD-B68C70015D03}"/>
            </c:ext>
          </c:extLst>
        </c:ser>
        <c:ser>
          <c:idx val="3"/>
          <c:order val="3"/>
          <c:tx>
            <c:strRef>
              <c:f>'1 Manutención uni'!$A$21:$A$24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1"/>
              <c:layout>
                <c:manualLayout>
                  <c:x val="9.3445806766580108E-3"/>
                  <c:y val="-2.7045300878972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02B3-498A-AECD-B68C70015D03}"/>
                </c:ext>
              </c:extLst>
            </c:dLbl>
            <c:dLbl>
              <c:idx val="12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2B3-498A-AECD-B68C70015D03}"/>
                </c:ext>
              </c:extLst>
            </c:dLbl>
            <c:dLbl>
              <c:idx val="14"/>
              <c:layout>
                <c:manualLayout>
                  <c:x val="3.9404554773518584E-3"/>
                  <c:y val="-2.25225225225225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02B3-498A-AECD-B68C70015D03}"/>
                </c:ext>
              </c:extLst>
            </c:dLbl>
            <c:dLbl>
              <c:idx val="16"/>
              <c:layout>
                <c:manualLayout>
                  <c:x val="3.94045547735185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7-4C5F-BBEF-D627238AA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('1 Manutención uni'!$D$24,'1 Manutención uni'!$F$24,'1 Manutención uni'!$H$24,'1 Manutención uni'!$J$24,'1 Manutención uni'!$L$24,'1 Manutención uni'!$N$24,'1 Manutención uni'!$P$24,'1 Manutención uni'!$R$24,'1 Manutención uni'!$T$24,'1 Manutención uni'!$V$24,'1 Manutención uni'!$X$24,'1 Manutención uni'!$Z$24,'1 Manutención uni'!$AB$24,'1 Manutención uni'!$AD$24,'1 Manutención uni'!$AF$24,'1 Manutención uni'!$AH$24,'1 Manutención uni'!$AJ$24)</c:f>
              <c:numCache>
                <c:formatCode>#,##0</c:formatCode>
                <c:ptCount val="17"/>
                <c:pt idx="10">
                  <c:v>73</c:v>
                </c:pt>
                <c:pt idx="11">
                  <c:v>113</c:v>
                </c:pt>
                <c:pt idx="12">
                  <c:v>145</c:v>
                </c:pt>
                <c:pt idx="13">
                  <c:v>172</c:v>
                </c:pt>
                <c:pt idx="14">
                  <c:v>260</c:v>
                </c:pt>
                <c:pt idx="15">
                  <c:v>248</c:v>
                </c:pt>
                <c:pt idx="16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02B3-498A-AECD-B68C70015D03}"/>
            </c:ext>
          </c:extLst>
        </c:ser>
        <c:ser>
          <c:idx val="4"/>
          <c:order val="4"/>
          <c:tx>
            <c:strRef>
              <c:f>'1 Manutención uni'!$A$26:$A$29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-1.557430112776335E-3"/>
                  <c:y val="-4.8681541582150101E-2"/>
                </c:manualLayout>
              </c:layout>
              <c:spPr/>
              <c:txPr>
                <a:bodyPr/>
                <a:lstStyle/>
                <a:p>
                  <a:pPr>
                    <a:defRPr sz="800">
                      <a:solidFill>
                        <a:srgbClr val="0072CE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02B3-498A-AECD-B68C70015D03}"/>
                </c:ext>
              </c:extLst>
            </c:dLbl>
            <c:dLbl>
              <c:idx val="3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2B3-498A-AECD-B68C70015D03}"/>
                </c:ext>
              </c:extLst>
            </c:dLbl>
            <c:dLbl>
              <c:idx val="4"/>
              <c:layout>
                <c:manualLayout>
                  <c:x val="4.6722903383290054E-3"/>
                  <c:y val="-9.91649576608453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02B3-498A-AECD-B68C70015D03}"/>
                </c:ext>
              </c:extLst>
            </c:dLbl>
            <c:dLbl>
              <c:idx val="5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2B3-498A-AECD-B68C70015D03}"/>
                </c:ext>
              </c:extLst>
            </c:dLbl>
            <c:dLbl>
              <c:idx val="6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02B3-498A-AECD-B68C70015D03}"/>
                </c:ext>
              </c:extLst>
            </c:dLbl>
            <c:dLbl>
              <c:idx val="7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2B3-498A-AECD-B68C70015D03}"/>
                </c:ext>
              </c:extLst>
            </c:dLbl>
            <c:dLbl>
              <c:idx val="8"/>
              <c:layout>
                <c:manualLayout>
                  <c:x val="7.7871505638816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02B3-498A-AECD-B68C70015D03}"/>
                </c:ext>
              </c:extLst>
            </c:dLbl>
            <c:dLbl>
              <c:idx val="9"/>
              <c:layout>
                <c:manualLayout>
                  <c:x val="4.6722903383290054E-3"/>
                  <c:y val="4.958247883042269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2B3-498A-AECD-B68C70015D03}"/>
                </c:ext>
              </c:extLst>
            </c:dLbl>
            <c:dLbl>
              <c:idx val="10"/>
              <c:layout>
                <c:manualLayout>
                  <c:x val="4.67229033832900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02B3-498A-AECD-B68C70015D03}"/>
                </c:ext>
              </c:extLst>
            </c:dLbl>
            <c:dLbl>
              <c:idx val="11"/>
              <c:layout>
                <c:manualLayout>
                  <c:x val="6.22972045110533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2B3-498A-AECD-B68C70015D03}"/>
                </c:ext>
              </c:extLst>
            </c:dLbl>
            <c:dLbl>
              <c:idx val="12"/>
              <c:layout>
                <c:manualLayout>
                  <c:x val="5.4041123255275424E-3"/>
                  <c:y val="-4.129081429628105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02B3-498A-AECD-B68C70015D03}"/>
                </c:ext>
              </c:extLst>
            </c:dLbl>
            <c:dLbl>
              <c:idx val="13"/>
              <c:layout>
                <c:manualLayout>
                  <c:x val="5.619293112837286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2B3-498A-AECD-B68C70015D03}"/>
                </c:ext>
              </c:extLst>
            </c:dLbl>
            <c:dLbl>
              <c:idx val="14"/>
              <c:layout>
                <c:manualLayout>
                  <c:x val="6.5674257955867519E-3"/>
                  <c:y val="4.5045045045045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02B3-498A-AECD-B68C70015D03}"/>
                </c:ext>
              </c:extLst>
            </c:dLbl>
            <c:dLbl>
              <c:idx val="15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2B3-498A-AECD-B68C70015D03}"/>
                </c:ext>
              </c:extLst>
            </c:dLbl>
            <c:dLbl>
              <c:idx val="16"/>
              <c:layout>
                <c:manualLayout>
                  <c:x val="3.940455477352050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7-4C5F-BBEF-D627238AA9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Manutención uni'!$R$43:$R$59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('1 Manutención uni'!$D$29,'1 Manutención uni'!$F$29,'1 Manutención uni'!$H$29,'1 Manutención uni'!$J$29,'1 Manutención uni'!$L$29,'1 Manutención uni'!$N$29,'1 Manutención uni'!$P$29,'1 Manutención uni'!$R$29,'1 Manutención uni'!$T$29,'1 Manutención uni'!$V$29,'1 Manutención uni'!$X$29,'1 Manutención uni'!$Z$29,'1 Manutención uni'!$AB$29,'1 Manutención uni'!$AD$29,'1 Manutención uni'!$AF$29,'1 Manutención uni'!$AH$29,'1 Manutención uni'!$AJ$29)</c:f>
              <c:numCache>
                <c:formatCode>#,##0</c:formatCode>
                <c:ptCount val="17"/>
                <c:pt idx="0">
                  <c:v>44</c:v>
                </c:pt>
                <c:pt idx="1">
                  <c:v>336</c:v>
                </c:pt>
                <c:pt idx="2">
                  <c:v>635</c:v>
                </c:pt>
                <c:pt idx="3">
                  <c:v>877</c:v>
                </c:pt>
                <c:pt idx="4">
                  <c:v>1061</c:v>
                </c:pt>
                <c:pt idx="5">
                  <c:v>2004</c:v>
                </c:pt>
                <c:pt idx="6">
                  <c:v>2354</c:v>
                </c:pt>
                <c:pt idx="7">
                  <c:v>2359</c:v>
                </c:pt>
                <c:pt idx="8">
                  <c:v>3194</c:v>
                </c:pt>
                <c:pt idx="9">
                  <c:v>3881</c:v>
                </c:pt>
                <c:pt idx="10">
                  <c:v>4251</c:v>
                </c:pt>
                <c:pt idx="11">
                  <c:v>4418</c:v>
                </c:pt>
                <c:pt idx="12">
                  <c:v>4332</c:v>
                </c:pt>
                <c:pt idx="13">
                  <c:v>4644</c:v>
                </c:pt>
                <c:pt idx="14">
                  <c:v>4807</c:v>
                </c:pt>
                <c:pt idx="15">
                  <c:v>5230</c:v>
                </c:pt>
                <c:pt idx="16">
                  <c:v>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02B3-498A-AECD-B68C7001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0094208"/>
        <c:axId val="130095744"/>
        <c:axId val="0"/>
      </c:bar3DChart>
      <c:catAx>
        <c:axId val="1300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0095744"/>
        <c:crosses val="autoZero"/>
        <c:auto val="1"/>
        <c:lblAlgn val="ctr"/>
        <c:lblOffset val="100"/>
        <c:noMultiLvlLbl val="0"/>
      </c:catAx>
      <c:valAx>
        <c:axId val="1300957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300942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7.2075080639187536E-2"/>
          <c:y val="0.17353918001629107"/>
          <c:w val="0.11925585743946962"/>
          <c:h val="0.26092859082269887"/>
        </c:manualLayout>
      </c:layout>
      <c:overlay val="1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 prstMaterial="metal"/>
  </c:sp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n-US" sz="1200" b="0" i="1"/>
              <a:t>Personal Académico</a:t>
            </a:r>
            <a:r>
              <a:rPr lang="en-US" sz="1200" b="0" i="1" baseline="0"/>
              <a:t> Definitivo por categoría</a:t>
            </a:r>
            <a:endParaRPr lang="en-US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2.0394482112007221E-2"/>
          <c:w val="0.96781564284164145"/>
          <c:h val="0.8384493310993237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C-4A86-93E9-47FA61E07F4B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C-4A86-93E9-47FA61E07F4B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C-4A86-93E9-47FA61E07F4B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C-4A86-93E9-47FA61E07F4B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C-4A86-93E9-47FA61E07F4B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C-4A86-93E9-47FA61E07F4B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DC-4A86-93E9-47FA61E07F4B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DC-4A86-93E9-47FA61E07F4B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DC-4A86-93E9-47FA61E07F4B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DC-4A86-93E9-47FA61E07F4B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DC-4A86-93E9-47FA61E07F4B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DC-4A86-93E9-47FA61E07F4B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DC-4A86-93E9-47FA61E07F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categoría'!$E$31,'Definitivo x categoría'!$I$31,'Definitivo x categoría'!$M$31,'Definitivo x categoría'!$Q$31,'Definitivo x categoría'!$U$31,'Definitivo x categoría'!$Y$31,'Definitivo x categoría'!$AC$31,'Definitivo x categoría'!$AG$31,'Definitivo x categoría'!$AK$31,'Definitivo x categoría'!$AO$31,'Definitivo x categoría'!$AS$31,'Definitivo x categoría'!$AW$31,'Definitivo x categoría'!$BA$31,'Definitivo x categoría'!$BE$31,'Definitivo x categoría'!$BI$31)</c:f>
              <c:numCache>
                <c:formatCode>_(* #,##0_);_(* \(#,##0\);_(* "-"??_);_(@_)</c:formatCode>
                <c:ptCount val="15"/>
                <c:pt idx="0">
                  <c:v>2469</c:v>
                </c:pt>
                <c:pt idx="1">
                  <c:v>2571</c:v>
                </c:pt>
                <c:pt idx="2">
                  <c:v>2593</c:v>
                </c:pt>
                <c:pt idx="3">
                  <c:v>2578</c:v>
                </c:pt>
                <c:pt idx="4">
                  <c:v>2581</c:v>
                </c:pt>
                <c:pt idx="5">
                  <c:v>2563</c:v>
                </c:pt>
                <c:pt idx="6">
                  <c:v>2570</c:v>
                </c:pt>
                <c:pt idx="7">
                  <c:v>2595</c:v>
                </c:pt>
                <c:pt idx="8">
                  <c:v>2638</c:v>
                </c:pt>
                <c:pt idx="9">
                  <c:v>2651</c:v>
                </c:pt>
                <c:pt idx="10">
                  <c:v>2657</c:v>
                </c:pt>
                <c:pt idx="11">
                  <c:v>2680</c:v>
                </c:pt>
                <c:pt idx="12">
                  <c:v>2670</c:v>
                </c:pt>
                <c:pt idx="13">
                  <c:v>2658</c:v>
                </c:pt>
                <c:pt idx="14">
                  <c:v>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CDC-4A86-93E9-47FA61E07F4B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categoría'!$D$31,'Definitivo x categoría'!$H$31,'Definitivo x categoría'!$L$31,'Definitivo x categoría'!$P$31,'Definitivo x categoría'!$T$31,'Definitivo x categoría'!$X$31,'Definitivo x categoría'!$AB$31,'Definitivo x categoría'!$AF$31,'Definitivo x categoría'!$AJ$31,'Definitivo x categoría'!$AN$31,'Definitivo x categoría'!$AR$31,'Definitivo x categoría'!$AV$31,'Definitivo x categoría'!$AZ$31,'Definitivo x categoría'!$BD$31,'Definitivo x categoría'!$BH$31)</c:f>
              <c:numCache>
                <c:formatCode>_(* #,##0_);_(* \(#,##0\);_(* "-"??_);_(@_)</c:formatCode>
                <c:ptCount val="15"/>
                <c:pt idx="0">
                  <c:v>305</c:v>
                </c:pt>
                <c:pt idx="1">
                  <c:v>218</c:v>
                </c:pt>
                <c:pt idx="2">
                  <c:v>226</c:v>
                </c:pt>
                <c:pt idx="3">
                  <c:v>251</c:v>
                </c:pt>
                <c:pt idx="4">
                  <c:v>267</c:v>
                </c:pt>
                <c:pt idx="5">
                  <c:v>296</c:v>
                </c:pt>
                <c:pt idx="6">
                  <c:v>304</c:v>
                </c:pt>
                <c:pt idx="7">
                  <c:v>329</c:v>
                </c:pt>
                <c:pt idx="8">
                  <c:v>335</c:v>
                </c:pt>
                <c:pt idx="9">
                  <c:v>345</c:v>
                </c:pt>
                <c:pt idx="10">
                  <c:v>367</c:v>
                </c:pt>
                <c:pt idx="11">
                  <c:v>408</c:v>
                </c:pt>
                <c:pt idx="12">
                  <c:v>390</c:v>
                </c:pt>
                <c:pt idx="13">
                  <c:v>375</c:v>
                </c:pt>
                <c:pt idx="14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DC-4A86-93E9-47FA61E07F4B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DC-4A86-93E9-47FA61E07F4B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DC-4A86-93E9-47FA61E07F4B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DC-4A86-93E9-47FA61E07F4B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DC-4A86-93E9-47FA61E07F4B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DC-4A86-93E9-47FA61E07F4B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DC-4A86-93E9-47FA61E07F4B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DC-4A86-93E9-47FA61E07F4B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DC-4A86-93E9-47FA61E07F4B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DC-4A86-93E9-47FA61E07F4B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DC-4A86-93E9-47FA61E07F4B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DC-4A86-93E9-47FA61E07F4B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DC-4A86-93E9-47FA61E07F4B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DC-4A86-93E9-47FA61E07F4B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DC-4A86-93E9-47FA61E07F4B}"/>
                </c:ext>
              </c:extLst>
            </c:dLbl>
            <c:dLbl>
              <c:idx val="14"/>
              <c:layout>
                <c:manualLayout>
                  <c:x val="2.9258506507597614E-3"/>
                  <c:y val="-8.3660247828662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22-4F7B-93BD-1E8EFCB358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categoría'!$C$31,'Definitivo x categoría'!$G$31,'Definitivo x categoría'!$K$31,'Definitivo x categoría'!$O$31,'Definitivo x categoría'!$S$31,'Definitivo x categoría'!$W$31,'Definitivo x categoría'!$AA$31,'Definitivo x categoría'!$AE$31,'Definitivo x categoría'!$AI$31,'Definitivo x categoría'!$AM$31,'Definitivo x categoría'!$AQ$31,'Definitivo x categoría'!$AU$31,'Definitivo x categoría'!$AY$31,'Definitivo x categoría'!$BC$31,'Definitivo x categoría'!$BG$31)</c:f>
              <c:numCache>
                <c:formatCode>_(* #,##0_);_(* \(#,##0\);_(* "-"??_);_(@_)</c:formatCode>
                <c:ptCount val="15"/>
                <c:pt idx="0">
                  <c:v>41</c:v>
                </c:pt>
                <c:pt idx="1">
                  <c:v>28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33</c:v>
                </c:pt>
                <c:pt idx="6">
                  <c:v>37</c:v>
                </c:pt>
                <c:pt idx="7">
                  <c:v>34</c:v>
                </c:pt>
                <c:pt idx="8">
                  <c:v>31</c:v>
                </c:pt>
                <c:pt idx="9">
                  <c:v>30</c:v>
                </c:pt>
                <c:pt idx="10">
                  <c:v>33</c:v>
                </c:pt>
                <c:pt idx="11">
                  <c:v>36</c:v>
                </c:pt>
                <c:pt idx="12">
                  <c:v>30</c:v>
                </c:pt>
                <c:pt idx="13">
                  <c:v>29</c:v>
                </c:pt>
                <c:pt idx="1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C-4A86-93E9-47FA61E07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530752"/>
        <c:axId val="131532288"/>
        <c:axId val="0"/>
      </c:bar3DChart>
      <c:catAx>
        <c:axId val="13153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131532288"/>
        <c:crosses val="autoZero"/>
        <c:auto val="1"/>
        <c:lblAlgn val="ctr"/>
        <c:lblOffset val="100"/>
        <c:tickMarkSkip val="1"/>
        <c:noMultiLvlLbl val="0"/>
      </c:catAx>
      <c:valAx>
        <c:axId val="13153228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15307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995737934091419"/>
          <c:y val="0.94218516944246866"/>
          <c:w val="0.49258307965499748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2.3206751054852322E-2"/>
          <c:w val="0.9703078830232611"/>
          <c:h val="0.83440895046347052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3-4FC5-A312-629257462F40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3-4FC5-A312-629257462F40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3-4FC5-A312-629257462F40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3-4FC5-A312-629257462F40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3-4FC5-A312-629257462F40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3-4FC5-A312-629257462F40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3-4FC5-A312-629257462F40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3-4FC5-A312-629257462F40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3-4FC5-A312-629257462F40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3-4FC5-A312-629257462F40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3-4FC5-A312-629257462F40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3-4FC5-A312-629257462F40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3-4FC5-A312-629257462F40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3-4FC5-A312-629257462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categoría'!$F$66,'Definitivo x categoría'!$J$66,'Definitivo x categoría'!$N$66,'Definitivo x categoría'!$R$66,'Definitivo x categoría'!$V$66,'Definitivo x categoría'!$Z$66,'Definitivo x categoría'!$AD$66,'Definitivo x categoría'!$AH$66,'Definitivo x categoría'!$AL$66,'Definitivo x categoría'!$AP$66,'Definitivo x categoría'!$AT$66,'Definitivo x categoría'!$AX$66,'Definitivo x categoría'!$BB$66,'Definitivo x categoría'!$BF$66,'Definitivo x categoría'!$BJ$66)</c:f>
              <c:numCache>
                <c:formatCode>_(* #,##0_);_(* \(#,##0\);_(* "-"??_);_(@_)</c:formatCode>
                <c:ptCount val="15"/>
                <c:pt idx="0">
                  <c:v>2421</c:v>
                </c:pt>
                <c:pt idx="1">
                  <c:v>2429</c:v>
                </c:pt>
                <c:pt idx="2">
                  <c:v>2467</c:v>
                </c:pt>
                <c:pt idx="3">
                  <c:v>2468</c:v>
                </c:pt>
                <c:pt idx="4">
                  <c:v>2495</c:v>
                </c:pt>
                <c:pt idx="5">
                  <c:v>2520</c:v>
                </c:pt>
                <c:pt idx="6">
                  <c:v>2538</c:v>
                </c:pt>
                <c:pt idx="7">
                  <c:v>2575</c:v>
                </c:pt>
                <c:pt idx="8">
                  <c:v>2623</c:v>
                </c:pt>
                <c:pt idx="9">
                  <c:v>2663</c:v>
                </c:pt>
                <c:pt idx="10">
                  <c:v>2705</c:v>
                </c:pt>
                <c:pt idx="11">
                  <c:v>2759</c:v>
                </c:pt>
                <c:pt idx="12">
                  <c:v>2743</c:v>
                </c:pt>
                <c:pt idx="13">
                  <c:v>2732</c:v>
                </c:pt>
                <c:pt idx="14">
                  <c:v>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B73-4FC5-A312-629257462F40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categoría'!$F$101,'Definitivo x categoría'!$J$101,'Definitivo x categoría'!$N$101,'Definitivo x categoría'!$R$101,'Definitivo x categoría'!$V$101,'Definitivo x categoría'!$Z$101,'Definitivo x categoría'!$AD$101,'Definitivo x categoría'!$AH$101,'Definitivo x categoría'!$AL$101,'Definitivo x categoría'!$AP$101,'Definitivo x categoría'!$AT$101,'Definitivo x categoría'!$AX$101,'Definitivo x categoría'!$BB$101,'Definitivo x categoría'!$BF$101,'Definitivo x categoría'!$BJ$101)</c:f>
              <c:numCache>
                <c:formatCode>_(* #,##0_);_(* \(#,##0\);_(* "-"??_);_(@_)</c:formatCode>
                <c:ptCount val="15"/>
                <c:pt idx="0">
                  <c:v>223</c:v>
                </c:pt>
                <c:pt idx="1">
                  <c:v>213</c:v>
                </c:pt>
                <c:pt idx="2">
                  <c:v>216</c:v>
                </c:pt>
                <c:pt idx="3">
                  <c:v>232</c:v>
                </c:pt>
                <c:pt idx="4">
                  <c:v>227</c:v>
                </c:pt>
                <c:pt idx="5">
                  <c:v>221</c:v>
                </c:pt>
                <c:pt idx="6">
                  <c:v>225</c:v>
                </c:pt>
                <c:pt idx="7">
                  <c:v>221</c:v>
                </c:pt>
                <c:pt idx="8">
                  <c:v>215</c:v>
                </c:pt>
                <c:pt idx="9">
                  <c:v>196</c:v>
                </c:pt>
                <c:pt idx="10">
                  <c:v>192</c:v>
                </c:pt>
                <c:pt idx="11">
                  <c:v>194</c:v>
                </c:pt>
                <c:pt idx="12">
                  <c:v>187</c:v>
                </c:pt>
                <c:pt idx="13">
                  <c:v>176</c:v>
                </c:pt>
                <c:pt idx="1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B73-4FC5-A312-629257462F40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categoría'!$AB$143:$AB$157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('Definitivo x categoría'!$F$136,'Definitivo x categoría'!$J$136,'Definitivo x categoría'!$N$136,'Definitivo x categoría'!$R$136,'Definitivo x categoría'!$V$136,'Definitivo x categoría'!$Z$136,'Definitivo x categoría'!$AD$136,'Definitivo x categoría'!$AH$136,'Definitivo x categoría'!$AL$136,'Definitivo x categoría'!$AP$136,'Definitivo x categoría'!$AT$136,'Definitivo x categoría'!$AX$136,'Definitivo x categoría'!$BB$136,'Definitivo x categoría'!$BF$136,'Definitivo x categoría'!$BJ$136)</c:f>
              <c:numCache>
                <c:formatCode>_(* #,##0_);_(* \(#,##0\);_(* "-"??_);_(@_)</c:formatCode>
                <c:ptCount val="15"/>
                <c:pt idx="0">
                  <c:v>171</c:v>
                </c:pt>
                <c:pt idx="1">
                  <c:v>175</c:v>
                </c:pt>
                <c:pt idx="2">
                  <c:v>170</c:v>
                </c:pt>
                <c:pt idx="3">
                  <c:v>165</c:v>
                </c:pt>
                <c:pt idx="4">
                  <c:v>160</c:v>
                </c:pt>
                <c:pt idx="5">
                  <c:v>151</c:v>
                </c:pt>
                <c:pt idx="6">
                  <c:v>148</c:v>
                </c:pt>
                <c:pt idx="7">
                  <c:v>162</c:v>
                </c:pt>
                <c:pt idx="8">
                  <c:v>166</c:v>
                </c:pt>
                <c:pt idx="9">
                  <c:v>167</c:v>
                </c:pt>
                <c:pt idx="10">
                  <c:v>160</c:v>
                </c:pt>
                <c:pt idx="11">
                  <c:v>171</c:v>
                </c:pt>
                <c:pt idx="12">
                  <c:v>160</c:v>
                </c:pt>
                <c:pt idx="13">
                  <c:v>154</c:v>
                </c:pt>
                <c:pt idx="1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B73-4FC5-A312-629257462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629056"/>
        <c:axId val="131630592"/>
        <c:axId val="0"/>
      </c:bar3DChart>
      <c:catAx>
        <c:axId val="13162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s-419"/>
          </a:p>
        </c:txPr>
        <c:crossAx val="131630592"/>
        <c:crosses val="autoZero"/>
        <c:auto val="1"/>
        <c:lblAlgn val="ctr"/>
        <c:lblOffset val="100"/>
        <c:tickMarkSkip val="1"/>
        <c:noMultiLvlLbl val="0"/>
      </c:catAx>
      <c:valAx>
        <c:axId val="131630592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1629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413164107395345"/>
          <c:y val="0.94216684939698991"/>
          <c:w val="0.72293569254185697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 b="0" i="1" baseline="0">
                <a:effectLst/>
              </a:rPr>
              <a:t>Personal Académico Definitivo por categoría</a:t>
            </a:r>
            <a:endParaRPr lang="x-none" sz="1100">
              <a:effectLst/>
            </a:endParaRP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609217857917928E-2"/>
          <c:y val="0.10460502704654592"/>
          <c:w val="0.96781564284164145"/>
          <c:h val="0.75423877490294933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categoría'!$AB$164</c:f>
              <c:strCache>
                <c:ptCount val="1"/>
                <c:pt idx="0">
                  <c:v>Titular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19-4BC8-88D7-3D19D9612071}"/>
                </c:ext>
              </c:extLst>
            </c:dLbl>
            <c:dLbl>
              <c:idx val="1"/>
              <c:layout>
                <c:manualLayout>
                  <c:x val="4.8035553874521296E-3"/>
                  <c:y val="-2.2880054825655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19-4BC8-88D7-3D19D9612071}"/>
                </c:ext>
              </c:extLst>
            </c:dLbl>
            <c:dLbl>
              <c:idx val="2"/>
              <c:layout>
                <c:manualLayout>
                  <c:x val="4.803429309882905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19-4BC8-88D7-3D19D9612071}"/>
                </c:ext>
              </c:extLst>
            </c:dLbl>
            <c:dLbl>
              <c:idx val="3"/>
              <c:layout>
                <c:manualLayout>
                  <c:x val="4.803555387452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19-4BC8-88D7-3D19D9612071}"/>
                </c:ext>
              </c:extLst>
            </c:dLbl>
            <c:dLbl>
              <c:idx val="4"/>
              <c:layout>
                <c:manualLayout>
                  <c:x val="5.045435493999979E-3"/>
                  <c:y val="-2.2880871312298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19-4BC8-88D7-3D19D9612071}"/>
                </c:ext>
              </c:extLst>
            </c:dLbl>
            <c:dLbl>
              <c:idx val="5"/>
              <c:layout>
                <c:manualLayout>
                  <c:x val="6.40474051660289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19-4BC8-88D7-3D19D9612071}"/>
                </c:ext>
              </c:extLst>
            </c:dLbl>
            <c:dLbl>
              <c:idx val="6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19-4BC8-88D7-3D19D9612071}"/>
                </c:ext>
              </c:extLst>
            </c:dLbl>
            <c:dLbl>
              <c:idx val="7"/>
              <c:layout>
                <c:manualLayout>
                  <c:x val="6.40474051660284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19-4BC8-88D7-3D19D9612071}"/>
                </c:ext>
              </c:extLst>
            </c:dLbl>
            <c:dLbl>
              <c:idx val="8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19-4BC8-88D7-3D19D9612071}"/>
                </c:ext>
              </c:extLst>
            </c:dLbl>
            <c:dLbl>
              <c:idx val="9"/>
              <c:layout>
                <c:manualLayout>
                  <c:x val="9.607110774904259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19-4BC8-88D7-3D19D9612071}"/>
                </c:ext>
              </c:extLst>
            </c:dLbl>
            <c:dLbl>
              <c:idx val="10"/>
              <c:layout>
                <c:manualLayout>
                  <c:x val="8.0059256457535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19-4BC8-88D7-3D19D9612071}"/>
                </c:ext>
              </c:extLst>
            </c:dLbl>
            <c:dLbl>
              <c:idx val="11"/>
              <c:layout>
                <c:manualLayout>
                  <c:x val="6.4218776685398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19-4BC8-88D7-3D19D9612071}"/>
                </c:ext>
              </c:extLst>
            </c:dLbl>
            <c:dLbl>
              <c:idx val="13"/>
              <c:layout>
                <c:manualLayout>
                  <c:x val="5.851701301519844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categoría'!$AS$31,'Definitivo x categoría'!$AW$31,'Definitivo x categoría'!$BA$31,'Definitivo x categoría'!$BE$31,'Definitivo x categoría'!$BI$31)</c:f>
              <c:numCache>
                <c:formatCode>_(* #,##0_);_(* \(#,##0\);_(* "-"??_);_(@_)</c:formatCode>
                <c:ptCount val="5"/>
                <c:pt idx="0">
                  <c:v>2657</c:v>
                </c:pt>
                <c:pt idx="1">
                  <c:v>2680</c:v>
                </c:pt>
                <c:pt idx="2">
                  <c:v>2670</c:v>
                </c:pt>
                <c:pt idx="3">
                  <c:v>2658</c:v>
                </c:pt>
                <c:pt idx="4">
                  <c:v>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19-4BC8-88D7-3D19D9612071}"/>
            </c:ext>
          </c:extLst>
        </c:ser>
        <c:ser>
          <c:idx val="1"/>
          <c:order val="1"/>
          <c:tx>
            <c:strRef>
              <c:f>'Definitivo x categoría'!$AB$165</c:f>
              <c:strCache>
                <c:ptCount val="1"/>
                <c:pt idx="0">
                  <c:v>Asociado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categoría'!$AR$31,'Definitivo x categoría'!$AV$31,'Definitivo x categoría'!$AZ$31,'Definitivo x categoría'!$BD$31,'Definitivo x categoría'!$BH$31)</c:f>
              <c:numCache>
                <c:formatCode>_(* #,##0_);_(* \(#,##0\);_(* "-"??_);_(@_)</c:formatCode>
                <c:ptCount val="5"/>
                <c:pt idx="0">
                  <c:v>367</c:v>
                </c:pt>
                <c:pt idx="1">
                  <c:v>408</c:v>
                </c:pt>
                <c:pt idx="2">
                  <c:v>390</c:v>
                </c:pt>
                <c:pt idx="3">
                  <c:v>375</c:v>
                </c:pt>
                <c:pt idx="4">
                  <c:v>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19-4BC8-88D7-3D19D9612071}"/>
            </c:ext>
          </c:extLst>
        </c:ser>
        <c:ser>
          <c:idx val="2"/>
          <c:order val="2"/>
          <c:tx>
            <c:strRef>
              <c:f>'Definitivo x categoría'!$AB$166</c:f>
              <c:strCache>
                <c:ptCount val="1"/>
                <c:pt idx="0">
                  <c:v>Asistente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4.8034293098829055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19-4BC8-88D7-3D19D9612071}"/>
                </c:ext>
              </c:extLst>
            </c:dLbl>
            <c:dLbl>
              <c:idx val="1"/>
              <c:layout>
                <c:manualLayout>
                  <c:x val="6.4047405166028403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19-4BC8-88D7-3D19D9612071}"/>
                </c:ext>
              </c:extLst>
            </c:dLbl>
            <c:dLbl>
              <c:idx val="2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19-4BC8-88D7-3D19D9612071}"/>
                </c:ext>
              </c:extLst>
            </c:dLbl>
            <c:dLbl>
              <c:idx val="3"/>
              <c:layout>
                <c:manualLayout>
                  <c:x val="4.8035553874521296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19-4BC8-88D7-3D19D9612071}"/>
                </c:ext>
              </c:extLst>
            </c:dLbl>
            <c:dLbl>
              <c:idx val="4"/>
              <c:layout>
                <c:manualLayout>
                  <c:x val="4.8035553874521296E-3"/>
                  <c:y val="-4.5760109651311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19-4BC8-88D7-3D19D9612071}"/>
                </c:ext>
              </c:extLst>
            </c:dLbl>
            <c:dLbl>
              <c:idx val="5"/>
              <c:layout>
                <c:manualLayout>
                  <c:x val="4.8035553874520714E-3"/>
                  <c:y val="-4.57601096513115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19-4BC8-88D7-3D19D9612071}"/>
                </c:ext>
              </c:extLst>
            </c:dLbl>
            <c:dLbl>
              <c:idx val="6"/>
              <c:layout>
                <c:manualLayout>
                  <c:x val="3.6171116647444597E-3"/>
                  <c:y val="-4.575952059384283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19-4BC8-88D7-3D19D9612071}"/>
                </c:ext>
              </c:extLst>
            </c:dLbl>
            <c:dLbl>
              <c:idx val="7"/>
              <c:layout>
                <c:manualLayout>
                  <c:x val="3.6171116647445135E-3"/>
                  <c:y val="-6.86409277460364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19-4BC8-88D7-3D19D9612071}"/>
                </c:ext>
              </c:extLst>
            </c:dLbl>
            <c:dLbl>
              <c:idx val="8"/>
              <c:layout>
                <c:manualLayout>
                  <c:x val="6.4047331509015535E-3"/>
                  <c:y val="-8.7589644508174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19-4BC8-88D7-3D19D9612071}"/>
                </c:ext>
              </c:extLst>
            </c:dLbl>
            <c:dLbl>
              <c:idx val="9"/>
              <c:layout>
                <c:manualLayout>
                  <c:x val="3.7554560203178441E-3"/>
                  <c:y val="-6.86409277460366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19-4BC8-88D7-3D19D9612071}"/>
                </c:ext>
              </c:extLst>
            </c:dLbl>
            <c:dLbl>
              <c:idx val="10"/>
              <c:layout>
                <c:manualLayout>
                  <c:x val="8.0059256457536681E-3"/>
                  <c:y val="-6.86419660560874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19-4BC8-88D7-3D19D9612071}"/>
                </c:ext>
              </c:extLst>
            </c:dLbl>
            <c:dLbl>
              <c:idx val="11"/>
              <c:layout>
                <c:manualLayout>
                  <c:x val="4.3887759761396961E-3"/>
                  <c:y val="-6.27451858714968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19-4BC8-88D7-3D19D9612071}"/>
                </c:ext>
              </c:extLst>
            </c:dLbl>
            <c:dLbl>
              <c:idx val="12"/>
              <c:layout>
                <c:manualLayout>
                  <c:x val="1.4629253253799343E-3"/>
                  <c:y val="-4.18301239143314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19-4BC8-88D7-3D19D9612071}"/>
                </c:ext>
              </c:extLst>
            </c:dLbl>
            <c:dLbl>
              <c:idx val="13"/>
              <c:layout>
                <c:manualLayout>
                  <c:x val="4.3887759761396961E-3"/>
                  <c:y val="-6.27451858714970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19-4BC8-88D7-3D19D9612071}"/>
                </c:ext>
              </c:extLst>
            </c:dLbl>
            <c:dLbl>
              <c:idx val="14"/>
              <c:layout>
                <c:manualLayout>
                  <c:x val="2.9258506507597614E-3"/>
                  <c:y val="-8.36602478286624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19-4BC8-88D7-3D19D961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categoría'!$AQ$31,'Definitivo x categoría'!$AU$31,'Definitivo x categoría'!$AY$31,'Definitivo x categoría'!$BC$31,'Definitivo x categoría'!$BG$31)</c:f>
              <c:numCache>
                <c:formatCode>_(* #,##0_);_(* \(#,##0\);_(* "-"??_);_(@_)</c:formatCode>
                <c:ptCount val="5"/>
                <c:pt idx="0">
                  <c:v>33</c:v>
                </c:pt>
                <c:pt idx="1">
                  <c:v>36</c:v>
                </c:pt>
                <c:pt idx="2">
                  <c:v>30</c:v>
                </c:pt>
                <c:pt idx="3">
                  <c:v>29</c:v>
                </c:pt>
                <c:pt idx="4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CD19-4BC8-88D7-3D19D9612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1700992"/>
        <c:axId val="131944448"/>
        <c:axId val="0"/>
      </c:bar3DChart>
      <c:catAx>
        <c:axId val="13170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419"/>
          </a:p>
        </c:txPr>
        <c:crossAx val="131944448"/>
        <c:crosses val="autoZero"/>
        <c:auto val="1"/>
        <c:lblAlgn val="ctr"/>
        <c:lblOffset val="100"/>
        <c:tickMarkSkip val="1"/>
        <c:noMultiLvlLbl val="0"/>
      </c:catAx>
      <c:valAx>
        <c:axId val="13194444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170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2809365470490433E-2"/>
          <c:y val="0.94218516944246866"/>
          <c:w val="0.85728036727479406"/>
          <c:h val="4.1840491155219726E-2"/>
        </c:manualLayout>
      </c:layout>
      <c:overlay val="0"/>
      <c:txPr>
        <a:bodyPr/>
        <a:lstStyle/>
        <a:p>
          <a:pPr>
            <a:defRPr sz="1200" b="0" i="0">
              <a:latin typeface="+mn-lt"/>
            </a:defRPr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x-none" sz="1200" b="0" i="1"/>
              <a:t>Personal</a:t>
            </a:r>
            <a:r>
              <a:rPr lang="x-none" sz="1200" b="0" i="1" baseline="0"/>
              <a:t> Académico por tiempo de dedicación</a:t>
            </a:r>
            <a:endParaRPr lang="x-none" sz="1200" b="0" i="1"/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4846058488369436E-2"/>
          <c:y val="0.11946358989531908"/>
          <c:w val="0.9703078830232611"/>
          <c:h val="0.7381522697523460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'Definitivo x categoría'!$AD$176</c:f>
              <c:strCache>
                <c:ptCount val="1"/>
                <c:pt idx="0">
                  <c:v>Tiempo Completo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86564102623314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1-4B00-AFD5-AA1DD9267245}"/>
                </c:ext>
              </c:extLst>
            </c:dLbl>
            <c:dLbl>
              <c:idx val="1"/>
              <c:layout>
                <c:manualLayout>
                  <c:x val="7.3320512827914448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1-4B00-AFD5-AA1DD9267245}"/>
                </c:ext>
              </c:extLst>
            </c:dLbl>
            <c:dLbl>
              <c:idx val="2"/>
              <c:layout>
                <c:manualLayout>
                  <c:x val="8.798461539349706E-3"/>
                  <c:y val="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1-4B00-AFD5-AA1DD9267245}"/>
                </c:ext>
              </c:extLst>
            </c:dLbl>
            <c:dLbl>
              <c:idx val="3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1-4B00-AFD5-AA1DD9267245}"/>
                </c:ext>
              </c:extLst>
            </c:dLbl>
            <c:dLbl>
              <c:idx val="4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1-4B00-AFD5-AA1DD9267245}"/>
                </c:ext>
              </c:extLst>
            </c:dLbl>
            <c:dLbl>
              <c:idx val="5"/>
              <c:layout>
                <c:manualLayout>
                  <c:x val="4.3992307696749207E-3"/>
                  <c:y val="-7.975256790668314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1-4B00-AFD5-AA1DD9267245}"/>
                </c:ext>
              </c:extLst>
            </c:dLbl>
            <c:dLbl>
              <c:idx val="6"/>
              <c:layout>
                <c:manualLayout>
                  <c:x val="5.865641026233155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1-4B00-AFD5-AA1DD9267245}"/>
                </c:ext>
              </c:extLst>
            </c:dLbl>
            <c:dLbl>
              <c:idx val="7"/>
              <c:layout>
                <c:manualLayout>
                  <c:x val="7.332051282791444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1-4B00-AFD5-AA1DD9267245}"/>
                </c:ext>
              </c:extLst>
            </c:dLbl>
            <c:dLbl>
              <c:idx val="8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1-4B00-AFD5-AA1DD9267245}"/>
                </c:ext>
              </c:extLst>
            </c:dLbl>
            <c:dLbl>
              <c:idx val="9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1-4B00-AFD5-AA1DD9267245}"/>
                </c:ext>
              </c:extLst>
            </c:dLbl>
            <c:dLbl>
              <c:idx val="10"/>
              <c:layout>
                <c:manualLayout>
                  <c:x val="4.39923076967486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1-4B00-AFD5-AA1DD9267245}"/>
                </c:ext>
              </c:extLst>
            </c:dLbl>
            <c:dLbl>
              <c:idx val="11"/>
              <c:layout>
                <c:manualLayout>
                  <c:x val="5.8656410262332634E-3"/>
                  <c:y val="-2.17509516041326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1-4B00-AFD5-AA1DD9267245}"/>
                </c:ext>
              </c:extLst>
            </c:dLbl>
            <c:dLbl>
              <c:idx val="12"/>
              <c:layout>
                <c:manualLayout>
                  <c:x val="5.39856672304333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1-4B00-AFD5-AA1DD9267245}"/>
                </c:ext>
              </c:extLst>
            </c:dLbl>
            <c:dLbl>
              <c:idx val="13"/>
              <c:layout>
                <c:manualLayout>
                  <c:x val="5.3985667230434312E-3"/>
                  <c:y val="-4.21940928270042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1-4B00-AFD5-AA1DD9267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categoría'!$AT$66,'Definitivo x categoría'!$AX$66,'Definitivo x categoría'!$BB$66,'Definitivo x categoría'!$BF$66,'Definitivo x categoría'!$BJ$66)</c:f>
              <c:numCache>
                <c:formatCode>_(* #,##0_);_(* \(#,##0\);_(* "-"??_);_(@_)</c:formatCode>
                <c:ptCount val="5"/>
                <c:pt idx="0">
                  <c:v>2705</c:v>
                </c:pt>
                <c:pt idx="1">
                  <c:v>2759</c:v>
                </c:pt>
                <c:pt idx="2">
                  <c:v>2743</c:v>
                </c:pt>
                <c:pt idx="3">
                  <c:v>2732</c:v>
                </c:pt>
                <c:pt idx="4">
                  <c:v>2754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11-4B00-AFD5-AA1DD9267245}"/>
            </c:ext>
          </c:extLst>
        </c:ser>
        <c:ser>
          <c:idx val="1"/>
          <c:order val="1"/>
          <c:tx>
            <c:strRef>
              <c:f>'Definitivo x categoría'!$AD$177</c:f>
              <c:strCache>
                <c:ptCount val="1"/>
                <c:pt idx="0">
                  <c:v>Medio Tiempo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categoría'!$AT$101,'Definitivo x categoría'!$AX$101,'Definitivo x categoría'!$BB$101,'Definitivo x categoría'!$BF$101,'Definitivo x categoría'!$BJ$101)</c:f>
              <c:numCache>
                <c:formatCode>_(* #,##0_);_(* \(#,##0\);_(* "-"??_);_(@_)</c:formatCode>
                <c:ptCount val="5"/>
                <c:pt idx="0">
                  <c:v>192</c:v>
                </c:pt>
                <c:pt idx="1">
                  <c:v>194</c:v>
                </c:pt>
                <c:pt idx="2">
                  <c:v>187</c:v>
                </c:pt>
                <c:pt idx="3">
                  <c:v>176</c:v>
                </c:pt>
                <c:pt idx="4">
                  <c:v>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B11-4B00-AFD5-AA1DD9267245}"/>
            </c:ext>
          </c:extLst>
        </c:ser>
        <c:ser>
          <c:idx val="2"/>
          <c:order val="2"/>
          <c:tx>
            <c:strRef>
              <c:f>'Definitivo x categoría'!$AD$178</c:f>
              <c:strCache>
                <c:ptCount val="1"/>
                <c:pt idx="0">
                  <c:v>Tiempo Parcial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/>
              </a:solidFill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'Definitivo x categoría'!$AB$153:$AB$157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('Definitivo x categoría'!$AT$136,'Definitivo x categoría'!$AX$136,'Definitivo x categoría'!$BB$136,'Definitivo x categoría'!$BF$136,'Definitivo x categoría'!$BJ$136)</c:f>
              <c:numCache>
                <c:formatCode>_(* #,##0_);_(* \(#,##0\);_(* "-"??_);_(@_)</c:formatCode>
                <c:ptCount val="5"/>
                <c:pt idx="0">
                  <c:v>160</c:v>
                </c:pt>
                <c:pt idx="1">
                  <c:v>171</c:v>
                </c:pt>
                <c:pt idx="2">
                  <c:v>160</c:v>
                </c:pt>
                <c:pt idx="3">
                  <c:v>154</c:v>
                </c:pt>
                <c:pt idx="4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B11-4B00-AFD5-AA1DD9267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2536192"/>
        <c:axId val="132537728"/>
        <c:axId val="0"/>
      </c:bar3DChart>
      <c:catAx>
        <c:axId val="1325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419"/>
          </a:p>
        </c:txPr>
        <c:crossAx val="132537728"/>
        <c:crosses val="autoZero"/>
        <c:auto val="1"/>
        <c:lblAlgn val="ctr"/>
        <c:lblOffset val="100"/>
        <c:tickMarkSkip val="1"/>
        <c:noMultiLvlLbl val="0"/>
      </c:catAx>
      <c:valAx>
        <c:axId val="132537728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253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6.275403671077763E-2"/>
          <c:y val="0.94216684939698991"/>
          <c:w val="0.91422753955778724"/>
          <c:h val="4.1840491155219726E-2"/>
        </c:manualLayout>
      </c:layout>
      <c:overlay val="0"/>
      <c:txPr>
        <a:bodyPr/>
        <a:lstStyle/>
        <a:p>
          <a:pPr>
            <a:defRPr sz="1200" b="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 b="0" i="1" baseline="0">
                <a:effectLst/>
              </a:rPr>
              <a:t>Personal Académico Definitivo por rangos de edad</a:t>
            </a:r>
            <a:endParaRPr lang="es-MX" sz="1400">
              <a:effectLst/>
            </a:endParaRP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4481627296585E-3"/>
          <c:y val="8.9607302724350635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66330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D0-495B-9FFC-2BB387D276F3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D0-495B-9FFC-2BB387D276F3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D0-495B-9FFC-2BB387D276F3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D0-495B-9FFC-2BB387D276F3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D0-495B-9FFC-2BB387D276F3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D0-495B-9FFC-2BB387D276F3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D0-495B-9FFC-2BB387D276F3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D0-495B-9FFC-2BB387D276F3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D0-495B-9FFC-2BB387D276F3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D0-495B-9FFC-2BB387D276F3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D0-495B-9FFC-2BB387D276F3}"/>
                </c:ext>
              </c:extLst>
            </c:dLbl>
            <c:dLbl>
              <c:idx val="14"/>
              <c:layout>
                <c:manualLayout>
                  <c:x val="0"/>
                  <c:y val="9.07801175102158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3A-4DC5-8DAD-0D6289147454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6633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EDAD'!$C$33:$M$33,'ACAD x EDAD'!$N$33,'ACAD x EDAD'!$O$33,'ACAD x EDAD'!$P$33,'ACAD x EDAD'!$Q$33)</c:f>
              <c:numCache>
                <c:formatCode>0.0%</c:formatCode>
                <c:ptCount val="15"/>
                <c:pt idx="0">
                  <c:v>4.6181172291296629E-3</c:v>
                </c:pt>
                <c:pt idx="1">
                  <c:v>3.9048633297834577E-3</c:v>
                </c:pt>
                <c:pt idx="2">
                  <c:v>4.5566070802663863E-3</c:v>
                </c:pt>
                <c:pt idx="3">
                  <c:v>4.1884816753926706E-3</c:v>
                </c:pt>
                <c:pt idx="4">
                  <c:v>3.4698126301179735E-3</c:v>
                </c:pt>
                <c:pt idx="5">
                  <c:v>4.8409405255878286E-3</c:v>
                </c:pt>
                <c:pt idx="6">
                  <c:v>3.7787701820680177E-3</c:v>
                </c:pt>
                <c:pt idx="7">
                  <c:v>2.7045300878972278E-3</c:v>
                </c:pt>
                <c:pt idx="8">
                  <c:v>3.9946737683089215E-3</c:v>
                </c:pt>
                <c:pt idx="9">
                  <c:v>3.6351619299405157E-3</c:v>
                </c:pt>
                <c:pt idx="10">
                  <c:v>3.9254170755642784E-3</c:v>
                </c:pt>
                <c:pt idx="11">
                  <c:v>5.7618437900128043E-3</c:v>
                </c:pt>
                <c:pt idx="12">
                  <c:v>3.5598705501618125E-3</c:v>
                </c:pt>
                <c:pt idx="13">
                  <c:v>2.939255388634879E-3</c:v>
                </c:pt>
                <c:pt idx="14">
                  <c:v>3.90625E-3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D0-495B-9FFC-2BB387D276F3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D0-495B-9FFC-2BB387D276F3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D0-495B-9FFC-2BB387D276F3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D0-495B-9FFC-2BB387D276F3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D0-495B-9FFC-2BB387D276F3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D0-495B-9FFC-2BB387D276F3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D0-495B-9FFC-2BB387D276F3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D0-495B-9FFC-2BB387D276F3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D0-495B-9FFC-2BB387D276F3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D0-495B-9FFC-2BB387D276F3}"/>
                </c:ext>
              </c:extLst>
            </c:dLbl>
            <c:dLbl>
              <c:idx val="14"/>
              <c:layout>
                <c:manualLayout>
                  <c:x val="3.9062499999998092E-3"/>
                  <c:y val="-1.66428292841555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3A-4DC5-8DAD-0D628914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EDAD'!$C$34:$M$34,'ACAD x EDAD'!$N$34,'ACAD x EDAD'!$O$34,'ACAD x EDAD'!$P$34,'ACAD x EDAD'!$Q$34)</c:f>
              <c:numCache>
                <c:formatCode>0.0%</c:formatCode>
                <c:ptCount val="15"/>
                <c:pt idx="0">
                  <c:v>0.12753108348134992</c:v>
                </c:pt>
                <c:pt idx="1">
                  <c:v>0.10898118565850196</c:v>
                </c:pt>
                <c:pt idx="2">
                  <c:v>9.3235191026989128E-2</c:v>
                </c:pt>
                <c:pt idx="3">
                  <c:v>8.5165794066317621E-2</c:v>
                </c:pt>
                <c:pt idx="4">
                  <c:v>8.5357390700902147E-2</c:v>
                </c:pt>
                <c:pt idx="5">
                  <c:v>8.7136929460580909E-2</c:v>
                </c:pt>
                <c:pt idx="6">
                  <c:v>8.2102370319477841E-2</c:v>
                </c:pt>
                <c:pt idx="7">
                  <c:v>7.9107505070993914E-2</c:v>
                </c:pt>
                <c:pt idx="8">
                  <c:v>7.3901464713715045E-2</c:v>
                </c:pt>
                <c:pt idx="9">
                  <c:v>7.3364177131526764E-2</c:v>
                </c:pt>
                <c:pt idx="10">
                  <c:v>7.4910042525351647E-2</c:v>
                </c:pt>
                <c:pt idx="11">
                  <c:v>7.6184379001280403E-2</c:v>
                </c:pt>
                <c:pt idx="12">
                  <c:v>7.4110032362459541E-2</c:v>
                </c:pt>
                <c:pt idx="13">
                  <c:v>7.0868713259307645E-2</c:v>
                </c:pt>
                <c:pt idx="14">
                  <c:v>6.5755208333333329E-2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ED0-495B-9FFC-2BB387D276F3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D0-495B-9FFC-2BB387D276F3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D0-495B-9FFC-2BB387D276F3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D0-495B-9FFC-2BB387D276F3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D0-495B-9FFC-2BB387D276F3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D0-495B-9FFC-2BB387D276F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D0-495B-9FFC-2BB387D276F3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D0-495B-9FFC-2BB387D276F3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D0-495B-9FFC-2BB387D276F3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ED0-495B-9FFC-2BB387D276F3}"/>
                </c:ext>
              </c:extLst>
            </c:dLbl>
            <c:dLbl>
              <c:idx val="14"/>
              <c:layout>
                <c:manualLayout>
                  <c:x val="5.208333333333333E-3"/>
                  <c:y val="2.26950293775548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3A-4DC5-8DAD-0D628914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EDAD'!$C$35:$M$35,'ACAD x EDAD'!$N$35,'ACAD x EDAD'!$O$35,'ACAD x EDAD'!$P$35,'ACAD x EDAD'!$Q$35)</c:f>
              <c:numCache>
                <c:formatCode>0.0%</c:formatCode>
                <c:ptCount val="15"/>
                <c:pt idx="0">
                  <c:v>0.39751332149200713</c:v>
                </c:pt>
                <c:pt idx="1">
                  <c:v>0.38019169329073482</c:v>
                </c:pt>
                <c:pt idx="2">
                  <c:v>0.36172450052576238</c:v>
                </c:pt>
                <c:pt idx="3">
                  <c:v>0.33752181500872602</c:v>
                </c:pt>
                <c:pt idx="4">
                  <c:v>0.32234559333795976</c:v>
                </c:pt>
                <c:pt idx="5">
                  <c:v>0.29045643153526973</c:v>
                </c:pt>
                <c:pt idx="6">
                  <c:v>0.27310202679491585</c:v>
                </c:pt>
                <c:pt idx="7">
                  <c:v>0.25185936443542933</c:v>
                </c:pt>
                <c:pt idx="8">
                  <c:v>0.23668442077230359</c:v>
                </c:pt>
                <c:pt idx="9">
                  <c:v>0.21943159286186384</c:v>
                </c:pt>
                <c:pt idx="10">
                  <c:v>0.20804710500490678</c:v>
                </c:pt>
                <c:pt idx="11">
                  <c:v>0.19878361075544174</c:v>
                </c:pt>
                <c:pt idx="12">
                  <c:v>0.18284789644012944</c:v>
                </c:pt>
                <c:pt idx="13">
                  <c:v>0.1760287393860222</c:v>
                </c:pt>
                <c:pt idx="14">
                  <c:v>0.17350260416666666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D0-495B-9FFC-2BB387D276F3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D0-495B-9FFC-2BB387D276F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D0-495B-9FFC-2BB387D276F3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D0-495B-9FFC-2BB387D276F3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D0-495B-9FFC-2BB387D276F3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ED0-495B-9FFC-2BB387D276F3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D0-495B-9FFC-2BB387D276F3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D0-495B-9FFC-2BB387D276F3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ED0-495B-9FFC-2BB387D276F3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D0-495B-9FFC-2BB387D276F3}"/>
                </c:ext>
              </c:extLst>
            </c:dLbl>
            <c:dLbl>
              <c:idx val="14"/>
              <c:layout>
                <c:manualLayout>
                  <c:x val="7.8125E-3"/>
                  <c:y val="-2.2695029377553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3A-4DC5-8DAD-0D628914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EDAD'!$C$36:$O$36,'ACAD x EDAD'!$P$36,'ACAD x EDAD'!$Q$36)</c:f>
              <c:numCache>
                <c:formatCode>0.0%</c:formatCode>
                <c:ptCount val="15"/>
                <c:pt idx="0">
                  <c:v>0.35808170515097693</c:v>
                </c:pt>
                <c:pt idx="1">
                  <c:v>0.37344692935747248</c:v>
                </c:pt>
                <c:pt idx="2">
                  <c:v>0.39046617595513494</c:v>
                </c:pt>
                <c:pt idx="3">
                  <c:v>0.40244328097731241</c:v>
                </c:pt>
                <c:pt idx="4">
                  <c:v>0.40874392782789731</c:v>
                </c:pt>
                <c:pt idx="5">
                  <c:v>0.41874135546334718</c:v>
                </c:pt>
                <c:pt idx="6">
                  <c:v>0.41841291652353141</c:v>
                </c:pt>
                <c:pt idx="7">
                  <c:v>0.41717376605814738</c:v>
                </c:pt>
                <c:pt idx="8">
                  <c:v>0.40545938748335553</c:v>
                </c:pt>
                <c:pt idx="9">
                  <c:v>0.40085922009253139</c:v>
                </c:pt>
                <c:pt idx="10">
                  <c:v>0.39090611710827611</c:v>
                </c:pt>
                <c:pt idx="11">
                  <c:v>0.37419974391805377</c:v>
                </c:pt>
                <c:pt idx="12">
                  <c:v>0.36634304207119739</c:v>
                </c:pt>
                <c:pt idx="13">
                  <c:v>0.34454604833442193</c:v>
                </c:pt>
                <c:pt idx="14">
                  <c:v>0.3271484375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BED0-495B-9FFC-2BB387D276F3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D0-495B-9FFC-2BB387D276F3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D0-495B-9FFC-2BB387D276F3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ED0-495B-9FFC-2BB387D276F3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D0-495B-9FFC-2BB387D276F3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ED0-495B-9FFC-2BB387D276F3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D0-495B-9FFC-2BB387D276F3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ED0-495B-9FFC-2BB387D276F3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D0-495B-9FFC-2BB387D276F3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ED0-495B-9FFC-2BB387D276F3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ED0-495B-9FFC-2BB387D276F3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ED0-495B-9FFC-2BB387D276F3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ED0-495B-9FFC-2BB387D276F3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ED0-495B-9FFC-2BB387D276F3}"/>
                </c:ext>
              </c:extLst>
            </c:dLbl>
            <c:dLbl>
              <c:idx val="14"/>
              <c:layout>
                <c:manualLayout>
                  <c:x val="6.5104166666666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3A-4DC5-8DAD-0D628914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EDAD'!$C$37:$M$37,'ACAD x EDAD'!$N$37,'ACAD x EDAD'!$O$37,'ACAD x EDAD'!$P$37,'ACAD x EDAD'!$Q$37)</c:f>
              <c:numCache>
                <c:formatCode>0.0%</c:formatCode>
                <c:ptCount val="15"/>
                <c:pt idx="0">
                  <c:v>9.6980461811722915E-2</c:v>
                </c:pt>
                <c:pt idx="1">
                  <c:v>0.11501597444089456</c:v>
                </c:pt>
                <c:pt idx="2">
                  <c:v>0.12828601472134596</c:v>
                </c:pt>
                <c:pt idx="3">
                  <c:v>0.15148342059336825</c:v>
                </c:pt>
                <c:pt idx="4">
                  <c:v>0.16204024982650936</c:v>
                </c:pt>
                <c:pt idx="5">
                  <c:v>0.17807745504840941</c:v>
                </c:pt>
                <c:pt idx="6">
                  <c:v>0.19649604946753693</c:v>
                </c:pt>
                <c:pt idx="7">
                  <c:v>0.2194050033806626</c:v>
                </c:pt>
                <c:pt idx="8">
                  <c:v>0.24234354194407456</c:v>
                </c:pt>
                <c:pt idx="9">
                  <c:v>0.25842696629213485</c:v>
                </c:pt>
                <c:pt idx="10">
                  <c:v>0.27052666012430487</c:v>
                </c:pt>
                <c:pt idx="11">
                  <c:v>0.28104993597951344</c:v>
                </c:pt>
                <c:pt idx="12">
                  <c:v>0.29676375404530747</c:v>
                </c:pt>
                <c:pt idx="13">
                  <c:v>0.31417374265186154</c:v>
                </c:pt>
                <c:pt idx="14">
                  <c:v>0.33040364583333331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BED0-495B-9FFC-2BB387D276F3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ED0-495B-9FFC-2BB387D276F3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ED0-495B-9FFC-2BB387D276F3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ED0-495B-9FFC-2BB387D276F3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ED0-495B-9FFC-2BB387D276F3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ED0-495B-9FFC-2BB387D276F3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ED0-495B-9FFC-2BB387D276F3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ED0-495B-9FFC-2BB387D276F3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ED0-495B-9FFC-2BB387D276F3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ED0-495B-9FFC-2BB387D276F3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ED0-495B-9FFC-2BB387D276F3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ED0-495B-9FFC-2BB387D276F3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ED0-495B-9FFC-2BB387D276F3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ED0-495B-9FFC-2BB387D276F3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ED0-495B-9FFC-2BB387D276F3}"/>
                </c:ext>
              </c:extLst>
            </c:dLbl>
            <c:dLbl>
              <c:idx val="14"/>
              <c:layout>
                <c:manualLayout>
                  <c:x val="5.208333333333333E-3"/>
                  <c:y val="-2.26950293775541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3A-4DC5-8DAD-0D6289147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EDAD'!$C$32:$P$32,'ACAD x EDAD'!$Q$32)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EDAD'!$C$38:$M$38,'ACAD x EDAD'!$N$38,'ACAD x EDAD'!$O$38,'ACAD x EDAD'!$P$38,'ACAD x EDAD'!$Q$38)</c:f>
              <c:numCache>
                <c:formatCode>0.0%</c:formatCode>
                <c:ptCount val="15"/>
                <c:pt idx="0">
                  <c:v>1.52753108348135E-2</c:v>
                </c:pt>
                <c:pt idx="1">
                  <c:v>1.845935392261271E-2</c:v>
                </c:pt>
                <c:pt idx="2">
                  <c:v>2.1731510690501228E-2</c:v>
                </c:pt>
                <c:pt idx="3">
                  <c:v>1.9197207678883072E-2</c:v>
                </c:pt>
                <c:pt idx="4">
                  <c:v>1.8043025676613464E-2</c:v>
                </c:pt>
                <c:pt idx="5">
                  <c:v>2.0746887966804978E-2</c:v>
                </c:pt>
                <c:pt idx="6">
                  <c:v>2.6107866712469941E-2</c:v>
                </c:pt>
                <c:pt idx="7">
                  <c:v>2.9749830966869506E-2</c:v>
                </c:pt>
                <c:pt idx="8">
                  <c:v>3.7616511318242341E-2</c:v>
                </c:pt>
                <c:pt idx="9">
                  <c:v>4.4282881692002646E-2</c:v>
                </c:pt>
                <c:pt idx="10">
                  <c:v>5.1684658161596335E-2</c:v>
                </c:pt>
                <c:pt idx="11">
                  <c:v>6.4020486555697823E-2</c:v>
                </c:pt>
                <c:pt idx="12">
                  <c:v>7.6375404530744331E-2</c:v>
                </c:pt>
                <c:pt idx="13">
                  <c:v>9.1443500979751791E-2</c:v>
                </c:pt>
                <c:pt idx="14">
                  <c:v>9.9283854166666671E-2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BED0-495B-9FFC-2BB387D27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38379648"/>
        <c:axId val="138381184"/>
        <c:axId val="0"/>
      </c:bar3DChart>
      <c:catAx>
        <c:axId val="13837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8381184"/>
        <c:crosses val="autoZero"/>
        <c:auto val="1"/>
        <c:lblAlgn val="ctr"/>
        <c:lblOffset val="100"/>
        <c:noMultiLvlLbl val="0"/>
      </c:catAx>
      <c:valAx>
        <c:axId val="1383811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8379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1240054954068238E-2"/>
          <c:y val="0.9395575970359934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389996502273523E-2"/>
          <c:y val="3.4466490735245374E-2"/>
          <c:w val="0.97182815421944235"/>
          <c:h val="0.78816584160109993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chemeClr val="tx1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33-48BF-A1DF-6DB06DF4AC9A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33-48BF-A1DF-6DB06DF4AC9A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33-48BF-A1DF-6DB06DF4AC9A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33-48BF-A1DF-6DB06DF4AC9A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33-48BF-A1DF-6DB06DF4AC9A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33-48BF-A1DF-6DB06DF4AC9A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33-48BF-A1DF-6DB06DF4AC9A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33-48BF-A1DF-6DB06DF4AC9A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33-48BF-A1DF-6DB06DF4AC9A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EDAD'!$J$33:$N$33</c:f>
              <c:numCache>
                <c:formatCode>0.0%</c:formatCode>
                <c:ptCount val="5"/>
                <c:pt idx="0">
                  <c:v>2.7045300878972278E-3</c:v>
                </c:pt>
                <c:pt idx="1">
                  <c:v>3.9946737683089215E-3</c:v>
                </c:pt>
                <c:pt idx="2">
                  <c:v>3.6351619299405157E-3</c:v>
                </c:pt>
                <c:pt idx="3">
                  <c:v>3.9254170755642784E-3</c:v>
                </c:pt>
                <c:pt idx="4">
                  <c:v>5.7618437900128043E-3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233-48BF-A1DF-6DB06DF4AC9A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33-48BF-A1DF-6DB06DF4AC9A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33-48BF-A1DF-6DB06DF4AC9A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33-48BF-A1DF-6DB06DF4AC9A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33-48BF-A1DF-6DB06DF4AC9A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33-48BF-A1DF-6DB06DF4AC9A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33-48BF-A1DF-6DB06DF4AC9A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EDAD'!$J$34:$N$34</c:f>
              <c:numCache>
                <c:formatCode>0.0%</c:formatCode>
                <c:ptCount val="5"/>
                <c:pt idx="0">
                  <c:v>7.9107505070993914E-2</c:v>
                </c:pt>
                <c:pt idx="1">
                  <c:v>7.3901464713715045E-2</c:v>
                </c:pt>
                <c:pt idx="2">
                  <c:v>7.3364177131526764E-2</c:v>
                </c:pt>
                <c:pt idx="3">
                  <c:v>7.4910042525351647E-2</c:v>
                </c:pt>
                <c:pt idx="4">
                  <c:v>7.6184379001280403E-2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233-48BF-A1DF-6DB06DF4AC9A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33-48BF-A1DF-6DB06DF4AC9A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33-48BF-A1DF-6DB06DF4AC9A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33-48BF-A1DF-6DB06DF4AC9A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33-48BF-A1DF-6DB06DF4AC9A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233-48BF-A1DF-6DB06DF4AC9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233-48BF-A1DF-6DB06DF4AC9A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233-48BF-A1DF-6DB06DF4AC9A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EDAD'!$J$35:$N$35</c:f>
              <c:numCache>
                <c:formatCode>0.0%</c:formatCode>
                <c:ptCount val="5"/>
                <c:pt idx="0">
                  <c:v>0.25185936443542933</c:v>
                </c:pt>
                <c:pt idx="1">
                  <c:v>0.23668442077230359</c:v>
                </c:pt>
                <c:pt idx="2">
                  <c:v>0.21943159286186384</c:v>
                </c:pt>
                <c:pt idx="3">
                  <c:v>0.20804710500490678</c:v>
                </c:pt>
                <c:pt idx="4">
                  <c:v>0.19878361075544174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233-48BF-A1DF-6DB06DF4AC9A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233-48BF-A1DF-6DB06DF4AC9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233-48BF-A1DF-6DB06DF4AC9A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233-48BF-A1DF-6DB06DF4AC9A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233-48BF-A1DF-6DB06DF4AC9A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233-48BF-A1DF-6DB06DF4AC9A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233-48BF-A1DF-6DB06DF4AC9A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233-48BF-A1DF-6DB06DF4AC9A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EDAD'!$J$36:$N$36</c:f>
              <c:numCache>
                <c:formatCode>0.0%</c:formatCode>
                <c:ptCount val="5"/>
                <c:pt idx="0">
                  <c:v>0.41717376605814738</c:v>
                </c:pt>
                <c:pt idx="1">
                  <c:v>0.40545938748335553</c:v>
                </c:pt>
                <c:pt idx="2">
                  <c:v>0.40085922009253139</c:v>
                </c:pt>
                <c:pt idx="3">
                  <c:v>0.39090611710827611</c:v>
                </c:pt>
                <c:pt idx="4">
                  <c:v>0.37419974391805377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4233-48BF-A1DF-6DB06DF4AC9A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233-48BF-A1DF-6DB06DF4AC9A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233-48BF-A1DF-6DB06DF4AC9A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233-48BF-A1DF-6DB06DF4AC9A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233-48BF-A1DF-6DB06DF4AC9A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233-48BF-A1DF-6DB06DF4AC9A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233-48BF-A1DF-6DB06DF4AC9A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233-48BF-A1DF-6DB06DF4AC9A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233-48BF-A1DF-6DB06DF4AC9A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233-48BF-A1DF-6DB06DF4AC9A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233-48BF-A1DF-6DB06DF4AC9A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EDAD'!$J$37:$N$37</c:f>
              <c:numCache>
                <c:formatCode>0.0%</c:formatCode>
                <c:ptCount val="5"/>
                <c:pt idx="0">
                  <c:v>0.2194050033806626</c:v>
                </c:pt>
                <c:pt idx="1">
                  <c:v>0.24234354194407456</c:v>
                </c:pt>
                <c:pt idx="2">
                  <c:v>0.25842696629213485</c:v>
                </c:pt>
                <c:pt idx="3">
                  <c:v>0.27052666012430487</c:v>
                </c:pt>
                <c:pt idx="4">
                  <c:v>0.28104993597951344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E-4233-48BF-A1DF-6DB06DF4AC9A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233-48BF-A1DF-6DB06DF4AC9A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233-48BF-A1DF-6DB06DF4AC9A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233-48BF-A1DF-6DB06DF4AC9A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233-48BF-A1DF-6DB06DF4AC9A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233-48BF-A1DF-6DB06DF4AC9A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233-48BF-A1DF-6DB06DF4AC9A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233-48BF-A1DF-6DB06DF4AC9A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233-48BF-A1DF-6DB06DF4AC9A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233-48BF-A1DF-6DB06DF4AC9A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4233-48BF-A1DF-6DB06DF4AC9A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233-48BF-A1DF-6DB06DF4AC9A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233-48BF-A1DF-6DB06DF4A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EDAD'!$J$32:$N$32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EDAD'!$J$38:$N$38</c:f>
              <c:numCache>
                <c:formatCode>0.0%</c:formatCode>
                <c:ptCount val="5"/>
                <c:pt idx="0">
                  <c:v>2.9749830966869506E-2</c:v>
                </c:pt>
                <c:pt idx="1">
                  <c:v>3.7616511318242341E-2</c:v>
                </c:pt>
                <c:pt idx="2">
                  <c:v>4.4282881692002646E-2</c:v>
                </c:pt>
                <c:pt idx="3">
                  <c:v>5.1684658161596335E-2</c:v>
                </c:pt>
                <c:pt idx="4">
                  <c:v>6.4020486555697823E-2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B-4233-48BF-A1DF-6DB06DF4A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38537984"/>
        <c:axId val="138588928"/>
        <c:axId val="0"/>
      </c:bar3DChart>
      <c:catAx>
        <c:axId val="13853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8588928"/>
        <c:crosses val="autoZero"/>
        <c:auto val="1"/>
        <c:lblAlgn val="ctr"/>
        <c:lblOffset val="100"/>
        <c:noMultiLvlLbl val="0"/>
      </c:catAx>
      <c:valAx>
        <c:axId val="1385889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853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3309080035881591E-2"/>
          <c:y val="0.92523737542129192"/>
          <c:w val="0.85664385306267099"/>
          <c:h val="5.6136317192815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9.1335009773651846E-3"/>
          <c:y val="3.3532522268629593E-2"/>
          <c:w val="0.97182815421944235"/>
          <c:h val="0.77548647331573839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EDAD'!$A$33</c:f>
              <c:strCache>
                <c:ptCount val="1"/>
                <c:pt idx="0">
                  <c:v>HASTA 30 AÑOS</c:v>
                </c:pt>
              </c:strCache>
            </c:strRef>
          </c:tx>
          <c:spPr>
            <a:solidFill>
              <a:srgbClr val="663300"/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503017818974E-3"/>
                  <c:y val="1.2417538257262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8-4691-A712-0071A9248570}"/>
                </c:ext>
              </c:extLst>
            </c:dLbl>
            <c:dLbl>
              <c:idx val="1"/>
              <c:layout>
                <c:manualLayout>
                  <c:x val="4.2507503017818974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8-4691-A712-0071A9248570}"/>
                </c:ext>
              </c:extLst>
            </c:dLbl>
            <c:dLbl>
              <c:idx val="3"/>
              <c:layout>
                <c:manualLayout>
                  <c:x val="5.6677293659227771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8-4691-A712-0071A9248570}"/>
                </c:ext>
              </c:extLst>
            </c:dLbl>
            <c:dLbl>
              <c:idx val="4"/>
              <c:layout>
                <c:manualLayout>
                  <c:x val="4.250797024442134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8-4691-A712-0071A9248570}"/>
                </c:ext>
              </c:extLst>
            </c:dLbl>
            <c:dLbl>
              <c:idx val="5"/>
              <c:layout>
                <c:manualLayout>
                  <c:x val="5.6677408994761733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8-4691-A712-0071A9248570}"/>
                </c:ext>
              </c:extLst>
            </c:dLbl>
            <c:dLbl>
              <c:idx val="7"/>
              <c:layout>
                <c:manualLayout>
                  <c:x val="7.0742106603763136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8-4691-A712-0071A9248570}"/>
                </c:ext>
              </c:extLst>
            </c:dLbl>
            <c:dLbl>
              <c:idx val="8"/>
              <c:layout>
                <c:manualLayout>
                  <c:x val="7.0846207515199841E-3"/>
                  <c:y val="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8-4691-A712-0071A9248570}"/>
                </c:ext>
              </c:extLst>
            </c:dLbl>
            <c:dLbl>
              <c:idx val="9"/>
              <c:layout>
                <c:manualLayout>
                  <c:x val="5.6677408994761733E-3"/>
                  <c:y val="1.2417538257262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8-4691-A712-0071A9248570}"/>
                </c:ext>
              </c:extLst>
            </c:dLbl>
            <c:dLbl>
              <c:idx val="11"/>
              <c:layout>
                <c:manualLayout>
                  <c:x val="1.4064697609001407E-3"/>
                  <c:y val="1.5521922821577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8-4691-A712-0071A9248570}"/>
                </c:ext>
              </c:extLst>
            </c:dLbl>
            <c:dLbl>
              <c:idx val="12"/>
              <c:layout>
                <c:manualLayout>
                  <c:x val="3.8387719798662957E-3"/>
                  <c:y val="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8-4691-A712-0071A9248570}"/>
                </c:ext>
              </c:extLst>
            </c:dLbl>
            <c:dLbl>
              <c:idx val="13"/>
              <c:layout>
                <c:manualLayout>
                  <c:x val="3.992016386336659E-3"/>
                  <c:y val="1.2519560581167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8-4691-A712-0071A9248570}"/>
                </c:ext>
              </c:extLst>
            </c:dLbl>
            <c:spPr>
              <a:scene3d>
                <a:camera prst="orthographicFront"/>
                <a:lightRig rig="threePt" dir="t"/>
              </a:scene3d>
              <a:sp3d>
                <a:bevelB w="165100" prst="coolSlant"/>
              </a:sp3d>
            </c:spPr>
            <c:txPr>
              <a:bodyPr/>
              <a:lstStyle/>
              <a:p>
                <a:pPr>
                  <a:defRPr sz="800">
                    <a:solidFill>
                      <a:srgbClr val="6633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EDAD'!$M$33:$Q$33</c:f>
              <c:numCache>
                <c:formatCode>0.0%</c:formatCode>
                <c:ptCount val="5"/>
                <c:pt idx="0">
                  <c:v>3.9254170755642784E-3</c:v>
                </c:pt>
                <c:pt idx="1">
                  <c:v>5.7618437900128043E-3</c:v>
                </c:pt>
                <c:pt idx="2">
                  <c:v>3.5598705501618125E-3</c:v>
                </c:pt>
                <c:pt idx="3">
                  <c:v>2.939255388634879E-3</c:v>
                </c:pt>
                <c:pt idx="4">
                  <c:v>3.90625E-3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58-4691-A712-0071A9248570}"/>
            </c:ext>
          </c:extLst>
        </c:ser>
        <c:ser>
          <c:idx val="1"/>
          <c:order val="1"/>
          <c:tx>
            <c:strRef>
              <c:f>'ACAD x EDAD'!$A$34</c:f>
              <c:strCache>
                <c:ptCount val="1"/>
                <c:pt idx="0">
                  <c:v>31 - 40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58-4691-A712-0071A9248570}"/>
                </c:ext>
              </c:extLst>
            </c:dLbl>
            <c:dLbl>
              <c:idx val="1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8-4691-A712-0071A9248570}"/>
                </c:ext>
              </c:extLst>
            </c:dLbl>
            <c:dLbl>
              <c:idx val="2"/>
              <c:layout>
                <c:manualLayout>
                  <c:x val="8.5015940488841653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8-4691-A712-0071A9248570}"/>
                </c:ext>
              </c:extLst>
            </c:dLbl>
            <c:dLbl>
              <c:idx val="5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8-4691-A712-0071A9248570}"/>
                </c:ext>
              </c:extLst>
            </c:dLbl>
            <c:dLbl>
              <c:idx val="8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8-4691-A712-0071A9248570}"/>
                </c:ext>
              </c:extLst>
            </c:dLbl>
            <c:dLbl>
              <c:idx val="9"/>
              <c:layout>
                <c:manualLayout>
                  <c:x val="8.5015940488842694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8-4691-A712-0071A9248570}"/>
                </c:ext>
              </c:extLst>
            </c:dLbl>
            <c:dLbl>
              <c:idx val="11"/>
              <c:layout>
                <c:manualLayout>
                  <c:x val="8.438818565400740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8-4691-A712-0071A9248570}"/>
                </c:ext>
              </c:extLst>
            </c:dLbl>
            <c:dLbl>
              <c:idx val="12"/>
              <c:layout>
                <c:manualLayout>
                  <c:x val="1.0236725279643456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8-4691-A712-0071A9248570}"/>
                </c:ext>
              </c:extLst>
            </c:dLbl>
            <c:dLbl>
              <c:idx val="13"/>
              <c:layout>
                <c:manualLayout>
                  <c:x val="5.32268851511554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EDAD'!$M$34:$Q$34</c:f>
              <c:numCache>
                <c:formatCode>0.0%</c:formatCode>
                <c:ptCount val="5"/>
                <c:pt idx="0">
                  <c:v>7.4910042525351647E-2</c:v>
                </c:pt>
                <c:pt idx="1">
                  <c:v>7.6184379001280403E-2</c:v>
                </c:pt>
                <c:pt idx="2">
                  <c:v>7.4110032362459541E-2</c:v>
                </c:pt>
                <c:pt idx="3">
                  <c:v>7.0868713259307645E-2</c:v>
                </c:pt>
                <c:pt idx="4">
                  <c:v>6.5755208333333329E-2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B58-4691-A712-0071A9248570}"/>
            </c:ext>
          </c:extLst>
        </c:ser>
        <c:ser>
          <c:idx val="2"/>
          <c:order val="2"/>
          <c:tx>
            <c:strRef>
              <c:f>'ACAD x EDAD'!$A$35</c:f>
              <c:strCache>
                <c:ptCount val="1"/>
                <c:pt idx="0">
                  <c:v>41 - 50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8-4691-A712-0071A9248570}"/>
                </c:ext>
              </c:extLst>
            </c:dLbl>
            <c:dLbl>
              <c:idx val="1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8-4691-A712-0071A9248570}"/>
                </c:ext>
              </c:extLst>
            </c:dLbl>
            <c:dLbl>
              <c:idx val="2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B58-4691-A712-0071A9248570}"/>
                </c:ext>
              </c:extLst>
            </c:dLbl>
            <c:dLbl>
              <c:idx val="4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58-4691-A712-0071A9248570}"/>
                </c:ext>
              </c:extLst>
            </c:dLbl>
            <c:dLbl>
              <c:idx val="5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B58-4691-A712-0071A924857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58-4691-A712-0071A9248570}"/>
                </c:ext>
              </c:extLst>
            </c:dLbl>
            <c:dLbl>
              <c:idx val="9"/>
              <c:layout>
                <c:manualLayout>
                  <c:x val="7.0846617074033676E-3"/>
                  <c:y val="-6.2087691286310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-9.3131536929465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58-4691-A712-0071A9248570}"/>
                </c:ext>
              </c:extLst>
            </c:dLbl>
            <c:dLbl>
              <c:idx val="11"/>
              <c:layout>
                <c:manualLayout>
                  <c:x val="7.03234880450070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58-4691-A712-0071A9248570}"/>
                </c:ext>
              </c:extLst>
            </c:dLbl>
            <c:dLbl>
              <c:idx val="13"/>
              <c:layout>
                <c:manualLayout>
                  <c:x val="5.3226885151155447E-3"/>
                  <c:y val="-5.0078242324672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EDAD'!$M$35:$Q$35</c:f>
              <c:numCache>
                <c:formatCode>0.0%</c:formatCode>
                <c:ptCount val="5"/>
                <c:pt idx="0">
                  <c:v>0.20804710500490678</c:v>
                </c:pt>
                <c:pt idx="1">
                  <c:v>0.19878361075544174</c:v>
                </c:pt>
                <c:pt idx="2">
                  <c:v>0.18284789644012944</c:v>
                </c:pt>
                <c:pt idx="3">
                  <c:v>0.1760287393860222</c:v>
                </c:pt>
                <c:pt idx="4">
                  <c:v>0.17350260416666666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DB58-4691-A712-0071A9248570}"/>
            </c:ext>
          </c:extLst>
        </c:ser>
        <c:ser>
          <c:idx val="3"/>
          <c:order val="3"/>
          <c:tx>
            <c:strRef>
              <c:f>'ACAD x EDAD'!$A$36</c:f>
              <c:strCache>
                <c:ptCount val="1"/>
                <c:pt idx="0">
                  <c:v>51 - 60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58-4691-A712-0071A9248570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B58-4691-A712-0071A9248570}"/>
                </c:ext>
              </c:extLst>
            </c:dLbl>
            <c:dLbl>
              <c:idx val="2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B58-4691-A712-0071A9248570}"/>
                </c:ext>
              </c:extLst>
            </c:dLbl>
            <c:dLbl>
              <c:idx val="4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58-4691-A712-0071A9248570}"/>
                </c:ext>
              </c:extLst>
            </c:dLbl>
            <c:dLbl>
              <c:idx val="5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B58-4691-A712-0071A9248570}"/>
                </c:ext>
              </c:extLst>
            </c:dLbl>
            <c:dLbl>
              <c:idx val="8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58-4691-A712-0071A9248570}"/>
                </c:ext>
              </c:extLst>
            </c:dLbl>
            <c:dLbl>
              <c:idx val="9"/>
              <c:layout>
                <c:manualLayout>
                  <c:x val="7.0846617074033676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B58-4691-A712-0071A9248570}"/>
                </c:ext>
              </c:extLst>
            </c:dLbl>
            <c:dLbl>
              <c:idx val="10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5.691305954793062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58-4691-A712-0071A9248570}"/>
                </c:ext>
              </c:extLst>
            </c:dLbl>
            <c:dLbl>
              <c:idx val="13"/>
              <c:layout>
                <c:manualLayout>
                  <c:x val="6.653360643894236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EDAD'!$M$36:$Q$36</c:f>
              <c:numCache>
                <c:formatCode>0.0%</c:formatCode>
                <c:ptCount val="5"/>
                <c:pt idx="0">
                  <c:v>0.39090611710827611</c:v>
                </c:pt>
                <c:pt idx="1">
                  <c:v>0.37419974391805377</c:v>
                </c:pt>
                <c:pt idx="2">
                  <c:v>0.36634304207119739</c:v>
                </c:pt>
                <c:pt idx="3">
                  <c:v>0.34454604833442193</c:v>
                </c:pt>
                <c:pt idx="4">
                  <c:v>0.3271484375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DB58-4691-A712-0071A9248570}"/>
            </c:ext>
          </c:extLst>
        </c:ser>
        <c:ser>
          <c:idx val="4"/>
          <c:order val="4"/>
          <c:tx>
            <c:strRef>
              <c:f>'ACAD x EDAD'!$A$37</c:f>
              <c:strCache>
                <c:ptCount val="1"/>
                <c:pt idx="0">
                  <c:v>61 -70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B58-4691-A712-0071A9248570}"/>
                </c:ext>
              </c:extLst>
            </c:dLbl>
            <c:dLbl>
              <c:idx val="1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-1.422826488698265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B58-4691-A712-0071A9248570}"/>
                </c:ext>
              </c:extLst>
            </c:dLbl>
            <c:dLbl>
              <c:idx val="3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58-4691-A712-0071A9248570}"/>
                </c:ext>
              </c:extLst>
            </c:dLbl>
            <c:dLbl>
              <c:idx val="4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B58-4691-A712-0071A9248570}"/>
                </c:ext>
              </c:extLst>
            </c:dLbl>
            <c:dLbl>
              <c:idx val="5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58-4691-A712-0071A9248570}"/>
                </c:ext>
              </c:extLst>
            </c:dLbl>
            <c:dLbl>
              <c:idx val="6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B58-4691-A712-0071A9248570}"/>
                </c:ext>
              </c:extLst>
            </c:dLbl>
            <c:dLbl>
              <c:idx val="7"/>
              <c:layout>
                <c:manualLayout>
                  <c:x val="8.5015940488841653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58-4691-A712-0071A9248570}"/>
                </c:ext>
              </c:extLst>
            </c:dLbl>
            <c:dLbl>
              <c:idx val="8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B58-4691-A712-0071A9248570}"/>
                </c:ext>
              </c:extLst>
            </c:dLbl>
            <c:dLbl>
              <c:idx val="9"/>
              <c:layout>
                <c:manualLayout>
                  <c:x val="8.5015940488840612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B58-4691-A712-0071A9248570}"/>
                </c:ext>
              </c:extLst>
            </c:dLbl>
            <c:dLbl>
              <c:idx val="10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B58-4691-A712-0071A9248570}"/>
                </c:ext>
              </c:extLst>
            </c:dLbl>
            <c:dLbl>
              <c:idx val="11"/>
              <c:layout>
                <c:manualLayout>
                  <c:x val="8.4388185654008432E-3"/>
                  <c:y val="3.10438456431554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58-4691-A712-0071A9248570}"/>
                </c:ext>
              </c:extLst>
            </c:dLbl>
            <c:dLbl>
              <c:idx val="12"/>
              <c:layout>
                <c:manualLayout>
                  <c:x val="7.67754395973259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B58-4691-A712-0071A9248570}"/>
                </c:ext>
              </c:extLst>
            </c:dLbl>
            <c:dLbl>
              <c:idx val="13"/>
              <c:layout>
                <c:manualLayout>
                  <c:x val="8.3461005881526312E-3"/>
                  <c:y val="-2.5039121162335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EDAD'!$M$37:$Q$37</c:f>
              <c:numCache>
                <c:formatCode>0.0%</c:formatCode>
                <c:ptCount val="5"/>
                <c:pt idx="0">
                  <c:v>0.27052666012430487</c:v>
                </c:pt>
                <c:pt idx="1">
                  <c:v>0.28104993597951344</c:v>
                </c:pt>
                <c:pt idx="2">
                  <c:v>0.29676375404530747</c:v>
                </c:pt>
                <c:pt idx="3">
                  <c:v>0.31417374265186154</c:v>
                </c:pt>
                <c:pt idx="4">
                  <c:v>0.33040364583333331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DB58-4691-A712-0071A9248570}"/>
            </c:ext>
          </c:extLst>
        </c:ser>
        <c:ser>
          <c:idx val="5"/>
          <c:order val="5"/>
          <c:tx>
            <c:strRef>
              <c:f>'ACAD x EDAD'!$A$38</c:f>
              <c:strCache>
                <c:ptCount val="1"/>
                <c:pt idx="0">
                  <c:v>MÁS DE 70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6677293659227771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58-4691-A712-0071A9248570}"/>
                </c:ext>
              </c:extLst>
            </c:dLbl>
            <c:dLbl>
              <c:idx val="1"/>
              <c:layout>
                <c:manualLayout>
                  <c:x val="7.0846617074034716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B58-4691-A712-0071A9248570}"/>
                </c:ext>
              </c:extLst>
            </c:dLbl>
            <c:dLbl>
              <c:idx val="2"/>
              <c:layout>
                <c:manualLayout>
                  <c:x val="4.25079702444208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58-4691-A712-0071A9248570}"/>
                </c:ext>
              </c:extLst>
            </c:dLbl>
            <c:dLbl>
              <c:idx val="3"/>
              <c:layout>
                <c:manualLayout>
                  <c:x val="5.66772936592277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B58-4691-A712-0071A9248570}"/>
                </c:ext>
              </c:extLst>
            </c:dLbl>
            <c:dLbl>
              <c:idx val="4"/>
              <c:layout>
                <c:manualLayout>
                  <c:x val="7.08466170740352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58-4691-A712-0071A9248570}"/>
                </c:ext>
              </c:extLst>
            </c:dLbl>
            <c:dLbl>
              <c:idx val="5"/>
              <c:layout>
                <c:manualLayout>
                  <c:x val="7.084661707403471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B58-4691-A712-0071A9248570}"/>
                </c:ext>
              </c:extLst>
            </c:dLbl>
            <c:dLbl>
              <c:idx val="6"/>
              <c:layout>
                <c:manualLayout>
                  <c:x val="8.50159404888416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B58-4691-A712-0071A9248570}"/>
                </c:ext>
              </c:extLst>
            </c:dLbl>
            <c:dLbl>
              <c:idx val="7"/>
              <c:layout>
                <c:manualLayout>
                  <c:x val="7.0846617074034716E-3"/>
                  <c:y val="-9.31315369294655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58-4691-A712-0071A9248570}"/>
                </c:ext>
              </c:extLst>
            </c:dLbl>
            <c:dLbl>
              <c:idx val="8"/>
              <c:layout>
                <c:manualLayout>
                  <c:x val="9.9185263903648607E-3"/>
                  <c:y val="-3.10438456431551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58-4691-A712-0071A9248570}"/>
                </c:ext>
              </c:extLst>
            </c:dLbl>
            <c:dLbl>
              <c:idx val="9"/>
              <c:layout>
                <c:manualLayout>
                  <c:x val="8.50159404888426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B58-4691-A712-0071A9248570}"/>
                </c:ext>
              </c:extLst>
            </c:dLbl>
            <c:dLbl>
              <c:idx val="10"/>
              <c:layout>
                <c:manualLayout>
                  <c:x val="7.10555167945778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B58-4691-A712-0071A9248570}"/>
                </c:ext>
              </c:extLst>
            </c:dLbl>
            <c:dLbl>
              <c:idx val="11"/>
              <c:layout>
                <c:manualLayout>
                  <c:x val="8.43870781975048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B58-4691-A712-0071A9248570}"/>
                </c:ext>
              </c:extLst>
            </c:dLbl>
            <c:dLbl>
              <c:idx val="12"/>
              <c:layout>
                <c:manualLayout>
                  <c:x val="5.1183626398217281E-3"/>
                  <c:y val="-7.51173634870071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B58-4691-A712-0071A9248570}"/>
                </c:ext>
              </c:extLst>
            </c:dLbl>
            <c:dLbl>
              <c:idx val="13"/>
              <c:layout>
                <c:manualLayout>
                  <c:x val="6.6533606438944314E-3"/>
                  <c:y val="-2.295226258564509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B58-4691-A712-0071A92485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EDAD'!$M$32:$Q$32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EDAD'!$M$38:$Q$38</c:f>
              <c:numCache>
                <c:formatCode>0.0%</c:formatCode>
                <c:ptCount val="5"/>
                <c:pt idx="0">
                  <c:v>5.1684658161596335E-2</c:v>
                </c:pt>
                <c:pt idx="1">
                  <c:v>6.4020486555697823E-2</c:v>
                </c:pt>
                <c:pt idx="2">
                  <c:v>7.6375404530744331E-2</c:v>
                </c:pt>
                <c:pt idx="3">
                  <c:v>9.1443500979751791E-2</c:v>
                </c:pt>
                <c:pt idx="4">
                  <c:v>9.9283854166666671E-2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7-DB58-4691-A712-0071A9248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shape val="cylinder"/>
        <c:axId val="138766592"/>
        <c:axId val="138895360"/>
        <c:axId val="0"/>
      </c:bar3DChart>
      <c:catAx>
        <c:axId val="13876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8895360"/>
        <c:crosses val="autoZero"/>
        <c:auto val="1"/>
        <c:lblAlgn val="ctr"/>
        <c:lblOffset val="100"/>
        <c:noMultiLvlLbl val="0"/>
      </c:catAx>
      <c:valAx>
        <c:axId val="13889536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876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9695297947522243E-2"/>
          <c:y val="0.90217452895099681"/>
          <c:w val="0.78957073643984654"/>
          <c:h val="9.0404270710199602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Personal Académico Definitivo por años de antiguedad</a:t>
            </a:r>
          </a:p>
        </c:rich>
      </c:tx>
      <c:layout>
        <c:manualLayout>
          <c:xMode val="edge"/>
          <c:yMode val="edge"/>
          <c:x val="0.28672393706095128"/>
          <c:y val="6.7264562115645259E-3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1.4829794405123021E-2"/>
          <c:y val="8.0717474538774314E-2"/>
          <c:w val="0.967644084934277"/>
          <c:h val="0.8009226720591307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/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04-4CB7-A5A7-29C198DB409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04-4CB7-A5A7-29C198DB4096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4-4CB7-A5A7-29C198DB409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4-4CB7-A5A7-29C198DB409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4-4CB7-A5A7-29C198DB409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4-4CB7-A5A7-29C198DB4096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4-4CB7-A5A7-29C198DB4096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4-4CB7-A5A7-29C198DB4096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4-4CB7-A5A7-29C198DB4096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4-4CB7-A5A7-29C198DB4096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ANTIG'!$C$26:$M$26,'ACAD x ANTIG'!$N$26,'ACAD x ANTIG'!$O$26,'ACAD x ANTIG'!$P$26,'ACAD x ANTIG'!$Q$26)</c:f>
              <c:numCache>
                <c:formatCode>0.0%</c:formatCode>
                <c:ptCount val="15"/>
                <c:pt idx="0">
                  <c:v>5.3641207815275309E-2</c:v>
                </c:pt>
                <c:pt idx="1">
                  <c:v>4.1533546325878593E-2</c:v>
                </c:pt>
                <c:pt idx="2">
                  <c:v>4.1710480196284615E-2</c:v>
                </c:pt>
                <c:pt idx="3">
                  <c:v>4.5724258289703314E-2</c:v>
                </c:pt>
                <c:pt idx="4">
                  <c:v>5.6557945870922971E-2</c:v>
                </c:pt>
                <c:pt idx="5">
                  <c:v>6.3969571230982014E-2</c:v>
                </c:pt>
                <c:pt idx="6">
                  <c:v>6.870491240123669E-2</c:v>
                </c:pt>
                <c:pt idx="7">
                  <c:v>8.0459770114942528E-2</c:v>
                </c:pt>
                <c:pt idx="8">
                  <c:v>8.1557922769640481E-2</c:v>
                </c:pt>
                <c:pt idx="9">
                  <c:v>7.8321216126900198E-2</c:v>
                </c:pt>
                <c:pt idx="10">
                  <c:v>8.4723585214262348E-2</c:v>
                </c:pt>
                <c:pt idx="11">
                  <c:v>8.7387964148527522E-2</c:v>
                </c:pt>
                <c:pt idx="12">
                  <c:v>7.5728155339805828E-2</c:v>
                </c:pt>
                <c:pt idx="13">
                  <c:v>6.9235793598954931E-2</c:v>
                </c:pt>
                <c:pt idx="14">
                  <c:v>6.0221354166666664E-2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604-4CB7-A5A7-29C198DB4096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04-4CB7-A5A7-29C198DB4096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4-4CB7-A5A7-29C198DB409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4-4CB7-A5A7-29C198DB409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4-4CB7-A5A7-29C198DB409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04-4CB7-A5A7-29C198DB4096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04-4CB7-A5A7-29C198DB4096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04-4CB7-A5A7-29C198DB4096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-1.644225857478360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ANTIG'!$C$27:$M$27,'ACAD x ANTIG'!$N$27,'ACAD x ANTIG'!$O$27,'ACAD x ANTIG'!$P$27,'ACAD x ANTIG'!$Q$27)</c:f>
              <c:numCache>
                <c:formatCode>0.0%</c:formatCode>
                <c:ptCount val="15"/>
                <c:pt idx="0">
                  <c:v>0.10124333925399645</c:v>
                </c:pt>
                <c:pt idx="1">
                  <c:v>0.10046148384806532</c:v>
                </c:pt>
                <c:pt idx="2">
                  <c:v>9.0431125131440596E-2</c:v>
                </c:pt>
                <c:pt idx="3">
                  <c:v>8.0279232111692841E-2</c:v>
                </c:pt>
                <c:pt idx="4">
                  <c:v>7.7376821651630817E-2</c:v>
                </c:pt>
                <c:pt idx="5">
                  <c:v>7.1576763485477174E-2</c:v>
                </c:pt>
                <c:pt idx="6">
                  <c:v>6.6300240467193405E-2</c:v>
                </c:pt>
                <c:pt idx="7">
                  <c:v>6.4232589587559161E-2</c:v>
                </c:pt>
                <c:pt idx="8">
                  <c:v>6.6910785619174434E-2</c:v>
                </c:pt>
                <c:pt idx="9">
                  <c:v>7.7329808327825517E-2</c:v>
                </c:pt>
                <c:pt idx="10">
                  <c:v>8.4069349035001642E-2</c:v>
                </c:pt>
                <c:pt idx="11">
                  <c:v>9.4750320102432783E-2</c:v>
                </c:pt>
                <c:pt idx="12">
                  <c:v>0.10097087378640776</c:v>
                </c:pt>
                <c:pt idx="13">
                  <c:v>0.10418027433050293</c:v>
                </c:pt>
                <c:pt idx="14">
                  <c:v>0.11360677083333333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604-4CB7-A5A7-29C198DB4096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4019660585904964E-3"/>
                  <c:y val="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04-4CB7-A5A7-29C198DB4096}"/>
                </c:ext>
              </c:extLst>
            </c:dLbl>
            <c:dLbl>
              <c:idx val="1"/>
              <c:layout>
                <c:manualLayout>
                  <c:x val="6.43604904078065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04-4CB7-A5A7-29C198DB409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604-4CB7-A5A7-29C198DB4096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04-4CB7-A5A7-29C198DB409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04-4CB7-A5A7-29C198DB409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04-4CB7-A5A7-29C198DB409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04-4CB7-A5A7-29C198DB409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04-4CB7-A5A7-29C198DB4096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04-4CB7-A5A7-29C198DB4096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04-4CB7-A5A7-29C198DB4096}"/>
                </c:ext>
              </c:extLst>
            </c:dLbl>
            <c:dLbl>
              <c:idx val="13"/>
              <c:layout>
                <c:manualLayout>
                  <c:x val="4.0444893832153692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04-4CB7-A5A7-29C198DB4096}"/>
                </c:ext>
              </c:extLst>
            </c:dLbl>
            <c:dLbl>
              <c:idx val="14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ANTIG'!$C$28:$P$28,'ACAD x ANTIG'!$Q$28)</c:f>
              <c:numCache>
                <c:formatCode>0.0%</c:formatCode>
                <c:ptCount val="15"/>
                <c:pt idx="0">
                  <c:v>0.17797513321492006</c:v>
                </c:pt>
                <c:pt idx="1">
                  <c:v>0.15654952076677317</c:v>
                </c:pt>
                <c:pt idx="2">
                  <c:v>0.13739922888187872</c:v>
                </c:pt>
                <c:pt idx="3">
                  <c:v>0.12390924956369982</c:v>
                </c:pt>
                <c:pt idx="4">
                  <c:v>0.11693268563497571</c:v>
                </c:pt>
                <c:pt idx="5">
                  <c:v>0.10926694329183956</c:v>
                </c:pt>
                <c:pt idx="6">
                  <c:v>0.10271384403984885</c:v>
                </c:pt>
                <c:pt idx="7">
                  <c:v>9.1615956727518599E-2</c:v>
                </c:pt>
                <c:pt idx="8">
                  <c:v>8.2556591211717711E-2</c:v>
                </c:pt>
                <c:pt idx="9">
                  <c:v>7.9312623925974879E-2</c:v>
                </c:pt>
                <c:pt idx="10">
                  <c:v>7.098462544978737E-2</c:v>
                </c:pt>
                <c:pt idx="11">
                  <c:v>6.5941101152368758E-2</c:v>
                </c:pt>
                <c:pt idx="12">
                  <c:v>6.4724919093851127E-2</c:v>
                </c:pt>
                <c:pt idx="13">
                  <c:v>6.7929457870672769E-2</c:v>
                </c:pt>
                <c:pt idx="14">
                  <c:v>8.0078125E-2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604-4CB7-A5A7-29C198DB4096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2.98301385095741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04-4CB7-A5A7-29C198DB409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04-4CB7-A5A7-29C198DB409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04-4CB7-A5A7-29C198DB409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04-4CB7-A5A7-29C198DB4096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04-4CB7-A5A7-29C198DB4096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04-4CB7-A5A7-29C198DB409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04-4CB7-A5A7-29C198DB4096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ANTIG'!$C$29:$M$29,'ACAD x ANTIG'!$N$29,'ACAD x ANTIG'!$O$29,'ACAD x ANTIG'!$P$29,'ACAD x ANTIG'!$Q$29)</c:f>
              <c:numCache>
                <c:formatCode>0.0%</c:formatCode>
                <c:ptCount val="15"/>
                <c:pt idx="0">
                  <c:v>0.21740674955595027</c:v>
                </c:pt>
                <c:pt idx="1">
                  <c:v>0.21547745828895989</c:v>
                </c:pt>
                <c:pt idx="2">
                  <c:v>0.20820189274447951</c:v>
                </c:pt>
                <c:pt idx="3">
                  <c:v>0.19930191972076788</c:v>
                </c:pt>
                <c:pt idx="4">
                  <c:v>0.19049271339347676</c:v>
                </c:pt>
                <c:pt idx="5">
                  <c:v>0.17116182572614108</c:v>
                </c:pt>
                <c:pt idx="6">
                  <c:v>0.1556166265888011</c:v>
                </c:pt>
                <c:pt idx="7">
                  <c:v>0.13590263691683571</c:v>
                </c:pt>
                <c:pt idx="8">
                  <c:v>0.12083888149134488</c:v>
                </c:pt>
                <c:pt idx="9">
                  <c:v>0.10806345009914078</c:v>
                </c:pt>
                <c:pt idx="10">
                  <c:v>0.10075237160614982</c:v>
                </c:pt>
                <c:pt idx="11">
                  <c:v>9.2829705505761848E-2</c:v>
                </c:pt>
                <c:pt idx="12">
                  <c:v>8.8025889967637536E-2</c:v>
                </c:pt>
                <c:pt idx="13">
                  <c:v>7.8706727629000647E-2</c:v>
                </c:pt>
                <c:pt idx="14">
                  <c:v>7.6822916666666671E-2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B-B604-4CB7-A5A7-29C198DB4096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70958292684810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04-4CB7-A5A7-29C198DB4096}"/>
                </c:ext>
              </c:extLst>
            </c:dLbl>
            <c:dLbl>
              <c:idx val="1"/>
              <c:layout>
                <c:manualLayout>
                  <c:x val="6.01719979510570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04-4CB7-A5A7-29C198DB4096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04-4CB7-A5A7-29C198DB409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04-4CB7-A5A7-29C198DB409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04-4CB7-A5A7-29C198DB409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04-4CB7-A5A7-29C198DB4096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04-4CB7-A5A7-29C198DB409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B604-4CB7-A5A7-29C198DB4096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04-4CB7-A5A7-29C198DB4096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B604-4CB7-A5A7-29C198DB4096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04-4CB7-A5A7-29C198DB4096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B604-4CB7-A5A7-29C198DB4096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604-4CB7-A5A7-29C198DB4096}"/>
                </c:ext>
              </c:extLst>
            </c:dLbl>
            <c:dLbl>
              <c:idx val="13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04-4CB7-A5A7-29C198DB4096}"/>
                </c:ext>
              </c:extLst>
            </c:dLbl>
            <c:dLbl>
              <c:idx val="14"/>
              <c:layout>
                <c:manualLayout>
                  <c:x val="6.740815638692282E-3"/>
                  <c:y val="-6.72645621156460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ANTIG'!$C$30:$M$30,'ACAD x ANTIG'!$N$30,'ACAD x ANTIG'!$O$30,'ACAD x ANTIG'!$P$30,'ACAD x ANTIG'!$Q$30)</c:f>
              <c:numCache>
                <c:formatCode>0.0%</c:formatCode>
                <c:ptCount val="15"/>
                <c:pt idx="0">
                  <c:v>0.2714031971580817</c:v>
                </c:pt>
                <c:pt idx="1">
                  <c:v>0.25985090521831739</c:v>
                </c:pt>
                <c:pt idx="2">
                  <c:v>0.24675779880827201</c:v>
                </c:pt>
                <c:pt idx="3">
                  <c:v>0.23699825479930192</c:v>
                </c:pt>
                <c:pt idx="4">
                  <c:v>0.21859819569743233</c:v>
                </c:pt>
                <c:pt idx="5">
                  <c:v>0.21092669432918396</c:v>
                </c:pt>
                <c:pt idx="6">
                  <c:v>0.20577121264170389</c:v>
                </c:pt>
                <c:pt idx="7">
                  <c:v>0.19641649763353616</c:v>
                </c:pt>
                <c:pt idx="8">
                  <c:v>0.18641810918774968</c:v>
                </c:pt>
                <c:pt idx="9">
                  <c:v>0.17382683410442828</c:v>
                </c:pt>
                <c:pt idx="10">
                  <c:v>0.15767091920183185</c:v>
                </c:pt>
                <c:pt idx="11">
                  <c:v>0.14116517285531371</c:v>
                </c:pt>
                <c:pt idx="12">
                  <c:v>0.12524271844660195</c:v>
                </c:pt>
                <c:pt idx="13">
                  <c:v>0.11365120836054866</c:v>
                </c:pt>
                <c:pt idx="14">
                  <c:v>0.10026041666666667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A-B604-4CB7-A5A7-29C198DB4096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04-4CB7-A5A7-29C198DB4096}"/>
                </c:ext>
              </c:extLst>
            </c:dLbl>
            <c:dLbl>
              <c:idx val="1"/>
              <c:layout>
                <c:manualLayout>
                  <c:x val="4.7095829268481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604-4CB7-A5A7-29C198DB409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04-4CB7-A5A7-29C198DB409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604-4CB7-A5A7-29C198DB409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04-4CB7-A5A7-29C198DB409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604-4CB7-A5A7-29C198DB4096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04-4CB7-A5A7-29C198DB4096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604-4CB7-A5A7-29C198DB4096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04-4CB7-A5A7-29C198DB409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604-4CB7-A5A7-29C198DB409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04-4CB7-A5A7-29C198DB4096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604-4CB7-A5A7-29C198DB4096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04-4CB7-A5A7-29C198DB4096}"/>
                </c:ext>
              </c:extLst>
            </c:dLbl>
            <c:dLbl>
              <c:idx val="13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ANTIG'!$C$31:$M$31,'ACAD x ANTIG'!$N$31,'ACAD x ANTIG'!$O$31,'ACAD x ANTIG'!$P$31,'ACAD x ANTIG'!$Q$31)</c:f>
              <c:numCache>
                <c:formatCode>0.0%</c:formatCode>
                <c:ptCount val="15"/>
                <c:pt idx="0">
                  <c:v>0.15523978685612788</c:v>
                </c:pt>
                <c:pt idx="1">
                  <c:v>0.20269790557330494</c:v>
                </c:pt>
                <c:pt idx="2">
                  <c:v>0.21556256572029442</c:v>
                </c:pt>
                <c:pt idx="3">
                  <c:v>0.21047120418848167</c:v>
                </c:pt>
                <c:pt idx="4">
                  <c:v>0.21859819569743233</c:v>
                </c:pt>
                <c:pt idx="5">
                  <c:v>0.23858921161825727</c:v>
                </c:pt>
                <c:pt idx="6">
                  <c:v>0.23359670216420475</c:v>
                </c:pt>
                <c:pt idx="7">
                  <c:v>0.22413793103448276</c:v>
                </c:pt>
                <c:pt idx="8">
                  <c:v>0.21438082556591212</c:v>
                </c:pt>
                <c:pt idx="9">
                  <c:v>0.19662921348314608</c:v>
                </c:pt>
                <c:pt idx="10">
                  <c:v>0.18711154726856394</c:v>
                </c:pt>
                <c:pt idx="11">
                  <c:v>0.1795774647887324</c:v>
                </c:pt>
                <c:pt idx="12">
                  <c:v>0.17896440129449839</c:v>
                </c:pt>
                <c:pt idx="13">
                  <c:v>0.170476812540823</c:v>
                </c:pt>
                <c:pt idx="14">
                  <c:v>0.15983072916666666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604-4CB7-A5A7-29C198DB4096}"/>
            </c:ext>
          </c:extLst>
        </c:ser>
        <c:ser>
          <c:idx val="7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0444893832153753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B604-4CB7-A5A7-29C198DB4096}"/>
                </c:ext>
              </c:extLst>
            </c:dLbl>
            <c:dLbl>
              <c:idx val="1"/>
              <c:layout>
                <c:manualLayout>
                  <c:x val="6.7408156386922569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04-4CB7-A5A7-29C198DB4096}"/>
                </c:ext>
              </c:extLst>
            </c:dLbl>
            <c:dLbl>
              <c:idx val="2"/>
              <c:layout>
                <c:manualLayout>
                  <c:x val="4.0444893832153692E-3"/>
                  <c:y val="-6.72645621156453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B604-4CB7-A5A7-29C198DB4096}"/>
                </c:ext>
              </c:extLst>
            </c:dLbl>
            <c:dLbl>
              <c:idx val="3"/>
              <c:layout>
                <c:manualLayout>
                  <c:x val="5.392652510953776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04-4CB7-A5A7-29C198DB4096}"/>
                </c:ext>
              </c:extLst>
            </c:dLbl>
            <c:dLbl>
              <c:idx val="4"/>
              <c:layout>
                <c:manualLayout>
                  <c:x val="5.3926525109538256E-3"/>
                  <c:y val="-4.48430414104302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B604-4CB7-A5A7-29C198DB4096}"/>
                </c:ext>
              </c:extLst>
            </c:dLbl>
            <c:dLbl>
              <c:idx val="5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04-4CB7-A5A7-29C198DB4096}"/>
                </c:ext>
              </c:extLst>
            </c:dLbl>
            <c:dLbl>
              <c:idx val="6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B604-4CB7-A5A7-29C198DB4096}"/>
                </c:ext>
              </c:extLst>
            </c:dLbl>
            <c:dLbl>
              <c:idx val="7"/>
              <c:layout>
                <c:manualLayout>
                  <c:x val="5.3926525109538256E-3"/>
                  <c:y val="-2.055282321847950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04-4CB7-A5A7-29C198DB4096}"/>
                </c:ext>
              </c:extLst>
            </c:dLbl>
            <c:dLbl>
              <c:idx val="8"/>
              <c:layout>
                <c:manualLayout>
                  <c:x val="5.3926525109537268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B604-4CB7-A5A7-29C198DB4096}"/>
                </c:ext>
              </c:extLst>
            </c:dLbl>
            <c:dLbl>
              <c:idx val="9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04-4CB7-A5A7-29C198DB4096}"/>
                </c:ext>
              </c:extLst>
            </c:dLbl>
            <c:dLbl>
              <c:idx val="10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B604-4CB7-A5A7-29C198DB4096}"/>
                </c:ext>
              </c:extLst>
            </c:dLbl>
            <c:dLbl>
              <c:idx val="11"/>
              <c:layout>
                <c:manualLayout>
                  <c:x val="6.74081563869218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04-4CB7-A5A7-29C198DB4096}"/>
                </c:ext>
              </c:extLst>
            </c:dLbl>
            <c:dLbl>
              <c:idx val="12"/>
              <c:layout>
                <c:manualLayout>
                  <c:x val="5.392652510953825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B604-4CB7-A5A7-29C198DB4096}"/>
                </c:ext>
              </c:extLst>
            </c:dLbl>
            <c:dLbl>
              <c:idx val="13"/>
              <c:layout>
                <c:manualLayout>
                  <c:x val="6.7408156386920843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-4.110564643695900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ANTIG'!$C$32:$P$32,'ACAD x ANTIG'!$Q$32)</c:f>
              <c:numCache>
                <c:formatCode>0.0%</c:formatCode>
                <c:ptCount val="15"/>
                <c:pt idx="0">
                  <c:v>1.2788632326820605E-2</c:v>
                </c:pt>
                <c:pt idx="1">
                  <c:v>1.1359602413915513E-2</c:v>
                </c:pt>
                <c:pt idx="2">
                  <c:v>4.5566070802663859E-2</c:v>
                </c:pt>
                <c:pt idx="3">
                  <c:v>8.5165794066317621E-2</c:v>
                </c:pt>
                <c:pt idx="4">
                  <c:v>0.10201249132546843</c:v>
                </c:pt>
                <c:pt idx="5">
                  <c:v>0.11549100968188106</c:v>
                </c:pt>
                <c:pt idx="6">
                  <c:v>0.14874613534867742</c:v>
                </c:pt>
                <c:pt idx="7">
                  <c:v>0.16260987153482082</c:v>
                </c:pt>
                <c:pt idx="8">
                  <c:v>0.17143808255659121</c:v>
                </c:pt>
                <c:pt idx="9">
                  <c:v>0.18638466622604097</c:v>
                </c:pt>
                <c:pt idx="10">
                  <c:v>0.20019627085377822</c:v>
                </c:pt>
                <c:pt idx="11">
                  <c:v>0.19750320102432778</c:v>
                </c:pt>
                <c:pt idx="12">
                  <c:v>0.19093851132686085</c:v>
                </c:pt>
                <c:pt idx="13">
                  <c:v>0.18647942521227956</c:v>
                </c:pt>
                <c:pt idx="14">
                  <c:v>0.1728515625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8-B604-4CB7-A5A7-29C198DB4096}"/>
            </c:ext>
          </c:extLst>
        </c:ser>
        <c:ser>
          <c:idx val="8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3.5052241321199863E-2"/>
                  <c:y val="-2.24215207052151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04-4CB7-A5A7-29C198DB4096}"/>
                </c:ext>
              </c:extLst>
            </c:dLbl>
            <c:dLbl>
              <c:idx val="1"/>
              <c:layout>
                <c:manualLayout>
                  <c:x val="3.5052241321199863E-2"/>
                  <c:y val="-4.484304141043022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B604-4CB7-A5A7-29C198DB4096}"/>
                </c:ext>
              </c:extLst>
            </c:dLbl>
            <c:dLbl>
              <c:idx val="2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04-4CB7-A5A7-29C198DB4096}"/>
                </c:ext>
              </c:extLst>
            </c:dLbl>
            <c:dLbl>
              <c:idx val="3"/>
              <c:layout>
                <c:manualLayout>
                  <c:x val="3.5052241321199863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B604-4CB7-A5A7-29C198DB4096}"/>
                </c:ext>
              </c:extLst>
            </c:dLbl>
            <c:dLbl>
              <c:idx val="4"/>
              <c:layout>
                <c:manualLayout>
                  <c:x val="3.6400404448938321E-2"/>
                  <c:y val="-6.726456211564525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04-4CB7-A5A7-29C198DB4096}"/>
                </c:ext>
              </c:extLst>
            </c:dLbl>
            <c:dLbl>
              <c:idx val="5"/>
              <c:layout>
                <c:manualLayout>
                  <c:x val="3.5052241321199815E-2"/>
                  <c:y val="-8.968608282086039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B604-4CB7-A5A7-29C198DB4096}"/>
                </c:ext>
              </c:extLst>
            </c:dLbl>
            <c:dLbl>
              <c:idx val="6"/>
              <c:layout>
                <c:manualLayout>
                  <c:x val="3.6400404448938224E-2"/>
                  <c:y val="-6.726456211564520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8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04-4CB7-A5A7-29C198DB4096}"/>
                </c:ext>
              </c:extLst>
            </c:dLbl>
            <c:dLbl>
              <c:idx val="7"/>
              <c:layout>
                <c:manualLayout>
                  <c:x val="5.39265251095372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B604-4CB7-A5A7-29C198DB4096}"/>
                </c:ext>
              </c:extLst>
            </c:dLbl>
            <c:dLbl>
              <c:idx val="8"/>
              <c:layout>
                <c:manualLayout>
                  <c:x val="4.04448938321536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04-4CB7-A5A7-29C198DB4096}"/>
                </c:ext>
              </c:extLst>
            </c:dLbl>
            <c:dLbl>
              <c:idx val="9"/>
              <c:layout>
                <c:manualLayout>
                  <c:x val="6.7408156386921832E-3"/>
                  <c:y val="-1.027641160923975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B604-4CB7-A5A7-29C198DB4096}"/>
                </c:ext>
              </c:extLst>
            </c:dLbl>
            <c:dLbl>
              <c:idx val="10"/>
              <c:layout>
                <c:manualLayout>
                  <c:x val="6.740815638692282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04-4CB7-A5A7-29C198DB4096}"/>
                </c:ext>
              </c:extLst>
            </c:dLbl>
            <c:dLbl>
              <c:idx val="11"/>
              <c:layout>
                <c:manualLayout>
                  <c:x val="5.3926525109537268E-3"/>
                  <c:y val="-2.24215207052150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B604-4CB7-A5A7-29C198DB4096}"/>
                </c:ext>
              </c:extLst>
            </c:dLbl>
            <c:dLbl>
              <c:idx val="12"/>
              <c:layout>
                <c:manualLayout>
                  <c:x val="6.74081563869228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04-4CB7-A5A7-29C198DB4096}"/>
                </c:ext>
              </c:extLst>
            </c:dLbl>
            <c:dLbl>
              <c:idx val="13"/>
              <c:layout>
                <c:manualLayout>
                  <c:x val="8.0889787664305407E-3"/>
                  <c:y val="-2.2421520705215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ANTIG'!$C$33:$P$33,'ACAD x ANTIG'!$Q$33)</c:f>
              <c:numCache>
                <c:formatCode>0.0%</c:formatCode>
                <c:ptCount val="15"/>
                <c:pt idx="0">
                  <c:v>5.6838365896980459E-3</c:v>
                </c:pt>
                <c:pt idx="1">
                  <c:v>7.099751508697196E-3</c:v>
                </c:pt>
                <c:pt idx="2">
                  <c:v>8.7627059235892042E-3</c:v>
                </c:pt>
                <c:pt idx="3">
                  <c:v>1.1169284467713788E-2</c:v>
                </c:pt>
                <c:pt idx="4">
                  <c:v>1.1450381679389313E-2</c:v>
                </c:pt>
                <c:pt idx="5">
                  <c:v>1.0373443983402489E-2</c:v>
                </c:pt>
                <c:pt idx="6">
                  <c:v>8.5881140501545862E-3</c:v>
                </c:pt>
                <c:pt idx="7">
                  <c:v>3.3468559837728194E-2</c:v>
                </c:pt>
                <c:pt idx="8">
                  <c:v>6.2250332889480689E-2</c:v>
                </c:pt>
                <c:pt idx="9">
                  <c:v>8.6582947785855915E-2</c:v>
                </c:pt>
                <c:pt idx="10">
                  <c:v>0.10075237160614982</c:v>
                </c:pt>
                <c:pt idx="11">
                  <c:v>0.12644046094750319</c:v>
                </c:pt>
                <c:pt idx="12">
                  <c:v>0.13851132686084142</c:v>
                </c:pt>
                <c:pt idx="13">
                  <c:v>0.14598301763553234</c:v>
                </c:pt>
                <c:pt idx="14">
                  <c:v>0.15364583333333334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B604-4CB7-A5A7-29C198DB4096}"/>
            </c:ext>
          </c:extLst>
        </c:ser>
        <c:ser>
          <c:idx val="9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3926525109538256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8-B604-4CB7-A5A7-29C198DB4096}"/>
                </c:ext>
              </c:extLst>
            </c:dLbl>
            <c:dLbl>
              <c:idx val="1"/>
              <c:layout>
                <c:manualLayout>
                  <c:x val="4.0444893832153692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604-4CB7-A5A7-29C198DB4096}"/>
                </c:ext>
              </c:extLst>
            </c:dLbl>
            <c:dLbl>
              <c:idx val="2"/>
              <c:layout>
                <c:manualLayout>
                  <c:x val="2.6963262554769128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A-B604-4CB7-A5A7-29C198DB4096}"/>
                </c:ext>
              </c:extLst>
            </c:dLbl>
            <c:dLbl>
              <c:idx val="3"/>
              <c:layout>
                <c:manualLayout>
                  <c:x val="4.044489383215319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604-4CB7-A5A7-29C198DB4096}"/>
                </c:ext>
              </c:extLst>
            </c:dLbl>
            <c:dLbl>
              <c:idx val="4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C-B604-4CB7-A5A7-29C198DB4096}"/>
                </c:ext>
              </c:extLst>
            </c:dLbl>
            <c:dLbl>
              <c:idx val="5"/>
              <c:layout>
                <c:manualLayout>
                  <c:x val="4.0444893832153198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604-4CB7-A5A7-29C198DB4096}"/>
                </c:ext>
              </c:extLst>
            </c:dLbl>
            <c:dLbl>
              <c:idx val="6"/>
              <c:layout>
                <c:manualLayout>
                  <c:x val="8.0889787664306396E-3"/>
                  <c:y val="-8.96860828208603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E-B604-4CB7-A5A7-29C198DB4096}"/>
                </c:ext>
              </c:extLst>
            </c:dLbl>
            <c:dLbl>
              <c:idx val="7"/>
              <c:layout>
                <c:manualLayout>
                  <c:x val="4.044489383215369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604-4CB7-A5A7-29C198DB4096}"/>
                </c:ext>
              </c:extLst>
            </c:dLbl>
            <c:dLbl>
              <c:idx val="8"/>
              <c:layout>
                <c:manualLayout>
                  <c:x val="6.740815638692282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0-B604-4CB7-A5A7-29C198DB4096}"/>
                </c:ext>
              </c:extLst>
            </c:dLbl>
            <c:dLbl>
              <c:idx val="9"/>
              <c:layout>
                <c:manualLayout>
                  <c:x val="2.6963262554769128E-3"/>
                  <c:y val="-6.72645621156452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604-4CB7-A5A7-29C198DB4096}"/>
                </c:ext>
              </c:extLst>
            </c:dLbl>
            <c:dLbl>
              <c:idx val="10"/>
              <c:layout>
                <c:manualLayout>
                  <c:x val="5.3926525109538256E-3"/>
                  <c:y val="-6.72645621156453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2-B604-4CB7-A5A7-29C198DB4096}"/>
                </c:ext>
              </c:extLst>
            </c:dLbl>
            <c:dLbl>
              <c:idx val="11"/>
              <c:layout>
                <c:manualLayout>
                  <c:x val="5.3926525109537268E-3"/>
                  <c:y val="-8.96860828208603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604-4CB7-A5A7-29C198DB4096}"/>
                </c:ext>
              </c:extLst>
            </c:dLbl>
            <c:dLbl>
              <c:idx val="12"/>
              <c:layout>
                <c:manualLayout>
                  <c:x val="5.3926525109537268E-3"/>
                  <c:y val="-4.48430414104301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4-B604-4CB7-A5A7-29C198DB4096}"/>
                </c:ext>
              </c:extLst>
            </c:dLbl>
            <c:dLbl>
              <c:idx val="13"/>
              <c:layout>
                <c:manualLayout>
                  <c:x val="6.74081563869208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604-4CB7-A5A7-29C198DB4096}"/>
                </c:ext>
              </c:extLst>
            </c:dLbl>
            <c:dLbl>
              <c:idx val="14"/>
              <c:layout>
                <c:manualLayout>
                  <c:x val="5.39265251095382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23-4834-8F02-EC1B06118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('ACAD x ANTIG'!$C$25:$P$25,'ACAD x ANTIG'!$Q$25)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('ACAD x ANTIG'!$C$34:$P$34,'ACAD x ANTIG'!$Q$34)</c:f>
              <c:numCache>
                <c:formatCode>0.0%</c:formatCode>
                <c:ptCount val="15"/>
                <c:pt idx="0">
                  <c:v>4.6181172291296629E-3</c:v>
                </c:pt>
                <c:pt idx="1">
                  <c:v>4.9698260560880371E-3</c:v>
                </c:pt>
                <c:pt idx="2">
                  <c:v>5.6081317910970912E-3</c:v>
                </c:pt>
                <c:pt idx="3">
                  <c:v>6.9808027923211171E-3</c:v>
                </c:pt>
                <c:pt idx="4">
                  <c:v>7.9805690492713386E-3</c:v>
                </c:pt>
                <c:pt idx="5">
                  <c:v>8.6445366528354085E-3</c:v>
                </c:pt>
                <c:pt idx="6">
                  <c:v>9.9622122981793196E-3</c:v>
                </c:pt>
                <c:pt idx="7">
                  <c:v>1.1156186612576065E-2</c:v>
                </c:pt>
                <c:pt idx="8">
                  <c:v>1.3648468708388815E-2</c:v>
                </c:pt>
                <c:pt idx="9">
                  <c:v>1.3549239920687376E-2</c:v>
                </c:pt>
                <c:pt idx="10">
                  <c:v>1.3738959764474975E-2</c:v>
                </c:pt>
                <c:pt idx="11">
                  <c:v>1.4404609475032011E-2</c:v>
                </c:pt>
                <c:pt idx="12">
                  <c:v>3.6893203883495145E-2</c:v>
                </c:pt>
                <c:pt idx="13">
                  <c:v>6.3357282821685179E-2</c:v>
                </c:pt>
                <c:pt idx="14">
                  <c:v>8.2682291666666671E-2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6-B604-4CB7-A5A7-29C198DB4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39402240"/>
        <c:axId val="139420416"/>
        <c:axId val="0"/>
      </c:bar3DChart>
      <c:catAx>
        <c:axId val="13940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9420416"/>
        <c:crosses val="autoZero"/>
        <c:auto val="1"/>
        <c:lblAlgn val="ctr"/>
        <c:lblOffset val="100"/>
        <c:noMultiLvlLbl val="0"/>
      </c:catAx>
      <c:valAx>
        <c:axId val="139420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940224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0651125636595728E-2"/>
          <c:y val="0.94345574953996159"/>
          <c:w val="0.98088973458701889"/>
          <c:h val="4.904734136376869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AD25A8"/>
                </a:solidFill>
              </a:defRPr>
            </a:pPr>
            <a:r>
              <a:rPr lang="es-MX" sz="1200" b="0">
                <a:solidFill>
                  <a:srgbClr val="AD25A8"/>
                </a:solidFill>
              </a:rPr>
              <a:t>Lerma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uni'!$B$21</c:f>
              <c:strCache>
                <c:ptCount val="1"/>
                <c:pt idx="0">
                  <c:v>CBI</c:v>
                </c:pt>
              </c:strCache>
            </c:strRef>
          </c:tx>
          <c:spPr>
            <a:ln w="12700">
              <a:solidFill>
                <a:srgbClr val="C00000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CD032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D032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uni'!$AC$21,'Admitidos uni'!$AF$21,'Admitidos uni'!$AI$21,'Admitidos uni'!$AL$21)</c:f>
              <c:numCache>
                <c:formatCode>#,##0</c:formatCode>
                <c:ptCount val="4"/>
                <c:pt idx="0">
                  <c:v>77</c:v>
                </c:pt>
                <c:pt idx="1">
                  <c:v>32</c:v>
                </c:pt>
                <c:pt idx="2">
                  <c:v>73</c:v>
                </c:pt>
                <c:pt idx="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D-4CAA-88AD-CA8B12F168FD}"/>
            </c:ext>
          </c:extLst>
        </c:ser>
        <c:ser>
          <c:idx val="1"/>
          <c:order val="1"/>
          <c:tx>
            <c:strRef>
              <c:f>'Admitidos uni'!$B$22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dLbl>
              <c:idx val="1"/>
              <c:layout>
                <c:manualLayout>
                  <c:x val="-3.6953758263660749E-2"/>
                  <c:y val="-5.6240411808988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4D-4CAA-88AD-CA8B12F168FD}"/>
                </c:ext>
              </c:extLst>
            </c:dLbl>
            <c:dLbl>
              <c:idx val="3"/>
              <c:layout>
                <c:manualLayout>
                  <c:x val="-3.4164769138956858E-2"/>
                  <c:y val="-4.5904901422205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uni'!$AC$22,'Admitidos uni'!$AF$22,'Admitidos uni'!$AI$22,'Admitidos uni'!$AL$22)</c:f>
              <c:numCache>
                <c:formatCode>#,##0</c:formatCode>
                <c:ptCount val="4"/>
                <c:pt idx="0">
                  <c:v>81</c:v>
                </c:pt>
                <c:pt idx="1">
                  <c:v>37</c:v>
                </c:pt>
                <c:pt idx="2">
                  <c:v>88</c:v>
                </c:pt>
                <c:pt idx="3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4D-4CAA-88AD-CA8B12F168FD}"/>
            </c:ext>
          </c:extLst>
        </c:ser>
        <c:ser>
          <c:idx val="2"/>
          <c:order val="2"/>
          <c:tx>
            <c:strRef>
              <c:f>'Admitidos uni'!$B$23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0"/>
              <c:layout>
                <c:manualLayout>
                  <c:x val="-6.9330505872196441E-2"/>
                  <c:y val="-6.07133410649226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4D-4CAA-88AD-CA8B12F168FD}"/>
                </c:ext>
              </c:extLst>
            </c:dLbl>
            <c:dLbl>
              <c:idx val="1"/>
              <c:layout>
                <c:manualLayout>
                  <c:x val="-3.9897098955345815E-2"/>
                  <c:y val="-0.11430222384992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4D-4CAA-88AD-CA8B12F168FD}"/>
                </c:ext>
              </c:extLst>
            </c:dLbl>
            <c:dLbl>
              <c:idx val="2"/>
              <c:layout>
                <c:manualLayout>
                  <c:x val="-3.401041757197569E-2"/>
                  <c:y val="-4.195080266129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4D-4CAA-88AD-CA8B12F168FD}"/>
                </c:ext>
              </c:extLst>
            </c:dLbl>
            <c:dLbl>
              <c:idx val="3"/>
              <c:layout>
                <c:manualLayout>
                  <c:x val="-1.0463692038495188E-2"/>
                  <c:y val="3.5568577183665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4D-4CAA-88AD-CA8B12F16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uni'!$S$51:$S$54</c:f>
              <c:numCache>
                <c:formatCode>General</c:formatCode>
                <c:ptCount val="4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</c:numCache>
            </c:numRef>
          </c:cat>
          <c:val>
            <c:numRef>
              <c:f>('Admitidos uni'!$AC$23,'Admitidos uni'!$AF$23,'Admitidos uni'!$AI$23,'Admitidos uni'!$AL$23)</c:f>
              <c:numCache>
                <c:formatCode>#,##0</c:formatCode>
                <c:ptCount val="4"/>
                <c:pt idx="0">
                  <c:v>80</c:v>
                </c:pt>
                <c:pt idx="1">
                  <c:v>38</c:v>
                </c:pt>
                <c:pt idx="2">
                  <c:v>73</c:v>
                </c:pt>
                <c:pt idx="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4D-4CAA-88AD-CA8B12F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950656"/>
        <c:axId val="110968832"/>
      </c:lineChart>
      <c:catAx>
        <c:axId val="11095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0968832"/>
        <c:crosses val="autoZero"/>
        <c:auto val="1"/>
        <c:lblAlgn val="ctr"/>
        <c:lblOffset val="100"/>
        <c:noMultiLvlLbl val="0"/>
      </c:catAx>
      <c:valAx>
        <c:axId val="11096883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0950656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0-488C-AFA0-F273F87301C6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0-488C-AFA0-F273F87301C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0-488C-AFA0-F273F87301C6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C0-488C-AFA0-F273F87301C6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C0-488C-AFA0-F273F87301C6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C0-488C-AFA0-F273F87301C6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ANTIG'!$J$26:$N$26</c:f>
              <c:numCache>
                <c:formatCode>0.0%</c:formatCode>
                <c:ptCount val="5"/>
                <c:pt idx="0">
                  <c:v>8.0459770114942528E-2</c:v>
                </c:pt>
                <c:pt idx="1">
                  <c:v>8.1557922769640481E-2</c:v>
                </c:pt>
                <c:pt idx="2">
                  <c:v>7.8321216126900198E-2</c:v>
                </c:pt>
                <c:pt idx="3">
                  <c:v>8.4723585214262348E-2</c:v>
                </c:pt>
                <c:pt idx="4">
                  <c:v>8.7387964148527522E-2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EC0-488C-AFA0-F273F87301C6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C0-488C-AFA0-F273F87301C6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C0-488C-AFA0-F273F87301C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C0-488C-AFA0-F273F87301C6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C0-488C-AFA0-F273F87301C6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ANTIG'!$J$27:$N$27</c:f>
              <c:numCache>
                <c:formatCode>0.0%</c:formatCode>
                <c:ptCount val="5"/>
                <c:pt idx="0">
                  <c:v>6.4232589587559161E-2</c:v>
                </c:pt>
                <c:pt idx="1">
                  <c:v>6.6910785619174434E-2</c:v>
                </c:pt>
                <c:pt idx="2">
                  <c:v>7.7329808327825517E-2</c:v>
                </c:pt>
                <c:pt idx="3">
                  <c:v>8.4069349035001642E-2</c:v>
                </c:pt>
                <c:pt idx="4">
                  <c:v>9.4750320102432783E-2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DEC0-488C-AFA0-F273F87301C6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C0-488C-AFA0-F273F87301C6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EC0-488C-AFA0-F273F87301C6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ANTIG'!$J$28:$N$28</c:f>
              <c:numCache>
                <c:formatCode>0.0%</c:formatCode>
                <c:ptCount val="5"/>
                <c:pt idx="0">
                  <c:v>9.1615956727518599E-2</c:v>
                </c:pt>
                <c:pt idx="1">
                  <c:v>8.2556591211717711E-2</c:v>
                </c:pt>
                <c:pt idx="2">
                  <c:v>7.9312623925974879E-2</c:v>
                </c:pt>
                <c:pt idx="3">
                  <c:v>7.098462544978737E-2</c:v>
                </c:pt>
                <c:pt idx="4">
                  <c:v>6.5941101152368758E-2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DEC0-488C-AFA0-F273F87301C6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EC0-488C-AFA0-F273F87301C6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EC0-488C-AFA0-F273F87301C6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EC0-488C-AFA0-F273F87301C6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EC0-488C-AFA0-F273F87301C6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ANTIG'!$J$29:$N$29</c:f>
              <c:numCache>
                <c:formatCode>0.0%</c:formatCode>
                <c:ptCount val="5"/>
                <c:pt idx="0">
                  <c:v>0.13590263691683571</c:v>
                </c:pt>
                <c:pt idx="1">
                  <c:v>0.12083888149134488</c:v>
                </c:pt>
                <c:pt idx="2">
                  <c:v>0.10806345009914078</c:v>
                </c:pt>
                <c:pt idx="3">
                  <c:v>0.10075237160614982</c:v>
                </c:pt>
                <c:pt idx="4">
                  <c:v>9.2829705505761848E-2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DEC0-488C-AFA0-F273F87301C6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EC0-488C-AFA0-F273F87301C6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EC0-488C-AFA0-F273F87301C6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EC0-488C-AFA0-F273F87301C6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EC0-488C-AFA0-F273F87301C6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EC0-488C-AFA0-F273F87301C6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EC0-488C-AFA0-F273F87301C6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ANTIG'!$J$30:$N$30</c:f>
              <c:numCache>
                <c:formatCode>0.0%</c:formatCode>
                <c:ptCount val="5"/>
                <c:pt idx="0">
                  <c:v>0.19641649763353616</c:v>
                </c:pt>
                <c:pt idx="1">
                  <c:v>0.18641810918774968</c:v>
                </c:pt>
                <c:pt idx="2">
                  <c:v>0.17382683410442828</c:v>
                </c:pt>
                <c:pt idx="3">
                  <c:v>0.15767091920183185</c:v>
                </c:pt>
                <c:pt idx="4">
                  <c:v>0.14116517285531371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DEC0-488C-AFA0-F273F87301C6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EC0-488C-AFA0-F273F87301C6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EC0-488C-AFA0-F273F87301C6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EC0-488C-AFA0-F273F87301C6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EC0-488C-AFA0-F273F87301C6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EC0-488C-AFA0-F273F87301C6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EC0-488C-AFA0-F273F87301C6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EC0-488C-AFA0-F273F87301C6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EC0-488C-AFA0-F273F87301C6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ANTIG'!$J$31:$N$31</c:f>
              <c:numCache>
                <c:formatCode>0.0%</c:formatCode>
                <c:ptCount val="5"/>
                <c:pt idx="0">
                  <c:v>0.22413793103448276</c:v>
                </c:pt>
                <c:pt idx="1">
                  <c:v>0.21438082556591212</c:v>
                </c:pt>
                <c:pt idx="2">
                  <c:v>0.19662921348314608</c:v>
                </c:pt>
                <c:pt idx="3">
                  <c:v>0.18711154726856394</c:v>
                </c:pt>
                <c:pt idx="4">
                  <c:v>0.1795774647887324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D-DEC0-488C-AFA0-F273F87301C6}"/>
            </c:ext>
          </c:extLst>
        </c:ser>
        <c:ser>
          <c:idx val="6"/>
          <c:order val="6"/>
          <c:tx>
            <c:strRef>
              <c:f>'ACAD x ANTIG'!#REF!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EC0-488C-AFA0-F273F87301C6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EC0-488C-AFA0-F273F87301C6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EC0-488C-AFA0-F273F87301C6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EC0-488C-AFA0-F273F87301C6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EC0-488C-AFA0-F273F87301C6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DEC0-488C-AFA0-F273F87301C6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EC0-488C-AFA0-F273F87301C6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EC0-488C-AFA0-F273F87301C6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EC0-488C-AFA0-F273F87301C6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EC0-488C-AFA0-F273F87301C6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EC0-488C-AFA0-F273F87301C6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EC0-488C-AFA0-F273F87301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ANTIG'!$J$25:$N$25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'ACAD x ANTIG'!#REF!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A-DEC0-488C-AFA0-F273F8730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39592832"/>
        <c:axId val="139594368"/>
        <c:axId val="0"/>
      </c:bar3DChart>
      <c:catAx>
        <c:axId val="1395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9594368"/>
        <c:crosses val="autoZero"/>
        <c:auto val="1"/>
        <c:lblAlgn val="ctr"/>
        <c:lblOffset val="100"/>
        <c:noMultiLvlLbl val="0"/>
      </c:catAx>
      <c:valAx>
        <c:axId val="1395943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9592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5.6488723732818227E-2"/>
          <c:y val="0.92551855049932219"/>
          <c:w val="0.85791641429436705"/>
          <c:h val="5.4945432468962857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4774774774774775E-2"/>
          <c:y val="3.290949112550931E-2"/>
          <c:w val="0.9504504504504504"/>
          <c:h val="0.75418518267241086"/>
        </c:manualLayout>
      </c:layout>
      <c:bar3DChart>
        <c:barDir val="col"/>
        <c:grouping val="percentStacked"/>
        <c:varyColors val="0"/>
        <c:ser>
          <c:idx val="0"/>
          <c:order val="0"/>
          <c:tx>
            <c:strRef>
              <c:f>'ACAD x ANTIG'!$A$26</c:f>
              <c:strCache>
                <c:ptCount val="1"/>
                <c:pt idx="0">
                  <c:v>HASTA 5 AÑOS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effectLst>
              <a:outerShdw blurRad="76200" dist="12700" dir="8100000" sy="-23000" kx="800400" algn="br" rotWithShape="0">
                <a:schemeClr val="tx1">
                  <a:alpha val="20000"/>
                </a:scheme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7-42B9-9E68-150D1C0BE8AC}"/>
                </c:ext>
              </c:extLst>
            </c:dLbl>
            <c:dLbl>
              <c:idx val="2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7-42B9-9E68-150D1C0BE8AC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7-42B9-9E68-150D1C0BE8AC}"/>
                </c:ext>
              </c:extLst>
            </c:dLbl>
            <c:dLbl>
              <c:idx val="6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7-42B9-9E68-150D1C0BE8AC}"/>
                </c:ext>
              </c:extLst>
            </c:dLbl>
            <c:dLbl>
              <c:idx val="8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77-42B9-9E68-150D1C0BE8AC}"/>
                </c:ext>
              </c:extLst>
            </c:dLbl>
            <c:dLbl>
              <c:idx val="9"/>
              <c:layout>
                <c:manualLayout>
                  <c:x val="5.979073243647234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7-42B9-9E68-150D1C0BE8AC}"/>
                </c:ext>
              </c:extLst>
            </c:dLbl>
            <c:dLbl>
              <c:idx val="10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77-42B9-9E68-150D1C0BE8AC}"/>
                </c:ext>
              </c:extLst>
            </c:dLbl>
            <c:dLbl>
              <c:idx val="12"/>
              <c:layout>
                <c:manualLayout>
                  <c:x val="5.91016548463356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ANTIG'!$K$26:$O$26</c:f>
              <c:numCache>
                <c:formatCode>0.0%</c:formatCode>
                <c:ptCount val="5"/>
                <c:pt idx="0">
                  <c:v>8.1557922769640481E-2</c:v>
                </c:pt>
                <c:pt idx="1">
                  <c:v>7.8321216126900198E-2</c:v>
                </c:pt>
                <c:pt idx="2">
                  <c:v>8.4723585214262348E-2</c:v>
                </c:pt>
                <c:pt idx="3">
                  <c:v>8.7387964148527522E-2</c:v>
                </c:pt>
                <c:pt idx="4">
                  <c:v>7.5728155339805828E-2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677-42B9-9E68-150D1C0BE8AC}"/>
            </c:ext>
          </c:extLst>
        </c:ser>
        <c:ser>
          <c:idx val="1"/>
          <c:order val="1"/>
          <c:tx>
            <c:strRef>
              <c:f>'ACAD x ANTIG'!$A$27</c:f>
              <c:strCache>
                <c:ptCount val="1"/>
                <c:pt idx="0">
                  <c:v>6 - 10 AÑOS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7-42B9-9E68-150D1C0BE8AC}"/>
                </c:ext>
              </c:extLst>
            </c:dLbl>
            <c:dLbl>
              <c:idx val="1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7-42B9-9E68-150D1C0BE8AC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7-42B9-9E68-150D1C0BE8AC}"/>
                </c:ext>
              </c:extLst>
            </c:dLbl>
            <c:dLbl>
              <c:idx val="9"/>
              <c:layout>
                <c:manualLayout>
                  <c:x val="7.473841554559042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7-42B9-9E68-150D1C0BE8AC}"/>
                </c:ext>
              </c:extLst>
            </c:dLbl>
            <c:dLbl>
              <c:idx val="10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77-42B9-9E68-150D1C0BE8AC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ANTIG'!$K$27:$O$27</c:f>
              <c:numCache>
                <c:formatCode>0.0%</c:formatCode>
                <c:ptCount val="5"/>
                <c:pt idx="0">
                  <c:v>6.6910785619174434E-2</c:v>
                </c:pt>
                <c:pt idx="1">
                  <c:v>7.7329808327825517E-2</c:v>
                </c:pt>
                <c:pt idx="2">
                  <c:v>8.4069349035001642E-2</c:v>
                </c:pt>
                <c:pt idx="3">
                  <c:v>9.4750320102432783E-2</c:v>
                </c:pt>
                <c:pt idx="4">
                  <c:v>0.10097087378640776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677-42B9-9E68-150D1C0BE8AC}"/>
            </c:ext>
          </c:extLst>
        </c:ser>
        <c:ser>
          <c:idx val="2"/>
          <c:order val="2"/>
          <c:tx>
            <c:strRef>
              <c:f>'ACAD x ANTIG'!$A$28</c:f>
              <c:strCache>
                <c:ptCount val="1"/>
                <c:pt idx="0">
                  <c:v>11 - 15 AÑOS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77-42B9-9E68-150D1C0BE8AC}"/>
                </c:ext>
              </c:extLst>
            </c:dLbl>
            <c:dLbl>
              <c:idx val="1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77-42B9-9E68-150D1C0BE8AC}"/>
                </c:ext>
              </c:extLst>
            </c:dLbl>
            <c:dLbl>
              <c:idx val="10"/>
              <c:layout>
                <c:manualLayout>
                  <c:x val="8.9686098654708519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77-42B9-9E68-150D1C0BE8AC}"/>
                </c:ext>
              </c:extLst>
            </c:dLbl>
            <c:dLbl>
              <c:idx val="12"/>
              <c:layout>
                <c:manualLayout>
                  <c:x val="8.2742316784869974E-3"/>
                  <c:y val="-8.221129287391800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ANTIG'!$K$28:$O$28</c:f>
              <c:numCache>
                <c:formatCode>0.0%</c:formatCode>
                <c:ptCount val="5"/>
                <c:pt idx="0">
                  <c:v>8.2556591211717711E-2</c:v>
                </c:pt>
                <c:pt idx="1">
                  <c:v>7.9312623925974879E-2</c:v>
                </c:pt>
                <c:pt idx="2">
                  <c:v>7.098462544978737E-2</c:v>
                </c:pt>
                <c:pt idx="3">
                  <c:v>6.5941101152368758E-2</c:v>
                </c:pt>
                <c:pt idx="4">
                  <c:v>6.4724919093851127E-2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677-42B9-9E68-150D1C0BE8AC}"/>
            </c:ext>
          </c:extLst>
        </c:ser>
        <c:ser>
          <c:idx val="3"/>
          <c:order val="3"/>
          <c:tx>
            <c:strRef>
              <c:f>'ACAD x ANTIG'!$A$29</c:f>
              <c:strCache>
                <c:ptCount val="1"/>
                <c:pt idx="0">
                  <c:v>16 - 20 AÑOS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77-42B9-9E68-150D1C0BE8AC}"/>
                </c:ext>
              </c:extLst>
            </c:dLbl>
            <c:dLbl>
              <c:idx val="4"/>
              <c:layout>
                <c:manualLayout>
                  <c:x val="1.208533634075591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77-42B9-9E68-150D1C0BE8AC}"/>
                </c:ext>
              </c:extLst>
            </c:dLbl>
            <c:dLbl>
              <c:idx val="8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77-42B9-9E68-150D1C0BE8AC}"/>
                </c:ext>
              </c:extLst>
            </c:dLbl>
            <c:dLbl>
              <c:idx val="9"/>
              <c:layout>
                <c:manualLayout>
                  <c:x val="7.473841554559042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677-42B9-9E68-150D1C0BE8AC}"/>
                </c:ext>
              </c:extLst>
            </c:dLbl>
            <c:dLbl>
              <c:idx val="11"/>
              <c:layout>
                <c:manualLayout>
                  <c:x val="5.54400554400554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677-42B9-9E68-150D1C0BE8AC}"/>
                </c:ext>
              </c:extLst>
            </c:dLbl>
            <c:dLbl>
              <c:idx val="12"/>
              <c:layout>
                <c:manualLayout>
                  <c:x val="7.0921985815602835E-3"/>
                  <c:y val="-2.2421520705215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ANTIG'!$K$29:$O$29</c:f>
              <c:numCache>
                <c:formatCode>0.0%</c:formatCode>
                <c:ptCount val="5"/>
                <c:pt idx="0">
                  <c:v>0.12083888149134488</c:v>
                </c:pt>
                <c:pt idx="1">
                  <c:v>0.10806345009914078</c:v>
                </c:pt>
                <c:pt idx="2">
                  <c:v>0.10075237160614982</c:v>
                </c:pt>
                <c:pt idx="3">
                  <c:v>9.2829705505761848E-2</c:v>
                </c:pt>
                <c:pt idx="4">
                  <c:v>8.8025889967637536E-2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D677-42B9-9E68-150D1C0BE8AC}"/>
            </c:ext>
          </c:extLst>
        </c:ser>
        <c:ser>
          <c:idx val="4"/>
          <c:order val="4"/>
          <c:tx>
            <c:strRef>
              <c:f>'ACAD x ANTIG'!$A$30</c:f>
              <c:strCache>
                <c:ptCount val="1"/>
                <c:pt idx="0">
                  <c:v>21 - 25 AÑOS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6323831005399379E-3"/>
                  <c:y val="2.9846347899784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677-42B9-9E68-150D1C0BE8AC}"/>
                </c:ext>
              </c:extLst>
            </c:dLbl>
            <c:dLbl>
              <c:idx val="2"/>
              <c:layout>
                <c:manualLayout>
                  <c:x val="5.179429860323963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677-42B9-9E68-150D1C0BE8AC}"/>
                </c:ext>
              </c:extLst>
            </c:dLbl>
            <c:dLbl>
              <c:idx val="3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677-42B9-9E68-150D1C0BE8AC}"/>
                </c:ext>
              </c:extLst>
            </c:dLbl>
            <c:dLbl>
              <c:idx val="5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677-42B9-9E68-150D1C0BE8AC}"/>
                </c:ext>
              </c:extLst>
            </c:dLbl>
            <c:dLbl>
              <c:idx val="6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677-42B9-9E68-150D1C0BE8AC}"/>
                </c:ext>
              </c:extLst>
            </c:dLbl>
            <c:dLbl>
              <c:idx val="7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677-42B9-9E68-150D1C0BE8AC}"/>
                </c:ext>
              </c:extLst>
            </c:dLbl>
            <c:dLbl>
              <c:idx val="8"/>
              <c:layout>
                <c:manualLayout>
                  <c:x val="1.0358859720647927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5.9692695799569086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677-42B9-9E68-150D1C0BE8AC}"/>
                </c:ext>
              </c:extLst>
            </c:dLbl>
            <c:dLbl>
              <c:idx val="12"/>
              <c:layout>
                <c:manualLayout>
                  <c:x val="7.09219858156028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ANTIG'!$K$30:$O$30</c:f>
              <c:numCache>
                <c:formatCode>0.0%</c:formatCode>
                <c:ptCount val="5"/>
                <c:pt idx="0">
                  <c:v>0.18641810918774968</c:v>
                </c:pt>
                <c:pt idx="1">
                  <c:v>0.17382683410442828</c:v>
                </c:pt>
                <c:pt idx="2">
                  <c:v>0.15767091920183185</c:v>
                </c:pt>
                <c:pt idx="3">
                  <c:v>0.14116517285531371</c:v>
                </c:pt>
                <c:pt idx="4">
                  <c:v>0.12524271844660195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5-D677-42B9-9E68-150D1C0BE8AC}"/>
            </c:ext>
          </c:extLst>
        </c:ser>
        <c:ser>
          <c:idx val="5"/>
          <c:order val="5"/>
          <c:tx>
            <c:strRef>
              <c:f>'ACAD x ANTIG'!$A$31</c:f>
              <c:strCache>
                <c:ptCount val="1"/>
                <c:pt idx="0">
                  <c:v>26 - 30 AÑOS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D677-42B9-9E68-150D1C0BE8AC}"/>
                </c:ext>
              </c:extLst>
            </c:dLbl>
            <c:dLbl>
              <c:idx val="1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677-42B9-9E68-150D1C0BE8AC}"/>
                </c:ext>
              </c:extLst>
            </c:dLbl>
            <c:dLbl>
              <c:idx val="2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677-42B9-9E68-150D1C0BE8AC}"/>
                </c:ext>
              </c:extLst>
            </c:dLbl>
            <c:dLbl>
              <c:idx val="4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D677-42B9-9E68-150D1C0BE8AC}"/>
                </c:ext>
              </c:extLst>
            </c:dLbl>
            <c:dLbl>
              <c:idx val="5"/>
              <c:layout>
                <c:manualLayout>
                  <c:x val="6.9059064804319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D677-42B9-9E68-150D1C0BE8AC}"/>
                </c:ext>
              </c:extLst>
            </c:dLbl>
            <c:dLbl>
              <c:idx val="7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677-42B9-9E68-150D1C0BE8AC}"/>
                </c:ext>
              </c:extLst>
            </c:dLbl>
            <c:dLbl>
              <c:idx val="8"/>
              <c:layout>
                <c:manualLayout>
                  <c:x val="1.2085336340755913E-2"/>
                  <c:y val="-3.25600283861916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D677-42B9-9E68-150D1C0BE8AC}"/>
                </c:ext>
              </c:extLst>
            </c:dLbl>
            <c:dLbl>
              <c:idx val="9"/>
              <c:layout>
                <c:manualLayout>
                  <c:x val="8.968609865470851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677-42B9-9E68-150D1C0BE8AC}"/>
                </c:ext>
              </c:extLst>
            </c:dLbl>
            <c:dLbl>
              <c:idx val="11"/>
              <c:layout>
                <c:manualLayout>
                  <c:x val="6.930006930006929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677-42B9-9E68-150D1C0BE8AC}"/>
                </c:ext>
              </c:extLst>
            </c:dLbl>
            <c:dLbl>
              <c:idx val="12"/>
              <c:layout>
                <c:manualLayout>
                  <c:x val="8.2742316784869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1"/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ANTIG'!$K$31:$O$31</c:f>
              <c:numCache>
                <c:formatCode>0.0%</c:formatCode>
                <c:ptCount val="5"/>
                <c:pt idx="0">
                  <c:v>0.21438082556591212</c:v>
                </c:pt>
                <c:pt idx="1">
                  <c:v>0.19662921348314608</c:v>
                </c:pt>
                <c:pt idx="2">
                  <c:v>0.18711154726856394</c:v>
                </c:pt>
                <c:pt idx="3">
                  <c:v>0.1795774647887324</c:v>
                </c:pt>
                <c:pt idx="4">
                  <c:v>0.17896440129449839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D677-42B9-9E68-150D1C0BE8AC}"/>
            </c:ext>
          </c:extLst>
        </c:ser>
        <c:ser>
          <c:idx val="6"/>
          <c:order val="6"/>
          <c:tx>
            <c:strRef>
              <c:f>'ACAD x ANTIG'!$A$32</c:f>
              <c:strCache>
                <c:ptCount val="1"/>
                <c:pt idx="0">
                  <c:v>31 - 35 AÑOS</c:v>
                </c:pt>
              </c:strCache>
            </c:strRef>
          </c:tx>
          <c:spPr>
            <a:solidFill>
              <a:srgbClr val="FFC0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7.9273822580909203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D677-42B9-9E68-150D1C0BE8AC}"/>
                </c:ext>
              </c:extLst>
            </c:dLbl>
            <c:dLbl>
              <c:idx val="1"/>
              <c:layout>
                <c:manualLayout>
                  <c:x val="3.4288801217935076E-3"/>
                  <c:y val="-9.76800851585750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D677-42B9-9E68-150D1C0BE8AC}"/>
                </c:ext>
              </c:extLst>
            </c:dLbl>
            <c:dLbl>
              <c:idx val="2"/>
              <c:layout>
                <c:manualLayout>
                  <c:x val="6.541380872089533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D677-42B9-9E68-150D1C0BE8AC}"/>
                </c:ext>
              </c:extLst>
            </c:dLbl>
            <c:dLbl>
              <c:idx val="3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D677-42B9-9E68-150D1C0BE8AC}"/>
                </c:ext>
              </c:extLst>
            </c:dLbl>
            <c:dLbl>
              <c:idx val="4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D677-42B9-9E68-150D1C0BE8AC}"/>
                </c:ext>
              </c:extLst>
            </c:dLbl>
            <c:dLbl>
              <c:idx val="5"/>
              <c:layout>
                <c:manualLayout>
                  <c:x val="1.035885972064792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D677-42B9-9E68-150D1C0BE8AC}"/>
                </c:ext>
              </c:extLst>
            </c:dLbl>
            <c:dLbl>
              <c:idx val="6"/>
              <c:layout>
                <c:manualLayout>
                  <c:x val="8.63238310053993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D677-42B9-9E68-150D1C0BE8AC}"/>
                </c:ext>
              </c:extLst>
            </c:dLbl>
            <c:dLbl>
              <c:idx val="7"/>
              <c:layout>
                <c:manualLayout>
                  <c:x val="6.9570967090652131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D677-42B9-9E68-150D1C0BE8AC}"/>
                </c:ext>
              </c:extLst>
            </c:dLbl>
            <c:dLbl>
              <c:idx val="8"/>
              <c:layout>
                <c:manualLayout>
                  <c:x val="6.5126186149809138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D677-42B9-9E68-150D1C0BE8AC}"/>
                </c:ext>
              </c:extLst>
            </c:dLbl>
            <c:dLbl>
              <c:idx val="9"/>
              <c:layout>
                <c:manualLayout>
                  <c:x val="6.4045023218251562E-3"/>
                  <c:y val="-3.2559420436471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D677-42B9-9E68-150D1C0BE8AC}"/>
                </c:ext>
              </c:extLst>
            </c:dLbl>
            <c:dLbl>
              <c:idx val="10"/>
              <c:layout>
                <c:manualLayout>
                  <c:x val="7.4738415545589337E-3"/>
                  <c:y val="-6.51200567723833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D677-42B9-9E68-150D1C0BE8AC}"/>
                </c:ext>
              </c:extLst>
            </c:dLbl>
            <c:dLbl>
              <c:idx val="11"/>
              <c:layout>
                <c:manualLayout>
                  <c:x val="8.31600831600831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D677-42B9-9E68-150D1C0BE8AC}"/>
                </c:ext>
              </c:extLst>
            </c:dLbl>
            <c:dLbl>
              <c:idx val="12"/>
              <c:layout>
                <c:manualLayout>
                  <c:x val="9.456264775413711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D677-42B9-9E68-150D1C0BE8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b" anchorCtr="0"/>
              <a:lstStyle/>
              <a:p>
                <a:pPr>
                  <a:defRPr sz="8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ANTIG'!$M$32:$Q$32</c:f>
              <c:numCache>
                <c:formatCode>0.0%</c:formatCode>
                <c:ptCount val="5"/>
                <c:pt idx="0">
                  <c:v>0.20019627085377822</c:v>
                </c:pt>
                <c:pt idx="1">
                  <c:v>0.19750320102432778</c:v>
                </c:pt>
                <c:pt idx="2">
                  <c:v>0.19093851132686085</c:v>
                </c:pt>
                <c:pt idx="3">
                  <c:v>0.18647942521227956</c:v>
                </c:pt>
                <c:pt idx="4">
                  <c:v>0.1728515625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1-D677-42B9-9E68-150D1C0BE8AC}"/>
            </c:ext>
          </c:extLst>
        </c:ser>
        <c:ser>
          <c:idx val="7"/>
          <c:order val="7"/>
          <c:tx>
            <c:strRef>
              <c:f>'ACAD x ANTIG'!$A$33</c:f>
              <c:strCache>
                <c:ptCount val="1"/>
                <c:pt idx="0">
                  <c:v>36 - 40 AÑOS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8018018018018018E-2"/>
                  <c:y val="-1.37121295652713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0-4088-8154-249EC7E31747}"/>
                </c:ext>
              </c:extLst>
            </c:dLbl>
            <c:dLbl>
              <c:idx val="1"/>
              <c:layout>
                <c:manualLayout>
                  <c:x val="1.287001287001282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0-4088-8154-249EC7E31747}"/>
                </c:ext>
              </c:extLst>
            </c:dLbl>
            <c:dLbl>
              <c:idx val="2"/>
              <c:layout>
                <c:manualLayout>
                  <c:x val="1.801801801801801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0-4088-8154-249EC7E31747}"/>
                </c:ext>
              </c:extLst>
            </c:dLbl>
            <c:dLbl>
              <c:idx val="3"/>
              <c:layout>
                <c:manualLayout>
                  <c:x val="1.0296010296010202E-2"/>
                  <c:y val="-2.742425913054274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0-4088-8154-249EC7E31747}"/>
                </c:ext>
              </c:extLst>
            </c:dLbl>
            <c:dLbl>
              <c:idx val="4"/>
              <c:layout>
                <c:manualLayout>
                  <c:x val="1.5444015444015349E-2"/>
                  <c:y val="-2.99177192050084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ANTIG'!$M$33:$Q$33</c:f>
              <c:numCache>
                <c:formatCode>0.0%</c:formatCode>
                <c:ptCount val="5"/>
                <c:pt idx="0">
                  <c:v>0.10075237160614982</c:v>
                </c:pt>
                <c:pt idx="1">
                  <c:v>0.12644046094750319</c:v>
                </c:pt>
                <c:pt idx="2">
                  <c:v>0.13851132686084142</c:v>
                </c:pt>
                <c:pt idx="3">
                  <c:v>0.14598301763553234</c:v>
                </c:pt>
                <c:pt idx="4">
                  <c:v>0.15364583333333334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0-4088-8154-249EC7E31747}"/>
            </c:ext>
          </c:extLst>
        </c:ser>
        <c:ser>
          <c:idx val="8"/>
          <c:order val="8"/>
          <c:tx>
            <c:strRef>
              <c:f>'ACAD x ANTIG'!$A$34</c:f>
              <c:strCache>
                <c:ptCount val="1"/>
                <c:pt idx="0">
                  <c:v>MÁS DE 40 AÑOS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2870012870012847E-2"/>
                  <c:y val="-2.0942403443505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0-4088-8154-249EC7E31747}"/>
                </c:ext>
              </c:extLst>
            </c:dLbl>
            <c:dLbl>
              <c:idx val="1"/>
              <c:layout>
                <c:manualLayout>
                  <c:x val="1.2870012870012869E-2"/>
                  <c:y val="-1.795063152300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0-4088-8154-249EC7E31747}"/>
                </c:ext>
              </c:extLst>
            </c:dLbl>
            <c:dLbl>
              <c:idx val="2"/>
              <c:layout>
                <c:manualLayout>
                  <c:x val="1.0296010296010296E-2"/>
                  <c:y val="-1.7950631523005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0-4088-8154-249EC7E31747}"/>
                </c:ext>
              </c:extLst>
            </c:dLbl>
            <c:dLbl>
              <c:idx val="3"/>
              <c:layout>
                <c:manualLayout>
                  <c:x val="1.5444015444015444E-2"/>
                  <c:y val="-8.97531576150253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0-4088-8154-249EC7E31747}"/>
                </c:ext>
              </c:extLst>
            </c:dLbl>
            <c:dLbl>
              <c:idx val="4"/>
              <c:layout>
                <c:manualLayout>
                  <c:x val="2.0592020592020591E-2"/>
                  <c:y val="-8.9753157615025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0-4088-8154-249EC7E31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'ACAD x ANTIG'!$M$25:$Q$25</c:f>
              <c:numCache>
                <c:formatCode>General</c:formatCode>
                <c:ptCount val="5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</c:numCache>
            </c:numRef>
          </c:cat>
          <c:val>
            <c:numRef>
              <c:f>'ACAD x ANTIG'!$M$34:$Q$34</c:f>
              <c:numCache>
                <c:formatCode>0.0%</c:formatCode>
                <c:ptCount val="5"/>
                <c:pt idx="0">
                  <c:v>1.3738959764474975E-2</c:v>
                </c:pt>
                <c:pt idx="1">
                  <c:v>1.4404609475032011E-2</c:v>
                </c:pt>
                <c:pt idx="2">
                  <c:v>3.6893203883495145E-2</c:v>
                </c:pt>
                <c:pt idx="3">
                  <c:v>6.3357282821685179E-2</c:v>
                </c:pt>
                <c:pt idx="4">
                  <c:v>8.2682291666666671E-2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0-4088-8154-249EC7E31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9"/>
        <c:gapDepth val="99"/>
        <c:shape val="cylinder"/>
        <c:axId val="139965184"/>
        <c:axId val="139966720"/>
        <c:axId val="0"/>
      </c:bar3DChart>
      <c:catAx>
        <c:axId val="13996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0"/>
            </a:pPr>
            <a:endParaRPr lang="es-419"/>
          </a:p>
        </c:txPr>
        <c:crossAx val="139966720"/>
        <c:crosses val="autoZero"/>
        <c:auto val="1"/>
        <c:lblAlgn val="ctr"/>
        <c:lblOffset val="100"/>
        <c:noMultiLvlLbl val="0"/>
      </c:catAx>
      <c:valAx>
        <c:axId val="1399667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99651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703663754359473E-2"/>
          <c:y val="0.87166664782085934"/>
          <c:w val="0.83558048394635598"/>
          <c:h val="0.12833335217914071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</a:t>
            </a:r>
            <a:r>
              <a:rPr lang="es-MX" sz="1200" b="0" i="1" baseline="0"/>
              <a:t> atendidos de</a:t>
            </a:r>
            <a:r>
              <a:rPr lang="es-MX" sz="1200" b="0" i="1"/>
              <a:t> </a:t>
            </a:r>
            <a:r>
              <a:rPr lang="es-MX" sz="1200" b="0" i="1">
                <a:solidFill>
                  <a:srgbClr val="CC9900"/>
                </a:solidFill>
              </a:rPr>
              <a:t>Licenciatura </a:t>
            </a:r>
            <a:r>
              <a:rPr lang="es-MX" sz="1200" b="0" i="1"/>
              <a:t>por personal académico definitivo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PTC'!$A$83:$A$86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C2-471A-9131-124FFFDBD98B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C2-471A-9131-124FFFDBD98B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C2-471A-9131-124FFFDBD98B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C2-471A-9131-124FFFDBD98B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C2-471A-9131-124FFFDBD98B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C2-471A-9131-124FFFDBD98B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C2-471A-9131-124FFFDBD98B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C2-471A-9131-124FFFDBD98B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C2-471A-9131-124FFFDBD98B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C2-471A-9131-124FFFDBD98B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C2-471A-9131-124FFFDBD98B}"/>
                </c:ext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C2-471A-9131-124FFFDBD98B}"/>
                </c:ext>
              </c:extLst>
            </c:dLbl>
            <c:dLbl>
              <c:idx val="12"/>
              <c:layout>
                <c:manualLayout>
                  <c:x val="4.9140042802138066E-3"/>
                  <c:y val="-1.00696824447021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C2-471A-9131-124FFFDBD98B}"/>
                </c:ext>
              </c:extLst>
            </c:dLbl>
            <c:dLbl>
              <c:idx val="13"/>
              <c:layout>
                <c:manualLayout>
                  <c:x val="8.19000713368967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4A-45A9-9A65-DE670B90F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PTC'!$C$86:$M$86,'Alumnos x PTC'!$N$86,'Alumnos x PTC'!$O$86,'Alumnos x PTC'!$P$86)</c:f>
              <c:numCache>
                <c:formatCode>0.0</c:formatCode>
                <c:ptCount val="14"/>
                <c:pt idx="0">
                  <c:v>17.086265607264473</c:v>
                </c:pt>
                <c:pt idx="1">
                  <c:v>17.462210406380553</c:v>
                </c:pt>
                <c:pt idx="2">
                  <c:v>17.239999999999998</c:v>
                </c:pt>
                <c:pt idx="3">
                  <c:v>17.252333028362305</c:v>
                </c:pt>
                <c:pt idx="4">
                  <c:v>17.801943884100496</c:v>
                </c:pt>
                <c:pt idx="5">
                  <c:v>17.901585565882996</c:v>
                </c:pt>
                <c:pt idx="6">
                  <c:v>18.593778424595236</c:v>
                </c:pt>
                <c:pt idx="7">
                  <c:v>18.824824102471585</c:v>
                </c:pt>
                <c:pt idx="8">
                  <c:v>19.216143497757848</c:v>
                </c:pt>
                <c:pt idx="9">
                  <c:v>19.224165341812402</c:v>
                </c:pt>
                <c:pt idx="10">
                  <c:v>18.682149046793761</c:v>
                </c:pt>
                <c:pt idx="11">
                  <c:v>18.924548352816153</c:v>
                </c:pt>
                <c:pt idx="12">
                  <c:v>19.087662337662337</c:v>
                </c:pt>
                <c:pt idx="13">
                  <c:v>18.41202632983455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BC2-471A-9131-124FFFDBD98B}"/>
            </c:ext>
          </c:extLst>
        </c:ser>
        <c:ser>
          <c:idx val="1"/>
          <c:order val="1"/>
          <c:tx>
            <c:strRef>
              <c:f>'Alumnos x PTC'!$A$88:$A$91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C2-471A-9131-124FFFDBD98B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C2-471A-9131-124FFFDBD98B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C2-471A-9131-124FFFDBD98B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C2-471A-9131-124FFFDBD98B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C2-471A-9131-124FFFDBD98B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C2-471A-9131-124FFFDBD98B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C2-471A-9131-124FFFDBD98B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C2-471A-9131-124FFFDBD98B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C2-471A-9131-124FFFDBD98B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C2-471A-9131-124FFFDBD98B}"/>
                </c:ext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C2-471A-9131-124FFFDBD98B}"/>
                </c:ext>
              </c:extLst>
            </c:dLbl>
            <c:dLbl>
              <c:idx val="12"/>
              <c:layout>
                <c:manualLayout>
                  <c:x val="6.5520057069517424E-3"/>
                  <c:y val="-1.0069682444702192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C2-471A-9131-124FFFDBD98B}"/>
                </c:ext>
              </c:extLst>
            </c:dLbl>
            <c:dLbl>
              <c:idx val="13"/>
              <c:layout>
                <c:manualLayout>
                  <c:x val="4.9140042802138066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A-45A9-9A65-DE670B90F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PTC'!$C$91:$M$91,'Alumnos x PTC'!$N$91,'Alumnos x PTC'!$O$91,'Alumnos x PTC'!$P$91)</c:f>
              <c:numCache>
                <c:formatCode>0.0</c:formatCode>
                <c:ptCount val="14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11.455295735900963</c:v>
                </c:pt>
                <c:pt idx="8">
                  <c:v>11.575757575757576</c:v>
                </c:pt>
                <c:pt idx="9">
                  <c:v>12.117216117216117</c:v>
                </c:pt>
                <c:pt idx="10">
                  <c:v>13.776</c:v>
                </c:pt>
                <c:pt idx="11">
                  <c:v>15.506666666666666</c:v>
                </c:pt>
                <c:pt idx="12">
                  <c:v>17.160127253446447</c:v>
                </c:pt>
                <c:pt idx="13">
                  <c:v>18.199798183652877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BC2-471A-9131-124FFFDBD98B}"/>
            </c:ext>
          </c:extLst>
        </c:ser>
        <c:ser>
          <c:idx val="2"/>
          <c:order val="2"/>
          <c:tx>
            <c:strRef>
              <c:f>'Alumnos x PTC'!$A$93:$A$96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C2-471A-9131-124FFFDBD98B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C2-471A-9131-124FFFDBD98B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C2-471A-9131-124FFFDBD98B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C2-471A-9131-124FFFDBD98B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C2-471A-9131-124FFFDBD98B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C2-471A-9131-124FFFDBD98B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C2-471A-9131-124FFFDBD98B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C2-471A-9131-124FFFDBD98B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BC2-471A-9131-124FFFDBD98B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BC2-471A-9131-124FFFDBD98B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BC2-471A-9131-124FFFDBD98B}"/>
                </c:ext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BC2-471A-9131-124FFFDBD98B}"/>
                </c:ext>
              </c:extLst>
            </c:dLbl>
            <c:dLbl>
              <c:idx val="12"/>
              <c:layout>
                <c:manualLayout>
                  <c:x val="6.5520057069517424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BC2-471A-9131-124FFFDBD98B}"/>
                </c:ext>
              </c:extLst>
            </c:dLbl>
            <c:dLbl>
              <c:idx val="13"/>
              <c:layout>
                <c:manualLayout>
                  <c:x val="4.91400428021380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4A-45A9-9A65-DE670B90F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PTC'!$C$96:$M$96,'Alumnos x PTC'!$N$96,'Alumnos x PTC'!$O$96,'Alumnos x PTC'!$P$96)</c:f>
              <c:numCache>
                <c:formatCode>0.0</c:formatCode>
                <c:ptCount val="14"/>
                <c:pt idx="0">
                  <c:v>14.581591639871382</c:v>
                </c:pt>
                <c:pt idx="1">
                  <c:v>14.441579371474617</c:v>
                </c:pt>
                <c:pt idx="2">
                  <c:v>14.564720048163757</c:v>
                </c:pt>
                <c:pt idx="3">
                  <c:v>14.648789273564137</c:v>
                </c:pt>
                <c:pt idx="4">
                  <c:v>15.090216519647152</c:v>
                </c:pt>
                <c:pt idx="5">
                  <c:v>15.440145102781136</c:v>
                </c:pt>
                <c:pt idx="6">
                  <c:v>16.146331658291459</c:v>
                </c:pt>
                <c:pt idx="7">
                  <c:v>16.612522504500902</c:v>
                </c:pt>
                <c:pt idx="8">
                  <c:v>17.508926780341021</c:v>
                </c:pt>
                <c:pt idx="9">
                  <c:v>18.192437141160166</c:v>
                </c:pt>
                <c:pt idx="10">
                  <c:v>18.256590509666079</c:v>
                </c:pt>
                <c:pt idx="11">
                  <c:v>18.523434423001181</c:v>
                </c:pt>
                <c:pt idx="12">
                  <c:v>18.753565768621236</c:v>
                </c:pt>
                <c:pt idx="13">
                  <c:v>18.487067250298448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BC2-471A-9131-124FFFDBD98B}"/>
            </c:ext>
          </c:extLst>
        </c:ser>
        <c:ser>
          <c:idx val="3"/>
          <c:order val="3"/>
          <c:tx>
            <c:strRef>
              <c:f>'Alumnos x PTC'!$A$98:$A$101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BC2-471A-9131-124FFFDBD98B}"/>
                </c:ext>
              </c:extLst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BC2-471A-9131-124FFFDBD98B}"/>
                </c:ext>
              </c:extLst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BC2-471A-9131-124FFFDBD98B}"/>
                </c:ext>
              </c:extLst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BC2-471A-9131-124FFFDBD98B}"/>
                </c:ext>
              </c:extLst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BC2-471A-9131-124FFFDBD98B}"/>
                </c:ext>
              </c:extLst>
            </c:dLbl>
            <c:dLbl>
              <c:idx val="12"/>
              <c:layout>
                <c:manualLayout>
                  <c:x val="6.5520057069517424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BC2-471A-9131-124FFFDBD98B}"/>
                </c:ext>
              </c:extLst>
            </c:dLbl>
            <c:dLbl>
              <c:idx val="13"/>
              <c:layout>
                <c:manualLayout>
                  <c:x val="4.914004280213806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A-45A9-9A65-DE670B90F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PTC'!$C$101:$M$101,'Alumnos x PTC'!$N$101,'Alumnos x PTC'!$O$101,'Alumnos x PTC'!$P$101)</c:f>
              <c:numCache>
                <c:formatCode>0.0</c:formatCode>
                <c:ptCount val="14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BBC2-471A-9131-124FFFDBD98B}"/>
            </c:ext>
          </c:extLst>
        </c:ser>
        <c:ser>
          <c:idx val="4"/>
          <c:order val="4"/>
          <c:tx>
            <c:strRef>
              <c:f>'Alumnos x PTC'!$A$103:$A$106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BC2-471A-9131-124FFFDBD98B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BC2-471A-9131-124FFFDBD98B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BC2-471A-9131-124FFFDBD98B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BC2-471A-9131-124FFFDBD98B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BC2-471A-9131-124FFFDBD98B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BC2-471A-9131-124FFFDBD98B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BC2-471A-9131-124FFFDBD98B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BC2-471A-9131-124FFFDBD98B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BC2-471A-9131-124FFFDBD98B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BC2-471A-9131-124FFFDBD98B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BC2-471A-9131-124FFFDBD98B}"/>
                </c:ext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BC2-471A-9131-124FFFDBD98B}"/>
                </c:ext>
              </c:extLst>
            </c:dLbl>
            <c:dLbl>
              <c:idx val="12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BC2-471A-9131-124FFFDBD98B}"/>
                </c:ext>
              </c:extLst>
            </c:dLbl>
            <c:dLbl>
              <c:idx val="13"/>
              <c:layout>
                <c:manualLayout>
                  <c:x val="6.552005706951622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4A-45A9-9A65-DE670B90F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PTC'!$C$106:$M$106,'Alumnos x PTC'!$N$106,'Alumnos x PTC'!$O$106,'Alumnos x PTC'!$P$106)</c:f>
              <c:numCache>
                <c:formatCode>0.0</c:formatCode>
                <c:ptCount val="14"/>
                <c:pt idx="0">
                  <c:v>18.222976796830785</c:v>
                </c:pt>
                <c:pt idx="1">
                  <c:v>19.391188758070644</c:v>
                </c:pt>
                <c:pt idx="2">
                  <c:v>19.795826283135927</c:v>
                </c:pt>
                <c:pt idx="3">
                  <c:v>20.551790527531768</c:v>
                </c:pt>
                <c:pt idx="4">
                  <c:v>20.45726331927942</c:v>
                </c:pt>
                <c:pt idx="5">
                  <c:v>19.625023841312224</c:v>
                </c:pt>
                <c:pt idx="6">
                  <c:v>19.289124668435015</c:v>
                </c:pt>
                <c:pt idx="7">
                  <c:v>18.682935916542476</c:v>
                </c:pt>
                <c:pt idx="8">
                  <c:v>18.578286558345642</c:v>
                </c:pt>
                <c:pt idx="9">
                  <c:v>18.767274737423993</c:v>
                </c:pt>
                <c:pt idx="10">
                  <c:v>18.431222707423579</c:v>
                </c:pt>
                <c:pt idx="11">
                  <c:v>18.637012630422845</c:v>
                </c:pt>
                <c:pt idx="12">
                  <c:v>19.146746224128286</c:v>
                </c:pt>
                <c:pt idx="13">
                  <c:v>19.716392512762337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BBC2-471A-9131-124FFFDBD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9127808"/>
        <c:axId val="139244288"/>
        <c:axId val="0"/>
      </c:bar3DChart>
      <c:catAx>
        <c:axId val="1391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9244288"/>
        <c:crosses val="autoZero"/>
        <c:auto val="1"/>
        <c:lblAlgn val="ctr"/>
        <c:lblOffset val="100"/>
        <c:noMultiLvlLbl val="0"/>
      </c:catAx>
      <c:valAx>
        <c:axId val="13924428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391278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 baseline="0">
                <a:effectLst/>
              </a:rPr>
              <a:t>Alumno atendidos de </a:t>
            </a:r>
            <a:r>
              <a:rPr lang="es-MX" sz="1200" b="0" i="1" baseline="0">
                <a:solidFill>
                  <a:srgbClr val="CC9900"/>
                </a:solidFill>
                <a:effectLst/>
              </a:rPr>
              <a:t>Posgrado</a:t>
            </a:r>
            <a:r>
              <a:rPr lang="es-MX" sz="1200" b="0" i="1" baseline="0">
                <a:effectLst/>
              </a:rPr>
              <a:t> por personal académico definitivo</a:t>
            </a:r>
            <a:endParaRPr lang="es-MX" sz="1200" b="0" i="1">
              <a:effectLst/>
            </a:endParaRPr>
          </a:p>
        </c:rich>
      </c:tx>
      <c:layout>
        <c:manualLayout>
          <c:xMode val="edge"/>
          <c:yMode val="edge"/>
          <c:x val="0.24682138719516578"/>
          <c:y val="2.7414322275718026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'Alumnos x PTC'!$A$83:$A$86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35-4116-BED9-A43C346C3F07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35-4116-BED9-A43C346C3F07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35-4116-BED9-A43C346C3F07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5-4116-BED9-A43C346C3F07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5-4116-BED9-A43C346C3F07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5-4116-BED9-A43C346C3F07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5-4116-BED9-A43C346C3F07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35-4116-BED9-A43C346C3F07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5-4116-BED9-A43C346C3F07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5-4116-BED9-A43C346C3F07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5-4116-BED9-A43C346C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PTC'!$C$152:$M$152,'Alumnos x PTC'!$N$152,'Alumnos x PTC'!$O$152,'Alumnos x PTC'!$P$152)</c:f>
              <c:numCache>
                <c:formatCode>0.0</c:formatCode>
                <c:ptCount val="14"/>
                <c:pt idx="0">
                  <c:v>0.82746878547105562</c:v>
                </c:pt>
                <c:pt idx="1">
                  <c:v>0.84998101025446249</c:v>
                </c:pt>
                <c:pt idx="2">
                  <c:v>0.81333333333333335</c:v>
                </c:pt>
                <c:pt idx="3">
                  <c:v>1.0825251601097896</c:v>
                </c:pt>
                <c:pt idx="4">
                  <c:v>0.99688245002750775</c:v>
                </c:pt>
                <c:pt idx="5">
                  <c:v>1.1448879168944779</c:v>
                </c:pt>
                <c:pt idx="6">
                  <c:v>1.235583045297435</c:v>
                </c:pt>
                <c:pt idx="7">
                  <c:v>1.364964820494317</c:v>
                </c:pt>
                <c:pt idx="8">
                  <c:v>1.2495067264573991</c:v>
                </c:pt>
                <c:pt idx="9">
                  <c:v>1.3926868044515104</c:v>
                </c:pt>
                <c:pt idx="10">
                  <c:v>1.5140381282495667</c:v>
                </c:pt>
                <c:pt idx="11">
                  <c:v>1.5324123273113708</c:v>
                </c:pt>
                <c:pt idx="12">
                  <c:v>1.670995670995671</c:v>
                </c:pt>
                <c:pt idx="13">
                  <c:v>1.8445116527308307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035-4116-BED9-A43C346C3F07}"/>
            </c:ext>
          </c:extLst>
        </c:ser>
        <c:ser>
          <c:idx val="1"/>
          <c:order val="1"/>
          <c:tx>
            <c:strRef>
              <c:f>'Alumnos x PTC'!$A$88:$A$91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5-4116-BED9-A43C346C3F07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5-4116-BED9-A43C346C3F07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5-4116-BED9-A43C346C3F07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35-4116-BED9-A43C346C3F07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35-4116-BED9-A43C346C3F07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35-4116-BED9-A43C346C3F07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35-4116-BED9-A43C346C3F07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35-4116-BED9-A43C346C3F07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35-4116-BED9-A43C346C3F07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35-4116-BED9-A43C346C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PTC'!$C$157:$M$157,'Alumnos x PTC'!$N$157,'Alumnos x PTC'!$O$157,'Alumnos x PTC'!$P$157)</c:f>
              <c:numCache>
                <c:formatCode>0.0</c:formatCode>
                <c:ptCount val="14"/>
                <c:pt idx="7">
                  <c:v>1.2544704264099036</c:v>
                </c:pt>
                <c:pt idx="8">
                  <c:v>2.6515151515151514</c:v>
                </c:pt>
                <c:pt idx="9">
                  <c:v>4.0439560439560438</c:v>
                </c:pt>
                <c:pt idx="10">
                  <c:v>4.7931428571428567</c:v>
                </c:pt>
                <c:pt idx="11">
                  <c:v>5.7333333333333334</c:v>
                </c:pt>
                <c:pt idx="12">
                  <c:v>6.3244962884411455</c:v>
                </c:pt>
                <c:pt idx="13">
                  <c:v>5.9576185671039354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35-4116-BED9-A43C346C3F07}"/>
            </c:ext>
          </c:extLst>
        </c:ser>
        <c:ser>
          <c:idx val="2"/>
          <c:order val="2"/>
          <c:tx>
            <c:strRef>
              <c:f>'Alumnos x PTC'!$A$93:$A$96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35-4116-BED9-A43C346C3F07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35-4116-BED9-A43C346C3F07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35-4116-BED9-A43C346C3F07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35-4116-BED9-A43C346C3F07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35-4116-BED9-A43C346C3F07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35-4116-BED9-A43C346C3F07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35-4116-BED9-A43C346C3F07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35-4116-BED9-A43C346C3F07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35-4116-BED9-A43C346C3F07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35-4116-BED9-A43C346C3F07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35-4116-BED9-A43C346C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PTC'!$C$162:$M$162,'Alumnos x PTC'!$N$162,'Alumnos x PTC'!$O$162,'Alumnos x PTC'!$P$162)</c:f>
              <c:numCache>
                <c:formatCode>0.0</c:formatCode>
                <c:ptCount val="14"/>
                <c:pt idx="0">
                  <c:v>3.565514469453376</c:v>
                </c:pt>
                <c:pt idx="1">
                  <c:v>3.5922643029814663</c:v>
                </c:pt>
                <c:pt idx="2">
                  <c:v>3.5063214930764599</c:v>
                </c:pt>
                <c:pt idx="3">
                  <c:v>3.6826095657394435</c:v>
                </c:pt>
                <c:pt idx="4">
                  <c:v>4.0597433841218926</c:v>
                </c:pt>
                <c:pt idx="5">
                  <c:v>4.3591293833131806</c:v>
                </c:pt>
                <c:pt idx="6">
                  <c:v>5.0122613065326638</c:v>
                </c:pt>
                <c:pt idx="7">
                  <c:v>5.1634326865373081</c:v>
                </c:pt>
                <c:pt idx="8">
                  <c:v>5.2465396188565698</c:v>
                </c:pt>
                <c:pt idx="9">
                  <c:v>5.2350029697089679</c:v>
                </c:pt>
                <c:pt idx="10">
                  <c:v>5.4715875805506737</c:v>
                </c:pt>
                <c:pt idx="11">
                  <c:v>5.2863332020480502</c:v>
                </c:pt>
                <c:pt idx="12">
                  <c:v>5.441362916006339</c:v>
                </c:pt>
                <c:pt idx="13">
                  <c:v>5.0616792678074018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035-4116-BED9-A43C346C3F07}"/>
            </c:ext>
          </c:extLst>
        </c:ser>
        <c:ser>
          <c:idx val="4"/>
          <c:order val="3"/>
          <c:tx>
            <c:strRef>
              <c:f>'Alumnos x PTC'!$A$103:$A$106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035-4116-BED9-A43C346C3F07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035-4116-BED9-A43C346C3F07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035-4116-BED9-A43C346C3F07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035-4116-BED9-A43C346C3F07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035-4116-BED9-A43C346C3F07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035-4116-BED9-A43C346C3F07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035-4116-BED9-A43C346C3F07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035-4116-BED9-A43C346C3F07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035-4116-BED9-A43C346C3F07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035-4116-BED9-A43C346C3F07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035-4116-BED9-A43C346C3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PTC'!$C$81:$M$81,'Alumnos x PTC'!$N$81,'Alumnos x PTC'!$O$81,'Alumnos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PTC'!$C$167:$M$167,'Alumnos x PTC'!$N$167,'Alumnos x PTC'!$O$167,'Alumnos x PTC'!$P$167)</c:f>
              <c:numCache>
                <c:formatCode>0.0</c:formatCode>
                <c:ptCount val="14"/>
                <c:pt idx="0">
                  <c:v>1.6479909451046972</c:v>
                </c:pt>
                <c:pt idx="1">
                  <c:v>1.7238890998860616</c:v>
                </c:pt>
                <c:pt idx="2">
                  <c:v>1.9052453468697124</c:v>
                </c:pt>
                <c:pt idx="3">
                  <c:v>2.1659607239122063</c:v>
                </c:pt>
                <c:pt idx="4">
                  <c:v>2.1755461862782677</c:v>
                </c:pt>
                <c:pt idx="5">
                  <c:v>2.4958992942971578</c:v>
                </c:pt>
                <c:pt idx="6">
                  <c:v>2.4929897688518379</c:v>
                </c:pt>
                <c:pt idx="7">
                  <c:v>2.3673621460506706</c:v>
                </c:pt>
                <c:pt idx="8">
                  <c:v>2.346381093057607</c:v>
                </c:pt>
                <c:pt idx="9">
                  <c:v>2.5163073521282477</c:v>
                </c:pt>
                <c:pt idx="10">
                  <c:v>2.4388646288209608</c:v>
                </c:pt>
                <c:pt idx="11">
                  <c:v>2.5601317957166394</c:v>
                </c:pt>
                <c:pt idx="12">
                  <c:v>2.6817079992541486</c:v>
                </c:pt>
                <c:pt idx="13">
                  <c:v>2.8099829835507659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E-4035-4116-BED9-A43C346C3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0091392"/>
        <c:axId val="140092928"/>
        <c:axId val="0"/>
      </c:bar3DChart>
      <c:catAx>
        <c:axId val="14009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092928"/>
        <c:crosses val="autoZero"/>
        <c:auto val="1"/>
        <c:lblAlgn val="ctr"/>
        <c:lblOffset val="100"/>
        <c:noMultiLvlLbl val="0"/>
      </c:catAx>
      <c:valAx>
        <c:axId val="14009292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009139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Alumnos</a:t>
            </a:r>
            <a:r>
              <a:rPr lang="es-MX" sz="1200" b="0" i="1" baseline="0"/>
              <a:t> atendidos de </a:t>
            </a:r>
            <a:r>
              <a:rPr lang="es-MX" sz="1200" b="0" i="1">
                <a:solidFill>
                  <a:srgbClr val="CC9900"/>
                </a:solidFill>
              </a:rPr>
              <a:t>Licenciatura y</a:t>
            </a:r>
            <a:r>
              <a:rPr lang="es-MX" sz="1200" b="0" i="1" baseline="0">
                <a:solidFill>
                  <a:srgbClr val="CC9900"/>
                </a:solidFill>
              </a:rPr>
              <a:t> Posgrado </a:t>
            </a:r>
            <a:r>
              <a:rPr lang="es-MX" sz="1200" b="0" i="1"/>
              <a:t>por Personal Académico Definitivo</a:t>
            </a:r>
          </a:p>
        </c:rich>
      </c:tx>
      <c:layout>
        <c:manualLayout>
          <c:xMode val="edge"/>
          <c:yMode val="edge"/>
          <c:x val="0.21469858085262877"/>
          <c:y val="1.7606242869015257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930485155684286E-2"/>
          <c:y val="7.6541443053070965E-2"/>
          <c:w val="0.96813902968863141"/>
          <c:h val="0.80336953408552014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'Alumnos x PTC'!$A$83:$A$86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5A-4617-82F5-59F634B82EC9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5A-4617-82F5-59F634B82EC9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5A-4617-82F5-59F634B82EC9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5A-4617-82F5-59F634B82EC9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5A-4617-82F5-59F634B82EC9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5A-4617-82F5-59F634B82EC9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5A-4617-82F5-59F634B82EC9}"/>
                </c:ext>
              </c:extLst>
            </c:dLbl>
            <c:dLbl>
              <c:idx val="7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5A-4617-82F5-59F634B82EC9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5A-4617-82F5-59F634B82EC9}"/>
                </c:ext>
              </c:extLst>
            </c:dLbl>
            <c:dLbl>
              <c:idx val="9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5A-4617-82F5-59F634B82EC9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5A-4617-82F5-59F634B82EC9}"/>
                </c:ext>
              </c:extLst>
            </c:dLbl>
            <c:dLbl>
              <c:idx val="11"/>
              <c:layout>
                <c:manualLayout>
                  <c:x val="9.828008560427493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5A-4617-82F5-59F634B82EC9}"/>
                </c:ext>
              </c:extLst>
            </c:dLbl>
            <c:dLbl>
              <c:idx val="12"/>
              <c:layout>
                <c:manualLayout>
                  <c:x val="8.6893555394641567E-3"/>
                  <c:y val="-8.74567515685094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5A-4617-82F5-59F634B82EC9}"/>
                </c:ext>
              </c:extLst>
            </c:dLbl>
            <c:dLbl>
              <c:idx val="13"/>
              <c:layout>
                <c:manualLayout>
                  <c:x val="4.3446777697319717E-3"/>
                  <c:y val="-2.38521168753735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CA-4541-9DDA-72E464CC3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anchor="ctr" anchorCtr="0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PTC'!$C$9:$N$9,'Alumnos x PTC'!$O$9,'Alumnos x PTC'!$P$9)</c:f>
              <c:numCache>
                <c:formatCode>0.0</c:formatCode>
                <c:ptCount val="14"/>
                <c:pt idx="0">
                  <c:v>17.913734392735527</c:v>
                </c:pt>
                <c:pt idx="1">
                  <c:v>18.312191416635017</c:v>
                </c:pt>
                <c:pt idx="2">
                  <c:v>18.053333333333335</c:v>
                </c:pt>
                <c:pt idx="3">
                  <c:v>18.334858188472094</c:v>
                </c:pt>
                <c:pt idx="4">
                  <c:v>18.798826334128002</c:v>
                </c:pt>
                <c:pt idx="5">
                  <c:v>19.046473482777476</c:v>
                </c:pt>
                <c:pt idx="6">
                  <c:v>19.829361469892671</c:v>
                </c:pt>
                <c:pt idx="7">
                  <c:v>20.189788922965903</c:v>
                </c:pt>
                <c:pt idx="8">
                  <c:v>20.465650224215249</c:v>
                </c:pt>
                <c:pt idx="9">
                  <c:v>20.616852146263913</c:v>
                </c:pt>
                <c:pt idx="10">
                  <c:v>20.196187175043327</c:v>
                </c:pt>
                <c:pt idx="11">
                  <c:v>20.456960680127523</c:v>
                </c:pt>
                <c:pt idx="12">
                  <c:v>20.75865800865801</c:v>
                </c:pt>
                <c:pt idx="13">
                  <c:v>20.25653798256538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B5A-4617-82F5-59F634B82EC9}"/>
            </c:ext>
          </c:extLst>
        </c:ser>
        <c:ser>
          <c:idx val="1"/>
          <c:order val="1"/>
          <c:tx>
            <c:strRef>
              <c:f>'Alumnos x PTC'!$A$88:$A$91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rgbClr val="F082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5A-4617-82F5-59F634B82EC9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5A-4617-82F5-59F634B82EC9}"/>
                </c:ext>
              </c:extLst>
            </c:dLbl>
            <c:dLbl>
              <c:idx val="3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5A-4617-82F5-59F634B82EC9}"/>
                </c:ext>
              </c:extLst>
            </c:dLbl>
            <c:dLbl>
              <c:idx val="4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5A-4617-82F5-59F634B82EC9}"/>
                </c:ext>
              </c:extLst>
            </c:dLbl>
            <c:dLbl>
              <c:idx val="5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5A-4617-82F5-59F634B82EC9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5A-4617-82F5-59F634B82EC9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5A-4617-82F5-59F634B82EC9}"/>
                </c:ext>
              </c:extLst>
            </c:dLbl>
            <c:dLbl>
              <c:idx val="8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5A-4617-82F5-59F634B82EC9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5A-4617-82F5-59F634B82EC9}"/>
                </c:ext>
              </c:extLst>
            </c:dLbl>
            <c:dLbl>
              <c:idx val="10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5A-4617-82F5-59F634B82EC9}"/>
                </c:ext>
              </c:extLst>
            </c:dLbl>
            <c:dLbl>
              <c:idx val="11"/>
              <c:layout>
                <c:manualLayout>
                  <c:x val="6.5520057069516227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5A-4617-82F5-59F634B82EC9}"/>
                </c:ext>
              </c:extLst>
            </c:dLbl>
            <c:dLbl>
              <c:idx val="12"/>
              <c:layout>
                <c:manualLayout>
                  <c:x val="7.241129616220024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5A-4617-82F5-59F634B82EC9}"/>
                </c:ext>
              </c:extLst>
            </c:dLbl>
            <c:dLbl>
              <c:idx val="13"/>
              <c:layout>
                <c:manualLayout>
                  <c:x val="7.2411296162201303E-3"/>
                  <c:y val="-2.3852116875372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CA-4541-9DDA-72E464CC3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PTC'!$C$14:$N$14,'Alumnos x PTC'!$O$14,'Alumnos x PTC'!$P$14)</c:f>
              <c:numCache>
                <c:formatCode>0.0</c:formatCode>
                <c:ptCount val="14"/>
                <c:pt idx="1">
                  <c:v>15.615384615384615</c:v>
                </c:pt>
                <c:pt idx="2">
                  <c:v>13.045454545454545</c:v>
                </c:pt>
                <c:pt idx="3">
                  <c:v>10.704761904761904</c:v>
                </c:pt>
                <c:pt idx="4">
                  <c:v>12.267605633802816</c:v>
                </c:pt>
                <c:pt idx="5">
                  <c:v>12.622754491017965</c:v>
                </c:pt>
                <c:pt idx="6">
                  <c:v>11.5311004784689</c:v>
                </c:pt>
                <c:pt idx="7">
                  <c:v>12.709766162310865</c:v>
                </c:pt>
                <c:pt idx="8">
                  <c:v>14.227272727272727</c:v>
                </c:pt>
                <c:pt idx="9">
                  <c:v>16.161172161172161</c:v>
                </c:pt>
                <c:pt idx="10">
                  <c:v>18.569142857142857</c:v>
                </c:pt>
                <c:pt idx="11">
                  <c:v>21.24</c:v>
                </c:pt>
                <c:pt idx="12">
                  <c:v>23.484623541887593</c:v>
                </c:pt>
                <c:pt idx="13">
                  <c:v>24.157416750756813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5A-4617-82F5-59F634B82EC9}"/>
            </c:ext>
          </c:extLst>
        </c:ser>
        <c:ser>
          <c:idx val="2"/>
          <c:order val="2"/>
          <c:tx>
            <c:strRef>
              <c:f>'Alumnos x PTC'!$A$93:$A$96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5A-4617-82F5-59F634B82EC9}"/>
                </c:ext>
              </c:extLst>
            </c:dLbl>
            <c:dLbl>
              <c:idx val="1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5A-4617-82F5-59F634B82EC9}"/>
                </c:ext>
              </c:extLst>
            </c:dLbl>
            <c:dLbl>
              <c:idx val="2"/>
              <c:layout>
                <c:manualLayout>
                  <c:x val="4.87210718635807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5A-4617-82F5-59F634B82EC9}"/>
                </c:ext>
              </c:extLst>
            </c:dLbl>
            <c:dLbl>
              <c:idx val="3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5A-4617-82F5-59F634B82EC9}"/>
                </c:ext>
              </c:extLst>
            </c:dLbl>
            <c:dLbl>
              <c:idx val="4"/>
              <c:layout>
                <c:manualLayout>
                  <c:x val="9.7442143727161992E-3"/>
                  <c:y val="-2.88288255567765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5A-4617-82F5-59F634B82EC9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5A-4617-82F5-59F634B82EC9}"/>
                </c:ext>
              </c:extLst>
            </c:dLbl>
            <c:dLbl>
              <c:idx val="6"/>
              <c:layout>
                <c:manualLayout>
                  <c:x val="6.49614291514412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5A-4617-82F5-59F634B82EC9}"/>
                </c:ext>
              </c:extLst>
            </c:dLbl>
            <c:dLbl>
              <c:idx val="7"/>
              <c:layout>
                <c:manualLayout>
                  <c:x val="8.1201786439301597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5A-4617-82F5-59F634B82EC9}"/>
                </c:ext>
              </c:extLst>
            </c:dLbl>
            <c:dLbl>
              <c:idx val="8"/>
              <c:layout>
                <c:manualLayout>
                  <c:x val="9.7442143727161992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5A-4617-82F5-59F634B82EC9}"/>
                </c:ext>
              </c:extLst>
            </c:dLbl>
            <c:dLbl>
              <c:idx val="9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5A-4617-82F5-59F634B82EC9}"/>
                </c:ext>
              </c:extLst>
            </c:dLbl>
            <c:dLbl>
              <c:idx val="10"/>
              <c:layout>
                <c:manualLayout>
                  <c:x val="4.87210718635809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5A-4617-82F5-59F634B82EC9}"/>
                </c:ext>
              </c:extLst>
            </c:dLbl>
            <c:dLbl>
              <c:idx val="11"/>
              <c:layout>
                <c:manualLayout>
                  <c:x val="8.19000713368955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5A-4617-82F5-59F634B82EC9}"/>
                </c:ext>
              </c:extLst>
            </c:dLbl>
            <c:dLbl>
              <c:idx val="12"/>
              <c:layout>
                <c:manualLayout>
                  <c:x val="8.68935553946415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5A-4617-82F5-59F634B82EC9}"/>
                </c:ext>
              </c:extLst>
            </c:dLbl>
            <c:dLbl>
              <c:idx val="13"/>
              <c:layout>
                <c:manualLayout>
                  <c:x val="4.34467776973197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CA-4541-9DDA-72E464CC3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PTC'!$C$19:$N$19,'Alumnos x PTC'!$O$19,'Alumnos x PTC'!$P$19)</c:f>
              <c:numCache>
                <c:formatCode>0.0</c:formatCode>
                <c:ptCount val="14"/>
                <c:pt idx="0">
                  <c:v>18.147106109324756</c:v>
                </c:pt>
                <c:pt idx="1">
                  <c:v>18.033843674456083</c:v>
                </c:pt>
                <c:pt idx="2">
                  <c:v>18.071041541240216</c:v>
                </c:pt>
                <c:pt idx="3">
                  <c:v>18.331398839303581</c:v>
                </c:pt>
                <c:pt idx="4">
                  <c:v>19.149959903769044</c:v>
                </c:pt>
                <c:pt idx="5">
                  <c:v>19.799274486094316</c:v>
                </c:pt>
                <c:pt idx="6">
                  <c:v>21.158592964824123</c:v>
                </c:pt>
                <c:pt idx="7">
                  <c:v>21.775955191038207</c:v>
                </c:pt>
                <c:pt idx="8">
                  <c:v>22.755466399197591</c:v>
                </c:pt>
                <c:pt idx="9">
                  <c:v>23.427440110869135</c:v>
                </c:pt>
                <c:pt idx="10">
                  <c:v>23.728178090216755</c:v>
                </c:pt>
                <c:pt idx="11">
                  <c:v>23.809767625049229</c:v>
                </c:pt>
                <c:pt idx="12">
                  <c:v>24.194928684627573</c:v>
                </c:pt>
                <c:pt idx="13">
                  <c:v>23.548746518105851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7B5A-4617-82F5-59F634B82EC9}"/>
            </c:ext>
          </c:extLst>
        </c:ser>
        <c:ser>
          <c:idx val="3"/>
          <c:order val="3"/>
          <c:tx>
            <c:strRef>
              <c:f>'Alumnos x PTC'!$A$98:$A$101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7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5A-4617-82F5-59F634B82EC9}"/>
                </c:ext>
              </c:extLst>
            </c:dLbl>
            <c:dLbl>
              <c:idx val="8"/>
              <c:layout>
                <c:manualLayout>
                  <c:x val="1.310401141390348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5A-4617-82F5-59F634B82EC9}"/>
                </c:ext>
              </c:extLst>
            </c:dLbl>
            <c:dLbl>
              <c:idx val="9"/>
              <c:layout>
                <c:manualLayout>
                  <c:x val="9.828008560427613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5A-4617-82F5-59F634B82EC9}"/>
                </c:ext>
              </c:extLst>
            </c:dLbl>
            <c:dLbl>
              <c:idx val="10"/>
              <c:layout>
                <c:manualLayout>
                  <c:x val="8.1900071336896783E-3"/>
                  <c:y val="-5.034841222351096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B5A-4617-82F5-59F634B82EC9}"/>
                </c:ext>
              </c:extLst>
            </c:dLbl>
            <c:dLbl>
              <c:idx val="11"/>
              <c:layout>
                <c:manualLayout>
                  <c:x val="4.9140042802136869E-3"/>
                  <c:y val="-5.49261751119985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B5A-4617-82F5-59F634B82EC9}"/>
                </c:ext>
              </c:extLst>
            </c:dLbl>
            <c:dLbl>
              <c:idx val="12"/>
              <c:layout>
                <c:manualLayout>
                  <c:x val="4.3446777697319717E-3"/>
                  <c:y val="-8.745675156850943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B5A-4617-82F5-59F634B82EC9}"/>
                </c:ext>
              </c:extLst>
            </c:dLbl>
            <c:dLbl>
              <c:idx val="13"/>
              <c:layout>
                <c:manualLayout>
                  <c:x val="5.792903692975998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CA-4541-9DDA-72E464CC3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PTC'!$C$24:$N$24,'Alumnos x PTC'!$O$24,'Alumnos x PTC'!$P$24)</c:f>
              <c:numCache>
                <c:formatCode>0.0</c:formatCode>
                <c:ptCount val="14"/>
                <c:pt idx="7">
                  <c:v>13.307692307692308</c:v>
                </c:pt>
                <c:pt idx="8">
                  <c:v>10.363636363636363</c:v>
                </c:pt>
                <c:pt idx="9">
                  <c:v>13.464285714285714</c:v>
                </c:pt>
                <c:pt idx="10">
                  <c:v>12.722222222222221</c:v>
                </c:pt>
                <c:pt idx="11">
                  <c:v>14.142857142857142</c:v>
                </c:pt>
                <c:pt idx="12">
                  <c:v>12.254545454545454</c:v>
                </c:pt>
                <c:pt idx="13">
                  <c:v>12.955223880597014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7B5A-4617-82F5-59F634B82EC9}"/>
            </c:ext>
          </c:extLst>
        </c:ser>
        <c:ser>
          <c:idx val="4"/>
          <c:order val="4"/>
          <c:tx>
            <c:strRef>
              <c:f>'Alumnos x PTC'!$A$103:$A$106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4.8721071863580996E-3"/>
                  <c:y val="-5.2852236300546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B5A-4617-82F5-59F634B82EC9}"/>
                </c:ext>
              </c:extLst>
            </c:dLbl>
            <c:dLbl>
              <c:idx val="1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B5A-4617-82F5-59F634B82EC9}"/>
                </c:ext>
              </c:extLst>
            </c:dLbl>
            <c:dLbl>
              <c:idx val="2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B5A-4617-82F5-59F634B82EC9}"/>
                </c:ext>
              </c:extLst>
            </c:dLbl>
            <c:dLbl>
              <c:idx val="3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B5A-4617-82F5-59F634B82EC9}"/>
                </c:ext>
              </c:extLst>
            </c:dLbl>
            <c:dLbl>
              <c:idx val="4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B5A-4617-82F5-59F634B82EC9}"/>
                </c:ext>
              </c:extLst>
            </c:dLbl>
            <c:dLbl>
              <c:idx val="5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B5A-4617-82F5-59F634B82EC9}"/>
                </c:ext>
              </c:extLst>
            </c:dLbl>
            <c:dLbl>
              <c:idx val="6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B5A-4617-82F5-59F634B82EC9}"/>
                </c:ext>
              </c:extLst>
            </c:dLbl>
            <c:dLbl>
              <c:idx val="7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B5A-4617-82F5-59F634B82EC9}"/>
                </c:ext>
              </c:extLst>
            </c:dLbl>
            <c:dLbl>
              <c:idx val="8"/>
              <c:layout>
                <c:manualLayout>
                  <c:x val="6.496142915144129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B5A-4617-82F5-59F634B82EC9}"/>
                </c:ext>
              </c:extLst>
            </c:dLbl>
            <c:dLbl>
              <c:idx val="9"/>
              <c:layout>
                <c:manualLayout>
                  <c:x val="8.1201786439301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B5A-4617-82F5-59F634B82EC9}"/>
                </c:ext>
              </c:extLst>
            </c:dLbl>
            <c:dLbl>
              <c:idx val="10"/>
              <c:layout>
                <c:manualLayout>
                  <c:x val="9.74421437271619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B5A-4617-82F5-59F634B82EC9}"/>
                </c:ext>
              </c:extLst>
            </c:dLbl>
            <c:dLbl>
              <c:idx val="11"/>
              <c:layout>
                <c:manualLayout>
                  <c:x val="4.9140042802136869E-3"/>
                  <c:y val="-2.74630875559992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B5A-4617-82F5-59F634B82EC9}"/>
                </c:ext>
              </c:extLst>
            </c:dLbl>
            <c:dLbl>
              <c:idx val="12"/>
              <c:layout>
                <c:manualLayout>
                  <c:x val="4.3446777697319717E-3"/>
                  <c:y val="-2.385211687537268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B5A-4617-82F5-59F634B82EC9}"/>
                </c:ext>
              </c:extLst>
            </c:dLbl>
            <c:dLbl>
              <c:idx val="13"/>
              <c:layout>
                <c:manualLayout>
                  <c:x val="4.344677769731971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CA-4541-9DDA-72E464CC3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('Alumnos x PTC'!$C$81:$O$81,'Alumnos x PTC'!$P$81)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('Alumnos x PTC'!$C$29:$N$29,'Alumnos x PTC'!$O$29,'Alumnos x PTC'!$P$29)</c:f>
              <c:numCache>
                <c:formatCode>0.0</c:formatCode>
                <c:ptCount val="14"/>
                <c:pt idx="0">
                  <c:v>19.870967741935484</c:v>
                </c:pt>
                <c:pt idx="1">
                  <c:v>21.115077857956706</c:v>
                </c:pt>
                <c:pt idx="2">
                  <c:v>21.701071630005639</c:v>
                </c:pt>
                <c:pt idx="3">
                  <c:v>22.717751251443975</c:v>
                </c:pt>
                <c:pt idx="4">
                  <c:v>22.632809505557685</c:v>
                </c:pt>
                <c:pt idx="5">
                  <c:v>22.120923135609385</c:v>
                </c:pt>
                <c:pt idx="6">
                  <c:v>21.78211443728685</c:v>
                </c:pt>
                <c:pt idx="7">
                  <c:v>21.130774962742176</c:v>
                </c:pt>
                <c:pt idx="8">
                  <c:v>20.924667651403251</c:v>
                </c:pt>
                <c:pt idx="9">
                  <c:v>21.28358208955224</c:v>
                </c:pt>
                <c:pt idx="10">
                  <c:v>20.870087336244541</c:v>
                </c:pt>
                <c:pt idx="11">
                  <c:v>21.197144426139484</c:v>
                </c:pt>
                <c:pt idx="12">
                  <c:v>21.828454223382433</c:v>
                </c:pt>
                <c:pt idx="13">
                  <c:v>22.526375496313104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D-7B5A-4617-82F5-59F634B82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0597120"/>
        <c:axId val="140598656"/>
        <c:axId val="0"/>
      </c:bar3DChart>
      <c:catAx>
        <c:axId val="1405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598656"/>
        <c:crosses val="autoZero"/>
        <c:auto val="1"/>
        <c:lblAlgn val="ctr"/>
        <c:lblOffset val="100"/>
        <c:noMultiLvlLbl val="0"/>
      </c:catAx>
      <c:valAx>
        <c:axId val="140598656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140597120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7.1407188595944401E-2"/>
          <c:y val="0.93057178911010396"/>
          <c:w val="0.87342585221914304"/>
          <c:h val="5.213091555583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  <a:scene3d>
      <a:camera prst="orthographicFront"/>
      <a:lightRig rig="threePt" dir="t"/>
    </a:scene3d>
    <a:sp3d>
      <a:bevelT w="165100" prst="coolSlant"/>
    </a:sp3d>
  </c:spPr>
  <c:printSettings>
    <c:headerFooter/>
    <c:pageMargins b="0.75" l="0.7" r="0.7" t="0.75" header="0.3" footer="0.3"/>
    <c:pageSetup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1"/>
            </a:pPr>
            <a:r>
              <a:rPr lang="es-MX" sz="1400" b="0" i="1"/>
              <a:t>Becas y Estímulos al Personal Académico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1369508118618234E-2"/>
          <c:y val="2.191664770989073E-2"/>
          <c:w val="0.97726098376276349"/>
          <c:h val="0.84753929307728115"/>
        </c:manualLayout>
      </c:layout>
      <c:bar3DChart>
        <c:barDir val="col"/>
        <c:grouping val="stacked"/>
        <c:varyColors val="0"/>
        <c:ser>
          <c:idx val="1"/>
          <c:order val="0"/>
          <c:tx>
            <c:strRef>
              <c:f>'becas y estímulos'!$A$5</c:f>
              <c:strCache>
                <c:ptCount val="1"/>
                <c:pt idx="0">
                  <c:v>Estímulo a la Docencia e Investigación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estímulos'!$AC$4)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('becas y estímulos'!$B$5:$Z$5,'becas y estímulos'!$AA$5,'becas y estímulos'!$AB$5,'becas y estímulos'!$AC$5)</c:f>
              <c:numCache>
                <c:formatCode>_(* #,##0_);_(* \(#,##0\);_(* "-"_);_(@_)</c:formatCode>
                <c:ptCount val="28"/>
                <c:pt idx="0">
                  <c:v>315</c:v>
                </c:pt>
                <c:pt idx="1">
                  <c:v>517</c:v>
                </c:pt>
                <c:pt idx="2">
                  <c:v>530</c:v>
                </c:pt>
                <c:pt idx="3">
                  <c:v>634</c:v>
                </c:pt>
                <c:pt idx="4">
                  <c:v>693</c:v>
                </c:pt>
                <c:pt idx="5">
                  <c:v>751</c:v>
                </c:pt>
                <c:pt idx="6">
                  <c:v>773</c:v>
                </c:pt>
                <c:pt idx="7">
                  <c:v>795</c:v>
                </c:pt>
                <c:pt idx="8">
                  <c:v>805</c:v>
                </c:pt>
                <c:pt idx="9">
                  <c:v>780</c:v>
                </c:pt>
                <c:pt idx="10">
                  <c:v>821</c:v>
                </c:pt>
                <c:pt idx="11">
                  <c:v>876</c:v>
                </c:pt>
                <c:pt idx="12">
                  <c:v>898</c:v>
                </c:pt>
                <c:pt idx="13">
                  <c:v>888</c:v>
                </c:pt>
                <c:pt idx="14">
                  <c:v>924</c:v>
                </c:pt>
                <c:pt idx="15">
                  <c:v>1010</c:v>
                </c:pt>
                <c:pt idx="16">
                  <c:v>970</c:v>
                </c:pt>
                <c:pt idx="17">
                  <c:v>1059</c:v>
                </c:pt>
                <c:pt idx="18">
                  <c:v>1010</c:v>
                </c:pt>
                <c:pt idx="19">
                  <c:v>1076</c:v>
                </c:pt>
                <c:pt idx="20">
                  <c:v>1066</c:v>
                </c:pt>
                <c:pt idx="21">
                  <c:v>1217</c:v>
                </c:pt>
                <c:pt idx="22">
                  <c:v>1288</c:v>
                </c:pt>
                <c:pt idx="23">
                  <c:v>1383</c:v>
                </c:pt>
                <c:pt idx="24">
                  <c:v>1385</c:v>
                </c:pt>
                <c:pt idx="25">
                  <c:v>1392</c:v>
                </c:pt>
                <c:pt idx="26">
                  <c:v>1418</c:v>
                </c:pt>
                <c:pt idx="27">
                  <c:v>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08-4881-B800-056C7C1D4661}"/>
            </c:ext>
          </c:extLst>
        </c:ser>
        <c:ser>
          <c:idx val="2"/>
          <c:order val="1"/>
          <c:tx>
            <c:strRef>
              <c:f>'becas y estímulos'!$A$6</c:f>
              <c:strCache>
                <c:ptCount val="1"/>
                <c:pt idx="0">
                  <c:v>Beca de Apoyo a la Permanencia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estímulos'!$AC$4)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('becas y estímulos'!$B$6:$Z$6,'becas y estímulos'!$AA$6,'becas y estímulos'!$AB$6,'becas y estímulos'!$AC$6)</c:f>
              <c:numCache>
                <c:formatCode>_(* #,##0_);_(* \(#,##0\);_(* "-"_);_(@_)</c:formatCode>
                <c:ptCount val="28"/>
                <c:pt idx="0">
                  <c:v>585</c:v>
                </c:pt>
                <c:pt idx="1">
                  <c:v>857</c:v>
                </c:pt>
                <c:pt idx="2">
                  <c:v>886</c:v>
                </c:pt>
                <c:pt idx="3">
                  <c:v>994</c:v>
                </c:pt>
                <c:pt idx="4">
                  <c:v>1128</c:v>
                </c:pt>
                <c:pt idx="5">
                  <c:v>1289</c:v>
                </c:pt>
                <c:pt idx="6">
                  <c:v>1378</c:v>
                </c:pt>
                <c:pt idx="7">
                  <c:v>1447</c:v>
                </c:pt>
                <c:pt idx="8">
                  <c:v>1491</c:v>
                </c:pt>
                <c:pt idx="9">
                  <c:v>1500</c:v>
                </c:pt>
                <c:pt idx="10">
                  <c:v>1544</c:v>
                </c:pt>
                <c:pt idx="11">
                  <c:v>1538</c:v>
                </c:pt>
                <c:pt idx="12">
                  <c:v>1587</c:v>
                </c:pt>
                <c:pt idx="13">
                  <c:v>1620</c:v>
                </c:pt>
                <c:pt idx="14">
                  <c:v>1649</c:v>
                </c:pt>
                <c:pt idx="15">
                  <c:v>1659</c:v>
                </c:pt>
                <c:pt idx="16">
                  <c:v>1651</c:v>
                </c:pt>
                <c:pt idx="17">
                  <c:v>1692</c:v>
                </c:pt>
                <c:pt idx="18">
                  <c:v>1744</c:v>
                </c:pt>
                <c:pt idx="19">
                  <c:v>1783</c:v>
                </c:pt>
                <c:pt idx="20">
                  <c:v>1801</c:v>
                </c:pt>
                <c:pt idx="21">
                  <c:v>1879</c:v>
                </c:pt>
                <c:pt idx="22">
                  <c:v>1967</c:v>
                </c:pt>
                <c:pt idx="23">
                  <c:v>2012</c:v>
                </c:pt>
                <c:pt idx="24">
                  <c:v>2047</c:v>
                </c:pt>
                <c:pt idx="25">
                  <c:v>2070</c:v>
                </c:pt>
                <c:pt idx="26">
                  <c:v>2080</c:v>
                </c:pt>
                <c:pt idx="27">
                  <c:v>2095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08-4881-B800-056C7C1D4661}"/>
            </c:ext>
          </c:extLst>
        </c:ser>
        <c:ser>
          <c:idx val="3"/>
          <c:order val="2"/>
          <c:tx>
            <c:strRef>
              <c:f>'becas y estímulos'!$A$7</c:f>
              <c:strCache>
                <c:ptCount val="1"/>
                <c:pt idx="0">
                  <c:v>Beca a la Carrera Docente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estímulos'!$AC$4)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('becas y estímulos'!$B$7:$Z$7,'becas y estímulos'!$AA$7,'becas y estímulos'!$AB$7,'becas y estímulos'!$AC$7)</c:f>
              <c:numCache>
                <c:formatCode>_(* #,##0_);_(* \(#,##0\);_(* "-"_);_(@_)</c:formatCode>
                <c:ptCount val="28"/>
                <c:pt idx="2">
                  <c:v>1276</c:v>
                </c:pt>
                <c:pt idx="3">
                  <c:v>1613</c:v>
                </c:pt>
                <c:pt idx="4">
                  <c:v>1709</c:v>
                </c:pt>
                <c:pt idx="5">
                  <c:v>1912</c:v>
                </c:pt>
                <c:pt idx="6">
                  <c:v>2001</c:v>
                </c:pt>
                <c:pt idx="7">
                  <c:v>2122</c:v>
                </c:pt>
                <c:pt idx="8">
                  <c:v>2197</c:v>
                </c:pt>
                <c:pt idx="9">
                  <c:v>2263</c:v>
                </c:pt>
                <c:pt idx="10">
                  <c:v>2332</c:v>
                </c:pt>
                <c:pt idx="11">
                  <c:v>2341</c:v>
                </c:pt>
                <c:pt idx="12">
                  <c:v>2416</c:v>
                </c:pt>
                <c:pt idx="13">
                  <c:v>2454</c:v>
                </c:pt>
                <c:pt idx="14">
                  <c:v>2496</c:v>
                </c:pt>
                <c:pt idx="15">
                  <c:v>2601</c:v>
                </c:pt>
                <c:pt idx="16">
                  <c:v>2576</c:v>
                </c:pt>
                <c:pt idx="17">
                  <c:v>2633</c:v>
                </c:pt>
                <c:pt idx="18">
                  <c:v>2606</c:v>
                </c:pt>
                <c:pt idx="19">
                  <c:v>2645</c:v>
                </c:pt>
                <c:pt idx="20">
                  <c:v>2598</c:v>
                </c:pt>
                <c:pt idx="21">
                  <c:v>2669</c:v>
                </c:pt>
                <c:pt idx="22">
                  <c:v>2743</c:v>
                </c:pt>
                <c:pt idx="23">
                  <c:v>2761</c:v>
                </c:pt>
                <c:pt idx="24">
                  <c:v>2813</c:v>
                </c:pt>
                <c:pt idx="25">
                  <c:v>2826</c:v>
                </c:pt>
                <c:pt idx="26">
                  <c:v>2804</c:v>
                </c:pt>
                <c:pt idx="27">
                  <c:v>2780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08-4881-B800-056C7C1D4661}"/>
            </c:ext>
          </c:extLst>
        </c:ser>
        <c:ser>
          <c:idx val="4"/>
          <c:order val="3"/>
          <c:tx>
            <c:strRef>
              <c:f>'becas y estímulos'!$A$8</c:f>
              <c:strCache>
                <c:ptCount val="1"/>
                <c:pt idx="0">
                  <c:v>Estímulo a los Grados Académicos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estímulos'!$AC$4)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('becas y estímulos'!$B$8:$Z$8,'becas y estímulos'!$AA$8,'becas y estímulos'!$AB$8,'becas y estímulos'!$AC$8)</c:f>
              <c:numCache>
                <c:formatCode>_(* #,##0_);_(* \(#,##0\);_(* "-"_);_(@_)</c:formatCode>
                <c:ptCount val="28"/>
                <c:pt idx="5">
                  <c:v>1817</c:v>
                </c:pt>
                <c:pt idx="6">
                  <c:v>1875</c:v>
                </c:pt>
                <c:pt idx="7">
                  <c:v>1931</c:v>
                </c:pt>
                <c:pt idx="8">
                  <c:v>2016</c:v>
                </c:pt>
                <c:pt idx="9">
                  <c:v>2045</c:v>
                </c:pt>
                <c:pt idx="10">
                  <c:v>2095</c:v>
                </c:pt>
                <c:pt idx="11">
                  <c:v>2111</c:v>
                </c:pt>
                <c:pt idx="12">
                  <c:v>2158</c:v>
                </c:pt>
                <c:pt idx="13">
                  <c:v>1611</c:v>
                </c:pt>
                <c:pt idx="14">
                  <c:v>1677</c:v>
                </c:pt>
                <c:pt idx="15">
                  <c:v>1729</c:v>
                </c:pt>
                <c:pt idx="16">
                  <c:v>1776</c:v>
                </c:pt>
                <c:pt idx="17">
                  <c:v>1884</c:v>
                </c:pt>
                <c:pt idx="18">
                  <c:v>1952</c:v>
                </c:pt>
                <c:pt idx="19">
                  <c:v>1990</c:v>
                </c:pt>
                <c:pt idx="20">
                  <c:v>1987</c:v>
                </c:pt>
                <c:pt idx="21">
                  <c:v>2093</c:v>
                </c:pt>
                <c:pt idx="22">
                  <c:v>2171</c:v>
                </c:pt>
                <c:pt idx="23">
                  <c:v>2203</c:v>
                </c:pt>
                <c:pt idx="24">
                  <c:v>2280</c:v>
                </c:pt>
                <c:pt idx="25">
                  <c:v>2295</c:v>
                </c:pt>
                <c:pt idx="26">
                  <c:v>2303</c:v>
                </c:pt>
                <c:pt idx="27">
                  <c:v>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08-4881-B800-056C7C1D4661}"/>
            </c:ext>
          </c:extLst>
        </c:ser>
        <c:ser>
          <c:idx val="5"/>
          <c:order val="4"/>
          <c:tx>
            <c:strRef>
              <c:f>'becas y estímulos'!$A$9</c:f>
              <c:strCache>
                <c:ptCount val="1"/>
                <c:pt idx="0">
                  <c:v>Estímulo a la trayectoria Académica sobresaliente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800">
                    <a:solidFill>
                      <a:schemeClr val="bg1"/>
                    </a:solidFill>
                    <a:latin typeface="+mn-lt"/>
                    <a:cs typeface="Arial" panose="020B0604020202020204" pitchFamily="34" charset="0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('becas y estímulos'!$B$4:$Z$4,'becas y estímulos'!$AA$4,'becas y estímulos'!$AB$4,'becas y estímulos'!$AC$4)</c:f>
              <c:numCache>
                <c:formatCode>General</c:formatCode>
                <c:ptCount val="28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</c:numCache>
            </c:numRef>
          </c:cat>
          <c:val>
            <c:numRef>
              <c:f>('becas y estímulos'!$B$9:$Z$9,'becas y estímulos'!$AA$9,'becas y estímulos'!$AB$9,'becas y estímulos'!$AC$9)</c:f>
              <c:numCache>
                <c:formatCode>_(* #,##0_);_(* \(#,##0\);_(* "-"_);_(@_)</c:formatCode>
                <c:ptCount val="28"/>
                <c:pt idx="5">
                  <c:v>388</c:v>
                </c:pt>
                <c:pt idx="6">
                  <c:v>553</c:v>
                </c:pt>
                <c:pt idx="7">
                  <c:v>658</c:v>
                </c:pt>
                <c:pt idx="8">
                  <c:v>753</c:v>
                </c:pt>
                <c:pt idx="9">
                  <c:v>838</c:v>
                </c:pt>
                <c:pt idx="10">
                  <c:v>934</c:v>
                </c:pt>
                <c:pt idx="11">
                  <c:v>1049</c:v>
                </c:pt>
                <c:pt idx="12">
                  <c:v>1173</c:v>
                </c:pt>
                <c:pt idx="13">
                  <c:v>1280</c:v>
                </c:pt>
                <c:pt idx="14">
                  <c:v>1372</c:v>
                </c:pt>
                <c:pt idx="15">
                  <c:v>1453</c:v>
                </c:pt>
                <c:pt idx="16">
                  <c:v>1522</c:v>
                </c:pt>
                <c:pt idx="17">
                  <c:v>1588</c:v>
                </c:pt>
                <c:pt idx="18">
                  <c:v>1601</c:v>
                </c:pt>
                <c:pt idx="19">
                  <c:v>1639</c:v>
                </c:pt>
                <c:pt idx="20">
                  <c:v>1630</c:v>
                </c:pt>
                <c:pt idx="21">
                  <c:v>1690</c:v>
                </c:pt>
                <c:pt idx="22">
                  <c:v>1756</c:v>
                </c:pt>
                <c:pt idx="23">
                  <c:v>1778</c:v>
                </c:pt>
                <c:pt idx="24">
                  <c:v>1756</c:v>
                </c:pt>
                <c:pt idx="25">
                  <c:v>1798</c:v>
                </c:pt>
                <c:pt idx="26">
                  <c:v>1824</c:v>
                </c:pt>
                <c:pt idx="27">
                  <c:v>1862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08-4881-B800-056C7C1D4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40354304"/>
        <c:axId val="140355840"/>
        <c:axId val="0"/>
      </c:bar3DChart>
      <c:catAx>
        <c:axId val="14035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40355840"/>
        <c:crosses val="autoZero"/>
        <c:auto val="1"/>
        <c:lblAlgn val="ctr"/>
        <c:lblOffset val="100"/>
        <c:noMultiLvlLbl val="0"/>
      </c:catAx>
      <c:valAx>
        <c:axId val="140355840"/>
        <c:scaling>
          <c:orientation val="minMax"/>
        </c:scaling>
        <c:delete val="1"/>
        <c:axPos val="l"/>
        <c:numFmt formatCode="_(* #,##0_);_(* \(#,##0\);_(* &quot;-&quot;_);_(@_)" sourceLinked="1"/>
        <c:majorTickMark val="out"/>
        <c:minorTickMark val="none"/>
        <c:tickLblPos val="nextTo"/>
        <c:crossAx val="140354304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.11804650202067167"/>
          <c:y val="0.92153893507879936"/>
          <c:w val="0.76770027730368651"/>
          <c:h val="7.4365387970766805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200" b="0" i="1"/>
            </a:pPr>
            <a:r>
              <a:rPr lang="es-MX" sz="1200" i="1">
                <a:effectLst/>
              </a:rPr>
              <a:t>Personal académico de tiempo completo registrado en PROMEP por grado académico</a:t>
            </a:r>
            <a:endParaRPr lang="x-none" sz="1200" i="1">
              <a:effectLst/>
            </a:endParaRPr>
          </a:p>
        </c:rich>
      </c:tx>
      <c:layout>
        <c:manualLayout>
          <c:xMode val="edge"/>
          <c:yMode val="edge"/>
          <c:x val="0.28767152452747224"/>
          <c:y val="2.613016469175662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1.9452570558523678E-2"/>
          <c:y val="2.8354414346666496E-2"/>
          <c:w val="0.96467991393225694"/>
          <c:h val="0.8060639642266938"/>
        </c:manualLayout>
      </c:layout>
      <c:lineChart>
        <c:grouping val="standard"/>
        <c:varyColors val="0"/>
        <c:ser>
          <c:idx val="0"/>
          <c:order val="0"/>
          <c:tx>
            <c:strRef>
              <c:f>'PTC-GRADO (1)'!$C$34</c:f>
              <c:strCache>
                <c:ptCount val="1"/>
                <c:pt idx="0">
                  <c:v>Licenciatura</c:v>
                </c:pt>
              </c:strCache>
            </c:strRef>
          </c:tx>
          <c:spPr>
            <a:ln w="15875">
              <a:solidFill>
                <a:schemeClr val="accent5">
                  <a:lumMod val="75000"/>
                </a:schemeClr>
              </a:solidFill>
            </a:ln>
          </c:spPr>
          <c:marker>
            <c:symbol val="diamond"/>
            <c:size val="4"/>
            <c:spPr>
              <a:noFill/>
              <a:ln>
                <a:solidFill>
                  <a:schemeClr val="accent5">
                    <a:lumMod val="7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5">
                        <a:lumMod val="7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(1)'!$C$31,'PTC-GRADO (1)'!$H$31,'PTC-GRADO (1)'!$M$31,'PTC-GRADO (1)'!$R$31,'PTC-GRADO (1)'!$W$31,'PTC-GRADO (1)'!$AB$31,'PTC-GRADO (1)'!$AG$31,'PTC-GRADO (1)'!$AL$31,'PTC-GRADO (1)'!$AQ$31,'PTC-GRADO (1)'!$AV$31,'PTC-GRADO (1)'!$BA$31,'PTC-GRADO (1)'!$BF$31,'PTC-GRADO (1)'!$BK$31,'PTC-GRADO (1)'!$BP$31,'PTC-GRADO (1)'!$BU$31)</c:f>
              <c:numCache>
                <c:formatCode>_(* #,##0_);_(* \(#,##0\);_(* "-"??_);_(@_)</c:formatCode>
                <c:ptCount val="15"/>
                <c:pt idx="0">
                  <c:v>765</c:v>
                </c:pt>
                <c:pt idx="1">
                  <c:v>756</c:v>
                </c:pt>
                <c:pt idx="2">
                  <c:v>593</c:v>
                </c:pt>
                <c:pt idx="3">
                  <c:v>574</c:v>
                </c:pt>
                <c:pt idx="4">
                  <c:v>520</c:v>
                </c:pt>
                <c:pt idx="5">
                  <c:v>493</c:v>
                </c:pt>
                <c:pt idx="6">
                  <c:v>462</c:v>
                </c:pt>
                <c:pt idx="7">
                  <c:v>457</c:v>
                </c:pt>
                <c:pt idx="8">
                  <c:v>449</c:v>
                </c:pt>
                <c:pt idx="9">
                  <c:v>422</c:v>
                </c:pt>
                <c:pt idx="10">
                  <c:v>396</c:v>
                </c:pt>
                <c:pt idx="11">
                  <c:v>397</c:v>
                </c:pt>
                <c:pt idx="12">
                  <c:v>394</c:v>
                </c:pt>
                <c:pt idx="13">
                  <c:v>385</c:v>
                </c:pt>
                <c:pt idx="14">
                  <c:v>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D2-4C84-A0A2-37F8725670EA}"/>
            </c:ext>
          </c:extLst>
        </c:ser>
        <c:ser>
          <c:idx val="1"/>
          <c:order val="1"/>
          <c:tx>
            <c:strRef>
              <c:f>'PTC-GRADO (1)'!$C$35</c:f>
              <c:strCache>
                <c:ptCount val="1"/>
                <c:pt idx="0">
                  <c:v>Especialidad</c:v>
                </c:pt>
              </c:strCache>
            </c:strRef>
          </c:tx>
          <c:spPr>
            <a:ln w="15875">
              <a:solidFill>
                <a:srgbClr val="AD25A8"/>
              </a:solidFill>
            </a:ln>
          </c:spPr>
          <c:marker>
            <c:symbol val="square"/>
            <c:size val="4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(1)'!$D$31,'PTC-GRADO (1)'!$I$31,'PTC-GRADO (1)'!$N$31,'PTC-GRADO (1)'!$S$31,'PTC-GRADO (1)'!$X$31,'PTC-GRADO (1)'!$AC$31,'PTC-GRADO (1)'!$AH$31,'PTC-GRADO (1)'!$AM$31,'PTC-GRADO (1)'!$AR$31,'PTC-GRADO (1)'!$AW$31,'PTC-GRADO (1)'!$BB$31,'PTC-GRADO (1)'!$BG$31,'PTC-GRADO (1)'!$BL$31,'PTC-GRADO (1)'!$BQ$31,'PTC-GRADO (1)'!$BV$31)</c:f>
              <c:numCache>
                <c:formatCode>_(* #,##0_);_(* \(#,##0\);_(* "-"??_);_(@_)</c:formatCode>
                <c:ptCount val="15"/>
                <c:pt idx="0">
                  <c:v>48</c:v>
                </c:pt>
                <c:pt idx="1">
                  <c:v>44</c:v>
                </c:pt>
                <c:pt idx="2">
                  <c:v>50</c:v>
                </c:pt>
                <c:pt idx="3">
                  <c:v>50</c:v>
                </c:pt>
                <c:pt idx="4">
                  <c:v>46</c:v>
                </c:pt>
                <c:pt idx="5">
                  <c:v>44</c:v>
                </c:pt>
                <c:pt idx="6">
                  <c:v>45</c:v>
                </c:pt>
                <c:pt idx="7">
                  <c:v>45</c:v>
                </c:pt>
                <c:pt idx="8">
                  <c:v>50</c:v>
                </c:pt>
                <c:pt idx="9">
                  <c:v>41</c:v>
                </c:pt>
                <c:pt idx="10">
                  <c:v>38</c:v>
                </c:pt>
                <c:pt idx="11">
                  <c:v>39</c:v>
                </c:pt>
                <c:pt idx="12">
                  <c:v>39</c:v>
                </c:pt>
                <c:pt idx="13">
                  <c:v>38</c:v>
                </c:pt>
                <c:pt idx="14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2-4C84-A0A2-37F8725670EA}"/>
            </c:ext>
          </c:extLst>
        </c:ser>
        <c:ser>
          <c:idx val="2"/>
          <c:order val="2"/>
          <c:tx>
            <c:strRef>
              <c:f>'PTC-GRADO (1)'!$C$36</c:f>
              <c:strCache>
                <c:ptCount val="1"/>
                <c:pt idx="0">
                  <c:v>Maestría</c:v>
                </c:pt>
              </c:strCache>
            </c:strRef>
          </c:tx>
          <c:spPr>
            <a:ln w="15875">
              <a:solidFill>
                <a:schemeClr val="accent3">
                  <a:lumMod val="50000"/>
                </a:schemeClr>
              </a:solidFill>
            </a:ln>
          </c:spPr>
          <c:marker>
            <c:symbol val="triangle"/>
            <c:size val="4"/>
            <c:spPr>
              <a:noFill/>
              <a:ln>
                <a:solidFill>
                  <a:schemeClr val="accent3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042748302164474E-2"/>
                  <c:y val="-2.93104056475480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(1)'!$E$31,'PTC-GRADO (1)'!$J$31,'PTC-GRADO (1)'!$O$31,'PTC-GRADO (1)'!$T$31,'PTC-GRADO (1)'!$Y$31,'PTC-GRADO (1)'!$AD$31,'PTC-GRADO (1)'!$AI$31,'PTC-GRADO (1)'!$AN$31,'PTC-GRADO (1)'!$AS$31,'PTC-GRADO (1)'!$AX$31,'PTC-GRADO (1)'!$BC$31,'PTC-GRADO (1)'!$BH$31,'PTC-GRADO (1)'!$BM$31,'PTC-GRADO (1)'!$BR$31,'PTC-GRADO (1)'!$BW$31)</c:f>
              <c:numCache>
                <c:formatCode>_(* #,##0_);_(* \(#,##0\);_(* "-"??_);_(@_)</c:formatCode>
                <c:ptCount val="15"/>
                <c:pt idx="0">
                  <c:v>931</c:v>
                </c:pt>
                <c:pt idx="1">
                  <c:v>889</c:v>
                </c:pt>
                <c:pt idx="2">
                  <c:v>929</c:v>
                </c:pt>
                <c:pt idx="3">
                  <c:v>941</c:v>
                </c:pt>
                <c:pt idx="4">
                  <c:v>921</c:v>
                </c:pt>
                <c:pt idx="5">
                  <c:v>908</c:v>
                </c:pt>
                <c:pt idx="6">
                  <c:v>881</c:v>
                </c:pt>
                <c:pt idx="7">
                  <c:v>891</c:v>
                </c:pt>
                <c:pt idx="8">
                  <c:v>865</c:v>
                </c:pt>
                <c:pt idx="9">
                  <c:v>880</c:v>
                </c:pt>
                <c:pt idx="10">
                  <c:v>895</c:v>
                </c:pt>
                <c:pt idx="11">
                  <c:v>911</c:v>
                </c:pt>
                <c:pt idx="12">
                  <c:v>938</c:v>
                </c:pt>
                <c:pt idx="13">
                  <c:v>930</c:v>
                </c:pt>
                <c:pt idx="14">
                  <c:v>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D2-4C84-A0A2-37F8725670EA}"/>
            </c:ext>
          </c:extLst>
        </c:ser>
        <c:ser>
          <c:idx val="3"/>
          <c:order val="3"/>
          <c:tx>
            <c:strRef>
              <c:f>'PTC-GRADO (1)'!$C$37</c:f>
              <c:strCache>
                <c:ptCount val="1"/>
                <c:pt idx="0">
                  <c:v>Doctorado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circle"/>
            <c:size val="4"/>
            <c:spPr>
              <a:noFill/>
              <a:ln>
                <a:solidFill>
                  <a:srgbClr val="CC9900"/>
                </a:solidFill>
              </a:ln>
              <a:scene3d>
                <a:camera prst="orthographicFront"/>
                <a:lightRig rig="threePt" dir="t"/>
              </a:scene3d>
            </c:spPr>
          </c:marker>
          <c:dLbls>
            <c:dLbl>
              <c:idx val="0"/>
              <c:layout>
                <c:manualLayout>
                  <c:x val="-3.3638399936894103E-2"/>
                  <c:y val="2.0167551795706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D2-4C84-A0A2-37F8725670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(1)'!$AG$39:$AG$53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(1)'!$F$31,'PTC-GRADO (1)'!$K$31,'PTC-GRADO (1)'!$P$31,'PTC-GRADO (1)'!$U$31,'PTC-GRADO (1)'!$Z$31,'PTC-GRADO (1)'!$AE$31,'PTC-GRADO (1)'!$AJ$31,'PTC-GRADO (1)'!$AO$31,'PTC-GRADO (1)'!$AT$31,'PTC-GRADO (1)'!$AY$31,'PTC-GRADO (1)'!$BD$31,'PTC-GRADO (1)'!$BI$31,'PTC-GRADO (1)'!$BN$31,'PTC-GRADO (1)'!$BS$31,'PTC-GRADO (1)'!$BX$31)</c:f>
              <c:numCache>
                <c:formatCode>_(* #,##0_);_(* \(#,##0\);_(* "-"??_);_(@_)</c:formatCode>
                <c:ptCount val="15"/>
                <c:pt idx="0">
                  <c:v>875</c:v>
                </c:pt>
                <c:pt idx="1">
                  <c:v>938</c:v>
                </c:pt>
                <c:pt idx="2">
                  <c:v>1033</c:v>
                </c:pt>
                <c:pt idx="3">
                  <c:v>1110</c:v>
                </c:pt>
                <c:pt idx="4">
                  <c:v>1162</c:v>
                </c:pt>
                <c:pt idx="5">
                  <c:v>1251</c:v>
                </c:pt>
                <c:pt idx="6">
                  <c:v>1310</c:v>
                </c:pt>
                <c:pt idx="7">
                  <c:v>1371</c:v>
                </c:pt>
                <c:pt idx="8">
                  <c:v>1467</c:v>
                </c:pt>
                <c:pt idx="9">
                  <c:v>1562</c:v>
                </c:pt>
                <c:pt idx="10">
                  <c:v>1682</c:v>
                </c:pt>
                <c:pt idx="11">
                  <c:v>1728</c:v>
                </c:pt>
                <c:pt idx="12">
                  <c:v>1767</c:v>
                </c:pt>
                <c:pt idx="13">
                  <c:v>1810</c:v>
                </c:pt>
                <c:pt idx="14">
                  <c:v>1869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2-4C84-A0A2-37F872567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51040"/>
        <c:axId val="132961024"/>
      </c:lineChart>
      <c:catAx>
        <c:axId val="13295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2961024"/>
        <c:crosses val="autoZero"/>
        <c:auto val="1"/>
        <c:lblAlgn val="ctr"/>
        <c:lblOffset val="100"/>
        <c:noMultiLvlLbl val="0"/>
      </c:catAx>
      <c:valAx>
        <c:axId val="132961024"/>
        <c:scaling>
          <c:orientation val="minMax"/>
        </c:scaling>
        <c:delete val="1"/>
        <c:axPos val="l"/>
        <c:numFmt formatCode="_(* #,##0_);_(* \(#,##0\);_(* &quot;-&quot;??_);_(@_)" sourceLinked="1"/>
        <c:majorTickMark val="out"/>
        <c:minorTickMark val="none"/>
        <c:tickLblPos val="nextTo"/>
        <c:crossAx val="132951040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4.094214603584994E-2"/>
          <c:y val="0.93966044925368342"/>
          <c:w val="0.92483167108936415"/>
          <c:h val="5.6965258835152424E-2"/>
        </c:manualLayout>
      </c:layout>
      <c:overlay val="0"/>
      <c:txPr>
        <a:bodyPr/>
        <a:lstStyle/>
        <a:p>
          <a:pPr>
            <a:defRPr sz="1050" b="0" i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400187342890949"/>
          <c:y val="0"/>
        </c:manualLayout>
      </c:layout>
      <c:overlay val="0"/>
      <c:txPr>
        <a:bodyPr/>
        <a:lstStyle/>
        <a:p>
          <a:pPr>
            <a:defRPr sz="1200">
              <a:solidFill>
                <a:srgbClr val="CD032E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(1)'!$A$6:$A$9</c:f>
              <c:strCache>
                <c:ptCount val="1"/>
                <c:pt idx="0">
                  <c:v>Azcapotzalco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1FD1-49A3-AFAC-802534B3E690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1FD1-49A3-AFAC-802534B3E690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1FD1-49A3-AFAC-802534B3E690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1FD1-49A3-AFAC-802534B3E690}"/>
              </c:ext>
            </c:extLst>
          </c:dPt>
          <c:dLbls>
            <c:dLbl>
              <c:idx val="1"/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FD1-49A3-AFAC-802534B3E6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(1)'!$BF$9:$BI$9</c:f>
              <c:numCache>
                <c:formatCode>_(* #,##0_);_(* \(#,##0\);_(* "-"??_);_(@_)</c:formatCode>
                <c:ptCount val="4"/>
                <c:pt idx="0">
                  <c:v>167</c:v>
                </c:pt>
                <c:pt idx="1">
                  <c:v>14</c:v>
                </c:pt>
                <c:pt idx="2">
                  <c:v>357</c:v>
                </c:pt>
                <c:pt idx="3">
                  <c:v>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D1-49A3-AFAC-802534B3E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F08200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(1)'!$A$11:$A$14</c:f>
              <c:strCache>
                <c:ptCount val="1"/>
                <c:pt idx="0">
                  <c:v>Cuajiamalpa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A84A-4C20-BCEA-DD8BB66C0896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A84A-4C20-BCEA-DD8BB66C0896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A84A-4C20-BCEA-DD8BB66C0896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A84A-4C20-BCEA-DD8BB66C0896}"/>
              </c:ext>
            </c:extLst>
          </c:dPt>
          <c:dLbls>
            <c:dLbl>
              <c:idx val="0"/>
              <c:layout>
                <c:manualLayout>
                  <c:x val="-0.16316591666151881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accent2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A-4C20-BCEA-DD8BB66C0896}"/>
                </c:ext>
              </c:extLst>
            </c:dLbl>
            <c:dLbl>
              <c:idx val="1"/>
              <c:layout>
                <c:manualLayout>
                  <c:x val="0.13543097180709265"/>
                  <c:y val="1.3863802286913609E-2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A-4C20-BCEA-DD8BB66C0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(1)'!$BF$14:$BI$14</c:f>
              <c:numCache>
                <c:formatCode>_(* #,##0_);_(* \(#,##0\);_(* "-"??_);_(@_)</c:formatCode>
                <c:ptCount val="4"/>
                <c:pt idx="0">
                  <c:v>2</c:v>
                </c:pt>
                <c:pt idx="1">
                  <c:v>1</c:v>
                </c:pt>
                <c:pt idx="2">
                  <c:v>27</c:v>
                </c:pt>
                <c:pt idx="3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4A-4C20-BCEA-DD8BB66C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57A519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(1)'!$A$16:$A$19</c:f>
              <c:strCache>
                <c:ptCount val="1"/>
                <c:pt idx="0">
                  <c:v>Iztapalapa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E572-4E3F-B5DB-ADDAD431BB14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E572-4E3F-B5DB-ADDAD431BB14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E572-4E3F-B5DB-ADDAD431BB14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E572-4E3F-B5DB-ADDAD431BB14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72-4E3F-B5DB-ADDAD431BB14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72-4E3F-B5DB-ADDAD431BB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(1)'!$BF$19:$BI$19</c:f>
              <c:numCache>
                <c:formatCode>_(* #,##0_);_(* \(#,##0\);_(* "-"??_);_(@_)</c:formatCode>
                <c:ptCount val="4"/>
                <c:pt idx="0">
                  <c:v>62</c:v>
                </c:pt>
                <c:pt idx="1">
                  <c:v>6</c:v>
                </c:pt>
                <c:pt idx="2">
                  <c:v>178</c:v>
                </c:pt>
                <c:pt idx="3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72-4E3F-B5DB-ADDAD431B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>
                <a:solidFill>
                  <a:srgbClr val="0072CE"/>
                </a:solidFill>
              </a:defRPr>
            </a:pPr>
            <a:r>
              <a:rPr lang="es-MX" sz="1200" b="0">
                <a:solidFill>
                  <a:srgbClr val="0072CE"/>
                </a:solidFill>
              </a:rPr>
              <a:t>Xochimilco</a:t>
            </a:r>
          </a:p>
        </c:rich>
      </c:tx>
      <c:layout>
        <c:manualLayout>
          <c:xMode val="edge"/>
          <c:yMode val="edge"/>
          <c:x val="0.4264089505368121"/>
          <c:y val="1.03359173126614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76747608535691E-2"/>
          <c:y val="0.10671834625322997"/>
          <c:w val="0.93524650478292859"/>
          <c:h val="0.6518399153594173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uni'!$B$26</c:f>
              <c:strCache>
                <c:ptCount val="1"/>
                <c:pt idx="0">
                  <c:v>CSH</c:v>
                </c:pt>
              </c:strCache>
            </c:strRef>
          </c:tx>
          <c:spPr>
            <a:ln w="12700">
              <a:solidFill>
                <a:srgbClr val="57A519"/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rgbClr val="57A51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57A519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uni'!$Z$26,'Admitidos uni'!$AC$26,'Admitidos uni'!$AF$26,'Admitidos uni'!$AI$26,'Admitidos uni'!$AL$26)</c:f>
              <c:numCache>
                <c:formatCode>#,##0</c:formatCode>
                <c:ptCount val="5"/>
                <c:pt idx="0">
                  <c:v>1616</c:v>
                </c:pt>
                <c:pt idx="1">
                  <c:v>1611</c:v>
                </c:pt>
                <c:pt idx="2">
                  <c:v>1663</c:v>
                </c:pt>
                <c:pt idx="3">
                  <c:v>1547</c:v>
                </c:pt>
                <c:pt idx="4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8-4CA7-9642-1CB31B58646F}"/>
            </c:ext>
          </c:extLst>
        </c:ser>
        <c:ser>
          <c:idx val="1"/>
          <c:order val="1"/>
          <c:tx>
            <c:strRef>
              <c:f>'Admitidos uni'!$B$27</c:f>
              <c:strCache>
                <c:ptCount val="1"/>
                <c:pt idx="0">
                  <c:v>CBS</c:v>
                </c:pt>
              </c:strCache>
            </c:strRef>
          </c:tx>
          <c:spPr>
            <a:ln w="12700">
              <a:solidFill>
                <a:srgbClr val="0072CE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0072CE"/>
                </a:solidFill>
              </a:ln>
            </c:spPr>
          </c:marker>
          <c:dLbls>
            <c:dLbl>
              <c:idx val="3"/>
              <c:layout>
                <c:manualLayout>
                  <c:x val="-5.4768153980752403E-2"/>
                  <c:y val="-6.140837046531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58-4CA7-9642-1CB31B5864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0072CE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uni'!$Z$27,'Admitidos uni'!$AC$27,'Admitidos uni'!$AF$27,'Admitidos uni'!$AI$27,'Admitidos uni'!$AL$27)</c:f>
              <c:numCache>
                <c:formatCode>#,##0</c:formatCode>
                <c:ptCount val="5"/>
                <c:pt idx="0">
                  <c:v>2150</c:v>
                </c:pt>
                <c:pt idx="1">
                  <c:v>2081</c:v>
                </c:pt>
                <c:pt idx="2">
                  <c:v>2067</c:v>
                </c:pt>
                <c:pt idx="3">
                  <c:v>2087</c:v>
                </c:pt>
                <c:pt idx="4">
                  <c:v>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58-4CA7-9642-1CB31B58646F}"/>
            </c:ext>
          </c:extLst>
        </c:ser>
        <c:ser>
          <c:idx val="2"/>
          <c:order val="2"/>
          <c:tx>
            <c:strRef>
              <c:f>'Admitidos uni'!$B$28</c:f>
              <c:strCache>
                <c:ptCount val="1"/>
                <c:pt idx="0">
                  <c:v>CAD</c:v>
                </c:pt>
              </c:strCache>
            </c:strRef>
          </c:tx>
          <c:spPr>
            <a:ln w="12700">
              <a:solidFill>
                <a:srgbClr val="AD25A8"/>
              </a:solidFill>
            </a:ln>
          </c:spPr>
          <c:marker>
            <c:symbol val="triangle"/>
            <c:size val="3"/>
            <c:spPr>
              <a:noFill/>
              <a:ln>
                <a:solidFill>
                  <a:srgbClr val="AD25A8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AD25A8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'Admitidos uni'!$S$50:$S$54</c:f>
              <c:numCache>
                <c:formatCode>General</c:formatCode>
                <c:ptCount val="5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</c:numCache>
            </c:numRef>
          </c:cat>
          <c:val>
            <c:numRef>
              <c:f>('Admitidos uni'!$Z$28,'Admitidos uni'!$AC$28,'Admitidos uni'!$AF$28,'Admitidos uni'!$AI$28,'Admitidos uni'!$AL$28)</c:f>
              <c:numCache>
                <c:formatCode>#,##0</c:formatCode>
                <c:ptCount val="5"/>
                <c:pt idx="0">
                  <c:v>744</c:v>
                </c:pt>
                <c:pt idx="1">
                  <c:v>776</c:v>
                </c:pt>
                <c:pt idx="2">
                  <c:v>771</c:v>
                </c:pt>
                <c:pt idx="3">
                  <c:v>718</c:v>
                </c:pt>
                <c:pt idx="4">
                  <c:v>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58-4CA7-9642-1CB31B586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22464"/>
        <c:axId val="111024000"/>
      </c:lineChart>
      <c:catAx>
        <c:axId val="1110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024000"/>
        <c:crosses val="autoZero"/>
        <c:auto val="1"/>
        <c:lblAlgn val="ctr"/>
        <c:lblOffset val="100"/>
        <c:noMultiLvlLbl val="0"/>
      </c:catAx>
      <c:valAx>
        <c:axId val="111024000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02246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8.7834153181183497E-2"/>
          <c:y val="0.87554049929805289"/>
          <c:w val="0.8444690109100601"/>
          <c:h val="8.0968076664835506E-2"/>
        </c:manualLayout>
      </c:layout>
      <c:overlay val="0"/>
      <c:txPr>
        <a:bodyPr/>
        <a:lstStyle/>
        <a:p>
          <a:pPr>
            <a:defRPr sz="8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AD25A8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(1)'!$A$21:$A$24</c:f>
              <c:strCache>
                <c:ptCount val="1"/>
                <c:pt idx="0">
                  <c:v>Lerma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0E65-47CB-A32F-6FEECF30FFEE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0E65-47CB-A32F-6FEECF30FFEE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0E65-47CB-A32F-6FEECF30FFEE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0E65-47CB-A32F-6FEECF30FFEE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65-47CB-A32F-6FEECF30FFEE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5-47CB-A32F-6FEECF30FF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(1)'!$BF$24:$BI$24</c:f>
              <c:numCache>
                <c:formatCode>_(* #,##0_);_(* \(#,##0\);_(* "-"??_);_(@_)</c:formatCode>
                <c:ptCount val="4"/>
                <c:pt idx="2">
                  <c:v>7</c:v>
                </c:pt>
                <c:pt idx="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65-47CB-A32F-6FEECF30F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rgbClr val="0072CE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(1)'!$A$26:$A$29</c:f>
              <c:strCache>
                <c:ptCount val="1"/>
                <c:pt idx="0">
                  <c:v>Xochimilco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CD79-40F8-8C66-E50B3E581C1C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CD79-40F8-8C66-E50B3E581C1C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CD79-40F8-8C66-E50B3E581C1C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CD79-40F8-8C66-E50B3E581C1C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9-40F8-8C66-E50B3E581C1C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9-40F8-8C66-E50B3E581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(1)'!$BF$29:$BI$29</c:f>
              <c:numCache>
                <c:formatCode>_(* #,##0_);_(* \(#,##0\);_(* "-"??_);_(@_)</c:formatCode>
                <c:ptCount val="4"/>
                <c:pt idx="0">
                  <c:v>166</c:v>
                </c:pt>
                <c:pt idx="1">
                  <c:v>18</c:v>
                </c:pt>
                <c:pt idx="2">
                  <c:v>342</c:v>
                </c:pt>
                <c:pt idx="3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D79-40F8-8C66-E50B3E581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14755895895801"/>
          <c:y val="1.1721609016963107E-2"/>
        </c:manualLayout>
      </c:layout>
      <c:overlay val="0"/>
      <c:txPr>
        <a:bodyPr/>
        <a:lstStyle/>
        <a:p>
          <a:pPr>
            <a:defRPr sz="1200">
              <a:solidFill>
                <a:schemeClr val="tx1"/>
              </a:solidFill>
            </a:defRPr>
          </a:pPr>
          <a:endParaRPr lang="es-419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3.4313626492684483E-2"/>
          <c:y val="0.16876948025278066"/>
          <c:w val="0.91628552624701221"/>
          <c:h val="0.64427085592665778"/>
        </c:manualLayout>
      </c:layout>
      <c:pie3DChart>
        <c:varyColors val="1"/>
        <c:ser>
          <c:idx val="0"/>
          <c:order val="0"/>
          <c:tx>
            <c:strRef>
              <c:f>'PTC-GRADO (1)'!$A$31:$B$31</c:f>
              <c:strCache>
                <c:ptCount val="2"/>
                <c:pt idx="0">
                  <c:v>Total UAM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Pt>
            <c:idx val="0"/>
            <c:bubble3D val="0"/>
            <c:spPr>
              <a:solidFill>
                <a:schemeClr val="accent2">
                  <a:lumMod val="50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9696-4506-A973-35852162CE5B}"/>
              </c:ext>
            </c:extLst>
          </c:dPt>
          <c:dPt>
            <c:idx val="1"/>
            <c:bubble3D val="0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9696-4506-A973-35852162CE5B}"/>
              </c:ext>
            </c:extLst>
          </c:dPt>
          <c:dPt>
            <c:idx val="2"/>
            <c:bubble3D val="0"/>
            <c:spPr>
              <a:solidFill>
                <a:schemeClr val="accent5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9696-4506-A973-35852162CE5B}"/>
              </c:ext>
            </c:extLst>
          </c:dPt>
          <c:dPt>
            <c:idx val="3"/>
            <c:bubble3D val="0"/>
            <c:spPr>
              <a:solidFill>
                <a:srgbClr val="CC9900"/>
              </a:solidFill>
              <a:scene3d>
                <a:camera prst="orthographicFront"/>
                <a:lightRig rig="threePt" dir="t"/>
              </a:scene3d>
              <a:sp3d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9696-4506-A973-35852162CE5B}"/>
              </c:ext>
            </c:extLst>
          </c:dPt>
          <c:dLbls>
            <c:dLbl>
              <c:idx val="0"/>
              <c:layout>
                <c:manualLayout>
                  <c:x val="-5.7555371288187301E-2"/>
                  <c:y val="9.5915065405655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6-4506-A973-35852162CE5B}"/>
                </c:ext>
              </c:extLst>
            </c:dLbl>
            <c:dLbl>
              <c:idx val="1"/>
              <c:layout>
                <c:manualLayout>
                  <c:x val="-1.1669430677190567E-2"/>
                  <c:y val="2.1421932699505018E-3"/>
                </c:manualLayout>
              </c:layout>
              <c:spPr/>
              <c:txPr>
                <a:bodyPr/>
                <a:lstStyle/>
                <a:p>
                  <a:pPr>
                    <a:defRPr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419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6-4506-A973-35852162C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'PTC-GRADO (1)'!$C$34:$C$37</c:f>
              <c:strCache>
                <c:ptCount val="4"/>
                <c:pt idx="0">
                  <c:v>Licenciatura</c:v>
                </c:pt>
                <c:pt idx="1">
                  <c:v>Especialidad</c:v>
                </c:pt>
                <c:pt idx="2">
                  <c:v>Maestría</c:v>
                </c:pt>
                <c:pt idx="3">
                  <c:v>Doctorado</c:v>
                </c:pt>
              </c:strCache>
            </c:strRef>
          </c:cat>
          <c:val>
            <c:numRef>
              <c:f>'PTC-GRADO (1)'!$BF$31:$BI$31</c:f>
              <c:numCache>
                <c:formatCode>_(* #,##0_);_(* \(#,##0\);_(* "-"??_);_(@_)</c:formatCode>
                <c:ptCount val="4"/>
                <c:pt idx="0">
                  <c:v>397</c:v>
                </c:pt>
                <c:pt idx="1">
                  <c:v>39</c:v>
                </c:pt>
                <c:pt idx="2">
                  <c:v>911</c:v>
                </c:pt>
                <c:pt idx="3">
                  <c:v>1728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696-4506-A973-35852162C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Académico de Tiempo Completo Registrado en  PRODEP</a:t>
            </a:r>
          </a:p>
        </c:rich>
      </c:tx>
      <c:overlay val="1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'PTC-GRADO (2)'!$BF$4</c:f>
              <c:strCache>
                <c:ptCount val="1"/>
                <c:pt idx="0">
                  <c:v>Licenciatura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-8.42992344036459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7-4976-A7E3-8A52ECD7F69D}"/>
                </c:ext>
              </c:extLst>
            </c:dLbl>
            <c:dLbl>
              <c:idx val="1"/>
              <c:layout>
                <c:manualLayout>
                  <c:x val="6.85518423307627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37-4976-A7E3-8A52ECD7F69D}"/>
                </c:ext>
              </c:extLst>
            </c:dLbl>
            <c:dLbl>
              <c:idx val="2"/>
              <c:layout>
                <c:manualLayout>
                  <c:x val="1.0282776349614395E-2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7-4976-A7E3-8A52ECD7F69D}"/>
                </c:ext>
              </c:extLst>
            </c:dLbl>
            <c:dLbl>
              <c:idx val="3"/>
              <c:layout>
                <c:manualLayout>
                  <c:x val="5.1413881748071976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37-4976-A7E3-8A52ECD7F69D}"/>
                </c:ext>
              </c:extLst>
            </c:dLbl>
            <c:dLbl>
              <c:idx val="4"/>
              <c:layout>
                <c:manualLayout>
                  <c:x val="1.0282776349614395E-2"/>
                  <c:y val="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7-4976-A7E3-8A52ECD7F69D}"/>
                </c:ext>
              </c:extLst>
            </c:dLbl>
            <c:dLbl>
              <c:idx val="5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7-4976-A7E3-8A52ECD7F69D}"/>
                </c:ext>
              </c:extLst>
            </c:dLbl>
            <c:dLbl>
              <c:idx val="6"/>
              <c:layout>
                <c:manualLayout>
                  <c:x val="1.0282776349614333E-2"/>
                  <c:y val="-5.6199489602429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7-4976-A7E3-8A52ECD7F69D}"/>
                </c:ext>
              </c:extLst>
            </c:dLbl>
            <c:dLbl>
              <c:idx val="7"/>
              <c:layout>
                <c:manualLayout>
                  <c:x val="5.1413881748071976E-3"/>
                  <c:y val="-2.80997448012142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37-4976-A7E3-8A52ECD7F69D}"/>
                </c:ext>
              </c:extLst>
            </c:dLbl>
            <c:dLbl>
              <c:idx val="8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37-4976-A7E3-8A52ECD7F69D}"/>
                </c:ext>
              </c:extLst>
            </c:dLbl>
            <c:dLbl>
              <c:idx val="9"/>
              <c:layout>
                <c:manualLayout>
                  <c:x val="6.8551842330762643E-3"/>
                  <c:y val="-1.030312073791565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37-4976-A7E3-8A52ECD7F69D}"/>
                </c:ext>
              </c:extLst>
            </c:dLbl>
            <c:dLbl>
              <c:idx val="10"/>
              <c:layout>
                <c:manualLayout>
                  <c:x val="1.0282776349614395E-2"/>
                  <c:y val="-5.61994896024316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7-4976-A7E3-8A52ECD7F69D}"/>
                </c:ext>
              </c:extLst>
            </c:dLbl>
            <c:dLbl>
              <c:idx val="12"/>
              <c:layout>
                <c:manualLayout>
                  <c:x val="6.361108084993303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(2)'!$C$52,'PTC-GRADO (2)'!$H$52,'PTC-GRADO (2)'!$M$52,'PTC-GRADO (2)'!$R$52,'PTC-GRADO (2)'!$W$52,'PTC-GRADO (2)'!$AB$52,'PTC-GRADO (2)'!$AG$52,'PTC-GRADO (2)'!$AL$52,'PTC-GRADO (2)'!$AQ$52,'PTC-GRADO (2)'!$AV$52,'PTC-GRADO (2)'!$BA$52,'PTC-GRADO (2)'!$BF$52,'PTC-GRADO (2)'!$BK$52,'PTC-GRADO (2)'!$BP$52,'PTC-GRADO (2)'!$BU$52)</c:f>
              <c:numCache>
                <c:formatCode>0.0%</c:formatCode>
                <c:ptCount val="15"/>
                <c:pt idx="0">
                  <c:v>0.29209621993127149</c:v>
                </c:pt>
                <c:pt idx="1">
                  <c:v>0.28778073848496383</c:v>
                </c:pt>
                <c:pt idx="2">
                  <c:v>0.22763915547024952</c:v>
                </c:pt>
                <c:pt idx="3">
                  <c:v>0.21457943925233644</c:v>
                </c:pt>
                <c:pt idx="4">
                  <c:v>0.19630049075122688</c:v>
                </c:pt>
                <c:pt idx="5">
                  <c:v>0.18286350148367952</c:v>
                </c:pt>
                <c:pt idx="6">
                  <c:v>0.17123795404002964</c:v>
                </c:pt>
                <c:pt idx="7">
                  <c:v>0.16521519336158569</c:v>
                </c:pt>
                <c:pt idx="8">
                  <c:v>0.15848689629766122</c:v>
                </c:pt>
                <c:pt idx="9">
                  <c:v>0.14517297726382114</c:v>
                </c:pt>
                <c:pt idx="10">
                  <c:v>0.1315177681833278</c:v>
                </c:pt>
                <c:pt idx="11">
                  <c:v>0.12910569105691058</c:v>
                </c:pt>
                <c:pt idx="12">
                  <c:v>0.12555768005098789</c:v>
                </c:pt>
                <c:pt idx="13">
                  <c:v>0.12171988618400253</c:v>
                </c:pt>
                <c:pt idx="14">
                  <c:v>0.11906230721776681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A37-4976-A7E3-8A52ECD7F69D}"/>
            </c:ext>
          </c:extLst>
        </c:ser>
        <c:ser>
          <c:idx val="1"/>
          <c:order val="1"/>
          <c:tx>
            <c:strRef>
              <c:f>'PTC-GRADO (2)'!$C$53</c:f>
              <c:strCache>
                <c:ptCount val="1"/>
                <c:pt idx="0">
                  <c:v>Especialización + Maestría</c:v>
                </c:pt>
              </c:strCache>
            </c:strRef>
          </c:tx>
          <c:spPr>
            <a:solidFill>
              <a:srgbClr val="CC9900"/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5.14138817480719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37-4976-A7E3-8A52ECD7F69D}"/>
                </c:ext>
              </c:extLst>
            </c:dLbl>
            <c:dLbl>
              <c:idx val="1"/>
              <c:layout>
                <c:manualLayout>
                  <c:x val="5.141388174807214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37-4976-A7E3-8A52ECD7F69D}"/>
                </c:ext>
              </c:extLst>
            </c:dLbl>
            <c:dLbl>
              <c:idx val="2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37-4976-A7E3-8A52ECD7F69D}"/>
                </c:ext>
              </c:extLst>
            </c:dLbl>
            <c:dLbl>
              <c:idx val="3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37-4976-A7E3-8A52ECD7F69D}"/>
                </c:ext>
              </c:extLst>
            </c:dLbl>
            <c:dLbl>
              <c:idx val="4"/>
              <c:layout>
                <c:manualLayout>
                  <c:x val="6.85518423307626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37-4976-A7E3-8A52ECD7F69D}"/>
                </c:ext>
              </c:extLst>
            </c:dLbl>
            <c:dLbl>
              <c:idx val="5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37-4976-A7E3-8A52ECD7F69D}"/>
                </c:ext>
              </c:extLst>
            </c:dLbl>
            <c:dLbl>
              <c:idx val="6"/>
              <c:layout>
                <c:manualLayout>
                  <c:x val="8.568980291345267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37-4976-A7E3-8A52ECD7F69D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37-4976-A7E3-8A52ECD7F69D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37-4976-A7E3-8A52ECD7F69D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37-4976-A7E3-8A52ECD7F69D}"/>
                </c:ext>
              </c:extLst>
            </c:dLbl>
            <c:dLbl>
              <c:idx val="10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37-4976-A7E3-8A52ECD7F69D}"/>
                </c:ext>
              </c:extLst>
            </c:dLbl>
            <c:dLbl>
              <c:idx val="12"/>
              <c:layout>
                <c:manualLayout>
                  <c:x val="7.951385106241657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(2)'!$E$53,'PTC-GRADO (2)'!$J$53,'PTC-GRADO (2)'!$O$53,'PTC-GRADO (2)'!$T$53,'PTC-GRADO (2)'!$Y$53,'PTC-GRADO (2)'!$AD$53,'PTC-GRADO (2)'!$AI$53,'PTC-GRADO (2)'!$AN$53,'PTC-GRADO (2)'!$AS$53,'PTC-GRADO (2)'!$AX$53,'PTC-GRADO (2)'!$BC$53,'PTC-GRADO (2)'!$BH$53,'PTC-GRADO (2)'!$BM$53,'PTC-GRADO (2)'!$BR$53,'PTC-GRADO (2)'!$BW$53)</c:f>
              <c:numCache>
                <c:formatCode>0.0%</c:formatCode>
                <c:ptCount val="15"/>
                <c:pt idx="0">
                  <c:v>0.37380679648720883</c:v>
                </c:pt>
                <c:pt idx="1">
                  <c:v>0.35515797487628475</c:v>
                </c:pt>
                <c:pt idx="2">
                  <c:v>0.37581573896353165</c:v>
                </c:pt>
                <c:pt idx="3">
                  <c:v>0.37046728971962617</c:v>
                </c:pt>
                <c:pt idx="4">
                  <c:v>0.36504341260853151</c:v>
                </c:pt>
                <c:pt idx="5">
                  <c:v>0.35311572700296739</c:v>
                </c:pt>
                <c:pt idx="6">
                  <c:v>0.34321719792438843</c:v>
                </c:pt>
                <c:pt idx="7">
                  <c:v>0.33851407326210059</c:v>
                </c:pt>
                <c:pt idx="8">
                  <c:v>0.32309481043336646</c:v>
                </c:pt>
                <c:pt idx="9">
                  <c:v>0.31691346263055953</c:v>
                </c:pt>
                <c:pt idx="10">
                  <c:v>0.30986383261374956</c:v>
                </c:pt>
                <c:pt idx="11">
                  <c:v>0.30894308943089432</c:v>
                </c:pt>
                <c:pt idx="12">
                  <c:v>0.31134480560866795</c:v>
                </c:pt>
                <c:pt idx="13">
                  <c:v>0.30603857097692067</c:v>
                </c:pt>
                <c:pt idx="14">
                  <c:v>0.30444170265268355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A37-4976-A7E3-8A52ECD7F69D}"/>
            </c:ext>
          </c:extLst>
        </c:ser>
        <c:ser>
          <c:idx val="2"/>
          <c:order val="2"/>
          <c:tx>
            <c:strRef>
              <c:f>'PTC-GRADO (2)'!$BI$4</c:f>
              <c:strCache>
                <c:ptCount val="1"/>
                <c:pt idx="0">
                  <c:v>Doctorado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dLbl>
              <c:idx val="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37-4976-A7E3-8A52ECD7F69D}"/>
                </c:ext>
              </c:extLst>
            </c:dLbl>
            <c:dLbl>
              <c:idx val="1"/>
              <c:layout>
                <c:manualLayout>
                  <c:x val="1.199657240788346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37-4976-A7E3-8A52ECD7F69D}"/>
                </c:ext>
              </c:extLst>
            </c:dLbl>
            <c:dLbl>
              <c:idx val="2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37-4976-A7E3-8A52ECD7F69D}"/>
                </c:ext>
              </c:extLst>
            </c:dLbl>
            <c:dLbl>
              <c:idx val="3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A37-4976-A7E3-8A52ECD7F69D}"/>
                </c:ext>
              </c:extLst>
            </c:dLbl>
            <c:dLbl>
              <c:idx val="4"/>
              <c:layout>
                <c:manualLayout>
                  <c:x val="1.3710368466152529E-2"/>
                  <c:y val="2.80997448012153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A37-4976-A7E3-8A52ECD7F69D}"/>
                </c:ext>
              </c:extLst>
            </c:dLbl>
            <c:dLbl>
              <c:idx val="5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A37-4976-A7E3-8A52ECD7F69D}"/>
                </c:ext>
              </c:extLst>
            </c:dLbl>
            <c:dLbl>
              <c:idx val="6"/>
              <c:layout>
                <c:manualLayout>
                  <c:x val="6.8551842330762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A37-4976-A7E3-8A52ECD7F69D}"/>
                </c:ext>
              </c:extLst>
            </c:dLbl>
            <c:dLbl>
              <c:idx val="7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A37-4976-A7E3-8A52ECD7F69D}"/>
                </c:ext>
              </c:extLst>
            </c:dLbl>
            <c:dLbl>
              <c:idx val="8"/>
              <c:layout>
                <c:manualLayout>
                  <c:x val="8.568980291345330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A37-4976-A7E3-8A52ECD7F69D}"/>
                </c:ext>
              </c:extLst>
            </c:dLbl>
            <c:dLbl>
              <c:idx val="9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A37-4976-A7E3-8A52ECD7F69D}"/>
                </c:ext>
              </c:extLst>
            </c:dLbl>
            <c:dLbl>
              <c:idx val="10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A37-4976-A7E3-8A52ECD7F69D}"/>
                </c:ext>
              </c:extLst>
            </c:dLbl>
            <c:dLbl>
              <c:idx val="11"/>
              <c:layout>
                <c:manualLayout>
                  <c:x val="1.028277634961439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A37-4976-A7E3-8A52ECD7F69D}"/>
                </c:ext>
              </c:extLst>
            </c:dLbl>
            <c:dLbl>
              <c:idx val="12"/>
              <c:layout>
                <c:manualLayout>
                  <c:x val="9.5416621274900127E-3"/>
                  <c:y val="-2.60416666666666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A37-4976-A7E3-8A52ECD7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'PTC-GRADO (2)'!$BJ$61:$BJ$75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('PTC-GRADO (2)'!$F$52,'PTC-GRADO (2)'!$K$52,'PTC-GRADO (2)'!$P$52,'PTC-GRADO (2)'!$U$52,'PTC-GRADO (2)'!$Z$52,'PTC-GRADO (2)'!$AE$52,'PTC-GRADO (2)'!$AJ$52,'PTC-GRADO (2)'!$AO$52,'PTC-GRADO (2)'!$AT$52,'PTC-GRADO (2)'!$AY$52,'PTC-GRADO (2)'!$BD$52,'PTC-GRADO (2)'!$BI$52,'PTC-GRADO (2)'!$BN$52,'PTC-GRADO (2)'!$BS$52,'PTC-GRADO (2)'!$BX$52)</c:f>
              <c:numCache>
                <c:formatCode>0.0%</c:formatCode>
                <c:ptCount val="15"/>
                <c:pt idx="0">
                  <c:v>0.33409698358151968</c:v>
                </c:pt>
                <c:pt idx="1">
                  <c:v>0.35706128663875142</c:v>
                </c:pt>
                <c:pt idx="2">
                  <c:v>0.3965451055662188</c:v>
                </c:pt>
                <c:pt idx="3">
                  <c:v>0.41495327102803736</c:v>
                </c:pt>
                <c:pt idx="4">
                  <c:v>0.43865609664024158</c:v>
                </c:pt>
                <c:pt idx="5">
                  <c:v>0.46402077151335314</c:v>
                </c:pt>
                <c:pt idx="6">
                  <c:v>0.4855448480355819</c:v>
                </c:pt>
                <c:pt idx="7">
                  <c:v>0.49627073337631367</c:v>
                </c:pt>
                <c:pt idx="8">
                  <c:v>0.51881838455664753</c:v>
                </c:pt>
                <c:pt idx="9">
                  <c:v>0.53791356010561919</c:v>
                </c:pt>
                <c:pt idx="10">
                  <c:v>0.55861839920292267</c:v>
                </c:pt>
                <c:pt idx="11">
                  <c:v>0.56195121951219518</c:v>
                </c:pt>
                <c:pt idx="12">
                  <c:v>0.56309751434034416</c:v>
                </c:pt>
                <c:pt idx="13">
                  <c:v>0.5722415428390768</c:v>
                </c:pt>
                <c:pt idx="14">
                  <c:v>0.57649599012954966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A37-4976-A7E3-8A52ECD7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cylinder"/>
        <c:axId val="138224384"/>
        <c:axId val="138225920"/>
        <c:axId val="0"/>
      </c:bar3DChart>
      <c:catAx>
        <c:axId val="13822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8225920"/>
        <c:crosses val="autoZero"/>
        <c:auto val="1"/>
        <c:lblAlgn val="ctr"/>
        <c:lblOffset val="100"/>
        <c:noMultiLvlLbl val="0"/>
      </c:catAx>
      <c:valAx>
        <c:axId val="138225920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382243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2175967758128593"/>
          <c:y val="0.94019628827829727"/>
          <c:w val="0.7516533245844268"/>
          <c:h val="4.7229233315951254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Personal Académcio con Perfil Deseable Vigente PRODEP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1.5585655306476666E-2"/>
          <c:y val="5.407318816101693E-2"/>
          <c:w val="0.97362427563519338"/>
          <c:h val="0.81689099294776935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PERFIL'!$C$3:$Q$3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('PRODEP PERFIL'!$C$8:$P$8,'PRODEP PERFIL'!$Q$8)</c:f>
              <c:numCache>
                <c:formatCode>#,##0</c:formatCode>
                <c:ptCount val="14"/>
                <c:pt idx="0">
                  <c:v>250</c:v>
                </c:pt>
                <c:pt idx="1">
                  <c:v>276</c:v>
                </c:pt>
                <c:pt idx="2">
                  <c:v>374</c:v>
                </c:pt>
                <c:pt idx="3">
                  <c:v>376</c:v>
                </c:pt>
                <c:pt idx="4">
                  <c:v>388</c:v>
                </c:pt>
                <c:pt idx="5">
                  <c:v>432</c:v>
                </c:pt>
                <c:pt idx="6">
                  <c:v>447</c:v>
                </c:pt>
                <c:pt idx="7">
                  <c:v>426</c:v>
                </c:pt>
                <c:pt idx="8">
                  <c:v>473</c:v>
                </c:pt>
                <c:pt idx="9">
                  <c:v>503</c:v>
                </c:pt>
                <c:pt idx="10">
                  <c:v>515</c:v>
                </c:pt>
                <c:pt idx="11">
                  <c:v>468</c:v>
                </c:pt>
                <c:pt idx="12">
                  <c:v>467</c:v>
                </c:pt>
                <c:pt idx="13">
                  <c:v>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BC-45B9-B501-CB23E1CB8970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PERFIL'!$C$3:$Q$3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('PRODEP PERFIL'!$C$13:$P$13,'PRODEP PERFIL'!$Q$13)</c:f>
              <c:numCache>
                <c:formatCode>#,##0</c:formatCode>
                <c:ptCount val="14"/>
                <c:pt idx="1">
                  <c:v>11</c:v>
                </c:pt>
                <c:pt idx="2">
                  <c:v>24</c:v>
                </c:pt>
                <c:pt idx="3">
                  <c:v>47</c:v>
                </c:pt>
                <c:pt idx="4">
                  <c:v>61</c:v>
                </c:pt>
                <c:pt idx="5">
                  <c:v>70</c:v>
                </c:pt>
                <c:pt idx="6">
                  <c:v>93</c:v>
                </c:pt>
                <c:pt idx="7">
                  <c:v>110</c:v>
                </c:pt>
                <c:pt idx="8">
                  <c:v>123</c:v>
                </c:pt>
                <c:pt idx="9">
                  <c:v>124</c:v>
                </c:pt>
                <c:pt idx="10">
                  <c:v>115</c:v>
                </c:pt>
                <c:pt idx="11">
                  <c:v>114</c:v>
                </c:pt>
                <c:pt idx="12">
                  <c:v>105</c:v>
                </c:pt>
                <c:pt idx="13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BC-45B9-B501-CB23E1CB8970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PERFIL'!$C$3:$Q$3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('PRODEP PERFIL'!$C$18:$P$18,'PRODEP PERFIL'!$Q$18)</c:f>
              <c:numCache>
                <c:formatCode>#,##0</c:formatCode>
                <c:ptCount val="14"/>
                <c:pt idx="0">
                  <c:v>470</c:v>
                </c:pt>
                <c:pt idx="1">
                  <c:v>492</c:v>
                </c:pt>
                <c:pt idx="2">
                  <c:v>504</c:v>
                </c:pt>
                <c:pt idx="3">
                  <c:v>467</c:v>
                </c:pt>
                <c:pt idx="4">
                  <c:v>497</c:v>
                </c:pt>
                <c:pt idx="5">
                  <c:v>525</c:v>
                </c:pt>
                <c:pt idx="6">
                  <c:v>476</c:v>
                </c:pt>
                <c:pt idx="7">
                  <c:v>458</c:v>
                </c:pt>
                <c:pt idx="8">
                  <c:v>411</c:v>
                </c:pt>
                <c:pt idx="9">
                  <c:v>430</c:v>
                </c:pt>
                <c:pt idx="10">
                  <c:v>416</c:v>
                </c:pt>
                <c:pt idx="11">
                  <c:v>331</c:v>
                </c:pt>
                <c:pt idx="12">
                  <c:v>325</c:v>
                </c:pt>
                <c:pt idx="13">
                  <c:v>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BC-45B9-B501-CB23E1CB8970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8"/>
              <c:layout>
                <c:manualLayout>
                  <c:x val="2.8773517488880088E-2"/>
                  <c:y val="-1.264869898503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C-465E-B627-0645523CCF09}"/>
                </c:ext>
              </c:extLst>
            </c:dLbl>
            <c:dLbl>
              <c:idx val="9"/>
              <c:layout>
                <c:manualLayout>
                  <c:x val="6.8538178813817409E-3"/>
                  <c:y val="2.3122884102556832E-4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C-45B9-B501-CB23E1CB8970}"/>
                </c:ext>
              </c:extLst>
            </c:dLbl>
            <c:dLbl>
              <c:idx val="10"/>
              <c:layout>
                <c:manualLayout>
                  <c:x val="6.7985931184847762E-3"/>
                  <c:y val="-5.861725817040386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C-45B9-B501-CB23E1CB8970}"/>
                </c:ext>
              </c:extLst>
            </c:dLbl>
            <c:dLbl>
              <c:idx val="11"/>
              <c:layout>
                <c:manualLayout>
                  <c:x val="6.7653638594424997E-3"/>
                  <c:y val="-4.927680814563012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C-45B9-B501-CB23E1CB8970}"/>
                </c:ext>
              </c:extLst>
            </c:dLbl>
            <c:dLbl>
              <c:idx val="12"/>
              <c:layout>
                <c:manualLayout>
                  <c:x val="6.9687042684682459E-3"/>
                  <c:y val="-3.524040412759250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C-45B9-B501-CB23E1CB8970}"/>
                </c:ext>
              </c:extLst>
            </c:dLbl>
            <c:dLbl>
              <c:idx val="13"/>
              <c:layout>
                <c:manualLayout>
                  <c:x val="7.1933793722199994E-3"/>
                  <c:y val="-4.21623299501106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419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9F-435E-BF3D-C64349F2A6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PERFIL'!$C$3:$Q$3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('PRODEP PERFIL'!$C$23:$P$23,'PRODEP PERFIL'!$Q$23)</c:f>
              <c:numCache>
                <c:formatCode>#,##0</c:formatCode>
                <c:ptCount val="14"/>
                <c:pt idx="8">
                  <c:v>1</c:v>
                </c:pt>
                <c:pt idx="9">
                  <c:v>10</c:v>
                </c:pt>
                <c:pt idx="10">
                  <c:v>14</c:v>
                </c:pt>
                <c:pt idx="11">
                  <c:v>26</c:v>
                </c:pt>
                <c:pt idx="12">
                  <c:v>32</c:v>
                </c:pt>
                <c:pt idx="13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BC-45B9-B501-CB23E1CB8970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PERFIL'!$C$3:$Q$3</c:f>
              <c:numCache>
                <c:formatCode>General</c:formatCode>
                <c:ptCount val="14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</c:numCache>
            </c:numRef>
          </c:cat>
          <c:val>
            <c:numRef>
              <c:f>('PRODEP PERFIL'!$C$28:$P$28,'PRODEP PERFIL'!$Q$28)</c:f>
              <c:numCache>
                <c:formatCode>#,##0</c:formatCode>
                <c:ptCount val="14"/>
                <c:pt idx="0">
                  <c:v>264</c:v>
                </c:pt>
                <c:pt idx="1">
                  <c:v>287</c:v>
                </c:pt>
                <c:pt idx="2">
                  <c:v>331</c:v>
                </c:pt>
                <c:pt idx="3">
                  <c:v>300</c:v>
                </c:pt>
                <c:pt idx="4">
                  <c:v>329</c:v>
                </c:pt>
                <c:pt idx="5">
                  <c:v>369</c:v>
                </c:pt>
                <c:pt idx="6">
                  <c:v>400</c:v>
                </c:pt>
                <c:pt idx="7">
                  <c:v>380</c:v>
                </c:pt>
                <c:pt idx="8">
                  <c:v>387</c:v>
                </c:pt>
                <c:pt idx="9">
                  <c:v>397</c:v>
                </c:pt>
                <c:pt idx="10">
                  <c:v>393</c:v>
                </c:pt>
                <c:pt idx="11">
                  <c:v>371</c:v>
                </c:pt>
                <c:pt idx="12">
                  <c:v>313</c:v>
                </c:pt>
                <c:pt idx="13">
                  <c:v>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3BC-45B9-B501-CB23E1CB8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1618176"/>
        <c:axId val="141644544"/>
        <c:axId val="0"/>
      </c:bar3DChart>
      <c:catAx>
        <c:axId val="14161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41644544"/>
        <c:crosses val="autoZero"/>
        <c:auto val="1"/>
        <c:lblAlgn val="ctr"/>
        <c:lblOffset val="100"/>
        <c:noMultiLvlLbl val="0"/>
      </c:catAx>
      <c:valAx>
        <c:axId val="141644544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1618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642250587506517E-2"/>
          <c:y val="0.94253822206102411"/>
          <c:w val="0.83055389407956914"/>
          <c:h val="5.3659366552490866E-2"/>
        </c:manualLayout>
      </c:layout>
      <c:overlay val="0"/>
      <c:txPr>
        <a:bodyPr/>
        <a:lstStyle/>
        <a:p>
          <a:pPr>
            <a:defRPr sz="1100" b="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'PRODEP PERFIL'!$D$74</c:f>
              <c:strCache>
                <c:ptCount val="1"/>
                <c:pt idx="0">
                  <c:v>Azcapotzalco</c:v>
                </c:pt>
              </c:strCache>
            </c:strRef>
          </c:tx>
          <c:spPr>
            <a:solidFill>
              <a:schemeClr val="accent2"/>
            </a:solidFill>
            <a:ln w="3175"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PERFIL'!$L$8:$P$8</c:f>
              <c:numCache>
                <c:formatCode>#,##0</c:formatCode>
                <c:ptCount val="5"/>
                <c:pt idx="0">
                  <c:v>473</c:v>
                </c:pt>
                <c:pt idx="1">
                  <c:v>503</c:v>
                </c:pt>
                <c:pt idx="2">
                  <c:v>515</c:v>
                </c:pt>
                <c:pt idx="3">
                  <c:v>468</c:v>
                </c:pt>
                <c:pt idx="4">
                  <c:v>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4-484C-9C58-183CB6D3AD23}"/>
            </c:ext>
          </c:extLst>
        </c:ser>
        <c:ser>
          <c:idx val="1"/>
          <c:order val="1"/>
          <c:tx>
            <c:strRef>
              <c:f>'PRODEP PERFIL'!$D$75</c:f>
              <c:strCache>
                <c:ptCount val="1"/>
                <c:pt idx="0">
                  <c:v>Cuajimalpa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PERFIL'!$L$13:$P$13</c:f>
              <c:numCache>
                <c:formatCode>#,##0</c:formatCode>
                <c:ptCount val="5"/>
                <c:pt idx="0">
                  <c:v>123</c:v>
                </c:pt>
                <c:pt idx="1">
                  <c:v>124</c:v>
                </c:pt>
                <c:pt idx="2">
                  <c:v>115</c:v>
                </c:pt>
                <c:pt idx="3">
                  <c:v>114</c:v>
                </c:pt>
                <c:pt idx="4">
                  <c:v>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4-484C-9C58-183CB6D3AD23}"/>
            </c:ext>
          </c:extLst>
        </c:ser>
        <c:ser>
          <c:idx val="2"/>
          <c:order val="2"/>
          <c:tx>
            <c:strRef>
              <c:f>'PRODEP PERFIL'!$D$76</c:f>
              <c:strCache>
                <c:ptCount val="1"/>
                <c:pt idx="0">
                  <c:v>Iztapalapa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PERFIL'!$L$18:$P$18</c:f>
              <c:numCache>
                <c:formatCode>#,##0</c:formatCode>
                <c:ptCount val="5"/>
                <c:pt idx="0">
                  <c:v>411</c:v>
                </c:pt>
                <c:pt idx="1">
                  <c:v>430</c:v>
                </c:pt>
                <c:pt idx="2">
                  <c:v>416</c:v>
                </c:pt>
                <c:pt idx="3">
                  <c:v>331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4-484C-9C58-183CB6D3AD23}"/>
            </c:ext>
          </c:extLst>
        </c:ser>
        <c:ser>
          <c:idx val="4"/>
          <c:order val="3"/>
          <c:tx>
            <c:strRef>
              <c:f>'PRODEP PERFIL'!$D$77</c:f>
              <c:strCache>
                <c:ptCount val="1"/>
                <c:pt idx="0">
                  <c:v>Lerma</c:v>
                </c:pt>
              </c:strCache>
            </c:strRef>
          </c:tx>
          <c:spPr>
            <a:solidFill>
              <a:srgbClr val="AD25A8"/>
            </a:solidFill>
          </c:spPr>
          <c:invertIfNegative val="0"/>
          <c:dLbls>
            <c:dLbl>
              <c:idx val="1"/>
              <c:layout>
                <c:manualLayout>
                  <c:x val="6.7588325652841785E-2"/>
                  <c:y val="-2.749140149595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B4-484C-9C58-183CB6D3AD23}"/>
                </c:ext>
              </c:extLst>
            </c:dLbl>
            <c:dLbl>
              <c:idx val="2"/>
              <c:layout>
                <c:manualLayout>
                  <c:x val="6.9636456733230934E-2"/>
                  <c:y val="-3.0927826682948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B4-484C-9C58-183CB6D3AD23}"/>
                </c:ext>
              </c:extLst>
            </c:dLbl>
            <c:dLbl>
              <c:idx val="3"/>
              <c:layout>
                <c:manualLayout>
                  <c:x val="6.9636456733230934E-2"/>
                  <c:y val="-2.749140149595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B4-484C-9C58-183CB6D3AD23}"/>
                </c:ext>
              </c:extLst>
            </c:dLbl>
            <c:dLbl>
              <c:idx val="4"/>
              <c:layout>
                <c:manualLayout>
                  <c:x val="7.3732718894009217E-2"/>
                  <c:y val="-2.4054976308960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B4-484C-9C58-183CB6D3AD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AD25A8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PERFIL'!$L$23:$P$23</c:f>
              <c:numCache>
                <c:formatCode>#,##0</c:formatCode>
                <c:ptCount val="5"/>
                <c:pt idx="0">
                  <c:v>1</c:v>
                </c:pt>
                <c:pt idx="1">
                  <c:v>10</c:v>
                </c:pt>
                <c:pt idx="2">
                  <c:v>14</c:v>
                </c:pt>
                <c:pt idx="3">
                  <c:v>26</c:v>
                </c:pt>
                <c:pt idx="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DB4-484C-9C58-183CB6D3AD23}"/>
            </c:ext>
          </c:extLst>
        </c:ser>
        <c:ser>
          <c:idx val="3"/>
          <c:order val="4"/>
          <c:tx>
            <c:strRef>
              <c:f>'PRODEP PERFIL'!$D$78</c:f>
              <c:strCache>
                <c:ptCount val="1"/>
                <c:pt idx="0">
                  <c:v>Xochimilco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</a:ln>
            <a:scene3d>
              <a:camera prst="orthographicFront"/>
              <a:lightRig rig="threePt" dir="t"/>
            </a:scene3d>
            <a:sp3d>
              <a:bevelT w="88900" h="38100" prst="coolSlant"/>
              <a:bevelB w="88900" h="38100" prst="coolSlant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'PRODEP PERFIL'!$L$3:$P$3</c:f>
              <c:numCache>
                <c:formatCode>General</c:formatCode>
                <c:ptCount val="5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</c:numCache>
            </c:numRef>
          </c:cat>
          <c:val>
            <c:numRef>
              <c:f>'PRODEP PERFIL'!$L$28:$P$28</c:f>
              <c:numCache>
                <c:formatCode>#,##0</c:formatCode>
                <c:ptCount val="5"/>
                <c:pt idx="0">
                  <c:v>387</c:v>
                </c:pt>
                <c:pt idx="1">
                  <c:v>397</c:v>
                </c:pt>
                <c:pt idx="2">
                  <c:v>393</c:v>
                </c:pt>
                <c:pt idx="3">
                  <c:v>371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DB4-484C-9C58-183CB6D3A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1686656"/>
        <c:axId val="141688192"/>
        <c:axId val="0"/>
      </c:bar3DChart>
      <c:catAx>
        <c:axId val="1416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100"/>
            </a:pPr>
            <a:endParaRPr lang="es-419"/>
          </a:p>
        </c:txPr>
        <c:crossAx val="141688192"/>
        <c:crosses val="autoZero"/>
        <c:auto val="1"/>
        <c:lblAlgn val="ctr"/>
        <c:lblOffset val="100"/>
        <c:noMultiLvlLbl val="0"/>
      </c:catAx>
      <c:valAx>
        <c:axId val="141688192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4168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944462587337873E-2"/>
          <c:y val="0.91724086986474296"/>
          <c:w val="0.82266394120089825"/>
          <c:h val="6.6308123952668246E-2"/>
        </c:manualLayout>
      </c:layout>
      <c:overlay val="0"/>
      <c:txPr>
        <a:bodyPr/>
        <a:lstStyle/>
        <a:p>
          <a:pPr>
            <a:defRPr sz="1100"/>
          </a:pPr>
          <a:endParaRPr lang="es-419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Profesores UAM en el Sistema Nacional de Investigadores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  <c:spPr>
        <a:noFill/>
        <a:ln w="6350"/>
        <a:effectLst/>
      </c:spPr>
    </c:floor>
    <c:sideWall>
      <c:thickness val="0"/>
      <c:spPr>
        <a:noFill/>
      </c:spPr>
    </c:sideWall>
    <c:backWall>
      <c:thickness val="0"/>
      <c:spPr>
        <a:noFill/>
      </c:spPr>
    </c:backWall>
    <c:plotArea>
      <c:layout/>
      <c:bar3DChart>
        <c:barDir val="col"/>
        <c:grouping val="stacked"/>
        <c:varyColors val="0"/>
        <c:ser>
          <c:idx val="3"/>
          <c:order val="0"/>
          <c:tx>
            <c:strRef>
              <c:f>SNI!$BK$74</c:f>
              <c:strCache>
                <c:ptCount val="1"/>
                <c:pt idx="0">
                  <c:v>Candidato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7"/>
              <c:layout>
                <c:manualLayout>
                  <c:x val="4.514673221197958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DD-40F3-8D70-ABF8FC0FCDD6}"/>
                </c:ext>
              </c:extLst>
            </c:dLbl>
            <c:dLbl>
              <c:idx val="8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DD-40F3-8D70-ABF8FC0FCDD6}"/>
                </c:ext>
              </c:extLst>
            </c:dLbl>
            <c:dLbl>
              <c:idx val="10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DD-40F3-8D70-ABF8FC0FCDD6}"/>
                </c:ext>
              </c:extLst>
            </c:dLbl>
            <c:dLbl>
              <c:idx val="12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DD-40F3-8D70-ABF8FC0FCDD6}"/>
                </c:ext>
              </c:extLst>
            </c:dLbl>
            <c:dLbl>
              <c:idx val="14"/>
              <c:layout>
                <c:manualLayout>
                  <c:x val="4.5146732211981244E-3"/>
                  <c:y val="-2.31041183479583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DD-40F3-8D70-ABF8FC0FC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SNI!$BJ$54:$BJ$71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(SNI!$B$38,SNI!$G$38,SNI!$L$38,SNI!$Q$38,SNI!$V$38,SNI!$AA$38,SNI!$AF$38,SNI!$AK$38,SNI!$AP$38,SNI!$AU$38,SNI!$AZ$38,SNI!$BE$38,SNI!$BJ$38,SNI!$BO$38,SNI!$BT$38,SNI!$BY$38,SNI!$CD$38,SNI!$CI$38)</c:f>
              <c:numCache>
                <c:formatCode>#,##0</c:formatCode>
                <c:ptCount val="18"/>
                <c:pt idx="0">
                  <c:v>76</c:v>
                </c:pt>
                <c:pt idx="1">
                  <c:v>47</c:v>
                </c:pt>
                <c:pt idx="2">
                  <c:v>38</c:v>
                </c:pt>
                <c:pt idx="3">
                  <c:v>40</c:v>
                </c:pt>
                <c:pt idx="4">
                  <c:v>42</c:v>
                </c:pt>
                <c:pt idx="5">
                  <c:v>49</c:v>
                </c:pt>
                <c:pt idx="6">
                  <c:v>48</c:v>
                </c:pt>
                <c:pt idx="7">
                  <c:v>64</c:v>
                </c:pt>
                <c:pt idx="8">
                  <c:v>73</c:v>
                </c:pt>
                <c:pt idx="9">
                  <c:v>75</c:v>
                </c:pt>
                <c:pt idx="10">
                  <c:v>92</c:v>
                </c:pt>
                <c:pt idx="11">
                  <c:v>95</c:v>
                </c:pt>
                <c:pt idx="12">
                  <c:v>110</c:v>
                </c:pt>
                <c:pt idx="13">
                  <c:v>148</c:v>
                </c:pt>
                <c:pt idx="14">
                  <c:v>156</c:v>
                </c:pt>
                <c:pt idx="15">
                  <c:v>151</c:v>
                </c:pt>
                <c:pt idx="16">
                  <c:v>167</c:v>
                </c:pt>
                <c:pt idx="17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DD-40F3-8D70-ABF8FC0FCDD6}"/>
            </c:ext>
          </c:extLst>
        </c:ser>
        <c:ser>
          <c:idx val="0"/>
          <c:order val="1"/>
          <c:tx>
            <c:strRef>
              <c:f>SNI!$BK$71</c:f>
              <c:strCache>
                <c:ptCount val="1"/>
                <c:pt idx="0">
                  <c:v>Nivel 1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4794520547945206E-3"/>
                  <c:y val="9.79725728275798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DD-40F3-8D70-ABF8FC0FCDD6}"/>
                </c:ext>
              </c:extLst>
            </c:dLbl>
            <c:dLbl>
              <c:idx val="1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DD-40F3-8D70-ABF8FC0FCDD6}"/>
                </c:ext>
              </c:extLst>
            </c:dLbl>
            <c:dLbl>
              <c:idx val="2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DD-40F3-8D70-ABF8FC0FCDD6}"/>
                </c:ext>
              </c:extLst>
            </c:dLbl>
            <c:dLbl>
              <c:idx val="3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DD-40F3-8D70-ABF8FC0FCDD6}"/>
                </c:ext>
              </c:extLst>
            </c:dLbl>
            <c:dLbl>
              <c:idx val="4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DD-40F3-8D70-ABF8FC0FCDD6}"/>
                </c:ext>
              </c:extLst>
            </c:dLbl>
            <c:dLbl>
              <c:idx val="5"/>
              <c:layout>
                <c:manualLayout>
                  <c:x val="5.47945205479445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DD-40F3-8D70-ABF8FC0FCDD6}"/>
                </c:ext>
              </c:extLst>
            </c:dLbl>
            <c:dLbl>
              <c:idx val="6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DD-40F3-8D70-ABF8FC0FCDD6}"/>
                </c:ext>
              </c:extLst>
            </c:dLbl>
            <c:dLbl>
              <c:idx val="7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DD-40F3-8D70-ABF8FC0FCDD6}"/>
                </c:ext>
              </c:extLst>
            </c:dLbl>
            <c:dLbl>
              <c:idx val="8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DD-40F3-8D70-ABF8FC0FCDD6}"/>
                </c:ext>
              </c:extLst>
            </c:dLbl>
            <c:dLbl>
              <c:idx val="9"/>
              <c:layout>
                <c:manualLayout>
                  <c:x val="5.47945205479452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DD-40F3-8D70-ABF8FC0FCDD6}"/>
                </c:ext>
              </c:extLst>
            </c:dLbl>
            <c:dLbl>
              <c:idx val="10"/>
              <c:layout>
                <c:manualLayout>
                  <c:x val="7.3059360730593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DD-40F3-8D70-ABF8FC0FCDD6}"/>
                </c:ext>
              </c:extLst>
            </c:dLbl>
            <c:dLbl>
              <c:idx val="11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DD-40F3-8D70-ABF8FC0FCDD6}"/>
                </c:ext>
              </c:extLst>
            </c:dLbl>
            <c:dLbl>
              <c:idx val="12"/>
              <c:layout>
                <c:manualLayout>
                  <c:x val="9.0293464423960284E-3"/>
                  <c:y val="2.52047839076773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DD-40F3-8D70-ABF8FC0FCDD6}"/>
                </c:ext>
              </c:extLst>
            </c:dLbl>
            <c:dLbl>
              <c:idx val="13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DD-40F3-8D70-ABF8FC0FCDD6}"/>
                </c:ext>
              </c:extLst>
            </c:dLbl>
            <c:dLbl>
              <c:idx val="14"/>
              <c:layout>
                <c:manualLayout>
                  <c:x val="7.52445536866346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DD-40F3-8D70-ABF8FC0FC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SNI!$BJ$54:$BJ$71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(SNI!$C$38,SNI!$H$38,SNI!$M$38,SNI!$R$38,SNI!$W$38,SNI!$AB$38,SNI!$AG$38,SNI!$AL$38,SNI!$AQ$38,SNI!$AV$38,SNI!$BA$38,SNI!$BF$38,SNI!$BK$38,SNI!$BP$38,SNI!$BU$38,SNI!$BZ$38,SNI!$CE$38,SNI!$CJ$38)</c:f>
              <c:numCache>
                <c:formatCode>#,##0</c:formatCode>
                <c:ptCount val="18"/>
                <c:pt idx="0">
                  <c:v>271</c:v>
                </c:pt>
                <c:pt idx="1">
                  <c:v>301</c:v>
                </c:pt>
                <c:pt idx="2">
                  <c:v>340</c:v>
                </c:pt>
                <c:pt idx="3">
                  <c:v>344</c:v>
                </c:pt>
                <c:pt idx="4">
                  <c:v>382</c:v>
                </c:pt>
                <c:pt idx="5">
                  <c:v>391</c:v>
                </c:pt>
                <c:pt idx="6">
                  <c:v>403</c:v>
                </c:pt>
                <c:pt idx="7">
                  <c:v>443</c:v>
                </c:pt>
                <c:pt idx="8">
                  <c:v>478</c:v>
                </c:pt>
                <c:pt idx="9">
                  <c:v>480</c:v>
                </c:pt>
                <c:pt idx="10">
                  <c:v>508</c:v>
                </c:pt>
                <c:pt idx="11">
                  <c:v>516</c:v>
                </c:pt>
                <c:pt idx="12">
                  <c:v>530</c:v>
                </c:pt>
                <c:pt idx="13">
                  <c:v>587</c:v>
                </c:pt>
                <c:pt idx="14">
                  <c:v>595</c:v>
                </c:pt>
                <c:pt idx="15">
                  <c:v>605</c:v>
                </c:pt>
                <c:pt idx="16">
                  <c:v>636</c:v>
                </c:pt>
                <c:pt idx="17">
                  <c:v>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11DD-40F3-8D70-ABF8FC0FCDD6}"/>
            </c:ext>
          </c:extLst>
        </c:ser>
        <c:ser>
          <c:idx val="1"/>
          <c:order val="2"/>
          <c:tx>
            <c:strRef>
              <c:f>SNI!$BK$72</c:f>
              <c:strCache>
                <c:ptCount val="1"/>
                <c:pt idx="0">
                  <c:v>Nivel 2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</a:sp3d>
          </c:spPr>
          <c:invertIfNegative val="0"/>
          <c:dLbls>
            <c:dLbl>
              <c:idx val="1"/>
              <c:layout>
                <c:manualLayout>
                  <c:x val="4.51467322119800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DD-40F3-8D70-ABF8FC0FCDD6}"/>
                </c:ext>
              </c:extLst>
            </c:dLbl>
            <c:dLbl>
              <c:idx val="2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DD-40F3-8D70-ABF8FC0FCDD6}"/>
                </c:ext>
              </c:extLst>
            </c:dLbl>
            <c:dLbl>
              <c:idx val="3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DD-40F3-8D70-ABF8FC0FCDD6}"/>
                </c:ext>
              </c:extLst>
            </c:dLbl>
            <c:dLbl>
              <c:idx val="4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DD-40F3-8D70-ABF8FC0FCDD6}"/>
                </c:ext>
              </c:extLst>
            </c:dLbl>
            <c:dLbl>
              <c:idx val="5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DD-40F3-8D70-ABF8FC0FCDD6}"/>
                </c:ext>
              </c:extLst>
            </c:dLbl>
            <c:dLbl>
              <c:idx val="6"/>
              <c:layout>
                <c:manualLayout>
                  <c:x val="4.5146732211980142E-3"/>
                  <c:y val="2.52047839076782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DD-40F3-8D70-ABF8FC0FCDD6}"/>
                </c:ext>
              </c:extLst>
            </c:dLbl>
            <c:dLbl>
              <c:idx val="7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DD-40F3-8D70-ABF8FC0FCDD6}"/>
                </c:ext>
              </c:extLst>
            </c:dLbl>
            <c:dLbl>
              <c:idx val="8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DD-40F3-8D70-ABF8FC0FCDD6}"/>
                </c:ext>
              </c:extLst>
            </c:dLbl>
            <c:dLbl>
              <c:idx val="10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DD-40F3-8D70-ABF8FC0FCDD6}"/>
                </c:ext>
              </c:extLst>
            </c:dLbl>
            <c:dLbl>
              <c:idx val="11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DD-40F3-8D70-ABF8FC0FCDD6}"/>
                </c:ext>
              </c:extLst>
            </c:dLbl>
            <c:dLbl>
              <c:idx val="12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DD-40F3-8D70-ABF8FC0FCDD6}"/>
                </c:ext>
              </c:extLst>
            </c:dLbl>
            <c:dLbl>
              <c:idx val="13"/>
              <c:layout>
                <c:manualLayout>
                  <c:x val="9.029346442396028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DD-40F3-8D70-ABF8FC0FCDD6}"/>
                </c:ext>
              </c:extLst>
            </c:dLbl>
            <c:dLbl>
              <c:idx val="14"/>
              <c:layout>
                <c:manualLayout>
                  <c:x val="4.5146732211981244E-3"/>
                  <c:y val="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DD-40F3-8D70-ABF8FC0FC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SNI!$BJ$54:$BJ$71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(SNI!$D$38,SNI!$I$38,SNI!$N$38,SNI!$S$38,SNI!$X$38,SNI!$AC$38,SNI!$AH$38,SNI!$AM$38,SNI!$AR$38,SNI!$AW$38,SNI!$BB$38,SNI!$BG$38,SNI!$BL$38,SNI!$BQ$38,SNI!$BV$38,SNI!$CA$38,SNI!$CF$38,SNI!$CK$38)</c:f>
              <c:numCache>
                <c:formatCode>#,##0</c:formatCode>
                <c:ptCount val="18"/>
                <c:pt idx="0">
                  <c:v>76</c:v>
                </c:pt>
                <c:pt idx="1">
                  <c:v>100</c:v>
                </c:pt>
                <c:pt idx="2">
                  <c:v>120</c:v>
                </c:pt>
                <c:pt idx="3">
                  <c:v>121</c:v>
                </c:pt>
                <c:pt idx="4">
                  <c:v>134</c:v>
                </c:pt>
                <c:pt idx="5">
                  <c:v>143</c:v>
                </c:pt>
                <c:pt idx="6">
                  <c:v>167</c:v>
                </c:pt>
                <c:pt idx="7">
                  <c:v>175</c:v>
                </c:pt>
                <c:pt idx="8">
                  <c:v>208</c:v>
                </c:pt>
                <c:pt idx="9">
                  <c:v>212</c:v>
                </c:pt>
                <c:pt idx="10">
                  <c:v>210</c:v>
                </c:pt>
                <c:pt idx="11">
                  <c:v>210</c:v>
                </c:pt>
                <c:pt idx="12">
                  <c:v>206</c:v>
                </c:pt>
                <c:pt idx="13">
                  <c:v>219</c:v>
                </c:pt>
                <c:pt idx="14">
                  <c:v>219</c:v>
                </c:pt>
                <c:pt idx="15">
                  <c:v>234</c:v>
                </c:pt>
                <c:pt idx="16">
                  <c:v>237</c:v>
                </c:pt>
                <c:pt idx="17">
                  <c:v>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11DD-40F3-8D70-ABF8FC0FCDD6}"/>
            </c:ext>
          </c:extLst>
        </c:ser>
        <c:ser>
          <c:idx val="2"/>
          <c:order val="3"/>
          <c:tx>
            <c:strRef>
              <c:f>SNI!$BK$73</c:f>
              <c:strCache>
                <c:ptCount val="1"/>
                <c:pt idx="0">
                  <c:v>Nivel 3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effectLst/>
            <a:scene3d>
              <a:camera prst="orthographicFront"/>
              <a:lightRig rig="threePt" dir="t"/>
            </a:scene3d>
            <a:sp3d prstMaterial="metal">
              <a:bevelT w="88900" h="38100" prst="coolSlant"/>
              <a:bevelB w="88900" h="38100" prst="coolSlant"/>
              <a:contourClr>
                <a:srgbClr val="000000"/>
              </a:contourClr>
            </a:sp3d>
          </c:spPr>
          <c:invertIfNegative val="0"/>
          <c:dLbls>
            <c:dLbl>
              <c:idx val="8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DD-40F3-8D70-ABF8FC0FCDD6}"/>
                </c:ext>
              </c:extLst>
            </c:dLbl>
            <c:dLbl>
              <c:idx val="9"/>
              <c:layout>
                <c:manualLayout>
                  <c:x val="4.514673221198014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DD-40F3-8D70-ABF8FC0FCDD6}"/>
                </c:ext>
              </c:extLst>
            </c:dLbl>
            <c:dLbl>
              <c:idx val="10"/>
              <c:layout>
                <c:manualLayout>
                  <c:x val="9.0293464423960284E-3"/>
                  <c:y val="-4.6208236695916711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DD-40F3-8D70-ABF8FC0FCDD6}"/>
                </c:ext>
              </c:extLst>
            </c:dLbl>
            <c:dLbl>
              <c:idx val="11"/>
              <c:layout>
                <c:manualLayout>
                  <c:x val="6.019564294930685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DD-40F3-8D70-ABF8FC0FCDD6}"/>
                </c:ext>
              </c:extLst>
            </c:dLbl>
            <c:dLbl>
              <c:idx val="12"/>
              <c:layout>
                <c:manualLayout>
                  <c:x val="6.019564294930575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1DD-40F3-8D70-ABF8FC0FCDD6}"/>
                </c:ext>
              </c:extLst>
            </c:dLbl>
            <c:dLbl>
              <c:idx val="13"/>
              <c:layout>
                <c:manualLayout>
                  <c:x val="7.5244553686633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1DD-40F3-8D70-ABF8FC0FCDD6}"/>
                </c:ext>
              </c:extLst>
            </c:dLbl>
            <c:dLbl>
              <c:idx val="14"/>
              <c:layout>
                <c:manualLayout>
                  <c:x val="9.029346442396139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1DD-40F3-8D70-ABF8FC0FCD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SNI!$BJ$54:$BJ$71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(SNI!$E$38,SNI!$J$38,SNI!$O$38,SNI!$T$38,SNI!$Y$38,SNI!$AD$38,SNI!$AI$38,SNI!$AN$38,SNI!$AS$38,SNI!$AX$38,SNI!$BC$38,SNI!$BH$38,SNI!$BM$38,SNI!$BR$38,SNI!$BW$38,SNI!$CB$38,SNI!$CG$38,SNI!$CL$38)</c:f>
              <c:numCache>
                <c:formatCode>#,##0</c:formatCode>
                <c:ptCount val="18"/>
                <c:pt idx="0">
                  <c:v>29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42</c:v>
                </c:pt>
                <c:pt idx="5">
                  <c:v>51</c:v>
                </c:pt>
                <c:pt idx="6">
                  <c:v>63</c:v>
                </c:pt>
                <c:pt idx="7">
                  <c:v>64</c:v>
                </c:pt>
                <c:pt idx="8">
                  <c:v>74</c:v>
                </c:pt>
                <c:pt idx="9">
                  <c:v>75</c:v>
                </c:pt>
                <c:pt idx="10">
                  <c:v>96</c:v>
                </c:pt>
                <c:pt idx="11">
                  <c:v>93</c:v>
                </c:pt>
                <c:pt idx="12">
                  <c:v>95</c:v>
                </c:pt>
                <c:pt idx="13">
                  <c:v>107</c:v>
                </c:pt>
                <c:pt idx="14">
                  <c:v>114</c:v>
                </c:pt>
                <c:pt idx="15">
                  <c:v>120</c:v>
                </c:pt>
                <c:pt idx="16">
                  <c:v>130</c:v>
                </c:pt>
                <c:pt idx="1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F-11DD-40F3-8D70-ABF8FC0FCD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gapDepth val="95"/>
        <c:shape val="cylinder"/>
        <c:axId val="132820992"/>
        <c:axId val="132822528"/>
        <c:axId val="0"/>
      </c:bar3DChart>
      <c:catAx>
        <c:axId val="13282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b="0"/>
            </a:pPr>
            <a:endParaRPr lang="es-419"/>
          </a:p>
        </c:txPr>
        <c:crossAx val="132822528"/>
        <c:crosses val="autoZero"/>
        <c:auto val="1"/>
        <c:lblAlgn val="ctr"/>
        <c:lblOffset val="100"/>
        <c:noMultiLvlLbl val="0"/>
      </c:catAx>
      <c:valAx>
        <c:axId val="1328225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132820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836500981843271"/>
          <c:y val="0.95913381762000771"/>
          <c:w val="0.62708217645785169"/>
          <c:h val="3.9231097128739401E-2"/>
        </c:manualLayout>
      </c:layout>
      <c:overlay val="0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200" b="0" i="1"/>
            </a:pPr>
            <a:r>
              <a:rPr lang="es-MX" sz="1200" b="0" i="1"/>
              <a:t>CUERPOS ACADÉMICOS (grado que PRODEP reconoce)</a:t>
            </a:r>
          </a:p>
        </c:rich>
      </c:tx>
      <c:layout>
        <c:manualLayout>
          <c:xMode val="edge"/>
          <c:yMode val="edge"/>
          <c:x val="0.35510199048600305"/>
          <c:y val="1.2524227829933102E-2"/>
        </c:manualLayout>
      </c:layout>
      <c:overlay val="1"/>
    </c:title>
    <c:autoTitleDeleted val="0"/>
    <c:view3D>
      <c:rotX val="15"/>
      <c:rotY val="20"/>
      <c:rAngAx val="1"/>
    </c:view3D>
    <c:floor>
      <c:thickness val="0"/>
      <c:spPr>
        <a:noFill/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0106219723517026E-2"/>
          <c:y val="3.7043095710170698E-2"/>
          <c:w val="0.96228032576082301"/>
          <c:h val="0.83082693195438961"/>
        </c:manualLayout>
      </c:layout>
      <c:bar3DChart>
        <c:barDir val="col"/>
        <c:grouping val="stacked"/>
        <c:varyColors val="0"/>
        <c:ser>
          <c:idx val="0"/>
          <c:order val="0"/>
          <c:tx>
            <c:strRef>
              <c:f>'Cuerpos Acad'!$Z$136</c:f>
              <c:strCache>
                <c:ptCount val="1"/>
                <c:pt idx="0">
                  <c:v>CAC: Cuerpos Académicos Consolidados</c:v>
                </c:pt>
              </c:strCache>
            </c:strRef>
          </c:tx>
          <c:spPr>
            <a:solidFill>
              <a:srgbClr val="CC9900"/>
            </a:solidFill>
            <a:ln>
              <a:noFill/>
            </a:ln>
            <a:effectLst>
              <a:outerShdw blurRad="76200" dist="12700" dir="8100000" sy="-23000" kx="800400" algn="br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49-4442-A7EA-521435B61ABB}"/>
                </c:ext>
              </c:extLst>
            </c:dLbl>
            <c:dLbl>
              <c:idx val="2"/>
              <c:layout>
                <c:manualLayout>
                  <c:x val="6.2143968883780565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49-4442-A7EA-521435B61ABB}"/>
                </c:ext>
              </c:extLst>
            </c:dLbl>
            <c:dLbl>
              <c:idx val="3"/>
              <c:layout>
                <c:manualLayout>
                  <c:x val="3.728638133026802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49-4442-A7EA-521435B61ABB}"/>
                </c:ext>
              </c:extLst>
            </c:dLbl>
            <c:dLbl>
              <c:idx val="4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49-4442-A7EA-521435B61ABB}"/>
                </c:ext>
              </c:extLst>
            </c:dLbl>
            <c:dLbl>
              <c:idx val="5"/>
              <c:layout>
                <c:manualLayout>
                  <c:x val="8.7001556437293574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49-4442-A7EA-521435B61ABB}"/>
                </c:ext>
              </c:extLst>
            </c:dLbl>
            <c:dLbl>
              <c:idx val="6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49-4442-A7EA-521435B61ABB}"/>
                </c:ext>
              </c:extLst>
            </c:dLbl>
            <c:dLbl>
              <c:idx val="7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49-4442-A7EA-521435B61ABB}"/>
                </c:ext>
              </c:extLst>
            </c:dLbl>
            <c:dLbl>
              <c:idx val="8"/>
              <c:layout>
                <c:manualLayout>
                  <c:x val="7.457276266053695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49-4442-A7EA-521435B61ABB}"/>
                </c:ext>
              </c:extLst>
            </c:dLbl>
            <c:dLbl>
              <c:idx val="9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49-4442-A7EA-521435B61ABB}"/>
                </c:ext>
              </c:extLst>
            </c:dLbl>
            <c:dLbl>
              <c:idx val="10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49-4442-A7EA-521435B61ABB}"/>
                </c:ext>
              </c:extLst>
            </c:dLbl>
            <c:dLbl>
              <c:idx val="11"/>
              <c:layout>
                <c:manualLayout>
                  <c:x val="6.214396888378079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49-4442-A7EA-521435B61ABB}"/>
                </c:ext>
              </c:extLst>
            </c:dLbl>
            <c:dLbl>
              <c:idx val="12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49-4442-A7EA-521435B61ABB}"/>
                </c:ext>
              </c:extLst>
            </c:dLbl>
            <c:dLbl>
              <c:idx val="13"/>
              <c:layout>
                <c:manualLayout>
                  <c:x val="6.2143968883778969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49-4442-A7EA-521435B61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('Cuerpos Acad'!$B$37,'Cuerpos Acad'!$F$37,'Cuerpos Acad'!$J$37,'Cuerpos Acad'!$N$37,'Cuerpos Acad'!$R$37,'Cuerpos Acad'!$V$37,'Cuerpos Acad'!$Z$37,'Cuerpos Acad'!$AD$37,'Cuerpos Acad'!$AH$37,'Cuerpos Acad'!$AL$37,'Cuerpos Acad'!$AP$37,'Cuerpos Acad'!$AT$37,'Cuerpos Acad'!$AX$37,'Cuerpos Acad'!$BB$37,'Cuerpos Acad'!$BF$37)</c:f>
              <c:numCache>
                <c:formatCode>General</c:formatCode>
                <c:ptCount val="15"/>
                <c:pt idx="0">
                  <c:v>15</c:v>
                </c:pt>
                <c:pt idx="1">
                  <c:v>17</c:v>
                </c:pt>
                <c:pt idx="2">
                  <c:v>23</c:v>
                </c:pt>
                <c:pt idx="3">
                  <c:v>49</c:v>
                </c:pt>
                <c:pt idx="4">
                  <c:v>54</c:v>
                </c:pt>
                <c:pt idx="5">
                  <c:v>57</c:v>
                </c:pt>
                <c:pt idx="6">
                  <c:v>66</c:v>
                </c:pt>
                <c:pt idx="7">
                  <c:v>73</c:v>
                </c:pt>
                <c:pt idx="8">
                  <c:v>72</c:v>
                </c:pt>
                <c:pt idx="9">
                  <c:v>80</c:v>
                </c:pt>
                <c:pt idx="10">
                  <c:v>81</c:v>
                </c:pt>
                <c:pt idx="11">
                  <c:v>84</c:v>
                </c:pt>
                <c:pt idx="12">
                  <c:v>87</c:v>
                </c:pt>
                <c:pt idx="13">
                  <c:v>82</c:v>
                </c:pt>
                <c:pt idx="1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549-4442-A7EA-521435B61ABB}"/>
            </c:ext>
          </c:extLst>
        </c:ser>
        <c:ser>
          <c:idx val="1"/>
          <c:order val="1"/>
          <c:tx>
            <c:strRef>
              <c:f>'Cuerpos Acad'!$Z$137</c:f>
              <c:strCache>
                <c:ptCount val="1"/>
                <c:pt idx="0">
                  <c:v>CAEC: Cuerpos Académicos en Consolidación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3.728638133026847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49-4442-A7EA-521435B61ABB}"/>
                </c:ext>
              </c:extLst>
            </c:dLbl>
            <c:dLbl>
              <c:idx val="1"/>
              <c:layout>
                <c:manualLayout>
                  <c:x val="4.971517510702441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49-4442-A7EA-521435B61ABB}"/>
                </c:ext>
              </c:extLst>
            </c:dLbl>
            <c:dLbl>
              <c:idx val="2"/>
              <c:layout>
                <c:manualLayout>
                  <c:x val="4.9715175107024412E-3"/>
                  <c:y val="-1.3120468062591815E-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49-4442-A7EA-521435B61ABB}"/>
                </c:ext>
              </c:extLst>
            </c:dLbl>
            <c:dLbl>
              <c:idx val="3"/>
              <c:layout>
                <c:manualLayout>
                  <c:x val="7.45727626605365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49-4442-A7EA-521435B61ABB}"/>
                </c:ext>
              </c:extLst>
            </c:dLbl>
            <c:dLbl>
              <c:idx val="4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49-4442-A7EA-521435B61ABB}"/>
                </c:ext>
              </c:extLst>
            </c:dLbl>
            <c:dLbl>
              <c:idx val="5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49-4442-A7EA-521435B61ABB}"/>
                </c:ext>
              </c:extLst>
            </c:dLbl>
            <c:dLbl>
              <c:idx val="6"/>
              <c:layout>
                <c:manualLayout>
                  <c:x val="4.971517510702463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49-4442-A7EA-521435B61ABB}"/>
                </c:ext>
              </c:extLst>
            </c:dLbl>
            <c:dLbl>
              <c:idx val="7"/>
              <c:layout>
                <c:manualLayout>
                  <c:x val="3.7286381330267565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49-4442-A7EA-521435B61ABB}"/>
                </c:ext>
              </c:extLst>
            </c:dLbl>
            <c:dLbl>
              <c:idx val="8"/>
              <c:layout>
                <c:manualLayout>
                  <c:x val="3.728638133026756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49-4442-A7EA-521435B61ABB}"/>
                </c:ext>
              </c:extLst>
            </c:dLbl>
            <c:dLbl>
              <c:idx val="9"/>
              <c:layout>
                <c:manualLayout>
                  <c:x val="7.4572762660536952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49-4442-A7EA-521435B61ABB}"/>
                </c:ext>
              </c:extLst>
            </c:dLbl>
            <c:dLbl>
              <c:idx val="10"/>
              <c:layout>
                <c:manualLayout>
                  <c:x val="7.457276266053695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49-4442-A7EA-521435B61ABB}"/>
                </c:ext>
              </c:extLst>
            </c:dLbl>
            <c:dLbl>
              <c:idx val="11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49-4442-A7EA-521435B61ABB}"/>
                </c:ext>
              </c:extLst>
            </c:dLbl>
            <c:dLbl>
              <c:idx val="12"/>
              <c:layout>
                <c:manualLayout>
                  <c:x val="6.214396888377896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49-4442-A7EA-521435B61ABB}"/>
                </c:ext>
              </c:extLst>
            </c:dLbl>
            <c:dLbl>
              <c:idx val="13"/>
              <c:layout>
                <c:manualLayout>
                  <c:x val="7.4572762660536952E-3"/>
                  <c:y val="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49-4442-A7EA-521435B61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('Cuerpos Acad'!$C$37,'Cuerpos Acad'!$G$37,'Cuerpos Acad'!$K$37,'Cuerpos Acad'!$O$37,'Cuerpos Acad'!$S$37,'Cuerpos Acad'!$W$37,'Cuerpos Acad'!$AA$37,'Cuerpos Acad'!$AE$37,'Cuerpos Acad'!$AI$37,'Cuerpos Acad'!$AM$37,'Cuerpos Acad'!$AQ$37,'Cuerpos Acad'!$AU$37,'Cuerpos Acad'!$AY$37,'Cuerpos Acad'!$BC$37,'Cuerpos Acad'!$BG$37)</c:f>
              <c:numCache>
                <c:formatCode>General</c:formatCode>
                <c:ptCount val="15"/>
                <c:pt idx="0">
                  <c:v>44</c:v>
                </c:pt>
                <c:pt idx="1">
                  <c:v>54</c:v>
                </c:pt>
                <c:pt idx="2">
                  <c:v>53</c:v>
                </c:pt>
                <c:pt idx="3">
                  <c:v>71</c:v>
                </c:pt>
                <c:pt idx="4">
                  <c:v>85</c:v>
                </c:pt>
                <c:pt idx="5">
                  <c:v>87</c:v>
                </c:pt>
                <c:pt idx="6">
                  <c:v>99</c:v>
                </c:pt>
                <c:pt idx="7">
                  <c:v>111</c:v>
                </c:pt>
                <c:pt idx="8">
                  <c:v>112</c:v>
                </c:pt>
                <c:pt idx="9">
                  <c:v>99</c:v>
                </c:pt>
                <c:pt idx="10">
                  <c:v>96</c:v>
                </c:pt>
                <c:pt idx="11">
                  <c:v>92</c:v>
                </c:pt>
                <c:pt idx="12">
                  <c:v>81</c:v>
                </c:pt>
                <c:pt idx="13">
                  <c:v>83</c:v>
                </c:pt>
                <c:pt idx="14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549-4442-A7EA-521435B61ABB}"/>
            </c:ext>
          </c:extLst>
        </c:ser>
        <c:ser>
          <c:idx val="2"/>
          <c:order val="2"/>
          <c:tx>
            <c:strRef>
              <c:f>'Cuerpos Acad'!$Z$138</c:f>
              <c:strCache>
                <c:ptCount val="1"/>
                <c:pt idx="0">
                  <c:v>CAEF: Cuerpos Academicos en Formación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scene3d>
              <a:camera prst="orthographicFront"/>
              <a:lightRig rig="threePt" dir="t"/>
            </a:scene3d>
            <a:sp3d prstMaterial="metal">
              <a:bevelT w="88900" h="38100"/>
              <a:bevelB w="88900" h="38100"/>
              <a:contourClr>
                <a:srgbClr val="000000"/>
              </a:contourClr>
            </a:sp3d>
          </c:spPr>
          <c:invertIfNegative val="0"/>
          <c:dLbls>
            <c:dLbl>
              <c:idx val="0"/>
              <c:layout>
                <c:manualLayout>
                  <c:x val="5.1435919417059661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49-4442-A7EA-521435B61ABB}"/>
                </c:ext>
              </c:extLst>
            </c:dLbl>
            <c:dLbl>
              <c:idx val="1"/>
              <c:layout>
                <c:manualLayout>
                  <c:x val="5.143591941705973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49-4442-A7EA-521435B61ABB}"/>
                </c:ext>
              </c:extLst>
            </c:dLbl>
            <c:dLbl>
              <c:idx val="2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49-4442-A7EA-521435B61ABB}"/>
                </c:ext>
              </c:extLst>
            </c:dLbl>
            <c:dLbl>
              <c:idx val="3"/>
              <c:layout>
                <c:manualLayout>
                  <c:x val="6.8581225889412772E-3"/>
                  <c:y val="4.571138076414139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49-4442-A7EA-521435B61ABB}"/>
                </c:ext>
              </c:extLst>
            </c:dLbl>
            <c:dLbl>
              <c:idx val="4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49-4442-A7EA-521435B61ABB}"/>
                </c:ext>
              </c:extLst>
            </c:dLbl>
            <c:dLbl>
              <c:idx val="5"/>
              <c:layout>
                <c:manualLayout>
                  <c:x val="5.1435919417059583E-3"/>
                  <c:y val="-4.98675369009956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49-4442-A7EA-521435B61ABB}"/>
                </c:ext>
              </c:extLst>
            </c:dLbl>
            <c:dLbl>
              <c:idx val="6"/>
              <c:layout>
                <c:manualLayout>
                  <c:x val="5.1435919417059583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49-4442-A7EA-521435B61ABB}"/>
                </c:ext>
              </c:extLst>
            </c:dLbl>
            <c:dLbl>
              <c:idx val="7"/>
              <c:layout>
                <c:manualLayout>
                  <c:x val="1.028718388341191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49-4442-A7EA-521435B61ABB}"/>
                </c:ext>
              </c:extLst>
            </c:dLbl>
            <c:dLbl>
              <c:idx val="8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49-4442-A7EA-521435B61ABB}"/>
                </c:ext>
              </c:extLst>
            </c:dLbl>
            <c:dLbl>
              <c:idx val="9"/>
              <c:layout>
                <c:manualLayout>
                  <c:x val="5.143591941705958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49-4442-A7EA-521435B61ABB}"/>
                </c:ext>
              </c:extLst>
            </c:dLbl>
            <c:dLbl>
              <c:idx val="10"/>
              <c:layout>
                <c:manualLayout>
                  <c:x val="8.572653236176596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49-4442-A7EA-521435B61ABB}"/>
                </c:ext>
              </c:extLst>
            </c:dLbl>
            <c:dLbl>
              <c:idx val="11"/>
              <c:layout>
                <c:manualLayout>
                  <c:x val="6.8581225889414029E-3"/>
                  <c:y val="-2.493376845049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49-4442-A7EA-521435B61ABB}"/>
                </c:ext>
              </c:extLst>
            </c:dLbl>
            <c:dLbl>
              <c:idx val="12"/>
              <c:layout>
                <c:manualLayout>
                  <c:x val="6.2143968883780799E-3"/>
                  <c:y val="-6.5602340312959074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49-4442-A7EA-521435B61ABB}"/>
                </c:ext>
              </c:extLst>
            </c:dLbl>
            <c:dLbl>
              <c:idx val="13"/>
              <c:layout>
                <c:manualLayout>
                  <c:x val="8.700155643729312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49-4442-A7EA-521435B61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Acad'!$Z$42:$Z$56</c:f>
              <c:numCache>
                <c:formatCode>General</c:formatCode>
                <c:ptCount val="15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</c:numCache>
            </c:numRef>
          </c:cat>
          <c:val>
            <c:numRef>
              <c:f>('Cuerpos Acad'!$D$37,'Cuerpos Acad'!$H$37,'Cuerpos Acad'!$L$37,'Cuerpos Acad'!$P$37,'Cuerpos Acad'!$T$37,'Cuerpos Acad'!$X$37,'Cuerpos Acad'!$AB$37,'Cuerpos Acad'!$AF$37,'Cuerpos Acad'!$AJ$37,'Cuerpos Acad'!$AN$37,'Cuerpos Acad'!$AR$37,'Cuerpos Acad'!$AV$37,'Cuerpos Acad'!$AZ$37,'Cuerpos Acad'!$BD$37,'Cuerpos Acad'!$BH$37)</c:f>
              <c:numCache>
                <c:formatCode>General</c:formatCode>
                <c:ptCount val="15"/>
                <c:pt idx="0">
                  <c:v>154</c:v>
                </c:pt>
                <c:pt idx="1">
                  <c:v>178</c:v>
                </c:pt>
                <c:pt idx="2">
                  <c:v>192</c:v>
                </c:pt>
                <c:pt idx="3">
                  <c:v>171</c:v>
                </c:pt>
                <c:pt idx="4">
                  <c:v>163</c:v>
                </c:pt>
                <c:pt idx="5">
                  <c:v>165</c:v>
                </c:pt>
                <c:pt idx="6">
                  <c:v>146</c:v>
                </c:pt>
                <c:pt idx="7">
                  <c:v>93</c:v>
                </c:pt>
                <c:pt idx="8">
                  <c:v>102</c:v>
                </c:pt>
                <c:pt idx="9">
                  <c:v>107</c:v>
                </c:pt>
                <c:pt idx="10">
                  <c:v>105</c:v>
                </c:pt>
                <c:pt idx="11">
                  <c:v>101</c:v>
                </c:pt>
                <c:pt idx="12">
                  <c:v>111</c:v>
                </c:pt>
                <c:pt idx="13">
                  <c:v>112</c:v>
                </c:pt>
                <c:pt idx="14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549-4442-A7EA-521435B61A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cylinder"/>
        <c:axId val="141417856"/>
        <c:axId val="141104256"/>
        <c:axId val="0"/>
      </c:bar3DChart>
      <c:catAx>
        <c:axId val="1414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41104256"/>
        <c:crosses val="autoZero"/>
        <c:auto val="1"/>
        <c:lblAlgn val="ctr"/>
        <c:lblOffset val="100"/>
        <c:noMultiLvlLbl val="0"/>
      </c:catAx>
      <c:valAx>
        <c:axId val="141104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4141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1373048452861722E-2"/>
          <c:y val="0.9558272153491485"/>
          <c:w val="0.95743373108325747"/>
          <c:h val="4.3141053332103253E-2"/>
        </c:manualLayout>
      </c:layout>
      <c:overlay val="0"/>
      <c:txPr>
        <a:bodyPr/>
        <a:lstStyle/>
        <a:p>
          <a:pPr>
            <a:defRPr sz="105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962344476241452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Acad'!$AD$6,'Cuerpos Acad'!$AH$6,'Cuerpos Acad'!$AL$6,'Cuerpos Acad'!$AP$6,'Cuerpos Acad'!$AT$6)</c:f>
              <c:numCache>
                <c:formatCode>General</c:formatCode>
                <c:ptCount val="5"/>
                <c:pt idx="0">
                  <c:v>6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7-4CB5-8A9B-1368D539E2B9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5.0312192065534805E-2"/>
                  <c:y val="1.0080422443401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47-4CB5-8A9B-1368D539E2B9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47-4CB5-8A9B-1368D539E2B9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47-4CB5-8A9B-1368D539E2B9}"/>
                </c:ext>
              </c:extLst>
            </c:dLbl>
            <c:dLbl>
              <c:idx val="4"/>
              <c:layout>
                <c:manualLayout>
                  <c:x val="-4.1263428069984523E-2"/>
                  <c:y val="-3.81123283212309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Acad'!$AE$6,'Cuerpos Acad'!$AI$6,'Cuerpos Acad'!$AM$6,'Cuerpos Acad'!$AQ$6,'Cuerpos Acad'!$AU$6)</c:f>
              <c:numCache>
                <c:formatCode>General</c:formatCode>
                <c:ptCount val="5"/>
                <c:pt idx="0">
                  <c:v>12</c:v>
                </c:pt>
                <c:pt idx="1">
                  <c:v>9</c:v>
                </c:pt>
                <c:pt idx="2">
                  <c:v>11</c:v>
                </c:pt>
                <c:pt idx="3">
                  <c:v>11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47-4CB5-8A9B-1368D539E2B9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47-4CB5-8A9B-1368D539E2B9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47-4CB5-8A9B-1368D539E2B9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47-4CB5-8A9B-1368D539E2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Acad'!$AF$6,'Cuerpos Acad'!$AJ$6,'Cuerpos Acad'!$AN$6,'Cuerpos Acad'!$AR$6,'Cuerpos Acad'!$AV$6)</c:f>
              <c:numCache>
                <c:formatCode>General</c:formatCode>
                <c:ptCount val="5"/>
                <c:pt idx="0">
                  <c:v>12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47-4CB5-8A9B-1368D539E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58752"/>
        <c:axId val="141260288"/>
      </c:lineChart>
      <c:catAx>
        <c:axId val="14125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1260288"/>
        <c:crosses val="autoZero"/>
        <c:auto val="1"/>
        <c:lblAlgn val="ctr"/>
        <c:lblOffset val="100"/>
        <c:noMultiLvlLbl val="0"/>
      </c:catAx>
      <c:valAx>
        <c:axId val="141260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12587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5744688755932178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9866089084489518E-2"/>
          <c:w val="0.93302893538298992"/>
          <c:h val="0.66336372751321193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Acad'!$AD$7,'Cuerpos Acad'!$AH$7,'Cuerpos Acad'!$AL$7,'Cuerpos Acad'!$AP$7,'Cuerpos Acad'!$AT$7)</c:f>
              <c:numCache>
                <c:formatCode>General</c:formatCode>
                <c:ptCount val="5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47-4C9D-88B9-839674768AE3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4"/>
              <c:layout>
                <c:manualLayout>
                  <c:x val="-4.4307567370757597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Acad'!$AE$7,'Cuerpos Acad'!$AI$7,'Cuerpos Acad'!$AM$7,'Cuerpos Acad'!$AQ$7,'Cuerpos Acad'!$AU$7)</c:f>
              <c:numCache>
                <c:formatCode>General</c:formatCode>
                <c:ptCount val="5"/>
                <c:pt idx="0">
                  <c:v>16</c:v>
                </c:pt>
                <c:pt idx="1">
                  <c:v>17</c:v>
                </c:pt>
                <c:pt idx="2">
                  <c:v>15</c:v>
                </c:pt>
                <c:pt idx="3">
                  <c:v>15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47-4C9D-88B9-839674768AE3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47-4C9D-88B9-839674768A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Acad'!$AF$7,'Cuerpos Acad'!$AJ$7,'Cuerpos Acad'!$AN$7,'Cuerpos Acad'!$AR$7,'Cuerpos Acad'!$AV$7)</c:f>
              <c:numCache>
                <c:formatCode>General</c:formatCode>
                <c:ptCount val="5"/>
                <c:pt idx="0">
                  <c:v>12</c:v>
                </c:pt>
                <c:pt idx="1">
                  <c:v>11</c:v>
                </c:pt>
                <c:pt idx="2">
                  <c:v>9</c:v>
                </c:pt>
                <c:pt idx="3">
                  <c:v>10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47-4C9D-88B9-83967476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57664"/>
        <c:axId val="141467648"/>
      </c:lineChart>
      <c:catAx>
        <c:axId val="14145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1467648"/>
        <c:crosses val="autoZero"/>
        <c:auto val="1"/>
        <c:lblAlgn val="ctr"/>
        <c:lblOffset val="100"/>
        <c:noMultiLvlLbl val="0"/>
      </c:catAx>
      <c:valAx>
        <c:axId val="141467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14576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Admitidos</a:t>
            </a:r>
            <a:r>
              <a:rPr lang="es-MX" sz="1400" baseline="0"/>
              <a:t> por género</a:t>
            </a:r>
            <a:endParaRPr lang="es-MX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1.1734505428710223E-2"/>
          <c:y val="3.0676519039800801E-2"/>
          <c:w val="0.96773011007104692"/>
          <c:h val="0.92100434026160272"/>
        </c:manualLayout>
      </c:layout>
      <c:lineChart>
        <c:grouping val="standard"/>
        <c:varyColors val="0"/>
        <c:ser>
          <c:idx val="0"/>
          <c:order val="0"/>
          <c:tx>
            <c:strRef>
              <c:f>'Admitidos x gen'!$D$5</c:f>
              <c:strCache>
                <c:ptCount val="1"/>
                <c:pt idx="0">
                  <c:v>Femenino</c:v>
                </c:pt>
              </c:strCache>
            </c:strRef>
          </c:tx>
          <c:spPr>
            <a:ln w="19050">
              <a:solidFill>
                <a:schemeClr val="accent5"/>
              </a:solidFill>
            </a:ln>
          </c:spPr>
          <c:marker>
            <c:symbol val="diamond"/>
            <c:size val="5"/>
            <c:spPr>
              <a:noFill/>
              <a:ln>
                <a:solidFill>
                  <a:schemeClr val="accent5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5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x gen'!$V$44:$V$52,'Admitidos x gen'!$V$53)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('Admitidos x gen'!$D$38,'Admitidos x gen'!$G$38,'Admitidos x gen'!$J$38,'Admitidos x gen'!$M$38,'Admitidos x gen'!$P$38,'Admitidos x gen'!$S$38,'Admitidos x gen'!$V$38,'Admitidos x gen'!$Y$38,'Admitidos x gen'!$AB$38,'Admitidos x gen'!$AE$38)</c:f>
              <c:numCache>
                <c:formatCode>#,##0</c:formatCode>
                <c:ptCount val="10"/>
                <c:pt idx="0">
                  <c:v>5343.5980516834088</c:v>
                </c:pt>
                <c:pt idx="1">
                  <c:v>5544.06258443759</c:v>
                </c:pt>
                <c:pt idx="2">
                  <c:v>5912</c:v>
                </c:pt>
                <c:pt idx="3">
                  <c:v>5878</c:v>
                </c:pt>
                <c:pt idx="4">
                  <c:v>5723</c:v>
                </c:pt>
                <c:pt idx="5">
                  <c:v>5871</c:v>
                </c:pt>
                <c:pt idx="6">
                  <c:v>5699</c:v>
                </c:pt>
                <c:pt idx="7">
                  <c:v>5845</c:v>
                </c:pt>
                <c:pt idx="8">
                  <c:v>6379</c:v>
                </c:pt>
                <c:pt idx="9">
                  <c:v>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B-4CE7-B5A5-DA26BC8AFD67}"/>
            </c:ext>
          </c:extLst>
        </c:ser>
        <c:ser>
          <c:idx val="1"/>
          <c:order val="1"/>
          <c:tx>
            <c:strRef>
              <c:f>'Admitidos x gen'!$E$5</c:f>
              <c:strCache>
                <c:ptCount val="1"/>
                <c:pt idx="0">
                  <c:v>Masculino</c:v>
                </c:pt>
              </c:strCache>
            </c:strRef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quare"/>
            <c:size val="5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x gen'!$V$44:$V$52,'Admitidos x gen'!$V$53)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('Admitidos x gen'!$E$38,'Admitidos x gen'!$H$38,'Admitidos x gen'!$K$38,'Admitidos x gen'!$N$38,'Admitidos x gen'!$Q$38,'Admitidos x gen'!$T$38,'Admitidos x gen'!$W$38,'Admitidos x gen'!$Z$38,'Admitidos x gen'!$AC$38,'Admitidos x gen'!$AF$38)</c:f>
              <c:numCache>
                <c:formatCode>#,##0</c:formatCode>
                <c:ptCount val="10"/>
                <c:pt idx="0">
                  <c:v>6360.4019483165912</c:v>
                </c:pt>
                <c:pt idx="1">
                  <c:v>6305.9374155624091</c:v>
                </c:pt>
                <c:pt idx="2">
                  <c:v>6735</c:v>
                </c:pt>
                <c:pt idx="3">
                  <c:v>6835</c:v>
                </c:pt>
                <c:pt idx="4">
                  <c:v>6504</c:v>
                </c:pt>
                <c:pt idx="5">
                  <c:v>6539</c:v>
                </c:pt>
                <c:pt idx="6">
                  <c:v>6212</c:v>
                </c:pt>
                <c:pt idx="7">
                  <c:v>6240</c:v>
                </c:pt>
                <c:pt idx="8">
                  <c:v>6567</c:v>
                </c:pt>
                <c:pt idx="9">
                  <c:v>6634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B-4CE7-B5A5-DA26BC8AFD67}"/>
            </c:ext>
          </c:extLst>
        </c:ser>
        <c:ser>
          <c:idx val="2"/>
          <c:order val="2"/>
          <c:tx>
            <c:strRef>
              <c:f>'Admitidos x gen'!$F$5</c:f>
              <c:strCache>
                <c:ptCount val="1"/>
                <c:pt idx="0">
                  <c:v>Total</c:v>
                </c:pt>
              </c:strCache>
            </c:strRef>
          </c:tx>
          <c:spPr>
            <a:ln w="19050">
              <a:solidFill>
                <a:schemeClr val="tx1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('Admitidos x gen'!$V$44:$V$52,'Admitidos x gen'!$V$53)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('Admitidos x gen'!$F$38,'Admitidos x gen'!$I$38,'Admitidos x gen'!$L$38,'Admitidos x gen'!$O$38,'Admitidos x gen'!$R$38,'Admitidos x gen'!$U$38,'Admitidos x gen'!$X$38,'Admitidos x gen'!$AA$38,'Admitidos x gen'!$AD$38,'Admitidos x gen'!$AG$38)</c:f>
              <c:numCache>
                <c:formatCode>#,##0</c:formatCode>
                <c:ptCount val="10"/>
                <c:pt idx="0">
                  <c:v>11704</c:v>
                </c:pt>
                <c:pt idx="1">
                  <c:v>11850</c:v>
                </c:pt>
                <c:pt idx="2">
                  <c:v>12647</c:v>
                </c:pt>
                <c:pt idx="3">
                  <c:v>12713</c:v>
                </c:pt>
                <c:pt idx="4">
                  <c:v>12227</c:v>
                </c:pt>
                <c:pt idx="5">
                  <c:v>12410</c:v>
                </c:pt>
                <c:pt idx="6">
                  <c:v>11911</c:v>
                </c:pt>
                <c:pt idx="7">
                  <c:v>12085</c:v>
                </c:pt>
                <c:pt idx="8">
                  <c:v>12946</c:v>
                </c:pt>
                <c:pt idx="9">
                  <c:v>13009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AB-4CE7-B5A5-DA26BC8AF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156224"/>
        <c:axId val="111178496"/>
      </c:lineChart>
      <c:catAx>
        <c:axId val="1111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1178496"/>
        <c:crosses val="autoZero"/>
        <c:auto val="1"/>
        <c:lblAlgn val="ctr"/>
        <c:lblOffset val="100"/>
        <c:noMultiLvlLbl val="0"/>
      </c:catAx>
      <c:valAx>
        <c:axId val="111178496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111156224"/>
        <c:crosses val="autoZero"/>
        <c:crossBetween val="between"/>
      </c:valAx>
      <c:spPr>
        <a:noFill/>
      </c:spPr>
    </c:plotArea>
    <c:legend>
      <c:legendPos val="l"/>
      <c:layout>
        <c:manualLayout>
          <c:xMode val="edge"/>
          <c:yMode val="edge"/>
          <c:x val="0.78045636585887856"/>
          <c:y val="0.728921433048209"/>
          <c:w val="0.11768276780947967"/>
          <c:h val="0.13478085785211916"/>
        </c:manualLayout>
      </c:layout>
      <c:overlay val="1"/>
      <c:txPr>
        <a:bodyPr/>
        <a:lstStyle/>
        <a:p>
          <a:pPr>
            <a:defRPr sz="12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CAD</a:t>
            </a:r>
          </a:p>
        </c:rich>
      </c:tx>
      <c:layout>
        <c:manualLayout>
          <c:xMode val="edge"/>
          <c:yMode val="edge"/>
          <c:x val="0.46353516616086815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593033933936719"/>
          <c:w val="0.93302893538298992"/>
          <c:h val="0.64729947725833425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Acad'!$AD$8,'Cuerpos Acad'!$AH$8,'Cuerpos Acad'!$AL$8,'Cuerpos Acad'!$AP$8,'Cuerpos Acad'!$AT$8)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1-4949-A4F4-CD74D61089F2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Acad'!$AE$8,'Cuerpos Acad'!$AI$8,'Cuerpos Acad'!$AM$8,'Cuerpos Acad'!$AQ$8,'Cuerpos Acad'!$AU$8)</c:f>
              <c:numCache>
                <c:formatCode>General</c:formatCode>
                <c:ptCount val="5"/>
                <c:pt idx="0">
                  <c:v>4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1-4949-A4F4-CD74D61089F2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Acad'!$AF$8,'Cuerpos Acad'!$AJ$8,'Cuerpos Acad'!$AN$8,'Cuerpos Acad'!$AR$8,'Cuerpos Acad'!$AV$8)</c:f>
              <c:numCache>
                <c:formatCode>General</c:formatCode>
                <c:ptCount val="5"/>
                <c:pt idx="0">
                  <c:v>12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1-4949-A4F4-CD74D610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4832"/>
        <c:axId val="143226368"/>
      </c:lineChart>
      <c:catAx>
        <c:axId val="143224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226368"/>
        <c:crosses val="autoZero"/>
        <c:auto val="1"/>
        <c:lblAlgn val="ctr"/>
        <c:lblOffset val="100"/>
        <c:noMultiLvlLbl val="0"/>
      </c:catAx>
      <c:valAx>
        <c:axId val="143226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2248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CD032E"/>
                </a:solidFill>
              </a:defRPr>
            </a:pPr>
            <a:r>
              <a:rPr lang="es-MX" sz="1200">
                <a:solidFill>
                  <a:srgbClr val="CD032E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0.11057558925440797"/>
          <c:w val="0.93302893538298992"/>
          <c:h val="0.65265422734329348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Acad'!$AD$9,'Cuerpos Acad'!$AH$9,'Cuerpos Acad'!$AL$9,'Cuerpos Acad'!$AP$9,'Cuerpos Acad'!$AT$9)</c:f>
              <c:numCache>
                <c:formatCode>General</c:formatCode>
                <c:ptCount val="5"/>
                <c:pt idx="0">
                  <c:v>13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A6-4DCB-A2EE-90ACD641A959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Acad'!$AE$9,'Cuerpos Acad'!$AI$9,'Cuerpos Acad'!$AM$9,'Cuerpos Acad'!$AQ$9,'Cuerpos Acad'!$AU$9)</c:f>
              <c:numCache>
                <c:formatCode>General</c:formatCode>
                <c:ptCount val="5"/>
                <c:pt idx="0">
                  <c:v>32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A6-4DCB-A2EE-90ACD641A959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Acad'!$AF$9,'Cuerpos Acad'!$AJ$9,'Cuerpos Acad'!$AN$9,'Cuerpos Acad'!$AR$9,'Cuerpos Acad'!$AV$9)</c:f>
              <c:numCache>
                <c:formatCode>General</c:formatCode>
                <c:ptCount val="5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35</c:v>
                </c:pt>
                <c:pt idx="4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A6-4DCB-A2EE-90ACD641A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71424"/>
        <c:axId val="143272960"/>
      </c:lineChart>
      <c:catAx>
        <c:axId val="1432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272960"/>
        <c:crosses val="autoZero"/>
        <c:auto val="1"/>
        <c:lblAlgn val="ctr"/>
        <c:lblOffset val="100"/>
        <c:noMultiLvlLbl val="0"/>
      </c:catAx>
      <c:valAx>
        <c:axId val="143272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27142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Acad'!$AD$11,'Cuerpos Acad'!$AH$11,'Cuerpos Acad'!$AL$11,'Cuerpos Acad'!$AP$11,'Cuerpos Acad'!$AT$11)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7-4A77-AB50-032237BEE44D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87-4A77-AB50-032237BEE44D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87-4A77-AB50-032237BEE44D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87-4A77-AB50-032237BEE44D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Acad'!$AE$11,'Cuerpos Acad'!$AI$11,'Cuerpos Acad'!$AM$11,'Cuerpos Acad'!$AQ$11,'Cuerpos Acad'!$AU$11)</c:f>
              <c:numCache>
                <c:formatCode>General</c:formatCode>
                <c:ptCount val="5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B87-4A77-AB50-032237BEE44D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87-4A77-AB50-032237BEE44D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87-4A77-AB50-032237BEE44D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87-4A77-AB50-032237BEE4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Acad'!$AF$11,'Cuerpos Acad'!$AJ$11,'Cuerpos Acad'!$AN$11,'Cuerpos Acad'!$AR$11,'Cuerpos Acad'!$AV$11)</c:f>
              <c:numCache>
                <c:formatCode>General</c:formatCode>
                <c:ptCount val="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87-4A77-AB50-032237BEE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01632"/>
        <c:axId val="143085568"/>
      </c:lineChart>
      <c:catAx>
        <c:axId val="1433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085568"/>
        <c:crosses val="autoZero"/>
        <c:auto val="1"/>
        <c:lblAlgn val="ctr"/>
        <c:lblOffset val="100"/>
        <c:noMultiLvlLbl val="0"/>
      </c:catAx>
      <c:valAx>
        <c:axId val="143085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30163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CCD</a:t>
            </a:r>
          </a:p>
        </c:rich>
      </c:tx>
      <c:layout>
        <c:manualLayout>
          <c:xMode val="edge"/>
          <c:yMode val="edge"/>
          <c:x val="0.46657930546164134"/>
          <c:y val="1.13815845506605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Acad'!$AD$12,'Cuerpos Acad'!$AH$12,'Cuerpos Acad'!$AL$12,'Cuerpos Acad'!$AP$12,'Cuerpos Acad'!$AT$12)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C2-482F-902A-8658AE64C12C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C2-482F-902A-8658AE64C12C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C2-482F-902A-8658AE64C12C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C2-482F-902A-8658AE64C12C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Acad'!$AE$12,'Cuerpos Acad'!$AI$12,'Cuerpos Acad'!$AM$12,'Cuerpos Acad'!$AQ$12,'Cuerpos Acad'!$AU$12)</c:f>
              <c:numCache>
                <c:formatCode>General</c:formatCode>
                <c:ptCount val="5"/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C2-482F-902A-8658AE64C12C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C2-482F-902A-8658AE64C12C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C2-482F-902A-8658AE64C12C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C2-482F-902A-8658AE64C1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Acad'!$AF$12,'Cuerpos Acad'!$AJ$12,'Cuerpos Acad'!$AN$12,'Cuerpos Acad'!$AR$12,'Cuerpos Acad'!$AV$12)</c:f>
              <c:numCache>
                <c:formatCode>General</c:formatCode>
                <c:ptCount val="5"/>
                <c:pt idx="0">
                  <c:v>4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C2-482F-902A-8658AE64C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5984"/>
        <c:axId val="143168256"/>
      </c:lineChart>
      <c:catAx>
        <c:axId val="1431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168256"/>
        <c:crosses val="autoZero"/>
        <c:auto val="1"/>
        <c:lblAlgn val="ctr"/>
        <c:lblOffset val="100"/>
        <c:noMultiLvlLbl val="0"/>
      </c:catAx>
      <c:valAx>
        <c:axId val="143168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14598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CNI</a:t>
            </a:r>
          </a:p>
        </c:rich>
      </c:tx>
      <c:layout>
        <c:manualLayout>
          <c:xMode val="edge"/>
          <c:yMode val="edge"/>
          <c:x val="0.46049102686009497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Acad'!$AD$13,'Cuerpos Acad'!$AH$13,'Cuerpos Acad'!$AL$13,'Cuerpos Acad'!$AP$13,'Cuerpos Acad'!$AT$13)</c:f>
              <c:numCache>
                <c:formatCode>General</c:formatCode>
                <c:ptCount val="5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61-4631-B4E6-7E5B22D5E5C5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61-4631-B4E6-7E5B22D5E5C5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61-4631-B4E6-7E5B22D5E5C5}"/>
                </c:ext>
              </c:extLst>
            </c:dLbl>
            <c:dLbl>
              <c:idx val="3"/>
              <c:layout>
                <c:manualLayout>
                  <c:x val="-4.4307567370757708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61-4631-B4E6-7E5B22D5E5C5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Acad'!$AE$13,'Cuerpos Acad'!$AI$13,'Cuerpos Acad'!$AM$13,'Cuerpos Acad'!$AQ$13,'Cuerpos Acad'!$AU$13)</c:f>
              <c:numCache>
                <c:formatCode>General</c:formatCode>
                <c:ptCount val="5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61-4631-B4E6-7E5B22D5E5C5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61-4631-B4E6-7E5B22D5E5C5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61-4631-B4E6-7E5B22D5E5C5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61-4631-B4E6-7E5B22D5E5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Acad'!$AF$13,'Cuerpos Acad'!$AJ$13,'Cuerpos Acad'!$AN$13,'Cuerpos Acad'!$AR$13,'Cuerpos Acad'!$AV$13)</c:f>
              <c:numCache>
                <c:formatCode>General</c:formatCode>
                <c:ptCount val="5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161-4631-B4E6-7E5B22D5E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18048"/>
        <c:axId val="143619584"/>
      </c:lineChart>
      <c:catAx>
        <c:axId val="1436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619584"/>
        <c:crosses val="autoZero"/>
        <c:auto val="1"/>
        <c:lblAlgn val="ctr"/>
        <c:lblOffset val="100"/>
        <c:noMultiLvlLbl val="0"/>
      </c:catAx>
      <c:valAx>
        <c:axId val="143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61804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F08200"/>
                </a:solidFill>
              </a:defRPr>
            </a:pPr>
            <a:r>
              <a:rPr lang="es-MX" sz="1200">
                <a:solidFill>
                  <a:srgbClr val="F08200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5135860895777541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Acad'!$AD$14,'Cuerpos Acad'!$AH$14,'Cuerpos Acad'!$AL$14,'Cuerpos Acad'!$AP$14,'Cuerpos Acad'!$AT$14)</c:f>
              <c:numCache>
                <c:formatCode>General</c:formatCode>
                <c:ptCount val="5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8D7-AA92-9E263C31E89F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Acad'!$AE$14,'Cuerpos Acad'!$AI$14,'Cuerpos Acad'!$AM$14,'Cuerpos Acad'!$AQ$14,'Cuerpos Acad'!$AU$14)</c:f>
              <c:numCache>
                <c:formatCode>General</c:formatCode>
                <c:ptCount val="5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8D7-AA92-9E263C31E89F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3.5175149468438145E-2"/>
                  <c:y val="4.346707840619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B4-48D7-AA92-9E263C31E89F}"/>
                </c:ext>
              </c:extLst>
            </c:dLbl>
            <c:dLbl>
              <c:idx val="3"/>
              <c:layout>
                <c:manualLayout>
                  <c:x val="-2.9003216960122494E-2"/>
                  <c:y val="-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B4-48D7-AA92-9E263C31E89F}"/>
                </c:ext>
              </c:extLst>
            </c:dLbl>
            <c:dLbl>
              <c:idx val="4"/>
              <c:layout>
                <c:manualLayout>
                  <c:x val="-2.9003216960122494E-2"/>
                  <c:y val="-3.6854172868198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B4-48D7-AA92-9E263C31E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Acad'!$AF$14,'Cuerpos Acad'!$AJ$14,'Cuerpos Acad'!$AN$14,'Cuerpos Acad'!$AR$14,'Cuerpos Acad'!$AV$14)</c:f>
              <c:numCache>
                <c:formatCode>General</c:formatCode>
                <c:ptCount val="5"/>
                <c:pt idx="0">
                  <c:v>14</c:v>
                </c:pt>
                <c:pt idx="1">
                  <c:v>19</c:v>
                </c:pt>
                <c:pt idx="2">
                  <c:v>21</c:v>
                </c:pt>
                <c:pt idx="3">
                  <c:v>20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BB4-48D7-AA92-9E263C31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5408"/>
        <c:axId val="143675392"/>
      </c:lineChart>
      <c:catAx>
        <c:axId val="1436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675392"/>
        <c:crosses val="autoZero"/>
        <c:auto val="1"/>
        <c:lblAlgn val="ctr"/>
        <c:lblOffset val="100"/>
        <c:noMultiLvlLbl val="0"/>
      </c:catAx>
      <c:valAx>
        <c:axId val="1436753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6654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CBI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E3-4F5F-9A1B-0CAEF145735B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Acad'!$AD$16,'Cuerpos Acad'!$AH$16,'Cuerpos Acad'!$AL$16,'Cuerpos Acad'!$AP$16,'Cuerpos Acad'!$AT$16)</c:f>
              <c:numCache>
                <c:formatCode>General</c:formatCode>
                <c:ptCount val="5"/>
                <c:pt idx="0">
                  <c:v>16</c:v>
                </c:pt>
                <c:pt idx="1">
                  <c:v>16</c:v>
                </c:pt>
                <c:pt idx="2">
                  <c:v>17</c:v>
                </c:pt>
                <c:pt idx="3">
                  <c:v>17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E3-4F5F-9A1B-0CAEF145735B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3.27575782362718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E3-4F5F-9A1B-0CAEF145735B}"/>
                </c:ext>
              </c:extLst>
            </c:dLbl>
            <c:dLbl>
              <c:idx val="1"/>
              <c:layout>
                <c:manualLayout>
                  <c:x val="-3.5091495561668871E-2"/>
                  <c:y val="-5.4176578576108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E3-4F5F-9A1B-0CAEF145735B}"/>
                </c:ext>
              </c:extLst>
            </c:dLbl>
            <c:dLbl>
              <c:idx val="2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E3-4F5F-9A1B-0CAEF145735B}"/>
                </c:ext>
              </c:extLst>
            </c:dLbl>
            <c:dLbl>
              <c:idx val="3"/>
              <c:layout>
                <c:manualLayout>
                  <c:x val="-2.9086870866891774E-2"/>
                  <c:y val="2.614467269827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E3-4F5F-9A1B-0CAEF145735B}"/>
                </c:ext>
              </c:extLst>
            </c:dLbl>
            <c:dLbl>
              <c:idx val="4"/>
              <c:layout>
                <c:manualLayout>
                  <c:x val="-3.2131249863672898E-2"/>
                  <c:y val="4.22089229531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E3-4F5F-9A1B-0CAEF1457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Acad'!$AE$16,'Cuerpos Acad'!$AI$16,'Cuerpos Acad'!$AM$16,'Cuerpos Acad'!$AQ$16,'Cuerpos Acad'!$AU$16)</c:f>
              <c:numCache>
                <c:formatCode>General</c:formatCode>
                <c:ptCount val="5"/>
                <c:pt idx="0">
                  <c:v>18</c:v>
                </c:pt>
                <c:pt idx="1">
                  <c:v>19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E3-4F5F-9A1B-0CAEF145735B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Acad'!$AF$16,'Cuerpos Acad'!$AJ$16,'Cuerpos Acad'!$AN$16,'Cuerpos Acad'!$AR$16,'Cuerpos Acad'!$AV$16)</c:f>
              <c:numCache>
                <c:formatCode>General</c:formatCode>
                <c:ptCount val="5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E3-4F5F-9A1B-0CAEF1457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96864"/>
        <c:axId val="143815040"/>
      </c:lineChart>
      <c:catAx>
        <c:axId val="1437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815040"/>
        <c:crosses val="autoZero"/>
        <c:auto val="1"/>
        <c:lblAlgn val="ctr"/>
        <c:lblOffset val="100"/>
        <c:noMultiLvlLbl val="0"/>
      </c:catAx>
      <c:valAx>
        <c:axId val="143815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79686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CSH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1"/>
              <c:layout>
                <c:manualLayout>
                  <c:x val="-1.0822035062252648E-2"/>
                  <c:y val="2.6144672698279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AE-4146-885D-ED3B9D2110C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AE-4146-885D-ED3B9D2110CD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E-4146-885D-ED3B9D2110CD}"/>
                </c:ext>
              </c:extLst>
            </c:dLbl>
            <c:dLbl>
              <c:idx val="4"/>
              <c:layout>
                <c:manualLayout>
                  <c:x val="-4.1179774163215242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Acad'!$AD$17,'Cuerpos Acad'!$AH$17,'Cuerpos Acad'!$AL$17,'Cuerpos Acad'!$AP$17,'Cuerpos Acad'!$AT$17)</c:f>
              <c:numCache>
                <c:formatCode>General</c:formatCode>
                <c:ptCount val="5"/>
                <c:pt idx="0">
                  <c:v>17</c:v>
                </c:pt>
                <c:pt idx="1">
                  <c:v>12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4AE-4146-885D-ED3B9D2110CD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4.8821828491149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E-4146-885D-ED3B9D211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Acad'!$AE$17,'Cuerpos Acad'!$AI$17,'Cuerpos Acad'!$AM$17,'Cuerpos Acad'!$AQ$17,'Cuerpos Acad'!$AU$17)</c:f>
              <c:numCache>
                <c:formatCode>General</c:formatCode>
                <c:ptCount val="5"/>
                <c:pt idx="0">
                  <c:v>12</c:v>
                </c:pt>
                <c:pt idx="1">
                  <c:v>14</c:v>
                </c:pt>
                <c:pt idx="2">
                  <c:v>11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E-4146-885D-ED3B9D2110CD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Acad'!$AF$17,'Cuerpos Acad'!$AJ$17,'Cuerpos Acad'!$AN$17,'Cuerpos Acad'!$AR$17,'Cuerpos Acad'!$AV$17)</c:f>
              <c:numCache>
                <c:formatCode>General</c:formatCode>
                <c:ptCount val="5"/>
                <c:pt idx="0">
                  <c:v>3</c:v>
                </c:pt>
                <c:pt idx="1">
                  <c:v>10</c:v>
                </c:pt>
                <c:pt idx="2">
                  <c:v>9</c:v>
                </c:pt>
                <c:pt idx="3">
                  <c:v>9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AE-4146-885D-ED3B9D211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70208"/>
        <c:axId val="143888384"/>
      </c:lineChart>
      <c:catAx>
        <c:axId val="1438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888384"/>
        <c:crosses val="autoZero"/>
        <c:auto val="1"/>
        <c:lblAlgn val="ctr"/>
        <c:lblOffset val="100"/>
        <c:noMultiLvlLbl val="0"/>
      </c:catAx>
      <c:valAx>
        <c:axId val="143888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870208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CBS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Acad'!$AD$18,'Cuerpos Acad'!$AH$18,'Cuerpos Acad'!$AL$18,'Cuerpos Acad'!$AP$18,'Cuerpos Acad'!$AT$18)</c:f>
              <c:numCache>
                <c:formatCode>General</c:formatCode>
                <c:ptCount val="5"/>
                <c:pt idx="0">
                  <c:v>14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E3-409D-9463-758F860D7793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1"/>
              <c:layout>
                <c:manualLayout>
                  <c:x val="-3.5175149468438145E-2"/>
                  <c:y val="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E3-409D-9463-758F860D77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Acad'!$AE$18,'Cuerpos Acad'!$AI$18,'Cuerpos Acad'!$AM$18,'Cuerpos Acad'!$AQ$18,'Cuerpos Acad'!$AU$18)</c:f>
              <c:numCache>
                <c:formatCode>General</c:formatCode>
                <c:ptCount val="5"/>
                <c:pt idx="0">
                  <c:v>15</c:v>
                </c:pt>
                <c:pt idx="1">
                  <c:v>13</c:v>
                </c:pt>
                <c:pt idx="2">
                  <c:v>9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E3-409D-9463-758F860D7793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Acad'!$AF$18,'Cuerpos Acad'!$AJ$18,'Cuerpos Acad'!$AN$18,'Cuerpos Acad'!$AR$18,'Cuerpos Acad'!$AV$18)</c:f>
              <c:numCache>
                <c:formatCode>General</c:formatCode>
                <c:ptCount val="5"/>
                <c:pt idx="0">
                  <c:v>10</c:v>
                </c:pt>
                <c:pt idx="1">
                  <c:v>4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E3-409D-9463-758F860D7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38304"/>
        <c:axId val="143939840"/>
      </c:lineChart>
      <c:catAx>
        <c:axId val="14393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3939840"/>
        <c:crosses val="autoZero"/>
        <c:auto val="1"/>
        <c:lblAlgn val="ctr"/>
        <c:lblOffset val="100"/>
        <c:noMultiLvlLbl val="0"/>
      </c:catAx>
      <c:valAx>
        <c:axId val="1439398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3938304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solidFill>
                  <a:srgbClr val="57A519"/>
                </a:solidFill>
              </a:defRPr>
            </a:pPr>
            <a:r>
              <a:rPr lang="es-MX" sz="1200">
                <a:solidFill>
                  <a:srgbClr val="57A519"/>
                </a:solidFill>
              </a:rPr>
              <a:t>TOTAL</a:t>
            </a:r>
          </a:p>
        </c:rich>
      </c:tx>
      <c:layout>
        <c:manualLayout>
          <c:xMode val="edge"/>
          <c:yMode val="edge"/>
          <c:x val="0.46657930546164134"/>
          <c:y val="1.67363346356197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348553230850506E-2"/>
          <c:y val="9.4511338999530292E-2"/>
          <c:w val="0.93302893538298992"/>
          <c:h val="0.66871847759817116"/>
        </c:manualLayout>
      </c:layout>
      <c:lineChart>
        <c:grouping val="standard"/>
        <c:varyColors val="0"/>
        <c:ser>
          <c:idx val="0"/>
          <c:order val="0"/>
          <c:tx>
            <c:strRef>
              <c:f>'Cuerpos Acad'!$AD$4</c:f>
              <c:strCache>
                <c:ptCount val="1"/>
                <c:pt idx="0">
                  <c:v>CAC</c:v>
                </c:pt>
              </c:strCache>
            </c:strRef>
          </c:tx>
          <c:spPr>
            <a:ln w="15875">
              <a:solidFill>
                <a:schemeClr val="bg2">
                  <a:lumMod val="25000"/>
                </a:schemeClr>
              </a:solidFill>
            </a:ln>
          </c:spPr>
          <c:marker>
            <c:symbol val="diamond"/>
            <c:size val="3"/>
            <c:spPr>
              <a:noFill/>
              <a:ln>
                <a:solidFill>
                  <a:schemeClr val="bg2">
                    <a:lumMod val="2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-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02-4F73-8384-49E507925104}"/>
                </c:ext>
              </c:extLst>
            </c:dLbl>
            <c:dLbl>
              <c:idx val="2"/>
              <c:layout>
                <c:manualLayout>
                  <c:x val="-3.8219288769211338E-2"/>
                  <c:y val="-3.8112328321231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02-4F73-8384-49E507925104}"/>
                </c:ext>
              </c:extLst>
            </c:dLbl>
            <c:dLbl>
              <c:idx val="3"/>
              <c:layout>
                <c:manualLayout>
                  <c:x val="-3.5175149468438145E-2"/>
                  <c:y val="-4.3467078406190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02-4F73-8384-49E507925104}"/>
                </c:ext>
              </c:extLst>
            </c:dLbl>
            <c:dLbl>
              <c:idx val="4"/>
              <c:layout>
                <c:manualLayout>
                  <c:x val="-2.9003216960122494E-2"/>
                  <c:y val="-2.204807806635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bg2">
                        <a:lumMod val="25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Acad'!$AD$19,'Cuerpos Acad'!$AH$19,'Cuerpos Acad'!$AL$19,'Cuerpos Acad'!$AP$19,'Cuerpos Acad'!$AT$19)</c:f>
              <c:numCache>
                <c:formatCode>General</c:formatCode>
                <c:ptCount val="5"/>
                <c:pt idx="0">
                  <c:v>47</c:v>
                </c:pt>
                <c:pt idx="1">
                  <c:v>43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02-4F73-8384-49E507925104}"/>
            </c:ext>
          </c:extLst>
        </c:ser>
        <c:ser>
          <c:idx val="1"/>
          <c:order val="1"/>
          <c:tx>
            <c:strRef>
              <c:f>'Cuerpos Acad'!$AE$4</c:f>
              <c:strCache>
                <c:ptCount val="1"/>
                <c:pt idx="0">
                  <c:v>CAEC</c:v>
                </c:pt>
              </c:strCache>
            </c:strRef>
          </c:tx>
          <c:spPr>
            <a:ln w="15875">
              <a:solidFill>
                <a:srgbClr val="CC9900"/>
              </a:solidFill>
            </a:ln>
          </c:spPr>
          <c:marker>
            <c:symbol val="square"/>
            <c:size val="3"/>
            <c:spPr>
              <a:noFill/>
              <a:ln>
                <a:solidFill>
                  <a:srgbClr val="CC9900"/>
                </a:solidFill>
              </a:ln>
            </c:spPr>
          </c:marker>
          <c:dLbls>
            <c:dLbl>
              <c:idx val="0"/>
              <c:layout>
                <c:manualLayout>
                  <c:x val="-3.5175149468438145E-2"/>
                  <c:y val="5.4176578576108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02-4F73-8384-49E5079251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rgbClr val="CC9900"/>
                    </a:solidFill>
                  </a:defRPr>
                </a:pPr>
                <a:endParaRPr lang="es-419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Acad'!$AE$19,'Cuerpos Acad'!$AI$19,'Cuerpos Acad'!$AM$19,'Cuerpos Acad'!$AQ$19,'Cuerpos Acad'!$AU$19)</c:f>
              <c:numCache>
                <c:formatCode>General</c:formatCode>
                <c:ptCount val="5"/>
                <c:pt idx="0">
                  <c:v>45</c:v>
                </c:pt>
                <c:pt idx="1">
                  <c:v>46</c:v>
                </c:pt>
                <c:pt idx="2">
                  <c:v>37</c:v>
                </c:pt>
                <c:pt idx="3">
                  <c:v>36</c:v>
                </c:pt>
                <c:pt idx="4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C02-4F73-8384-49E507925104}"/>
            </c:ext>
          </c:extLst>
        </c:ser>
        <c:ser>
          <c:idx val="2"/>
          <c:order val="2"/>
          <c:tx>
            <c:strRef>
              <c:f>'Cuerpos Acad'!$AF$4</c:f>
              <c:strCache>
                <c:ptCount val="1"/>
                <c:pt idx="0">
                  <c:v>CAEF</c:v>
                </c:pt>
              </c:strCache>
            </c:strRef>
          </c:tx>
          <c:spPr>
            <a:ln w="15875">
              <a:solidFill>
                <a:schemeClr val="accent2">
                  <a:lumMod val="50000"/>
                </a:schemeClr>
              </a:solidFill>
            </a:ln>
          </c:spPr>
          <c:marker>
            <c:symbol val="circle"/>
            <c:size val="3"/>
            <c:spPr>
              <a:noFill/>
              <a:ln>
                <a:solidFill>
                  <a:schemeClr val="accent2">
                    <a:lumMod val="50000"/>
                  </a:schemeClr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es-419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'Cuerpos Acad'!$AM$45:$AM$49</c:f>
              <c:numCache>
                <c:formatCode>General</c:formatCode>
                <c:ptCount val="5"/>
              </c:numCache>
            </c:numRef>
          </c:cat>
          <c:val>
            <c:numRef>
              <c:f>('Cuerpos Acad'!$AF$19,'Cuerpos Acad'!$AJ$19,'Cuerpos Acad'!$AN$19,'Cuerpos Acad'!$AR$19,'Cuerpos Acad'!$AV$19)</c:f>
              <c:numCache>
                <c:formatCode>General</c:formatCode>
                <c:ptCount val="5"/>
                <c:pt idx="0">
                  <c:v>16</c:v>
                </c:pt>
                <c:pt idx="1">
                  <c:v>18</c:v>
                </c:pt>
                <c:pt idx="2">
                  <c:v>20</c:v>
                </c:pt>
                <c:pt idx="3">
                  <c:v>20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C02-4F73-8384-49E50792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07552"/>
        <c:axId val="144009088"/>
      </c:lineChart>
      <c:catAx>
        <c:axId val="14400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s-419"/>
          </a:p>
        </c:txPr>
        <c:crossAx val="144009088"/>
        <c:crosses val="autoZero"/>
        <c:auto val="1"/>
        <c:lblAlgn val="ctr"/>
        <c:lblOffset val="100"/>
        <c:noMultiLvlLbl val="0"/>
      </c:catAx>
      <c:valAx>
        <c:axId val="1440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4400755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701698289793479"/>
          <c:y val="0.88850481555914296"/>
          <c:w val="0.65401181102362205"/>
          <c:h val="8.3717191601049873E-2"/>
        </c:manualLayout>
      </c:layout>
      <c:overlay val="0"/>
      <c:txPr>
        <a:bodyPr/>
        <a:lstStyle/>
        <a:p>
          <a:pPr>
            <a:defRPr sz="900"/>
          </a:pPr>
          <a:endParaRPr lang="es-419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Indice!F2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Indice!B12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7" Type="http://schemas.openxmlformats.org/officeDocument/2006/relationships/hyperlink" Target="#Indice!B13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5" Type="http://schemas.openxmlformats.org/officeDocument/2006/relationships/hyperlink" Target="#Indice!B14"/><Relationship Id="rId4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Indice!B14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7" Type="http://schemas.openxmlformats.org/officeDocument/2006/relationships/hyperlink" Target="#Indice!B15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Indice!B16"/><Relationship Id="rId1" Type="http://schemas.openxmlformats.org/officeDocument/2006/relationships/chart" Target="../charts/chart3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Indice!B17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Indice!B18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ndice!B19"/><Relationship Id="rId1" Type="http://schemas.openxmlformats.org/officeDocument/2006/relationships/chart" Target="../charts/chart3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Indice!B20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chart" Target="../charts/chart33.xml"/><Relationship Id="rId6" Type="http://schemas.openxmlformats.org/officeDocument/2006/relationships/hyperlink" Target="#Indice!B21"/><Relationship Id="rId5" Type="http://schemas.openxmlformats.org/officeDocument/2006/relationships/chart" Target="../charts/chart37.xml"/><Relationship Id="rId4" Type="http://schemas.openxmlformats.org/officeDocument/2006/relationships/chart" Target="../charts/chart3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Indice!B22"/><Relationship Id="rId1" Type="http://schemas.openxmlformats.org/officeDocument/2006/relationships/chart" Target="../charts/chart38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Indice!B23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Indice!B24"/><Relationship Id="rId1" Type="http://schemas.openxmlformats.org/officeDocument/2006/relationships/chart" Target="../charts/chart39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Indice!B25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Indice!B26"/><Relationship Id="rId1" Type="http://schemas.openxmlformats.org/officeDocument/2006/relationships/chart" Target="../charts/chart4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Indice!B27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Indice!B28"/><Relationship Id="rId1" Type="http://schemas.openxmlformats.org/officeDocument/2006/relationships/chart" Target="../charts/chart4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Indice!B2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hyperlink" Target="#Indice!B30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B5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Indice!B3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Indice!B32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Indice!B33"/><Relationship Id="rId1" Type="http://schemas.openxmlformats.org/officeDocument/2006/relationships/chart" Target="../charts/chart46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Indice!B34"/><Relationship Id="rId1" Type="http://schemas.openxmlformats.org/officeDocument/2006/relationships/chart" Target="../charts/chart4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Indice!E5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Indice!E6"/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Indice!E7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Indice!E8"/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Indice!E9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Indice!E10"/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dice!B6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Indice!E1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Indice!E12"/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Indice!E13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Indice!E14"/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Indice!E15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Indice!E16"/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Indice!E17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Indice!E18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hyperlink" Target="#Indice!H5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Indice!H6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Indice!B7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hyperlink" Target="#Indice!H7"/><Relationship Id="rId1" Type="http://schemas.openxmlformats.org/officeDocument/2006/relationships/chart" Target="../charts/chart61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Indice!H8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Indice!H9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Indice!H10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Indice!H1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Indice!H12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Indice!H13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Indice!H14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Indice!H15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hyperlink" Target="#Indice!H16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Indice!B8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hyperlink" Target="#Indice!H17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hyperlink" Target="#Indice!H18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hyperlink" Target="#Indice!H19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Indice!H20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hyperlink" Target="#Indice!H21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hyperlink" Target="#Indice!H22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hyperlink" Target="#Indice!H23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hyperlink" Target="#Indice!H24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hyperlink" Target="#Indice!H25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hyperlink" Target="#Indice!H26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7" Type="http://schemas.openxmlformats.org/officeDocument/2006/relationships/hyperlink" Target="#Indice!B9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hyperlink" Target="#Indice!H28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hyperlink" Target="#Indice!H30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Indice!K5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Indice!K6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Indice!K7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4" Type="http://schemas.openxmlformats.org/officeDocument/2006/relationships/chart" Target="../charts/chart68.xml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Indice!K8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4" Type="http://schemas.openxmlformats.org/officeDocument/2006/relationships/chart" Target="../charts/chart71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Indice!K9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hyperlink" Target="#'ACTIVOS-POS uni'!Q144"/><Relationship Id="rId4" Type="http://schemas.openxmlformats.org/officeDocument/2006/relationships/chart" Target="../charts/chart74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Indice!K10"/><Relationship Id="rId1" Type="http://schemas.openxmlformats.org/officeDocument/2006/relationships/chart" Target="../charts/chart75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hyperlink" Target="#Indice!I9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hyperlink" Target="#Indice!K1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Indice!B10"/><Relationship Id="rId1" Type="http://schemas.openxmlformats.org/officeDocument/2006/relationships/chart" Target="../charts/chart9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hyperlink" Target="#Indice!K11"/><Relationship Id="rId3" Type="http://schemas.openxmlformats.org/officeDocument/2006/relationships/chart" Target="../charts/chart78.xml"/><Relationship Id="rId7" Type="http://schemas.openxmlformats.org/officeDocument/2006/relationships/chart" Target="../charts/chart82.xml"/><Relationship Id="rId2" Type="http://schemas.openxmlformats.org/officeDocument/2006/relationships/chart" Target="../charts/chart77.xml"/><Relationship Id="rId1" Type="http://schemas.openxmlformats.org/officeDocument/2006/relationships/chart" Target="../charts/chart76.xml"/><Relationship Id="rId6" Type="http://schemas.openxmlformats.org/officeDocument/2006/relationships/chart" Target="../charts/chart81.xml"/><Relationship Id="rId5" Type="http://schemas.openxmlformats.org/officeDocument/2006/relationships/chart" Target="../charts/chart80.xml"/><Relationship Id="rId4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Indice!K12"/><Relationship Id="rId1" Type="http://schemas.openxmlformats.org/officeDocument/2006/relationships/chart" Target="../charts/chart83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Indice!K12"/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Indice!K13"/><Relationship Id="rId1" Type="http://schemas.openxmlformats.org/officeDocument/2006/relationships/chart" Target="../charts/chart86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4.xml"/><Relationship Id="rId13" Type="http://schemas.openxmlformats.org/officeDocument/2006/relationships/chart" Target="../charts/chart99.xml"/><Relationship Id="rId18" Type="http://schemas.openxmlformats.org/officeDocument/2006/relationships/hyperlink" Target="#Indice!K14"/><Relationship Id="rId3" Type="http://schemas.openxmlformats.org/officeDocument/2006/relationships/chart" Target="../charts/chart89.xml"/><Relationship Id="rId7" Type="http://schemas.openxmlformats.org/officeDocument/2006/relationships/chart" Target="../charts/chart93.xml"/><Relationship Id="rId12" Type="http://schemas.openxmlformats.org/officeDocument/2006/relationships/chart" Target="../charts/chart98.xml"/><Relationship Id="rId17" Type="http://schemas.openxmlformats.org/officeDocument/2006/relationships/chart" Target="../charts/chart103.xml"/><Relationship Id="rId2" Type="http://schemas.openxmlformats.org/officeDocument/2006/relationships/chart" Target="../charts/chart88.xml"/><Relationship Id="rId16" Type="http://schemas.openxmlformats.org/officeDocument/2006/relationships/chart" Target="../charts/chart102.xml"/><Relationship Id="rId1" Type="http://schemas.openxmlformats.org/officeDocument/2006/relationships/chart" Target="../charts/chart87.xml"/><Relationship Id="rId6" Type="http://schemas.openxmlformats.org/officeDocument/2006/relationships/chart" Target="../charts/chart92.xml"/><Relationship Id="rId11" Type="http://schemas.openxmlformats.org/officeDocument/2006/relationships/chart" Target="../charts/chart97.xml"/><Relationship Id="rId5" Type="http://schemas.openxmlformats.org/officeDocument/2006/relationships/chart" Target="../charts/chart91.xml"/><Relationship Id="rId15" Type="http://schemas.openxmlformats.org/officeDocument/2006/relationships/chart" Target="../charts/chart101.xml"/><Relationship Id="rId10" Type="http://schemas.openxmlformats.org/officeDocument/2006/relationships/chart" Target="../charts/chart96.xml"/><Relationship Id="rId4" Type="http://schemas.openxmlformats.org/officeDocument/2006/relationships/chart" Target="../charts/chart90.xml"/><Relationship Id="rId9" Type="http://schemas.openxmlformats.org/officeDocument/2006/relationships/chart" Target="../charts/chart95.xml"/><Relationship Id="rId14" Type="http://schemas.openxmlformats.org/officeDocument/2006/relationships/chart" Target="../charts/chart100.xml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hyperlink" Target="#Indice!K15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Indice!K16"/><Relationship Id="rId2" Type="http://schemas.openxmlformats.org/officeDocument/2006/relationships/chart" Target="../charts/chart109.xml"/><Relationship Id="rId1" Type="http://schemas.openxmlformats.org/officeDocument/2006/relationships/chart" Target="../charts/chart108.xml"/><Relationship Id="rId4" Type="http://schemas.openxmlformats.org/officeDocument/2006/relationships/hyperlink" Target="#Indice!K17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hyperlink" Target="#Indice!K2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#Indice!K23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Indice!K22"/><Relationship Id="rId1" Type="http://schemas.openxmlformats.org/officeDocument/2006/relationships/chart" Target="../charts/chart1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5" Type="http://schemas.openxmlformats.org/officeDocument/2006/relationships/hyperlink" Target="#Indice!B11"/><Relationship Id="rId4" Type="http://schemas.openxmlformats.org/officeDocument/2006/relationships/chart" Target="../charts/chart13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Indice!K23"/><Relationship Id="rId1" Type="http://schemas.openxmlformats.org/officeDocument/2006/relationships/chart" Target="../charts/chart111.xml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hyperlink" Target="#Indice!K24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2.xml"/><Relationship Id="rId2" Type="http://schemas.openxmlformats.org/officeDocument/2006/relationships/chart" Target="../charts/chart121.xml"/><Relationship Id="rId1" Type="http://schemas.openxmlformats.org/officeDocument/2006/relationships/chart" Target="../charts/chart120.xml"/><Relationship Id="rId4" Type="http://schemas.openxmlformats.org/officeDocument/2006/relationships/hyperlink" Target="#Indice!K25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Indice!K26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hyperlink" Target="#Indice!K27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52918</xdr:colOff>
      <xdr:row>0</xdr:row>
      <xdr:rowOff>52917</xdr:rowOff>
    </xdr:from>
    <xdr:to>
      <xdr:col>13</xdr:col>
      <xdr:colOff>476250</xdr:colOff>
      <xdr:row>41</xdr:row>
      <xdr:rowOff>132603</xdr:rowOff>
    </xdr:to>
    <xdr:pic>
      <xdr:nvPicPr>
        <xdr:cNvPr id="8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8" y="52917"/>
          <a:ext cx="10329332" cy="6683686"/>
        </a:xfrm>
        <a:prstGeom prst="rect">
          <a:avLst/>
        </a:prstGeom>
      </xdr:spPr>
    </xdr:pic>
    <xdr:clientData/>
  </xdr:twoCellAnchor>
  <xdr:twoCellAnchor>
    <xdr:from>
      <xdr:col>3</xdr:col>
      <xdr:colOff>412754</xdr:colOff>
      <xdr:row>37</xdr:row>
      <xdr:rowOff>74074</xdr:rowOff>
    </xdr:from>
    <xdr:to>
      <xdr:col>4</xdr:col>
      <xdr:colOff>47624</xdr:colOff>
      <xdr:row>39</xdr:row>
      <xdr:rowOff>116336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2698754" y="6043074"/>
          <a:ext cx="396870" cy="359762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316441</xdr:colOff>
      <xdr:row>39</xdr:row>
      <xdr:rowOff>139579</xdr:rowOff>
    </xdr:from>
    <xdr:to>
      <xdr:col>4</xdr:col>
      <xdr:colOff>116416</xdr:colOff>
      <xdr:row>41</xdr:row>
      <xdr:rowOff>10006</xdr:rowOff>
    </xdr:to>
    <xdr:sp macro="" textlink="">
      <xdr:nvSpPr>
        <xdr:cNvPr id="7" name="6 CuadroTexto"/>
        <xdr:cNvSpPr txBox="1"/>
      </xdr:nvSpPr>
      <xdr:spPr>
        <a:xfrm>
          <a:off x="2602441" y="6426079"/>
          <a:ext cx="561975" cy="1879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1100" b="1">
              <a:solidFill>
                <a:srgbClr val="CC9900"/>
              </a:solidFill>
            </a:rPr>
            <a:t>Entrar</a:t>
          </a:r>
        </a:p>
      </xdr:txBody>
    </xdr:sp>
    <xdr:clientData/>
  </xdr:twoCellAnchor>
  <xdr:twoCellAnchor>
    <xdr:from>
      <xdr:col>0</xdr:col>
      <xdr:colOff>202753</xdr:colOff>
      <xdr:row>22</xdr:row>
      <xdr:rowOff>28849</xdr:rowOff>
    </xdr:from>
    <xdr:to>
      <xdr:col>7</xdr:col>
      <xdr:colOff>256146</xdr:colOff>
      <xdr:row>36</xdr:row>
      <xdr:rowOff>152889</xdr:rowOff>
    </xdr:to>
    <xdr:sp macro="" textlink="">
      <xdr:nvSpPr>
        <xdr:cNvPr id="9" name="1 Rectángulo"/>
        <xdr:cNvSpPr/>
      </xdr:nvSpPr>
      <xdr:spPr>
        <a:xfrm>
          <a:off x="202753" y="3616599"/>
          <a:ext cx="5387393" cy="234654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 sz="3600" b="1" i="1">
              <a:solidFill>
                <a:schemeClr val="bg1">
                  <a:lumMod val="65000"/>
                </a:schemeClr>
              </a:solidFill>
              <a:latin typeface="+mj-lt"/>
            </a:rPr>
            <a:t>Anexo Estadístico</a:t>
          </a:r>
        </a:p>
        <a:p>
          <a:pPr algn="ctr"/>
          <a:r>
            <a:rPr lang="es-MX" sz="3600" b="1" i="1">
              <a:solidFill>
                <a:schemeClr val="bg1">
                  <a:lumMod val="65000"/>
                </a:schemeClr>
              </a:solidFill>
              <a:latin typeface="+mj-lt"/>
            </a:rPr>
            <a:t>del Informe</a:t>
          </a:r>
        </a:p>
        <a:p>
          <a:pPr algn="ctr"/>
          <a:r>
            <a:rPr lang="es-MX" sz="3600" b="1" i="1">
              <a:solidFill>
                <a:schemeClr val="bg1">
                  <a:lumMod val="65000"/>
                </a:schemeClr>
              </a:solidFill>
              <a:latin typeface="+mj-lt"/>
            </a:rPr>
            <a:t>del Rector General</a:t>
          </a:r>
        </a:p>
        <a:p>
          <a:pPr algn="ctr"/>
          <a:r>
            <a:rPr lang="es-MX" sz="3600" b="1" i="1">
              <a:solidFill>
                <a:schemeClr val="bg1">
                  <a:lumMod val="65000"/>
                </a:schemeClr>
              </a:solidFill>
              <a:latin typeface="+mj-lt"/>
            </a:rPr>
            <a:t> 2017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228599</xdr:colOff>
      <xdr:row>0</xdr:row>
      <xdr:rowOff>228600</xdr:rowOff>
    </xdr:from>
    <xdr:to>
      <xdr:col>47</xdr:col>
      <xdr:colOff>485774</xdr:colOff>
      <xdr:row>1</xdr:row>
      <xdr:rowOff>28575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9460824" y="228600"/>
          <a:ext cx="2571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251882</xdr:colOff>
      <xdr:row>40</xdr:row>
      <xdr:rowOff>12700</xdr:rowOff>
    </xdr:from>
    <xdr:to>
      <xdr:col>37</xdr:col>
      <xdr:colOff>380999</xdr:colOff>
      <xdr:row>65</xdr:row>
      <xdr:rowOff>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9525</xdr:rowOff>
    </xdr:from>
    <xdr:to>
      <xdr:col>13</xdr:col>
      <xdr:colOff>247650</xdr:colOff>
      <xdr:row>80</xdr:row>
      <xdr:rowOff>180975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68</xdr:row>
      <xdr:rowOff>0</xdr:rowOff>
    </xdr:from>
    <xdr:to>
      <xdr:col>21</xdr:col>
      <xdr:colOff>152400</xdr:colOff>
      <xdr:row>80</xdr:row>
      <xdr:rowOff>171450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68</xdr:row>
      <xdr:rowOff>19050</xdr:rowOff>
    </xdr:from>
    <xdr:to>
      <xdr:col>28</xdr:col>
      <xdr:colOff>533400</xdr:colOff>
      <xdr:row>81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68</xdr:row>
      <xdr:rowOff>38100</xdr:rowOff>
    </xdr:from>
    <xdr:to>
      <xdr:col>36</xdr:col>
      <xdr:colOff>295275</xdr:colOff>
      <xdr:row>81</xdr:row>
      <xdr:rowOff>19050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68</xdr:row>
      <xdr:rowOff>19050</xdr:rowOff>
    </xdr:from>
    <xdr:to>
      <xdr:col>42</xdr:col>
      <xdr:colOff>428625</xdr:colOff>
      <xdr:row>81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180976</xdr:colOff>
      <xdr:row>0</xdr:row>
      <xdr:rowOff>485775</xdr:rowOff>
    </xdr:from>
    <xdr:to>
      <xdr:col>46</xdr:col>
      <xdr:colOff>447675</xdr:colOff>
      <xdr:row>0</xdr:row>
      <xdr:rowOff>733424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7517726" y="485775"/>
          <a:ext cx="266699" cy="24764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123824</xdr:rowOff>
    </xdr:from>
    <xdr:to>
      <xdr:col>15</xdr:col>
      <xdr:colOff>22921</xdr:colOff>
      <xdr:row>62</xdr:row>
      <xdr:rowOff>123824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1500187</xdr:colOff>
      <xdr:row>64</xdr:row>
      <xdr:rowOff>23812</xdr:rowOff>
    </xdr:from>
    <xdr:to>
      <xdr:col>15</xdr:col>
      <xdr:colOff>11906</xdr:colOff>
      <xdr:row>90</xdr:row>
      <xdr:rowOff>23812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23812</xdr:colOff>
      <xdr:row>92</xdr:row>
      <xdr:rowOff>792</xdr:rowOff>
    </xdr:from>
    <xdr:to>
      <xdr:col>14</xdr:col>
      <xdr:colOff>702468</xdr:colOff>
      <xdr:row>119</xdr:row>
      <xdr:rowOff>83342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11906</xdr:colOff>
      <xdr:row>120</xdr:row>
      <xdr:rowOff>107949</xdr:rowOff>
    </xdr:from>
    <xdr:to>
      <xdr:col>15</xdr:col>
      <xdr:colOff>11905</xdr:colOff>
      <xdr:row>147</xdr:row>
      <xdr:rowOff>190499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26</xdr:col>
      <xdr:colOff>457200</xdr:colOff>
      <xdr:row>0</xdr:row>
      <xdr:rowOff>76200</xdr:rowOff>
    </xdr:from>
    <xdr:to>
      <xdr:col>26</xdr:col>
      <xdr:colOff>714375</xdr:colOff>
      <xdr:row>0</xdr:row>
      <xdr:rowOff>396875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1760200" y="76200"/>
          <a:ext cx="257175" cy="3206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219075</xdr:colOff>
      <xdr:row>0</xdr:row>
      <xdr:rowOff>123825</xdr:rowOff>
    </xdr:from>
    <xdr:to>
      <xdr:col>47</xdr:col>
      <xdr:colOff>504825</xdr:colOff>
      <xdr:row>0</xdr:row>
      <xdr:rowOff>381000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3023175" y="123825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79375</xdr:colOff>
      <xdr:row>41</xdr:row>
      <xdr:rowOff>0</xdr:rowOff>
    </xdr:from>
    <xdr:to>
      <xdr:col>37</xdr:col>
      <xdr:colOff>428625</xdr:colOff>
      <xdr:row>91</xdr:row>
      <xdr:rowOff>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72</xdr:row>
      <xdr:rowOff>9525</xdr:rowOff>
    </xdr:from>
    <xdr:to>
      <xdr:col>13</xdr:col>
      <xdr:colOff>247650</xdr:colOff>
      <xdr:row>87</xdr:row>
      <xdr:rowOff>38100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485775</xdr:colOff>
      <xdr:row>72</xdr:row>
      <xdr:rowOff>0</xdr:rowOff>
    </xdr:from>
    <xdr:to>
      <xdr:col>21</xdr:col>
      <xdr:colOff>152400</xdr:colOff>
      <xdr:row>87</xdr:row>
      <xdr:rowOff>28575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285750</xdr:colOff>
      <xdr:row>72</xdr:row>
      <xdr:rowOff>19050</xdr:rowOff>
    </xdr:from>
    <xdr:to>
      <xdr:col>28</xdr:col>
      <xdr:colOff>533400</xdr:colOff>
      <xdr:row>87</xdr:row>
      <xdr:rowOff>47625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47625</xdr:colOff>
      <xdr:row>72</xdr:row>
      <xdr:rowOff>38100</xdr:rowOff>
    </xdr:from>
    <xdr:to>
      <xdr:col>36</xdr:col>
      <xdr:colOff>295275</xdr:colOff>
      <xdr:row>87</xdr:row>
      <xdr:rowOff>66675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323850</xdr:colOff>
      <xdr:row>72</xdr:row>
      <xdr:rowOff>19050</xdr:rowOff>
    </xdr:from>
    <xdr:to>
      <xdr:col>42</xdr:col>
      <xdr:colOff>428625</xdr:colOff>
      <xdr:row>87</xdr:row>
      <xdr:rowOff>47625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285750</xdr:colOff>
      <xdr:row>0</xdr:row>
      <xdr:rowOff>514349</xdr:rowOff>
    </xdr:from>
    <xdr:to>
      <xdr:col>46</xdr:col>
      <xdr:colOff>571500</xdr:colOff>
      <xdr:row>0</xdr:row>
      <xdr:rowOff>771524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7936825" y="514349"/>
          <a:ext cx="285750" cy="2571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40</xdr:row>
      <xdr:rowOff>104775</xdr:rowOff>
    </xdr:from>
    <xdr:to>
      <xdr:col>18</xdr:col>
      <xdr:colOff>76199</xdr:colOff>
      <xdr:row>75</xdr:row>
      <xdr:rowOff>66675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342900</xdr:colOff>
      <xdr:row>0</xdr:row>
      <xdr:rowOff>114300</xdr:rowOff>
    </xdr:from>
    <xdr:to>
      <xdr:col>17</xdr:col>
      <xdr:colOff>571500</xdr:colOff>
      <xdr:row>1</xdr:row>
      <xdr:rowOff>180975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0953750" y="114300"/>
          <a:ext cx="2286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40</xdr:row>
      <xdr:rowOff>85725</xdr:rowOff>
    </xdr:from>
    <xdr:to>
      <xdr:col>18</xdr:col>
      <xdr:colOff>38100</xdr:colOff>
      <xdr:row>74</xdr:row>
      <xdr:rowOff>28575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314325</xdr:colOff>
      <xdr:row>0</xdr:row>
      <xdr:rowOff>123825</xdr:rowOff>
    </xdr:from>
    <xdr:to>
      <xdr:col>17</xdr:col>
      <xdr:colOff>609600</xdr:colOff>
      <xdr:row>1</xdr:row>
      <xdr:rowOff>171450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2058650" y="123825"/>
          <a:ext cx="295275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342900</xdr:colOff>
      <xdr:row>0</xdr:row>
      <xdr:rowOff>114300</xdr:rowOff>
    </xdr:from>
    <xdr:to>
      <xdr:col>17</xdr:col>
      <xdr:colOff>628650</xdr:colOff>
      <xdr:row>0</xdr:row>
      <xdr:rowOff>352425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3735050" y="11430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495299</xdr:colOff>
      <xdr:row>42</xdr:row>
      <xdr:rowOff>57149</xdr:rowOff>
    </xdr:from>
    <xdr:to>
      <xdr:col>17</xdr:col>
      <xdr:colOff>102392</xdr:colOff>
      <xdr:row>74</xdr:row>
      <xdr:rowOff>80962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390525</xdr:colOff>
      <xdr:row>1</xdr:row>
      <xdr:rowOff>47625</xdr:rowOff>
    </xdr:from>
    <xdr:to>
      <xdr:col>16</xdr:col>
      <xdr:colOff>676275</xdr:colOff>
      <xdr:row>2</xdr:row>
      <xdr:rowOff>114300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3192125" y="22860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78</xdr:col>
      <xdr:colOff>247650</xdr:colOff>
      <xdr:row>0</xdr:row>
      <xdr:rowOff>238125</xdr:rowOff>
    </xdr:from>
    <xdr:to>
      <xdr:col>78</xdr:col>
      <xdr:colOff>533400</xdr:colOff>
      <xdr:row>1</xdr:row>
      <xdr:rowOff>66675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47958375" y="23812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57151</xdr:rowOff>
    </xdr:from>
    <xdr:to>
      <xdr:col>1</xdr:col>
      <xdr:colOff>876300</xdr:colOff>
      <xdr:row>0</xdr:row>
      <xdr:rowOff>526813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1"/>
          <a:ext cx="2076450" cy="46966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76199</xdr:colOff>
      <xdr:row>41</xdr:row>
      <xdr:rowOff>123824</xdr:rowOff>
    </xdr:from>
    <xdr:to>
      <xdr:col>74</xdr:col>
      <xdr:colOff>161925</xdr:colOff>
      <xdr:row>73</xdr:row>
      <xdr:rowOff>152400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295275</xdr:colOff>
      <xdr:row>106</xdr:row>
      <xdr:rowOff>9525</xdr:rowOff>
    </xdr:from>
    <xdr:to>
      <xdr:col>40</xdr:col>
      <xdr:colOff>295275</xdr:colOff>
      <xdr:row>121</xdr:row>
      <xdr:rowOff>38100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19050</xdr:colOff>
      <xdr:row>106</xdr:row>
      <xdr:rowOff>0</xdr:rowOff>
    </xdr:from>
    <xdr:to>
      <xdr:col>49</xdr:col>
      <xdr:colOff>85725</xdr:colOff>
      <xdr:row>121</xdr:row>
      <xdr:rowOff>28575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49</xdr:col>
      <xdr:colOff>219075</xdr:colOff>
      <xdr:row>106</xdr:row>
      <xdr:rowOff>19050</xdr:rowOff>
    </xdr:from>
    <xdr:to>
      <xdr:col>57</xdr:col>
      <xdr:colOff>285750</xdr:colOff>
      <xdr:row>121</xdr:row>
      <xdr:rowOff>47625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361950</xdr:colOff>
      <xdr:row>106</xdr:row>
      <xdr:rowOff>28575</xdr:rowOff>
    </xdr:from>
    <xdr:to>
      <xdr:col>66</xdr:col>
      <xdr:colOff>47625</xdr:colOff>
      <xdr:row>121</xdr:row>
      <xdr:rowOff>57150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77</xdr:col>
      <xdr:colOff>133350</xdr:colOff>
      <xdr:row>0</xdr:row>
      <xdr:rowOff>266700</xdr:rowOff>
    </xdr:from>
    <xdr:to>
      <xdr:col>77</xdr:col>
      <xdr:colOff>419100</xdr:colOff>
      <xdr:row>0</xdr:row>
      <xdr:rowOff>571500</xdr:rowOff>
    </xdr:to>
    <xdr:sp macro="" textlink="">
      <xdr:nvSpPr>
        <xdr:cNvPr id="13" name="12 Botón de acción: Inicio">
          <a:hlinkClick xmlns:r="http://schemas.openxmlformats.org/officeDocument/2006/relationships" r:id="rId6"/>
        </xdr:cNvPr>
        <xdr:cNvSpPr/>
      </xdr:nvSpPr>
      <xdr:spPr>
        <a:xfrm>
          <a:off x="43310175" y="266700"/>
          <a:ext cx="285750" cy="3048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288925</xdr:colOff>
      <xdr:row>40</xdr:row>
      <xdr:rowOff>76199</xdr:rowOff>
    </xdr:from>
    <xdr:to>
      <xdr:col>37</xdr:col>
      <xdr:colOff>593724</xdr:colOff>
      <xdr:row>68</xdr:row>
      <xdr:rowOff>114298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295275</xdr:colOff>
      <xdr:row>0</xdr:row>
      <xdr:rowOff>409575</xdr:rowOff>
    </xdr:from>
    <xdr:to>
      <xdr:col>37</xdr:col>
      <xdr:colOff>581025</xdr:colOff>
      <xdr:row>0</xdr:row>
      <xdr:rowOff>657225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24717375" y="409575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447675</xdr:colOff>
      <xdr:row>0</xdr:row>
      <xdr:rowOff>152400</xdr:rowOff>
    </xdr:from>
    <xdr:to>
      <xdr:col>16</xdr:col>
      <xdr:colOff>733425</xdr:colOff>
      <xdr:row>0</xdr:row>
      <xdr:rowOff>419100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229975" y="152400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27517</xdr:colOff>
      <xdr:row>40</xdr:row>
      <xdr:rowOff>77258</xdr:rowOff>
    </xdr:from>
    <xdr:to>
      <xdr:col>17</xdr:col>
      <xdr:colOff>21167</xdr:colOff>
      <xdr:row>70</xdr:row>
      <xdr:rowOff>156633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329142</xdr:colOff>
      <xdr:row>0</xdr:row>
      <xdr:rowOff>185209</xdr:rowOff>
    </xdr:from>
    <xdr:to>
      <xdr:col>16</xdr:col>
      <xdr:colOff>614892</xdr:colOff>
      <xdr:row>2</xdr:row>
      <xdr:rowOff>52918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9187392" y="185209"/>
          <a:ext cx="285750" cy="267759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285750</xdr:colOff>
      <xdr:row>1</xdr:row>
      <xdr:rowOff>0</xdr:rowOff>
    </xdr:from>
    <xdr:to>
      <xdr:col>25</xdr:col>
      <xdr:colOff>571500</xdr:colOff>
      <xdr:row>2</xdr:row>
      <xdr:rowOff>38100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5601950" y="161925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MX"/>
            <a:t> 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638174</xdr:colOff>
      <xdr:row>39</xdr:row>
      <xdr:rowOff>98425</xdr:rowOff>
    </xdr:from>
    <xdr:to>
      <xdr:col>26</xdr:col>
      <xdr:colOff>111123</xdr:colOff>
      <xdr:row>73</xdr:row>
      <xdr:rowOff>114300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323850</xdr:colOff>
      <xdr:row>0</xdr:row>
      <xdr:rowOff>142875</xdr:rowOff>
    </xdr:from>
    <xdr:to>
      <xdr:col>25</xdr:col>
      <xdr:colOff>590550</xdr:colOff>
      <xdr:row>2</xdr:row>
      <xdr:rowOff>47625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3944600" y="142875"/>
          <a:ext cx="26670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285750</xdr:colOff>
      <xdr:row>0</xdr:row>
      <xdr:rowOff>104775</xdr:rowOff>
    </xdr:from>
    <xdr:to>
      <xdr:col>18</xdr:col>
      <xdr:colOff>571500</xdr:colOff>
      <xdr:row>0</xdr:row>
      <xdr:rowOff>333375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3134975" y="104775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44451</xdr:colOff>
      <xdr:row>39</xdr:row>
      <xdr:rowOff>51859</xdr:rowOff>
    </xdr:from>
    <xdr:to>
      <xdr:col>17</xdr:col>
      <xdr:colOff>15875</xdr:colOff>
      <xdr:row>69</xdr:row>
      <xdr:rowOff>101600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317499</xdr:colOff>
      <xdr:row>0</xdr:row>
      <xdr:rowOff>47625</xdr:rowOff>
    </xdr:from>
    <xdr:to>
      <xdr:col>16</xdr:col>
      <xdr:colOff>603249</xdr:colOff>
      <xdr:row>1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11280774" y="47625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161925</xdr:colOff>
      <xdr:row>0</xdr:row>
      <xdr:rowOff>142874</xdr:rowOff>
    </xdr:from>
    <xdr:to>
      <xdr:col>41</xdr:col>
      <xdr:colOff>428625</xdr:colOff>
      <xdr:row>0</xdr:row>
      <xdr:rowOff>371475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1878925" y="142874"/>
          <a:ext cx="266700" cy="22860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0</xdr:row>
      <xdr:rowOff>104775</xdr:rowOff>
    </xdr:from>
    <xdr:to>
      <xdr:col>10</xdr:col>
      <xdr:colOff>361950</xdr:colOff>
      <xdr:row>1</xdr:row>
      <xdr:rowOff>171450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7781925" y="104775"/>
          <a:ext cx="285750" cy="2286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11</xdr:col>
      <xdr:colOff>231774</xdr:colOff>
      <xdr:row>102</xdr:row>
      <xdr:rowOff>28575</xdr:rowOff>
    </xdr:from>
    <xdr:to>
      <xdr:col>21</xdr:col>
      <xdr:colOff>552450</xdr:colOff>
      <xdr:row>126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225425</xdr:colOff>
      <xdr:row>69</xdr:row>
      <xdr:rowOff>15875</xdr:rowOff>
    </xdr:from>
    <xdr:to>
      <xdr:col>21</xdr:col>
      <xdr:colOff>546101</xdr:colOff>
      <xdr:row>93</xdr:row>
      <xdr:rowOff>158750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0</xdr:colOff>
      <xdr:row>36</xdr:row>
      <xdr:rowOff>0</xdr:rowOff>
    </xdr:from>
    <xdr:to>
      <xdr:col>21</xdr:col>
      <xdr:colOff>320676</xdr:colOff>
      <xdr:row>60</xdr:row>
      <xdr:rowOff>114300</xdr:rowOff>
    </xdr:to>
    <xdr:graphicFrame macro="">
      <xdr:nvGraphicFramePr>
        <xdr:cNvPr id="5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9525</xdr:colOff>
      <xdr:row>6</xdr:row>
      <xdr:rowOff>9525</xdr:rowOff>
    </xdr:from>
    <xdr:to>
      <xdr:col>21</xdr:col>
      <xdr:colOff>330201</xdr:colOff>
      <xdr:row>30</xdr:row>
      <xdr:rowOff>38100</xdr:rowOff>
    </xdr:to>
    <xdr:graphicFrame macro="">
      <xdr:nvGraphicFramePr>
        <xdr:cNvPr id="7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104775</xdr:colOff>
      <xdr:row>105</xdr:row>
      <xdr:rowOff>123825</xdr:rowOff>
    </xdr:from>
    <xdr:to>
      <xdr:col>10</xdr:col>
      <xdr:colOff>200025</xdr:colOff>
      <xdr:row>106</xdr:row>
      <xdr:rowOff>142875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144000" y="14887575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47</xdr:col>
      <xdr:colOff>276225</xdr:colOff>
      <xdr:row>0</xdr:row>
      <xdr:rowOff>133350</xdr:rowOff>
    </xdr:from>
    <xdr:to>
      <xdr:col>47</xdr:col>
      <xdr:colOff>561975</xdr:colOff>
      <xdr:row>2</xdr:row>
      <xdr:rowOff>28575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0099000" y="133350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1095375</xdr:colOff>
      <xdr:row>0</xdr:row>
      <xdr:rowOff>142875</xdr:rowOff>
    </xdr:from>
    <xdr:to>
      <xdr:col>8</xdr:col>
      <xdr:colOff>0</xdr:colOff>
      <xdr:row>2</xdr:row>
      <xdr:rowOff>47625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9629775" y="142875"/>
          <a:ext cx="285750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0</xdr:row>
      <xdr:rowOff>66675</xdr:rowOff>
    </xdr:from>
    <xdr:to>
      <xdr:col>9</xdr:col>
      <xdr:colOff>390525</xdr:colOff>
      <xdr:row>1</xdr:row>
      <xdr:rowOff>171450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505700" y="66675"/>
          <a:ext cx="295275" cy="26670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571498</xdr:colOff>
      <xdr:row>2</xdr:row>
      <xdr:rowOff>0</xdr:rowOff>
    </xdr:from>
    <xdr:to>
      <xdr:col>17</xdr:col>
      <xdr:colOff>28574</xdr:colOff>
      <xdr:row>34</xdr:row>
      <xdr:rowOff>142875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139700</xdr:colOff>
      <xdr:row>0</xdr:row>
      <xdr:rowOff>120650</xdr:rowOff>
    </xdr:from>
    <xdr:to>
      <xdr:col>16</xdr:col>
      <xdr:colOff>428625</xdr:colOff>
      <xdr:row>1</xdr:row>
      <xdr:rowOff>152400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9798050" y="120650"/>
          <a:ext cx="288925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457200</xdr:colOff>
      <xdr:row>2</xdr:row>
      <xdr:rowOff>57150</xdr:rowOff>
    </xdr:from>
    <xdr:to>
      <xdr:col>17</xdr:col>
      <xdr:colOff>428625</xdr:colOff>
      <xdr:row>35</xdr:row>
      <xdr:rowOff>158750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231775</xdr:colOff>
      <xdr:row>1</xdr:row>
      <xdr:rowOff>19050</xdr:rowOff>
    </xdr:from>
    <xdr:to>
      <xdr:col>16</xdr:col>
      <xdr:colOff>485775</xdr:colOff>
      <xdr:row>2</xdr:row>
      <xdr:rowOff>127000</xdr:rowOff>
    </xdr:to>
    <xdr:sp macro="" textlink="">
      <xdr:nvSpPr>
        <xdr:cNvPr id="4" name="3 Botón de acción: Inicio">
          <a:hlinkClick xmlns:r="http://schemas.openxmlformats.org/officeDocument/2006/relationships" r:id="rId2"/>
        </xdr:cNvPr>
        <xdr:cNvSpPr/>
      </xdr:nvSpPr>
      <xdr:spPr>
        <a:xfrm>
          <a:off x="9890125" y="180975"/>
          <a:ext cx="254000" cy="26987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260350</xdr:colOff>
      <xdr:row>0</xdr:row>
      <xdr:rowOff>87842</xdr:rowOff>
    </xdr:from>
    <xdr:to>
      <xdr:col>63</xdr:col>
      <xdr:colOff>512233</xdr:colOff>
      <xdr:row>1</xdr:row>
      <xdr:rowOff>76200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7131625" y="87842"/>
          <a:ext cx="251883" cy="283633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161925</xdr:colOff>
      <xdr:row>79</xdr:row>
      <xdr:rowOff>0</xdr:rowOff>
    </xdr:from>
    <xdr:to>
      <xdr:col>51</xdr:col>
      <xdr:colOff>177800</xdr:colOff>
      <xdr:row>113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305530</xdr:colOff>
      <xdr:row>114</xdr:row>
      <xdr:rowOff>143859</xdr:rowOff>
    </xdr:from>
    <xdr:to>
      <xdr:col>51</xdr:col>
      <xdr:colOff>323849</xdr:colOff>
      <xdr:row>144</xdr:row>
      <xdr:rowOff>120180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209550</xdr:colOff>
      <xdr:row>0</xdr:row>
      <xdr:rowOff>238125</xdr:rowOff>
    </xdr:from>
    <xdr:to>
      <xdr:col>61</xdr:col>
      <xdr:colOff>495300</xdr:colOff>
      <xdr:row>1</xdr:row>
      <xdr:rowOff>76200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32661225" y="238125"/>
          <a:ext cx="285750" cy="2476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114300</xdr:colOff>
      <xdr:row>0</xdr:row>
      <xdr:rowOff>95250</xdr:rowOff>
    </xdr:from>
    <xdr:to>
      <xdr:col>79</xdr:col>
      <xdr:colOff>390526</xdr:colOff>
      <xdr:row>1</xdr:row>
      <xdr:rowOff>95250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45748575" y="95250"/>
          <a:ext cx="276226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29157</xdr:colOff>
      <xdr:row>85</xdr:row>
      <xdr:rowOff>126352</xdr:rowOff>
    </xdr:from>
    <xdr:to>
      <xdr:col>73</xdr:col>
      <xdr:colOff>291583</xdr:colOff>
      <xdr:row>115</xdr:row>
      <xdr:rowOff>97194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56</xdr:col>
      <xdr:colOff>15414</xdr:colOff>
      <xdr:row>118</xdr:row>
      <xdr:rowOff>97193</xdr:rowOff>
    </xdr:from>
    <xdr:to>
      <xdr:col>73</xdr:col>
      <xdr:colOff>272143</xdr:colOff>
      <xdr:row>150</xdr:row>
      <xdr:rowOff>19437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213632</xdr:colOff>
      <xdr:row>0</xdr:row>
      <xdr:rowOff>129268</xdr:rowOff>
    </xdr:from>
    <xdr:to>
      <xdr:col>78</xdr:col>
      <xdr:colOff>0</xdr:colOff>
      <xdr:row>1</xdr:row>
      <xdr:rowOff>28575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41190182" y="129268"/>
          <a:ext cx="300718" cy="299357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200025</xdr:colOff>
      <xdr:row>0</xdr:row>
      <xdr:rowOff>85725</xdr:rowOff>
    </xdr:from>
    <xdr:to>
      <xdr:col>48</xdr:col>
      <xdr:colOff>485775</xdr:colOff>
      <xdr:row>1</xdr:row>
      <xdr:rowOff>142875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29413200" y="85725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334736</xdr:colOff>
      <xdr:row>79</xdr:row>
      <xdr:rowOff>111577</xdr:rowOff>
    </xdr:from>
    <xdr:to>
      <xdr:col>47</xdr:col>
      <xdr:colOff>139850</xdr:colOff>
      <xdr:row>114</xdr:row>
      <xdr:rowOff>149317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370115</xdr:colOff>
      <xdr:row>116</xdr:row>
      <xdr:rowOff>63275</xdr:rowOff>
    </xdr:from>
    <xdr:to>
      <xdr:col>47</xdr:col>
      <xdr:colOff>140152</xdr:colOff>
      <xdr:row>151</xdr:row>
      <xdr:rowOff>2722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238125</xdr:colOff>
      <xdr:row>0</xdr:row>
      <xdr:rowOff>219075</xdr:rowOff>
    </xdr:from>
    <xdr:to>
      <xdr:col>46</xdr:col>
      <xdr:colOff>493939</xdr:colOff>
      <xdr:row>0</xdr:row>
      <xdr:rowOff>485775</xdr:rowOff>
    </xdr:to>
    <xdr:sp macro="" textlink="">
      <xdr:nvSpPr>
        <xdr:cNvPr id="6" name="5 Botón de acción: Inicio">
          <a:hlinkClick xmlns:r="http://schemas.openxmlformats.org/officeDocument/2006/relationships" r:id="rId3"/>
        </xdr:cNvPr>
        <xdr:cNvSpPr/>
      </xdr:nvSpPr>
      <xdr:spPr>
        <a:xfrm>
          <a:off x="28336875" y="219075"/>
          <a:ext cx="255814" cy="2667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6029325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301626</xdr:colOff>
      <xdr:row>46</xdr:row>
      <xdr:rowOff>46036</xdr:rowOff>
    </xdr:from>
    <xdr:to>
      <xdr:col>37</xdr:col>
      <xdr:colOff>285751</xdr:colOff>
      <xdr:row>76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190500</xdr:colOff>
      <xdr:row>0</xdr:row>
      <xdr:rowOff>342900</xdr:rowOff>
    </xdr:from>
    <xdr:to>
      <xdr:col>46</xdr:col>
      <xdr:colOff>476250</xdr:colOff>
      <xdr:row>0</xdr:row>
      <xdr:rowOff>628650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30118050" y="342900"/>
          <a:ext cx="285750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295275</xdr:colOff>
      <xdr:row>0</xdr:row>
      <xdr:rowOff>190500</xdr:rowOff>
    </xdr:from>
    <xdr:to>
      <xdr:col>18</xdr:col>
      <xdr:colOff>581025</xdr:colOff>
      <xdr:row>0</xdr:row>
      <xdr:rowOff>476250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7516475" y="190500"/>
          <a:ext cx="285750" cy="28575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161925</xdr:colOff>
      <xdr:row>88</xdr:row>
      <xdr:rowOff>19050</xdr:rowOff>
    </xdr:from>
    <xdr:to>
      <xdr:col>17</xdr:col>
      <xdr:colOff>619125</xdr:colOff>
      <xdr:row>115</xdr:row>
      <xdr:rowOff>61391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142875</xdr:colOff>
      <xdr:row>117</xdr:row>
      <xdr:rowOff>114300</xdr:rowOff>
    </xdr:from>
    <xdr:to>
      <xdr:col>17</xdr:col>
      <xdr:colOff>609600</xdr:colOff>
      <xdr:row>146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295275</xdr:colOff>
      <xdr:row>0</xdr:row>
      <xdr:rowOff>209550</xdr:rowOff>
    </xdr:from>
    <xdr:to>
      <xdr:col>17</xdr:col>
      <xdr:colOff>581025</xdr:colOff>
      <xdr:row>0</xdr:row>
      <xdr:rowOff>485775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1944350" y="209550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323850</xdr:colOff>
      <xdr:row>0</xdr:row>
      <xdr:rowOff>247649</xdr:rowOff>
    </xdr:from>
    <xdr:to>
      <xdr:col>80</xdr:col>
      <xdr:colOff>0</xdr:colOff>
      <xdr:row>0</xdr:row>
      <xdr:rowOff>533400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50301525" y="247649"/>
          <a:ext cx="257175" cy="285751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209549</xdr:colOff>
      <xdr:row>82</xdr:row>
      <xdr:rowOff>97950</xdr:rowOff>
    </xdr:from>
    <xdr:to>
      <xdr:col>78</xdr:col>
      <xdr:colOff>9524</xdr:colOff>
      <xdr:row>113</xdr:row>
      <xdr:rowOff>85725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60</xdr:col>
      <xdr:colOff>535991</xdr:colOff>
      <xdr:row>118</xdr:row>
      <xdr:rowOff>123826</xdr:rowOff>
    </xdr:from>
    <xdr:to>
      <xdr:col>78</xdr:col>
      <xdr:colOff>86635</xdr:colOff>
      <xdr:row>149</xdr:row>
      <xdr:rowOff>137105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77</xdr:col>
      <xdr:colOff>276225</xdr:colOff>
      <xdr:row>0</xdr:row>
      <xdr:rowOff>200025</xdr:rowOff>
    </xdr:from>
    <xdr:to>
      <xdr:col>77</xdr:col>
      <xdr:colOff>561975</xdr:colOff>
      <xdr:row>0</xdr:row>
      <xdr:rowOff>460664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44110275" y="200025"/>
          <a:ext cx="285750" cy="260639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381000</xdr:colOff>
      <xdr:row>0</xdr:row>
      <xdr:rowOff>260349</xdr:rowOff>
    </xdr:from>
    <xdr:to>
      <xdr:col>12</xdr:col>
      <xdr:colOff>666750</xdr:colOff>
      <xdr:row>0</xdr:row>
      <xdr:rowOff>536574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906375" y="260349"/>
          <a:ext cx="285750" cy="2762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139739</xdr:colOff>
      <xdr:row>36</xdr:row>
      <xdr:rowOff>5114</xdr:rowOff>
    </xdr:from>
    <xdr:to>
      <xdr:col>38</xdr:col>
      <xdr:colOff>59104</xdr:colOff>
      <xdr:row>76</xdr:row>
      <xdr:rowOff>1666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190500</xdr:colOff>
      <xdr:row>80</xdr:row>
      <xdr:rowOff>1</xdr:rowOff>
    </xdr:from>
    <xdr:to>
      <xdr:col>38</xdr:col>
      <xdr:colOff>104775</xdr:colOff>
      <xdr:row>117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238125</xdr:colOff>
      <xdr:row>0</xdr:row>
      <xdr:rowOff>342900</xdr:rowOff>
    </xdr:from>
    <xdr:to>
      <xdr:col>37</xdr:col>
      <xdr:colOff>523875</xdr:colOff>
      <xdr:row>0</xdr:row>
      <xdr:rowOff>647700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22745700" y="342900"/>
          <a:ext cx="285750" cy="304800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1292225</xdr:colOff>
      <xdr:row>0</xdr:row>
      <xdr:rowOff>47624</xdr:rowOff>
    </xdr:from>
    <xdr:to>
      <xdr:col>4</xdr:col>
      <xdr:colOff>1577975</xdr:colOff>
      <xdr:row>1</xdr:row>
      <xdr:rowOff>66674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9969500" y="47624"/>
          <a:ext cx="285750" cy="25717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269875</xdr:colOff>
      <xdr:row>0</xdr:row>
      <xdr:rowOff>53975</xdr:rowOff>
    </xdr:from>
    <xdr:to>
      <xdr:col>13</xdr:col>
      <xdr:colOff>558800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632950" y="53975"/>
          <a:ext cx="288925" cy="288925"/>
        </a:xfrm>
        <a:prstGeom prst="actionButtonHome">
          <a:avLst/>
        </a:prstGeom>
        <a:solidFill>
          <a:srgbClr val="57A519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371475</xdr:colOff>
      <xdr:row>0</xdr:row>
      <xdr:rowOff>85724</xdr:rowOff>
    </xdr:from>
    <xdr:to>
      <xdr:col>13</xdr:col>
      <xdr:colOff>657225</xdr:colOff>
      <xdr:row>1</xdr:row>
      <xdr:rowOff>133349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1563350" y="85724"/>
          <a:ext cx="285750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11</xdr:col>
      <xdr:colOff>57150</xdr:colOff>
      <xdr:row>21</xdr:row>
      <xdr:rowOff>142874</xdr:rowOff>
    </xdr:from>
    <xdr:to>
      <xdr:col>15</xdr:col>
      <xdr:colOff>304800</xdr:colOff>
      <xdr:row>33</xdr:row>
      <xdr:rowOff>38099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266700</xdr:colOff>
      <xdr:row>0</xdr:row>
      <xdr:rowOff>209550</xdr:rowOff>
    </xdr:from>
    <xdr:to>
      <xdr:col>36</xdr:col>
      <xdr:colOff>536575</xdr:colOff>
      <xdr:row>0</xdr:row>
      <xdr:rowOff>447674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5898475" y="209550"/>
          <a:ext cx="269875" cy="238124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306047</xdr:colOff>
      <xdr:row>39</xdr:row>
      <xdr:rowOff>101031</xdr:rowOff>
    </xdr:from>
    <xdr:to>
      <xdr:col>33</xdr:col>
      <xdr:colOff>468880</xdr:colOff>
      <xdr:row>64</xdr:row>
      <xdr:rowOff>67695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361950</xdr:colOff>
      <xdr:row>0</xdr:row>
      <xdr:rowOff>171450</xdr:rowOff>
    </xdr:from>
    <xdr:to>
      <xdr:col>37</xdr:col>
      <xdr:colOff>647700</xdr:colOff>
      <xdr:row>0</xdr:row>
      <xdr:rowOff>419100</xdr:rowOff>
    </xdr:to>
    <xdr:sp macro="" textlink="">
      <xdr:nvSpPr>
        <xdr:cNvPr id="33" name="32 Botón de acción: Inicio">
          <a:hlinkClick xmlns:r="http://schemas.openxmlformats.org/officeDocument/2006/relationships" r:id="rId2"/>
        </xdr:cNvPr>
        <xdr:cNvSpPr/>
      </xdr:nvSpPr>
      <xdr:spPr>
        <a:xfrm>
          <a:off x="25022175" y="171450"/>
          <a:ext cx="28575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140758</xdr:colOff>
      <xdr:row>39</xdr:row>
      <xdr:rowOff>37042</xdr:rowOff>
    </xdr:from>
    <xdr:to>
      <xdr:col>35</xdr:col>
      <xdr:colOff>94191</xdr:colOff>
      <xdr:row>74</xdr:row>
      <xdr:rowOff>8467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238125</xdr:colOff>
      <xdr:row>0</xdr:row>
      <xdr:rowOff>321733</xdr:rowOff>
    </xdr:from>
    <xdr:to>
      <xdr:col>35</xdr:col>
      <xdr:colOff>521759</xdr:colOff>
      <xdr:row>0</xdr:row>
      <xdr:rowOff>641350</xdr:rowOff>
    </xdr:to>
    <xdr:sp macro="" textlink="">
      <xdr:nvSpPr>
        <xdr:cNvPr id="8" name="7 Botón de acción: Inicio">
          <a:hlinkClick xmlns:r="http://schemas.openxmlformats.org/officeDocument/2006/relationships" r:id="rId2"/>
        </xdr:cNvPr>
        <xdr:cNvSpPr/>
      </xdr:nvSpPr>
      <xdr:spPr>
        <a:xfrm>
          <a:off x="23431500" y="321733"/>
          <a:ext cx="283634" cy="319617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409575</xdr:colOff>
      <xdr:row>0</xdr:row>
      <xdr:rowOff>142875</xdr:rowOff>
    </xdr:from>
    <xdr:to>
      <xdr:col>10</xdr:col>
      <xdr:colOff>695325</xdr:colOff>
      <xdr:row>1</xdr:row>
      <xdr:rowOff>95250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8886825" y="1428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457200</xdr:colOff>
      <xdr:row>0</xdr:row>
      <xdr:rowOff>57150</xdr:rowOff>
    </xdr:from>
    <xdr:to>
      <xdr:col>9</xdr:col>
      <xdr:colOff>742950</xdr:colOff>
      <xdr:row>1</xdr:row>
      <xdr:rowOff>114300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7029450" y="571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0</xdr:row>
      <xdr:rowOff>104775</xdr:rowOff>
    </xdr:from>
    <xdr:to>
      <xdr:col>14</xdr:col>
      <xdr:colOff>485775</xdr:colOff>
      <xdr:row>1</xdr:row>
      <xdr:rowOff>142875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0315575" y="10477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276225</xdr:colOff>
      <xdr:row>0</xdr:row>
      <xdr:rowOff>66675</xdr:rowOff>
    </xdr:from>
    <xdr:to>
      <xdr:col>13</xdr:col>
      <xdr:colOff>561975</xdr:colOff>
      <xdr:row>1</xdr:row>
      <xdr:rowOff>104775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9001125" y="66675"/>
          <a:ext cx="285750" cy="2381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152400</xdr:colOff>
      <xdr:row>0</xdr:row>
      <xdr:rowOff>95250</xdr:rowOff>
    </xdr:from>
    <xdr:to>
      <xdr:col>20</xdr:col>
      <xdr:colOff>428625</xdr:colOff>
      <xdr:row>1</xdr:row>
      <xdr:rowOff>152400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3773150" y="95250"/>
          <a:ext cx="276225" cy="2952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225425</xdr:colOff>
      <xdr:row>0</xdr:row>
      <xdr:rowOff>98425</xdr:rowOff>
    </xdr:from>
    <xdr:to>
      <xdr:col>19</xdr:col>
      <xdr:colOff>511175</xdr:colOff>
      <xdr:row>1</xdr:row>
      <xdr:rowOff>136525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074525" y="98425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0</xdr:row>
      <xdr:rowOff>85725</xdr:rowOff>
    </xdr:from>
    <xdr:to>
      <xdr:col>11</xdr:col>
      <xdr:colOff>476250</xdr:colOff>
      <xdr:row>1</xdr:row>
      <xdr:rowOff>104775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524875" y="85725"/>
          <a:ext cx="2476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0</xdr:row>
      <xdr:rowOff>76199</xdr:rowOff>
    </xdr:from>
    <xdr:to>
      <xdr:col>10</xdr:col>
      <xdr:colOff>504825</xdr:colOff>
      <xdr:row>1</xdr:row>
      <xdr:rowOff>114299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7419975" y="76199"/>
          <a:ext cx="285750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200025</xdr:colOff>
      <xdr:row>0</xdr:row>
      <xdr:rowOff>95250</xdr:rowOff>
    </xdr:from>
    <xdr:to>
      <xdr:col>14</xdr:col>
      <xdr:colOff>485775</xdr:colOff>
      <xdr:row>1</xdr:row>
      <xdr:rowOff>114300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9896475" y="95250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47</xdr:col>
      <xdr:colOff>209550</xdr:colOff>
      <xdr:row>0</xdr:row>
      <xdr:rowOff>152400</xdr:rowOff>
    </xdr:from>
    <xdr:to>
      <xdr:col>47</xdr:col>
      <xdr:colOff>495300</xdr:colOff>
      <xdr:row>0</xdr:row>
      <xdr:rowOff>390525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30327600" y="152400"/>
          <a:ext cx="285750" cy="238125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180975</xdr:colOff>
      <xdr:row>0</xdr:row>
      <xdr:rowOff>95250</xdr:rowOff>
    </xdr:from>
    <xdr:to>
      <xdr:col>13</xdr:col>
      <xdr:colOff>438150</xdr:colOff>
      <xdr:row>1</xdr:row>
      <xdr:rowOff>142875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667750" y="95250"/>
          <a:ext cx="257175" cy="28575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190500</xdr:colOff>
      <xdr:row>0</xdr:row>
      <xdr:rowOff>104775</xdr:rowOff>
    </xdr:from>
    <xdr:to>
      <xdr:col>14</xdr:col>
      <xdr:colOff>476250</xdr:colOff>
      <xdr:row>1</xdr:row>
      <xdr:rowOff>123825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0048875" y="104775"/>
          <a:ext cx="2857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161925</xdr:colOff>
      <xdr:row>0</xdr:row>
      <xdr:rowOff>76200</xdr:rowOff>
    </xdr:from>
    <xdr:to>
      <xdr:col>13</xdr:col>
      <xdr:colOff>447674</xdr:colOff>
      <xdr:row>1</xdr:row>
      <xdr:rowOff>95250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648700" y="76200"/>
          <a:ext cx="285749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123825</xdr:colOff>
      <xdr:row>0</xdr:row>
      <xdr:rowOff>171450</xdr:rowOff>
    </xdr:from>
    <xdr:to>
      <xdr:col>14</xdr:col>
      <xdr:colOff>419100</xdr:colOff>
      <xdr:row>0</xdr:row>
      <xdr:rowOff>438150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0439400" y="171450"/>
          <a:ext cx="295275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66675</xdr:colOff>
      <xdr:row>0</xdr:row>
      <xdr:rowOff>142875</xdr:rowOff>
    </xdr:from>
    <xdr:to>
      <xdr:col>13</xdr:col>
      <xdr:colOff>352425</xdr:colOff>
      <xdr:row>1</xdr:row>
      <xdr:rowOff>28575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553450" y="142875"/>
          <a:ext cx="2857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269875</xdr:colOff>
      <xdr:row>0</xdr:row>
      <xdr:rowOff>120650</xdr:rowOff>
    </xdr:from>
    <xdr:to>
      <xdr:col>32</xdr:col>
      <xdr:colOff>514350</xdr:colOff>
      <xdr:row>1</xdr:row>
      <xdr:rowOff>133350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1710650" y="120650"/>
          <a:ext cx="244475" cy="2413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273050</xdr:colOff>
      <xdr:row>0</xdr:row>
      <xdr:rowOff>101600</xdr:rowOff>
    </xdr:from>
    <xdr:to>
      <xdr:col>22</xdr:col>
      <xdr:colOff>0</xdr:colOff>
      <xdr:row>1</xdr:row>
      <xdr:rowOff>120650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12827000" y="101600"/>
          <a:ext cx="2413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279399</xdr:colOff>
      <xdr:row>0</xdr:row>
      <xdr:rowOff>57149</xdr:rowOff>
    </xdr:from>
    <xdr:to>
      <xdr:col>15</xdr:col>
      <xdr:colOff>536574</xdr:colOff>
      <xdr:row>1</xdr:row>
      <xdr:rowOff>95249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2233274" y="57149"/>
          <a:ext cx="257175" cy="27622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320675</xdr:colOff>
      <xdr:row>0</xdr:row>
      <xdr:rowOff>209550</xdr:rowOff>
    </xdr:from>
    <xdr:to>
      <xdr:col>13</xdr:col>
      <xdr:colOff>581025</xdr:colOff>
      <xdr:row>1</xdr:row>
      <xdr:rowOff>0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8807450" y="209550"/>
          <a:ext cx="26035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219075</xdr:colOff>
      <xdr:row>1</xdr:row>
      <xdr:rowOff>209550</xdr:rowOff>
    </xdr:from>
    <xdr:to>
      <xdr:col>14</xdr:col>
      <xdr:colOff>466725</xdr:colOff>
      <xdr:row>3</xdr:row>
      <xdr:rowOff>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1687175" y="447675"/>
          <a:ext cx="24765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0</xdr:row>
      <xdr:rowOff>0</xdr:rowOff>
    </xdr:from>
    <xdr:to>
      <xdr:col>9</xdr:col>
      <xdr:colOff>200025</xdr:colOff>
      <xdr:row>0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239000" y="0"/>
          <a:ext cx="9525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>
    <xdr:from>
      <xdr:col>20</xdr:col>
      <xdr:colOff>581025</xdr:colOff>
      <xdr:row>40</xdr:row>
      <xdr:rowOff>85726</xdr:rowOff>
    </xdr:from>
    <xdr:to>
      <xdr:col>37</xdr:col>
      <xdr:colOff>95250</xdr:colOff>
      <xdr:row>72</xdr:row>
      <xdr:rowOff>152400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171450</xdr:colOff>
      <xdr:row>74</xdr:row>
      <xdr:rowOff>133350</xdr:rowOff>
    </xdr:from>
    <xdr:to>
      <xdr:col>13</xdr:col>
      <xdr:colOff>419100</xdr:colOff>
      <xdr:row>90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76200</xdr:colOff>
      <xdr:row>74</xdr:row>
      <xdr:rowOff>123825</xdr:rowOff>
    </xdr:from>
    <xdr:to>
      <xdr:col>21</xdr:col>
      <xdr:colOff>323850</xdr:colOff>
      <xdr:row>89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457200</xdr:colOff>
      <xdr:row>74</xdr:row>
      <xdr:rowOff>142875</xdr:rowOff>
    </xdr:from>
    <xdr:to>
      <xdr:col>29</xdr:col>
      <xdr:colOff>123825</xdr:colOff>
      <xdr:row>90</xdr:row>
      <xdr:rowOff>9525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219075</xdr:colOff>
      <xdr:row>75</xdr:row>
      <xdr:rowOff>0</xdr:rowOff>
    </xdr:from>
    <xdr:to>
      <xdr:col>36</xdr:col>
      <xdr:colOff>466725</xdr:colOff>
      <xdr:row>90</xdr:row>
      <xdr:rowOff>28575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36</xdr:col>
      <xdr:colOff>495300</xdr:colOff>
      <xdr:row>74</xdr:row>
      <xdr:rowOff>142875</xdr:rowOff>
    </xdr:from>
    <xdr:to>
      <xdr:col>42</xdr:col>
      <xdr:colOff>600075</xdr:colOff>
      <xdr:row>90</xdr:row>
      <xdr:rowOff>9525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46</xdr:col>
      <xdr:colOff>123825</xdr:colOff>
      <xdr:row>0</xdr:row>
      <xdr:rowOff>266700</xdr:rowOff>
    </xdr:from>
    <xdr:to>
      <xdr:col>46</xdr:col>
      <xdr:colOff>428625</xdr:colOff>
      <xdr:row>0</xdr:row>
      <xdr:rowOff>514350</xdr:rowOff>
    </xdr:to>
    <xdr:sp macro="" textlink="">
      <xdr:nvSpPr>
        <xdr:cNvPr id="11" name="10 Botón de acción: Inicio">
          <a:hlinkClick xmlns:r="http://schemas.openxmlformats.org/officeDocument/2006/relationships" r:id="rId7"/>
        </xdr:cNvPr>
        <xdr:cNvSpPr/>
      </xdr:nvSpPr>
      <xdr:spPr>
        <a:xfrm>
          <a:off x="27174825" y="266700"/>
          <a:ext cx="304800" cy="2476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403225</xdr:colOff>
      <xdr:row>0</xdr:row>
      <xdr:rowOff>123825</xdr:rowOff>
    </xdr:from>
    <xdr:to>
      <xdr:col>11</xdr:col>
      <xdr:colOff>669925</xdr:colOff>
      <xdr:row>1</xdr:row>
      <xdr:rowOff>142875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0109200" y="123825"/>
          <a:ext cx="266700" cy="257175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190500</xdr:colOff>
      <xdr:row>0</xdr:row>
      <xdr:rowOff>95251</xdr:rowOff>
    </xdr:from>
    <xdr:to>
      <xdr:col>11</xdr:col>
      <xdr:colOff>457200</xdr:colOff>
      <xdr:row>1</xdr:row>
      <xdr:rowOff>123826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8734425" y="95251"/>
          <a:ext cx="266700" cy="266700"/>
        </a:xfrm>
        <a:prstGeom prst="actionButtonHome">
          <a:avLst/>
        </a:prstGeom>
        <a:solidFill>
          <a:srgbClr val="0072C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364339</xdr:colOff>
      <xdr:row>143</xdr:row>
      <xdr:rowOff>180975</xdr:rowOff>
    </xdr:from>
    <xdr:to>
      <xdr:col>51</xdr:col>
      <xdr:colOff>111125</xdr:colOff>
      <xdr:row>174</xdr:row>
      <xdr:rowOff>34925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552450</xdr:colOff>
      <xdr:row>142</xdr:row>
      <xdr:rowOff>87312</xdr:rowOff>
    </xdr:from>
    <xdr:to>
      <xdr:col>66</xdr:col>
      <xdr:colOff>755650</xdr:colOff>
      <xdr:row>174</xdr:row>
      <xdr:rowOff>11112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61</xdr:col>
      <xdr:colOff>133350</xdr:colOff>
      <xdr:row>0</xdr:row>
      <xdr:rowOff>133350</xdr:rowOff>
    </xdr:from>
    <xdr:to>
      <xdr:col>61</xdr:col>
      <xdr:colOff>419100</xdr:colOff>
      <xdr:row>0</xdr:row>
      <xdr:rowOff>419100</xdr:rowOff>
    </xdr:to>
    <xdr:sp macro="" textlink="">
      <xdr:nvSpPr>
        <xdr:cNvPr id="24" name="23 Botón de acción: Inicio">
          <a:hlinkClick xmlns:r="http://schemas.openxmlformats.org/officeDocument/2006/relationships" r:id="rId3"/>
        </xdr:cNvPr>
        <xdr:cNvSpPr/>
      </xdr:nvSpPr>
      <xdr:spPr>
        <a:xfrm>
          <a:off x="34651950" y="133350"/>
          <a:ext cx="285750" cy="2857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42</xdr:col>
      <xdr:colOff>180975</xdr:colOff>
      <xdr:row>179</xdr:row>
      <xdr:rowOff>123824</xdr:rowOff>
    </xdr:from>
    <xdr:to>
      <xdr:col>50</xdr:col>
      <xdr:colOff>57151</xdr:colOff>
      <xdr:row>198</xdr:row>
      <xdr:rowOff>123825</xdr:rowOff>
    </xdr:to>
    <xdr:graphicFrame macro="">
      <xdr:nvGraphicFramePr>
        <xdr:cNvPr id="5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51</xdr:col>
      <xdr:colOff>542924</xdr:colOff>
      <xdr:row>179</xdr:row>
      <xdr:rowOff>161925</xdr:rowOff>
    </xdr:from>
    <xdr:to>
      <xdr:col>59</xdr:col>
      <xdr:colOff>495300</xdr:colOff>
      <xdr:row>198</xdr:row>
      <xdr:rowOff>104774</xdr:rowOff>
    </xdr:to>
    <xdr:graphicFrame macro="">
      <xdr:nvGraphicFramePr>
        <xdr:cNvPr id="6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180974</xdr:colOff>
      <xdr:row>0</xdr:row>
      <xdr:rowOff>193674</xdr:rowOff>
    </xdr:from>
    <xdr:to>
      <xdr:col>40</xdr:col>
      <xdr:colOff>482599</xdr:colOff>
      <xdr:row>0</xdr:row>
      <xdr:rowOff>466725</xdr:rowOff>
    </xdr:to>
    <xdr:sp macro="" textlink="">
      <xdr:nvSpPr>
        <xdr:cNvPr id="4" name="3 Botón de acción: Inicio">
          <a:hlinkClick xmlns:r="http://schemas.openxmlformats.org/officeDocument/2006/relationships" r:id="rId1"/>
        </xdr:cNvPr>
        <xdr:cNvSpPr/>
      </xdr:nvSpPr>
      <xdr:spPr>
        <a:xfrm>
          <a:off x="22517099" y="193674"/>
          <a:ext cx="301625" cy="273051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43</xdr:row>
      <xdr:rowOff>166686</xdr:rowOff>
    </xdr:from>
    <xdr:to>
      <xdr:col>14</xdr:col>
      <xdr:colOff>533400</xdr:colOff>
      <xdr:row>100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38100</xdr:colOff>
      <xdr:row>66</xdr:row>
      <xdr:rowOff>19050</xdr:rowOff>
    </xdr:from>
    <xdr:to>
      <xdr:col>13</xdr:col>
      <xdr:colOff>723900</xdr:colOff>
      <xdr:row>89</xdr:row>
      <xdr:rowOff>57150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419100</xdr:colOff>
      <xdr:row>0</xdr:row>
      <xdr:rowOff>76200</xdr:rowOff>
    </xdr:from>
    <xdr:to>
      <xdr:col>16</xdr:col>
      <xdr:colOff>704850</xdr:colOff>
      <xdr:row>1</xdr:row>
      <xdr:rowOff>57150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2020550" y="76200"/>
          <a:ext cx="285750" cy="2476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5</xdr:col>
      <xdr:colOff>276225</xdr:colOff>
      <xdr:row>105</xdr:row>
      <xdr:rowOff>114300</xdr:rowOff>
    </xdr:from>
    <xdr:to>
      <xdr:col>14</xdr:col>
      <xdr:colOff>95249</xdr:colOff>
      <xdr:row>126</xdr:row>
      <xdr:rowOff>190499</xdr:rowOff>
    </xdr:to>
    <xdr:graphicFrame macro="">
      <xdr:nvGraphicFramePr>
        <xdr:cNvPr id="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209550</xdr:colOff>
      <xdr:row>38</xdr:row>
      <xdr:rowOff>82549</xdr:rowOff>
    </xdr:from>
    <xdr:to>
      <xdr:col>16</xdr:col>
      <xdr:colOff>635000</xdr:colOff>
      <xdr:row>93</xdr:row>
      <xdr:rowOff>31750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409574</xdr:colOff>
      <xdr:row>63</xdr:row>
      <xdr:rowOff>133350</xdr:rowOff>
    </xdr:from>
    <xdr:to>
      <xdr:col>14</xdr:col>
      <xdr:colOff>28574</xdr:colOff>
      <xdr:row>87</xdr:row>
      <xdr:rowOff>66675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304801</xdr:colOff>
      <xdr:row>0</xdr:row>
      <xdr:rowOff>171450</xdr:rowOff>
    </xdr:from>
    <xdr:to>
      <xdr:col>16</xdr:col>
      <xdr:colOff>628651</xdr:colOff>
      <xdr:row>1</xdr:row>
      <xdr:rowOff>257175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2220576" y="171450"/>
          <a:ext cx="3238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7</xdr:col>
      <xdr:colOff>657225</xdr:colOff>
      <xdr:row>97</xdr:row>
      <xdr:rowOff>133350</xdr:rowOff>
    </xdr:from>
    <xdr:to>
      <xdr:col>16</xdr:col>
      <xdr:colOff>381000</xdr:colOff>
      <xdr:row>119</xdr:row>
      <xdr:rowOff>187326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603249</xdr:colOff>
      <xdr:row>112</xdr:row>
      <xdr:rowOff>160336</xdr:rowOff>
    </xdr:from>
    <xdr:to>
      <xdr:col>16</xdr:col>
      <xdr:colOff>219075</xdr:colOff>
      <xdr:row>141</xdr:row>
      <xdr:rowOff>88900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142874</xdr:colOff>
      <xdr:row>175</xdr:row>
      <xdr:rowOff>107950</xdr:rowOff>
    </xdr:from>
    <xdr:to>
      <xdr:col>16</xdr:col>
      <xdr:colOff>266699</xdr:colOff>
      <xdr:row>207</xdr:row>
      <xdr:rowOff>25400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390525</xdr:colOff>
      <xdr:row>0</xdr:row>
      <xdr:rowOff>123825</xdr:rowOff>
    </xdr:from>
    <xdr:to>
      <xdr:col>15</xdr:col>
      <xdr:colOff>676275</xdr:colOff>
      <xdr:row>2</xdr:row>
      <xdr:rowOff>38100</xdr:rowOff>
    </xdr:to>
    <xdr:sp macro="" textlink="">
      <xdr:nvSpPr>
        <xdr:cNvPr id="5" name="4 Botón de acción: Inicio">
          <a:hlinkClick xmlns:r="http://schemas.openxmlformats.org/officeDocument/2006/relationships" r:id="rId3"/>
        </xdr:cNvPr>
        <xdr:cNvSpPr/>
      </xdr:nvSpPr>
      <xdr:spPr>
        <a:xfrm>
          <a:off x="11372850" y="123825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3</xdr:col>
      <xdr:colOff>625475</xdr:colOff>
      <xdr:row>39</xdr:row>
      <xdr:rowOff>25400</xdr:rowOff>
    </xdr:from>
    <xdr:to>
      <xdr:col>16</xdr:col>
      <xdr:colOff>107950</xdr:colOff>
      <xdr:row>71</xdr:row>
      <xdr:rowOff>139700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323850</xdr:colOff>
      <xdr:row>142</xdr:row>
      <xdr:rowOff>142875</xdr:rowOff>
    </xdr:from>
    <xdr:to>
      <xdr:col>37</xdr:col>
      <xdr:colOff>180975</xdr:colOff>
      <xdr:row>144</xdr:row>
      <xdr:rowOff>0</xdr:rowOff>
    </xdr:to>
    <xdr:sp macro="" textlink="">
      <xdr:nvSpPr>
        <xdr:cNvPr id="7" name="4 Botón de acción: Inicio">
          <a:hlinkClick xmlns:r="http://schemas.openxmlformats.org/officeDocument/2006/relationships" r:id="rId5"/>
        </xdr:cNvPr>
        <xdr:cNvSpPr/>
      </xdr:nvSpPr>
      <xdr:spPr>
        <a:xfrm>
          <a:off x="19088100" y="23250525"/>
          <a:ext cx="238125" cy="180975"/>
        </a:xfrm>
        <a:prstGeom prst="actionButtonHome">
          <a:avLst/>
        </a:prstGeom>
        <a:solidFill>
          <a:schemeClr val="accent1">
            <a:lumMod val="75000"/>
          </a:schemeClr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83343</xdr:colOff>
      <xdr:row>11</xdr:row>
      <xdr:rowOff>143331</xdr:rowOff>
    </xdr:from>
    <xdr:to>
      <xdr:col>29</xdr:col>
      <xdr:colOff>119063</xdr:colOff>
      <xdr:row>50</xdr:row>
      <xdr:rowOff>33338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257175</xdr:colOff>
      <xdr:row>1</xdr:row>
      <xdr:rowOff>19050</xdr:rowOff>
    </xdr:from>
    <xdr:to>
      <xdr:col>28</xdr:col>
      <xdr:colOff>542925</xdr:colOff>
      <xdr:row>1</xdr:row>
      <xdr:rowOff>323850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8907125" y="180975"/>
          <a:ext cx="285750" cy="3048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1</xdr:row>
      <xdr:rowOff>0</xdr:rowOff>
    </xdr:from>
    <xdr:to>
      <xdr:col>25</xdr:col>
      <xdr:colOff>190500</xdr:colOff>
      <xdr:row>2</xdr:row>
      <xdr:rowOff>38100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12087225" y="161925"/>
          <a:ext cx="190500" cy="228600"/>
        </a:xfrm>
        <a:prstGeom prst="actionButtonHome">
          <a:avLst/>
        </a:prstGeom>
        <a:solidFill>
          <a:srgbClr val="FFC000"/>
        </a:solid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0</xdr:row>
      <xdr:rowOff>76200</xdr:rowOff>
    </xdr:from>
    <xdr:to>
      <xdr:col>8</xdr:col>
      <xdr:colOff>390525</xdr:colOff>
      <xdr:row>2</xdr:row>
      <xdr:rowOff>0</xdr:rowOff>
    </xdr:to>
    <xdr:sp macro="" textlink="">
      <xdr:nvSpPr>
        <xdr:cNvPr id="9" name="10 Botón de acción: Inicio">
          <a:hlinkClick xmlns:r="http://schemas.openxmlformats.org/officeDocument/2006/relationships" r:id="rId1"/>
        </xdr:cNvPr>
        <xdr:cNvSpPr/>
      </xdr:nvSpPr>
      <xdr:spPr>
        <a:xfrm>
          <a:off x="11439525" y="76200"/>
          <a:ext cx="276225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302078</xdr:colOff>
      <xdr:row>41</xdr:row>
      <xdr:rowOff>21317</xdr:rowOff>
    </xdr:from>
    <xdr:to>
      <xdr:col>20</xdr:col>
      <xdr:colOff>340178</xdr:colOff>
      <xdr:row>73</xdr:row>
      <xdr:rowOff>92756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32</xdr:col>
      <xdr:colOff>200025</xdr:colOff>
      <xdr:row>1</xdr:row>
      <xdr:rowOff>66674</xdr:rowOff>
    </xdr:from>
    <xdr:to>
      <xdr:col>32</xdr:col>
      <xdr:colOff>447675</xdr:colOff>
      <xdr:row>1</xdr:row>
      <xdr:rowOff>352425</xdr:rowOff>
    </xdr:to>
    <xdr:sp macro="" textlink="">
      <xdr:nvSpPr>
        <xdr:cNvPr id="3" name="2 Botón de acción: Inicio">
          <a:hlinkClick xmlns:r="http://schemas.openxmlformats.org/officeDocument/2006/relationships" r:id="rId2"/>
        </xdr:cNvPr>
        <xdr:cNvSpPr/>
      </xdr:nvSpPr>
      <xdr:spPr>
        <a:xfrm>
          <a:off x="19669125" y="228599"/>
          <a:ext cx="247650" cy="285751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342900</xdr:colOff>
      <xdr:row>39</xdr:row>
      <xdr:rowOff>123825</xdr:rowOff>
    </xdr:from>
    <xdr:to>
      <xdr:col>73</xdr:col>
      <xdr:colOff>123825</xdr:colOff>
      <xdr:row>115</xdr:row>
      <xdr:rowOff>152400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128588</xdr:colOff>
      <xdr:row>68</xdr:row>
      <xdr:rowOff>33338</xdr:rowOff>
    </xdr:from>
    <xdr:to>
      <xdr:col>44</xdr:col>
      <xdr:colOff>295276</xdr:colOff>
      <xdr:row>81</xdr:row>
      <xdr:rowOff>95251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45</xdr:col>
      <xdr:colOff>0</xdr:colOff>
      <xdr:row>68</xdr:row>
      <xdr:rowOff>0</xdr:rowOff>
    </xdr:from>
    <xdr:to>
      <xdr:col>52</xdr:col>
      <xdr:colOff>100013</xdr:colOff>
      <xdr:row>81</xdr:row>
      <xdr:rowOff>61913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53</xdr:col>
      <xdr:colOff>0</xdr:colOff>
      <xdr:row>68</xdr:row>
      <xdr:rowOff>0</xdr:rowOff>
    </xdr:from>
    <xdr:to>
      <xdr:col>60</xdr:col>
      <xdr:colOff>166688</xdr:colOff>
      <xdr:row>81</xdr:row>
      <xdr:rowOff>61913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0</xdr:colOff>
      <xdr:row>83</xdr:row>
      <xdr:rowOff>0</xdr:rowOff>
    </xdr:from>
    <xdr:to>
      <xdr:col>44</xdr:col>
      <xdr:colOff>166688</xdr:colOff>
      <xdr:row>96</xdr:row>
      <xdr:rowOff>61913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83</xdr:row>
      <xdr:rowOff>0</xdr:rowOff>
    </xdr:from>
    <xdr:to>
      <xdr:col>52</xdr:col>
      <xdr:colOff>100013</xdr:colOff>
      <xdr:row>96</xdr:row>
      <xdr:rowOff>61913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0</xdr:colOff>
      <xdr:row>83</xdr:row>
      <xdr:rowOff>19050</xdr:rowOff>
    </xdr:from>
    <xdr:to>
      <xdr:col>60</xdr:col>
      <xdr:colOff>166688</xdr:colOff>
      <xdr:row>96</xdr:row>
      <xdr:rowOff>80963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76</xdr:col>
      <xdr:colOff>9525</xdr:colOff>
      <xdr:row>0</xdr:row>
      <xdr:rowOff>314325</xdr:rowOff>
    </xdr:from>
    <xdr:to>
      <xdr:col>76</xdr:col>
      <xdr:colOff>295275</xdr:colOff>
      <xdr:row>0</xdr:row>
      <xdr:rowOff>590550</xdr:rowOff>
    </xdr:to>
    <xdr:sp macro="" textlink="">
      <xdr:nvSpPr>
        <xdr:cNvPr id="11" name="10 Botón de acción: Inicio">
          <a:hlinkClick xmlns:r="http://schemas.openxmlformats.org/officeDocument/2006/relationships" r:id="rId8"/>
        </xdr:cNvPr>
        <xdr:cNvSpPr/>
      </xdr:nvSpPr>
      <xdr:spPr>
        <a:xfrm>
          <a:off x="35556825" y="314325"/>
          <a:ext cx="285750" cy="27622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1</xdr:colOff>
      <xdr:row>57</xdr:row>
      <xdr:rowOff>81643</xdr:rowOff>
    </xdr:from>
    <xdr:to>
      <xdr:col>76</xdr:col>
      <xdr:colOff>371475</xdr:colOff>
      <xdr:row>87</xdr:row>
      <xdr:rowOff>72118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76</xdr:col>
      <xdr:colOff>228600</xdr:colOff>
      <xdr:row>0</xdr:row>
      <xdr:rowOff>352425</xdr:rowOff>
    </xdr:from>
    <xdr:to>
      <xdr:col>76</xdr:col>
      <xdr:colOff>514350</xdr:colOff>
      <xdr:row>0</xdr:row>
      <xdr:rowOff>657224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49682400" y="352425"/>
          <a:ext cx="285750" cy="304799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254540</xdr:colOff>
      <xdr:row>42</xdr:row>
      <xdr:rowOff>13154</xdr:rowOff>
    </xdr:from>
    <xdr:to>
      <xdr:col>17</xdr:col>
      <xdr:colOff>179614</xdr:colOff>
      <xdr:row>103</xdr:row>
      <xdr:rowOff>46264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504826</xdr:colOff>
      <xdr:row>70</xdr:row>
      <xdr:rowOff>114300</xdr:rowOff>
    </xdr:from>
    <xdr:to>
      <xdr:col>12</xdr:col>
      <xdr:colOff>476250</xdr:colOff>
      <xdr:row>93</xdr:row>
      <xdr:rowOff>85726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409575</xdr:colOff>
      <xdr:row>0</xdr:row>
      <xdr:rowOff>180975</xdr:rowOff>
    </xdr:from>
    <xdr:to>
      <xdr:col>16</xdr:col>
      <xdr:colOff>695325</xdr:colOff>
      <xdr:row>1</xdr:row>
      <xdr:rowOff>247650</xdr:rowOff>
    </xdr:to>
    <xdr:sp macro="" textlink="">
      <xdr:nvSpPr>
        <xdr:cNvPr id="12" name="11 Botón de acción: Inicio">
          <a:hlinkClick xmlns:r="http://schemas.openxmlformats.org/officeDocument/2006/relationships" r:id="rId3"/>
        </xdr:cNvPr>
        <xdr:cNvSpPr/>
      </xdr:nvSpPr>
      <xdr:spPr>
        <a:xfrm>
          <a:off x="12220575" y="180975"/>
          <a:ext cx="285750" cy="2667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171450</xdr:colOff>
      <xdr:row>44</xdr:row>
      <xdr:rowOff>142875</xdr:rowOff>
    </xdr:from>
    <xdr:to>
      <xdr:col>90</xdr:col>
      <xdr:colOff>447675</xdr:colOff>
      <xdr:row>81</xdr:row>
      <xdr:rowOff>85725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90</xdr:col>
      <xdr:colOff>190500</xdr:colOff>
      <xdr:row>0</xdr:row>
      <xdr:rowOff>161925</xdr:rowOff>
    </xdr:from>
    <xdr:to>
      <xdr:col>91</xdr:col>
      <xdr:colOff>0</xdr:colOff>
      <xdr:row>1</xdr:row>
      <xdr:rowOff>66675</xdr:rowOff>
    </xdr:to>
    <xdr:sp macro="" textlink="">
      <xdr:nvSpPr>
        <xdr:cNvPr id="32" name="31 Botón de acción: Inicio">
          <a:hlinkClick xmlns:r="http://schemas.openxmlformats.org/officeDocument/2006/relationships" r:id="rId2"/>
        </xdr:cNvPr>
        <xdr:cNvSpPr/>
      </xdr:nvSpPr>
      <xdr:spPr>
        <a:xfrm>
          <a:off x="39119175" y="161925"/>
          <a:ext cx="295275" cy="30480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381001</xdr:colOff>
      <xdr:row>44</xdr:row>
      <xdr:rowOff>257173</xdr:rowOff>
    </xdr:from>
    <xdr:to>
      <xdr:col>60</xdr:col>
      <xdr:colOff>352425</xdr:colOff>
      <xdr:row>130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152399</xdr:colOff>
      <xdr:row>70</xdr:row>
      <xdr:rowOff>76199</xdr:rowOff>
    </xdr:from>
    <xdr:to>
      <xdr:col>24</xdr:col>
      <xdr:colOff>371475</xdr:colOff>
      <xdr:row>82</xdr:row>
      <xdr:rowOff>161925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0</xdr:colOff>
      <xdr:row>70</xdr:row>
      <xdr:rowOff>0</xdr:rowOff>
    </xdr:from>
    <xdr:to>
      <xdr:col>33</xdr:col>
      <xdr:colOff>314326</xdr:colOff>
      <xdr:row>82</xdr:row>
      <xdr:rowOff>85726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70</xdr:row>
      <xdr:rowOff>0</xdr:rowOff>
    </xdr:from>
    <xdr:to>
      <xdr:col>42</xdr:col>
      <xdr:colOff>428626</xdr:colOff>
      <xdr:row>82</xdr:row>
      <xdr:rowOff>85726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70</xdr:row>
      <xdr:rowOff>0</xdr:rowOff>
    </xdr:from>
    <xdr:to>
      <xdr:col>51</xdr:col>
      <xdr:colOff>314326</xdr:colOff>
      <xdr:row>82</xdr:row>
      <xdr:rowOff>85726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0</xdr:colOff>
      <xdr:row>84</xdr:row>
      <xdr:rowOff>0</xdr:rowOff>
    </xdr:from>
    <xdr:to>
      <xdr:col>24</xdr:col>
      <xdr:colOff>219076</xdr:colOff>
      <xdr:row>96</xdr:row>
      <xdr:rowOff>85726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0</xdr:colOff>
      <xdr:row>84</xdr:row>
      <xdr:rowOff>0</xdr:rowOff>
    </xdr:from>
    <xdr:to>
      <xdr:col>33</xdr:col>
      <xdr:colOff>314326</xdr:colOff>
      <xdr:row>96</xdr:row>
      <xdr:rowOff>85726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42</xdr:col>
      <xdr:colOff>428626</xdr:colOff>
      <xdr:row>96</xdr:row>
      <xdr:rowOff>85726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44</xdr:col>
      <xdr:colOff>0</xdr:colOff>
      <xdr:row>84</xdr:row>
      <xdr:rowOff>0</xdr:rowOff>
    </xdr:from>
    <xdr:to>
      <xdr:col>51</xdr:col>
      <xdr:colOff>314326</xdr:colOff>
      <xdr:row>96</xdr:row>
      <xdr:rowOff>85726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98</xdr:row>
      <xdr:rowOff>0</xdr:rowOff>
    </xdr:from>
    <xdr:to>
      <xdr:col>24</xdr:col>
      <xdr:colOff>219076</xdr:colOff>
      <xdr:row>110</xdr:row>
      <xdr:rowOff>85726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98</xdr:row>
      <xdr:rowOff>0</xdr:rowOff>
    </xdr:from>
    <xdr:to>
      <xdr:col>33</xdr:col>
      <xdr:colOff>314326</xdr:colOff>
      <xdr:row>110</xdr:row>
      <xdr:rowOff>85726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34</xdr:col>
      <xdr:colOff>0</xdr:colOff>
      <xdr:row>98</xdr:row>
      <xdr:rowOff>0</xdr:rowOff>
    </xdr:from>
    <xdr:to>
      <xdr:col>42</xdr:col>
      <xdr:colOff>428626</xdr:colOff>
      <xdr:row>110</xdr:row>
      <xdr:rowOff>85726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44</xdr:col>
      <xdr:colOff>0</xdr:colOff>
      <xdr:row>98</xdr:row>
      <xdr:rowOff>0</xdr:rowOff>
    </xdr:from>
    <xdr:to>
      <xdr:col>51</xdr:col>
      <xdr:colOff>314326</xdr:colOff>
      <xdr:row>110</xdr:row>
      <xdr:rowOff>85726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533400</xdr:colOff>
      <xdr:row>112</xdr:row>
      <xdr:rowOff>0</xdr:rowOff>
    </xdr:from>
    <xdr:to>
      <xdr:col>24</xdr:col>
      <xdr:colOff>209551</xdr:colOff>
      <xdr:row>124</xdr:row>
      <xdr:rowOff>85726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25</xdr:col>
      <xdr:colOff>0</xdr:colOff>
      <xdr:row>112</xdr:row>
      <xdr:rowOff>0</xdr:rowOff>
    </xdr:from>
    <xdr:to>
      <xdr:col>33</xdr:col>
      <xdr:colOff>314326</xdr:colOff>
      <xdr:row>124</xdr:row>
      <xdr:rowOff>85726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34</xdr:col>
      <xdr:colOff>0</xdr:colOff>
      <xdr:row>111</xdr:row>
      <xdr:rowOff>0</xdr:rowOff>
    </xdr:from>
    <xdr:to>
      <xdr:col>42</xdr:col>
      <xdr:colOff>428626</xdr:colOff>
      <xdr:row>123</xdr:row>
      <xdr:rowOff>85726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44</xdr:col>
      <xdr:colOff>0</xdr:colOff>
      <xdr:row>111</xdr:row>
      <xdr:rowOff>0</xdr:rowOff>
    </xdr:from>
    <xdr:to>
      <xdr:col>51</xdr:col>
      <xdr:colOff>314326</xdr:colOff>
      <xdr:row>123</xdr:row>
      <xdr:rowOff>85726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60</xdr:col>
      <xdr:colOff>104775</xdr:colOff>
      <xdr:row>0</xdr:row>
      <xdr:rowOff>238125</xdr:rowOff>
    </xdr:from>
    <xdr:to>
      <xdr:col>60</xdr:col>
      <xdr:colOff>390525</xdr:colOff>
      <xdr:row>0</xdr:row>
      <xdr:rowOff>523875</xdr:rowOff>
    </xdr:to>
    <xdr:sp macro="" textlink="">
      <xdr:nvSpPr>
        <xdr:cNvPr id="26" name="25 Botón de acción: Inicio">
          <a:hlinkClick xmlns:r="http://schemas.openxmlformats.org/officeDocument/2006/relationships" r:id="rId18"/>
        </xdr:cNvPr>
        <xdr:cNvSpPr/>
      </xdr:nvSpPr>
      <xdr:spPr>
        <a:xfrm>
          <a:off x="29860875" y="238125"/>
          <a:ext cx="285750" cy="285750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66675</xdr:rowOff>
    </xdr:from>
    <xdr:to>
      <xdr:col>13</xdr:col>
      <xdr:colOff>561975</xdr:colOff>
      <xdr:row>1</xdr:row>
      <xdr:rowOff>104776</xdr:rowOff>
    </xdr:to>
    <xdr:sp macro="" textlink="">
      <xdr:nvSpPr>
        <xdr:cNvPr id="3" name="2 Botón de acción: Inicio">
          <a:hlinkClick xmlns:r="http://schemas.openxmlformats.org/officeDocument/2006/relationships" r:id="rId1"/>
        </xdr:cNvPr>
        <xdr:cNvSpPr/>
      </xdr:nvSpPr>
      <xdr:spPr>
        <a:xfrm>
          <a:off x="11772900" y="66675"/>
          <a:ext cx="295275" cy="276226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15</xdr:col>
      <xdr:colOff>342900</xdr:colOff>
      <xdr:row>4</xdr:row>
      <xdr:rowOff>76205</xdr:rowOff>
    </xdr:from>
    <xdr:to>
      <xdr:col>22</xdr:col>
      <xdr:colOff>609606</xdr:colOff>
      <xdr:row>22</xdr:row>
      <xdr:rowOff>104780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342894</xdr:colOff>
      <xdr:row>24</xdr:row>
      <xdr:rowOff>9524</xdr:rowOff>
    </xdr:from>
    <xdr:to>
      <xdr:col>22</xdr:col>
      <xdr:colOff>609600</xdr:colOff>
      <xdr:row>42</xdr:row>
      <xdr:rowOff>38099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23</xdr:col>
      <xdr:colOff>419094</xdr:colOff>
      <xdr:row>4</xdr:row>
      <xdr:rowOff>76199</xdr:rowOff>
    </xdr:from>
    <xdr:to>
      <xdr:col>30</xdr:col>
      <xdr:colOff>685800</xdr:colOff>
      <xdr:row>22</xdr:row>
      <xdr:rowOff>104774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23</xdr:col>
      <xdr:colOff>419094</xdr:colOff>
      <xdr:row>23</xdr:row>
      <xdr:rowOff>171449</xdr:rowOff>
    </xdr:from>
    <xdr:to>
      <xdr:col>30</xdr:col>
      <xdr:colOff>685800</xdr:colOff>
      <xdr:row>42</xdr:row>
      <xdr:rowOff>9524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654843</xdr:colOff>
      <xdr:row>55</xdr:row>
      <xdr:rowOff>104774</xdr:rowOff>
    </xdr:from>
    <xdr:to>
      <xdr:col>20</xdr:col>
      <xdr:colOff>284582</xdr:colOff>
      <xdr:row>90</xdr:row>
      <xdr:rowOff>21321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18615</xdr:colOff>
      <xdr:row>92</xdr:row>
      <xdr:rowOff>156944</xdr:rowOff>
    </xdr:from>
    <xdr:to>
      <xdr:col>20</xdr:col>
      <xdr:colOff>390524</xdr:colOff>
      <xdr:row>125</xdr:row>
      <xdr:rowOff>54769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165588</xdr:colOff>
      <xdr:row>0</xdr:row>
      <xdr:rowOff>152766</xdr:rowOff>
    </xdr:from>
    <xdr:to>
      <xdr:col>23</xdr:col>
      <xdr:colOff>448774</xdr:colOff>
      <xdr:row>2</xdr:row>
      <xdr:rowOff>47991</xdr:rowOff>
    </xdr:to>
    <xdr:sp macro="" textlink="">
      <xdr:nvSpPr>
        <xdr:cNvPr id="7" name="6 Botón de acción: Inicio">
          <a:hlinkClick xmlns:r="http://schemas.openxmlformats.org/officeDocument/2006/relationships" r:id="rId3"/>
        </xdr:cNvPr>
        <xdr:cNvSpPr/>
      </xdr:nvSpPr>
      <xdr:spPr>
        <a:xfrm>
          <a:off x="14234013" y="152766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23</xdr:col>
      <xdr:colOff>304800</xdr:colOff>
      <xdr:row>53</xdr:row>
      <xdr:rowOff>152400</xdr:rowOff>
    </xdr:from>
    <xdr:to>
      <xdr:col>24</xdr:col>
      <xdr:colOff>16486</xdr:colOff>
      <xdr:row>55</xdr:row>
      <xdr:rowOff>85725</xdr:rowOff>
    </xdr:to>
    <xdr:sp macro="" textlink="">
      <xdr:nvSpPr>
        <xdr:cNvPr id="5" name="6 Botón de acción: Inicio">
          <a:hlinkClick xmlns:r="http://schemas.openxmlformats.org/officeDocument/2006/relationships" r:id="rId4"/>
        </xdr:cNvPr>
        <xdr:cNvSpPr/>
      </xdr:nvSpPr>
      <xdr:spPr>
        <a:xfrm>
          <a:off x="14373225" y="14487525"/>
          <a:ext cx="283186" cy="257175"/>
        </a:xfrm>
        <a:prstGeom prst="actionButtonHome">
          <a:avLst/>
        </a:prstGeom>
        <a:solidFill>
          <a:srgbClr val="CC9900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116</xdr:row>
      <xdr:rowOff>0</xdr:rowOff>
    </xdr:from>
    <xdr:to>
      <xdr:col>2</xdr:col>
      <xdr:colOff>0</xdr:colOff>
      <xdr:row>125</xdr:row>
      <xdr:rowOff>0</xdr:rowOff>
    </xdr:to>
    <xdr:sp macro="" textlink="">
      <xdr:nvSpPr>
        <xdr:cNvPr id="20" name="Rectangle 107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116</xdr:row>
      <xdr:rowOff>0</xdr:rowOff>
    </xdr:from>
    <xdr:to>
      <xdr:col>2</xdr:col>
      <xdr:colOff>0</xdr:colOff>
      <xdr:row>125</xdr:row>
      <xdr:rowOff>0</xdr:rowOff>
    </xdr:to>
    <xdr:sp macro="" textlink="">
      <xdr:nvSpPr>
        <xdr:cNvPr id="21" name="Rectangle 108"/>
        <xdr:cNvSpPr>
          <a:spLocks noChangeArrowheads="1"/>
        </xdr:cNvSpPr>
      </xdr:nvSpPr>
      <xdr:spPr bwMode="auto">
        <a:xfrm>
          <a:off x="2971800" y="123825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138</xdr:row>
      <xdr:rowOff>0</xdr:rowOff>
    </xdr:to>
    <xdr:sp macro="" textlink="">
      <xdr:nvSpPr>
        <xdr:cNvPr id="22" name="Rectangle 107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116</xdr:row>
      <xdr:rowOff>0</xdr:rowOff>
    </xdr:from>
    <xdr:to>
      <xdr:col>6</xdr:col>
      <xdr:colOff>0</xdr:colOff>
      <xdr:row>138</xdr:row>
      <xdr:rowOff>0</xdr:rowOff>
    </xdr:to>
    <xdr:sp macro="" textlink="">
      <xdr:nvSpPr>
        <xdr:cNvPr id="23" name="Rectangle 108"/>
        <xdr:cNvSpPr>
          <a:spLocks noChangeArrowheads="1"/>
        </xdr:cNvSpPr>
      </xdr:nvSpPr>
      <xdr:spPr bwMode="auto">
        <a:xfrm>
          <a:off x="7658100" y="1238250"/>
          <a:ext cx="0" cy="421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120</xdr:row>
      <xdr:rowOff>0</xdr:rowOff>
    </xdr:from>
    <xdr:to>
      <xdr:col>10</xdr:col>
      <xdr:colOff>0</xdr:colOff>
      <xdr:row>134</xdr:row>
      <xdr:rowOff>0</xdr:rowOff>
    </xdr:to>
    <xdr:sp macro="" textlink="">
      <xdr:nvSpPr>
        <xdr:cNvPr id="24" name="Rectangle 107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120</xdr:row>
      <xdr:rowOff>0</xdr:rowOff>
    </xdr:from>
    <xdr:to>
      <xdr:col>10</xdr:col>
      <xdr:colOff>0</xdr:colOff>
      <xdr:row>134</xdr:row>
      <xdr:rowOff>0</xdr:rowOff>
    </xdr:to>
    <xdr:sp macro="" textlink="">
      <xdr:nvSpPr>
        <xdr:cNvPr id="25" name="Rectangle 108"/>
        <xdr:cNvSpPr>
          <a:spLocks noChangeArrowheads="1"/>
        </xdr:cNvSpPr>
      </xdr:nvSpPr>
      <xdr:spPr bwMode="auto">
        <a:xfrm>
          <a:off x="12582525" y="2000250"/>
          <a:ext cx="0" cy="269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132</xdr:row>
      <xdr:rowOff>0</xdr:rowOff>
    </xdr:from>
    <xdr:to>
      <xdr:col>10</xdr:col>
      <xdr:colOff>0</xdr:colOff>
      <xdr:row>134</xdr:row>
      <xdr:rowOff>0</xdr:rowOff>
    </xdr:to>
    <xdr:sp macro="" textlink="">
      <xdr:nvSpPr>
        <xdr:cNvPr id="26" name="Rectangle 107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132</xdr:row>
      <xdr:rowOff>0</xdr:rowOff>
    </xdr:from>
    <xdr:to>
      <xdr:col>10</xdr:col>
      <xdr:colOff>0</xdr:colOff>
      <xdr:row>134</xdr:row>
      <xdr:rowOff>0</xdr:rowOff>
    </xdr:to>
    <xdr:sp macro="" textlink="">
      <xdr:nvSpPr>
        <xdr:cNvPr id="27" name="Rectangle 108"/>
        <xdr:cNvSpPr>
          <a:spLocks noChangeArrowheads="1"/>
        </xdr:cNvSpPr>
      </xdr:nvSpPr>
      <xdr:spPr bwMode="auto">
        <a:xfrm>
          <a:off x="12582525" y="4286250"/>
          <a:ext cx="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0</xdr:colOff>
      <xdr:row>171</xdr:row>
      <xdr:rowOff>0</xdr:rowOff>
    </xdr:to>
    <xdr:sp macro="" textlink="">
      <xdr:nvSpPr>
        <xdr:cNvPr id="12" name="Rectangle 107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152</xdr:row>
      <xdr:rowOff>0</xdr:rowOff>
    </xdr:from>
    <xdr:to>
      <xdr:col>2</xdr:col>
      <xdr:colOff>0</xdr:colOff>
      <xdr:row>171</xdr:row>
      <xdr:rowOff>0</xdr:rowOff>
    </xdr:to>
    <xdr:sp macro="" textlink="">
      <xdr:nvSpPr>
        <xdr:cNvPr id="13" name="Rectangle 108"/>
        <xdr:cNvSpPr>
          <a:spLocks noChangeArrowheads="1"/>
        </xdr:cNvSpPr>
      </xdr:nvSpPr>
      <xdr:spPr bwMode="auto">
        <a:xfrm>
          <a:off x="2486025" y="138112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185</xdr:row>
      <xdr:rowOff>0</xdr:rowOff>
    </xdr:to>
    <xdr:sp macro="" textlink="">
      <xdr:nvSpPr>
        <xdr:cNvPr id="14" name="Rectangle 107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152</xdr:row>
      <xdr:rowOff>0</xdr:rowOff>
    </xdr:from>
    <xdr:to>
      <xdr:col>6</xdr:col>
      <xdr:colOff>0</xdr:colOff>
      <xdr:row>185</xdr:row>
      <xdr:rowOff>0</xdr:rowOff>
    </xdr:to>
    <xdr:sp macro="" textlink="">
      <xdr:nvSpPr>
        <xdr:cNvPr id="15" name="Rectangle 108"/>
        <xdr:cNvSpPr>
          <a:spLocks noChangeArrowheads="1"/>
        </xdr:cNvSpPr>
      </xdr:nvSpPr>
      <xdr:spPr bwMode="auto">
        <a:xfrm>
          <a:off x="7381875" y="1381125"/>
          <a:ext cx="0" cy="6286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151</xdr:row>
      <xdr:rowOff>0</xdr:rowOff>
    </xdr:from>
    <xdr:to>
      <xdr:col>10</xdr:col>
      <xdr:colOff>0</xdr:colOff>
      <xdr:row>171</xdr:row>
      <xdr:rowOff>0</xdr:rowOff>
    </xdr:to>
    <xdr:sp macro="" textlink="">
      <xdr:nvSpPr>
        <xdr:cNvPr id="16" name="Rectangle 107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151</xdr:row>
      <xdr:rowOff>0</xdr:rowOff>
    </xdr:from>
    <xdr:to>
      <xdr:col>10</xdr:col>
      <xdr:colOff>0</xdr:colOff>
      <xdr:row>171</xdr:row>
      <xdr:rowOff>0</xdr:rowOff>
    </xdr:to>
    <xdr:sp macro="" textlink="">
      <xdr:nvSpPr>
        <xdr:cNvPr id="17" name="Rectangle 108"/>
        <xdr:cNvSpPr>
          <a:spLocks noChangeArrowheads="1"/>
        </xdr:cNvSpPr>
      </xdr:nvSpPr>
      <xdr:spPr bwMode="auto">
        <a:xfrm>
          <a:off x="13230225" y="1190625"/>
          <a:ext cx="0" cy="3810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153</xdr:row>
      <xdr:rowOff>0</xdr:rowOff>
    </xdr:from>
    <xdr:to>
      <xdr:col>10</xdr:col>
      <xdr:colOff>0</xdr:colOff>
      <xdr:row>175</xdr:row>
      <xdr:rowOff>0</xdr:rowOff>
    </xdr:to>
    <xdr:sp macro="" textlink="">
      <xdr:nvSpPr>
        <xdr:cNvPr id="18" name="Rectangle 107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153</xdr:row>
      <xdr:rowOff>0</xdr:rowOff>
    </xdr:from>
    <xdr:to>
      <xdr:col>10</xdr:col>
      <xdr:colOff>0</xdr:colOff>
      <xdr:row>175</xdr:row>
      <xdr:rowOff>0</xdr:rowOff>
    </xdr:to>
    <xdr:sp macro="" textlink="">
      <xdr:nvSpPr>
        <xdr:cNvPr id="19" name="Rectangle 108"/>
        <xdr:cNvSpPr>
          <a:spLocks noChangeArrowheads="1"/>
        </xdr:cNvSpPr>
      </xdr:nvSpPr>
      <xdr:spPr bwMode="auto">
        <a:xfrm>
          <a:off x="13230225" y="1571625"/>
          <a:ext cx="0" cy="419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0</xdr:rowOff>
    </xdr:from>
    <xdr:to>
      <xdr:col>2</xdr:col>
      <xdr:colOff>0</xdr:colOff>
      <xdr:row>219</xdr:row>
      <xdr:rowOff>0</xdr:rowOff>
    </xdr:to>
    <xdr:sp macro="" textlink="">
      <xdr:nvSpPr>
        <xdr:cNvPr id="28" name="Rectangle 107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195</xdr:row>
      <xdr:rowOff>0</xdr:rowOff>
    </xdr:from>
    <xdr:to>
      <xdr:col>2</xdr:col>
      <xdr:colOff>0</xdr:colOff>
      <xdr:row>219</xdr:row>
      <xdr:rowOff>0</xdr:rowOff>
    </xdr:to>
    <xdr:sp macro="" textlink="">
      <xdr:nvSpPr>
        <xdr:cNvPr id="29" name="Rectangle 108"/>
        <xdr:cNvSpPr>
          <a:spLocks noChangeArrowheads="1"/>
        </xdr:cNvSpPr>
      </xdr:nvSpPr>
      <xdr:spPr bwMode="auto">
        <a:xfrm>
          <a:off x="2762250" y="15525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195</xdr:row>
      <xdr:rowOff>0</xdr:rowOff>
    </xdr:from>
    <xdr:to>
      <xdr:col>6</xdr:col>
      <xdr:colOff>0</xdr:colOff>
      <xdr:row>222</xdr:row>
      <xdr:rowOff>0</xdr:rowOff>
    </xdr:to>
    <xdr:sp macro="" textlink="">
      <xdr:nvSpPr>
        <xdr:cNvPr id="30" name="Rectangle 107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195</xdr:row>
      <xdr:rowOff>0</xdr:rowOff>
    </xdr:from>
    <xdr:to>
      <xdr:col>6</xdr:col>
      <xdr:colOff>0</xdr:colOff>
      <xdr:row>222</xdr:row>
      <xdr:rowOff>0</xdr:rowOff>
    </xdr:to>
    <xdr:sp macro="" textlink="">
      <xdr:nvSpPr>
        <xdr:cNvPr id="31" name="Rectangle 108"/>
        <xdr:cNvSpPr>
          <a:spLocks noChangeArrowheads="1"/>
        </xdr:cNvSpPr>
      </xdr:nvSpPr>
      <xdr:spPr bwMode="auto">
        <a:xfrm>
          <a:off x="7743825" y="1552575"/>
          <a:ext cx="0" cy="514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194</xdr:row>
      <xdr:rowOff>0</xdr:rowOff>
    </xdr:from>
    <xdr:to>
      <xdr:col>10</xdr:col>
      <xdr:colOff>0</xdr:colOff>
      <xdr:row>218</xdr:row>
      <xdr:rowOff>0</xdr:rowOff>
    </xdr:to>
    <xdr:sp macro="" textlink="">
      <xdr:nvSpPr>
        <xdr:cNvPr id="32" name="Rectangle 107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194</xdr:row>
      <xdr:rowOff>0</xdr:rowOff>
    </xdr:from>
    <xdr:to>
      <xdr:col>10</xdr:col>
      <xdr:colOff>0</xdr:colOff>
      <xdr:row>218</xdr:row>
      <xdr:rowOff>0</xdr:rowOff>
    </xdr:to>
    <xdr:sp macro="" textlink="">
      <xdr:nvSpPr>
        <xdr:cNvPr id="33" name="Rectangle 108"/>
        <xdr:cNvSpPr>
          <a:spLocks noChangeArrowheads="1"/>
        </xdr:cNvSpPr>
      </xdr:nvSpPr>
      <xdr:spPr bwMode="auto">
        <a:xfrm>
          <a:off x="13344525" y="1362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196</xdr:row>
      <xdr:rowOff>0</xdr:rowOff>
    </xdr:from>
    <xdr:to>
      <xdr:col>10</xdr:col>
      <xdr:colOff>0</xdr:colOff>
      <xdr:row>220</xdr:row>
      <xdr:rowOff>0</xdr:rowOff>
    </xdr:to>
    <xdr:sp macro="" textlink="">
      <xdr:nvSpPr>
        <xdr:cNvPr id="34" name="Rectangle 107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196</xdr:row>
      <xdr:rowOff>0</xdr:rowOff>
    </xdr:from>
    <xdr:to>
      <xdr:col>10</xdr:col>
      <xdr:colOff>0</xdr:colOff>
      <xdr:row>220</xdr:row>
      <xdr:rowOff>0</xdr:rowOff>
    </xdr:to>
    <xdr:sp macro="" textlink="">
      <xdr:nvSpPr>
        <xdr:cNvPr id="35" name="Rectangle 108"/>
        <xdr:cNvSpPr>
          <a:spLocks noChangeArrowheads="1"/>
        </xdr:cNvSpPr>
      </xdr:nvSpPr>
      <xdr:spPr bwMode="auto">
        <a:xfrm>
          <a:off x="13344525" y="1743075"/>
          <a:ext cx="0" cy="457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36" name="Rectangle 107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233</xdr:row>
      <xdr:rowOff>0</xdr:rowOff>
    </xdr:from>
    <xdr:to>
      <xdr:col>2</xdr:col>
      <xdr:colOff>0</xdr:colOff>
      <xdr:row>251</xdr:row>
      <xdr:rowOff>0</xdr:rowOff>
    </xdr:to>
    <xdr:sp macro="" textlink="">
      <xdr:nvSpPr>
        <xdr:cNvPr id="37" name="Rectangle 108"/>
        <xdr:cNvSpPr>
          <a:spLocks noChangeArrowheads="1"/>
        </xdr:cNvSpPr>
      </xdr:nvSpPr>
      <xdr:spPr bwMode="auto">
        <a:xfrm>
          <a:off x="3505200" y="1285875"/>
          <a:ext cx="0" cy="3619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234</xdr:row>
      <xdr:rowOff>0</xdr:rowOff>
    </xdr:from>
    <xdr:to>
      <xdr:col>6</xdr:col>
      <xdr:colOff>0</xdr:colOff>
      <xdr:row>253</xdr:row>
      <xdr:rowOff>0</xdr:rowOff>
    </xdr:to>
    <xdr:sp macro="" textlink="">
      <xdr:nvSpPr>
        <xdr:cNvPr id="38" name="Rectangle 107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0</xdr:colOff>
      <xdr:row>234</xdr:row>
      <xdr:rowOff>0</xdr:rowOff>
    </xdr:from>
    <xdr:to>
      <xdr:col>6</xdr:col>
      <xdr:colOff>0</xdr:colOff>
      <xdr:row>253</xdr:row>
      <xdr:rowOff>0</xdr:rowOff>
    </xdr:to>
    <xdr:sp macro="" textlink="">
      <xdr:nvSpPr>
        <xdr:cNvPr id="39" name="Rectangle 108"/>
        <xdr:cNvSpPr>
          <a:spLocks noChangeArrowheads="1"/>
        </xdr:cNvSpPr>
      </xdr:nvSpPr>
      <xdr:spPr bwMode="auto">
        <a:xfrm>
          <a:off x="3505200" y="8096250"/>
          <a:ext cx="0" cy="37528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233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0" name="Rectangle 107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233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1" name="Rectangle 108"/>
        <xdr:cNvSpPr>
          <a:spLocks noChangeArrowheads="1"/>
        </xdr:cNvSpPr>
      </xdr:nvSpPr>
      <xdr:spPr bwMode="auto">
        <a:xfrm>
          <a:off x="9810750" y="14211300"/>
          <a:ext cx="0" cy="952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234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2" name="Rectangle 107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234</xdr:row>
      <xdr:rowOff>0</xdr:rowOff>
    </xdr:from>
    <xdr:to>
      <xdr:col>10</xdr:col>
      <xdr:colOff>0</xdr:colOff>
      <xdr:row>238</xdr:row>
      <xdr:rowOff>0</xdr:rowOff>
    </xdr:to>
    <xdr:sp macro="" textlink="">
      <xdr:nvSpPr>
        <xdr:cNvPr id="43" name="Rectangle 108"/>
        <xdr:cNvSpPr>
          <a:spLocks noChangeArrowheads="1"/>
        </xdr:cNvSpPr>
      </xdr:nvSpPr>
      <xdr:spPr bwMode="auto">
        <a:xfrm>
          <a:off x="9810750" y="1440180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267</xdr:row>
      <xdr:rowOff>0</xdr:rowOff>
    </xdr:from>
    <xdr:to>
      <xdr:col>2</xdr:col>
      <xdr:colOff>0</xdr:colOff>
      <xdr:row>285</xdr:row>
      <xdr:rowOff>0</xdr:rowOff>
    </xdr:to>
    <xdr:sp macro="" textlink="">
      <xdr:nvSpPr>
        <xdr:cNvPr id="44" name="Rectangle 107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267</xdr:row>
      <xdr:rowOff>0</xdr:rowOff>
    </xdr:from>
    <xdr:to>
      <xdr:col>2</xdr:col>
      <xdr:colOff>0</xdr:colOff>
      <xdr:row>285</xdr:row>
      <xdr:rowOff>0</xdr:rowOff>
    </xdr:to>
    <xdr:sp macro="" textlink="">
      <xdr:nvSpPr>
        <xdr:cNvPr id="45" name="Rectangle 108"/>
        <xdr:cNvSpPr>
          <a:spLocks noChangeArrowheads="1"/>
        </xdr:cNvSpPr>
      </xdr:nvSpPr>
      <xdr:spPr bwMode="auto">
        <a:xfrm>
          <a:off x="35814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266</xdr:row>
      <xdr:rowOff>0</xdr:rowOff>
    </xdr:from>
    <xdr:to>
      <xdr:col>10</xdr:col>
      <xdr:colOff>0</xdr:colOff>
      <xdr:row>270</xdr:row>
      <xdr:rowOff>0</xdr:rowOff>
    </xdr:to>
    <xdr:sp macro="" textlink="">
      <xdr:nvSpPr>
        <xdr:cNvPr id="46" name="Rectangle 107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266</xdr:row>
      <xdr:rowOff>0</xdr:rowOff>
    </xdr:from>
    <xdr:to>
      <xdr:col>10</xdr:col>
      <xdr:colOff>0</xdr:colOff>
      <xdr:row>270</xdr:row>
      <xdr:rowOff>0</xdr:rowOff>
    </xdr:to>
    <xdr:sp macro="" textlink="">
      <xdr:nvSpPr>
        <xdr:cNvPr id="47" name="Rectangle 108"/>
        <xdr:cNvSpPr>
          <a:spLocks noChangeArrowheads="1"/>
        </xdr:cNvSpPr>
      </xdr:nvSpPr>
      <xdr:spPr bwMode="auto">
        <a:xfrm>
          <a:off x="13068300" y="1524000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267</xdr:row>
      <xdr:rowOff>0</xdr:rowOff>
    </xdr:from>
    <xdr:to>
      <xdr:col>6</xdr:col>
      <xdr:colOff>0</xdr:colOff>
      <xdr:row>285</xdr:row>
      <xdr:rowOff>0</xdr:rowOff>
    </xdr:to>
    <xdr:sp macro="" textlink="">
      <xdr:nvSpPr>
        <xdr:cNvPr id="48" name="Rectangle 107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267</xdr:row>
      <xdr:rowOff>0</xdr:rowOff>
    </xdr:from>
    <xdr:to>
      <xdr:col>6</xdr:col>
      <xdr:colOff>0</xdr:colOff>
      <xdr:row>285</xdr:row>
      <xdr:rowOff>0</xdr:rowOff>
    </xdr:to>
    <xdr:sp macro="" textlink="">
      <xdr:nvSpPr>
        <xdr:cNvPr id="49" name="Rectangle 108"/>
        <xdr:cNvSpPr>
          <a:spLocks noChangeArrowheads="1"/>
        </xdr:cNvSpPr>
      </xdr:nvSpPr>
      <xdr:spPr bwMode="auto">
        <a:xfrm>
          <a:off x="8420100" y="1714500"/>
          <a:ext cx="0" cy="3429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267</xdr:row>
      <xdr:rowOff>0</xdr:rowOff>
    </xdr:from>
    <xdr:to>
      <xdr:col>10</xdr:col>
      <xdr:colOff>0</xdr:colOff>
      <xdr:row>270</xdr:row>
      <xdr:rowOff>0</xdr:rowOff>
    </xdr:to>
    <xdr:sp macro="" textlink="">
      <xdr:nvSpPr>
        <xdr:cNvPr id="50" name="Rectangle 107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267</xdr:row>
      <xdr:rowOff>0</xdr:rowOff>
    </xdr:from>
    <xdr:to>
      <xdr:col>10</xdr:col>
      <xdr:colOff>0</xdr:colOff>
      <xdr:row>270</xdr:row>
      <xdr:rowOff>0</xdr:rowOff>
    </xdr:to>
    <xdr:sp macro="" textlink="">
      <xdr:nvSpPr>
        <xdr:cNvPr id="51" name="Rectangle 108"/>
        <xdr:cNvSpPr>
          <a:spLocks noChangeArrowheads="1"/>
        </xdr:cNvSpPr>
      </xdr:nvSpPr>
      <xdr:spPr bwMode="auto">
        <a:xfrm>
          <a:off x="13068300" y="1714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0</xdr:colOff>
      <xdr:row>327</xdr:row>
      <xdr:rowOff>0</xdr:rowOff>
    </xdr:to>
    <xdr:sp macro="" textlink="">
      <xdr:nvSpPr>
        <xdr:cNvPr id="62" name="Rectangle 1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0</xdr:colOff>
      <xdr:row>327</xdr:row>
      <xdr:rowOff>0</xdr:rowOff>
    </xdr:to>
    <xdr:sp macro="" textlink="">
      <xdr:nvSpPr>
        <xdr:cNvPr id="63" name="Rectangle 2"/>
        <xdr:cNvSpPr>
          <a:spLocks noChangeArrowheads="1"/>
        </xdr:cNvSpPr>
      </xdr:nvSpPr>
      <xdr:spPr bwMode="auto">
        <a:xfrm>
          <a:off x="4705350" y="4819650"/>
          <a:ext cx="0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0</xdr:colOff>
      <xdr:row>319</xdr:row>
      <xdr:rowOff>0</xdr:rowOff>
    </xdr:to>
    <xdr:sp macro="" textlink="">
      <xdr:nvSpPr>
        <xdr:cNvPr id="64" name="Rectangle 1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0</xdr:colOff>
      <xdr:row>319</xdr:row>
      <xdr:rowOff>0</xdr:rowOff>
    </xdr:to>
    <xdr:sp macro="" textlink="">
      <xdr:nvSpPr>
        <xdr:cNvPr id="65" name="Rectangle 2"/>
        <xdr:cNvSpPr>
          <a:spLocks noChangeArrowheads="1"/>
        </xdr:cNvSpPr>
      </xdr:nvSpPr>
      <xdr:spPr bwMode="auto">
        <a:xfrm>
          <a:off x="4705350" y="3600450"/>
          <a:ext cx="0" cy="762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0</xdr:colOff>
      <xdr:row>338</xdr:row>
      <xdr:rowOff>0</xdr:rowOff>
    </xdr:to>
    <xdr:sp macro="" textlink="">
      <xdr:nvSpPr>
        <xdr:cNvPr id="66" name="Rectangle 107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0</xdr:colOff>
      <xdr:row>338</xdr:row>
      <xdr:rowOff>0</xdr:rowOff>
    </xdr:to>
    <xdr:sp macro="" textlink="">
      <xdr:nvSpPr>
        <xdr:cNvPr id="67" name="Rectangle 108"/>
        <xdr:cNvSpPr>
          <a:spLocks noChangeArrowheads="1"/>
        </xdr:cNvSpPr>
      </xdr:nvSpPr>
      <xdr:spPr bwMode="auto">
        <a:xfrm>
          <a:off x="4705350" y="6800850"/>
          <a:ext cx="0" cy="13335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sp>
    <xdr:clientData/>
  </xdr:twoCellAnchor>
  <xdr:twoCellAnchor>
    <xdr:from>
      <xdr:col>10</xdr:col>
      <xdr:colOff>0</xdr:colOff>
      <xdr:row>296</xdr:row>
      <xdr:rowOff>0</xdr:rowOff>
    </xdr:from>
    <xdr:to>
      <xdr:col>10</xdr:col>
      <xdr:colOff>0</xdr:colOff>
      <xdr:row>300</xdr:row>
      <xdr:rowOff>0</xdr:rowOff>
    </xdr:to>
    <xdr:sp macro="" textlink="">
      <xdr:nvSpPr>
        <xdr:cNvPr id="68" name="Rectangle 107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296</xdr:row>
      <xdr:rowOff>0</xdr:rowOff>
    </xdr:from>
    <xdr:to>
      <xdr:col>10</xdr:col>
      <xdr:colOff>0</xdr:colOff>
      <xdr:row>300</xdr:row>
      <xdr:rowOff>0</xdr:rowOff>
    </xdr:to>
    <xdr:sp macro="" textlink="">
      <xdr:nvSpPr>
        <xdr:cNvPr id="69" name="Rectangle 108"/>
        <xdr:cNvSpPr>
          <a:spLocks noChangeArrowheads="1"/>
        </xdr:cNvSpPr>
      </xdr:nvSpPr>
      <xdr:spPr bwMode="auto">
        <a:xfrm>
          <a:off x="12134850" y="34413825"/>
          <a:ext cx="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297</xdr:row>
      <xdr:rowOff>0</xdr:rowOff>
    </xdr:from>
    <xdr:to>
      <xdr:col>10</xdr:col>
      <xdr:colOff>0</xdr:colOff>
      <xdr:row>300</xdr:row>
      <xdr:rowOff>0</xdr:rowOff>
    </xdr:to>
    <xdr:sp macro="" textlink="">
      <xdr:nvSpPr>
        <xdr:cNvPr id="70" name="Rectangle 107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297</xdr:row>
      <xdr:rowOff>0</xdr:rowOff>
    </xdr:from>
    <xdr:to>
      <xdr:col>10</xdr:col>
      <xdr:colOff>0</xdr:colOff>
      <xdr:row>300</xdr:row>
      <xdr:rowOff>0</xdr:rowOff>
    </xdr:to>
    <xdr:sp macro="" textlink="">
      <xdr:nvSpPr>
        <xdr:cNvPr id="71" name="Rectangle 108"/>
        <xdr:cNvSpPr>
          <a:spLocks noChangeArrowheads="1"/>
        </xdr:cNvSpPr>
      </xdr:nvSpPr>
      <xdr:spPr bwMode="auto">
        <a:xfrm>
          <a:off x="12134850" y="34604325"/>
          <a:ext cx="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0</xdr:colOff>
      <xdr:row>385</xdr:row>
      <xdr:rowOff>0</xdr:rowOff>
    </xdr:to>
    <xdr:sp macro="" textlink="">
      <xdr:nvSpPr>
        <xdr:cNvPr id="72" name="Rectangle 1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0</xdr:colOff>
      <xdr:row>385</xdr:row>
      <xdr:rowOff>0</xdr:rowOff>
    </xdr:to>
    <xdr:sp macro="" textlink="">
      <xdr:nvSpPr>
        <xdr:cNvPr id="73" name="Rectangle 2"/>
        <xdr:cNvSpPr>
          <a:spLocks noChangeArrowheads="1"/>
        </xdr:cNvSpPr>
      </xdr:nvSpPr>
      <xdr:spPr bwMode="auto">
        <a:xfrm>
          <a:off x="4457700" y="4848225"/>
          <a:ext cx="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0</xdr:colOff>
      <xdr:row>378</xdr:row>
      <xdr:rowOff>0</xdr:rowOff>
    </xdr:to>
    <xdr:sp macro="" textlink="">
      <xdr:nvSpPr>
        <xdr:cNvPr id="74" name="Rectangle 1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0</xdr:colOff>
      <xdr:row>378</xdr:row>
      <xdr:rowOff>0</xdr:rowOff>
    </xdr:to>
    <xdr:sp macro="" textlink="">
      <xdr:nvSpPr>
        <xdr:cNvPr id="75" name="Rectangle 2"/>
        <xdr:cNvSpPr>
          <a:spLocks noChangeArrowheads="1"/>
        </xdr:cNvSpPr>
      </xdr:nvSpPr>
      <xdr:spPr bwMode="auto">
        <a:xfrm>
          <a:off x="4457700" y="35909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355</xdr:row>
      <xdr:rowOff>0</xdr:rowOff>
    </xdr:from>
    <xdr:to>
      <xdr:col>10</xdr:col>
      <xdr:colOff>0</xdr:colOff>
      <xdr:row>359</xdr:row>
      <xdr:rowOff>0</xdr:rowOff>
    </xdr:to>
    <xdr:sp macro="" textlink="">
      <xdr:nvSpPr>
        <xdr:cNvPr id="76" name="Rectangle 107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355</xdr:row>
      <xdr:rowOff>0</xdr:rowOff>
    </xdr:from>
    <xdr:to>
      <xdr:col>10</xdr:col>
      <xdr:colOff>0</xdr:colOff>
      <xdr:row>359</xdr:row>
      <xdr:rowOff>0</xdr:rowOff>
    </xdr:to>
    <xdr:sp macro="" textlink="">
      <xdr:nvSpPr>
        <xdr:cNvPr id="77" name="Rectangle 108"/>
        <xdr:cNvSpPr>
          <a:spLocks noChangeArrowheads="1"/>
        </xdr:cNvSpPr>
      </xdr:nvSpPr>
      <xdr:spPr bwMode="auto">
        <a:xfrm>
          <a:off x="12134850" y="40586025"/>
          <a:ext cx="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356</xdr:row>
      <xdr:rowOff>0</xdr:rowOff>
    </xdr:from>
    <xdr:to>
      <xdr:col>10</xdr:col>
      <xdr:colOff>0</xdr:colOff>
      <xdr:row>359</xdr:row>
      <xdr:rowOff>0</xdr:rowOff>
    </xdr:to>
    <xdr:sp macro="" textlink="">
      <xdr:nvSpPr>
        <xdr:cNvPr id="78" name="Rectangle 107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356</xdr:row>
      <xdr:rowOff>0</xdr:rowOff>
    </xdr:from>
    <xdr:to>
      <xdr:col>10</xdr:col>
      <xdr:colOff>0</xdr:colOff>
      <xdr:row>359</xdr:row>
      <xdr:rowOff>0</xdr:rowOff>
    </xdr:to>
    <xdr:sp macro="" textlink="">
      <xdr:nvSpPr>
        <xdr:cNvPr id="79" name="Rectangle 108"/>
        <xdr:cNvSpPr>
          <a:spLocks noChangeArrowheads="1"/>
        </xdr:cNvSpPr>
      </xdr:nvSpPr>
      <xdr:spPr bwMode="auto">
        <a:xfrm>
          <a:off x="12134850" y="40776525"/>
          <a:ext cx="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11</xdr:col>
      <xdr:colOff>19050</xdr:colOff>
      <xdr:row>0</xdr:row>
      <xdr:rowOff>50800</xdr:rowOff>
    </xdr:from>
    <xdr:to>
      <xdr:col>11</xdr:col>
      <xdr:colOff>304800</xdr:colOff>
      <xdr:row>1</xdr:row>
      <xdr:rowOff>98425</xdr:rowOff>
    </xdr:to>
    <xdr:sp macro="" textlink="">
      <xdr:nvSpPr>
        <xdr:cNvPr id="61" name="60 Botón de acción: Inicio">
          <a:hlinkClick xmlns:r="http://schemas.openxmlformats.org/officeDocument/2006/relationships" r:id="rId1"/>
        </xdr:cNvPr>
        <xdr:cNvSpPr/>
      </xdr:nvSpPr>
      <xdr:spPr>
        <a:xfrm>
          <a:off x="12820650" y="50800"/>
          <a:ext cx="285750" cy="28575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0</xdr:colOff>
      <xdr:row>92</xdr:row>
      <xdr:rowOff>0</xdr:rowOff>
    </xdr:to>
    <xdr:sp macro="" textlink="">
      <xdr:nvSpPr>
        <xdr:cNvPr id="84" name="Rectangle 107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81</xdr:row>
      <xdr:rowOff>0</xdr:rowOff>
    </xdr:from>
    <xdr:to>
      <xdr:col>2</xdr:col>
      <xdr:colOff>0</xdr:colOff>
      <xdr:row>92</xdr:row>
      <xdr:rowOff>0</xdr:rowOff>
    </xdr:to>
    <xdr:sp macro="" textlink="">
      <xdr:nvSpPr>
        <xdr:cNvPr id="85" name="Rectangle 108"/>
        <xdr:cNvSpPr>
          <a:spLocks noChangeArrowheads="1"/>
        </xdr:cNvSpPr>
      </xdr:nvSpPr>
      <xdr:spPr bwMode="auto">
        <a:xfrm>
          <a:off x="2971800" y="1428750"/>
          <a:ext cx="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81</xdr:row>
      <xdr:rowOff>0</xdr:rowOff>
    </xdr:from>
    <xdr:to>
      <xdr:col>6</xdr:col>
      <xdr:colOff>0</xdr:colOff>
      <xdr:row>107</xdr:row>
      <xdr:rowOff>0</xdr:rowOff>
    </xdr:to>
    <xdr:sp macro="" textlink="">
      <xdr:nvSpPr>
        <xdr:cNvPr id="86" name="Rectangle 107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81</xdr:row>
      <xdr:rowOff>0</xdr:rowOff>
    </xdr:from>
    <xdr:to>
      <xdr:col>6</xdr:col>
      <xdr:colOff>0</xdr:colOff>
      <xdr:row>107</xdr:row>
      <xdr:rowOff>0</xdr:rowOff>
    </xdr:to>
    <xdr:sp macro="" textlink="">
      <xdr:nvSpPr>
        <xdr:cNvPr id="87" name="Rectangle 108"/>
        <xdr:cNvSpPr>
          <a:spLocks noChangeArrowheads="1"/>
        </xdr:cNvSpPr>
      </xdr:nvSpPr>
      <xdr:spPr bwMode="auto">
        <a:xfrm>
          <a:off x="7658100" y="1428750"/>
          <a:ext cx="0" cy="501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80</xdr:row>
      <xdr:rowOff>0</xdr:rowOff>
    </xdr:from>
    <xdr:to>
      <xdr:col>10</xdr:col>
      <xdr:colOff>0</xdr:colOff>
      <xdr:row>89</xdr:row>
      <xdr:rowOff>0</xdr:rowOff>
    </xdr:to>
    <xdr:sp macro="" textlink="">
      <xdr:nvSpPr>
        <xdr:cNvPr id="88" name="Rectangle 107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80</xdr:row>
      <xdr:rowOff>0</xdr:rowOff>
    </xdr:from>
    <xdr:to>
      <xdr:col>10</xdr:col>
      <xdr:colOff>0</xdr:colOff>
      <xdr:row>89</xdr:row>
      <xdr:rowOff>0</xdr:rowOff>
    </xdr:to>
    <xdr:sp macro="" textlink="">
      <xdr:nvSpPr>
        <xdr:cNvPr id="89" name="Rectangle 108"/>
        <xdr:cNvSpPr>
          <a:spLocks noChangeArrowheads="1"/>
        </xdr:cNvSpPr>
      </xdr:nvSpPr>
      <xdr:spPr bwMode="auto">
        <a:xfrm>
          <a:off x="4229100" y="1190625"/>
          <a:ext cx="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87</xdr:row>
      <xdr:rowOff>0</xdr:rowOff>
    </xdr:from>
    <xdr:to>
      <xdr:col>10</xdr:col>
      <xdr:colOff>0</xdr:colOff>
      <xdr:row>89</xdr:row>
      <xdr:rowOff>0</xdr:rowOff>
    </xdr:to>
    <xdr:sp macro="" textlink="">
      <xdr:nvSpPr>
        <xdr:cNvPr id="90" name="Rectangle 107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87</xdr:row>
      <xdr:rowOff>0</xdr:rowOff>
    </xdr:from>
    <xdr:to>
      <xdr:col>10</xdr:col>
      <xdr:colOff>0</xdr:colOff>
      <xdr:row>89</xdr:row>
      <xdr:rowOff>0</xdr:rowOff>
    </xdr:to>
    <xdr:sp macro="" textlink="">
      <xdr:nvSpPr>
        <xdr:cNvPr id="91" name="Rectangle 108"/>
        <xdr:cNvSpPr>
          <a:spLocks noChangeArrowheads="1"/>
        </xdr:cNvSpPr>
      </xdr:nvSpPr>
      <xdr:spPr bwMode="auto">
        <a:xfrm>
          <a:off x="4229100" y="2524125"/>
          <a:ext cx="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49</xdr:row>
      <xdr:rowOff>0</xdr:rowOff>
    </xdr:to>
    <xdr:sp macro="" textlink="">
      <xdr:nvSpPr>
        <xdr:cNvPr id="82" name="Rectangle 107"/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49</xdr:row>
      <xdr:rowOff>0</xdr:rowOff>
    </xdr:to>
    <xdr:sp macro="" textlink="">
      <xdr:nvSpPr>
        <xdr:cNvPr id="83" name="Rectangle 108"/>
        <xdr:cNvSpPr>
          <a:spLocks noChangeArrowheads="1"/>
        </xdr:cNvSpPr>
      </xdr:nvSpPr>
      <xdr:spPr bwMode="auto">
        <a:xfrm>
          <a:off x="2133600" y="97155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65</xdr:row>
      <xdr:rowOff>0</xdr:rowOff>
    </xdr:to>
    <xdr:sp macro="" textlink="">
      <xdr:nvSpPr>
        <xdr:cNvPr id="92" name="Rectangle 107"/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0</xdr:colOff>
      <xdr:row>65</xdr:row>
      <xdr:rowOff>0</xdr:rowOff>
    </xdr:to>
    <xdr:sp macro="" textlink="">
      <xdr:nvSpPr>
        <xdr:cNvPr id="93" name="Rectangle 108"/>
        <xdr:cNvSpPr>
          <a:spLocks noChangeArrowheads="1"/>
        </xdr:cNvSpPr>
      </xdr:nvSpPr>
      <xdr:spPr bwMode="auto">
        <a:xfrm>
          <a:off x="5543550" y="9715500"/>
          <a:ext cx="0" cy="508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37</xdr:row>
      <xdr:rowOff>180975</xdr:rowOff>
    </xdr:from>
    <xdr:to>
      <xdr:col>9</xdr:col>
      <xdr:colOff>1743075</xdr:colOff>
      <xdr:row>40</xdr:row>
      <xdr:rowOff>0</xdr:rowOff>
    </xdr:to>
    <xdr:sp macro="" textlink="">
      <xdr:nvSpPr>
        <xdr:cNvPr id="94" name="Rectangle 107"/>
        <xdr:cNvSpPr>
          <a:spLocks noChangeArrowheads="1"/>
        </xdr:cNvSpPr>
      </xdr:nvSpPr>
      <xdr:spPr bwMode="auto">
        <a:xfrm>
          <a:off x="10677525" y="1228725"/>
          <a:ext cx="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37</xdr:row>
      <xdr:rowOff>0</xdr:rowOff>
    </xdr:from>
    <xdr:to>
      <xdr:col>10</xdr:col>
      <xdr:colOff>0</xdr:colOff>
      <xdr:row>40</xdr:row>
      <xdr:rowOff>0</xdr:rowOff>
    </xdr:to>
    <xdr:sp macro="" textlink="">
      <xdr:nvSpPr>
        <xdr:cNvPr id="95" name="Rectangle 108"/>
        <xdr:cNvSpPr>
          <a:spLocks noChangeArrowheads="1"/>
        </xdr:cNvSpPr>
      </xdr:nvSpPr>
      <xdr:spPr bwMode="auto">
        <a:xfrm>
          <a:off x="10687050" y="9525000"/>
          <a:ext cx="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38</xdr:row>
      <xdr:rowOff>180975</xdr:rowOff>
    </xdr:from>
    <xdr:to>
      <xdr:col>9</xdr:col>
      <xdr:colOff>1743075</xdr:colOff>
      <xdr:row>41</xdr:row>
      <xdr:rowOff>0</xdr:rowOff>
    </xdr:to>
    <xdr:sp macro="" textlink="">
      <xdr:nvSpPr>
        <xdr:cNvPr id="98" name="Rectangle 107"/>
        <xdr:cNvSpPr>
          <a:spLocks noChangeArrowheads="1"/>
        </xdr:cNvSpPr>
      </xdr:nvSpPr>
      <xdr:spPr bwMode="auto">
        <a:xfrm>
          <a:off x="10677525" y="122872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102" name="Rectangle 107"/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6</xdr:row>
      <xdr:rowOff>0</xdr:rowOff>
    </xdr:from>
    <xdr:to>
      <xdr:col>2</xdr:col>
      <xdr:colOff>0</xdr:colOff>
      <xdr:row>17</xdr:row>
      <xdr:rowOff>0</xdr:rowOff>
    </xdr:to>
    <xdr:sp macro="" textlink="">
      <xdr:nvSpPr>
        <xdr:cNvPr id="103" name="Rectangle 108"/>
        <xdr:cNvSpPr>
          <a:spLocks noChangeArrowheads="1"/>
        </xdr:cNvSpPr>
      </xdr:nvSpPr>
      <xdr:spPr bwMode="auto">
        <a:xfrm>
          <a:off x="2390775" y="12573000"/>
          <a:ext cx="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04" name="Rectangle 107"/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6</xdr:row>
      <xdr:rowOff>0</xdr:rowOff>
    </xdr:from>
    <xdr:to>
      <xdr:col>6</xdr:col>
      <xdr:colOff>0</xdr:colOff>
      <xdr:row>31</xdr:row>
      <xdr:rowOff>0</xdr:rowOff>
    </xdr:to>
    <xdr:sp macro="" textlink="">
      <xdr:nvSpPr>
        <xdr:cNvPr id="105" name="Rectangle 108"/>
        <xdr:cNvSpPr>
          <a:spLocks noChangeArrowheads="1"/>
        </xdr:cNvSpPr>
      </xdr:nvSpPr>
      <xdr:spPr bwMode="auto">
        <a:xfrm>
          <a:off x="6800850" y="12573000"/>
          <a:ext cx="0" cy="514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5</xdr:row>
      <xdr:rowOff>180975</xdr:rowOff>
    </xdr:from>
    <xdr:to>
      <xdr:col>9</xdr:col>
      <xdr:colOff>1743075</xdr:colOff>
      <xdr:row>8</xdr:row>
      <xdr:rowOff>0</xdr:rowOff>
    </xdr:to>
    <xdr:sp macro="" textlink="">
      <xdr:nvSpPr>
        <xdr:cNvPr id="106" name="Rectangle 107"/>
        <xdr:cNvSpPr>
          <a:spLocks noChangeArrowheads="1"/>
        </xdr:cNvSpPr>
      </xdr:nvSpPr>
      <xdr:spPr bwMode="auto">
        <a:xfrm>
          <a:off x="11934825" y="125634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0</xdr:colOff>
      <xdr:row>5</xdr:row>
      <xdr:rowOff>0</xdr:rowOff>
    </xdr:from>
    <xdr:to>
      <xdr:col>10</xdr:col>
      <xdr:colOff>0</xdr:colOff>
      <xdr:row>8</xdr:row>
      <xdr:rowOff>0</xdr:rowOff>
    </xdr:to>
    <xdr:sp macro="" textlink="">
      <xdr:nvSpPr>
        <xdr:cNvPr id="107" name="Rectangle 108"/>
        <xdr:cNvSpPr>
          <a:spLocks noChangeArrowheads="1"/>
        </xdr:cNvSpPr>
      </xdr:nvSpPr>
      <xdr:spPr bwMode="auto">
        <a:xfrm>
          <a:off x="11944350" y="12382500"/>
          <a:ext cx="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1743075</xdr:colOff>
      <xdr:row>6</xdr:row>
      <xdr:rowOff>180975</xdr:rowOff>
    </xdr:from>
    <xdr:to>
      <xdr:col>9</xdr:col>
      <xdr:colOff>1743075</xdr:colOff>
      <xdr:row>9</xdr:row>
      <xdr:rowOff>0</xdr:rowOff>
    </xdr:to>
    <xdr:sp macro="" textlink="">
      <xdr:nvSpPr>
        <xdr:cNvPr id="108" name="Rectangle 107"/>
        <xdr:cNvSpPr>
          <a:spLocks noChangeArrowheads="1"/>
        </xdr:cNvSpPr>
      </xdr:nvSpPr>
      <xdr:spPr bwMode="auto">
        <a:xfrm>
          <a:off x="11934825" y="12753975"/>
          <a:ext cx="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371475</xdr:colOff>
      <xdr:row>0</xdr:row>
      <xdr:rowOff>171450</xdr:rowOff>
    </xdr:from>
    <xdr:to>
      <xdr:col>20</xdr:col>
      <xdr:colOff>657225</xdr:colOff>
      <xdr:row>2</xdr:row>
      <xdr:rowOff>0</xdr:rowOff>
    </xdr:to>
    <xdr:sp macro="" textlink="">
      <xdr:nvSpPr>
        <xdr:cNvPr id="61" name="60 Botón de acción: Inicio">
          <a:hlinkClick xmlns:r="http://schemas.openxmlformats.org/officeDocument/2006/relationships" r:id="rId1"/>
        </xdr:cNvPr>
        <xdr:cNvSpPr/>
      </xdr:nvSpPr>
      <xdr:spPr>
        <a:xfrm>
          <a:off x="17325975" y="171450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0</xdr:col>
      <xdr:colOff>733425</xdr:colOff>
      <xdr:row>0</xdr:row>
      <xdr:rowOff>38443</xdr:rowOff>
    </xdr:from>
    <xdr:to>
      <xdr:col>0</xdr:col>
      <xdr:colOff>1237869</xdr:colOff>
      <xdr:row>2</xdr:row>
      <xdr:rowOff>128778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5" y="38443"/>
          <a:ext cx="504444" cy="51896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47</xdr:row>
      <xdr:rowOff>136524</xdr:rowOff>
    </xdr:from>
    <xdr:to>
      <xdr:col>13</xdr:col>
      <xdr:colOff>190500</xdr:colOff>
      <xdr:row>79</xdr:row>
      <xdr:rowOff>174625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409575</xdr:colOff>
      <xdr:row>0</xdr:row>
      <xdr:rowOff>66675</xdr:rowOff>
    </xdr:from>
    <xdr:to>
      <xdr:col>14</xdr:col>
      <xdr:colOff>695325</xdr:colOff>
      <xdr:row>1</xdr:row>
      <xdr:rowOff>57150</xdr:rowOff>
    </xdr:to>
    <xdr:sp macro="" textlink="">
      <xdr:nvSpPr>
        <xdr:cNvPr id="6" name="5 Botón de acción: Inicio">
          <a:hlinkClick xmlns:r="http://schemas.openxmlformats.org/officeDocument/2006/relationships" r:id="rId2"/>
        </xdr:cNvPr>
        <xdr:cNvSpPr/>
      </xdr:nvSpPr>
      <xdr:spPr>
        <a:xfrm>
          <a:off x="10963275" y="66675"/>
          <a:ext cx="285750" cy="25717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36</xdr:row>
      <xdr:rowOff>75118</xdr:rowOff>
    </xdr:from>
    <xdr:to>
      <xdr:col>15</xdr:col>
      <xdr:colOff>508001</xdr:colOff>
      <xdr:row>60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15876</xdr:colOff>
      <xdr:row>61</xdr:row>
      <xdr:rowOff>79374</xdr:rowOff>
    </xdr:from>
    <xdr:to>
      <xdr:col>15</xdr:col>
      <xdr:colOff>476251</xdr:colOff>
      <xdr:row>84</xdr:row>
      <xdr:rowOff>15875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1492250</xdr:colOff>
      <xdr:row>85</xdr:row>
      <xdr:rowOff>158750</xdr:rowOff>
    </xdr:from>
    <xdr:to>
      <xdr:col>15</xdr:col>
      <xdr:colOff>746125</xdr:colOff>
      <xdr:row>109</xdr:row>
      <xdr:rowOff>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31750</xdr:colOff>
      <xdr:row>112</xdr:row>
      <xdr:rowOff>15875</xdr:rowOff>
    </xdr:from>
    <xdr:to>
      <xdr:col>15</xdr:col>
      <xdr:colOff>746125</xdr:colOff>
      <xdr:row>134</xdr:row>
      <xdr:rowOff>95250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285749</xdr:colOff>
      <xdr:row>0</xdr:row>
      <xdr:rowOff>200026</xdr:rowOff>
    </xdr:from>
    <xdr:to>
      <xdr:col>18</xdr:col>
      <xdr:colOff>9524</xdr:colOff>
      <xdr:row>1</xdr:row>
      <xdr:rowOff>1</xdr:rowOff>
    </xdr:to>
    <xdr:sp macro="" textlink="">
      <xdr:nvSpPr>
        <xdr:cNvPr id="7" name="6 Botón de acción: Inicio">
          <a:hlinkClick xmlns:r="http://schemas.openxmlformats.org/officeDocument/2006/relationships" r:id="rId5"/>
        </xdr:cNvPr>
        <xdr:cNvSpPr/>
      </xdr:nvSpPr>
      <xdr:spPr>
        <a:xfrm>
          <a:off x="10639424" y="200026"/>
          <a:ext cx="238125" cy="285750"/>
        </a:xfrm>
        <a:prstGeom prst="actionButtonHome">
          <a:avLst/>
        </a:prstGeom>
        <a:solidFill>
          <a:srgbClr val="CD032E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1057275</xdr:colOff>
      <xdr:row>34</xdr:row>
      <xdr:rowOff>55561</xdr:rowOff>
    </xdr:from>
    <xdr:to>
      <xdr:col>12</xdr:col>
      <xdr:colOff>254000</xdr:colOff>
      <xdr:row>59</xdr:row>
      <xdr:rowOff>136524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428625</xdr:colOff>
      <xdr:row>0</xdr:row>
      <xdr:rowOff>76199</xdr:rowOff>
    </xdr:from>
    <xdr:to>
      <xdr:col>15</xdr:col>
      <xdr:colOff>0</xdr:colOff>
      <xdr:row>1</xdr:row>
      <xdr:rowOff>85724</xdr:rowOff>
    </xdr:to>
    <xdr:sp macro="" textlink="">
      <xdr:nvSpPr>
        <xdr:cNvPr id="5" name="4 Botón de acción: Inicio">
          <a:hlinkClick xmlns:r="http://schemas.openxmlformats.org/officeDocument/2006/relationships" r:id="rId2"/>
        </xdr:cNvPr>
        <xdr:cNvSpPr/>
      </xdr:nvSpPr>
      <xdr:spPr>
        <a:xfrm>
          <a:off x="10982325" y="76199"/>
          <a:ext cx="285750" cy="2762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695325</xdr:colOff>
      <xdr:row>0</xdr:row>
      <xdr:rowOff>180975</xdr:rowOff>
    </xdr:from>
    <xdr:to>
      <xdr:col>7</xdr:col>
      <xdr:colOff>266700</xdr:colOff>
      <xdr:row>1</xdr:row>
      <xdr:rowOff>180975</xdr:rowOff>
    </xdr:to>
    <xdr:sp macro="" textlink="">
      <xdr:nvSpPr>
        <xdr:cNvPr id="6" name="5 Botón de acción: Inicio">
          <a:hlinkClick xmlns:r="http://schemas.openxmlformats.org/officeDocument/2006/relationships" r:id="rId1"/>
        </xdr:cNvPr>
        <xdr:cNvSpPr/>
      </xdr:nvSpPr>
      <xdr:spPr>
        <a:xfrm>
          <a:off x="6962775" y="180975"/>
          <a:ext cx="285750" cy="238125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>
    <xdr:from>
      <xdr:col>6</xdr:col>
      <xdr:colOff>647700</xdr:colOff>
      <xdr:row>71</xdr:row>
      <xdr:rowOff>119062</xdr:rowOff>
    </xdr:from>
    <xdr:to>
      <xdr:col>12</xdr:col>
      <xdr:colOff>600075</xdr:colOff>
      <xdr:row>86</xdr:row>
      <xdr:rowOff>4762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101</xdr:row>
      <xdr:rowOff>0</xdr:rowOff>
    </xdr:from>
    <xdr:to>
      <xdr:col>12</xdr:col>
      <xdr:colOff>666750</xdr:colOff>
      <xdr:row>115</xdr:row>
      <xdr:rowOff>76200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130</xdr:row>
      <xdr:rowOff>0</xdr:rowOff>
    </xdr:from>
    <xdr:to>
      <xdr:col>12</xdr:col>
      <xdr:colOff>666750</xdr:colOff>
      <xdr:row>143</xdr:row>
      <xdr:rowOff>142875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156</xdr:row>
      <xdr:rowOff>0</xdr:rowOff>
    </xdr:from>
    <xdr:to>
      <xdr:col>12</xdr:col>
      <xdr:colOff>666750</xdr:colOff>
      <xdr:row>169</xdr:row>
      <xdr:rowOff>142875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183</xdr:row>
      <xdr:rowOff>0</xdr:rowOff>
    </xdr:from>
    <xdr:to>
      <xdr:col>12</xdr:col>
      <xdr:colOff>666750</xdr:colOff>
      <xdr:row>196</xdr:row>
      <xdr:rowOff>142875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208</xdr:row>
      <xdr:rowOff>0</xdr:rowOff>
    </xdr:from>
    <xdr:to>
      <xdr:col>12</xdr:col>
      <xdr:colOff>666750</xdr:colOff>
      <xdr:row>221</xdr:row>
      <xdr:rowOff>142875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0</xdr:colOff>
      <xdr:row>36</xdr:row>
      <xdr:rowOff>0</xdr:rowOff>
    </xdr:from>
    <xdr:to>
      <xdr:col>12</xdr:col>
      <xdr:colOff>666750</xdr:colOff>
      <xdr:row>50</xdr:row>
      <xdr:rowOff>76200</xdr:rowOff>
    </xdr:to>
    <xdr:graphicFrame macro="">
      <xdr:nvGraphicFramePr>
        <xdr:cNvPr id="11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6</xdr:row>
      <xdr:rowOff>0</xdr:rowOff>
    </xdr:from>
    <xdr:to>
      <xdr:col>12</xdr:col>
      <xdr:colOff>666750</xdr:colOff>
      <xdr:row>20</xdr:row>
      <xdr:rowOff>76200</xdr:rowOff>
    </xdr:to>
    <xdr:graphicFrame macro="">
      <xdr:nvGraphicFramePr>
        <xdr:cNvPr id="10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889000</xdr:colOff>
      <xdr:row>13</xdr:row>
      <xdr:rowOff>95250</xdr:rowOff>
    </xdr:from>
    <xdr:to>
      <xdr:col>24</xdr:col>
      <xdr:colOff>539750</xdr:colOff>
      <xdr:row>40</xdr:row>
      <xdr:rowOff>19050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1047752</xdr:colOff>
      <xdr:row>69</xdr:row>
      <xdr:rowOff>146842</xdr:rowOff>
    </xdr:from>
    <xdr:to>
      <xdr:col>24</xdr:col>
      <xdr:colOff>688976</xdr:colOff>
      <xdr:row>101</xdr:row>
      <xdr:rowOff>28574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815976</xdr:colOff>
      <xdr:row>123</xdr:row>
      <xdr:rowOff>36513</xdr:rowOff>
    </xdr:from>
    <xdr:to>
      <xdr:col>24</xdr:col>
      <xdr:colOff>428626</xdr:colOff>
      <xdr:row>151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361950</xdr:colOff>
      <xdr:row>0</xdr:row>
      <xdr:rowOff>133350</xdr:rowOff>
    </xdr:from>
    <xdr:to>
      <xdr:col>9</xdr:col>
      <xdr:colOff>647700</xdr:colOff>
      <xdr:row>2</xdr:row>
      <xdr:rowOff>38100</xdr:rowOff>
    </xdr:to>
    <xdr:sp macro="" textlink="">
      <xdr:nvSpPr>
        <xdr:cNvPr id="6" name="5 Botón de acción: Inicio">
          <a:hlinkClick xmlns:r="http://schemas.openxmlformats.org/officeDocument/2006/relationships" r:id="rId4"/>
        </xdr:cNvPr>
        <xdr:cNvSpPr/>
      </xdr:nvSpPr>
      <xdr:spPr>
        <a:xfrm>
          <a:off x="7677150" y="133350"/>
          <a:ext cx="285750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352425</xdr:colOff>
      <xdr:row>0</xdr:row>
      <xdr:rowOff>57150</xdr:rowOff>
    </xdr:from>
    <xdr:to>
      <xdr:col>12</xdr:col>
      <xdr:colOff>638175</xdr:colOff>
      <xdr:row>1</xdr:row>
      <xdr:rowOff>85725</xdr:rowOff>
    </xdr:to>
    <xdr:sp macro="" textlink="">
      <xdr:nvSpPr>
        <xdr:cNvPr id="2" name="5 Botón de acción: Inicio">
          <a:hlinkClick xmlns:r="http://schemas.openxmlformats.org/officeDocument/2006/relationships" r:id="rId1"/>
        </xdr:cNvPr>
        <xdr:cNvSpPr/>
      </xdr:nvSpPr>
      <xdr:spPr>
        <a:xfrm>
          <a:off x="11163300" y="57150"/>
          <a:ext cx="285750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476250</xdr:colOff>
      <xdr:row>0</xdr:row>
      <xdr:rowOff>114300</xdr:rowOff>
    </xdr:from>
    <xdr:to>
      <xdr:col>30</xdr:col>
      <xdr:colOff>733426</xdr:colOff>
      <xdr:row>2</xdr:row>
      <xdr:rowOff>0</xdr:rowOff>
    </xdr:to>
    <xdr:sp macro="" textlink="">
      <xdr:nvSpPr>
        <xdr:cNvPr id="2" name="1 Botón de acción: Inicio">
          <a:hlinkClick xmlns:r="http://schemas.openxmlformats.org/officeDocument/2006/relationships" r:id="rId1"/>
        </xdr:cNvPr>
        <xdr:cNvSpPr/>
      </xdr:nvSpPr>
      <xdr:spPr>
        <a:xfrm>
          <a:off x="23421975" y="114300"/>
          <a:ext cx="257176" cy="266700"/>
        </a:xfrm>
        <a:prstGeom prst="actionButtonHome">
          <a:avLst/>
        </a:prstGeom>
        <a:solidFill>
          <a:srgbClr val="AD25A8"/>
        </a:solidFill>
        <a:ln w="3175">
          <a:solidFill>
            <a:schemeClr val="bg1"/>
          </a:solidFill>
        </a:ln>
        <a:scene3d>
          <a:camera prst="orthographicFront"/>
          <a:lightRig rig="threePt" dir="t"/>
        </a:scene3d>
        <a:sp3d>
          <a:bevelT w="88900" h="38100" prst="coolSlant"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61\c$\LETY-XLS\TF19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cortesr/Documents/DP-2016/ANUARIO%202016/Users/rociomoralesloperena/Rocio_HP/Documents/Rector&#237;a_General/C:/Users/disenosemanario/Downloads/DGES4/SYS/SEGUP/OSCAR_D/TRABAJO/12CCG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X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2CCG94"/>
      <sheetName val="93-01-07"/>
      <sheetName val="93-02-08"/>
      <sheetName val="04CCG93"/>
      <sheetName val="93-11-11"/>
      <sheetName val="93-12-07"/>
      <sheetName val="17CCG93"/>
      <sheetName val="93-20-07"/>
      <sheetName val="94-20-06"/>
      <sheetName val="93-25-06"/>
      <sheetName val="94-25-03"/>
      <sheetName val="27CCG94"/>
      <sheetName val="93-28-07"/>
      <sheetName val="28-07-93"/>
      <sheetName val="93-29-1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0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E6:N18"/>
  <sheetViews>
    <sheetView showGridLines="0" topLeftCell="A4" zoomScale="90" zoomScaleNormal="90" workbookViewId="0">
      <selection activeCell="Q26" sqref="Q26"/>
    </sheetView>
  </sheetViews>
  <sheetFormatPr baseColWidth="10" defaultRowHeight="12.75" x14ac:dyDescent="0.2"/>
  <sheetData>
    <row r="6" spans="5:14" ht="13.5" customHeight="1" x14ac:dyDescent="0.2">
      <c r="E6" s="5625"/>
      <c r="F6" s="5625"/>
      <c r="G6" s="5625"/>
      <c r="H6" s="5625"/>
      <c r="I6" s="5625"/>
      <c r="J6" s="5625"/>
      <c r="K6" s="5625"/>
    </row>
    <row r="9" spans="5:14" ht="12.75" customHeight="1" x14ac:dyDescent="0.2">
      <c r="G9" s="5626"/>
      <c r="H9" s="5626"/>
      <c r="I9" s="5626"/>
    </row>
    <row r="11" spans="5:14" ht="15.75" customHeight="1" x14ac:dyDescent="0.55000000000000004">
      <c r="I11" s="3365"/>
      <c r="J11" s="3365"/>
      <c r="K11" s="3365"/>
      <c r="L11" s="3365"/>
      <c r="M11" s="3365"/>
      <c r="N11" s="3365"/>
    </row>
    <row r="14" spans="5:14" x14ac:dyDescent="0.2">
      <c r="H14" s="3535"/>
    </row>
    <row r="17" spans="6:10" ht="14.25" x14ac:dyDescent="0.2">
      <c r="F17" s="46"/>
      <c r="G17" s="46"/>
      <c r="H17" s="46"/>
      <c r="I17" s="46"/>
      <c r="J17" s="46"/>
    </row>
    <row r="18" spans="6:10" ht="14.25" x14ac:dyDescent="0.2">
      <c r="G18" s="46"/>
      <c r="H18" s="46"/>
      <c r="I18" s="46"/>
    </row>
  </sheetData>
  <sheetProtection algorithmName="SHA-512" hashValue="32xgT/q7tmmeTnbuoehNtNlGawCGmA+IbA84ZKahUEqeGZM6Oy+l6d6ZzAYnuPQIDWWpI1K+pSQWBl9iNyiJBA==" saltValue="QKGax+K8JfxuXBtCyWGMvQ==" spinCount="100000" sheet="1" objects="1" scenarios="1"/>
  <mergeCells count="2">
    <mergeCell ref="E6:K6"/>
    <mergeCell ref="G9:I9"/>
  </mergeCells>
  <printOptions horizontalCentered="1" verticalCentered="1"/>
  <pageMargins left="0.31496062992125984" right="0.39370078740157483" top="0.35433070866141736" bottom="0.35433070866141736" header="0" footer="0"/>
  <pageSetup scale="8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V107"/>
  <sheetViews>
    <sheetView showGridLines="0" zoomScaleNormal="100" workbookViewId="0">
      <pane xSplit="3" ySplit="4" topLeftCell="AI89" activePane="bottomRight" state="frozen"/>
      <selection sqref="A1:E1"/>
      <selection pane="topRight" sqref="A1:E1"/>
      <selection pane="bottomLeft" sqref="A1:E1"/>
      <selection pane="bottomRight" activeCell="AS114" sqref="AS114"/>
    </sheetView>
  </sheetViews>
  <sheetFormatPr baseColWidth="10" defaultRowHeight="15" x14ac:dyDescent="0.2"/>
  <cols>
    <col min="1" max="1" width="9.5703125" style="200" customWidth="1"/>
    <col min="2" max="2" width="9.7109375" style="194" customWidth="1"/>
    <col min="3" max="3" width="45.42578125" style="200" bestFit="1" customWidth="1"/>
    <col min="4" max="48" width="8.7109375" style="200" customWidth="1"/>
    <col min="49" max="256" width="11.42578125" style="200"/>
    <col min="257" max="257" width="2" style="200" customWidth="1"/>
    <col min="258" max="258" width="20.5703125" style="200" bestFit="1" customWidth="1"/>
    <col min="259" max="259" width="5.7109375" style="200" bestFit="1" customWidth="1"/>
    <col min="260" max="260" width="35.7109375" style="200" customWidth="1"/>
    <col min="261" max="262" width="9.7109375" style="200" customWidth="1"/>
    <col min="263" max="263" width="11.5703125" style="200" customWidth="1"/>
    <col min="264" max="265" width="9.7109375" style="200" customWidth="1"/>
    <col min="266" max="266" width="12.140625" style="200" customWidth="1"/>
    <col min="267" max="268" width="9.7109375" style="200" customWidth="1"/>
    <col min="269" max="269" width="10.85546875" style="200" customWidth="1"/>
    <col min="270" max="271" width="9.7109375" style="200" customWidth="1"/>
    <col min="272" max="272" width="11.42578125" style="200" customWidth="1"/>
    <col min="273" max="274" width="9.7109375" style="200" customWidth="1"/>
    <col min="275" max="275" width="10.85546875" style="200" customWidth="1"/>
    <col min="276" max="277" width="9.7109375" style="200" customWidth="1"/>
    <col min="278" max="278" width="10.85546875" style="200" customWidth="1"/>
    <col min="279" max="280" width="9.7109375" style="200" customWidth="1"/>
    <col min="281" max="281" width="10.85546875" style="200" customWidth="1"/>
    <col min="282" max="512" width="11.42578125" style="200"/>
    <col min="513" max="513" width="2" style="200" customWidth="1"/>
    <col min="514" max="514" width="20.5703125" style="200" bestFit="1" customWidth="1"/>
    <col min="515" max="515" width="5.7109375" style="200" bestFit="1" customWidth="1"/>
    <col min="516" max="516" width="35.7109375" style="200" customWidth="1"/>
    <col min="517" max="518" width="9.7109375" style="200" customWidth="1"/>
    <col min="519" max="519" width="11.5703125" style="200" customWidth="1"/>
    <col min="520" max="521" width="9.7109375" style="200" customWidth="1"/>
    <col min="522" max="522" width="12.140625" style="200" customWidth="1"/>
    <col min="523" max="524" width="9.7109375" style="200" customWidth="1"/>
    <col min="525" max="525" width="10.85546875" style="200" customWidth="1"/>
    <col min="526" max="527" width="9.7109375" style="200" customWidth="1"/>
    <col min="528" max="528" width="11.42578125" style="200" customWidth="1"/>
    <col min="529" max="530" width="9.7109375" style="200" customWidth="1"/>
    <col min="531" max="531" width="10.85546875" style="200" customWidth="1"/>
    <col min="532" max="533" width="9.7109375" style="200" customWidth="1"/>
    <col min="534" max="534" width="10.85546875" style="200" customWidth="1"/>
    <col min="535" max="536" width="9.7109375" style="200" customWidth="1"/>
    <col min="537" max="537" width="10.85546875" style="200" customWidth="1"/>
    <col min="538" max="768" width="11.42578125" style="200"/>
    <col min="769" max="769" width="2" style="200" customWidth="1"/>
    <col min="770" max="770" width="20.5703125" style="200" bestFit="1" customWidth="1"/>
    <col min="771" max="771" width="5.7109375" style="200" bestFit="1" customWidth="1"/>
    <col min="772" max="772" width="35.7109375" style="200" customWidth="1"/>
    <col min="773" max="774" width="9.7109375" style="200" customWidth="1"/>
    <col min="775" max="775" width="11.5703125" style="200" customWidth="1"/>
    <col min="776" max="777" width="9.7109375" style="200" customWidth="1"/>
    <col min="778" max="778" width="12.140625" style="200" customWidth="1"/>
    <col min="779" max="780" width="9.7109375" style="200" customWidth="1"/>
    <col min="781" max="781" width="10.85546875" style="200" customWidth="1"/>
    <col min="782" max="783" width="9.7109375" style="200" customWidth="1"/>
    <col min="784" max="784" width="11.42578125" style="200" customWidth="1"/>
    <col min="785" max="786" width="9.7109375" style="200" customWidth="1"/>
    <col min="787" max="787" width="10.85546875" style="200" customWidth="1"/>
    <col min="788" max="789" width="9.7109375" style="200" customWidth="1"/>
    <col min="790" max="790" width="10.85546875" style="200" customWidth="1"/>
    <col min="791" max="792" width="9.7109375" style="200" customWidth="1"/>
    <col min="793" max="793" width="10.85546875" style="200" customWidth="1"/>
    <col min="794" max="1024" width="11.42578125" style="200"/>
    <col min="1025" max="1025" width="2" style="200" customWidth="1"/>
    <col min="1026" max="1026" width="20.5703125" style="200" bestFit="1" customWidth="1"/>
    <col min="1027" max="1027" width="5.7109375" style="200" bestFit="1" customWidth="1"/>
    <col min="1028" max="1028" width="35.7109375" style="200" customWidth="1"/>
    <col min="1029" max="1030" width="9.7109375" style="200" customWidth="1"/>
    <col min="1031" max="1031" width="11.5703125" style="200" customWidth="1"/>
    <col min="1032" max="1033" width="9.7109375" style="200" customWidth="1"/>
    <col min="1034" max="1034" width="12.140625" style="200" customWidth="1"/>
    <col min="1035" max="1036" width="9.7109375" style="200" customWidth="1"/>
    <col min="1037" max="1037" width="10.85546875" style="200" customWidth="1"/>
    <col min="1038" max="1039" width="9.7109375" style="200" customWidth="1"/>
    <col min="1040" max="1040" width="11.42578125" style="200" customWidth="1"/>
    <col min="1041" max="1042" width="9.7109375" style="200" customWidth="1"/>
    <col min="1043" max="1043" width="10.85546875" style="200" customWidth="1"/>
    <col min="1044" max="1045" width="9.7109375" style="200" customWidth="1"/>
    <col min="1046" max="1046" width="10.85546875" style="200" customWidth="1"/>
    <col min="1047" max="1048" width="9.7109375" style="200" customWidth="1"/>
    <col min="1049" max="1049" width="10.85546875" style="200" customWidth="1"/>
    <col min="1050" max="1280" width="11.42578125" style="200"/>
    <col min="1281" max="1281" width="2" style="200" customWidth="1"/>
    <col min="1282" max="1282" width="20.5703125" style="200" bestFit="1" customWidth="1"/>
    <col min="1283" max="1283" width="5.7109375" style="200" bestFit="1" customWidth="1"/>
    <col min="1284" max="1284" width="35.7109375" style="200" customWidth="1"/>
    <col min="1285" max="1286" width="9.7109375" style="200" customWidth="1"/>
    <col min="1287" max="1287" width="11.5703125" style="200" customWidth="1"/>
    <col min="1288" max="1289" width="9.7109375" style="200" customWidth="1"/>
    <col min="1290" max="1290" width="12.140625" style="200" customWidth="1"/>
    <col min="1291" max="1292" width="9.7109375" style="200" customWidth="1"/>
    <col min="1293" max="1293" width="10.85546875" style="200" customWidth="1"/>
    <col min="1294" max="1295" width="9.7109375" style="200" customWidth="1"/>
    <col min="1296" max="1296" width="11.42578125" style="200" customWidth="1"/>
    <col min="1297" max="1298" width="9.7109375" style="200" customWidth="1"/>
    <col min="1299" max="1299" width="10.85546875" style="200" customWidth="1"/>
    <col min="1300" max="1301" width="9.7109375" style="200" customWidth="1"/>
    <col min="1302" max="1302" width="10.85546875" style="200" customWidth="1"/>
    <col min="1303" max="1304" width="9.7109375" style="200" customWidth="1"/>
    <col min="1305" max="1305" width="10.85546875" style="200" customWidth="1"/>
    <col min="1306" max="1536" width="11.42578125" style="200"/>
    <col min="1537" max="1537" width="2" style="200" customWidth="1"/>
    <col min="1538" max="1538" width="20.5703125" style="200" bestFit="1" customWidth="1"/>
    <col min="1539" max="1539" width="5.7109375" style="200" bestFit="1" customWidth="1"/>
    <col min="1540" max="1540" width="35.7109375" style="200" customWidth="1"/>
    <col min="1541" max="1542" width="9.7109375" style="200" customWidth="1"/>
    <col min="1543" max="1543" width="11.5703125" style="200" customWidth="1"/>
    <col min="1544" max="1545" width="9.7109375" style="200" customWidth="1"/>
    <col min="1546" max="1546" width="12.140625" style="200" customWidth="1"/>
    <col min="1547" max="1548" width="9.7109375" style="200" customWidth="1"/>
    <col min="1549" max="1549" width="10.85546875" style="200" customWidth="1"/>
    <col min="1550" max="1551" width="9.7109375" style="200" customWidth="1"/>
    <col min="1552" max="1552" width="11.42578125" style="200" customWidth="1"/>
    <col min="1553" max="1554" width="9.7109375" style="200" customWidth="1"/>
    <col min="1555" max="1555" width="10.85546875" style="200" customWidth="1"/>
    <col min="1556" max="1557" width="9.7109375" style="200" customWidth="1"/>
    <col min="1558" max="1558" width="10.85546875" style="200" customWidth="1"/>
    <col min="1559" max="1560" width="9.7109375" style="200" customWidth="1"/>
    <col min="1561" max="1561" width="10.85546875" style="200" customWidth="1"/>
    <col min="1562" max="1792" width="11.42578125" style="200"/>
    <col min="1793" max="1793" width="2" style="200" customWidth="1"/>
    <col min="1794" max="1794" width="20.5703125" style="200" bestFit="1" customWidth="1"/>
    <col min="1795" max="1795" width="5.7109375" style="200" bestFit="1" customWidth="1"/>
    <col min="1796" max="1796" width="35.7109375" style="200" customWidth="1"/>
    <col min="1797" max="1798" width="9.7109375" style="200" customWidth="1"/>
    <col min="1799" max="1799" width="11.5703125" style="200" customWidth="1"/>
    <col min="1800" max="1801" width="9.7109375" style="200" customWidth="1"/>
    <col min="1802" max="1802" width="12.140625" style="200" customWidth="1"/>
    <col min="1803" max="1804" width="9.7109375" style="200" customWidth="1"/>
    <col min="1805" max="1805" width="10.85546875" style="200" customWidth="1"/>
    <col min="1806" max="1807" width="9.7109375" style="200" customWidth="1"/>
    <col min="1808" max="1808" width="11.42578125" style="200" customWidth="1"/>
    <col min="1809" max="1810" width="9.7109375" style="200" customWidth="1"/>
    <col min="1811" max="1811" width="10.85546875" style="200" customWidth="1"/>
    <col min="1812" max="1813" width="9.7109375" style="200" customWidth="1"/>
    <col min="1814" max="1814" width="10.85546875" style="200" customWidth="1"/>
    <col min="1815" max="1816" width="9.7109375" style="200" customWidth="1"/>
    <col min="1817" max="1817" width="10.85546875" style="200" customWidth="1"/>
    <col min="1818" max="2048" width="11.42578125" style="200"/>
    <col min="2049" max="2049" width="2" style="200" customWidth="1"/>
    <col min="2050" max="2050" width="20.5703125" style="200" bestFit="1" customWidth="1"/>
    <col min="2051" max="2051" width="5.7109375" style="200" bestFit="1" customWidth="1"/>
    <col min="2052" max="2052" width="35.7109375" style="200" customWidth="1"/>
    <col min="2053" max="2054" width="9.7109375" style="200" customWidth="1"/>
    <col min="2055" max="2055" width="11.5703125" style="200" customWidth="1"/>
    <col min="2056" max="2057" width="9.7109375" style="200" customWidth="1"/>
    <col min="2058" max="2058" width="12.140625" style="200" customWidth="1"/>
    <col min="2059" max="2060" width="9.7109375" style="200" customWidth="1"/>
    <col min="2061" max="2061" width="10.85546875" style="200" customWidth="1"/>
    <col min="2062" max="2063" width="9.7109375" style="200" customWidth="1"/>
    <col min="2064" max="2064" width="11.42578125" style="200" customWidth="1"/>
    <col min="2065" max="2066" width="9.7109375" style="200" customWidth="1"/>
    <col min="2067" max="2067" width="10.85546875" style="200" customWidth="1"/>
    <col min="2068" max="2069" width="9.7109375" style="200" customWidth="1"/>
    <col min="2070" max="2070" width="10.85546875" style="200" customWidth="1"/>
    <col min="2071" max="2072" width="9.7109375" style="200" customWidth="1"/>
    <col min="2073" max="2073" width="10.85546875" style="200" customWidth="1"/>
    <col min="2074" max="2304" width="11.42578125" style="200"/>
    <col min="2305" max="2305" width="2" style="200" customWidth="1"/>
    <col min="2306" max="2306" width="20.5703125" style="200" bestFit="1" customWidth="1"/>
    <col min="2307" max="2307" width="5.7109375" style="200" bestFit="1" customWidth="1"/>
    <col min="2308" max="2308" width="35.7109375" style="200" customWidth="1"/>
    <col min="2309" max="2310" width="9.7109375" style="200" customWidth="1"/>
    <col min="2311" max="2311" width="11.5703125" style="200" customWidth="1"/>
    <col min="2312" max="2313" width="9.7109375" style="200" customWidth="1"/>
    <col min="2314" max="2314" width="12.140625" style="200" customWidth="1"/>
    <col min="2315" max="2316" width="9.7109375" style="200" customWidth="1"/>
    <col min="2317" max="2317" width="10.85546875" style="200" customWidth="1"/>
    <col min="2318" max="2319" width="9.7109375" style="200" customWidth="1"/>
    <col min="2320" max="2320" width="11.42578125" style="200" customWidth="1"/>
    <col min="2321" max="2322" width="9.7109375" style="200" customWidth="1"/>
    <col min="2323" max="2323" width="10.85546875" style="200" customWidth="1"/>
    <col min="2324" max="2325" width="9.7109375" style="200" customWidth="1"/>
    <col min="2326" max="2326" width="10.85546875" style="200" customWidth="1"/>
    <col min="2327" max="2328" width="9.7109375" style="200" customWidth="1"/>
    <col min="2329" max="2329" width="10.85546875" style="200" customWidth="1"/>
    <col min="2330" max="2560" width="11.42578125" style="200"/>
    <col min="2561" max="2561" width="2" style="200" customWidth="1"/>
    <col min="2562" max="2562" width="20.5703125" style="200" bestFit="1" customWidth="1"/>
    <col min="2563" max="2563" width="5.7109375" style="200" bestFit="1" customWidth="1"/>
    <col min="2564" max="2564" width="35.7109375" style="200" customWidth="1"/>
    <col min="2565" max="2566" width="9.7109375" style="200" customWidth="1"/>
    <col min="2567" max="2567" width="11.5703125" style="200" customWidth="1"/>
    <col min="2568" max="2569" width="9.7109375" style="200" customWidth="1"/>
    <col min="2570" max="2570" width="12.140625" style="200" customWidth="1"/>
    <col min="2571" max="2572" width="9.7109375" style="200" customWidth="1"/>
    <col min="2573" max="2573" width="10.85546875" style="200" customWidth="1"/>
    <col min="2574" max="2575" width="9.7109375" style="200" customWidth="1"/>
    <col min="2576" max="2576" width="11.42578125" style="200" customWidth="1"/>
    <col min="2577" max="2578" width="9.7109375" style="200" customWidth="1"/>
    <col min="2579" max="2579" width="10.85546875" style="200" customWidth="1"/>
    <col min="2580" max="2581" width="9.7109375" style="200" customWidth="1"/>
    <col min="2582" max="2582" width="10.85546875" style="200" customWidth="1"/>
    <col min="2583" max="2584" width="9.7109375" style="200" customWidth="1"/>
    <col min="2585" max="2585" width="10.85546875" style="200" customWidth="1"/>
    <col min="2586" max="2816" width="11.42578125" style="200"/>
    <col min="2817" max="2817" width="2" style="200" customWidth="1"/>
    <col min="2818" max="2818" width="20.5703125" style="200" bestFit="1" customWidth="1"/>
    <col min="2819" max="2819" width="5.7109375" style="200" bestFit="1" customWidth="1"/>
    <col min="2820" max="2820" width="35.7109375" style="200" customWidth="1"/>
    <col min="2821" max="2822" width="9.7109375" style="200" customWidth="1"/>
    <col min="2823" max="2823" width="11.5703125" style="200" customWidth="1"/>
    <col min="2824" max="2825" width="9.7109375" style="200" customWidth="1"/>
    <col min="2826" max="2826" width="12.140625" style="200" customWidth="1"/>
    <col min="2827" max="2828" width="9.7109375" style="200" customWidth="1"/>
    <col min="2829" max="2829" width="10.85546875" style="200" customWidth="1"/>
    <col min="2830" max="2831" width="9.7109375" style="200" customWidth="1"/>
    <col min="2832" max="2832" width="11.42578125" style="200" customWidth="1"/>
    <col min="2833" max="2834" width="9.7109375" style="200" customWidth="1"/>
    <col min="2835" max="2835" width="10.85546875" style="200" customWidth="1"/>
    <col min="2836" max="2837" width="9.7109375" style="200" customWidth="1"/>
    <col min="2838" max="2838" width="10.85546875" style="200" customWidth="1"/>
    <col min="2839" max="2840" width="9.7109375" style="200" customWidth="1"/>
    <col min="2841" max="2841" width="10.85546875" style="200" customWidth="1"/>
    <col min="2842" max="3072" width="11.42578125" style="200"/>
    <col min="3073" max="3073" width="2" style="200" customWidth="1"/>
    <col min="3074" max="3074" width="20.5703125" style="200" bestFit="1" customWidth="1"/>
    <col min="3075" max="3075" width="5.7109375" style="200" bestFit="1" customWidth="1"/>
    <col min="3076" max="3076" width="35.7109375" style="200" customWidth="1"/>
    <col min="3077" max="3078" width="9.7109375" style="200" customWidth="1"/>
    <col min="3079" max="3079" width="11.5703125" style="200" customWidth="1"/>
    <col min="3080" max="3081" width="9.7109375" style="200" customWidth="1"/>
    <col min="3082" max="3082" width="12.140625" style="200" customWidth="1"/>
    <col min="3083" max="3084" width="9.7109375" style="200" customWidth="1"/>
    <col min="3085" max="3085" width="10.85546875" style="200" customWidth="1"/>
    <col min="3086" max="3087" width="9.7109375" style="200" customWidth="1"/>
    <col min="3088" max="3088" width="11.42578125" style="200" customWidth="1"/>
    <col min="3089" max="3090" width="9.7109375" style="200" customWidth="1"/>
    <col min="3091" max="3091" width="10.85546875" style="200" customWidth="1"/>
    <col min="3092" max="3093" width="9.7109375" style="200" customWidth="1"/>
    <col min="3094" max="3094" width="10.85546875" style="200" customWidth="1"/>
    <col min="3095" max="3096" width="9.7109375" style="200" customWidth="1"/>
    <col min="3097" max="3097" width="10.85546875" style="200" customWidth="1"/>
    <col min="3098" max="3328" width="11.42578125" style="200"/>
    <col min="3329" max="3329" width="2" style="200" customWidth="1"/>
    <col min="3330" max="3330" width="20.5703125" style="200" bestFit="1" customWidth="1"/>
    <col min="3331" max="3331" width="5.7109375" style="200" bestFit="1" customWidth="1"/>
    <col min="3332" max="3332" width="35.7109375" style="200" customWidth="1"/>
    <col min="3333" max="3334" width="9.7109375" style="200" customWidth="1"/>
    <col min="3335" max="3335" width="11.5703125" style="200" customWidth="1"/>
    <col min="3336" max="3337" width="9.7109375" style="200" customWidth="1"/>
    <col min="3338" max="3338" width="12.140625" style="200" customWidth="1"/>
    <col min="3339" max="3340" width="9.7109375" style="200" customWidth="1"/>
    <col min="3341" max="3341" width="10.85546875" style="200" customWidth="1"/>
    <col min="3342" max="3343" width="9.7109375" style="200" customWidth="1"/>
    <col min="3344" max="3344" width="11.42578125" style="200" customWidth="1"/>
    <col min="3345" max="3346" width="9.7109375" style="200" customWidth="1"/>
    <col min="3347" max="3347" width="10.85546875" style="200" customWidth="1"/>
    <col min="3348" max="3349" width="9.7109375" style="200" customWidth="1"/>
    <col min="3350" max="3350" width="10.85546875" style="200" customWidth="1"/>
    <col min="3351" max="3352" width="9.7109375" style="200" customWidth="1"/>
    <col min="3353" max="3353" width="10.85546875" style="200" customWidth="1"/>
    <col min="3354" max="3584" width="11.42578125" style="200"/>
    <col min="3585" max="3585" width="2" style="200" customWidth="1"/>
    <col min="3586" max="3586" width="20.5703125" style="200" bestFit="1" customWidth="1"/>
    <col min="3587" max="3587" width="5.7109375" style="200" bestFit="1" customWidth="1"/>
    <col min="3588" max="3588" width="35.7109375" style="200" customWidth="1"/>
    <col min="3589" max="3590" width="9.7109375" style="200" customWidth="1"/>
    <col min="3591" max="3591" width="11.5703125" style="200" customWidth="1"/>
    <col min="3592" max="3593" width="9.7109375" style="200" customWidth="1"/>
    <col min="3594" max="3594" width="12.140625" style="200" customWidth="1"/>
    <col min="3595" max="3596" width="9.7109375" style="200" customWidth="1"/>
    <col min="3597" max="3597" width="10.85546875" style="200" customWidth="1"/>
    <col min="3598" max="3599" width="9.7109375" style="200" customWidth="1"/>
    <col min="3600" max="3600" width="11.42578125" style="200" customWidth="1"/>
    <col min="3601" max="3602" width="9.7109375" style="200" customWidth="1"/>
    <col min="3603" max="3603" width="10.85546875" style="200" customWidth="1"/>
    <col min="3604" max="3605" width="9.7109375" style="200" customWidth="1"/>
    <col min="3606" max="3606" width="10.85546875" style="200" customWidth="1"/>
    <col min="3607" max="3608" width="9.7109375" style="200" customWidth="1"/>
    <col min="3609" max="3609" width="10.85546875" style="200" customWidth="1"/>
    <col min="3610" max="3840" width="11.42578125" style="200"/>
    <col min="3841" max="3841" width="2" style="200" customWidth="1"/>
    <col min="3842" max="3842" width="20.5703125" style="200" bestFit="1" customWidth="1"/>
    <col min="3843" max="3843" width="5.7109375" style="200" bestFit="1" customWidth="1"/>
    <col min="3844" max="3844" width="35.7109375" style="200" customWidth="1"/>
    <col min="3845" max="3846" width="9.7109375" style="200" customWidth="1"/>
    <col min="3847" max="3847" width="11.5703125" style="200" customWidth="1"/>
    <col min="3848" max="3849" width="9.7109375" style="200" customWidth="1"/>
    <col min="3850" max="3850" width="12.140625" style="200" customWidth="1"/>
    <col min="3851" max="3852" width="9.7109375" style="200" customWidth="1"/>
    <col min="3853" max="3853" width="10.85546875" style="200" customWidth="1"/>
    <col min="3854" max="3855" width="9.7109375" style="200" customWidth="1"/>
    <col min="3856" max="3856" width="11.42578125" style="200" customWidth="1"/>
    <col min="3857" max="3858" width="9.7109375" style="200" customWidth="1"/>
    <col min="3859" max="3859" width="10.85546875" style="200" customWidth="1"/>
    <col min="3860" max="3861" width="9.7109375" style="200" customWidth="1"/>
    <col min="3862" max="3862" width="10.85546875" style="200" customWidth="1"/>
    <col min="3863" max="3864" width="9.7109375" style="200" customWidth="1"/>
    <col min="3865" max="3865" width="10.85546875" style="200" customWidth="1"/>
    <col min="3866" max="4096" width="11.42578125" style="200"/>
    <col min="4097" max="4097" width="2" style="200" customWidth="1"/>
    <col min="4098" max="4098" width="20.5703125" style="200" bestFit="1" customWidth="1"/>
    <col min="4099" max="4099" width="5.7109375" style="200" bestFit="1" customWidth="1"/>
    <col min="4100" max="4100" width="35.7109375" style="200" customWidth="1"/>
    <col min="4101" max="4102" width="9.7109375" style="200" customWidth="1"/>
    <col min="4103" max="4103" width="11.5703125" style="200" customWidth="1"/>
    <col min="4104" max="4105" width="9.7109375" style="200" customWidth="1"/>
    <col min="4106" max="4106" width="12.140625" style="200" customWidth="1"/>
    <col min="4107" max="4108" width="9.7109375" style="200" customWidth="1"/>
    <col min="4109" max="4109" width="10.85546875" style="200" customWidth="1"/>
    <col min="4110" max="4111" width="9.7109375" style="200" customWidth="1"/>
    <col min="4112" max="4112" width="11.42578125" style="200" customWidth="1"/>
    <col min="4113" max="4114" width="9.7109375" style="200" customWidth="1"/>
    <col min="4115" max="4115" width="10.85546875" style="200" customWidth="1"/>
    <col min="4116" max="4117" width="9.7109375" style="200" customWidth="1"/>
    <col min="4118" max="4118" width="10.85546875" style="200" customWidth="1"/>
    <col min="4119" max="4120" width="9.7109375" style="200" customWidth="1"/>
    <col min="4121" max="4121" width="10.85546875" style="200" customWidth="1"/>
    <col min="4122" max="4352" width="11.42578125" style="200"/>
    <col min="4353" max="4353" width="2" style="200" customWidth="1"/>
    <col min="4354" max="4354" width="20.5703125" style="200" bestFit="1" customWidth="1"/>
    <col min="4355" max="4355" width="5.7109375" style="200" bestFit="1" customWidth="1"/>
    <col min="4356" max="4356" width="35.7109375" style="200" customWidth="1"/>
    <col min="4357" max="4358" width="9.7109375" style="200" customWidth="1"/>
    <col min="4359" max="4359" width="11.5703125" style="200" customWidth="1"/>
    <col min="4360" max="4361" width="9.7109375" style="200" customWidth="1"/>
    <col min="4362" max="4362" width="12.140625" style="200" customWidth="1"/>
    <col min="4363" max="4364" width="9.7109375" style="200" customWidth="1"/>
    <col min="4365" max="4365" width="10.85546875" style="200" customWidth="1"/>
    <col min="4366" max="4367" width="9.7109375" style="200" customWidth="1"/>
    <col min="4368" max="4368" width="11.42578125" style="200" customWidth="1"/>
    <col min="4369" max="4370" width="9.7109375" style="200" customWidth="1"/>
    <col min="4371" max="4371" width="10.85546875" style="200" customWidth="1"/>
    <col min="4372" max="4373" width="9.7109375" style="200" customWidth="1"/>
    <col min="4374" max="4374" width="10.85546875" style="200" customWidth="1"/>
    <col min="4375" max="4376" width="9.7109375" style="200" customWidth="1"/>
    <col min="4377" max="4377" width="10.85546875" style="200" customWidth="1"/>
    <col min="4378" max="4608" width="11.42578125" style="200"/>
    <col min="4609" max="4609" width="2" style="200" customWidth="1"/>
    <col min="4610" max="4610" width="20.5703125" style="200" bestFit="1" customWidth="1"/>
    <col min="4611" max="4611" width="5.7109375" style="200" bestFit="1" customWidth="1"/>
    <col min="4612" max="4612" width="35.7109375" style="200" customWidth="1"/>
    <col min="4613" max="4614" width="9.7109375" style="200" customWidth="1"/>
    <col min="4615" max="4615" width="11.5703125" style="200" customWidth="1"/>
    <col min="4616" max="4617" width="9.7109375" style="200" customWidth="1"/>
    <col min="4618" max="4618" width="12.140625" style="200" customWidth="1"/>
    <col min="4619" max="4620" width="9.7109375" style="200" customWidth="1"/>
    <col min="4621" max="4621" width="10.85546875" style="200" customWidth="1"/>
    <col min="4622" max="4623" width="9.7109375" style="200" customWidth="1"/>
    <col min="4624" max="4624" width="11.42578125" style="200" customWidth="1"/>
    <col min="4625" max="4626" width="9.7109375" style="200" customWidth="1"/>
    <col min="4627" max="4627" width="10.85546875" style="200" customWidth="1"/>
    <col min="4628" max="4629" width="9.7109375" style="200" customWidth="1"/>
    <col min="4630" max="4630" width="10.85546875" style="200" customWidth="1"/>
    <col min="4631" max="4632" width="9.7109375" style="200" customWidth="1"/>
    <col min="4633" max="4633" width="10.85546875" style="200" customWidth="1"/>
    <col min="4634" max="4864" width="11.42578125" style="200"/>
    <col min="4865" max="4865" width="2" style="200" customWidth="1"/>
    <col min="4866" max="4866" width="20.5703125" style="200" bestFit="1" customWidth="1"/>
    <col min="4867" max="4867" width="5.7109375" style="200" bestFit="1" customWidth="1"/>
    <col min="4868" max="4868" width="35.7109375" style="200" customWidth="1"/>
    <col min="4869" max="4870" width="9.7109375" style="200" customWidth="1"/>
    <col min="4871" max="4871" width="11.5703125" style="200" customWidth="1"/>
    <col min="4872" max="4873" width="9.7109375" style="200" customWidth="1"/>
    <col min="4874" max="4874" width="12.140625" style="200" customWidth="1"/>
    <col min="4875" max="4876" width="9.7109375" style="200" customWidth="1"/>
    <col min="4877" max="4877" width="10.85546875" style="200" customWidth="1"/>
    <col min="4878" max="4879" width="9.7109375" style="200" customWidth="1"/>
    <col min="4880" max="4880" width="11.42578125" style="200" customWidth="1"/>
    <col min="4881" max="4882" width="9.7109375" style="200" customWidth="1"/>
    <col min="4883" max="4883" width="10.85546875" style="200" customWidth="1"/>
    <col min="4884" max="4885" width="9.7109375" style="200" customWidth="1"/>
    <col min="4886" max="4886" width="10.85546875" style="200" customWidth="1"/>
    <col min="4887" max="4888" width="9.7109375" style="200" customWidth="1"/>
    <col min="4889" max="4889" width="10.85546875" style="200" customWidth="1"/>
    <col min="4890" max="5120" width="11.42578125" style="200"/>
    <col min="5121" max="5121" width="2" style="200" customWidth="1"/>
    <col min="5122" max="5122" width="20.5703125" style="200" bestFit="1" customWidth="1"/>
    <col min="5123" max="5123" width="5.7109375" style="200" bestFit="1" customWidth="1"/>
    <col min="5124" max="5124" width="35.7109375" style="200" customWidth="1"/>
    <col min="5125" max="5126" width="9.7109375" style="200" customWidth="1"/>
    <col min="5127" max="5127" width="11.5703125" style="200" customWidth="1"/>
    <col min="5128" max="5129" width="9.7109375" style="200" customWidth="1"/>
    <col min="5130" max="5130" width="12.140625" style="200" customWidth="1"/>
    <col min="5131" max="5132" width="9.7109375" style="200" customWidth="1"/>
    <col min="5133" max="5133" width="10.85546875" style="200" customWidth="1"/>
    <col min="5134" max="5135" width="9.7109375" style="200" customWidth="1"/>
    <col min="5136" max="5136" width="11.42578125" style="200" customWidth="1"/>
    <col min="5137" max="5138" width="9.7109375" style="200" customWidth="1"/>
    <col min="5139" max="5139" width="10.85546875" style="200" customWidth="1"/>
    <col min="5140" max="5141" width="9.7109375" style="200" customWidth="1"/>
    <col min="5142" max="5142" width="10.85546875" style="200" customWidth="1"/>
    <col min="5143" max="5144" width="9.7109375" style="200" customWidth="1"/>
    <col min="5145" max="5145" width="10.85546875" style="200" customWidth="1"/>
    <col min="5146" max="5376" width="11.42578125" style="200"/>
    <col min="5377" max="5377" width="2" style="200" customWidth="1"/>
    <col min="5378" max="5378" width="20.5703125" style="200" bestFit="1" customWidth="1"/>
    <col min="5379" max="5379" width="5.7109375" style="200" bestFit="1" customWidth="1"/>
    <col min="5380" max="5380" width="35.7109375" style="200" customWidth="1"/>
    <col min="5381" max="5382" width="9.7109375" style="200" customWidth="1"/>
    <col min="5383" max="5383" width="11.5703125" style="200" customWidth="1"/>
    <col min="5384" max="5385" width="9.7109375" style="200" customWidth="1"/>
    <col min="5386" max="5386" width="12.140625" style="200" customWidth="1"/>
    <col min="5387" max="5388" width="9.7109375" style="200" customWidth="1"/>
    <col min="5389" max="5389" width="10.85546875" style="200" customWidth="1"/>
    <col min="5390" max="5391" width="9.7109375" style="200" customWidth="1"/>
    <col min="5392" max="5392" width="11.42578125" style="200" customWidth="1"/>
    <col min="5393" max="5394" width="9.7109375" style="200" customWidth="1"/>
    <col min="5395" max="5395" width="10.85546875" style="200" customWidth="1"/>
    <col min="5396" max="5397" width="9.7109375" style="200" customWidth="1"/>
    <col min="5398" max="5398" width="10.85546875" style="200" customWidth="1"/>
    <col min="5399" max="5400" width="9.7109375" style="200" customWidth="1"/>
    <col min="5401" max="5401" width="10.85546875" style="200" customWidth="1"/>
    <col min="5402" max="5632" width="11.42578125" style="200"/>
    <col min="5633" max="5633" width="2" style="200" customWidth="1"/>
    <col min="5634" max="5634" width="20.5703125" style="200" bestFit="1" customWidth="1"/>
    <col min="5635" max="5635" width="5.7109375" style="200" bestFit="1" customWidth="1"/>
    <col min="5636" max="5636" width="35.7109375" style="200" customWidth="1"/>
    <col min="5637" max="5638" width="9.7109375" style="200" customWidth="1"/>
    <col min="5639" max="5639" width="11.5703125" style="200" customWidth="1"/>
    <col min="5640" max="5641" width="9.7109375" style="200" customWidth="1"/>
    <col min="5642" max="5642" width="12.140625" style="200" customWidth="1"/>
    <col min="5643" max="5644" width="9.7109375" style="200" customWidth="1"/>
    <col min="5645" max="5645" width="10.85546875" style="200" customWidth="1"/>
    <col min="5646" max="5647" width="9.7109375" style="200" customWidth="1"/>
    <col min="5648" max="5648" width="11.42578125" style="200" customWidth="1"/>
    <col min="5649" max="5650" width="9.7109375" style="200" customWidth="1"/>
    <col min="5651" max="5651" width="10.85546875" style="200" customWidth="1"/>
    <col min="5652" max="5653" width="9.7109375" style="200" customWidth="1"/>
    <col min="5654" max="5654" width="10.85546875" style="200" customWidth="1"/>
    <col min="5655" max="5656" width="9.7109375" style="200" customWidth="1"/>
    <col min="5657" max="5657" width="10.85546875" style="200" customWidth="1"/>
    <col min="5658" max="5888" width="11.42578125" style="200"/>
    <col min="5889" max="5889" width="2" style="200" customWidth="1"/>
    <col min="5890" max="5890" width="20.5703125" style="200" bestFit="1" customWidth="1"/>
    <col min="5891" max="5891" width="5.7109375" style="200" bestFit="1" customWidth="1"/>
    <col min="5892" max="5892" width="35.7109375" style="200" customWidth="1"/>
    <col min="5893" max="5894" width="9.7109375" style="200" customWidth="1"/>
    <col min="5895" max="5895" width="11.5703125" style="200" customWidth="1"/>
    <col min="5896" max="5897" width="9.7109375" style="200" customWidth="1"/>
    <col min="5898" max="5898" width="12.140625" style="200" customWidth="1"/>
    <col min="5899" max="5900" width="9.7109375" style="200" customWidth="1"/>
    <col min="5901" max="5901" width="10.85546875" style="200" customWidth="1"/>
    <col min="5902" max="5903" width="9.7109375" style="200" customWidth="1"/>
    <col min="5904" max="5904" width="11.42578125" style="200" customWidth="1"/>
    <col min="5905" max="5906" width="9.7109375" style="200" customWidth="1"/>
    <col min="5907" max="5907" width="10.85546875" style="200" customWidth="1"/>
    <col min="5908" max="5909" width="9.7109375" style="200" customWidth="1"/>
    <col min="5910" max="5910" width="10.85546875" style="200" customWidth="1"/>
    <col min="5911" max="5912" width="9.7109375" style="200" customWidth="1"/>
    <col min="5913" max="5913" width="10.85546875" style="200" customWidth="1"/>
    <col min="5914" max="6144" width="11.42578125" style="200"/>
    <col min="6145" max="6145" width="2" style="200" customWidth="1"/>
    <col min="6146" max="6146" width="20.5703125" style="200" bestFit="1" customWidth="1"/>
    <col min="6147" max="6147" width="5.7109375" style="200" bestFit="1" customWidth="1"/>
    <col min="6148" max="6148" width="35.7109375" style="200" customWidth="1"/>
    <col min="6149" max="6150" width="9.7109375" style="200" customWidth="1"/>
    <col min="6151" max="6151" width="11.5703125" style="200" customWidth="1"/>
    <col min="6152" max="6153" width="9.7109375" style="200" customWidth="1"/>
    <col min="6154" max="6154" width="12.140625" style="200" customWidth="1"/>
    <col min="6155" max="6156" width="9.7109375" style="200" customWidth="1"/>
    <col min="6157" max="6157" width="10.85546875" style="200" customWidth="1"/>
    <col min="6158" max="6159" width="9.7109375" style="200" customWidth="1"/>
    <col min="6160" max="6160" width="11.42578125" style="200" customWidth="1"/>
    <col min="6161" max="6162" width="9.7109375" style="200" customWidth="1"/>
    <col min="6163" max="6163" width="10.85546875" style="200" customWidth="1"/>
    <col min="6164" max="6165" width="9.7109375" style="200" customWidth="1"/>
    <col min="6166" max="6166" width="10.85546875" style="200" customWidth="1"/>
    <col min="6167" max="6168" width="9.7109375" style="200" customWidth="1"/>
    <col min="6169" max="6169" width="10.85546875" style="200" customWidth="1"/>
    <col min="6170" max="6400" width="11.42578125" style="200"/>
    <col min="6401" max="6401" width="2" style="200" customWidth="1"/>
    <col min="6402" max="6402" width="20.5703125" style="200" bestFit="1" customWidth="1"/>
    <col min="6403" max="6403" width="5.7109375" style="200" bestFit="1" customWidth="1"/>
    <col min="6404" max="6404" width="35.7109375" style="200" customWidth="1"/>
    <col min="6405" max="6406" width="9.7109375" style="200" customWidth="1"/>
    <col min="6407" max="6407" width="11.5703125" style="200" customWidth="1"/>
    <col min="6408" max="6409" width="9.7109375" style="200" customWidth="1"/>
    <col min="6410" max="6410" width="12.140625" style="200" customWidth="1"/>
    <col min="6411" max="6412" width="9.7109375" style="200" customWidth="1"/>
    <col min="6413" max="6413" width="10.85546875" style="200" customWidth="1"/>
    <col min="6414" max="6415" width="9.7109375" style="200" customWidth="1"/>
    <col min="6416" max="6416" width="11.42578125" style="200" customWidth="1"/>
    <col min="6417" max="6418" width="9.7109375" style="200" customWidth="1"/>
    <col min="6419" max="6419" width="10.85546875" style="200" customWidth="1"/>
    <col min="6420" max="6421" width="9.7109375" style="200" customWidth="1"/>
    <col min="6422" max="6422" width="10.85546875" style="200" customWidth="1"/>
    <col min="6423" max="6424" width="9.7109375" style="200" customWidth="1"/>
    <col min="6425" max="6425" width="10.85546875" style="200" customWidth="1"/>
    <col min="6426" max="6656" width="11.42578125" style="200"/>
    <col min="6657" max="6657" width="2" style="200" customWidth="1"/>
    <col min="6658" max="6658" width="20.5703125" style="200" bestFit="1" customWidth="1"/>
    <col min="6659" max="6659" width="5.7109375" style="200" bestFit="1" customWidth="1"/>
    <col min="6660" max="6660" width="35.7109375" style="200" customWidth="1"/>
    <col min="6661" max="6662" width="9.7109375" style="200" customWidth="1"/>
    <col min="6663" max="6663" width="11.5703125" style="200" customWidth="1"/>
    <col min="6664" max="6665" width="9.7109375" style="200" customWidth="1"/>
    <col min="6666" max="6666" width="12.140625" style="200" customWidth="1"/>
    <col min="6667" max="6668" width="9.7109375" style="200" customWidth="1"/>
    <col min="6669" max="6669" width="10.85546875" style="200" customWidth="1"/>
    <col min="6670" max="6671" width="9.7109375" style="200" customWidth="1"/>
    <col min="6672" max="6672" width="11.42578125" style="200" customWidth="1"/>
    <col min="6673" max="6674" width="9.7109375" style="200" customWidth="1"/>
    <col min="6675" max="6675" width="10.85546875" style="200" customWidth="1"/>
    <col min="6676" max="6677" width="9.7109375" style="200" customWidth="1"/>
    <col min="6678" max="6678" width="10.85546875" style="200" customWidth="1"/>
    <col min="6679" max="6680" width="9.7109375" style="200" customWidth="1"/>
    <col min="6681" max="6681" width="10.85546875" style="200" customWidth="1"/>
    <col min="6682" max="6912" width="11.42578125" style="200"/>
    <col min="6913" max="6913" width="2" style="200" customWidth="1"/>
    <col min="6914" max="6914" width="20.5703125" style="200" bestFit="1" customWidth="1"/>
    <col min="6915" max="6915" width="5.7109375" style="200" bestFit="1" customWidth="1"/>
    <col min="6916" max="6916" width="35.7109375" style="200" customWidth="1"/>
    <col min="6917" max="6918" width="9.7109375" style="200" customWidth="1"/>
    <col min="6919" max="6919" width="11.5703125" style="200" customWidth="1"/>
    <col min="6920" max="6921" width="9.7109375" style="200" customWidth="1"/>
    <col min="6922" max="6922" width="12.140625" style="200" customWidth="1"/>
    <col min="6923" max="6924" width="9.7109375" style="200" customWidth="1"/>
    <col min="6925" max="6925" width="10.85546875" style="200" customWidth="1"/>
    <col min="6926" max="6927" width="9.7109375" style="200" customWidth="1"/>
    <col min="6928" max="6928" width="11.42578125" style="200" customWidth="1"/>
    <col min="6929" max="6930" width="9.7109375" style="200" customWidth="1"/>
    <col min="6931" max="6931" width="10.85546875" style="200" customWidth="1"/>
    <col min="6932" max="6933" width="9.7109375" style="200" customWidth="1"/>
    <col min="6934" max="6934" width="10.85546875" style="200" customWidth="1"/>
    <col min="6935" max="6936" width="9.7109375" style="200" customWidth="1"/>
    <col min="6937" max="6937" width="10.85546875" style="200" customWidth="1"/>
    <col min="6938" max="7168" width="11.42578125" style="200"/>
    <col min="7169" max="7169" width="2" style="200" customWidth="1"/>
    <col min="7170" max="7170" width="20.5703125" style="200" bestFit="1" customWidth="1"/>
    <col min="7171" max="7171" width="5.7109375" style="200" bestFit="1" customWidth="1"/>
    <col min="7172" max="7172" width="35.7109375" style="200" customWidth="1"/>
    <col min="7173" max="7174" width="9.7109375" style="200" customWidth="1"/>
    <col min="7175" max="7175" width="11.5703125" style="200" customWidth="1"/>
    <col min="7176" max="7177" width="9.7109375" style="200" customWidth="1"/>
    <col min="7178" max="7178" width="12.140625" style="200" customWidth="1"/>
    <col min="7179" max="7180" width="9.7109375" style="200" customWidth="1"/>
    <col min="7181" max="7181" width="10.85546875" style="200" customWidth="1"/>
    <col min="7182" max="7183" width="9.7109375" style="200" customWidth="1"/>
    <col min="7184" max="7184" width="11.42578125" style="200" customWidth="1"/>
    <col min="7185" max="7186" width="9.7109375" style="200" customWidth="1"/>
    <col min="7187" max="7187" width="10.85546875" style="200" customWidth="1"/>
    <col min="7188" max="7189" width="9.7109375" style="200" customWidth="1"/>
    <col min="7190" max="7190" width="10.85546875" style="200" customWidth="1"/>
    <col min="7191" max="7192" width="9.7109375" style="200" customWidth="1"/>
    <col min="7193" max="7193" width="10.85546875" style="200" customWidth="1"/>
    <col min="7194" max="7424" width="11.42578125" style="200"/>
    <col min="7425" max="7425" width="2" style="200" customWidth="1"/>
    <col min="7426" max="7426" width="20.5703125" style="200" bestFit="1" customWidth="1"/>
    <col min="7427" max="7427" width="5.7109375" style="200" bestFit="1" customWidth="1"/>
    <col min="7428" max="7428" width="35.7109375" style="200" customWidth="1"/>
    <col min="7429" max="7430" width="9.7109375" style="200" customWidth="1"/>
    <col min="7431" max="7431" width="11.5703125" style="200" customWidth="1"/>
    <col min="7432" max="7433" width="9.7109375" style="200" customWidth="1"/>
    <col min="7434" max="7434" width="12.140625" style="200" customWidth="1"/>
    <col min="7435" max="7436" width="9.7109375" style="200" customWidth="1"/>
    <col min="7437" max="7437" width="10.85546875" style="200" customWidth="1"/>
    <col min="7438" max="7439" width="9.7109375" style="200" customWidth="1"/>
    <col min="7440" max="7440" width="11.42578125" style="200" customWidth="1"/>
    <col min="7441" max="7442" width="9.7109375" style="200" customWidth="1"/>
    <col min="7443" max="7443" width="10.85546875" style="200" customWidth="1"/>
    <col min="7444" max="7445" width="9.7109375" style="200" customWidth="1"/>
    <col min="7446" max="7446" width="10.85546875" style="200" customWidth="1"/>
    <col min="7447" max="7448" width="9.7109375" style="200" customWidth="1"/>
    <col min="7449" max="7449" width="10.85546875" style="200" customWidth="1"/>
    <col min="7450" max="7680" width="11.42578125" style="200"/>
    <col min="7681" max="7681" width="2" style="200" customWidth="1"/>
    <col min="7682" max="7682" width="20.5703125" style="200" bestFit="1" customWidth="1"/>
    <col min="7683" max="7683" width="5.7109375" style="200" bestFit="1" customWidth="1"/>
    <col min="7684" max="7684" width="35.7109375" style="200" customWidth="1"/>
    <col min="7685" max="7686" width="9.7109375" style="200" customWidth="1"/>
    <col min="7687" max="7687" width="11.5703125" style="200" customWidth="1"/>
    <col min="7688" max="7689" width="9.7109375" style="200" customWidth="1"/>
    <col min="7690" max="7690" width="12.140625" style="200" customWidth="1"/>
    <col min="7691" max="7692" width="9.7109375" style="200" customWidth="1"/>
    <col min="7693" max="7693" width="10.85546875" style="200" customWidth="1"/>
    <col min="7694" max="7695" width="9.7109375" style="200" customWidth="1"/>
    <col min="7696" max="7696" width="11.42578125" style="200" customWidth="1"/>
    <col min="7697" max="7698" width="9.7109375" style="200" customWidth="1"/>
    <col min="7699" max="7699" width="10.85546875" style="200" customWidth="1"/>
    <col min="7700" max="7701" width="9.7109375" style="200" customWidth="1"/>
    <col min="7702" max="7702" width="10.85546875" style="200" customWidth="1"/>
    <col min="7703" max="7704" width="9.7109375" style="200" customWidth="1"/>
    <col min="7705" max="7705" width="10.85546875" style="200" customWidth="1"/>
    <col min="7706" max="7936" width="11.42578125" style="200"/>
    <col min="7937" max="7937" width="2" style="200" customWidth="1"/>
    <col min="7938" max="7938" width="20.5703125" style="200" bestFit="1" customWidth="1"/>
    <col min="7939" max="7939" width="5.7109375" style="200" bestFit="1" customWidth="1"/>
    <col min="7940" max="7940" width="35.7109375" style="200" customWidth="1"/>
    <col min="7941" max="7942" width="9.7109375" style="200" customWidth="1"/>
    <col min="7943" max="7943" width="11.5703125" style="200" customWidth="1"/>
    <col min="7944" max="7945" width="9.7109375" style="200" customWidth="1"/>
    <col min="7946" max="7946" width="12.140625" style="200" customWidth="1"/>
    <col min="7947" max="7948" width="9.7109375" style="200" customWidth="1"/>
    <col min="7949" max="7949" width="10.85546875" style="200" customWidth="1"/>
    <col min="7950" max="7951" width="9.7109375" style="200" customWidth="1"/>
    <col min="7952" max="7952" width="11.42578125" style="200" customWidth="1"/>
    <col min="7953" max="7954" width="9.7109375" style="200" customWidth="1"/>
    <col min="7955" max="7955" width="10.85546875" style="200" customWidth="1"/>
    <col min="7956" max="7957" width="9.7109375" style="200" customWidth="1"/>
    <col min="7958" max="7958" width="10.85546875" style="200" customWidth="1"/>
    <col min="7959" max="7960" width="9.7109375" style="200" customWidth="1"/>
    <col min="7961" max="7961" width="10.85546875" style="200" customWidth="1"/>
    <col min="7962" max="8192" width="11.42578125" style="200"/>
    <col min="8193" max="8193" width="2" style="200" customWidth="1"/>
    <col min="8194" max="8194" width="20.5703125" style="200" bestFit="1" customWidth="1"/>
    <col min="8195" max="8195" width="5.7109375" style="200" bestFit="1" customWidth="1"/>
    <col min="8196" max="8196" width="35.7109375" style="200" customWidth="1"/>
    <col min="8197" max="8198" width="9.7109375" style="200" customWidth="1"/>
    <col min="8199" max="8199" width="11.5703125" style="200" customWidth="1"/>
    <col min="8200" max="8201" width="9.7109375" style="200" customWidth="1"/>
    <col min="8202" max="8202" width="12.140625" style="200" customWidth="1"/>
    <col min="8203" max="8204" width="9.7109375" style="200" customWidth="1"/>
    <col min="8205" max="8205" width="10.85546875" style="200" customWidth="1"/>
    <col min="8206" max="8207" width="9.7109375" style="200" customWidth="1"/>
    <col min="8208" max="8208" width="11.42578125" style="200" customWidth="1"/>
    <col min="8209" max="8210" width="9.7109375" style="200" customWidth="1"/>
    <col min="8211" max="8211" width="10.85546875" style="200" customWidth="1"/>
    <col min="8212" max="8213" width="9.7109375" style="200" customWidth="1"/>
    <col min="8214" max="8214" width="10.85546875" style="200" customWidth="1"/>
    <col min="8215" max="8216" width="9.7109375" style="200" customWidth="1"/>
    <col min="8217" max="8217" width="10.85546875" style="200" customWidth="1"/>
    <col min="8218" max="8448" width="11.42578125" style="200"/>
    <col min="8449" max="8449" width="2" style="200" customWidth="1"/>
    <col min="8450" max="8450" width="20.5703125" style="200" bestFit="1" customWidth="1"/>
    <col min="8451" max="8451" width="5.7109375" style="200" bestFit="1" customWidth="1"/>
    <col min="8452" max="8452" width="35.7109375" style="200" customWidth="1"/>
    <col min="8453" max="8454" width="9.7109375" style="200" customWidth="1"/>
    <col min="8455" max="8455" width="11.5703125" style="200" customWidth="1"/>
    <col min="8456" max="8457" width="9.7109375" style="200" customWidth="1"/>
    <col min="8458" max="8458" width="12.140625" style="200" customWidth="1"/>
    <col min="8459" max="8460" width="9.7109375" style="200" customWidth="1"/>
    <col min="8461" max="8461" width="10.85546875" style="200" customWidth="1"/>
    <col min="8462" max="8463" width="9.7109375" style="200" customWidth="1"/>
    <col min="8464" max="8464" width="11.42578125" style="200" customWidth="1"/>
    <col min="8465" max="8466" width="9.7109375" style="200" customWidth="1"/>
    <col min="8467" max="8467" width="10.85546875" style="200" customWidth="1"/>
    <col min="8468" max="8469" width="9.7109375" style="200" customWidth="1"/>
    <col min="8470" max="8470" width="10.85546875" style="200" customWidth="1"/>
    <col min="8471" max="8472" width="9.7109375" style="200" customWidth="1"/>
    <col min="8473" max="8473" width="10.85546875" style="200" customWidth="1"/>
    <col min="8474" max="8704" width="11.42578125" style="200"/>
    <col min="8705" max="8705" width="2" style="200" customWidth="1"/>
    <col min="8706" max="8706" width="20.5703125" style="200" bestFit="1" customWidth="1"/>
    <col min="8707" max="8707" width="5.7109375" style="200" bestFit="1" customWidth="1"/>
    <col min="8708" max="8708" width="35.7109375" style="200" customWidth="1"/>
    <col min="8709" max="8710" width="9.7109375" style="200" customWidth="1"/>
    <col min="8711" max="8711" width="11.5703125" style="200" customWidth="1"/>
    <col min="8712" max="8713" width="9.7109375" style="200" customWidth="1"/>
    <col min="8714" max="8714" width="12.140625" style="200" customWidth="1"/>
    <col min="8715" max="8716" width="9.7109375" style="200" customWidth="1"/>
    <col min="8717" max="8717" width="10.85546875" style="200" customWidth="1"/>
    <col min="8718" max="8719" width="9.7109375" style="200" customWidth="1"/>
    <col min="8720" max="8720" width="11.42578125" style="200" customWidth="1"/>
    <col min="8721" max="8722" width="9.7109375" style="200" customWidth="1"/>
    <col min="8723" max="8723" width="10.85546875" style="200" customWidth="1"/>
    <col min="8724" max="8725" width="9.7109375" style="200" customWidth="1"/>
    <col min="8726" max="8726" width="10.85546875" style="200" customWidth="1"/>
    <col min="8727" max="8728" width="9.7109375" style="200" customWidth="1"/>
    <col min="8729" max="8729" width="10.85546875" style="200" customWidth="1"/>
    <col min="8730" max="8960" width="11.42578125" style="200"/>
    <col min="8961" max="8961" width="2" style="200" customWidth="1"/>
    <col min="8962" max="8962" width="20.5703125" style="200" bestFit="1" customWidth="1"/>
    <col min="8963" max="8963" width="5.7109375" style="200" bestFit="1" customWidth="1"/>
    <col min="8964" max="8964" width="35.7109375" style="200" customWidth="1"/>
    <col min="8965" max="8966" width="9.7109375" style="200" customWidth="1"/>
    <col min="8967" max="8967" width="11.5703125" style="200" customWidth="1"/>
    <col min="8968" max="8969" width="9.7109375" style="200" customWidth="1"/>
    <col min="8970" max="8970" width="12.140625" style="200" customWidth="1"/>
    <col min="8971" max="8972" width="9.7109375" style="200" customWidth="1"/>
    <col min="8973" max="8973" width="10.85546875" style="200" customWidth="1"/>
    <col min="8974" max="8975" width="9.7109375" style="200" customWidth="1"/>
    <col min="8976" max="8976" width="11.42578125" style="200" customWidth="1"/>
    <col min="8977" max="8978" width="9.7109375" style="200" customWidth="1"/>
    <col min="8979" max="8979" width="10.85546875" style="200" customWidth="1"/>
    <col min="8980" max="8981" width="9.7109375" style="200" customWidth="1"/>
    <col min="8982" max="8982" width="10.85546875" style="200" customWidth="1"/>
    <col min="8983" max="8984" width="9.7109375" style="200" customWidth="1"/>
    <col min="8985" max="8985" width="10.85546875" style="200" customWidth="1"/>
    <col min="8986" max="9216" width="11.42578125" style="200"/>
    <col min="9217" max="9217" width="2" style="200" customWidth="1"/>
    <col min="9218" max="9218" width="20.5703125" style="200" bestFit="1" customWidth="1"/>
    <col min="9219" max="9219" width="5.7109375" style="200" bestFit="1" customWidth="1"/>
    <col min="9220" max="9220" width="35.7109375" style="200" customWidth="1"/>
    <col min="9221" max="9222" width="9.7109375" style="200" customWidth="1"/>
    <col min="9223" max="9223" width="11.5703125" style="200" customWidth="1"/>
    <col min="9224" max="9225" width="9.7109375" style="200" customWidth="1"/>
    <col min="9226" max="9226" width="12.140625" style="200" customWidth="1"/>
    <col min="9227" max="9228" width="9.7109375" style="200" customWidth="1"/>
    <col min="9229" max="9229" width="10.85546875" style="200" customWidth="1"/>
    <col min="9230" max="9231" width="9.7109375" style="200" customWidth="1"/>
    <col min="9232" max="9232" width="11.42578125" style="200" customWidth="1"/>
    <col min="9233" max="9234" width="9.7109375" style="200" customWidth="1"/>
    <col min="9235" max="9235" width="10.85546875" style="200" customWidth="1"/>
    <col min="9236" max="9237" width="9.7109375" style="200" customWidth="1"/>
    <col min="9238" max="9238" width="10.85546875" style="200" customWidth="1"/>
    <col min="9239" max="9240" width="9.7109375" style="200" customWidth="1"/>
    <col min="9241" max="9241" width="10.85546875" style="200" customWidth="1"/>
    <col min="9242" max="9472" width="11.42578125" style="200"/>
    <col min="9473" max="9473" width="2" style="200" customWidth="1"/>
    <col min="9474" max="9474" width="20.5703125" style="200" bestFit="1" customWidth="1"/>
    <col min="9475" max="9475" width="5.7109375" style="200" bestFit="1" customWidth="1"/>
    <col min="9476" max="9476" width="35.7109375" style="200" customWidth="1"/>
    <col min="9477" max="9478" width="9.7109375" style="200" customWidth="1"/>
    <col min="9479" max="9479" width="11.5703125" style="200" customWidth="1"/>
    <col min="9480" max="9481" width="9.7109375" style="200" customWidth="1"/>
    <col min="9482" max="9482" width="12.140625" style="200" customWidth="1"/>
    <col min="9483" max="9484" width="9.7109375" style="200" customWidth="1"/>
    <col min="9485" max="9485" width="10.85546875" style="200" customWidth="1"/>
    <col min="9486" max="9487" width="9.7109375" style="200" customWidth="1"/>
    <col min="9488" max="9488" width="11.42578125" style="200" customWidth="1"/>
    <col min="9489" max="9490" width="9.7109375" style="200" customWidth="1"/>
    <col min="9491" max="9491" width="10.85546875" style="200" customWidth="1"/>
    <col min="9492" max="9493" width="9.7109375" style="200" customWidth="1"/>
    <col min="9494" max="9494" width="10.85546875" style="200" customWidth="1"/>
    <col min="9495" max="9496" width="9.7109375" style="200" customWidth="1"/>
    <col min="9497" max="9497" width="10.85546875" style="200" customWidth="1"/>
    <col min="9498" max="9728" width="11.42578125" style="200"/>
    <col min="9729" max="9729" width="2" style="200" customWidth="1"/>
    <col min="9730" max="9730" width="20.5703125" style="200" bestFit="1" customWidth="1"/>
    <col min="9731" max="9731" width="5.7109375" style="200" bestFit="1" customWidth="1"/>
    <col min="9732" max="9732" width="35.7109375" style="200" customWidth="1"/>
    <col min="9733" max="9734" width="9.7109375" style="200" customWidth="1"/>
    <col min="9735" max="9735" width="11.5703125" style="200" customWidth="1"/>
    <col min="9736" max="9737" width="9.7109375" style="200" customWidth="1"/>
    <col min="9738" max="9738" width="12.140625" style="200" customWidth="1"/>
    <col min="9739" max="9740" width="9.7109375" style="200" customWidth="1"/>
    <col min="9741" max="9741" width="10.85546875" style="200" customWidth="1"/>
    <col min="9742" max="9743" width="9.7109375" style="200" customWidth="1"/>
    <col min="9744" max="9744" width="11.42578125" style="200" customWidth="1"/>
    <col min="9745" max="9746" width="9.7109375" style="200" customWidth="1"/>
    <col min="9747" max="9747" width="10.85546875" style="200" customWidth="1"/>
    <col min="9748" max="9749" width="9.7109375" style="200" customWidth="1"/>
    <col min="9750" max="9750" width="10.85546875" style="200" customWidth="1"/>
    <col min="9751" max="9752" width="9.7109375" style="200" customWidth="1"/>
    <col min="9753" max="9753" width="10.85546875" style="200" customWidth="1"/>
    <col min="9754" max="9984" width="11.42578125" style="200"/>
    <col min="9985" max="9985" width="2" style="200" customWidth="1"/>
    <col min="9986" max="9986" width="20.5703125" style="200" bestFit="1" customWidth="1"/>
    <col min="9987" max="9987" width="5.7109375" style="200" bestFit="1" customWidth="1"/>
    <col min="9988" max="9988" width="35.7109375" style="200" customWidth="1"/>
    <col min="9989" max="9990" width="9.7109375" style="200" customWidth="1"/>
    <col min="9991" max="9991" width="11.5703125" style="200" customWidth="1"/>
    <col min="9992" max="9993" width="9.7109375" style="200" customWidth="1"/>
    <col min="9994" max="9994" width="12.140625" style="200" customWidth="1"/>
    <col min="9995" max="9996" width="9.7109375" style="200" customWidth="1"/>
    <col min="9997" max="9997" width="10.85546875" style="200" customWidth="1"/>
    <col min="9998" max="9999" width="9.7109375" style="200" customWidth="1"/>
    <col min="10000" max="10000" width="11.42578125" style="200" customWidth="1"/>
    <col min="10001" max="10002" width="9.7109375" style="200" customWidth="1"/>
    <col min="10003" max="10003" width="10.85546875" style="200" customWidth="1"/>
    <col min="10004" max="10005" width="9.7109375" style="200" customWidth="1"/>
    <col min="10006" max="10006" width="10.85546875" style="200" customWidth="1"/>
    <col min="10007" max="10008" width="9.7109375" style="200" customWidth="1"/>
    <col min="10009" max="10009" width="10.85546875" style="200" customWidth="1"/>
    <col min="10010" max="10240" width="11.42578125" style="200"/>
    <col min="10241" max="10241" width="2" style="200" customWidth="1"/>
    <col min="10242" max="10242" width="20.5703125" style="200" bestFit="1" customWidth="1"/>
    <col min="10243" max="10243" width="5.7109375" style="200" bestFit="1" customWidth="1"/>
    <col min="10244" max="10244" width="35.7109375" style="200" customWidth="1"/>
    <col min="10245" max="10246" width="9.7109375" style="200" customWidth="1"/>
    <col min="10247" max="10247" width="11.5703125" style="200" customWidth="1"/>
    <col min="10248" max="10249" width="9.7109375" style="200" customWidth="1"/>
    <col min="10250" max="10250" width="12.140625" style="200" customWidth="1"/>
    <col min="10251" max="10252" width="9.7109375" style="200" customWidth="1"/>
    <col min="10253" max="10253" width="10.85546875" style="200" customWidth="1"/>
    <col min="10254" max="10255" width="9.7109375" style="200" customWidth="1"/>
    <col min="10256" max="10256" width="11.42578125" style="200" customWidth="1"/>
    <col min="10257" max="10258" width="9.7109375" style="200" customWidth="1"/>
    <col min="10259" max="10259" width="10.85546875" style="200" customWidth="1"/>
    <col min="10260" max="10261" width="9.7109375" style="200" customWidth="1"/>
    <col min="10262" max="10262" width="10.85546875" style="200" customWidth="1"/>
    <col min="10263" max="10264" width="9.7109375" style="200" customWidth="1"/>
    <col min="10265" max="10265" width="10.85546875" style="200" customWidth="1"/>
    <col min="10266" max="10496" width="11.42578125" style="200"/>
    <col min="10497" max="10497" width="2" style="200" customWidth="1"/>
    <col min="10498" max="10498" width="20.5703125" style="200" bestFit="1" customWidth="1"/>
    <col min="10499" max="10499" width="5.7109375" style="200" bestFit="1" customWidth="1"/>
    <col min="10500" max="10500" width="35.7109375" style="200" customWidth="1"/>
    <col min="10501" max="10502" width="9.7109375" style="200" customWidth="1"/>
    <col min="10503" max="10503" width="11.5703125" style="200" customWidth="1"/>
    <col min="10504" max="10505" width="9.7109375" style="200" customWidth="1"/>
    <col min="10506" max="10506" width="12.140625" style="200" customWidth="1"/>
    <col min="10507" max="10508" width="9.7109375" style="200" customWidth="1"/>
    <col min="10509" max="10509" width="10.85546875" style="200" customWidth="1"/>
    <col min="10510" max="10511" width="9.7109375" style="200" customWidth="1"/>
    <col min="10512" max="10512" width="11.42578125" style="200" customWidth="1"/>
    <col min="10513" max="10514" width="9.7109375" style="200" customWidth="1"/>
    <col min="10515" max="10515" width="10.85546875" style="200" customWidth="1"/>
    <col min="10516" max="10517" width="9.7109375" style="200" customWidth="1"/>
    <col min="10518" max="10518" width="10.85546875" style="200" customWidth="1"/>
    <col min="10519" max="10520" width="9.7109375" style="200" customWidth="1"/>
    <col min="10521" max="10521" width="10.85546875" style="200" customWidth="1"/>
    <col min="10522" max="10752" width="11.42578125" style="200"/>
    <col min="10753" max="10753" width="2" style="200" customWidth="1"/>
    <col min="10754" max="10754" width="20.5703125" style="200" bestFit="1" customWidth="1"/>
    <col min="10755" max="10755" width="5.7109375" style="200" bestFit="1" customWidth="1"/>
    <col min="10756" max="10756" width="35.7109375" style="200" customWidth="1"/>
    <col min="10757" max="10758" width="9.7109375" style="200" customWidth="1"/>
    <col min="10759" max="10759" width="11.5703125" style="200" customWidth="1"/>
    <col min="10760" max="10761" width="9.7109375" style="200" customWidth="1"/>
    <col min="10762" max="10762" width="12.140625" style="200" customWidth="1"/>
    <col min="10763" max="10764" width="9.7109375" style="200" customWidth="1"/>
    <col min="10765" max="10765" width="10.85546875" style="200" customWidth="1"/>
    <col min="10766" max="10767" width="9.7109375" style="200" customWidth="1"/>
    <col min="10768" max="10768" width="11.42578125" style="200" customWidth="1"/>
    <col min="10769" max="10770" width="9.7109375" style="200" customWidth="1"/>
    <col min="10771" max="10771" width="10.85546875" style="200" customWidth="1"/>
    <col min="10772" max="10773" width="9.7109375" style="200" customWidth="1"/>
    <col min="10774" max="10774" width="10.85546875" style="200" customWidth="1"/>
    <col min="10775" max="10776" width="9.7109375" style="200" customWidth="1"/>
    <col min="10777" max="10777" width="10.85546875" style="200" customWidth="1"/>
    <col min="10778" max="11008" width="11.42578125" style="200"/>
    <col min="11009" max="11009" width="2" style="200" customWidth="1"/>
    <col min="11010" max="11010" width="20.5703125" style="200" bestFit="1" customWidth="1"/>
    <col min="11011" max="11011" width="5.7109375" style="200" bestFit="1" customWidth="1"/>
    <col min="11012" max="11012" width="35.7109375" style="200" customWidth="1"/>
    <col min="11013" max="11014" width="9.7109375" style="200" customWidth="1"/>
    <col min="11015" max="11015" width="11.5703125" style="200" customWidth="1"/>
    <col min="11016" max="11017" width="9.7109375" style="200" customWidth="1"/>
    <col min="11018" max="11018" width="12.140625" style="200" customWidth="1"/>
    <col min="11019" max="11020" width="9.7109375" style="200" customWidth="1"/>
    <col min="11021" max="11021" width="10.85546875" style="200" customWidth="1"/>
    <col min="11022" max="11023" width="9.7109375" style="200" customWidth="1"/>
    <col min="11024" max="11024" width="11.42578125" style="200" customWidth="1"/>
    <col min="11025" max="11026" width="9.7109375" style="200" customWidth="1"/>
    <col min="11027" max="11027" width="10.85546875" style="200" customWidth="1"/>
    <col min="11028" max="11029" width="9.7109375" style="200" customWidth="1"/>
    <col min="11030" max="11030" width="10.85546875" style="200" customWidth="1"/>
    <col min="11031" max="11032" width="9.7109375" style="200" customWidth="1"/>
    <col min="11033" max="11033" width="10.85546875" style="200" customWidth="1"/>
    <col min="11034" max="11264" width="11.42578125" style="200"/>
    <col min="11265" max="11265" width="2" style="200" customWidth="1"/>
    <col min="11266" max="11266" width="20.5703125" style="200" bestFit="1" customWidth="1"/>
    <col min="11267" max="11267" width="5.7109375" style="200" bestFit="1" customWidth="1"/>
    <col min="11268" max="11268" width="35.7109375" style="200" customWidth="1"/>
    <col min="11269" max="11270" width="9.7109375" style="200" customWidth="1"/>
    <col min="11271" max="11271" width="11.5703125" style="200" customWidth="1"/>
    <col min="11272" max="11273" width="9.7109375" style="200" customWidth="1"/>
    <col min="11274" max="11274" width="12.140625" style="200" customWidth="1"/>
    <col min="11275" max="11276" width="9.7109375" style="200" customWidth="1"/>
    <col min="11277" max="11277" width="10.85546875" style="200" customWidth="1"/>
    <col min="11278" max="11279" width="9.7109375" style="200" customWidth="1"/>
    <col min="11280" max="11280" width="11.42578125" style="200" customWidth="1"/>
    <col min="11281" max="11282" width="9.7109375" style="200" customWidth="1"/>
    <col min="11283" max="11283" width="10.85546875" style="200" customWidth="1"/>
    <col min="11284" max="11285" width="9.7109375" style="200" customWidth="1"/>
    <col min="11286" max="11286" width="10.85546875" style="200" customWidth="1"/>
    <col min="11287" max="11288" width="9.7109375" style="200" customWidth="1"/>
    <col min="11289" max="11289" width="10.85546875" style="200" customWidth="1"/>
    <col min="11290" max="11520" width="11.42578125" style="200"/>
    <col min="11521" max="11521" width="2" style="200" customWidth="1"/>
    <col min="11522" max="11522" width="20.5703125" style="200" bestFit="1" customWidth="1"/>
    <col min="11523" max="11523" width="5.7109375" style="200" bestFit="1" customWidth="1"/>
    <col min="11524" max="11524" width="35.7109375" style="200" customWidth="1"/>
    <col min="11525" max="11526" width="9.7109375" style="200" customWidth="1"/>
    <col min="11527" max="11527" width="11.5703125" style="200" customWidth="1"/>
    <col min="11528" max="11529" width="9.7109375" style="200" customWidth="1"/>
    <col min="11530" max="11530" width="12.140625" style="200" customWidth="1"/>
    <col min="11531" max="11532" width="9.7109375" style="200" customWidth="1"/>
    <col min="11533" max="11533" width="10.85546875" style="200" customWidth="1"/>
    <col min="11534" max="11535" width="9.7109375" style="200" customWidth="1"/>
    <col min="11536" max="11536" width="11.42578125" style="200" customWidth="1"/>
    <col min="11537" max="11538" width="9.7109375" style="200" customWidth="1"/>
    <col min="11539" max="11539" width="10.85546875" style="200" customWidth="1"/>
    <col min="11540" max="11541" width="9.7109375" style="200" customWidth="1"/>
    <col min="11542" max="11542" width="10.85546875" style="200" customWidth="1"/>
    <col min="11543" max="11544" width="9.7109375" style="200" customWidth="1"/>
    <col min="11545" max="11545" width="10.85546875" style="200" customWidth="1"/>
    <col min="11546" max="11776" width="11.42578125" style="200"/>
    <col min="11777" max="11777" width="2" style="200" customWidth="1"/>
    <col min="11778" max="11778" width="20.5703125" style="200" bestFit="1" customWidth="1"/>
    <col min="11779" max="11779" width="5.7109375" style="200" bestFit="1" customWidth="1"/>
    <col min="11780" max="11780" width="35.7109375" style="200" customWidth="1"/>
    <col min="11781" max="11782" width="9.7109375" style="200" customWidth="1"/>
    <col min="11783" max="11783" width="11.5703125" style="200" customWidth="1"/>
    <col min="11784" max="11785" width="9.7109375" style="200" customWidth="1"/>
    <col min="11786" max="11786" width="12.140625" style="200" customWidth="1"/>
    <col min="11787" max="11788" width="9.7109375" style="200" customWidth="1"/>
    <col min="11789" max="11789" width="10.85546875" style="200" customWidth="1"/>
    <col min="11790" max="11791" width="9.7109375" style="200" customWidth="1"/>
    <col min="11792" max="11792" width="11.42578125" style="200" customWidth="1"/>
    <col min="11793" max="11794" width="9.7109375" style="200" customWidth="1"/>
    <col min="11795" max="11795" width="10.85546875" style="200" customWidth="1"/>
    <col min="11796" max="11797" width="9.7109375" style="200" customWidth="1"/>
    <col min="11798" max="11798" width="10.85546875" style="200" customWidth="1"/>
    <col min="11799" max="11800" width="9.7109375" style="200" customWidth="1"/>
    <col min="11801" max="11801" width="10.85546875" style="200" customWidth="1"/>
    <col min="11802" max="12032" width="11.42578125" style="200"/>
    <col min="12033" max="12033" width="2" style="200" customWidth="1"/>
    <col min="12034" max="12034" width="20.5703125" style="200" bestFit="1" customWidth="1"/>
    <col min="12035" max="12035" width="5.7109375" style="200" bestFit="1" customWidth="1"/>
    <col min="12036" max="12036" width="35.7109375" style="200" customWidth="1"/>
    <col min="12037" max="12038" width="9.7109375" style="200" customWidth="1"/>
    <col min="12039" max="12039" width="11.5703125" style="200" customWidth="1"/>
    <col min="12040" max="12041" width="9.7109375" style="200" customWidth="1"/>
    <col min="12042" max="12042" width="12.140625" style="200" customWidth="1"/>
    <col min="12043" max="12044" width="9.7109375" style="200" customWidth="1"/>
    <col min="12045" max="12045" width="10.85546875" style="200" customWidth="1"/>
    <col min="12046" max="12047" width="9.7109375" style="200" customWidth="1"/>
    <col min="12048" max="12048" width="11.42578125" style="200" customWidth="1"/>
    <col min="12049" max="12050" width="9.7109375" style="200" customWidth="1"/>
    <col min="12051" max="12051" width="10.85546875" style="200" customWidth="1"/>
    <col min="12052" max="12053" width="9.7109375" style="200" customWidth="1"/>
    <col min="12054" max="12054" width="10.85546875" style="200" customWidth="1"/>
    <col min="12055" max="12056" width="9.7109375" style="200" customWidth="1"/>
    <col min="12057" max="12057" width="10.85546875" style="200" customWidth="1"/>
    <col min="12058" max="12288" width="11.42578125" style="200"/>
    <col min="12289" max="12289" width="2" style="200" customWidth="1"/>
    <col min="12290" max="12290" width="20.5703125" style="200" bestFit="1" customWidth="1"/>
    <col min="12291" max="12291" width="5.7109375" style="200" bestFit="1" customWidth="1"/>
    <col min="12292" max="12292" width="35.7109375" style="200" customWidth="1"/>
    <col min="12293" max="12294" width="9.7109375" style="200" customWidth="1"/>
    <col min="12295" max="12295" width="11.5703125" style="200" customWidth="1"/>
    <col min="12296" max="12297" width="9.7109375" style="200" customWidth="1"/>
    <col min="12298" max="12298" width="12.140625" style="200" customWidth="1"/>
    <col min="12299" max="12300" width="9.7109375" style="200" customWidth="1"/>
    <col min="12301" max="12301" width="10.85546875" style="200" customWidth="1"/>
    <col min="12302" max="12303" width="9.7109375" style="200" customWidth="1"/>
    <col min="12304" max="12304" width="11.42578125" style="200" customWidth="1"/>
    <col min="12305" max="12306" width="9.7109375" style="200" customWidth="1"/>
    <col min="12307" max="12307" width="10.85546875" style="200" customWidth="1"/>
    <col min="12308" max="12309" width="9.7109375" style="200" customWidth="1"/>
    <col min="12310" max="12310" width="10.85546875" style="200" customWidth="1"/>
    <col min="12311" max="12312" width="9.7109375" style="200" customWidth="1"/>
    <col min="12313" max="12313" width="10.85546875" style="200" customWidth="1"/>
    <col min="12314" max="12544" width="11.42578125" style="200"/>
    <col min="12545" max="12545" width="2" style="200" customWidth="1"/>
    <col min="12546" max="12546" width="20.5703125" style="200" bestFit="1" customWidth="1"/>
    <col min="12547" max="12547" width="5.7109375" style="200" bestFit="1" customWidth="1"/>
    <col min="12548" max="12548" width="35.7109375" style="200" customWidth="1"/>
    <col min="12549" max="12550" width="9.7109375" style="200" customWidth="1"/>
    <col min="12551" max="12551" width="11.5703125" style="200" customWidth="1"/>
    <col min="12552" max="12553" width="9.7109375" style="200" customWidth="1"/>
    <col min="12554" max="12554" width="12.140625" style="200" customWidth="1"/>
    <col min="12555" max="12556" width="9.7109375" style="200" customWidth="1"/>
    <col min="12557" max="12557" width="10.85546875" style="200" customWidth="1"/>
    <col min="12558" max="12559" width="9.7109375" style="200" customWidth="1"/>
    <col min="12560" max="12560" width="11.42578125" style="200" customWidth="1"/>
    <col min="12561" max="12562" width="9.7109375" style="200" customWidth="1"/>
    <col min="12563" max="12563" width="10.85546875" style="200" customWidth="1"/>
    <col min="12564" max="12565" width="9.7109375" style="200" customWidth="1"/>
    <col min="12566" max="12566" width="10.85546875" style="200" customWidth="1"/>
    <col min="12567" max="12568" width="9.7109375" style="200" customWidth="1"/>
    <col min="12569" max="12569" width="10.85546875" style="200" customWidth="1"/>
    <col min="12570" max="12800" width="11.42578125" style="200"/>
    <col min="12801" max="12801" width="2" style="200" customWidth="1"/>
    <col min="12802" max="12802" width="20.5703125" style="200" bestFit="1" customWidth="1"/>
    <col min="12803" max="12803" width="5.7109375" style="200" bestFit="1" customWidth="1"/>
    <col min="12804" max="12804" width="35.7109375" style="200" customWidth="1"/>
    <col min="12805" max="12806" width="9.7109375" style="200" customWidth="1"/>
    <col min="12807" max="12807" width="11.5703125" style="200" customWidth="1"/>
    <col min="12808" max="12809" width="9.7109375" style="200" customWidth="1"/>
    <col min="12810" max="12810" width="12.140625" style="200" customWidth="1"/>
    <col min="12811" max="12812" width="9.7109375" style="200" customWidth="1"/>
    <col min="12813" max="12813" width="10.85546875" style="200" customWidth="1"/>
    <col min="12814" max="12815" width="9.7109375" style="200" customWidth="1"/>
    <col min="12816" max="12816" width="11.42578125" style="200" customWidth="1"/>
    <col min="12817" max="12818" width="9.7109375" style="200" customWidth="1"/>
    <col min="12819" max="12819" width="10.85546875" style="200" customWidth="1"/>
    <col min="12820" max="12821" width="9.7109375" style="200" customWidth="1"/>
    <col min="12822" max="12822" width="10.85546875" style="200" customWidth="1"/>
    <col min="12823" max="12824" width="9.7109375" style="200" customWidth="1"/>
    <col min="12825" max="12825" width="10.85546875" style="200" customWidth="1"/>
    <col min="12826" max="13056" width="11.42578125" style="200"/>
    <col min="13057" max="13057" width="2" style="200" customWidth="1"/>
    <col min="13058" max="13058" width="20.5703125" style="200" bestFit="1" customWidth="1"/>
    <col min="13059" max="13059" width="5.7109375" style="200" bestFit="1" customWidth="1"/>
    <col min="13060" max="13060" width="35.7109375" style="200" customWidth="1"/>
    <col min="13061" max="13062" width="9.7109375" style="200" customWidth="1"/>
    <col min="13063" max="13063" width="11.5703125" style="200" customWidth="1"/>
    <col min="13064" max="13065" width="9.7109375" style="200" customWidth="1"/>
    <col min="13066" max="13066" width="12.140625" style="200" customWidth="1"/>
    <col min="13067" max="13068" width="9.7109375" style="200" customWidth="1"/>
    <col min="13069" max="13069" width="10.85546875" style="200" customWidth="1"/>
    <col min="13070" max="13071" width="9.7109375" style="200" customWidth="1"/>
    <col min="13072" max="13072" width="11.42578125" style="200" customWidth="1"/>
    <col min="13073" max="13074" width="9.7109375" style="200" customWidth="1"/>
    <col min="13075" max="13075" width="10.85546875" style="200" customWidth="1"/>
    <col min="13076" max="13077" width="9.7109375" style="200" customWidth="1"/>
    <col min="13078" max="13078" width="10.85546875" style="200" customWidth="1"/>
    <col min="13079" max="13080" width="9.7109375" style="200" customWidth="1"/>
    <col min="13081" max="13081" width="10.85546875" style="200" customWidth="1"/>
    <col min="13082" max="13312" width="11.42578125" style="200"/>
    <col min="13313" max="13313" width="2" style="200" customWidth="1"/>
    <col min="13314" max="13314" width="20.5703125" style="200" bestFit="1" customWidth="1"/>
    <col min="13315" max="13315" width="5.7109375" style="200" bestFit="1" customWidth="1"/>
    <col min="13316" max="13316" width="35.7109375" style="200" customWidth="1"/>
    <col min="13317" max="13318" width="9.7109375" style="200" customWidth="1"/>
    <col min="13319" max="13319" width="11.5703125" style="200" customWidth="1"/>
    <col min="13320" max="13321" width="9.7109375" style="200" customWidth="1"/>
    <col min="13322" max="13322" width="12.140625" style="200" customWidth="1"/>
    <col min="13323" max="13324" width="9.7109375" style="200" customWidth="1"/>
    <col min="13325" max="13325" width="10.85546875" style="200" customWidth="1"/>
    <col min="13326" max="13327" width="9.7109375" style="200" customWidth="1"/>
    <col min="13328" max="13328" width="11.42578125" style="200" customWidth="1"/>
    <col min="13329" max="13330" width="9.7109375" style="200" customWidth="1"/>
    <col min="13331" max="13331" width="10.85546875" style="200" customWidth="1"/>
    <col min="13332" max="13333" width="9.7109375" style="200" customWidth="1"/>
    <col min="13334" max="13334" width="10.85546875" style="200" customWidth="1"/>
    <col min="13335" max="13336" width="9.7109375" style="200" customWidth="1"/>
    <col min="13337" max="13337" width="10.85546875" style="200" customWidth="1"/>
    <col min="13338" max="13568" width="11.42578125" style="200"/>
    <col min="13569" max="13569" width="2" style="200" customWidth="1"/>
    <col min="13570" max="13570" width="20.5703125" style="200" bestFit="1" customWidth="1"/>
    <col min="13571" max="13571" width="5.7109375" style="200" bestFit="1" customWidth="1"/>
    <col min="13572" max="13572" width="35.7109375" style="200" customWidth="1"/>
    <col min="13573" max="13574" width="9.7109375" style="200" customWidth="1"/>
    <col min="13575" max="13575" width="11.5703125" style="200" customWidth="1"/>
    <col min="13576" max="13577" width="9.7109375" style="200" customWidth="1"/>
    <col min="13578" max="13578" width="12.140625" style="200" customWidth="1"/>
    <col min="13579" max="13580" width="9.7109375" style="200" customWidth="1"/>
    <col min="13581" max="13581" width="10.85546875" style="200" customWidth="1"/>
    <col min="13582" max="13583" width="9.7109375" style="200" customWidth="1"/>
    <col min="13584" max="13584" width="11.42578125" style="200" customWidth="1"/>
    <col min="13585" max="13586" width="9.7109375" style="200" customWidth="1"/>
    <col min="13587" max="13587" width="10.85546875" style="200" customWidth="1"/>
    <col min="13588" max="13589" width="9.7109375" style="200" customWidth="1"/>
    <col min="13590" max="13590" width="10.85546875" style="200" customWidth="1"/>
    <col min="13591" max="13592" width="9.7109375" style="200" customWidth="1"/>
    <col min="13593" max="13593" width="10.85546875" style="200" customWidth="1"/>
    <col min="13594" max="13824" width="11.42578125" style="200"/>
    <col min="13825" max="13825" width="2" style="200" customWidth="1"/>
    <col min="13826" max="13826" width="20.5703125" style="200" bestFit="1" customWidth="1"/>
    <col min="13827" max="13827" width="5.7109375" style="200" bestFit="1" customWidth="1"/>
    <col min="13828" max="13828" width="35.7109375" style="200" customWidth="1"/>
    <col min="13829" max="13830" width="9.7109375" style="200" customWidth="1"/>
    <col min="13831" max="13831" width="11.5703125" style="200" customWidth="1"/>
    <col min="13832" max="13833" width="9.7109375" style="200" customWidth="1"/>
    <col min="13834" max="13834" width="12.140625" style="200" customWidth="1"/>
    <col min="13835" max="13836" width="9.7109375" style="200" customWidth="1"/>
    <col min="13837" max="13837" width="10.85546875" style="200" customWidth="1"/>
    <col min="13838" max="13839" width="9.7109375" style="200" customWidth="1"/>
    <col min="13840" max="13840" width="11.42578125" style="200" customWidth="1"/>
    <col min="13841" max="13842" width="9.7109375" style="200" customWidth="1"/>
    <col min="13843" max="13843" width="10.85546875" style="200" customWidth="1"/>
    <col min="13844" max="13845" width="9.7109375" style="200" customWidth="1"/>
    <col min="13846" max="13846" width="10.85546875" style="200" customWidth="1"/>
    <col min="13847" max="13848" width="9.7109375" style="200" customWidth="1"/>
    <col min="13849" max="13849" width="10.85546875" style="200" customWidth="1"/>
    <col min="13850" max="14080" width="11.42578125" style="200"/>
    <col min="14081" max="14081" width="2" style="200" customWidth="1"/>
    <col min="14082" max="14082" width="20.5703125" style="200" bestFit="1" customWidth="1"/>
    <col min="14083" max="14083" width="5.7109375" style="200" bestFit="1" customWidth="1"/>
    <col min="14084" max="14084" width="35.7109375" style="200" customWidth="1"/>
    <col min="14085" max="14086" width="9.7109375" style="200" customWidth="1"/>
    <col min="14087" max="14087" width="11.5703125" style="200" customWidth="1"/>
    <col min="14088" max="14089" width="9.7109375" style="200" customWidth="1"/>
    <col min="14090" max="14090" width="12.140625" style="200" customWidth="1"/>
    <col min="14091" max="14092" width="9.7109375" style="200" customWidth="1"/>
    <col min="14093" max="14093" width="10.85546875" style="200" customWidth="1"/>
    <col min="14094" max="14095" width="9.7109375" style="200" customWidth="1"/>
    <col min="14096" max="14096" width="11.42578125" style="200" customWidth="1"/>
    <col min="14097" max="14098" width="9.7109375" style="200" customWidth="1"/>
    <col min="14099" max="14099" width="10.85546875" style="200" customWidth="1"/>
    <col min="14100" max="14101" width="9.7109375" style="200" customWidth="1"/>
    <col min="14102" max="14102" width="10.85546875" style="200" customWidth="1"/>
    <col min="14103" max="14104" width="9.7109375" style="200" customWidth="1"/>
    <col min="14105" max="14105" width="10.85546875" style="200" customWidth="1"/>
    <col min="14106" max="14336" width="11.42578125" style="200"/>
    <col min="14337" max="14337" width="2" style="200" customWidth="1"/>
    <col min="14338" max="14338" width="20.5703125" style="200" bestFit="1" customWidth="1"/>
    <col min="14339" max="14339" width="5.7109375" style="200" bestFit="1" customWidth="1"/>
    <col min="14340" max="14340" width="35.7109375" style="200" customWidth="1"/>
    <col min="14341" max="14342" width="9.7109375" style="200" customWidth="1"/>
    <col min="14343" max="14343" width="11.5703125" style="200" customWidth="1"/>
    <col min="14344" max="14345" width="9.7109375" style="200" customWidth="1"/>
    <col min="14346" max="14346" width="12.140625" style="200" customWidth="1"/>
    <col min="14347" max="14348" width="9.7109375" style="200" customWidth="1"/>
    <col min="14349" max="14349" width="10.85546875" style="200" customWidth="1"/>
    <col min="14350" max="14351" width="9.7109375" style="200" customWidth="1"/>
    <col min="14352" max="14352" width="11.42578125" style="200" customWidth="1"/>
    <col min="14353" max="14354" width="9.7109375" style="200" customWidth="1"/>
    <col min="14355" max="14355" width="10.85546875" style="200" customWidth="1"/>
    <col min="14356" max="14357" width="9.7109375" style="200" customWidth="1"/>
    <col min="14358" max="14358" width="10.85546875" style="200" customWidth="1"/>
    <col min="14359" max="14360" width="9.7109375" style="200" customWidth="1"/>
    <col min="14361" max="14361" width="10.85546875" style="200" customWidth="1"/>
    <col min="14362" max="14592" width="11.42578125" style="200"/>
    <col min="14593" max="14593" width="2" style="200" customWidth="1"/>
    <col min="14594" max="14594" width="20.5703125" style="200" bestFit="1" customWidth="1"/>
    <col min="14595" max="14595" width="5.7109375" style="200" bestFit="1" customWidth="1"/>
    <col min="14596" max="14596" width="35.7109375" style="200" customWidth="1"/>
    <col min="14597" max="14598" width="9.7109375" style="200" customWidth="1"/>
    <col min="14599" max="14599" width="11.5703125" style="200" customWidth="1"/>
    <col min="14600" max="14601" width="9.7109375" style="200" customWidth="1"/>
    <col min="14602" max="14602" width="12.140625" style="200" customWidth="1"/>
    <col min="14603" max="14604" width="9.7109375" style="200" customWidth="1"/>
    <col min="14605" max="14605" width="10.85546875" style="200" customWidth="1"/>
    <col min="14606" max="14607" width="9.7109375" style="200" customWidth="1"/>
    <col min="14608" max="14608" width="11.42578125" style="200" customWidth="1"/>
    <col min="14609" max="14610" width="9.7109375" style="200" customWidth="1"/>
    <col min="14611" max="14611" width="10.85546875" style="200" customWidth="1"/>
    <col min="14612" max="14613" width="9.7109375" style="200" customWidth="1"/>
    <col min="14614" max="14614" width="10.85546875" style="200" customWidth="1"/>
    <col min="14615" max="14616" width="9.7109375" style="200" customWidth="1"/>
    <col min="14617" max="14617" width="10.85546875" style="200" customWidth="1"/>
    <col min="14618" max="14848" width="11.42578125" style="200"/>
    <col min="14849" max="14849" width="2" style="200" customWidth="1"/>
    <col min="14850" max="14850" width="20.5703125" style="200" bestFit="1" customWidth="1"/>
    <col min="14851" max="14851" width="5.7109375" style="200" bestFit="1" customWidth="1"/>
    <col min="14852" max="14852" width="35.7109375" style="200" customWidth="1"/>
    <col min="14853" max="14854" width="9.7109375" style="200" customWidth="1"/>
    <col min="14855" max="14855" width="11.5703125" style="200" customWidth="1"/>
    <col min="14856" max="14857" width="9.7109375" style="200" customWidth="1"/>
    <col min="14858" max="14858" width="12.140625" style="200" customWidth="1"/>
    <col min="14859" max="14860" width="9.7109375" style="200" customWidth="1"/>
    <col min="14861" max="14861" width="10.85546875" style="200" customWidth="1"/>
    <col min="14862" max="14863" width="9.7109375" style="200" customWidth="1"/>
    <col min="14864" max="14864" width="11.42578125" style="200" customWidth="1"/>
    <col min="14865" max="14866" width="9.7109375" style="200" customWidth="1"/>
    <col min="14867" max="14867" width="10.85546875" style="200" customWidth="1"/>
    <col min="14868" max="14869" width="9.7109375" style="200" customWidth="1"/>
    <col min="14870" max="14870" width="10.85546875" style="200" customWidth="1"/>
    <col min="14871" max="14872" width="9.7109375" style="200" customWidth="1"/>
    <col min="14873" max="14873" width="10.85546875" style="200" customWidth="1"/>
    <col min="14874" max="15104" width="11.42578125" style="200"/>
    <col min="15105" max="15105" width="2" style="200" customWidth="1"/>
    <col min="15106" max="15106" width="20.5703125" style="200" bestFit="1" customWidth="1"/>
    <col min="15107" max="15107" width="5.7109375" style="200" bestFit="1" customWidth="1"/>
    <col min="15108" max="15108" width="35.7109375" style="200" customWidth="1"/>
    <col min="15109" max="15110" width="9.7109375" style="200" customWidth="1"/>
    <col min="15111" max="15111" width="11.5703125" style="200" customWidth="1"/>
    <col min="15112" max="15113" width="9.7109375" style="200" customWidth="1"/>
    <col min="15114" max="15114" width="12.140625" style="200" customWidth="1"/>
    <col min="15115" max="15116" width="9.7109375" style="200" customWidth="1"/>
    <col min="15117" max="15117" width="10.85546875" style="200" customWidth="1"/>
    <col min="15118" max="15119" width="9.7109375" style="200" customWidth="1"/>
    <col min="15120" max="15120" width="11.42578125" style="200" customWidth="1"/>
    <col min="15121" max="15122" width="9.7109375" style="200" customWidth="1"/>
    <col min="15123" max="15123" width="10.85546875" style="200" customWidth="1"/>
    <col min="15124" max="15125" width="9.7109375" style="200" customWidth="1"/>
    <col min="15126" max="15126" width="10.85546875" style="200" customWidth="1"/>
    <col min="15127" max="15128" width="9.7109375" style="200" customWidth="1"/>
    <col min="15129" max="15129" width="10.85546875" style="200" customWidth="1"/>
    <col min="15130" max="15360" width="11.42578125" style="200"/>
    <col min="15361" max="15361" width="2" style="200" customWidth="1"/>
    <col min="15362" max="15362" width="20.5703125" style="200" bestFit="1" customWidth="1"/>
    <col min="15363" max="15363" width="5.7109375" style="200" bestFit="1" customWidth="1"/>
    <col min="15364" max="15364" width="35.7109375" style="200" customWidth="1"/>
    <col min="15365" max="15366" width="9.7109375" style="200" customWidth="1"/>
    <col min="15367" max="15367" width="11.5703125" style="200" customWidth="1"/>
    <col min="15368" max="15369" width="9.7109375" style="200" customWidth="1"/>
    <col min="15370" max="15370" width="12.140625" style="200" customWidth="1"/>
    <col min="15371" max="15372" width="9.7109375" style="200" customWidth="1"/>
    <col min="15373" max="15373" width="10.85546875" style="200" customWidth="1"/>
    <col min="15374" max="15375" width="9.7109375" style="200" customWidth="1"/>
    <col min="15376" max="15376" width="11.42578125" style="200" customWidth="1"/>
    <col min="15377" max="15378" width="9.7109375" style="200" customWidth="1"/>
    <col min="15379" max="15379" width="10.85546875" style="200" customWidth="1"/>
    <col min="15380" max="15381" width="9.7109375" style="200" customWidth="1"/>
    <col min="15382" max="15382" width="10.85546875" style="200" customWidth="1"/>
    <col min="15383" max="15384" width="9.7109375" style="200" customWidth="1"/>
    <col min="15385" max="15385" width="10.85546875" style="200" customWidth="1"/>
    <col min="15386" max="15616" width="11.42578125" style="200"/>
    <col min="15617" max="15617" width="2" style="200" customWidth="1"/>
    <col min="15618" max="15618" width="20.5703125" style="200" bestFit="1" customWidth="1"/>
    <col min="15619" max="15619" width="5.7109375" style="200" bestFit="1" customWidth="1"/>
    <col min="15620" max="15620" width="35.7109375" style="200" customWidth="1"/>
    <col min="15621" max="15622" width="9.7109375" style="200" customWidth="1"/>
    <col min="15623" max="15623" width="11.5703125" style="200" customWidth="1"/>
    <col min="15624" max="15625" width="9.7109375" style="200" customWidth="1"/>
    <col min="15626" max="15626" width="12.140625" style="200" customWidth="1"/>
    <col min="15627" max="15628" width="9.7109375" style="200" customWidth="1"/>
    <col min="15629" max="15629" width="10.85546875" style="200" customWidth="1"/>
    <col min="15630" max="15631" width="9.7109375" style="200" customWidth="1"/>
    <col min="15632" max="15632" width="11.42578125" style="200" customWidth="1"/>
    <col min="15633" max="15634" width="9.7109375" style="200" customWidth="1"/>
    <col min="15635" max="15635" width="10.85546875" style="200" customWidth="1"/>
    <col min="15636" max="15637" width="9.7109375" style="200" customWidth="1"/>
    <col min="15638" max="15638" width="10.85546875" style="200" customWidth="1"/>
    <col min="15639" max="15640" width="9.7109375" style="200" customWidth="1"/>
    <col min="15641" max="15641" width="10.85546875" style="200" customWidth="1"/>
    <col min="15642" max="15872" width="11.42578125" style="200"/>
    <col min="15873" max="15873" width="2" style="200" customWidth="1"/>
    <col min="15874" max="15874" width="20.5703125" style="200" bestFit="1" customWidth="1"/>
    <col min="15875" max="15875" width="5.7109375" style="200" bestFit="1" customWidth="1"/>
    <col min="15876" max="15876" width="35.7109375" style="200" customWidth="1"/>
    <col min="15877" max="15878" width="9.7109375" style="200" customWidth="1"/>
    <col min="15879" max="15879" width="11.5703125" style="200" customWidth="1"/>
    <col min="15880" max="15881" width="9.7109375" style="200" customWidth="1"/>
    <col min="15882" max="15882" width="12.140625" style="200" customWidth="1"/>
    <col min="15883" max="15884" width="9.7109375" style="200" customWidth="1"/>
    <col min="15885" max="15885" width="10.85546875" style="200" customWidth="1"/>
    <col min="15886" max="15887" width="9.7109375" style="200" customWidth="1"/>
    <col min="15888" max="15888" width="11.42578125" style="200" customWidth="1"/>
    <col min="15889" max="15890" width="9.7109375" style="200" customWidth="1"/>
    <col min="15891" max="15891" width="10.85546875" style="200" customWidth="1"/>
    <col min="15892" max="15893" width="9.7109375" style="200" customWidth="1"/>
    <col min="15894" max="15894" width="10.85546875" style="200" customWidth="1"/>
    <col min="15895" max="15896" width="9.7109375" style="200" customWidth="1"/>
    <col min="15897" max="15897" width="10.85546875" style="200" customWidth="1"/>
    <col min="15898" max="16128" width="11.42578125" style="200"/>
    <col min="16129" max="16129" width="2" style="200" customWidth="1"/>
    <col min="16130" max="16130" width="20.5703125" style="200" bestFit="1" customWidth="1"/>
    <col min="16131" max="16131" width="5.7109375" style="200" bestFit="1" customWidth="1"/>
    <col min="16132" max="16132" width="35.7109375" style="200" customWidth="1"/>
    <col min="16133" max="16134" width="9.7109375" style="200" customWidth="1"/>
    <col min="16135" max="16135" width="11.5703125" style="200" customWidth="1"/>
    <col min="16136" max="16137" width="9.7109375" style="200" customWidth="1"/>
    <col min="16138" max="16138" width="12.140625" style="200" customWidth="1"/>
    <col min="16139" max="16140" width="9.7109375" style="200" customWidth="1"/>
    <col min="16141" max="16141" width="10.85546875" style="200" customWidth="1"/>
    <col min="16142" max="16143" width="9.7109375" style="200" customWidth="1"/>
    <col min="16144" max="16144" width="11.42578125" style="200" customWidth="1"/>
    <col min="16145" max="16146" width="9.7109375" style="200" customWidth="1"/>
    <col min="16147" max="16147" width="10.85546875" style="200" customWidth="1"/>
    <col min="16148" max="16149" width="9.7109375" style="200" customWidth="1"/>
    <col min="16150" max="16150" width="10.85546875" style="200" customWidth="1"/>
    <col min="16151" max="16152" width="9.7109375" style="200" customWidth="1"/>
    <col min="16153" max="16153" width="10.85546875" style="200" customWidth="1"/>
    <col min="16154" max="16384" width="11.42578125" style="200"/>
  </cols>
  <sheetData>
    <row r="1" spans="1:48" ht="36.75" customHeight="1" x14ac:dyDescent="0.2">
      <c r="A1" s="5761" t="s">
        <v>1218</v>
      </c>
      <c r="B1" s="5761"/>
      <c r="C1" s="576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  <c r="AA1" s="201"/>
      <c r="AB1" s="514"/>
    </row>
    <row r="2" spans="1:48" ht="15.75" x14ac:dyDescent="0.2">
      <c r="A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  <c r="AA2" s="201"/>
      <c r="AB2" s="554"/>
    </row>
    <row r="3" spans="1:48" x14ac:dyDescent="0.2">
      <c r="A3" s="5769" t="s">
        <v>16</v>
      </c>
      <c r="B3" s="5769" t="s">
        <v>4</v>
      </c>
      <c r="C3" s="5769" t="s">
        <v>349</v>
      </c>
      <c r="D3" s="5754">
        <v>2003</v>
      </c>
      <c r="E3" s="5755"/>
      <c r="F3" s="5756"/>
      <c r="G3" s="5754">
        <v>2004</v>
      </c>
      <c r="H3" s="5755"/>
      <c r="I3" s="5756"/>
      <c r="J3" s="5754">
        <v>2005</v>
      </c>
      <c r="K3" s="5755"/>
      <c r="L3" s="5756"/>
      <c r="M3" s="5754">
        <v>2006</v>
      </c>
      <c r="N3" s="5755"/>
      <c r="O3" s="5756"/>
      <c r="P3" s="5754">
        <v>2007</v>
      </c>
      <c r="Q3" s="5755"/>
      <c r="R3" s="5756"/>
      <c r="S3" s="5754">
        <v>2008</v>
      </c>
      <c r="T3" s="5755"/>
      <c r="U3" s="5756"/>
      <c r="V3" s="5754">
        <v>2009</v>
      </c>
      <c r="W3" s="5755"/>
      <c r="X3" s="5756"/>
      <c r="Y3" s="5754">
        <v>2010</v>
      </c>
      <c r="Z3" s="5755"/>
      <c r="AA3" s="5756"/>
      <c r="AB3" s="5754">
        <v>2011</v>
      </c>
      <c r="AC3" s="5755"/>
      <c r="AD3" s="5756"/>
      <c r="AE3" s="5754">
        <v>2012</v>
      </c>
      <c r="AF3" s="5755"/>
      <c r="AG3" s="5756"/>
      <c r="AH3" s="5754">
        <v>2013</v>
      </c>
      <c r="AI3" s="5755"/>
      <c r="AJ3" s="5756"/>
      <c r="AK3" s="5754">
        <v>2014</v>
      </c>
      <c r="AL3" s="5755"/>
      <c r="AM3" s="5756"/>
      <c r="AN3" s="5754">
        <v>2015</v>
      </c>
      <c r="AO3" s="5755"/>
      <c r="AP3" s="5756"/>
      <c r="AQ3" s="5754">
        <v>2016</v>
      </c>
      <c r="AR3" s="5755"/>
      <c r="AS3" s="5756"/>
      <c r="AT3" s="5754">
        <v>2017</v>
      </c>
      <c r="AU3" s="5755"/>
      <c r="AV3" s="5756"/>
    </row>
    <row r="4" spans="1:48" s="189" customFormat="1" ht="15.75" x14ac:dyDescent="0.2">
      <c r="A4" s="5769"/>
      <c r="B4" s="5769"/>
      <c r="C4" s="5769"/>
      <c r="D4" s="4378" t="s">
        <v>651</v>
      </c>
      <c r="E4" s="4379" t="s">
        <v>652</v>
      </c>
      <c r="F4" s="996" t="s">
        <v>160</v>
      </c>
      <c r="G4" s="4378" t="s">
        <v>651</v>
      </c>
      <c r="H4" s="4379" t="s">
        <v>652</v>
      </c>
      <c r="I4" s="996" t="s">
        <v>160</v>
      </c>
      <c r="J4" s="4378" t="s">
        <v>651</v>
      </c>
      <c r="K4" s="4379" t="s">
        <v>652</v>
      </c>
      <c r="L4" s="996" t="s">
        <v>160</v>
      </c>
      <c r="M4" s="4378" t="s">
        <v>651</v>
      </c>
      <c r="N4" s="4379" t="s">
        <v>652</v>
      </c>
      <c r="O4" s="996" t="s">
        <v>160</v>
      </c>
      <c r="P4" s="4378" t="s">
        <v>651</v>
      </c>
      <c r="Q4" s="4379" t="s">
        <v>652</v>
      </c>
      <c r="R4" s="996" t="s">
        <v>160</v>
      </c>
      <c r="S4" s="4378" t="s">
        <v>651</v>
      </c>
      <c r="T4" s="4379" t="s">
        <v>652</v>
      </c>
      <c r="U4" s="996" t="s">
        <v>160</v>
      </c>
      <c r="V4" s="4378" t="s">
        <v>651</v>
      </c>
      <c r="W4" s="4379" t="s">
        <v>652</v>
      </c>
      <c r="X4" s="996" t="s">
        <v>160</v>
      </c>
      <c r="Y4" s="4378" t="s">
        <v>651</v>
      </c>
      <c r="Z4" s="4379" t="s">
        <v>652</v>
      </c>
      <c r="AA4" s="996" t="s">
        <v>160</v>
      </c>
      <c r="AB4" s="4378" t="s">
        <v>651</v>
      </c>
      <c r="AC4" s="4379" t="s">
        <v>652</v>
      </c>
      <c r="AD4" s="996" t="s">
        <v>160</v>
      </c>
      <c r="AE4" s="4378" t="s">
        <v>651</v>
      </c>
      <c r="AF4" s="4379" t="s">
        <v>652</v>
      </c>
      <c r="AG4" s="996" t="s">
        <v>160</v>
      </c>
      <c r="AH4" s="4378" t="s">
        <v>651</v>
      </c>
      <c r="AI4" s="4379" t="s">
        <v>652</v>
      </c>
      <c r="AJ4" s="996" t="s">
        <v>160</v>
      </c>
      <c r="AK4" s="4378" t="s">
        <v>651</v>
      </c>
      <c r="AL4" s="4379" t="s">
        <v>652</v>
      </c>
      <c r="AM4" s="996" t="s">
        <v>160</v>
      </c>
      <c r="AN4" s="4378" t="s">
        <v>651</v>
      </c>
      <c r="AO4" s="4379" t="s">
        <v>652</v>
      </c>
      <c r="AP4" s="996" t="s">
        <v>160</v>
      </c>
      <c r="AQ4" s="4378" t="s">
        <v>651</v>
      </c>
      <c r="AR4" s="4379" t="s">
        <v>652</v>
      </c>
      <c r="AS4" s="996" t="s">
        <v>160</v>
      </c>
      <c r="AT4" s="4378" t="s">
        <v>651</v>
      </c>
      <c r="AU4" s="4379" t="s">
        <v>652</v>
      </c>
      <c r="AV4" s="996" t="s">
        <v>160</v>
      </c>
    </row>
    <row r="5" spans="1:48" s="186" customFormat="1" ht="15" customHeight="1" x14ac:dyDescent="0.25">
      <c r="A5" s="5689" t="s">
        <v>440</v>
      </c>
      <c r="B5" s="5674" t="s">
        <v>5</v>
      </c>
      <c r="C5" s="793" t="s">
        <v>446</v>
      </c>
      <c r="D5" s="833">
        <v>30</v>
      </c>
      <c r="E5" s="834">
        <v>45</v>
      </c>
      <c r="F5" s="796">
        <v>75</v>
      </c>
      <c r="G5" s="833">
        <v>25</v>
      </c>
      <c r="H5" s="834">
        <v>58</v>
      </c>
      <c r="I5" s="796">
        <v>83</v>
      </c>
      <c r="J5" s="794">
        <v>19</v>
      </c>
      <c r="K5" s="795">
        <v>43</v>
      </c>
      <c r="L5" s="796">
        <v>62</v>
      </c>
      <c r="M5" s="794">
        <v>43</v>
      </c>
      <c r="N5" s="795">
        <v>46</v>
      </c>
      <c r="O5" s="796">
        <v>89</v>
      </c>
      <c r="P5" s="794">
        <v>37</v>
      </c>
      <c r="Q5" s="795">
        <v>73</v>
      </c>
      <c r="R5" s="796">
        <v>110</v>
      </c>
      <c r="S5" s="794">
        <v>63</v>
      </c>
      <c r="T5" s="795">
        <v>97</v>
      </c>
      <c r="U5" s="796">
        <v>160</v>
      </c>
      <c r="V5" s="794">
        <v>71</v>
      </c>
      <c r="W5" s="795">
        <v>93</v>
      </c>
      <c r="X5" s="796">
        <v>164</v>
      </c>
      <c r="Y5" s="794">
        <v>101</v>
      </c>
      <c r="Z5" s="795">
        <v>117</v>
      </c>
      <c r="AA5" s="796">
        <f>SUM(Y5:Z5)</f>
        <v>218</v>
      </c>
      <c r="AB5" s="797">
        <v>97</v>
      </c>
      <c r="AC5" s="795">
        <v>65</v>
      </c>
      <c r="AD5" s="796">
        <f>SUM(AB5:AC5)</f>
        <v>162</v>
      </c>
      <c r="AE5" s="797">
        <v>49</v>
      </c>
      <c r="AF5" s="795">
        <v>58</v>
      </c>
      <c r="AG5" s="796">
        <f>SUM(AE5:AF5)</f>
        <v>107</v>
      </c>
      <c r="AH5" s="797">
        <v>54</v>
      </c>
      <c r="AI5" s="795">
        <v>57</v>
      </c>
      <c r="AJ5" s="796">
        <f>SUM(AH5:AI5)</f>
        <v>111</v>
      </c>
      <c r="AK5" s="797">
        <v>45</v>
      </c>
      <c r="AL5" s="795">
        <v>66</v>
      </c>
      <c r="AM5" s="796">
        <f>SUM(AK5:AL5)</f>
        <v>111</v>
      </c>
      <c r="AN5" s="797">
        <v>37</v>
      </c>
      <c r="AO5" s="795">
        <v>64</v>
      </c>
      <c r="AP5" s="796">
        <f>SUM(AN5:AO5)</f>
        <v>101</v>
      </c>
      <c r="AQ5" s="797">
        <v>45</v>
      </c>
      <c r="AR5" s="795">
        <v>58</v>
      </c>
      <c r="AS5" s="796">
        <f>SUM(AQ5:AR5)</f>
        <v>103</v>
      </c>
      <c r="AT5" s="797">
        <v>55</v>
      </c>
      <c r="AU5" s="795">
        <v>56</v>
      </c>
      <c r="AV5" s="796">
        <f>SUM(AT5:AU5)</f>
        <v>111</v>
      </c>
    </row>
    <row r="6" spans="1:48" s="186" customFormat="1" ht="15" customHeight="1" x14ac:dyDescent="0.25">
      <c r="A6" s="5690"/>
      <c r="B6" s="5675"/>
      <c r="C6" s="799" t="s">
        <v>447</v>
      </c>
      <c r="D6" s="835">
        <v>34</v>
      </c>
      <c r="E6" s="836">
        <v>53</v>
      </c>
      <c r="F6" s="802">
        <v>87</v>
      </c>
      <c r="G6" s="835">
        <v>32</v>
      </c>
      <c r="H6" s="836">
        <v>72</v>
      </c>
      <c r="I6" s="802">
        <v>104</v>
      </c>
      <c r="J6" s="800">
        <v>46</v>
      </c>
      <c r="K6" s="801">
        <v>51</v>
      </c>
      <c r="L6" s="802">
        <v>97</v>
      </c>
      <c r="M6" s="800">
        <v>48</v>
      </c>
      <c r="N6" s="801">
        <v>73</v>
      </c>
      <c r="O6" s="802">
        <v>121</v>
      </c>
      <c r="P6" s="800">
        <v>50</v>
      </c>
      <c r="Q6" s="801">
        <v>79</v>
      </c>
      <c r="R6" s="802">
        <v>129</v>
      </c>
      <c r="S6" s="800">
        <v>73</v>
      </c>
      <c r="T6" s="801">
        <v>108</v>
      </c>
      <c r="U6" s="802">
        <v>181</v>
      </c>
      <c r="V6" s="800">
        <v>86</v>
      </c>
      <c r="W6" s="801">
        <v>88</v>
      </c>
      <c r="X6" s="802">
        <v>174</v>
      </c>
      <c r="Y6" s="800">
        <v>103</v>
      </c>
      <c r="Z6" s="801">
        <v>138</v>
      </c>
      <c r="AA6" s="802">
        <f t="shared" ref="AA6:AA69" si="0">SUM(Y6:Z6)</f>
        <v>241</v>
      </c>
      <c r="AB6" s="803">
        <v>97</v>
      </c>
      <c r="AC6" s="801">
        <v>51</v>
      </c>
      <c r="AD6" s="802">
        <f t="shared" ref="AD6:AD82" si="1">SUM(AB6:AC6)</f>
        <v>148</v>
      </c>
      <c r="AE6" s="803">
        <v>47</v>
      </c>
      <c r="AF6" s="801">
        <v>44</v>
      </c>
      <c r="AG6" s="802">
        <f t="shared" ref="AG6:AG82" si="2">SUM(AE6:AF6)</f>
        <v>91</v>
      </c>
      <c r="AH6" s="803">
        <v>59</v>
      </c>
      <c r="AI6" s="801">
        <v>54</v>
      </c>
      <c r="AJ6" s="802">
        <f t="shared" ref="AJ6:AJ14" si="3">SUM(AH6:AI6)</f>
        <v>113</v>
      </c>
      <c r="AK6" s="803">
        <v>47</v>
      </c>
      <c r="AL6" s="801">
        <v>56</v>
      </c>
      <c r="AM6" s="802">
        <f t="shared" ref="AM6:AM14" si="4">SUM(AK6:AL6)</f>
        <v>103</v>
      </c>
      <c r="AN6" s="803">
        <v>32</v>
      </c>
      <c r="AO6" s="801">
        <v>58</v>
      </c>
      <c r="AP6" s="802">
        <f t="shared" ref="AP6:AP14" si="5">SUM(AN6:AO6)</f>
        <v>90</v>
      </c>
      <c r="AQ6" s="803">
        <v>57</v>
      </c>
      <c r="AR6" s="801">
        <v>66</v>
      </c>
      <c r="AS6" s="802">
        <f t="shared" ref="AS6:AS14" si="6">SUM(AQ6:AR6)</f>
        <v>123</v>
      </c>
      <c r="AT6" s="803">
        <v>57</v>
      </c>
      <c r="AU6" s="801">
        <v>54</v>
      </c>
      <c r="AV6" s="802">
        <f t="shared" ref="AV6:AV14" si="7">SUM(AT6:AU6)</f>
        <v>111</v>
      </c>
    </row>
    <row r="7" spans="1:48" s="186" customFormat="1" ht="15" customHeight="1" x14ac:dyDescent="0.25">
      <c r="A7" s="5690"/>
      <c r="B7" s="5675"/>
      <c r="C7" s="799" t="s">
        <v>448</v>
      </c>
      <c r="D7" s="835">
        <v>24</v>
      </c>
      <c r="E7" s="836">
        <v>40</v>
      </c>
      <c r="F7" s="802">
        <v>64</v>
      </c>
      <c r="G7" s="835">
        <v>45</v>
      </c>
      <c r="H7" s="836">
        <v>50</v>
      </c>
      <c r="I7" s="802">
        <v>95</v>
      </c>
      <c r="J7" s="800">
        <v>22</v>
      </c>
      <c r="K7" s="801">
        <v>26</v>
      </c>
      <c r="L7" s="802">
        <v>48</v>
      </c>
      <c r="M7" s="800">
        <v>26</v>
      </c>
      <c r="N7" s="801">
        <v>36</v>
      </c>
      <c r="O7" s="802">
        <v>62</v>
      </c>
      <c r="P7" s="800">
        <v>32</v>
      </c>
      <c r="Q7" s="801">
        <v>45</v>
      </c>
      <c r="R7" s="802">
        <v>77</v>
      </c>
      <c r="S7" s="800">
        <v>34</v>
      </c>
      <c r="T7" s="801">
        <v>57</v>
      </c>
      <c r="U7" s="802">
        <v>91</v>
      </c>
      <c r="V7" s="800">
        <v>50</v>
      </c>
      <c r="W7" s="801">
        <v>56</v>
      </c>
      <c r="X7" s="802">
        <v>106</v>
      </c>
      <c r="Y7" s="800">
        <v>29</v>
      </c>
      <c r="Z7" s="801">
        <v>49</v>
      </c>
      <c r="AA7" s="802">
        <f t="shared" si="0"/>
        <v>78</v>
      </c>
      <c r="AB7" s="803">
        <v>92</v>
      </c>
      <c r="AC7" s="801">
        <v>56</v>
      </c>
      <c r="AD7" s="802">
        <f t="shared" si="1"/>
        <v>148</v>
      </c>
      <c r="AE7" s="803">
        <v>51</v>
      </c>
      <c r="AF7" s="801">
        <v>54</v>
      </c>
      <c r="AG7" s="802">
        <f t="shared" si="2"/>
        <v>105</v>
      </c>
      <c r="AH7" s="803">
        <v>52</v>
      </c>
      <c r="AI7" s="801">
        <v>55</v>
      </c>
      <c r="AJ7" s="802">
        <f t="shared" si="3"/>
        <v>107</v>
      </c>
      <c r="AK7" s="803">
        <v>31</v>
      </c>
      <c r="AL7" s="801">
        <v>59</v>
      </c>
      <c r="AM7" s="802">
        <f t="shared" si="4"/>
        <v>90</v>
      </c>
      <c r="AN7" s="803">
        <v>31</v>
      </c>
      <c r="AO7" s="801">
        <v>58</v>
      </c>
      <c r="AP7" s="802">
        <f t="shared" si="5"/>
        <v>89</v>
      </c>
      <c r="AQ7" s="803">
        <v>23</v>
      </c>
      <c r="AR7" s="801">
        <v>30</v>
      </c>
      <c r="AS7" s="802">
        <f t="shared" si="6"/>
        <v>53</v>
      </c>
      <c r="AT7" s="803">
        <v>40</v>
      </c>
      <c r="AU7" s="801">
        <v>39</v>
      </c>
      <c r="AV7" s="802">
        <f t="shared" si="7"/>
        <v>79</v>
      </c>
    </row>
    <row r="8" spans="1:48" s="186" customFormat="1" ht="15" customHeight="1" x14ac:dyDescent="0.25">
      <c r="A8" s="5690"/>
      <c r="B8" s="5675"/>
      <c r="C8" s="799" t="s">
        <v>449</v>
      </c>
      <c r="D8" s="835">
        <v>17</v>
      </c>
      <c r="E8" s="836">
        <v>32</v>
      </c>
      <c r="F8" s="802">
        <v>49</v>
      </c>
      <c r="G8" s="835">
        <v>13</v>
      </c>
      <c r="H8" s="836">
        <v>37</v>
      </c>
      <c r="I8" s="802">
        <v>50</v>
      </c>
      <c r="J8" s="800">
        <v>29</v>
      </c>
      <c r="K8" s="801">
        <v>41</v>
      </c>
      <c r="L8" s="802">
        <v>70</v>
      </c>
      <c r="M8" s="800">
        <v>14</v>
      </c>
      <c r="N8" s="801">
        <v>26</v>
      </c>
      <c r="O8" s="802">
        <v>40</v>
      </c>
      <c r="P8" s="800">
        <v>11</v>
      </c>
      <c r="Q8" s="801">
        <v>27</v>
      </c>
      <c r="R8" s="802">
        <v>38</v>
      </c>
      <c r="S8" s="800">
        <v>26</v>
      </c>
      <c r="T8" s="801">
        <v>46</v>
      </c>
      <c r="U8" s="802">
        <v>72</v>
      </c>
      <c r="V8" s="800">
        <v>25</v>
      </c>
      <c r="W8" s="801">
        <v>50</v>
      </c>
      <c r="X8" s="802">
        <v>75</v>
      </c>
      <c r="Y8" s="800">
        <v>34</v>
      </c>
      <c r="Z8" s="801">
        <v>62</v>
      </c>
      <c r="AA8" s="802">
        <f t="shared" si="0"/>
        <v>96</v>
      </c>
      <c r="AB8" s="803">
        <v>78</v>
      </c>
      <c r="AC8" s="801">
        <v>54</v>
      </c>
      <c r="AD8" s="802">
        <f t="shared" si="1"/>
        <v>132</v>
      </c>
      <c r="AE8" s="803">
        <v>42</v>
      </c>
      <c r="AF8" s="801">
        <v>52</v>
      </c>
      <c r="AG8" s="802">
        <f t="shared" si="2"/>
        <v>94</v>
      </c>
      <c r="AH8" s="803">
        <v>53</v>
      </c>
      <c r="AI8" s="801">
        <v>53</v>
      </c>
      <c r="AJ8" s="802">
        <f t="shared" si="3"/>
        <v>106</v>
      </c>
      <c r="AK8" s="803">
        <v>46</v>
      </c>
      <c r="AL8" s="801">
        <v>63</v>
      </c>
      <c r="AM8" s="802">
        <f t="shared" si="4"/>
        <v>109</v>
      </c>
      <c r="AN8" s="803">
        <v>34</v>
      </c>
      <c r="AO8" s="801">
        <v>63</v>
      </c>
      <c r="AP8" s="802">
        <f t="shared" si="5"/>
        <v>97</v>
      </c>
      <c r="AQ8" s="803">
        <v>42</v>
      </c>
      <c r="AR8" s="801">
        <v>51</v>
      </c>
      <c r="AS8" s="802">
        <f t="shared" si="6"/>
        <v>93</v>
      </c>
      <c r="AT8" s="803">
        <v>49</v>
      </c>
      <c r="AU8" s="801">
        <v>56</v>
      </c>
      <c r="AV8" s="802">
        <f t="shared" si="7"/>
        <v>105</v>
      </c>
    </row>
    <row r="9" spans="1:48" s="186" customFormat="1" ht="15" customHeight="1" x14ac:dyDescent="0.25">
      <c r="A9" s="5690"/>
      <c r="B9" s="5675"/>
      <c r="C9" s="799" t="s">
        <v>450</v>
      </c>
      <c r="D9" s="835">
        <v>82</v>
      </c>
      <c r="E9" s="836">
        <v>124</v>
      </c>
      <c r="F9" s="802">
        <v>206</v>
      </c>
      <c r="G9" s="835">
        <v>120</v>
      </c>
      <c r="H9" s="836">
        <v>134</v>
      </c>
      <c r="I9" s="802">
        <v>254</v>
      </c>
      <c r="J9" s="800">
        <v>101</v>
      </c>
      <c r="K9" s="801">
        <v>115</v>
      </c>
      <c r="L9" s="802">
        <v>216</v>
      </c>
      <c r="M9" s="800">
        <v>77</v>
      </c>
      <c r="N9" s="801">
        <v>149</v>
      </c>
      <c r="O9" s="802">
        <v>226</v>
      </c>
      <c r="P9" s="800">
        <v>116</v>
      </c>
      <c r="Q9" s="801">
        <v>124</v>
      </c>
      <c r="R9" s="802">
        <v>240</v>
      </c>
      <c r="S9" s="800">
        <v>88</v>
      </c>
      <c r="T9" s="801">
        <v>106</v>
      </c>
      <c r="U9" s="802">
        <v>194</v>
      </c>
      <c r="V9" s="800">
        <v>86</v>
      </c>
      <c r="W9" s="801">
        <v>69</v>
      </c>
      <c r="X9" s="802">
        <v>155</v>
      </c>
      <c r="Y9" s="800">
        <v>105</v>
      </c>
      <c r="Z9" s="801">
        <v>89</v>
      </c>
      <c r="AA9" s="802">
        <f t="shared" si="0"/>
        <v>194</v>
      </c>
      <c r="AB9" s="803">
        <v>99</v>
      </c>
      <c r="AC9" s="801">
        <v>51</v>
      </c>
      <c r="AD9" s="802">
        <f t="shared" si="1"/>
        <v>150</v>
      </c>
      <c r="AE9" s="803">
        <v>43</v>
      </c>
      <c r="AF9" s="801">
        <v>51</v>
      </c>
      <c r="AG9" s="802">
        <f t="shared" si="2"/>
        <v>94</v>
      </c>
      <c r="AH9" s="803">
        <v>54</v>
      </c>
      <c r="AI9" s="801">
        <v>48</v>
      </c>
      <c r="AJ9" s="802">
        <f t="shared" si="3"/>
        <v>102</v>
      </c>
      <c r="AK9" s="803">
        <v>47</v>
      </c>
      <c r="AL9" s="801">
        <v>66</v>
      </c>
      <c r="AM9" s="802">
        <f t="shared" si="4"/>
        <v>113</v>
      </c>
      <c r="AN9" s="803">
        <v>37</v>
      </c>
      <c r="AO9" s="801">
        <v>56</v>
      </c>
      <c r="AP9" s="802">
        <f t="shared" si="5"/>
        <v>93</v>
      </c>
      <c r="AQ9" s="803">
        <v>67</v>
      </c>
      <c r="AR9" s="801">
        <v>58</v>
      </c>
      <c r="AS9" s="802">
        <f t="shared" si="6"/>
        <v>125</v>
      </c>
      <c r="AT9" s="803">
        <v>57</v>
      </c>
      <c r="AU9" s="801">
        <v>63</v>
      </c>
      <c r="AV9" s="802">
        <f t="shared" si="7"/>
        <v>120</v>
      </c>
    </row>
    <row r="10" spans="1:48" s="186" customFormat="1" ht="15" customHeight="1" x14ac:dyDescent="0.25">
      <c r="A10" s="5690"/>
      <c r="B10" s="5675"/>
      <c r="C10" s="799" t="s">
        <v>451</v>
      </c>
      <c r="D10" s="835">
        <v>53</v>
      </c>
      <c r="E10" s="836">
        <v>80</v>
      </c>
      <c r="F10" s="802">
        <v>133</v>
      </c>
      <c r="G10" s="835">
        <v>63</v>
      </c>
      <c r="H10" s="836">
        <v>93</v>
      </c>
      <c r="I10" s="802">
        <v>156</v>
      </c>
      <c r="J10" s="800">
        <v>64</v>
      </c>
      <c r="K10" s="801">
        <v>91</v>
      </c>
      <c r="L10" s="802">
        <v>155</v>
      </c>
      <c r="M10" s="800">
        <v>87</v>
      </c>
      <c r="N10" s="801">
        <v>85</v>
      </c>
      <c r="O10" s="802">
        <v>172</v>
      </c>
      <c r="P10" s="800">
        <v>56</v>
      </c>
      <c r="Q10" s="801">
        <v>104</v>
      </c>
      <c r="R10" s="802">
        <v>160</v>
      </c>
      <c r="S10" s="800">
        <v>64</v>
      </c>
      <c r="T10" s="801">
        <v>93</v>
      </c>
      <c r="U10" s="802">
        <v>157</v>
      </c>
      <c r="V10" s="800">
        <v>81</v>
      </c>
      <c r="W10" s="801">
        <v>71</v>
      </c>
      <c r="X10" s="802">
        <v>152</v>
      </c>
      <c r="Y10" s="800">
        <v>106</v>
      </c>
      <c r="Z10" s="801">
        <v>91</v>
      </c>
      <c r="AA10" s="802">
        <f t="shared" si="0"/>
        <v>197</v>
      </c>
      <c r="AB10" s="803">
        <v>100</v>
      </c>
      <c r="AC10" s="801">
        <v>52</v>
      </c>
      <c r="AD10" s="802">
        <f t="shared" si="1"/>
        <v>152</v>
      </c>
      <c r="AE10" s="803">
        <v>42</v>
      </c>
      <c r="AF10" s="801">
        <v>40</v>
      </c>
      <c r="AG10" s="802">
        <f t="shared" si="2"/>
        <v>82</v>
      </c>
      <c r="AH10" s="803">
        <v>53</v>
      </c>
      <c r="AI10" s="801">
        <v>52</v>
      </c>
      <c r="AJ10" s="802">
        <f t="shared" si="3"/>
        <v>105</v>
      </c>
      <c r="AK10" s="803">
        <v>47</v>
      </c>
      <c r="AL10" s="801">
        <v>56</v>
      </c>
      <c r="AM10" s="802">
        <f t="shared" si="4"/>
        <v>103</v>
      </c>
      <c r="AN10" s="803">
        <v>39</v>
      </c>
      <c r="AO10" s="801">
        <v>59</v>
      </c>
      <c r="AP10" s="802">
        <f t="shared" si="5"/>
        <v>98</v>
      </c>
      <c r="AQ10" s="803">
        <v>65</v>
      </c>
      <c r="AR10" s="801">
        <v>53</v>
      </c>
      <c r="AS10" s="802">
        <f t="shared" si="6"/>
        <v>118</v>
      </c>
      <c r="AT10" s="803">
        <v>64</v>
      </c>
      <c r="AU10" s="801">
        <v>44</v>
      </c>
      <c r="AV10" s="802">
        <f t="shared" si="7"/>
        <v>108</v>
      </c>
    </row>
    <row r="11" spans="1:48" s="186" customFormat="1" ht="15" customHeight="1" x14ac:dyDescent="0.25">
      <c r="A11" s="5690"/>
      <c r="B11" s="5675"/>
      <c r="C11" s="799" t="s">
        <v>452</v>
      </c>
      <c r="D11" s="835">
        <v>4</v>
      </c>
      <c r="E11" s="836">
        <v>10</v>
      </c>
      <c r="F11" s="802">
        <v>14</v>
      </c>
      <c r="G11" s="835">
        <v>6</v>
      </c>
      <c r="H11" s="836">
        <v>16</v>
      </c>
      <c r="I11" s="802">
        <v>22</v>
      </c>
      <c r="J11" s="800">
        <v>11</v>
      </c>
      <c r="K11" s="801">
        <v>19</v>
      </c>
      <c r="L11" s="802">
        <v>30</v>
      </c>
      <c r="M11" s="800">
        <v>7</v>
      </c>
      <c r="N11" s="801">
        <v>27</v>
      </c>
      <c r="O11" s="802">
        <v>34</v>
      </c>
      <c r="P11" s="800">
        <v>13</v>
      </c>
      <c r="Q11" s="801">
        <v>19</v>
      </c>
      <c r="R11" s="802">
        <v>32</v>
      </c>
      <c r="S11" s="800">
        <v>11</v>
      </c>
      <c r="T11" s="801">
        <v>34</v>
      </c>
      <c r="U11" s="802">
        <v>45</v>
      </c>
      <c r="V11" s="800">
        <v>19</v>
      </c>
      <c r="W11" s="801">
        <v>46</v>
      </c>
      <c r="X11" s="802">
        <v>65</v>
      </c>
      <c r="Y11" s="800">
        <v>20</v>
      </c>
      <c r="Z11" s="801">
        <v>41</v>
      </c>
      <c r="AA11" s="802">
        <f t="shared" si="0"/>
        <v>61</v>
      </c>
      <c r="AB11" s="803">
        <v>65</v>
      </c>
      <c r="AC11" s="801">
        <v>34</v>
      </c>
      <c r="AD11" s="802">
        <f t="shared" si="1"/>
        <v>99</v>
      </c>
      <c r="AE11" s="803">
        <v>49</v>
      </c>
      <c r="AF11" s="801">
        <v>48</v>
      </c>
      <c r="AG11" s="802">
        <f t="shared" si="2"/>
        <v>97</v>
      </c>
      <c r="AH11" s="803">
        <v>56</v>
      </c>
      <c r="AI11" s="801">
        <v>55</v>
      </c>
      <c r="AJ11" s="802">
        <f t="shared" si="3"/>
        <v>111</v>
      </c>
      <c r="AK11" s="803">
        <v>36</v>
      </c>
      <c r="AL11" s="801">
        <v>69</v>
      </c>
      <c r="AM11" s="802">
        <f t="shared" si="4"/>
        <v>105</v>
      </c>
      <c r="AN11" s="803">
        <v>36</v>
      </c>
      <c r="AO11" s="801">
        <v>66</v>
      </c>
      <c r="AP11" s="802">
        <f t="shared" si="5"/>
        <v>102</v>
      </c>
      <c r="AQ11" s="803">
        <v>43</v>
      </c>
      <c r="AR11" s="801">
        <v>23</v>
      </c>
      <c r="AS11" s="802">
        <f t="shared" si="6"/>
        <v>66</v>
      </c>
      <c r="AT11" s="803">
        <v>33</v>
      </c>
      <c r="AU11" s="801">
        <v>34</v>
      </c>
      <c r="AV11" s="802">
        <f t="shared" si="7"/>
        <v>67</v>
      </c>
    </row>
    <row r="12" spans="1:48" s="186" customFormat="1" ht="15" customHeight="1" x14ac:dyDescent="0.25">
      <c r="A12" s="5690"/>
      <c r="B12" s="5675"/>
      <c r="C12" s="799" t="s">
        <v>453</v>
      </c>
      <c r="D12" s="835">
        <v>47</v>
      </c>
      <c r="E12" s="836">
        <v>93</v>
      </c>
      <c r="F12" s="802">
        <v>140</v>
      </c>
      <c r="G12" s="835">
        <v>44</v>
      </c>
      <c r="H12" s="836">
        <v>94</v>
      </c>
      <c r="I12" s="802">
        <v>138</v>
      </c>
      <c r="J12" s="800">
        <v>51</v>
      </c>
      <c r="K12" s="801">
        <v>71</v>
      </c>
      <c r="L12" s="802">
        <v>122</v>
      </c>
      <c r="M12" s="800">
        <v>66</v>
      </c>
      <c r="N12" s="801">
        <v>67</v>
      </c>
      <c r="O12" s="802">
        <v>133</v>
      </c>
      <c r="P12" s="800">
        <v>55</v>
      </c>
      <c r="Q12" s="801">
        <v>110</v>
      </c>
      <c r="R12" s="802">
        <v>165</v>
      </c>
      <c r="S12" s="800">
        <v>66</v>
      </c>
      <c r="T12" s="801">
        <v>96</v>
      </c>
      <c r="U12" s="802">
        <v>162</v>
      </c>
      <c r="V12" s="800">
        <v>68</v>
      </c>
      <c r="W12" s="801">
        <v>83</v>
      </c>
      <c r="X12" s="802">
        <v>151</v>
      </c>
      <c r="Y12" s="800">
        <v>106</v>
      </c>
      <c r="Z12" s="801">
        <v>84</v>
      </c>
      <c r="AA12" s="802">
        <f t="shared" si="0"/>
        <v>190</v>
      </c>
      <c r="AB12" s="803">
        <v>89</v>
      </c>
      <c r="AC12" s="801">
        <v>45</v>
      </c>
      <c r="AD12" s="802">
        <f t="shared" si="1"/>
        <v>134</v>
      </c>
      <c r="AE12" s="803">
        <v>47</v>
      </c>
      <c r="AF12" s="801">
        <v>50</v>
      </c>
      <c r="AG12" s="802">
        <f t="shared" si="2"/>
        <v>97</v>
      </c>
      <c r="AH12" s="803">
        <v>57</v>
      </c>
      <c r="AI12" s="801">
        <v>50</v>
      </c>
      <c r="AJ12" s="802">
        <f t="shared" si="3"/>
        <v>107</v>
      </c>
      <c r="AK12" s="803">
        <v>46</v>
      </c>
      <c r="AL12" s="801">
        <v>55</v>
      </c>
      <c r="AM12" s="802">
        <f t="shared" si="4"/>
        <v>101</v>
      </c>
      <c r="AN12" s="803">
        <v>36</v>
      </c>
      <c r="AO12" s="801">
        <v>55</v>
      </c>
      <c r="AP12" s="802">
        <f t="shared" si="5"/>
        <v>91</v>
      </c>
      <c r="AQ12" s="803">
        <v>68</v>
      </c>
      <c r="AR12" s="801">
        <v>70</v>
      </c>
      <c r="AS12" s="802">
        <f t="shared" si="6"/>
        <v>138</v>
      </c>
      <c r="AT12" s="803">
        <v>57</v>
      </c>
      <c r="AU12" s="801">
        <v>61</v>
      </c>
      <c r="AV12" s="802">
        <f t="shared" si="7"/>
        <v>118</v>
      </c>
    </row>
    <row r="13" spans="1:48" s="186" customFormat="1" ht="15" customHeight="1" x14ac:dyDescent="0.25">
      <c r="A13" s="5690"/>
      <c r="B13" s="5675"/>
      <c r="C13" s="799" t="s">
        <v>454</v>
      </c>
      <c r="D13" s="835">
        <v>106</v>
      </c>
      <c r="E13" s="836">
        <v>131</v>
      </c>
      <c r="F13" s="802">
        <v>237</v>
      </c>
      <c r="G13" s="835">
        <v>144</v>
      </c>
      <c r="H13" s="836">
        <v>166</v>
      </c>
      <c r="I13" s="802">
        <v>310</v>
      </c>
      <c r="J13" s="800">
        <v>135</v>
      </c>
      <c r="K13" s="801">
        <v>146</v>
      </c>
      <c r="L13" s="802">
        <v>281</v>
      </c>
      <c r="M13" s="800">
        <v>154</v>
      </c>
      <c r="N13" s="801">
        <v>122</v>
      </c>
      <c r="O13" s="802">
        <v>276</v>
      </c>
      <c r="P13" s="800">
        <v>128</v>
      </c>
      <c r="Q13" s="801">
        <v>115</v>
      </c>
      <c r="R13" s="802">
        <v>243</v>
      </c>
      <c r="S13" s="800">
        <v>65</v>
      </c>
      <c r="T13" s="801">
        <v>111</v>
      </c>
      <c r="U13" s="802">
        <v>176</v>
      </c>
      <c r="V13" s="800">
        <v>77</v>
      </c>
      <c r="W13" s="801">
        <v>95</v>
      </c>
      <c r="X13" s="802">
        <v>172</v>
      </c>
      <c r="Y13" s="800">
        <v>112</v>
      </c>
      <c r="Z13" s="801">
        <v>118</v>
      </c>
      <c r="AA13" s="802">
        <f t="shared" si="0"/>
        <v>230</v>
      </c>
      <c r="AB13" s="803">
        <v>94</v>
      </c>
      <c r="AC13" s="801">
        <v>60</v>
      </c>
      <c r="AD13" s="802">
        <f t="shared" si="1"/>
        <v>154</v>
      </c>
      <c r="AE13" s="803">
        <v>46</v>
      </c>
      <c r="AF13" s="801">
        <v>53</v>
      </c>
      <c r="AG13" s="802">
        <f t="shared" si="2"/>
        <v>99</v>
      </c>
      <c r="AH13" s="803">
        <v>55</v>
      </c>
      <c r="AI13" s="801">
        <v>57</v>
      </c>
      <c r="AJ13" s="802">
        <f t="shared" si="3"/>
        <v>112</v>
      </c>
      <c r="AK13" s="803">
        <v>46</v>
      </c>
      <c r="AL13" s="801">
        <v>64</v>
      </c>
      <c r="AM13" s="802">
        <f t="shared" si="4"/>
        <v>110</v>
      </c>
      <c r="AN13" s="803">
        <v>35</v>
      </c>
      <c r="AO13" s="801">
        <v>65</v>
      </c>
      <c r="AP13" s="802">
        <f t="shared" si="5"/>
        <v>100</v>
      </c>
      <c r="AQ13" s="803">
        <v>60</v>
      </c>
      <c r="AR13" s="801">
        <v>60</v>
      </c>
      <c r="AS13" s="802">
        <f t="shared" si="6"/>
        <v>120</v>
      </c>
      <c r="AT13" s="803">
        <v>50</v>
      </c>
      <c r="AU13" s="801">
        <v>58</v>
      </c>
      <c r="AV13" s="802">
        <f t="shared" si="7"/>
        <v>108</v>
      </c>
    </row>
    <row r="14" spans="1:48" s="186" customFormat="1" ht="15" customHeight="1" x14ac:dyDescent="0.25">
      <c r="A14" s="5690"/>
      <c r="B14" s="5675"/>
      <c r="C14" s="808" t="s">
        <v>455</v>
      </c>
      <c r="D14" s="809"/>
      <c r="E14" s="840">
        <v>98</v>
      </c>
      <c r="F14" s="811">
        <v>98</v>
      </c>
      <c r="G14" s="841">
        <v>205</v>
      </c>
      <c r="H14" s="840">
        <v>192</v>
      </c>
      <c r="I14" s="811">
        <v>397</v>
      </c>
      <c r="J14" s="809">
        <v>185</v>
      </c>
      <c r="K14" s="810">
        <v>177</v>
      </c>
      <c r="L14" s="811">
        <v>362</v>
      </c>
      <c r="M14" s="809">
        <v>199</v>
      </c>
      <c r="N14" s="810">
        <v>191</v>
      </c>
      <c r="O14" s="811">
        <v>390</v>
      </c>
      <c r="P14" s="809">
        <v>156</v>
      </c>
      <c r="Q14" s="810">
        <v>123</v>
      </c>
      <c r="R14" s="811">
        <v>279</v>
      </c>
      <c r="S14" s="809">
        <v>162</v>
      </c>
      <c r="T14" s="810">
        <v>160</v>
      </c>
      <c r="U14" s="811">
        <v>322</v>
      </c>
      <c r="V14" s="809">
        <v>136</v>
      </c>
      <c r="W14" s="810">
        <v>115</v>
      </c>
      <c r="X14" s="811">
        <v>251</v>
      </c>
      <c r="Y14" s="809">
        <v>137</v>
      </c>
      <c r="Z14" s="810">
        <v>115</v>
      </c>
      <c r="AA14" s="811">
        <f t="shared" si="0"/>
        <v>252</v>
      </c>
      <c r="AB14" s="812">
        <v>97</v>
      </c>
      <c r="AC14" s="810">
        <v>69</v>
      </c>
      <c r="AD14" s="811">
        <f t="shared" si="1"/>
        <v>166</v>
      </c>
      <c r="AE14" s="812">
        <v>37</v>
      </c>
      <c r="AF14" s="810">
        <v>57</v>
      </c>
      <c r="AG14" s="811">
        <f t="shared" si="2"/>
        <v>94</v>
      </c>
      <c r="AH14" s="812">
        <v>53</v>
      </c>
      <c r="AI14" s="810">
        <v>50</v>
      </c>
      <c r="AJ14" s="811">
        <f t="shared" si="3"/>
        <v>103</v>
      </c>
      <c r="AK14" s="812">
        <v>46</v>
      </c>
      <c r="AL14" s="810">
        <v>70</v>
      </c>
      <c r="AM14" s="811">
        <f t="shared" si="4"/>
        <v>116</v>
      </c>
      <c r="AN14" s="812">
        <v>33</v>
      </c>
      <c r="AO14" s="810">
        <v>66</v>
      </c>
      <c r="AP14" s="811">
        <f t="shared" si="5"/>
        <v>99</v>
      </c>
      <c r="AQ14" s="812">
        <v>69</v>
      </c>
      <c r="AR14" s="810">
        <v>94</v>
      </c>
      <c r="AS14" s="811">
        <f t="shared" si="6"/>
        <v>163</v>
      </c>
      <c r="AT14" s="812">
        <v>64</v>
      </c>
      <c r="AU14" s="810">
        <v>67</v>
      </c>
      <c r="AV14" s="811">
        <f t="shared" si="7"/>
        <v>131</v>
      </c>
    </row>
    <row r="15" spans="1:48" s="186" customFormat="1" ht="15" customHeight="1" x14ac:dyDescent="0.25">
      <c r="A15" s="5690"/>
      <c r="B15" s="5676"/>
      <c r="C15" s="849" t="s">
        <v>160</v>
      </c>
      <c r="D15" s="850">
        <f>SUM(D5:D14)</f>
        <v>397</v>
      </c>
      <c r="E15" s="851">
        <f>SUM(E5:E14)</f>
        <v>706</v>
      </c>
      <c r="F15" s="852">
        <f>SUM(F5:F14)</f>
        <v>1103</v>
      </c>
      <c r="G15" s="850">
        <f t="shared" ref="G15:AG15" si="8">SUM(G5:G14)</f>
        <v>697</v>
      </c>
      <c r="H15" s="851">
        <f t="shared" si="8"/>
        <v>912</v>
      </c>
      <c r="I15" s="852">
        <f t="shared" si="8"/>
        <v>1609</v>
      </c>
      <c r="J15" s="850">
        <f t="shared" si="8"/>
        <v>663</v>
      </c>
      <c r="K15" s="851">
        <f t="shared" si="8"/>
        <v>780</v>
      </c>
      <c r="L15" s="852">
        <f t="shared" si="8"/>
        <v>1443</v>
      </c>
      <c r="M15" s="850">
        <f t="shared" si="8"/>
        <v>721</v>
      </c>
      <c r="N15" s="851">
        <f t="shared" si="8"/>
        <v>822</v>
      </c>
      <c r="O15" s="852">
        <f t="shared" si="8"/>
        <v>1543</v>
      </c>
      <c r="P15" s="850">
        <f t="shared" si="8"/>
        <v>654</v>
      </c>
      <c r="Q15" s="851">
        <f t="shared" si="8"/>
        <v>819</v>
      </c>
      <c r="R15" s="852">
        <f t="shared" si="8"/>
        <v>1473</v>
      </c>
      <c r="S15" s="850">
        <f t="shared" si="8"/>
        <v>652</v>
      </c>
      <c r="T15" s="851">
        <f t="shared" si="8"/>
        <v>908</v>
      </c>
      <c r="U15" s="852">
        <f t="shared" si="8"/>
        <v>1560</v>
      </c>
      <c r="V15" s="850">
        <f t="shared" si="8"/>
        <v>699</v>
      </c>
      <c r="W15" s="851">
        <f t="shared" si="8"/>
        <v>766</v>
      </c>
      <c r="X15" s="852">
        <f t="shared" si="8"/>
        <v>1465</v>
      </c>
      <c r="Y15" s="850">
        <f t="shared" si="8"/>
        <v>853</v>
      </c>
      <c r="Z15" s="851">
        <f t="shared" si="8"/>
        <v>904</v>
      </c>
      <c r="AA15" s="852">
        <f t="shared" si="8"/>
        <v>1757</v>
      </c>
      <c r="AB15" s="850">
        <f t="shared" si="8"/>
        <v>908</v>
      </c>
      <c r="AC15" s="851">
        <f t="shared" si="8"/>
        <v>537</v>
      </c>
      <c r="AD15" s="852">
        <f t="shared" si="8"/>
        <v>1445</v>
      </c>
      <c r="AE15" s="850">
        <f t="shared" si="8"/>
        <v>453</v>
      </c>
      <c r="AF15" s="851">
        <f t="shared" si="8"/>
        <v>507</v>
      </c>
      <c r="AG15" s="852">
        <f t="shared" si="8"/>
        <v>960</v>
      </c>
      <c r="AH15" s="850">
        <f t="shared" ref="AH15:AM15" si="9">SUM(AH5:AH14)</f>
        <v>546</v>
      </c>
      <c r="AI15" s="851">
        <f t="shared" si="9"/>
        <v>531</v>
      </c>
      <c r="AJ15" s="852">
        <f t="shared" si="9"/>
        <v>1077</v>
      </c>
      <c r="AK15" s="850">
        <f t="shared" si="9"/>
        <v>437</v>
      </c>
      <c r="AL15" s="851">
        <f t="shared" si="9"/>
        <v>624</v>
      </c>
      <c r="AM15" s="852">
        <f t="shared" si="9"/>
        <v>1061</v>
      </c>
      <c r="AN15" s="850">
        <f t="shared" ref="AN15:AV15" si="10">SUM(AN5:AN14)</f>
        <v>350</v>
      </c>
      <c r="AO15" s="851">
        <f t="shared" si="10"/>
        <v>610</v>
      </c>
      <c r="AP15" s="852">
        <f t="shared" si="10"/>
        <v>960</v>
      </c>
      <c r="AQ15" s="850">
        <f t="shared" si="10"/>
        <v>539</v>
      </c>
      <c r="AR15" s="1430">
        <f t="shared" si="10"/>
        <v>563</v>
      </c>
      <c r="AS15" s="852">
        <f t="shared" si="10"/>
        <v>1102</v>
      </c>
      <c r="AT15" s="850">
        <f t="shared" si="10"/>
        <v>526</v>
      </c>
      <c r="AU15" s="1430">
        <f t="shared" si="10"/>
        <v>532</v>
      </c>
      <c r="AV15" s="852">
        <f t="shared" si="10"/>
        <v>1058</v>
      </c>
    </row>
    <row r="16" spans="1:48" s="186" customFormat="1" ht="15" customHeight="1" x14ac:dyDescent="0.25">
      <c r="A16" s="5690"/>
      <c r="B16" s="5674" t="s">
        <v>6</v>
      </c>
      <c r="C16" s="793" t="s">
        <v>456</v>
      </c>
      <c r="D16" s="833">
        <v>105</v>
      </c>
      <c r="E16" s="834">
        <v>146</v>
      </c>
      <c r="F16" s="796">
        <v>251</v>
      </c>
      <c r="G16" s="833">
        <v>100</v>
      </c>
      <c r="H16" s="834">
        <v>165</v>
      </c>
      <c r="I16" s="796">
        <v>265</v>
      </c>
      <c r="J16" s="794">
        <v>105</v>
      </c>
      <c r="K16" s="795">
        <v>136</v>
      </c>
      <c r="L16" s="796">
        <v>241</v>
      </c>
      <c r="M16" s="794">
        <v>93</v>
      </c>
      <c r="N16" s="795">
        <v>140</v>
      </c>
      <c r="O16" s="796">
        <v>233</v>
      </c>
      <c r="P16" s="794">
        <v>176</v>
      </c>
      <c r="Q16" s="795">
        <v>105</v>
      </c>
      <c r="R16" s="796">
        <v>281</v>
      </c>
      <c r="S16" s="794">
        <v>155</v>
      </c>
      <c r="T16" s="795">
        <v>146</v>
      </c>
      <c r="U16" s="796">
        <v>301</v>
      </c>
      <c r="V16" s="794">
        <v>134</v>
      </c>
      <c r="W16" s="795">
        <v>142</v>
      </c>
      <c r="X16" s="796">
        <v>276</v>
      </c>
      <c r="Y16" s="794">
        <v>129</v>
      </c>
      <c r="Z16" s="795">
        <v>116</v>
      </c>
      <c r="AA16" s="796">
        <f t="shared" si="0"/>
        <v>245</v>
      </c>
      <c r="AB16" s="797">
        <v>131</v>
      </c>
      <c r="AC16" s="795">
        <v>118</v>
      </c>
      <c r="AD16" s="796">
        <f t="shared" si="1"/>
        <v>249</v>
      </c>
      <c r="AE16" s="797">
        <v>143</v>
      </c>
      <c r="AF16" s="795">
        <v>138</v>
      </c>
      <c r="AG16" s="796">
        <f t="shared" si="2"/>
        <v>281</v>
      </c>
      <c r="AH16" s="797">
        <v>152</v>
      </c>
      <c r="AI16" s="795">
        <v>144</v>
      </c>
      <c r="AJ16" s="796">
        <f>SUM(AH16:AI16)</f>
        <v>296</v>
      </c>
      <c r="AK16" s="797">
        <v>153</v>
      </c>
      <c r="AL16" s="795">
        <v>152</v>
      </c>
      <c r="AM16" s="796">
        <f>SUM(AK16:AL16)</f>
        <v>305</v>
      </c>
      <c r="AN16" s="797">
        <v>146</v>
      </c>
      <c r="AO16" s="795">
        <v>155</v>
      </c>
      <c r="AP16" s="796">
        <f>SUM(AN16:AO16)</f>
        <v>301</v>
      </c>
      <c r="AQ16" s="797">
        <v>141</v>
      </c>
      <c r="AR16" s="795">
        <v>160</v>
      </c>
      <c r="AS16" s="796">
        <f>SUM(AQ16:AR16)</f>
        <v>301</v>
      </c>
      <c r="AT16" s="797">
        <v>124</v>
      </c>
      <c r="AU16" s="795">
        <v>157</v>
      </c>
      <c r="AV16" s="796">
        <f>SUM(AT16:AU16)</f>
        <v>281</v>
      </c>
    </row>
    <row r="17" spans="1:48" s="186" customFormat="1" ht="15" customHeight="1" x14ac:dyDescent="0.25">
      <c r="A17" s="5690"/>
      <c r="B17" s="5675"/>
      <c r="C17" s="799" t="s">
        <v>457</v>
      </c>
      <c r="D17" s="835">
        <v>157</v>
      </c>
      <c r="E17" s="836">
        <v>211</v>
      </c>
      <c r="F17" s="802">
        <v>368</v>
      </c>
      <c r="G17" s="835">
        <v>123</v>
      </c>
      <c r="H17" s="836">
        <v>210</v>
      </c>
      <c r="I17" s="802">
        <v>333</v>
      </c>
      <c r="J17" s="800">
        <v>140</v>
      </c>
      <c r="K17" s="801">
        <v>178</v>
      </c>
      <c r="L17" s="802">
        <v>318</v>
      </c>
      <c r="M17" s="800">
        <v>120</v>
      </c>
      <c r="N17" s="801">
        <v>221</v>
      </c>
      <c r="O17" s="802">
        <v>341</v>
      </c>
      <c r="P17" s="800">
        <v>175</v>
      </c>
      <c r="Q17" s="801">
        <v>131</v>
      </c>
      <c r="R17" s="802">
        <v>306</v>
      </c>
      <c r="S17" s="800">
        <v>232</v>
      </c>
      <c r="T17" s="801">
        <v>205</v>
      </c>
      <c r="U17" s="802">
        <v>437</v>
      </c>
      <c r="V17" s="800">
        <v>195</v>
      </c>
      <c r="W17" s="801">
        <v>226</v>
      </c>
      <c r="X17" s="802">
        <v>421</v>
      </c>
      <c r="Y17" s="800">
        <v>208</v>
      </c>
      <c r="Z17" s="801">
        <v>188</v>
      </c>
      <c r="AA17" s="802">
        <f t="shared" si="0"/>
        <v>396</v>
      </c>
      <c r="AB17" s="803">
        <v>202</v>
      </c>
      <c r="AC17" s="801">
        <v>192</v>
      </c>
      <c r="AD17" s="802">
        <f t="shared" si="1"/>
        <v>394</v>
      </c>
      <c r="AE17" s="803">
        <v>231</v>
      </c>
      <c r="AF17" s="801">
        <v>229</v>
      </c>
      <c r="AG17" s="802">
        <f t="shared" si="2"/>
        <v>460</v>
      </c>
      <c r="AH17" s="803">
        <v>223</v>
      </c>
      <c r="AI17" s="801">
        <v>221</v>
      </c>
      <c r="AJ17" s="802">
        <f>SUM(AH17:AI17)</f>
        <v>444</v>
      </c>
      <c r="AK17" s="803">
        <v>232</v>
      </c>
      <c r="AL17" s="801">
        <v>236</v>
      </c>
      <c r="AM17" s="802">
        <f>SUM(AK17:AL17)</f>
        <v>468</v>
      </c>
      <c r="AN17" s="803">
        <v>223</v>
      </c>
      <c r="AO17" s="801">
        <v>247</v>
      </c>
      <c r="AP17" s="802">
        <f>SUM(AN17:AO17)</f>
        <v>470</v>
      </c>
      <c r="AQ17" s="803">
        <v>206</v>
      </c>
      <c r="AR17" s="801">
        <v>257</v>
      </c>
      <c r="AS17" s="802">
        <f>SUM(AQ17:AR17)</f>
        <v>463</v>
      </c>
      <c r="AT17" s="803">
        <v>215</v>
      </c>
      <c r="AU17" s="801">
        <v>219</v>
      </c>
      <c r="AV17" s="802">
        <f>SUM(AT17:AU17)</f>
        <v>434</v>
      </c>
    </row>
    <row r="18" spans="1:48" s="186" customFormat="1" ht="15" customHeight="1" x14ac:dyDescent="0.25">
      <c r="A18" s="5690"/>
      <c r="B18" s="5675"/>
      <c r="C18" s="799" t="s">
        <v>458</v>
      </c>
      <c r="D18" s="835">
        <v>99</v>
      </c>
      <c r="E18" s="836">
        <v>70</v>
      </c>
      <c r="F18" s="802">
        <v>169</v>
      </c>
      <c r="G18" s="835">
        <v>87</v>
      </c>
      <c r="H18" s="836">
        <v>112</v>
      </c>
      <c r="I18" s="802">
        <v>199</v>
      </c>
      <c r="J18" s="800">
        <v>94</v>
      </c>
      <c r="K18" s="801">
        <v>75</v>
      </c>
      <c r="L18" s="802">
        <v>169</v>
      </c>
      <c r="M18" s="800">
        <v>83</v>
      </c>
      <c r="N18" s="801">
        <v>82</v>
      </c>
      <c r="O18" s="802">
        <v>165</v>
      </c>
      <c r="P18" s="800">
        <v>79</v>
      </c>
      <c r="Q18" s="801">
        <v>92</v>
      </c>
      <c r="R18" s="802">
        <v>171</v>
      </c>
      <c r="S18" s="800">
        <v>131</v>
      </c>
      <c r="T18" s="801">
        <v>103</v>
      </c>
      <c r="U18" s="802">
        <v>234</v>
      </c>
      <c r="V18" s="800">
        <v>107</v>
      </c>
      <c r="W18" s="801">
        <v>110</v>
      </c>
      <c r="X18" s="802">
        <v>217</v>
      </c>
      <c r="Y18" s="800">
        <v>102</v>
      </c>
      <c r="Z18" s="801">
        <v>97</v>
      </c>
      <c r="AA18" s="802">
        <f t="shared" si="0"/>
        <v>199</v>
      </c>
      <c r="AB18" s="803">
        <v>106</v>
      </c>
      <c r="AC18" s="801">
        <v>92</v>
      </c>
      <c r="AD18" s="802">
        <f t="shared" si="1"/>
        <v>198</v>
      </c>
      <c r="AE18" s="803">
        <v>114</v>
      </c>
      <c r="AF18" s="801">
        <v>112</v>
      </c>
      <c r="AG18" s="802">
        <f t="shared" si="2"/>
        <v>226</v>
      </c>
      <c r="AH18" s="803">
        <v>118</v>
      </c>
      <c r="AI18" s="801">
        <v>109</v>
      </c>
      <c r="AJ18" s="802">
        <f>SUM(AH18:AI18)</f>
        <v>227</v>
      </c>
      <c r="AK18" s="803">
        <v>111</v>
      </c>
      <c r="AL18" s="801">
        <v>105</v>
      </c>
      <c r="AM18" s="802">
        <f>SUM(AK18:AL18)</f>
        <v>216</v>
      </c>
      <c r="AN18" s="803">
        <v>114</v>
      </c>
      <c r="AO18" s="801">
        <v>116</v>
      </c>
      <c r="AP18" s="802">
        <f>SUM(AN18:AO18)</f>
        <v>230</v>
      </c>
      <c r="AQ18" s="803">
        <v>120</v>
      </c>
      <c r="AR18" s="801">
        <v>140</v>
      </c>
      <c r="AS18" s="802">
        <f>SUM(AQ18:AR18)</f>
        <v>260</v>
      </c>
      <c r="AT18" s="803">
        <v>140</v>
      </c>
      <c r="AU18" s="801">
        <v>162</v>
      </c>
      <c r="AV18" s="802">
        <f>SUM(AT18:AU18)</f>
        <v>302</v>
      </c>
    </row>
    <row r="19" spans="1:48" s="186" customFormat="1" ht="15" customHeight="1" x14ac:dyDescent="0.25">
      <c r="A19" s="5690"/>
      <c r="B19" s="5675"/>
      <c r="C19" s="808" t="s">
        <v>459</v>
      </c>
      <c r="D19" s="841">
        <v>106</v>
      </c>
      <c r="E19" s="840">
        <v>99</v>
      </c>
      <c r="F19" s="811">
        <v>205</v>
      </c>
      <c r="G19" s="841">
        <v>107</v>
      </c>
      <c r="H19" s="840">
        <v>130</v>
      </c>
      <c r="I19" s="811">
        <v>237</v>
      </c>
      <c r="J19" s="809">
        <v>107</v>
      </c>
      <c r="K19" s="810">
        <v>87</v>
      </c>
      <c r="L19" s="811">
        <v>194</v>
      </c>
      <c r="M19" s="809">
        <v>87</v>
      </c>
      <c r="N19" s="810">
        <v>87</v>
      </c>
      <c r="O19" s="811">
        <v>174</v>
      </c>
      <c r="P19" s="809">
        <v>93</v>
      </c>
      <c r="Q19" s="810">
        <v>93</v>
      </c>
      <c r="R19" s="811">
        <v>186</v>
      </c>
      <c r="S19" s="809">
        <v>136</v>
      </c>
      <c r="T19" s="810">
        <v>102</v>
      </c>
      <c r="U19" s="811">
        <v>238</v>
      </c>
      <c r="V19" s="809">
        <v>113</v>
      </c>
      <c r="W19" s="810">
        <v>98</v>
      </c>
      <c r="X19" s="811">
        <v>211</v>
      </c>
      <c r="Y19" s="809">
        <v>100</v>
      </c>
      <c r="Z19" s="810">
        <v>99</v>
      </c>
      <c r="AA19" s="811">
        <f t="shared" si="0"/>
        <v>199</v>
      </c>
      <c r="AB19" s="812">
        <v>103</v>
      </c>
      <c r="AC19" s="810">
        <v>104</v>
      </c>
      <c r="AD19" s="811">
        <f t="shared" si="1"/>
        <v>207</v>
      </c>
      <c r="AE19" s="812">
        <v>117</v>
      </c>
      <c r="AF19" s="810">
        <v>121</v>
      </c>
      <c r="AG19" s="811">
        <f t="shared" si="2"/>
        <v>238</v>
      </c>
      <c r="AH19" s="812">
        <v>118</v>
      </c>
      <c r="AI19" s="810">
        <v>116</v>
      </c>
      <c r="AJ19" s="811">
        <f>SUM(AH19:AI19)</f>
        <v>234</v>
      </c>
      <c r="AK19" s="812">
        <v>115</v>
      </c>
      <c r="AL19" s="810">
        <v>115</v>
      </c>
      <c r="AM19" s="811">
        <f>SUM(AK19:AL19)</f>
        <v>230</v>
      </c>
      <c r="AN19" s="812">
        <v>117</v>
      </c>
      <c r="AO19" s="810">
        <v>117</v>
      </c>
      <c r="AP19" s="811">
        <f>SUM(AN19:AO19)</f>
        <v>234</v>
      </c>
      <c r="AQ19" s="812">
        <v>100</v>
      </c>
      <c r="AR19" s="810">
        <v>117</v>
      </c>
      <c r="AS19" s="811">
        <f>SUM(AQ19:AR19)</f>
        <v>217</v>
      </c>
      <c r="AT19" s="812">
        <v>93</v>
      </c>
      <c r="AU19" s="810">
        <v>124</v>
      </c>
      <c r="AV19" s="811">
        <f>SUM(AT19:AU19)</f>
        <v>217</v>
      </c>
    </row>
    <row r="20" spans="1:48" s="186" customFormat="1" ht="15" customHeight="1" x14ac:dyDescent="0.25">
      <c r="A20" s="5690"/>
      <c r="B20" s="5676"/>
      <c r="C20" s="855" t="s">
        <v>160</v>
      </c>
      <c r="D20" s="856">
        <f>SUM(D16:D19)</f>
        <v>467</v>
      </c>
      <c r="E20" s="857">
        <f t="shared" ref="E20:AG20" si="11">SUM(E16:E19)</f>
        <v>526</v>
      </c>
      <c r="F20" s="577">
        <f t="shared" si="11"/>
        <v>993</v>
      </c>
      <c r="G20" s="856">
        <f t="shared" si="11"/>
        <v>417</v>
      </c>
      <c r="H20" s="857">
        <f t="shared" si="11"/>
        <v>617</v>
      </c>
      <c r="I20" s="577">
        <f t="shared" si="11"/>
        <v>1034</v>
      </c>
      <c r="J20" s="856">
        <f t="shared" si="11"/>
        <v>446</v>
      </c>
      <c r="K20" s="857">
        <f t="shared" si="11"/>
        <v>476</v>
      </c>
      <c r="L20" s="577">
        <f t="shared" si="11"/>
        <v>922</v>
      </c>
      <c r="M20" s="856">
        <f t="shared" si="11"/>
        <v>383</v>
      </c>
      <c r="N20" s="857">
        <f t="shared" si="11"/>
        <v>530</v>
      </c>
      <c r="O20" s="577">
        <f t="shared" si="11"/>
        <v>913</v>
      </c>
      <c r="P20" s="856">
        <f t="shared" si="11"/>
        <v>523</v>
      </c>
      <c r="Q20" s="857">
        <f t="shared" si="11"/>
        <v>421</v>
      </c>
      <c r="R20" s="577">
        <f t="shared" si="11"/>
        <v>944</v>
      </c>
      <c r="S20" s="856">
        <f t="shared" si="11"/>
        <v>654</v>
      </c>
      <c r="T20" s="857">
        <f t="shared" si="11"/>
        <v>556</v>
      </c>
      <c r="U20" s="577">
        <f t="shared" si="11"/>
        <v>1210</v>
      </c>
      <c r="V20" s="856">
        <f t="shared" si="11"/>
        <v>549</v>
      </c>
      <c r="W20" s="857">
        <f t="shared" si="11"/>
        <v>576</v>
      </c>
      <c r="X20" s="577">
        <f t="shared" si="11"/>
        <v>1125</v>
      </c>
      <c r="Y20" s="856">
        <f t="shared" si="11"/>
        <v>539</v>
      </c>
      <c r="Z20" s="857">
        <f t="shared" si="11"/>
        <v>500</v>
      </c>
      <c r="AA20" s="577">
        <f t="shared" si="11"/>
        <v>1039</v>
      </c>
      <c r="AB20" s="856">
        <f t="shared" si="11"/>
        <v>542</v>
      </c>
      <c r="AC20" s="857">
        <f t="shared" si="11"/>
        <v>506</v>
      </c>
      <c r="AD20" s="577">
        <f t="shared" si="11"/>
        <v>1048</v>
      </c>
      <c r="AE20" s="856">
        <f t="shared" si="11"/>
        <v>605</v>
      </c>
      <c r="AF20" s="857">
        <f t="shared" si="11"/>
        <v>600</v>
      </c>
      <c r="AG20" s="577">
        <f t="shared" si="11"/>
        <v>1205</v>
      </c>
      <c r="AH20" s="856">
        <f t="shared" ref="AH20:AM20" si="12">SUM(AH16:AH19)</f>
        <v>611</v>
      </c>
      <c r="AI20" s="857">
        <f t="shared" si="12"/>
        <v>590</v>
      </c>
      <c r="AJ20" s="577">
        <f t="shared" si="12"/>
        <v>1201</v>
      </c>
      <c r="AK20" s="856">
        <f t="shared" si="12"/>
        <v>611</v>
      </c>
      <c r="AL20" s="857">
        <f t="shared" si="12"/>
        <v>608</v>
      </c>
      <c r="AM20" s="577">
        <f t="shared" si="12"/>
        <v>1219</v>
      </c>
      <c r="AN20" s="856">
        <f t="shared" ref="AN20:AV20" si="13">SUM(AN16:AN19)</f>
        <v>600</v>
      </c>
      <c r="AO20" s="857">
        <f t="shared" si="13"/>
        <v>635</v>
      </c>
      <c r="AP20" s="577">
        <f t="shared" si="13"/>
        <v>1235</v>
      </c>
      <c r="AQ20" s="856">
        <f t="shared" si="13"/>
        <v>567</v>
      </c>
      <c r="AR20" s="1431">
        <f t="shared" si="13"/>
        <v>674</v>
      </c>
      <c r="AS20" s="577">
        <f t="shared" si="13"/>
        <v>1241</v>
      </c>
      <c r="AT20" s="856">
        <f t="shared" si="13"/>
        <v>572</v>
      </c>
      <c r="AU20" s="1431">
        <f t="shared" si="13"/>
        <v>662</v>
      </c>
      <c r="AV20" s="577">
        <f t="shared" si="13"/>
        <v>1234</v>
      </c>
    </row>
    <row r="21" spans="1:48" s="186" customFormat="1" ht="15" customHeight="1" x14ac:dyDescent="0.25">
      <c r="A21" s="5690"/>
      <c r="B21" s="5674" t="s">
        <v>7</v>
      </c>
      <c r="C21" s="813" t="s">
        <v>460</v>
      </c>
      <c r="D21" s="842">
        <v>121</v>
      </c>
      <c r="E21" s="843">
        <v>159</v>
      </c>
      <c r="F21" s="816">
        <v>280</v>
      </c>
      <c r="G21" s="842">
        <v>125</v>
      </c>
      <c r="H21" s="843">
        <v>159</v>
      </c>
      <c r="I21" s="816">
        <v>284</v>
      </c>
      <c r="J21" s="814">
        <v>133</v>
      </c>
      <c r="K21" s="815">
        <v>110</v>
      </c>
      <c r="L21" s="816">
        <v>243</v>
      </c>
      <c r="M21" s="814">
        <v>124</v>
      </c>
      <c r="N21" s="815">
        <v>117</v>
      </c>
      <c r="O21" s="816">
        <v>241</v>
      </c>
      <c r="P21" s="844">
        <v>136</v>
      </c>
      <c r="Q21" s="815">
        <v>121</v>
      </c>
      <c r="R21" s="816">
        <v>257</v>
      </c>
      <c r="S21" s="844">
        <v>134</v>
      </c>
      <c r="T21" s="815">
        <v>137</v>
      </c>
      <c r="U21" s="816">
        <v>271</v>
      </c>
      <c r="V21" s="844">
        <v>113</v>
      </c>
      <c r="W21" s="815">
        <v>104</v>
      </c>
      <c r="X21" s="816">
        <v>217</v>
      </c>
      <c r="Y21" s="844">
        <v>112</v>
      </c>
      <c r="Z21" s="815">
        <v>107</v>
      </c>
      <c r="AA21" s="816">
        <f t="shared" si="0"/>
        <v>219</v>
      </c>
      <c r="AB21" s="817">
        <v>98</v>
      </c>
      <c r="AC21" s="815">
        <v>90</v>
      </c>
      <c r="AD21" s="816">
        <f t="shared" si="1"/>
        <v>188</v>
      </c>
      <c r="AE21" s="817">
        <v>98</v>
      </c>
      <c r="AF21" s="815">
        <v>97</v>
      </c>
      <c r="AG21" s="816">
        <f t="shared" si="2"/>
        <v>195</v>
      </c>
      <c r="AH21" s="817">
        <v>98</v>
      </c>
      <c r="AI21" s="815">
        <v>90</v>
      </c>
      <c r="AJ21" s="816">
        <f>SUM(AH21:AI21)</f>
        <v>188</v>
      </c>
      <c r="AK21" s="817">
        <v>101</v>
      </c>
      <c r="AL21" s="815">
        <v>95</v>
      </c>
      <c r="AM21" s="816">
        <f>SUM(AK21:AL21)</f>
        <v>196</v>
      </c>
      <c r="AN21" s="817">
        <v>99</v>
      </c>
      <c r="AO21" s="815">
        <v>97</v>
      </c>
      <c r="AP21" s="816">
        <f>SUM(AN21:AO21)</f>
        <v>196</v>
      </c>
      <c r="AQ21" s="817">
        <v>74</v>
      </c>
      <c r="AR21" s="815">
        <v>86</v>
      </c>
      <c r="AS21" s="816">
        <f>SUM(AQ21:AR21)</f>
        <v>160</v>
      </c>
      <c r="AT21" s="817">
        <v>150</v>
      </c>
      <c r="AU21" s="815">
        <v>142</v>
      </c>
      <c r="AV21" s="816">
        <f>SUM(AT21:AU21)</f>
        <v>292</v>
      </c>
    </row>
    <row r="22" spans="1:48" s="186" customFormat="1" ht="15" customHeight="1" x14ac:dyDescent="0.25">
      <c r="A22" s="5690"/>
      <c r="B22" s="5675"/>
      <c r="C22" s="799" t="s">
        <v>461</v>
      </c>
      <c r="D22" s="835">
        <v>138</v>
      </c>
      <c r="E22" s="836">
        <v>126</v>
      </c>
      <c r="F22" s="802">
        <v>264</v>
      </c>
      <c r="G22" s="835">
        <v>135</v>
      </c>
      <c r="H22" s="836">
        <v>95</v>
      </c>
      <c r="I22" s="802">
        <v>230</v>
      </c>
      <c r="J22" s="800">
        <v>100</v>
      </c>
      <c r="K22" s="801">
        <v>98</v>
      </c>
      <c r="L22" s="802">
        <v>198</v>
      </c>
      <c r="M22" s="800">
        <v>73</v>
      </c>
      <c r="N22" s="801">
        <v>75</v>
      </c>
      <c r="O22" s="802">
        <v>148</v>
      </c>
      <c r="P22" s="800">
        <v>75</v>
      </c>
      <c r="Q22" s="801">
        <v>70</v>
      </c>
      <c r="R22" s="802">
        <v>145</v>
      </c>
      <c r="S22" s="800">
        <v>85</v>
      </c>
      <c r="T22" s="801">
        <v>82</v>
      </c>
      <c r="U22" s="802">
        <v>167</v>
      </c>
      <c r="V22" s="800">
        <v>86</v>
      </c>
      <c r="W22" s="801">
        <v>82</v>
      </c>
      <c r="X22" s="802">
        <v>168</v>
      </c>
      <c r="Y22" s="800">
        <v>86</v>
      </c>
      <c r="Z22" s="801">
        <v>86</v>
      </c>
      <c r="AA22" s="802">
        <f t="shared" si="0"/>
        <v>172</v>
      </c>
      <c r="AB22" s="803">
        <v>101</v>
      </c>
      <c r="AC22" s="801">
        <v>97</v>
      </c>
      <c r="AD22" s="802">
        <f t="shared" si="1"/>
        <v>198</v>
      </c>
      <c r="AE22" s="803">
        <v>100</v>
      </c>
      <c r="AF22" s="801">
        <v>103</v>
      </c>
      <c r="AG22" s="802">
        <f t="shared" si="2"/>
        <v>203</v>
      </c>
      <c r="AH22" s="803">
        <v>126</v>
      </c>
      <c r="AI22" s="801">
        <v>124</v>
      </c>
      <c r="AJ22" s="802">
        <f>SUM(AH22:AI22)</f>
        <v>250</v>
      </c>
      <c r="AK22" s="803">
        <v>127</v>
      </c>
      <c r="AL22" s="801">
        <v>123</v>
      </c>
      <c r="AM22" s="802">
        <f>SUM(AK22:AL22)</f>
        <v>250</v>
      </c>
      <c r="AN22" s="803">
        <v>126</v>
      </c>
      <c r="AO22" s="801">
        <v>150</v>
      </c>
      <c r="AP22" s="802">
        <f>SUM(AN22:AO22)</f>
        <v>276</v>
      </c>
      <c r="AQ22" s="803">
        <v>125</v>
      </c>
      <c r="AR22" s="801">
        <v>158</v>
      </c>
      <c r="AS22" s="802">
        <f>SUM(AQ22:AR22)</f>
        <v>283</v>
      </c>
      <c r="AT22" s="803">
        <v>120</v>
      </c>
      <c r="AU22" s="801">
        <v>121</v>
      </c>
      <c r="AV22" s="802">
        <f>SUM(AT22:AU22)</f>
        <v>241</v>
      </c>
    </row>
    <row r="23" spans="1:48" s="186" customFormat="1" ht="15" customHeight="1" x14ac:dyDescent="0.25">
      <c r="A23" s="5690"/>
      <c r="B23" s="5675"/>
      <c r="C23" s="808" t="s">
        <v>462</v>
      </c>
      <c r="D23" s="841">
        <v>70</v>
      </c>
      <c r="E23" s="840">
        <v>71</v>
      </c>
      <c r="F23" s="811">
        <v>141</v>
      </c>
      <c r="G23" s="841">
        <v>52</v>
      </c>
      <c r="H23" s="840">
        <v>70</v>
      </c>
      <c r="I23" s="811">
        <v>122</v>
      </c>
      <c r="J23" s="809">
        <v>65</v>
      </c>
      <c r="K23" s="810">
        <v>61</v>
      </c>
      <c r="L23" s="811">
        <v>126</v>
      </c>
      <c r="M23" s="809">
        <v>56</v>
      </c>
      <c r="N23" s="810">
        <v>55</v>
      </c>
      <c r="O23" s="811">
        <v>111</v>
      </c>
      <c r="P23" s="809">
        <v>56</v>
      </c>
      <c r="Q23" s="810">
        <v>55</v>
      </c>
      <c r="R23" s="811">
        <v>111</v>
      </c>
      <c r="S23" s="809">
        <v>55</v>
      </c>
      <c r="T23" s="810">
        <v>55</v>
      </c>
      <c r="U23" s="811">
        <v>110</v>
      </c>
      <c r="V23" s="809">
        <v>70</v>
      </c>
      <c r="W23" s="810">
        <v>70</v>
      </c>
      <c r="X23" s="811">
        <v>140</v>
      </c>
      <c r="Y23" s="809">
        <v>69</v>
      </c>
      <c r="Z23" s="810">
        <v>73</v>
      </c>
      <c r="AA23" s="811">
        <f t="shared" si="0"/>
        <v>142</v>
      </c>
      <c r="AB23" s="812">
        <v>73</v>
      </c>
      <c r="AC23" s="810">
        <v>74</v>
      </c>
      <c r="AD23" s="811">
        <f t="shared" si="1"/>
        <v>147</v>
      </c>
      <c r="AE23" s="812">
        <v>75</v>
      </c>
      <c r="AF23" s="810">
        <v>74</v>
      </c>
      <c r="AG23" s="811">
        <f t="shared" si="2"/>
        <v>149</v>
      </c>
      <c r="AH23" s="812">
        <v>76</v>
      </c>
      <c r="AI23" s="810">
        <v>73</v>
      </c>
      <c r="AJ23" s="811">
        <f>SUM(AH23:AI23)</f>
        <v>149</v>
      </c>
      <c r="AK23" s="812">
        <v>76</v>
      </c>
      <c r="AL23" s="810">
        <v>74</v>
      </c>
      <c r="AM23" s="811">
        <f>SUM(AK23:AL23)</f>
        <v>150</v>
      </c>
      <c r="AN23" s="812">
        <v>74</v>
      </c>
      <c r="AO23" s="810">
        <v>99</v>
      </c>
      <c r="AP23" s="811">
        <f>SUM(AN23:AO23)</f>
        <v>173</v>
      </c>
      <c r="AQ23" s="812">
        <v>81</v>
      </c>
      <c r="AR23" s="810">
        <v>100</v>
      </c>
      <c r="AS23" s="811">
        <f>SUM(AQ23:AR23)</f>
        <v>181</v>
      </c>
      <c r="AT23" s="812">
        <v>89</v>
      </c>
      <c r="AU23" s="810">
        <v>87</v>
      </c>
      <c r="AV23" s="811">
        <f>SUM(AT23:AU23)</f>
        <v>176</v>
      </c>
    </row>
    <row r="24" spans="1:48" s="186" customFormat="1" ht="15" customHeight="1" x14ac:dyDescent="0.25">
      <c r="A24" s="5690"/>
      <c r="B24" s="5675"/>
      <c r="C24" s="849" t="s">
        <v>160</v>
      </c>
      <c r="D24" s="850">
        <f>SUM(D21:D23)</f>
        <v>329</v>
      </c>
      <c r="E24" s="851">
        <f t="shared" ref="E24:AG24" si="14">SUM(E21:E23)</f>
        <v>356</v>
      </c>
      <c r="F24" s="852">
        <f t="shared" si="14"/>
        <v>685</v>
      </c>
      <c r="G24" s="850">
        <f t="shared" si="14"/>
        <v>312</v>
      </c>
      <c r="H24" s="851">
        <f t="shared" si="14"/>
        <v>324</v>
      </c>
      <c r="I24" s="852">
        <f t="shared" si="14"/>
        <v>636</v>
      </c>
      <c r="J24" s="850">
        <f t="shared" si="14"/>
        <v>298</v>
      </c>
      <c r="K24" s="851">
        <f t="shared" si="14"/>
        <v>269</v>
      </c>
      <c r="L24" s="852">
        <f t="shared" si="14"/>
        <v>567</v>
      </c>
      <c r="M24" s="850">
        <f t="shared" si="14"/>
        <v>253</v>
      </c>
      <c r="N24" s="851">
        <f t="shared" si="14"/>
        <v>247</v>
      </c>
      <c r="O24" s="852">
        <f t="shared" si="14"/>
        <v>500</v>
      </c>
      <c r="P24" s="850">
        <f t="shared" si="14"/>
        <v>267</v>
      </c>
      <c r="Q24" s="851">
        <f t="shared" si="14"/>
        <v>246</v>
      </c>
      <c r="R24" s="852">
        <f t="shared" si="14"/>
        <v>513</v>
      </c>
      <c r="S24" s="850">
        <f t="shared" si="14"/>
        <v>274</v>
      </c>
      <c r="T24" s="851">
        <f t="shared" si="14"/>
        <v>274</v>
      </c>
      <c r="U24" s="852">
        <f t="shared" si="14"/>
        <v>548</v>
      </c>
      <c r="V24" s="850">
        <f t="shared" si="14"/>
        <v>269</v>
      </c>
      <c r="W24" s="851">
        <f t="shared" si="14"/>
        <v>256</v>
      </c>
      <c r="X24" s="852">
        <f t="shared" si="14"/>
        <v>525</v>
      </c>
      <c r="Y24" s="850">
        <f t="shared" si="14"/>
        <v>267</v>
      </c>
      <c r="Z24" s="851">
        <f t="shared" si="14"/>
        <v>266</v>
      </c>
      <c r="AA24" s="852">
        <f t="shared" si="14"/>
        <v>533</v>
      </c>
      <c r="AB24" s="850">
        <f t="shared" si="14"/>
        <v>272</v>
      </c>
      <c r="AC24" s="851">
        <f t="shared" si="14"/>
        <v>261</v>
      </c>
      <c r="AD24" s="852">
        <f t="shared" si="14"/>
        <v>533</v>
      </c>
      <c r="AE24" s="850">
        <f t="shared" si="14"/>
        <v>273</v>
      </c>
      <c r="AF24" s="851">
        <f t="shared" si="14"/>
        <v>274</v>
      </c>
      <c r="AG24" s="852">
        <f t="shared" si="14"/>
        <v>547</v>
      </c>
      <c r="AH24" s="850">
        <f t="shared" ref="AH24:AM24" si="15">SUM(AH21:AH23)</f>
        <v>300</v>
      </c>
      <c r="AI24" s="851">
        <f t="shared" si="15"/>
        <v>287</v>
      </c>
      <c r="AJ24" s="852">
        <f t="shared" si="15"/>
        <v>587</v>
      </c>
      <c r="AK24" s="850">
        <f t="shared" si="15"/>
        <v>304</v>
      </c>
      <c r="AL24" s="851">
        <f t="shared" si="15"/>
        <v>292</v>
      </c>
      <c r="AM24" s="852">
        <f t="shared" si="15"/>
        <v>596</v>
      </c>
      <c r="AN24" s="850">
        <f t="shared" ref="AN24:AV24" si="16">SUM(AN21:AN23)</f>
        <v>299</v>
      </c>
      <c r="AO24" s="851">
        <f t="shared" si="16"/>
        <v>346</v>
      </c>
      <c r="AP24" s="852">
        <f t="shared" si="16"/>
        <v>645</v>
      </c>
      <c r="AQ24" s="850">
        <f t="shared" si="16"/>
        <v>280</v>
      </c>
      <c r="AR24" s="851">
        <f t="shared" si="16"/>
        <v>344</v>
      </c>
      <c r="AS24" s="852">
        <f t="shared" si="16"/>
        <v>624</v>
      </c>
      <c r="AT24" s="850">
        <f t="shared" si="16"/>
        <v>359</v>
      </c>
      <c r="AU24" s="851">
        <f t="shared" si="16"/>
        <v>350</v>
      </c>
      <c r="AV24" s="852">
        <f t="shared" si="16"/>
        <v>709</v>
      </c>
    </row>
    <row r="25" spans="1:48" s="186" customFormat="1" ht="15" customHeight="1" x14ac:dyDescent="0.25">
      <c r="A25" s="5767"/>
      <c r="B25" s="3539"/>
      <c r="C25" s="2257" t="s">
        <v>444</v>
      </c>
      <c r="D25" s="2258">
        <f>SUM(D24,D20,D15)</f>
        <v>1193</v>
      </c>
      <c r="E25" s="2259">
        <f t="shared" ref="E25:AG25" si="17">SUM(E24,E20,E15)</f>
        <v>1588</v>
      </c>
      <c r="F25" s="2260">
        <f t="shared" si="17"/>
        <v>2781</v>
      </c>
      <c r="G25" s="2258">
        <f t="shared" si="17"/>
        <v>1426</v>
      </c>
      <c r="H25" s="2259">
        <f t="shared" si="17"/>
        <v>1853</v>
      </c>
      <c r="I25" s="2260">
        <f t="shared" si="17"/>
        <v>3279</v>
      </c>
      <c r="J25" s="2258">
        <f t="shared" si="17"/>
        <v>1407</v>
      </c>
      <c r="K25" s="2259">
        <f t="shared" si="17"/>
        <v>1525</v>
      </c>
      <c r="L25" s="2260">
        <f t="shared" si="17"/>
        <v>2932</v>
      </c>
      <c r="M25" s="2258">
        <f t="shared" si="17"/>
        <v>1357</v>
      </c>
      <c r="N25" s="2259">
        <f t="shared" si="17"/>
        <v>1599</v>
      </c>
      <c r="O25" s="2260">
        <f t="shared" si="17"/>
        <v>2956</v>
      </c>
      <c r="P25" s="2258">
        <f t="shared" si="17"/>
        <v>1444</v>
      </c>
      <c r="Q25" s="2259">
        <f t="shared" si="17"/>
        <v>1486</v>
      </c>
      <c r="R25" s="2260">
        <f t="shared" si="17"/>
        <v>2930</v>
      </c>
      <c r="S25" s="2258">
        <f t="shared" si="17"/>
        <v>1580</v>
      </c>
      <c r="T25" s="2259">
        <f t="shared" si="17"/>
        <v>1738</v>
      </c>
      <c r="U25" s="2260">
        <f t="shared" si="17"/>
        <v>3318</v>
      </c>
      <c r="V25" s="2258">
        <f t="shared" si="17"/>
        <v>1517</v>
      </c>
      <c r="W25" s="2259">
        <f t="shared" si="17"/>
        <v>1598</v>
      </c>
      <c r="X25" s="2260">
        <f t="shared" si="17"/>
        <v>3115</v>
      </c>
      <c r="Y25" s="2258">
        <f t="shared" si="17"/>
        <v>1659</v>
      </c>
      <c r="Z25" s="2259">
        <f t="shared" si="17"/>
        <v>1670</v>
      </c>
      <c r="AA25" s="2260">
        <f t="shared" si="17"/>
        <v>3329</v>
      </c>
      <c r="AB25" s="2258">
        <f t="shared" si="17"/>
        <v>1722</v>
      </c>
      <c r="AC25" s="2259">
        <f t="shared" si="17"/>
        <v>1304</v>
      </c>
      <c r="AD25" s="2260">
        <f t="shared" si="17"/>
        <v>3026</v>
      </c>
      <c r="AE25" s="2258">
        <f t="shared" si="17"/>
        <v>1331</v>
      </c>
      <c r="AF25" s="2259">
        <f t="shared" si="17"/>
        <v>1381</v>
      </c>
      <c r="AG25" s="2260">
        <f t="shared" si="17"/>
        <v>2712</v>
      </c>
      <c r="AH25" s="2258">
        <f t="shared" ref="AH25:AM25" si="18">SUM(AH24,AH20,AH15)</f>
        <v>1457</v>
      </c>
      <c r="AI25" s="2259">
        <f t="shared" si="18"/>
        <v>1408</v>
      </c>
      <c r="AJ25" s="2260">
        <f t="shared" si="18"/>
        <v>2865</v>
      </c>
      <c r="AK25" s="2258">
        <f t="shared" si="18"/>
        <v>1352</v>
      </c>
      <c r="AL25" s="2259">
        <f t="shared" si="18"/>
        <v>1524</v>
      </c>
      <c r="AM25" s="2260">
        <f t="shared" si="18"/>
        <v>2876</v>
      </c>
      <c r="AN25" s="2258">
        <f t="shared" ref="AN25:AV25" si="19">SUM(AN24,AN20,AN15)</f>
        <v>1249</v>
      </c>
      <c r="AO25" s="2259">
        <f t="shared" si="19"/>
        <v>1591</v>
      </c>
      <c r="AP25" s="2260">
        <f t="shared" si="19"/>
        <v>2840</v>
      </c>
      <c r="AQ25" s="2258">
        <f t="shared" si="19"/>
        <v>1386</v>
      </c>
      <c r="AR25" s="2259">
        <f t="shared" si="19"/>
        <v>1581</v>
      </c>
      <c r="AS25" s="2260">
        <f t="shared" si="19"/>
        <v>2967</v>
      </c>
      <c r="AT25" s="2258">
        <f t="shared" si="19"/>
        <v>1457</v>
      </c>
      <c r="AU25" s="2259">
        <f t="shared" si="19"/>
        <v>1544</v>
      </c>
      <c r="AV25" s="2260">
        <f t="shared" si="19"/>
        <v>3001</v>
      </c>
    </row>
    <row r="26" spans="1:48" s="186" customFormat="1" ht="15" customHeight="1" x14ac:dyDescent="0.25">
      <c r="A26" s="5686" t="s">
        <v>441</v>
      </c>
      <c r="B26" s="5677" t="s">
        <v>5</v>
      </c>
      <c r="C26" s="793" t="s">
        <v>463</v>
      </c>
      <c r="D26" s="833">
        <v>39</v>
      </c>
      <c r="E26" s="834">
        <v>66</v>
      </c>
      <c r="F26" s="796">
        <v>105</v>
      </c>
      <c r="G26" s="833">
        <v>32</v>
      </c>
      <c r="H26" s="834">
        <v>66</v>
      </c>
      <c r="I26" s="796">
        <v>98</v>
      </c>
      <c r="J26" s="794">
        <v>45</v>
      </c>
      <c r="K26" s="795">
        <v>71</v>
      </c>
      <c r="L26" s="796">
        <v>116</v>
      </c>
      <c r="M26" s="794">
        <v>58</v>
      </c>
      <c r="N26" s="795">
        <v>59</v>
      </c>
      <c r="O26" s="796">
        <v>117</v>
      </c>
      <c r="P26" s="794">
        <v>25</v>
      </c>
      <c r="Q26" s="795">
        <v>52</v>
      </c>
      <c r="R26" s="796">
        <v>77</v>
      </c>
      <c r="S26" s="794">
        <v>34</v>
      </c>
      <c r="T26" s="795">
        <v>68</v>
      </c>
      <c r="U26" s="796">
        <v>102</v>
      </c>
      <c r="V26" s="794">
        <v>28</v>
      </c>
      <c r="W26" s="795">
        <v>77</v>
      </c>
      <c r="X26" s="796">
        <v>105</v>
      </c>
      <c r="Y26" s="794"/>
      <c r="Z26" s="795">
        <v>101</v>
      </c>
      <c r="AA26" s="796">
        <f t="shared" si="0"/>
        <v>101</v>
      </c>
      <c r="AB26" s="797"/>
      <c r="AC26" s="795">
        <v>99</v>
      </c>
      <c r="AD26" s="796">
        <f t="shared" si="1"/>
        <v>99</v>
      </c>
      <c r="AE26" s="797"/>
      <c r="AF26" s="795">
        <v>112</v>
      </c>
      <c r="AG26" s="796">
        <f t="shared" si="2"/>
        <v>112</v>
      </c>
      <c r="AH26" s="797"/>
      <c r="AI26" s="795">
        <v>128</v>
      </c>
      <c r="AJ26" s="796">
        <f t="shared" ref="AJ26:AJ34" si="20">SUM(AH26:AI26)</f>
        <v>128</v>
      </c>
      <c r="AK26" s="797"/>
      <c r="AL26" s="795">
        <v>115</v>
      </c>
      <c r="AM26" s="796">
        <f t="shared" ref="AM26:AM34" si="21">SUM(AK26:AL26)</f>
        <v>115</v>
      </c>
      <c r="AN26" s="797"/>
      <c r="AO26" s="795">
        <v>127</v>
      </c>
      <c r="AP26" s="796">
        <f t="shared" ref="AP26:AP34" si="22">SUM(AN26:AO26)</f>
        <v>127</v>
      </c>
      <c r="AQ26" s="797"/>
      <c r="AR26" s="795">
        <v>110</v>
      </c>
      <c r="AS26" s="796">
        <f t="shared" ref="AS26:AS35" si="23">SUM(AQ26:AR26)</f>
        <v>110</v>
      </c>
      <c r="AT26" s="797"/>
      <c r="AU26" s="795">
        <v>82</v>
      </c>
      <c r="AV26" s="796">
        <f t="shared" ref="AV26:AV35" si="24">SUM(AT26:AU26)</f>
        <v>82</v>
      </c>
    </row>
    <row r="27" spans="1:48" s="186" customFormat="1" ht="15" customHeight="1" x14ac:dyDescent="0.25">
      <c r="A27" s="5687"/>
      <c r="B27" s="5678"/>
      <c r="C27" s="799" t="s">
        <v>464</v>
      </c>
      <c r="D27" s="835">
        <v>10</v>
      </c>
      <c r="E27" s="836">
        <v>7</v>
      </c>
      <c r="F27" s="802">
        <v>17</v>
      </c>
      <c r="G27" s="835">
        <v>4</v>
      </c>
      <c r="H27" s="836">
        <v>13</v>
      </c>
      <c r="I27" s="802">
        <v>17</v>
      </c>
      <c r="J27" s="800">
        <v>7</v>
      </c>
      <c r="K27" s="801">
        <v>11</v>
      </c>
      <c r="L27" s="802">
        <v>18</v>
      </c>
      <c r="M27" s="800">
        <v>8</v>
      </c>
      <c r="N27" s="801">
        <v>5</v>
      </c>
      <c r="O27" s="802">
        <v>13</v>
      </c>
      <c r="P27" s="800">
        <v>10</v>
      </c>
      <c r="Q27" s="801">
        <v>18</v>
      </c>
      <c r="R27" s="802">
        <v>28</v>
      </c>
      <c r="S27" s="800"/>
      <c r="T27" s="801">
        <v>26</v>
      </c>
      <c r="U27" s="802">
        <v>26</v>
      </c>
      <c r="V27" s="800"/>
      <c r="W27" s="801">
        <v>17</v>
      </c>
      <c r="X27" s="802">
        <v>17</v>
      </c>
      <c r="Y27" s="800"/>
      <c r="Z27" s="801">
        <v>17</v>
      </c>
      <c r="AA27" s="802">
        <f t="shared" si="0"/>
        <v>17</v>
      </c>
      <c r="AB27" s="803"/>
      <c r="AC27" s="801">
        <v>30</v>
      </c>
      <c r="AD27" s="802">
        <f t="shared" si="1"/>
        <v>30</v>
      </c>
      <c r="AE27" s="803"/>
      <c r="AF27" s="801">
        <v>38</v>
      </c>
      <c r="AG27" s="802">
        <f t="shared" si="2"/>
        <v>38</v>
      </c>
      <c r="AH27" s="803"/>
      <c r="AI27" s="801">
        <v>30</v>
      </c>
      <c r="AJ27" s="802">
        <f t="shared" si="20"/>
        <v>30</v>
      </c>
      <c r="AK27" s="803"/>
      <c r="AL27" s="801">
        <v>35</v>
      </c>
      <c r="AM27" s="802">
        <f t="shared" si="21"/>
        <v>35</v>
      </c>
      <c r="AN27" s="803"/>
      <c r="AO27" s="801">
        <v>30</v>
      </c>
      <c r="AP27" s="802">
        <f t="shared" si="22"/>
        <v>30</v>
      </c>
      <c r="AQ27" s="803"/>
      <c r="AR27" s="801">
        <v>19</v>
      </c>
      <c r="AS27" s="802">
        <f t="shared" si="23"/>
        <v>19</v>
      </c>
      <c r="AT27" s="803"/>
      <c r="AU27" s="801">
        <v>19</v>
      </c>
      <c r="AV27" s="802">
        <f t="shared" si="24"/>
        <v>19</v>
      </c>
    </row>
    <row r="28" spans="1:48" s="186" customFormat="1" ht="15" customHeight="1" x14ac:dyDescent="0.25">
      <c r="A28" s="5687"/>
      <c r="B28" s="5678"/>
      <c r="C28" s="799" t="s">
        <v>453</v>
      </c>
      <c r="D28" s="835">
        <v>18</v>
      </c>
      <c r="E28" s="836">
        <v>28</v>
      </c>
      <c r="F28" s="802">
        <v>46</v>
      </c>
      <c r="G28" s="835">
        <v>26</v>
      </c>
      <c r="H28" s="836">
        <v>38</v>
      </c>
      <c r="I28" s="802">
        <v>64</v>
      </c>
      <c r="J28" s="800">
        <v>22</v>
      </c>
      <c r="K28" s="801">
        <v>60</v>
      </c>
      <c r="L28" s="802">
        <v>82</v>
      </c>
      <c r="M28" s="800">
        <v>27</v>
      </c>
      <c r="N28" s="801">
        <v>53</v>
      </c>
      <c r="O28" s="802">
        <v>80</v>
      </c>
      <c r="P28" s="800">
        <v>25</v>
      </c>
      <c r="Q28" s="801">
        <v>37</v>
      </c>
      <c r="R28" s="802">
        <v>62</v>
      </c>
      <c r="S28" s="800">
        <v>31</v>
      </c>
      <c r="T28" s="801">
        <v>56</v>
      </c>
      <c r="U28" s="802">
        <v>87</v>
      </c>
      <c r="V28" s="800">
        <v>25</v>
      </c>
      <c r="W28" s="801">
        <v>50</v>
      </c>
      <c r="X28" s="802">
        <v>75</v>
      </c>
      <c r="Y28" s="800">
        <v>37</v>
      </c>
      <c r="Z28" s="801">
        <v>74</v>
      </c>
      <c r="AA28" s="802">
        <f t="shared" si="0"/>
        <v>111</v>
      </c>
      <c r="AB28" s="803">
        <v>37</v>
      </c>
      <c r="AC28" s="801">
        <v>61</v>
      </c>
      <c r="AD28" s="802">
        <f t="shared" si="1"/>
        <v>98</v>
      </c>
      <c r="AE28" s="803">
        <v>50</v>
      </c>
      <c r="AF28" s="801">
        <v>63</v>
      </c>
      <c r="AG28" s="802">
        <f t="shared" si="2"/>
        <v>113</v>
      </c>
      <c r="AH28" s="803">
        <v>67</v>
      </c>
      <c r="AI28" s="801">
        <v>80</v>
      </c>
      <c r="AJ28" s="802">
        <f t="shared" si="20"/>
        <v>147</v>
      </c>
      <c r="AK28" s="803">
        <v>53</v>
      </c>
      <c r="AL28" s="801">
        <v>54</v>
      </c>
      <c r="AM28" s="802">
        <f t="shared" si="21"/>
        <v>107</v>
      </c>
      <c r="AN28" s="803">
        <v>44</v>
      </c>
      <c r="AO28" s="801">
        <v>60</v>
      </c>
      <c r="AP28" s="802">
        <f t="shared" si="22"/>
        <v>104</v>
      </c>
      <c r="AQ28" s="803">
        <v>51</v>
      </c>
      <c r="AR28" s="801">
        <v>55</v>
      </c>
      <c r="AS28" s="802">
        <f t="shared" si="23"/>
        <v>106</v>
      </c>
      <c r="AT28" s="803"/>
      <c r="AU28" s="801">
        <v>68</v>
      </c>
      <c r="AV28" s="802">
        <f t="shared" si="24"/>
        <v>68</v>
      </c>
    </row>
    <row r="29" spans="1:48" s="186" customFormat="1" ht="15" customHeight="1" x14ac:dyDescent="0.25">
      <c r="A29" s="5687"/>
      <c r="B29" s="5678"/>
      <c r="C29" s="799" t="s">
        <v>465</v>
      </c>
      <c r="D29" s="835">
        <v>22</v>
      </c>
      <c r="E29" s="836">
        <v>32</v>
      </c>
      <c r="F29" s="802">
        <v>54</v>
      </c>
      <c r="G29" s="835">
        <v>17</v>
      </c>
      <c r="H29" s="836">
        <v>23</v>
      </c>
      <c r="I29" s="802">
        <v>40</v>
      </c>
      <c r="J29" s="800">
        <v>32</v>
      </c>
      <c r="K29" s="801">
        <v>31</v>
      </c>
      <c r="L29" s="802">
        <v>63</v>
      </c>
      <c r="M29" s="800">
        <v>24</v>
      </c>
      <c r="N29" s="801">
        <v>20</v>
      </c>
      <c r="O29" s="802">
        <v>44</v>
      </c>
      <c r="P29" s="800">
        <v>13</v>
      </c>
      <c r="Q29" s="801">
        <v>35</v>
      </c>
      <c r="R29" s="802">
        <v>48</v>
      </c>
      <c r="S29" s="800">
        <v>26</v>
      </c>
      <c r="T29" s="801">
        <v>48</v>
      </c>
      <c r="U29" s="802">
        <v>74</v>
      </c>
      <c r="V29" s="800">
        <v>21</v>
      </c>
      <c r="W29" s="801">
        <v>47</v>
      </c>
      <c r="X29" s="802">
        <v>68</v>
      </c>
      <c r="Y29" s="800">
        <v>41</v>
      </c>
      <c r="Z29" s="801">
        <v>60</v>
      </c>
      <c r="AA29" s="802">
        <f t="shared" si="0"/>
        <v>101</v>
      </c>
      <c r="AB29" s="803">
        <v>65</v>
      </c>
      <c r="AC29" s="801">
        <v>55</v>
      </c>
      <c r="AD29" s="802">
        <f t="shared" si="1"/>
        <v>120</v>
      </c>
      <c r="AE29" s="803">
        <v>46</v>
      </c>
      <c r="AF29" s="801">
        <v>58</v>
      </c>
      <c r="AG29" s="802">
        <f t="shared" si="2"/>
        <v>104</v>
      </c>
      <c r="AH29" s="803">
        <v>81</v>
      </c>
      <c r="AI29" s="801">
        <v>56</v>
      </c>
      <c r="AJ29" s="802">
        <f t="shared" si="20"/>
        <v>137</v>
      </c>
      <c r="AK29" s="803">
        <v>52</v>
      </c>
      <c r="AL29" s="801">
        <v>56</v>
      </c>
      <c r="AM29" s="802">
        <f t="shared" si="21"/>
        <v>108</v>
      </c>
      <c r="AN29" s="803">
        <v>61</v>
      </c>
      <c r="AO29" s="801">
        <v>53</v>
      </c>
      <c r="AP29" s="802">
        <f t="shared" si="22"/>
        <v>114</v>
      </c>
      <c r="AQ29" s="803">
        <v>51</v>
      </c>
      <c r="AR29" s="801">
        <v>49</v>
      </c>
      <c r="AS29" s="802">
        <f t="shared" si="23"/>
        <v>100</v>
      </c>
      <c r="AT29" s="803"/>
      <c r="AU29" s="801">
        <v>68</v>
      </c>
      <c r="AV29" s="802">
        <f t="shared" si="24"/>
        <v>68</v>
      </c>
    </row>
    <row r="30" spans="1:48" s="186" customFormat="1" ht="15" customHeight="1" x14ac:dyDescent="0.25">
      <c r="A30" s="5687"/>
      <c r="B30" s="5678"/>
      <c r="C30" s="799" t="s">
        <v>466</v>
      </c>
      <c r="D30" s="835">
        <v>7</v>
      </c>
      <c r="E30" s="836">
        <v>21</v>
      </c>
      <c r="F30" s="802">
        <v>28</v>
      </c>
      <c r="G30" s="835">
        <v>7</v>
      </c>
      <c r="H30" s="836">
        <v>24</v>
      </c>
      <c r="I30" s="802">
        <v>31</v>
      </c>
      <c r="J30" s="800">
        <v>13</v>
      </c>
      <c r="K30" s="801">
        <v>29</v>
      </c>
      <c r="L30" s="802">
        <v>42</v>
      </c>
      <c r="M30" s="800">
        <v>17</v>
      </c>
      <c r="N30" s="801">
        <v>21</v>
      </c>
      <c r="O30" s="802">
        <v>38</v>
      </c>
      <c r="P30" s="800">
        <v>20</v>
      </c>
      <c r="Q30" s="801">
        <v>27</v>
      </c>
      <c r="R30" s="802">
        <v>47</v>
      </c>
      <c r="S30" s="800">
        <v>14</v>
      </c>
      <c r="T30" s="801">
        <v>36</v>
      </c>
      <c r="U30" s="802">
        <v>50</v>
      </c>
      <c r="V30" s="800">
        <v>19</v>
      </c>
      <c r="W30" s="801">
        <v>35</v>
      </c>
      <c r="X30" s="802">
        <v>54</v>
      </c>
      <c r="Y30" s="800">
        <v>30</v>
      </c>
      <c r="Z30" s="801">
        <v>60</v>
      </c>
      <c r="AA30" s="802">
        <f t="shared" si="0"/>
        <v>90</v>
      </c>
      <c r="AB30" s="803">
        <v>45</v>
      </c>
      <c r="AC30" s="801">
        <v>76</v>
      </c>
      <c r="AD30" s="802">
        <f t="shared" si="1"/>
        <v>121</v>
      </c>
      <c r="AE30" s="803">
        <v>60</v>
      </c>
      <c r="AF30" s="801">
        <v>69</v>
      </c>
      <c r="AG30" s="802">
        <f t="shared" si="2"/>
        <v>129</v>
      </c>
      <c r="AH30" s="803">
        <v>52</v>
      </c>
      <c r="AI30" s="801">
        <v>64</v>
      </c>
      <c r="AJ30" s="802">
        <f t="shared" si="20"/>
        <v>116</v>
      </c>
      <c r="AK30" s="803">
        <v>47</v>
      </c>
      <c r="AL30" s="801">
        <v>63</v>
      </c>
      <c r="AM30" s="802">
        <f t="shared" si="21"/>
        <v>110</v>
      </c>
      <c r="AN30" s="803">
        <v>52</v>
      </c>
      <c r="AO30" s="801">
        <v>69</v>
      </c>
      <c r="AP30" s="802">
        <f t="shared" si="22"/>
        <v>121</v>
      </c>
      <c r="AQ30" s="803"/>
      <c r="AR30" s="801">
        <v>103</v>
      </c>
      <c r="AS30" s="802">
        <f t="shared" si="23"/>
        <v>103</v>
      </c>
      <c r="AT30" s="803"/>
      <c r="AU30" s="801">
        <v>88</v>
      </c>
      <c r="AV30" s="802">
        <f t="shared" si="24"/>
        <v>88</v>
      </c>
    </row>
    <row r="31" spans="1:48" s="186" customFormat="1" ht="15" customHeight="1" x14ac:dyDescent="0.25">
      <c r="A31" s="5687"/>
      <c r="B31" s="5678"/>
      <c r="C31" s="799" t="s">
        <v>454</v>
      </c>
      <c r="D31" s="835">
        <v>64</v>
      </c>
      <c r="E31" s="836">
        <v>47</v>
      </c>
      <c r="F31" s="802">
        <v>111</v>
      </c>
      <c r="G31" s="835">
        <v>50</v>
      </c>
      <c r="H31" s="836">
        <v>82</v>
      </c>
      <c r="I31" s="802">
        <v>132</v>
      </c>
      <c r="J31" s="800">
        <v>57</v>
      </c>
      <c r="K31" s="801">
        <v>67</v>
      </c>
      <c r="L31" s="802">
        <v>124</v>
      </c>
      <c r="M31" s="800">
        <v>75</v>
      </c>
      <c r="N31" s="801">
        <v>82</v>
      </c>
      <c r="O31" s="802">
        <v>157</v>
      </c>
      <c r="P31" s="800">
        <v>55</v>
      </c>
      <c r="Q31" s="801">
        <v>51</v>
      </c>
      <c r="R31" s="802">
        <v>106</v>
      </c>
      <c r="S31" s="800">
        <v>37</v>
      </c>
      <c r="T31" s="801">
        <v>73</v>
      </c>
      <c r="U31" s="802">
        <v>110</v>
      </c>
      <c r="V31" s="800">
        <v>41</v>
      </c>
      <c r="W31" s="801">
        <v>52</v>
      </c>
      <c r="X31" s="802">
        <v>93</v>
      </c>
      <c r="Y31" s="800"/>
      <c r="Z31" s="801">
        <v>91</v>
      </c>
      <c r="AA31" s="802">
        <f t="shared" si="0"/>
        <v>91</v>
      </c>
      <c r="AB31" s="803"/>
      <c r="AC31" s="801">
        <v>88</v>
      </c>
      <c r="AD31" s="802">
        <f t="shared" si="1"/>
        <v>88</v>
      </c>
      <c r="AE31" s="803"/>
      <c r="AF31" s="801">
        <v>92</v>
      </c>
      <c r="AG31" s="802">
        <f t="shared" si="2"/>
        <v>92</v>
      </c>
      <c r="AH31" s="803"/>
      <c r="AI31" s="801">
        <v>116</v>
      </c>
      <c r="AJ31" s="802">
        <f t="shared" si="20"/>
        <v>116</v>
      </c>
      <c r="AK31" s="803"/>
      <c r="AL31" s="801">
        <v>82</v>
      </c>
      <c r="AM31" s="802">
        <f t="shared" si="21"/>
        <v>82</v>
      </c>
      <c r="AN31" s="803"/>
      <c r="AO31" s="801">
        <v>73</v>
      </c>
      <c r="AP31" s="802">
        <f t="shared" si="22"/>
        <v>73</v>
      </c>
      <c r="AQ31" s="803"/>
      <c r="AR31" s="801">
        <v>82</v>
      </c>
      <c r="AS31" s="802">
        <f t="shared" si="23"/>
        <v>82</v>
      </c>
      <c r="AT31" s="803"/>
      <c r="AU31" s="801">
        <v>65</v>
      </c>
      <c r="AV31" s="802">
        <f t="shared" si="24"/>
        <v>65</v>
      </c>
    </row>
    <row r="32" spans="1:48" s="186" customFormat="1" ht="15" customHeight="1" x14ac:dyDescent="0.25">
      <c r="A32" s="5687"/>
      <c r="B32" s="5678"/>
      <c r="C32" s="799" t="s">
        <v>467</v>
      </c>
      <c r="D32" s="835">
        <v>38</v>
      </c>
      <c r="E32" s="836">
        <v>62</v>
      </c>
      <c r="F32" s="802">
        <v>100</v>
      </c>
      <c r="G32" s="835">
        <v>32</v>
      </c>
      <c r="H32" s="836">
        <v>65</v>
      </c>
      <c r="I32" s="802">
        <v>97</v>
      </c>
      <c r="J32" s="800">
        <v>21</v>
      </c>
      <c r="K32" s="801">
        <v>58</v>
      </c>
      <c r="L32" s="802">
        <v>79</v>
      </c>
      <c r="M32" s="800">
        <v>50</v>
      </c>
      <c r="N32" s="801">
        <v>53</v>
      </c>
      <c r="O32" s="802">
        <v>103</v>
      </c>
      <c r="P32" s="800">
        <v>26</v>
      </c>
      <c r="Q32" s="801">
        <v>41</v>
      </c>
      <c r="R32" s="802">
        <v>67</v>
      </c>
      <c r="S32" s="800">
        <v>41</v>
      </c>
      <c r="T32" s="801">
        <v>65</v>
      </c>
      <c r="U32" s="802">
        <v>106</v>
      </c>
      <c r="V32" s="800">
        <v>25</v>
      </c>
      <c r="W32" s="801">
        <v>54</v>
      </c>
      <c r="X32" s="802">
        <v>79</v>
      </c>
      <c r="Y32" s="800"/>
      <c r="Z32" s="801">
        <v>72</v>
      </c>
      <c r="AA32" s="802">
        <f t="shared" si="0"/>
        <v>72</v>
      </c>
      <c r="AB32" s="803"/>
      <c r="AC32" s="801">
        <v>49</v>
      </c>
      <c r="AD32" s="802">
        <f t="shared" si="1"/>
        <v>49</v>
      </c>
      <c r="AE32" s="803"/>
      <c r="AF32" s="801">
        <v>56</v>
      </c>
      <c r="AG32" s="802">
        <f t="shared" si="2"/>
        <v>56</v>
      </c>
      <c r="AH32" s="803"/>
      <c r="AI32" s="801">
        <v>89</v>
      </c>
      <c r="AJ32" s="802">
        <f t="shared" si="20"/>
        <v>89</v>
      </c>
      <c r="AK32" s="803"/>
      <c r="AL32" s="801">
        <v>92</v>
      </c>
      <c r="AM32" s="802">
        <f t="shared" si="21"/>
        <v>92</v>
      </c>
      <c r="AN32" s="803"/>
      <c r="AO32" s="801">
        <v>95</v>
      </c>
      <c r="AP32" s="802">
        <f t="shared" si="22"/>
        <v>95</v>
      </c>
      <c r="AQ32" s="803"/>
      <c r="AR32" s="801">
        <v>104</v>
      </c>
      <c r="AS32" s="802">
        <f t="shared" si="23"/>
        <v>104</v>
      </c>
      <c r="AT32" s="803"/>
      <c r="AU32" s="801">
        <v>82</v>
      </c>
      <c r="AV32" s="802">
        <f t="shared" si="24"/>
        <v>82</v>
      </c>
    </row>
    <row r="33" spans="1:48" s="186" customFormat="1" ht="15" customHeight="1" x14ac:dyDescent="0.25">
      <c r="A33" s="5687"/>
      <c r="B33" s="5678"/>
      <c r="C33" s="799" t="s">
        <v>468</v>
      </c>
      <c r="D33" s="835">
        <v>6</v>
      </c>
      <c r="E33" s="836">
        <v>14</v>
      </c>
      <c r="F33" s="802">
        <v>20</v>
      </c>
      <c r="G33" s="835">
        <v>6</v>
      </c>
      <c r="H33" s="836">
        <v>6</v>
      </c>
      <c r="I33" s="802">
        <v>12</v>
      </c>
      <c r="J33" s="800">
        <v>6</v>
      </c>
      <c r="K33" s="801">
        <v>21</v>
      </c>
      <c r="L33" s="802">
        <v>27</v>
      </c>
      <c r="M33" s="800">
        <v>7</v>
      </c>
      <c r="N33" s="801">
        <v>11</v>
      </c>
      <c r="O33" s="802">
        <v>18</v>
      </c>
      <c r="P33" s="800">
        <v>17</v>
      </c>
      <c r="Q33" s="801">
        <v>14</v>
      </c>
      <c r="R33" s="802">
        <v>31</v>
      </c>
      <c r="S33" s="800">
        <v>16</v>
      </c>
      <c r="T33" s="801">
        <v>38</v>
      </c>
      <c r="U33" s="802">
        <v>54</v>
      </c>
      <c r="V33" s="800">
        <v>8</v>
      </c>
      <c r="W33" s="801">
        <v>26</v>
      </c>
      <c r="X33" s="802">
        <v>34</v>
      </c>
      <c r="Y33" s="800">
        <v>8</v>
      </c>
      <c r="Z33" s="801">
        <v>42</v>
      </c>
      <c r="AA33" s="802">
        <f t="shared" si="0"/>
        <v>50</v>
      </c>
      <c r="AB33" s="803">
        <v>39</v>
      </c>
      <c r="AC33" s="801">
        <v>29</v>
      </c>
      <c r="AD33" s="802">
        <f t="shared" si="1"/>
        <v>68</v>
      </c>
      <c r="AE33" s="803">
        <v>28</v>
      </c>
      <c r="AF33" s="801">
        <v>44</v>
      </c>
      <c r="AG33" s="802">
        <f t="shared" si="2"/>
        <v>72</v>
      </c>
      <c r="AH33" s="803">
        <v>27</v>
      </c>
      <c r="AI33" s="801">
        <v>53</v>
      </c>
      <c r="AJ33" s="802">
        <f t="shared" si="20"/>
        <v>80</v>
      </c>
      <c r="AK33" s="803">
        <v>28</v>
      </c>
      <c r="AL33" s="801">
        <v>42</v>
      </c>
      <c r="AM33" s="802">
        <f t="shared" si="21"/>
        <v>70</v>
      </c>
      <c r="AN33" s="803">
        <v>19</v>
      </c>
      <c r="AO33" s="801">
        <v>46</v>
      </c>
      <c r="AP33" s="802">
        <f t="shared" si="22"/>
        <v>65</v>
      </c>
      <c r="AQ33" s="803">
        <v>37</v>
      </c>
      <c r="AR33" s="801">
        <v>43</v>
      </c>
      <c r="AS33" s="802">
        <f t="shared" si="23"/>
        <v>80</v>
      </c>
      <c r="AT33" s="803"/>
      <c r="AU33" s="801">
        <v>51</v>
      </c>
      <c r="AV33" s="802">
        <f t="shared" si="24"/>
        <v>51</v>
      </c>
    </row>
    <row r="34" spans="1:48" s="186" customFormat="1" ht="15" customHeight="1" x14ac:dyDescent="0.25">
      <c r="A34" s="5687"/>
      <c r="B34" s="5678"/>
      <c r="C34" s="799" t="s">
        <v>469</v>
      </c>
      <c r="D34" s="835">
        <v>91</v>
      </c>
      <c r="E34" s="836">
        <v>85</v>
      </c>
      <c r="F34" s="802">
        <v>176</v>
      </c>
      <c r="G34" s="835">
        <v>90</v>
      </c>
      <c r="H34" s="836">
        <v>100</v>
      </c>
      <c r="I34" s="802">
        <v>190</v>
      </c>
      <c r="J34" s="800">
        <v>87</v>
      </c>
      <c r="K34" s="801">
        <v>89</v>
      </c>
      <c r="L34" s="802">
        <v>176</v>
      </c>
      <c r="M34" s="800">
        <v>91</v>
      </c>
      <c r="N34" s="801">
        <v>82</v>
      </c>
      <c r="O34" s="802">
        <v>173</v>
      </c>
      <c r="P34" s="800">
        <v>77</v>
      </c>
      <c r="Q34" s="801">
        <v>80</v>
      </c>
      <c r="R34" s="802">
        <v>157</v>
      </c>
      <c r="S34" s="800">
        <v>82</v>
      </c>
      <c r="T34" s="801">
        <v>89</v>
      </c>
      <c r="U34" s="802">
        <v>171</v>
      </c>
      <c r="V34" s="800">
        <v>53</v>
      </c>
      <c r="W34" s="801">
        <v>70</v>
      </c>
      <c r="X34" s="802">
        <v>123</v>
      </c>
      <c r="Y34" s="800"/>
      <c r="Z34" s="801">
        <v>137</v>
      </c>
      <c r="AA34" s="802">
        <f t="shared" si="0"/>
        <v>137</v>
      </c>
      <c r="AB34" s="803"/>
      <c r="AC34" s="801">
        <v>135</v>
      </c>
      <c r="AD34" s="802">
        <f t="shared" si="1"/>
        <v>135</v>
      </c>
      <c r="AE34" s="803"/>
      <c r="AF34" s="801">
        <v>122</v>
      </c>
      <c r="AG34" s="802">
        <f t="shared" si="2"/>
        <v>122</v>
      </c>
      <c r="AH34" s="803"/>
      <c r="AI34" s="801">
        <v>138</v>
      </c>
      <c r="AJ34" s="802">
        <f t="shared" si="20"/>
        <v>138</v>
      </c>
      <c r="AK34" s="803"/>
      <c r="AL34" s="801">
        <v>93</v>
      </c>
      <c r="AM34" s="802">
        <f t="shared" si="21"/>
        <v>93</v>
      </c>
      <c r="AN34" s="803"/>
      <c r="AO34" s="801">
        <v>73</v>
      </c>
      <c r="AP34" s="802">
        <f t="shared" si="22"/>
        <v>73</v>
      </c>
      <c r="AQ34" s="803"/>
      <c r="AR34" s="801">
        <v>92</v>
      </c>
      <c r="AS34" s="802">
        <f t="shared" si="23"/>
        <v>92</v>
      </c>
      <c r="AT34" s="803"/>
      <c r="AU34" s="801">
        <v>80</v>
      </c>
      <c r="AV34" s="802">
        <f t="shared" si="24"/>
        <v>80</v>
      </c>
    </row>
    <row r="35" spans="1:48" s="186" customFormat="1" ht="15" customHeight="1" x14ac:dyDescent="0.25">
      <c r="A35" s="5687"/>
      <c r="B35" s="5678"/>
      <c r="C35" s="799" t="s">
        <v>1461</v>
      </c>
      <c r="D35" s="835"/>
      <c r="E35" s="836"/>
      <c r="F35" s="802"/>
      <c r="G35" s="835"/>
      <c r="H35" s="836"/>
      <c r="I35" s="802"/>
      <c r="J35" s="800"/>
      <c r="K35" s="801"/>
      <c r="L35" s="802"/>
      <c r="M35" s="800"/>
      <c r="N35" s="801"/>
      <c r="O35" s="802"/>
      <c r="P35" s="800"/>
      <c r="Q35" s="801"/>
      <c r="R35" s="802"/>
      <c r="S35" s="800"/>
      <c r="T35" s="801"/>
      <c r="U35" s="802"/>
      <c r="V35" s="800"/>
      <c r="W35" s="801"/>
      <c r="X35" s="802"/>
      <c r="Y35" s="800"/>
      <c r="Z35" s="801"/>
      <c r="AA35" s="802"/>
      <c r="AB35" s="803"/>
      <c r="AC35" s="801"/>
      <c r="AD35" s="802"/>
      <c r="AE35" s="803"/>
      <c r="AF35" s="801"/>
      <c r="AG35" s="802"/>
      <c r="AH35" s="803"/>
      <c r="AI35" s="801"/>
      <c r="AJ35" s="802"/>
      <c r="AK35" s="803"/>
      <c r="AL35" s="801"/>
      <c r="AM35" s="802"/>
      <c r="AN35" s="803"/>
      <c r="AO35" s="801"/>
      <c r="AP35" s="802"/>
      <c r="AQ35" s="803"/>
      <c r="AR35" s="801">
        <v>31</v>
      </c>
      <c r="AS35" s="802">
        <f t="shared" si="23"/>
        <v>31</v>
      </c>
      <c r="AT35" s="803"/>
      <c r="AU35" s="801">
        <v>23</v>
      </c>
      <c r="AV35" s="802">
        <f t="shared" si="24"/>
        <v>23</v>
      </c>
    </row>
    <row r="36" spans="1:48" s="186" customFormat="1" ht="15" customHeight="1" x14ac:dyDescent="0.25">
      <c r="A36" s="5687"/>
      <c r="B36" s="5679"/>
      <c r="C36" s="855" t="s">
        <v>160</v>
      </c>
      <c r="D36" s="856">
        <f>SUM(D26:D34)</f>
        <v>295</v>
      </c>
      <c r="E36" s="857">
        <f t="shared" ref="E36:AG36" si="25">SUM(E26:E34)</f>
        <v>362</v>
      </c>
      <c r="F36" s="577">
        <f t="shared" si="25"/>
        <v>657</v>
      </c>
      <c r="G36" s="856">
        <f t="shared" si="25"/>
        <v>264</v>
      </c>
      <c r="H36" s="857">
        <f t="shared" si="25"/>
        <v>417</v>
      </c>
      <c r="I36" s="577">
        <f t="shared" si="25"/>
        <v>681</v>
      </c>
      <c r="J36" s="856">
        <f t="shared" si="25"/>
        <v>290</v>
      </c>
      <c r="K36" s="857">
        <f t="shared" si="25"/>
        <v>437</v>
      </c>
      <c r="L36" s="577">
        <f t="shared" si="25"/>
        <v>727</v>
      </c>
      <c r="M36" s="856">
        <f t="shared" si="25"/>
        <v>357</v>
      </c>
      <c r="N36" s="857">
        <f t="shared" si="25"/>
        <v>386</v>
      </c>
      <c r="O36" s="577">
        <f t="shared" si="25"/>
        <v>743</v>
      </c>
      <c r="P36" s="856">
        <f t="shared" si="25"/>
        <v>268</v>
      </c>
      <c r="Q36" s="857">
        <f t="shared" si="25"/>
        <v>355</v>
      </c>
      <c r="R36" s="577">
        <f t="shared" si="25"/>
        <v>623</v>
      </c>
      <c r="S36" s="856">
        <f t="shared" si="25"/>
        <v>281</v>
      </c>
      <c r="T36" s="857">
        <f t="shared" si="25"/>
        <v>499</v>
      </c>
      <c r="U36" s="577">
        <f t="shared" si="25"/>
        <v>780</v>
      </c>
      <c r="V36" s="856">
        <f t="shared" si="25"/>
        <v>220</v>
      </c>
      <c r="W36" s="857">
        <f t="shared" si="25"/>
        <v>428</v>
      </c>
      <c r="X36" s="577">
        <f t="shared" si="25"/>
        <v>648</v>
      </c>
      <c r="Y36" s="856">
        <f t="shared" si="25"/>
        <v>116</v>
      </c>
      <c r="Z36" s="857">
        <f t="shared" si="25"/>
        <v>654</v>
      </c>
      <c r="AA36" s="577">
        <f t="shared" si="25"/>
        <v>770</v>
      </c>
      <c r="AB36" s="856">
        <f t="shared" si="25"/>
        <v>186</v>
      </c>
      <c r="AC36" s="857">
        <f t="shared" si="25"/>
        <v>622</v>
      </c>
      <c r="AD36" s="577">
        <f t="shared" si="25"/>
        <v>808</v>
      </c>
      <c r="AE36" s="856">
        <f t="shared" si="25"/>
        <v>184</v>
      </c>
      <c r="AF36" s="857">
        <f t="shared" si="25"/>
        <v>654</v>
      </c>
      <c r="AG36" s="577">
        <f t="shared" si="25"/>
        <v>838</v>
      </c>
      <c r="AH36" s="856">
        <f t="shared" ref="AH36:AM36" si="26">SUM(AH26:AH34)</f>
        <v>227</v>
      </c>
      <c r="AI36" s="857">
        <f t="shared" si="26"/>
        <v>754</v>
      </c>
      <c r="AJ36" s="577">
        <f t="shared" si="26"/>
        <v>981</v>
      </c>
      <c r="AK36" s="856">
        <f t="shared" si="26"/>
        <v>180</v>
      </c>
      <c r="AL36" s="857">
        <f t="shared" si="26"/>
        <v>632</v>
      </c>
      <c r="AM36" s="577">
        <f t="shared" si="26"/>
        <v>812</v>
      </c>
      <c r="AN36" s="856">
        <f>SUM(AN26:AN34)</f>
        <v>176</v>
      </c>
      <c r="AO36" s="857">
        <f>SUM(AO26:AO34)</f>
        <v>626</v>
      </c>
      <c r="AP36" s="577">
        <f>SUM(AP26:AP34)</f>
        <v>802</v>
      </c>
      <c r="AQ36" s="856">
        <f t="shared" ref="AQ36:AV36" si="27">SUM(AQ26:AQ35)</f>
        <v>139</v>
      </c>
      <c r="AR36" s="1431">
        <f t="shared" si="27"/>
        <v>688</v>
      </c>
      <c r="AS36" s="577">
        <f t="shared" si="27"/>
        <v>827</v>
      </c>
      <c r="AT36" s="856">
        <f t="shared" si="27"/>
        <v>0</v>
      </c>
      <c r="AU36" s="1431">
        <f t="shared" si="27"/>
        <v>626</v>
      </c>
      <c r="AV36" s="577">
        <f t="shared" si="27"/>
        <v>626</v>
      </c>
    </row>
    <row r="37" spans="1:48" s="186" customFormat="1" ht="15" customHeight="1" x14ac:dyDescent="0.25">
      <c r="A37" s="5687"/>
      <c r="B37" s="5677" t="s">
        <v>6</v>
      </c>
      <c r="C37" s="813" t="s">
        <v>456</v>
      </c>
      <c r="D37" s="842">
        <v>100</v>
      </c>
      <c r="E37" s="843">
        <v>101</v>
      </c>
      <c r="F37" s="816">
        <v>201</v>
      </c>
      <c r="G37" s="842">
        <v>116</v>
      </c>
      <c r="H37" s="843">
        <v>115</v>
      </c>
      <c r="I37" s="816">
        <v>231</v>
      </c>
      <c r="J37" s="814">
        <v>102</v>
      </c>
      <c r="K37" s="815">
        <v>122</v>
      </c>
      <c r="L37" s="816">
        <v>224</v>
      </c>
      <c r="M37" s="814">
        <v>120</v>
      </c>
      <c r="N37" s="815">
        <v>116</v>
      </c>
      <c r="O37" s="816">
        <v>236</v>
      </c>
      <c r="P37" s="814">
        <v>137</v>
      </c>
      <c r="Q37" s="815">
        <v>142</v>
      </c>
      <c r="R37" s="816">
        <v>279</v>
      </c>
      <c r="S37" s="814">
        <v>121</v>
      </c>
      <c r="T37" s="815">
        <v>119</v>
      </c>
      <c r="U37" s="816">
        <v>240</v>
      </c>
      <c r="V37" s="814">
        <v>121</v>
      </c>
      <c r="W37" s="815">
        <v>113</v>
      </c>
      <c r="X37" s="816">
        <v>234</v>
      </c>
      <c r="Y37" s="814">
        <v>102</v>
      </c>
      <c r="Z37" s="815">
        <v>113</v>
      </c>
      <c r="AA37" s="816">
        <f t="shared" si="0"/>
        <v>215</v>
      </c>
      <c r="AB37" s="817">
        <v>99</v>
      </c>
      <c r="AC37" s="815">
        <v>115</v>
      </c>
      <c r="AD37" s="816">
        <f t="shared" si="1"/>
        <v>214</v>
      </c>
      <c r="AE37" s="817">
        <v>105</v>
      </c>
      <c r="AF37" s="815">
        <v>114</v>
      </c>
      <c r="AG37" s="816">
        <f t="shared" si="2"/>
        <v>219</v>
      </c>
      <c r="AH37" s="817">
        <v>90</v>
      </c>
      <c r="AI37" s="815">
        <v>118</v>
      </c>
      <c r="AJ37" s="816">
        <f t="shared" ref="AJ37:AJ47" si="28">SUM(AH37:AI37)</f>
        <v>208</v>
      </c>
      <c r="AK37" s="817">
        <v>89</v>
      </c>
      <c r="AL37" s="815">
        <v>114</v>
      </c>
      <c r="AM37" s="816">
        <f t="shared" ref="AM37:AM47" si="29">SUM(AK37:AL37)</f>
        <v>203</v>
      </c>
      <c r="AN37" s="817">
        <v>74</v>
      </c>
      <c r="AO37" s="815">
        <v>118</v>
      </c>
      <c r="AP37" s="816">
        <f t="shared" ref="AP37:AP47" si="30">SUM(AN37:AO37)</f>
        <v>192</v>
      </c>
      <c r="AQ37" s="817">
        <v>80</v>
      </c>
      <c r="AR37" s="815">
        <v>124</v>
      </c>
      <c r="AS37" s="816">
        <f t="shared" ref="AS37:AS47" si="31">SUM(AQ37:AR37)</f>
        <v>204</v>
      </c>
      <c r="AT37" s="817">
        <v>86</v>
      </c>
      <c r="AU37" s="815">
        <v>123</v>
      </c>
      <c r="AV37" s="816">
        <f t="shared" ref="AV37:AV47" si="32">SUM(AT37:AU37)</f>
        <v>209</v>
      </c>
    </row>
    <row r="38" spans="1:48" s="186" customFormat="1" ht="15" customHeight="1" x14ac:dyDescent="0.25">
      <c r="A38" s="5687"/>
      <c r="B38" s="5678"/>
      <c r="C38" s="799" t="s">
        <v>470</v>
      </c>
      <c r="D38" s="800"/>
      <c r="E38" s="836">
        <v>48</v>
      </c>
      <c r="F38" s="802">
        <v>48</v>
      </c>
      <c r="G38" s="837"/>
      <c r="H38" s="836">
        <v>58</v>
      </c>
      <c r="I38" s="802">
        <v>58</v>
      </c>
      <c r="J38" s="800"/>
      <c r="K38" s="801">
        <v>60</v>
      </c>
      <c r="L38" s="802">
        <v>60</v>
      </c>
      <c r="M38" s="800"/>
      <c r="N38" s="801">
        <v>61</v>
      </c>
      <c r="O38" s="802">
        <v>61</v>
      </c>
      <c r="P38" s="800"/>
      <c r="Q38" s="801">
        <v>69</v>
      </c>
      <c r="R38" s="802">
        <v>69</v>
      </c>
      <c r="S38" s="800"/>
      <c r="T38" s="801">
        <v>60</v>
      </c>
      <c r="U38" s="802">
        <v>60</v>
      </c>
      <c r="V38" s="800"/>
      <c r="W38" s="801">
        <v>59</v>
      </c>
      <c r="X38" s="802">
        <v>59</v>
      </c>
      <c r="Y38" s="800"/>
      <c r="Z38" s="801">
        <v>63</v>
      </c>
      <c r="AA38" s="802">
        <f t="shared" si="0"/>
        <v>63</v>
      </c>
      <c r="AB38" s="803"/>
      <c r="AC38" s="801">
        <v>58</v>
      </c>
      <c r="AD38" s="802">
        <f t="shared" si="1"/>
        <v>58</v>
      </c>
      <c r="AE38" s="803"/>
      <c r="AF38" s="801">
        <v>60</v>
      </c>
      <c r="AG38" s="802">
        <f t="shared" si="2"/>
        <v>60</v>
      </c>
      <c r="AH38" s="803"/>
      <c r="AI38" s="801">
        <v>60</v>
      </c>
      <c r="AJ38" s="802">
        <f t="shared" si="28"/>
        <v>60</v>
      </c>
      <c r="AK38" s="803"/>
      <c r="AL38" s="801">
        <v>60</v>
      </c>
      <c r="AM38" s="802">
        <f t="shared" si="29"/>
        <v>60</v>
      </c>
      <c r="AN38" s="803"/>
      <c r="AO38" s="801">
        <v>62</v>
      </c>
      <c r="AP38" s="802">
        <f t="shared" si="30"/>
        <v>62</v>
      </c>
      <c r="AQ38" s="803"/>
      <c r="AR38" s="801">
        <v>62</v>
      </c>
      <c r="AS38" s="802">
        <f t="shared" si="31"/>
        <v>62</v>
      </c>
      <c r="AT38" s="803"/>
      <c r="AU38" s="801">
        <v>60</v>
      </c>
      <c r="AV38" s="802">
        <f t="shared" si="32"/>
        <v>60</v>
      </c>
    </row>
    <row r="39" spans="1:48" s="186" customFormat="1" ht="15" customHeight="1" x14ac:dyDescent="0.25">
      <c r="A39" s="5687"/>
      <c r="B39" s="5678"/>
      <c r="C39" s="799" t="s">
        <v>471</v>
      </c>
      <c r="D39" s="805"/>
      <c r="E39" s="836">
        <v>51</v>
      </c>
      <c r="F39" s="802">
        <v>51</v>
      </c>
      <c r="G39" s="837"/>
      <c r="H39" s="836">
        <v>55</v>
      </c>
      <c r="I39" s="802">
        <v>55</v>
      </c>
      <c r="J39" s="805"/>
      <c r="K39" s="801">
        <v>62</v>
      </c>
      <c r="L39" s="802">
        <v>62</v>
      </c>
      <c r="M39" s="805"/>
      <c r="N39" s="801">
        <v>59</v>
      </c>
      <c r="O39" s="802">
        <v>59</v>
      </c>
      <c r="P39" s="800"/>
      <c r="Q39" s="801">
        <v>68</v>
      </c>
      <c r="R39" s="802">
        <v>68</v>
      </c>
      <c r="S39" s="800"/>
      <c r="T39" s="801">
        <v>64</v>
      </c>
      <c r="U39" s="802">
        <v>64</v>
      </c>
      <c r="V39" s="800"/>
      <c r="W39" s="801">
        <v>61</v>
      </c>
      <c r="X39" s="802">
        <v>61</v>
      </c>
      <c r="Y39" s="800"/>
      <c r="Z39" s="801">
        <v>69</v>
      </c>
      <c r="AA39" s="802">
        <f t="shared" si="0"/>
        <v>69</v>
      </c>
      <c r="AB39" s="803"/>
      <c r="AC39" s="801">
        <v>66</v>
      </c>
      <c r="AD39" s="802">
        <f t="shared" si="1"/>
        <v>66</v>
      </c>
      <c r="AE39" s="803"/>
      <c r="AF39" s="801">
        <v>69</v>
      </c>
      <c r="AG39" s="802">
        <f t="shared" si="2"/>
        <v>69</v>
      </c>
      <c r="AH39" s="803"/>
      <c r="AI39" s="801">
        <v>63</v>
      </c>
      <c r="AJ39" s="802">
        <f t="shared" si="28"/>
        <v>63</v>
      </c>
      <c r="AK39" s="803"/>
      <c r="AL39" s="801">
        <v>64</v>
      </c>
      <c r="AM39" s="802">
        <f t="shared" si="29"/>
        <v>64</v>
      </c>
      <c r="AN39" s="803"/>
      <c r="AO39" s="801">
        <v>64</v>
      </c>
      <c r="AP39" s="802">
        <f t="shared" si="30"/>
        <v>64</v>
      </c>
      <c r="AQ39" s="803"/>
      <c r="AR39" s="801">
        <v>72</v>
      </c>
      <c r="AS39" s="802">
        <f t="shared" si="31"/>
        <v>72</v>
      </c>
      <c r="AT39" s="803"/>
      <c r="AU39" s="801">
        <v>67</v>
      </c>
      <c r="AV39" s="802">
        <f t="shared" si="32"/>
        <v>67</v>
      </c>
    </row>
    <row r="40" spans="1:48" s="186" customFormat="1" ht="15" customHeight="1" x14ac:dyDescent="0.25">
      <c r="A40" s="5687"/>
      <c r="B40" s="5678"/>
      <c r="C40" s="799" t="s">
        <v>472</v>
      </c>
      <c r="D40" s="805"/>
      <c r="E40" s="836">
        <v>46</v>
      </c>
      <c r="F40" s="802">
        <v>46</v>
      </c>
      <c r="G40" s="837"/>
      <c r="H40" s="836">
        <v>73</v>
      </c>
      <c r="I40" s="802">
        <v>73</v>
      </c>
      <c r="J40" s="805"/>
      <c r="K40" s="801">
        <v>72</v>
      </c>
      <c r="L40" s="802">
        <v>72</v>
      </c>
      <c r="M40" s="805"/>
      <c r="N40" s="801">
        <v>69</v>
      </c>
      <c r="O40" s="802">
        <v>69</v>
      </c>
      <c r="P40" s="800"/>
      <c r="Q40" s="801">
        <v>77</v>
      </c>
      <c r="R40" s="802">
        <v>77</v>
      </c>
      <c r="S40" s="800"/>
      <c r="T40" s="801">
        <v>75</v>
      </c>
      <c r="U40" s="802">
        <v>75</v>
      </c>
      <c r="V40" s="800"/>
      <c r="W40" s="801">
        <v>73</v>
      </c>
      <c r="X40" s="802">
        <v>73</v>
      </c>
      <c r="Y40" s="800"/>
      <c r="Z40" s="801">
        <v>78</v>
      </c>
      <c r="AA40" s="802">
        <f t="shared" si="0"/>
        <v>78</v>
      </c>
      <c r="AB40" s="803"/>
      <c r="AC40" s="801">
        <v>75</v>
      </c>
      <c r="AD40" s="802">
        <f t="shared" si="1"/>
        <v>75</v>
      </c>
      <c r="AE40" s="803"/>
      <c r="AF40" s="801">
        <v>78</v>
      </c>
      <c r="AG40" s="802">
        <f t="shared" si="2"/>
        <v>78</v>
      </c>
      <c r="AH40" s="803"/>
      <c r="AI40" s="801">
        <v>81</v>
      </c>
      <c r="AJ40" s="802">
        <f t="shared" si="28"/>
        <v>81</v>
      </c>
      <c r="AK40" s="803"/>
      <c r="AL40" s="801">
        <v>77</v>
      </c>
      <c r="AM40" s="802">
        <f t="shared" si="29"/>
        <v>77</v>
      </c>
      <c r="AN40" s="803"/>
      <c r="AO40" s="801">
        <v>80</v>
      </c>
      <c r="AP40" s="802">
        <f t="shared" si="30"/>
        <v>80</v>
      </c>
      <c r="AQ40" s="803"/>
      <c r="AR40" s="801">
        <v>82</v>
      </c>
      <c r="AS40" s="802">
        <f t="shared" si="31"/>
        <v>82</v>
      </c>
      <c r="AT40" s="803"/>
      <c r="AU40" s="801">
        <v>83</v>
      </c>
      <c r="AV40" s="802">
        <f t="shared" si="32"/>
        <v>83</v>
      </c>
    </row>
    <row r="41" spans="1:48" s="186" customFormat="1" ht="15" customHeight="1" x14ac:dyDescent="0.25">
      <c r="A41" s="5687"/>
      <c r="B41" s="5678"/>
      <c r="C41" s="799" t="s">
        <v>458</v>
      </c>
      <c r="D41" s="800"/>
      <c r="E41" s="836">
        <v>67</v>
      </c>
      <c r="F41" s="802">
        <v>67</v>
      </c>
      <c r="G41" s="837"/>
      <c r="H41" s="836">
        <v>68</v>
      </c>
      <c r="I41" s="802">
        <v>68</v>
      </c>
      <c r="J41" s="800"/>
      <c r="K41" s="801">
        <v>99</v>
      </c>
      <c r="L41" s="802">
        <v>99</v>
      </c>
      <c r="M41" s="800"/>
      <c r="N41" s="801">
        <v>83</v>
      </c>
      <c r="O41" s="802">
        <v>83</v>
      </c>
      <c r="P41" s="800"/>
      <c r="Q41" s="801">
        <v>91</v>
      </c>
      <c r="R41" s="802">
        <v>91</v>
      </c>
      <c r="S41" s="800"/>
      <c r="T41" s="801">
        <v>119</v>
      </c>
      <c r="U41" s="802">
        <v>119</v>
      </c>
      <c r="V41" s="800"/>
      <c r="W41" s="801">
        <v>111</v>
      </c>
      <c r="X41" s="802">
        <v>111</v>
      </c>
      <c r="Y41" s="800"/>
      <c r="Z41" s="801">
        <v>115</v>
      </c>
      <c r="AA41" s="802">
        <f t="shared" si="0"/>
        <v>115</v>
      </c>
      <c r="AB41" s="803"/>
      <c r="AC41" s="801">
        <v>111</v>
      </c>
      <c r="AD41" s="802">
        <f t="shared" si="1"/>
        <v>111</v>
      </c>
      <c r="AE41" s="803"/>
      <c r="AF41" s="801">
        <v>118</v>
      </c>
      <c r="AG41" s="802">
        <f t="shared" si="2"/>
        <v>118</v>
      </c>
      <c r="AH41" s="803"/>
      <c r="AI41" s="801">
        <v>117</v>
      </c>
      <c r="AJ41" s="802">
        <f t="shared" si="28"/>
        <v>117</v>
      </c>
      <c r="AK41" s="803"/>
      <c r="AL41" s="801">
        <v>115</v>
      </c>
      <c r="AM41" s="802">
        <f t="shared" si="29"/>
        <v>115</v>
      </c>
      <c r="AN41" s="803"/>
      <c r="AO41" s="801">
        <v>114</v>
      </c>
      <c r="AP41" s="802">
        <f t="shared" si="30"/>
        <v>114</v>
      </c>
      <c r="AQ41" s="803"/>
      <c r="AR41" s="801">
        <v>122</v>
      </c>
      <c r="AS41" s="802">
        <f t="shared" si="31"/>
        <v>122</v>
      </c>
      <c r="AT41" s="803"/>
      <c r="AU41" s="801">
        <v>127</v>
      </c>
      <c r="AV41" s="802">
        <f t="shared" si="32"/>
        <v>127</v>
      </c>
    </row>
    <row r="42" spans="1:48" s="186" customFormat="1" ht="15" customHeight="1" x14ac:dyDescent="0.25">
      <c r="A42" s="5687"/>
      <c r="B42" s="5678"/>
      <c r="C42" s="799" t="s">
        <v>459</v>
      </c>
      <c r="D42" s="800"/>
      <c r="E42" s="836">
        <v>66</v>
      </c>
      <c r="F42" s="802">
        <v>66</v>
      </c>
      <c r="G42" s="837"/>
      <c r="H42" s="836">
        <v>83</v>
      </c>
      <c r="I42" s="802">
        <v>83</v>
      </c>
      <c r="J42" s="800"/>
      <c r="K42" s="801">
        <v>87</v>
      </c>
      <c r="L42" s="802">
        <v>87</v>
      </c>
      <c r="M42" s="800"/>
      <c r="N42" s="801">
        <v>86</v>
      </c>
      <c r="O42" s="802">
        <v>86</v>
      </c>
      <c r="P42" s="800"/>
      <c r="Q42" s="801">
        <v>77</v>
      </c>
      <c r="R42" s="802">
        <v>77</v>
      </c>
      <c r="S42" s="800"/>
      <c r="T42" s="801">
        <v>102</v>
      </c>
      <c r="U42" s="802">
        <v>102</v>
      </c>
      <c r="V42" s="800"/>
      <c r="W42" s="801">
        <v>98</v>
      </c>
      <c r="X42" s="802">
        <v>98</v>
      </c>
      <c r="Y42" s="800"/>
      <c r="Z42" s="801">
        <v>103</v>
      </c>
      <c r="AA42" s="802">
        <f t="shared" si="0"/>
        <v>103</v>
      </c>
      <c r="AB42" s="803"/>
      <c r="AC42" s="801">
        <v>100</v>
      </c>
      <c r="AD42" s="802">
        <f t="shared" si="1"/>
        <v>100</v>
      </c>
      <c r="AE42" s="803"/>
      <c r="AF42" s="801">
        <v>101</v>
      </c>
      <c r="AG42" s="802">
        <f t="shared" si="2"/>
        <v>101</v>
      </c>
      <c r="AH42" s="803"/>
      <c r="AI42" s="801">
        <v>102</v>
      </c>
      <c r="AJ42" s="802">
        <f t="shared" si="28"/>
        <v>102</v>
      </c>
      <c r="AK42" s="803"/>
      <c r="AL42" s="801">
        <v>98</v>
      </c>
      <c r="AM42" s="802">
        <f t="shared" si="29"/>
        <v>98</v>
      </c>
      <c r="AN42" s="803"/>
      <c r="AO42" s="801">
        <v>93</v>
      </c>
      <c r="AP42" s="802">
        <f t="shared" si="30"/>
        <v>93</v>
      </c>
      <c r="AQ42" s="803"/>
      <c r="AR42" s="801">
        <v>103</v>
      </c>
      <c r="AS42" s="802">
        <f t="shared" si="31"/>
        <v>103</v>
      </c>
      <c r="AT42" s="803"/>
      <c r="AU42" s="801">
        <v>80</v>
      </c>
      <c r="AV42" s="802">
        <f t="shared" si="32"/>
        <v>80</v>
      </c>
    </row>
    <row r="43" spans="1:48" s="186" customFormat="1" ht="15" customHeight="1" x14ac:dyDescent="0.25">
      <c r="A43" s="5687"/>
      <c r="B43" s="5678"/>
      <c r="C43" s="799" t="s">
        <v>473</v>
      </c>
      <c r="D43" s="800"/>
      <c r="E43" s="836">
        <v>72</v>
      </c>
      <c r="F43" s="802">
        <v>72</v>
      </c>
      <c r="G43" s="837"/>
      <c r="H43" s="836">
        <v>79</v>
      </c>
      <c r="I43" s="802">
        <v>79</v>
      </c>
      <c r="J43" s="800"/>
      <c r="K43" s="801">
        <v>83</v>
      </c>
      <c r="L43" s="802">
        <v>83</v>
      </c>
      <c r="M43" s="800"/>
      <c r="N43" s="801">
        <v>78</v>
      </c>
      <c r="O43" s="802">
        <v>78</v>
      </c>
      <c r="P43" s="800"/>
      <c r="Q43" s="801">
        <v>77</v>
      </c>
      <c r="R43" s="802">
        <v>77</v>
      </c>
      <c r="S43" s="800"/>
      <c r="T43" s="801">
        <v>82</v>
      </c>
      <c r="U43" s="802">
        <v>82</v>
      </c>
      <c r="V43" s="800"/>
      <c r="W43" s="801">
        <v>80</v>
      </c>
      <c r="X43" s="802">
        <v>80</v>
      </c>
      <c r="Y43" s="800"/>
      <c r="Z43" s="801">
        <v>78</v>
      </c>
      <c r="AA43" s="802">
        <f t="shared" si="0"/>
        <v>78</v>
      </c>
      <c r="AB43" s="803"/>
      <c r="AC43" s="801">
        <v>84</v>
      </c>
      <c r="AD43" s="802">
        <f t="shared" si="1"/>
        <v>84</v>
      </c>
      <c r="AE43" s="803"/>
      <c r="AF43" s="801">
        <v>79</v>
      </c>
      <c r="AG43" s="802">
        <f t="shared" si="2"/>
        <v>79</v>
      </c>
      <c r="AH43" s="803"/>
      <c r="AI43" s="801">
        <v>80</v>
      </c>
      <c r="AJ43" s="802">
        <f t="shared" si="28"/>
        <v>80</v>
      </c>
      <c r="AK43" s="803"/>
      <c r="AL43" s="801">
        <v>86</v>
      </c>
      <c r="AM43" s="802">
        <f t="shared" si="29"/>
        <v>86</v>
      </c>
      <c r="AN43" s="803"/>
      <c r="AO43" s="801">
        <v>82</v>
      </c>
      <c r="AP43" s="802">
        <f t="shared" si="30"/>
        <v>82</v>
      </c>
      <c r="AQ43" s="803"/>
      <c r="AR43" s="801">
        <v>88</v>
      </c>
      <c r="AS43" s="802">
        <f t="shared" si="31"/>
        <v>88</v>
      </c>
      <c r="AT43" s="803"/>
      <c r="AU43" s="801">
        <v>91</v>
      </c>
      <c r="AV43" s="802">
        <f t="shared" si="32"/>
        <v>91</v>
      </c>
    </row>
    <row r="44" spans="1:48" s="186" customFormat="1" ht="15" customHeight="1" x14ac:dyDescent="0.25">
      <c r="A44" s="5687"/>
      <c r="B44" s="5678"/>
      <c r="C44" s="799" t="s">
        <v>474</v>
      </c>
      <c r="D44" s="800"/>
      <c r="E44" s="836">
        <v>36</v>
      </c>
      <c r="F44" s="802">
        <v>36</v>
      </c>
      <c r="G44" s="837"/>
      <c r="H44" s="836">
        <v>39</v>
      </c>
      <c r="I44" s="802">
        <v>39</v>
      </c>
      <c r="J44" s="800"/>
      <c r="K44" s="801">
        <v>35</v>
      </c>
      <c r="L44" s="802">
        <v>35</v>
      </c>
      <c r="M44" s="800"/>
      <c r="N44" s="801">
        <v>36</v>
      </c>
      <c r="O44" s="802">
        <v>36</v>
      </c>
      <c r="P44" s="800"/>
      <c r="Q44" s="801">
        <v>38</v>
      </c>
      <c r="R44" s="802">
        <v>38</v>
      </c>
      <c r="S44" s="800"/>
      <c r="T44" s="801">
        <v>50</v>
      </c>
      <c r="U44" s="802">
        <v>50</v>
      </c>
      <c r="V44" s="800"/>
      <c r="W44" s="801">
        <v>48</v>
      </c>
      <c r="X44" s="802">
        <v>48</v>
      </c>
      <c r="Y44" s="800"/>
      <c r="Z44" s="801">
        <v>58</v>
      </c>
      <c r="AA44" s="802">
        <f t="shared" si="0"/>
        <v>58</v>
      </c>
      <c r="AB44" s="803"/>
      <c r="AC44" s="801">
        <v>57</v>
      </c>
      <c r="AD44" s="802">
        <f t="shared" si="1"/>
        <v>57</v>
      </c>
      <c r="AE44" s="803"/>
      <c r="AF44" s="801">
        <v>52</v>
      </c>
      <c r="AG44" s="802">
        <f t="shared" si="2"/>
        <v>52</v>
      </c>
      <c r="AH44" s="803"/>
      <c r="AI44" s="801">
        <v>55</v>
      </c>
      <c r="AJ44" s="802">
        <f t="shared" si="28"/>
        <v>55</v>
      </c>
      <c r="AK44" s="803"/>
      <c r="AL44" s="801">
        <v>56</v>
      </c>
      <c r="AM44" s="802">
        <f t="shared" si="29"/>
        <v>56</v>
      </c>
      <c r="AN44" s="803"/>
      <c r="AO44" s="801">
        <v>60</v>
      </c>
      <c r="AP44" s="802">
        <f t="shared" si="30"/>
        <v>60</v>
      </c>
      <c r="AQ44" s="803"/>
      <c r="AR44" s="801">
        <v>61</v>
      </c>
      <c r="AS44" s="802">
        <f t="shared" si="31"/>
        <v>61</v>
      </c>
      <c r="AT44" s="803"/>
      <c r="AU44" s="801">
        <v>66</v>
      </c>
      <c r="AV44" s="802">
        <f t="shared" si="32"/>
        <v>66</v>
      </c>
    </row>
    <row r="45" spans="1:48" s="186" customFormat="1" ht="15" customHeight="1" x14ac:dyDescent="0.25">
      <c r="A45" s="5687"/>
      <c r="B45" s="5678"/>
      <c r="C45" s="799" t="s">
        <v>475</v>
      </c>
      <c r="D45" s="800"/>
      <c r="E45" s="836">
        <v>86</v>
      </c>
      <c r="F45" s="802">
        <v>86</v>
      </c>
      <c r="G45" s="837"/>
      <c r="H45" s="836">
        <v>80</v>
      </c>
      <c r="I45" s="802">
        <v>80</v>
      </c>
      <c r="J45" s="800"/>
      <c r="K45" s="801">
        <v>81</v>
      </c>
      <c r="L45" s="802">
        <v>81</v>
      </c>
      <c r="M45" s="800"/>
      <c r="N45" s="801">
        <v>105</v>
      </c>
      <c r="O45" s="802">
        <v>105</v>
      </c>
      <c r="P45" s="800"/>
      <c r="Q45" s="801">
        <v>129</v>
      </c>
      <c r="R45" s="802">
        <v>129</v>
      </c>
      <c r="S45" s="800"/>
      <c r="T45" s="801">
        <v>100</v>
      </c>
      <c r="U45" s="802">
        <v>100</v>
      </c>
      <c r="V45" s="800"/>
      <c r="W45" s="801">
        <v>96</v>
      </c>
      <c r="X45" s="802">
        <v>96</v>
      </c>
      <c r="Y45" s="800"/>
      <c r="Z45" s="801">
        <v>103</v>
      </c>
      <c r="AA45" s="802">
        <f t="shared" si="0"/>
        <v>103</v>
      </c>
      <c r="AB45" s="803"/>
      <c r="AC45" s="801">
        <v>94</v>
      </c>
      <c r="AD45" s="802">
        <f t="shared" si="1"/>
        <v>94</v>
      </c>
      <c r="AE45" s="803"/>
      <c r="AF45" s="801">
        <v>98</v>
      </c>
      <c r="AG45" s="802">
        <f t="shared" si="2"/>
        <v>98</v>
      </c>
      <c r="AH45" s="803"/>
      <c r="AI45" s="801">
        <v>99</v>
      </c>
      <c r="AJ45" s="802">
        <f t="shared" si="28"/>
        <v>99</v>
      </c>
      <c r="AK45" s="803"/>
      <c r="AL45" s="801">
        <v>88</v>
      </c>
      <c r="AM45" s="802">
        <f t="shared" si="29"/>
        <v>88</v>
      </c>
      <c r="AN45" s="803"/>
      <c r="AO45" s="801">
        <v>100</v>
      </c>
      <c r="AP45" s="802">
        <f t="shared" si="30"/>
        <v>100</v>
      </c>
      <c r="AQ45" s="803"/>
      <c r="AR45" s="801">
        <v>104</v>
      </c>
      <c r="AS45" s="802">
        <f t="shared" si="31"/>
        <v>104</v>
      </c>
      <c r="AT45" s="803"/>
      <c r="AU45" s="801">
        <v>104</v>
      </c>
      <c r="AV45" s="802">
        <f t="shared" si="32"/>
        <v>104</v>
      </c>
    </row>
    <row r="46" spans="1:48" s="186" customFormat="1" ht="15" customHeight="1" x14ac:dyDescent="0.25">
      <c r="A46" s="5687"/>
      <c r="B46" s="5678"/>
      <c r="C46" s="799" t="s">
        <v>476</v>
      </c>
      <c r="D46" s="835">
        <v>59</v>
      </c>
      <c r="E46" s="836">
        <v>101</v>
      </c>
      <c r="F46" s="802">
        <v>160</v>
      </c>
      <c r="G46" s="835">
        <v>69</v>
      </c>
      <c r="H46" s="836">
        <v>114</v>
      </c>
      <c r="I46" s="802">
        <v>183</v>
      </c>
      <c r="J46" s="800">
        <v>59</v>
      </c>
      <c r="K46" s="801">
        <v>122</v>
      </c>
      <c r="L46" s="802">
        <v>181</v>
      </c>
      <c r="M46" s="800">
        <v>63</v>
      </c>
      <c r="N46" s="801">
        <v>121</v>
      </c>
      <c r="O46" s="802">
        <v>184</v>
      </c>
      <c r="P46" s="800">
        <v>75</v>
      </c>
      <c r="Q46" s="801">
        <v>151</v>
      </c>
      <c r="R46" s="802">
        <v>226</v>
      </c>
      <c r="S46" s="800">
        <v>80</v>
      </c>
      <c r="T46" s="801">
        <v>118</v>
      </c>
      <c r="U46" s="802">
        <v>198</v>
      </c>
      <c r="V46" s="800">
        <v>61</v>
      </c>
      <c r="W46" s="801">
        <v>116</v>
      </c>
      <c r="X46" s="802">
        <v>177</v>
      </c>
      <c r="Y46" s="800">
        <v>61</v>
      </c>
      <c r="Z46" s="801">
        <v>121</v>
      </c>
      <c r="AA46" s="802">
        <f t="shared" si="0"/>
        <v>182</v>
      </c>
      <c r="AB46" s="803">
        <v>59</v>
      </c>
      <c r="AC46" s="801">
        <v>115</v>
      </c>
      <c r="AD46" s="802">
        <f t="shared" si="1"/>
        <v>174</v>
      </c>
      <c r="AE46" s="803">
        <v>66</v>
      </c>
      <c r="AF46" s="801">
        <v>108</v>
      </c>
      <c r="AG46" s="802">
        <f t="shared" si="2"/>
        <v>174</v>
      </c>
      <c r="AH46" s="803">
        <v>64</v>
      </c>
      <c r="AI46" s="801">
        <v>120</v>
      </c>
      <c r="AJ46" s="802">
        <f t="shared" si="28"/>
        <v>184</v>
      </c>
      <c r="AK46" s="803">
        <v>64</v>
      </c>
      <c r="AL46" s="801">
        <v>116</v>
      </c>
      <c r="AM46" s="802">
        <f t="shared" si="29"/>
        <v>180</v>
      </c>
      <c r="AN46" s="803">
        <v>60</v>
      </c>
      <c r="AO46" s="801">
        <v>118</v>
      </c>
      <c r="AP46" s="802">
        <f t="shared" si="30"/>
        <v>178</v>
      </c>
      <c r="AQ46" s="803">
        <v>61</v>
      </c>
      <c r="AR46" s="801">
        <v>121</v>
      </c>
      <c r="AS46" s="802">
        <f t="shared" si="31"/>
        <v>182</v>
      </c>
      <c r="AT46" s="803">
        <v>59</v>
      </c>
      <c r="AU46" s="801">
        <v>118</v>
      </c>
      <c r="AV46" s="802">
        <f t="shared" si="32"/>
        <v>177</v>
      </c>
    </row>
    <row r="47" spans="1:48" s="186" customFormat="1" ht="15" customHeight="1" x14ac:dyDescent="0.25">
      <c r="A47" s="5687"/>
      <c r="B47" s="5678"/>
      <c r="C47" s="808" t="s">
        <v>477</v>
      </c>
      <c r="D47" s="821"/>
      <c r="E47" s="840">
        <v>34</v>
      </c>
      <c r="F47" s="811">
        <v>34</v>
      </c>
      <c r="G47" s="845"/>
      <c r="H47" s="840">
        <v>41</v>
      </c>
      <c r="I47" s="811">
        <v>41</v>
      </c>
      <c r="J47" s="821"/>
      <c r="K47" s="810">
        <v>38</v>
      </c>
      <c r="L47" s="811">
        <v>38</v>
      </c>
      <c r="M47" s="821"/>
      <c r="N47" s="810">
        <v>38</v>
      </c>
      <c r="O47" s="811">
        <v>38</v>
      </c>
      <c r="P47" s="809"/>
      <c r="Q47" s="810">
        <v>38</v>
      </c>
      <c r="R47" s="811">
        <v>38</v>
      </c>
      <c r="S47" s="809"/>
      <c r="T47" s="810">
        <v>41</v>
      </c>
      <c r="U47" s="811">
        <v>41</v>
      </c>
      <c r="V47" s="809"/>
      <c r="W47" s="810">
        <v>41</v>
      </c>
      <c r="X47" s="811">
        <v>41</v>
      </c>
      <c r="Y47" s="809"/>
      <c r="Z47" s="810">
        <v>39</v>
      </c>
      <c r="AA47" s="811">
        <f t="shared" si="0"/>
        <v>39</v>
      </c>
      <c r="AB47" s="812"/>
      <c r="AC47" s="810">
        <v>42</v>
      </c>
      <c r="AD47" s="811">
        <f t="shared" si="1"/>
        <v>42</v>
      </c>
      <c r="AE47" s="812"/>
      <c r="AF47" s="810">
        <v>44</v>
      </c>
      <c r="AG47" s="811">
        <f t="shared" si="2"/>
        <v>44</v>
      </c>
      <c r="AH47" s="812"/>
      <c r="AI47" s="810">
        <v>46</v>
      </c>
      <c r="AJ47" s="811">
        <f t="shared" si="28"/>
        <v>46</v>
      </c>
      <c r="AK47" s="812"/>
      <c r="AL47" s="810">
        <v>43</v>
      </c>
      <c r="AM47" s="811">
        <f t="shared" si="29"/>
        <v>43</v>
      </c>
      <c r="AN47" s="812"/>
      <c r="AO47" s="810">
        <v>41</v>
      </c>
      <c r="AP47" s="811">
        <f t="shared" si="30"/>
        <v>41</v>
      </c>
      <c r="AQ47" s="812"/>
      <c r="AR47" s="810">
        <v>48</v>
      </c>
      <c r="AS47" s="811">
        <f t="shared" si="31"/>
        <v>48</v>
      </c>
      <c r="AT47" s="812"/>
      <c r="AU47" s="810">
        <v>47</v>
      </c>
      <c r="AV47" s="811">
        <f t="shared" si="32"/>
        <v>47</v>
      </c>
    </row>
    <row r="48" spans="1:48" s="186" customFormat="1" ht="15" customHeight="1" x14ac:dyDescent="0.25">
      <c r="A48" s="5687"/>
      <c r="B48" s="5679"/>
      <c r="C48" s="849" t="s">
        <v>160</v>
      </c>
      <c r="D48" s="850">
        <f>SUM(D37:D47)</f>
        <v>159</v>
      </c>
      <c r="E48" s="851">
        <f t="shared" ref="E48:AG48" si="33">SUM(E37:E47)</f>
        <v>708</v>
      </c>
      <c r="F48" s="852">
        <f t="shared" si="33"/>
        <v>867</v>
      </c>
      <c r="G48" s="850">
        <f t="shared" si="33"/>
        <v>185</v>
      </c>
      <c r="H48" s="851">
        <f t="shared" si="33"/>
        <v>805</v>
      </c>
      <c r="I48" s="852">
        <f t="shared" si="33"/>
        <v>990</v>
      </c>
      <c r="J48" s="850">
        <f t="shared" si="33"/>
        <v>161</v>
      </c>
      <c r="K48" s="851">
        <f t="shared" si="33"/>
        <v>861</v>
      </c>
      <c r="L48" s="852">
        <f t="shared" si="33"/>
        <v>1022</v>
      </c>
      <c r="M48" s="850">
        <f t="shared" si="33"/>
        <v>183</v>
      </c>
      <c r="N48" s="851">
        <f t="shared" si="33"/>
        <v>852</v>
      </c>
      <c r="O48" s="852">
        <f t="shared" si="33"/>
        <v>1035</v>
      </c>
      <c r="P48" s="850">
        <f t="shared" si="33"/>
        <v>212</v>
      </c>
      <c r="Q48" s="851">
        <f t="shared" si="33"/>
        <v>957</v>
      </c>
      <c r="R48" s="852">
        <f t="shared" si="33"/>
        <v>1169</v>
      </c>
      <c r="S48" s="850">
        <f t="shared" si="33"/>
        <v>201</v>
      </c>
      <c r="T48" s="851">
        <f t="shared" si="33"/>
        <v>930</v>
      </c>
      <c r="U48" s="852">
        <f t="shared" si="33"/>
        <v>1131</v>
      </c>
      <c r="V48" s="850">
        <f t="shared" si="33"/>
        <v>182</v>
      </c>
      <c r="W48" s="851">
        <f t="shared" si="33"/>
        <v>896</v>
      </c>
      <c r="X48" s="852">
        <f t="shared" si="33"/>
        <v>1078</v>
      </c>
      <c r="Y48" s="850">
        <f t="shared" si="33"/>
        <v>163</v>
      </c>
      <c r="Z48" s="851">
        <f t="shared" si="33"/>
        <v>940</v>
      </c>
      <c r="AA48" s="852">
        <f t="shared" si="33"/>
        <v>1103</v>
      </c>
      <c r="AB48" s="850">
        <f t="shared" si="33"/>
        <v>158</v>
      </c>
      <c r="AC48" s="851">
        <f t="shared" si="33"/>
        <v>917</v>
      </c>
      <c r="AD48" s="852">
        <f t="shared" si="33"/>
        <v>1075</v>
      </c>
      <c r="AE48" s="850">
        <f t="shared" si="33"/>
        <v>171</v>
      </c>
      <c r="AF48" s="851">
        <f t="shared" si="33"/>
        <v>921</v>
      </c>
      <c r="AG48" s="852">
        <f t="shared" si="33"/>
        <v>1092</v>
      </c>
      <c r="AH48" s="850">
        <f t="shared" ref="AH48:AM48" si="34">SUM(AH37:AH47)</f>
        <v>154</v>
      </c>
      <c r="AI48" s="851">
        <f t="shared" si="34"/>
        <v>941</v>
      </c>
      <c r="AJ48" s="852">
        <f t="shared" si="34"/>
        <v>1095</v>
      </c>
      <c r="AK48" s="850">
        <f t="shared" si="34"/>
        <v>153</v>
      </c>
      <c r="AL48" s="851">
        <f t="shared" si="34"/>
        <v>917</v>
      </c>
      <c r="AM48" s="852">
        <f t="shared" si="34"/>
        <v>1070</v>
      </c>
      <c r="AN48" s="850">
        <f t="shared" ref="AN48:AV48" si="35">SUM(AN37:AN47)</f>
        <v>134</v>
      </c>
      <c r="AO48" s="851">
        <f t="shared" si="35"/>
        <v>932</v>
      </c>
      <c r="AP48" s="852">
        <f t="shared" si="35"/>
        <v>1066</v>
      </c>
      <c r="AQ48" s="850">
        <f t="shared" si="35"/>
        <v>141</v>
      </c>
      <c r="AR48" s="1430">
        <f t="shared" si="35"/>
        <v>987</v>
      </c>
      <c r="AS48" s="852">
        <f t="shared" si="35"/>
        <v>1128</v>
      </c>
      <c r="AT48" s="850">
        <f t="shared" si="35"/>
        <v>145</v>
      </c>
      <c r="AU48" s="1430">
        <f t="shared" si="35"/>
        <v>966</v>
      </c>
      <c r="AV48" s="852">
        <f t="shared" si="35"/>
        <v>1111</v>
      </c>
    </row>
    <row r="49" spans="1:48" s="186" customFormat="1" ht="15" customHeight="1" x14ac:dyDescent="0.25">
      <c r="A49" s="5687"/>
      <c r="B49" s="5677" t="s">
        <v>11</v>
      </c>
      <c r="C49" s="793" t="s">
        <v>478</v>
      </c>
      <c r="D49" s="833">
        <v>26</v>
      </c>
      <c r="E49" s="834">
        <v>47</v>
      </c>
      <c r="F49" s="796">
        <v>73</v>
      </c>
      <c r="G49" s="833">
        <v>29</v>
      </c>
      <c r="H49" s="834">
        <v>63</v>
      </c>
      <c r="I49" s="796">
        <v>92</v>
      </c>
      <c r="J49" s="794">
        <v>50</v>
      </c>
      <c r="K49" s="795">
        <v>67</v>
      </c>
      <c r="L49" s="796">
        <v>117</v>
      </c>
      <c r="M49" s="794">
        <v>72</v>
      </c>
      <c r="N49" s="795">
        <v>64</v>
      </c>
      <c r="O49" s="796">
        <v>136</v>
      </c>
      <c r="P49" s="794">
        <v>56</v>
      </c>
      <c r="Q49" s="795">
        <v>77</v>
      </c>
      <c r="R49" s="796">
        <v>133</v>
      </c>
      <c r="S49" s="794">
        <v>72</v>
      </c>
      <c r="T49" s="795">
        <v>80</v>
      </c>
      <c r="U49" s="796">
        <v>152</v>
      </c>
      <c r="V49" s="794">
        <v>82</v>
      </c>
      <c r="W49" s="795">
        <v>67</v>
      </c>
      <c r="X49" s="796">
        <v>149</v>
      </c>
      <c r="Y49" s="794">
        <v>75</v>
      </c>
      <c r="Z49" s="795">
        <v>77</v>
      </c>
      <c r="AA49" s="796">
        <f t="shared" si="0"/>
        <v>152</v>
      </c>
      <c r="AB49" s="797">
        <v>73</v>
      </c>
      <c r="AC49" s="795">
        <v>65</v>
      </c>
      <c r="AD49" s="796">
        <f t="shared" si="1"/>
        <v>138</v>
      </c>
      <c r="AE49" s="797">
        <v>58</v>
      </c>
      <c r="AF49" s="795">
        <v>55</v>
      </c>
      <c r="AG49" s="796">
        <f t="shared" si="2"/>
        <v>113</v>
      </c>
      <c r="AH49" s="797">
        <v>64</v>
      </c>
      <c r="AI49" s="795">
        <v>65</v>
      </c>
      <c r="AJ49" s="796">
        <f t="shared" ref="AJ49:AJ54" si="36">SUM(AH49:AI49)</f>
        <v>129</v>
      </c>
      <c r="AK49" s="797">
        <v>68</v>
      </c>
      <c r="AL49" s="795">
        <v>63</v>
      </c>
      <c r="AM49" s="796">
        <f t="shared" ref="AM49:AM54" si="37">SUM(AK49:AL49)</f>
        <v>131</v>
      </c>
      <c r="AN49" s="797">
        <v>60</v>
      </c>
      <c r="AO49" s="795">
        <v>62</v>
      </c>
      <c r="AP49" s="796">
        <f t="shared" ref="AP49:AP54" si="38">SUM(AN49:AO49)</f>
        <v>122</v>
      </c>
      <c r="AQ49" s="797">
        <v>68</v>
      </c>
      <c r="AR49" s="795">
        <v>66</v>
      </c>
      <c r="AS49" s="796">
        <f t="shared" ref="AS49:AS54" si="39">SUM(AQ49:AR49)</f>
        <v>134</v>
      </c>
      <c r="AT49" s="797">
        <v>45</v>
      </c>
      <c r="AU49" s="795">
        <v>56</v>
      </c>
      <c r="AV49" s="796">
        <f t="shared" ref="AV49:AV54" si="40">SUM(AT49:AU49)</f>
        <v>101</v>
      </c>
    </row>
    <row r="50" spans="1:48" s="186" customFormat="1" ht="15" customHeight="1" x14ac:dyDescent="0.25">
      <c r="A50" s="5687"/>
      <c r="B50" s="5678"/>
      <c r="C50" s="799" t="s">
        <v>479</v>
      </c>
      <c r="D50" s="835">
        <v>40</v>
      </c>
      <c r="E50" s="836">
        <v>69</v>
      </c>
      <c r="F50" s="802">
        <v>109</v>
      </c>
      <c r="G50" s="835">
        <v>42</v>
      </c>
      <c r="H50" s="836">
        <v>53</v>
      </c>
      <c r="I50" s="802">
        <v>95</v>
      </c>
      <c r="J50" s="800">
        <v>32</v>
      </c>
      <c r="K50" s="801">
        <v>44</v>
      </c>
      <c r="L50" s="802">
        <v>76</v>
      </c>
      <c r="M50" s="800">
        <v>34</v>
      </c>
      <c r="N50" s="801">
        <v>43</v>
      </c>
      <c r="O50" s="802">
        <v>77</v>
      </c>
      <c r="P50" s="800">
        <v>34</v>
      </c>
      <c r="Q50" s="801">
        <v>61</v>
      </c>
      <c r="R50" s="802">
        <v>95</v>
      </c>
      <c r="S50" s="800">
        <v>46</v>
      </c>
      <c r="T50" s="801">
        <v>59</v>
      </c>
      <c r="U50" s="802">
        <v>105</v>
      </c>
      <c r="V50" s="800">
        <v>59</v>
      </c>
      <c r="W50" s="801">
        <v>46</v>
      </c>
      <c r="X50" s="802">
        <v>105</v>
      </c>
      <c r="Y50" s="800">
        <v>37</v>
      </c>
      <c r="Z50" s="801">
        <v>49</v>
      </c>
      <c r="AA50" s="802">
        <f t="shared" si="0"/>
        <v>86</v>
      </c>
      <c r="AB50" s="803">
        <v>47</v>
      </c>
      <c r="AC50" s="801">
        <v>60</v>
      </c>
      <c r="AD50" s="802">
        <f t="shared" si="1"/>
        <v>107</v>
      </c>
      <c r="AE50" s="803">
        <v>56</v>
      </c>
      <c r="AF50" s="801">
        <v>56</v>
      </c>
      <c r="AG50" s="802">
        <f t="shared" si="2"/>
        <v>112</v>
      </c>
      <c r="AH50" s="803">
        <v>67</v>
      </c>
      <c r="AI50" s="801">
        <v>57</v>
      </c>
      <c r="AJ50" s="802">
        <f t="shared" si="36"/>
        <v>124</v>
      </c>
      <c r="AK50" s="803">
        <v>58</v>
      </c>
      <c r="AL50" s="801">
        <v>60</v>
      </c>
      <c r="AM50" s="802">
        <f t="shared" si="37"/>
        <v>118</v>
      </c>
      <c r="AN50" s="803">
        <v>51</v>
      </c>
      <c r="AO50" s="801">
        <v>58</v>
      </c>
      <c r="AP50" s="802">
        <f t="shared" si="38"/>
        <v>109</v>
      </c>
      <c r="AQ50" s="803">
        <v>59</v>
      </c>
      <c r="AR50" s="801">
        <v>63</v>
      </c>
      <c r="AS50" s="802">
        <f t="shared" si="39"/>
        <v>122</v>
      </c>
      <c r="AT50" s="803">
        <v>51</v>
      </c>
      <c r="AU50" s="801">
        <v>60</v>
      </c>
      <c r="AV50" s="802">
        <f t="shared" si="40"/>
        <v>111</v>
      </c>
    </row>
    <row r="51" spans="1:48" s="186" customFormat="1" ht="15" customHeight="1" x14ac:dyDescent="0.25">
      <c r="A51" s="5687"/>
      <c r="B51" s="5678"/>
      <c r="C51" s="799" t="s">
        <v>480</v>
      </c>
      <c r="D51" s="800"/>
      <c r="E51" s="836">
        <v>41</v>
      </c>
      <c r="F51" s="802">
        <v>41</v>
      </c>
      <c r="G51" s="837"/>
      <c r="H51" s="836">
        <v>28</v>
      </c>
      <c r="I51" s="802">
        <v>28</v>
      </c>
      <c r="J51" s="800"/>
      <c r="K51" s="801">
        <v>43</v>
      </c>
      <c r="L51" s="802">
        <v>43</v>
      </c>
      <c r="M51" s="800"/>
      <c r="N51" s="801">
        <v>46</v>
      </c>
      <c r="O51" s="802">
        <v>46</v>
      </c>
      <c r="P51" s="800"/>
      <c r="Q51" s="801">
        <v>45</v>
      </c>
      <c r="R51" s="802">
        <v>45</v>
      </c>
      <c r="S51" s="800"/>
      <c r="T51" s="801">
        <v>49</v>
      </c>
      <c r="U51" s="802">
        <v>49</v>
      </c>
      <c r="V51" s="800"/>
      <c r="W51" s="801">
        <v>73</v>
      </c>
      <c r="X51" s="802">
        <v>73</v>
      </c>
      <c r="Y51" s="800">
        <v>48</v>
      </c>
      <c r="Z51" s="801">
        <v>51</v>
      </c>
      <c r="AA51" s="802">
        <f t="shared" si="0"/>
        <v>99</v>
      </c>
      <c r="AB51" s="803">
        <v>50</v>
      </c>
      <c r="AC51" s="801">
        <v>56</v>
      </c>
      <c r="AD51" s="802">
        <f t="shared" si="1"/>
        <v>106</v>
      </c>
      <c r="AE51" s="803">
        <v>50</v>
      </c>
      <c r="AF51" s="801">
        <v>50</v>
      </c>
      <c r="AG51" s="802">
        <f t="shared" si="2"/>
        <v>100</v>
      </c>
      <c r="AH51" s="803">
        <v>50</v>
      </c>
      <c r="AI51" s="801">
        <v>60</v>
      </c>
      <c r="AJ51" s="802">
        <f t="shared" si="36"/>
        <v>110</v>
      </c>
      <c r="AK51" s="803">
        <v>43</v>
      </c>
      <c r="AL51" s="801">
        <v>46</v>
      </c>
      <c r="AM51" s="802">
        <f t="shared" si="37"/>
        <v>89</v>
      </c>
      <c r="AN51" s="803">
        <v>42</v>
      </c>
      <c r="AO51" s="801">
        <v>43</v>
      </c>
      <c r="AP51" s="802">
        <f t="shared" si="38"/>
        <v>85</v>
      </c>
      <c r="AQ51" s="803">
        <v>24</v>
      </c>
      <c r="AR51" s="801">
        <v>44</v>
      </c>
      <c r="AS51" s="802">
        <f t="shared" si="39"/>
        <v>68</v>
      </c>
      <c r="AT51" s="803">
        <v>25</v>
      </c>
      <c r="AU51" s="801">
        <v>35</v>
      </c>
      <c r="AV51" s="802">
        <f t="shared" si="40"/>
        <v>60</v>
      </c>
    </row>
    <row r="52" spans="1:48" s="186" customFormat="1" ht="15" customHeight="1" x14ac:dyDescent="0.25">
      <c r="A52" s="5687"/>
      <c r="B52" s="5678"/>
      <c r="C52" s="799" t="s">
        <v>481</v>
      </c>
      <c r="D52" s="800"/>
      <c r="E52" s="836">
        <v>13</v>
      </c>
      <c r="F52" s="802">
        <v>13</v>
      </c>
      <c r="G52" s="837"/>
      <c r="H52" s="836">
        <v>19</v>
      </c>
      <c r="I52" s="802">
        <v>19</v>
      </c>
      <c r="J52" s="800"/>
      <c r="K52" s="801">
        <v>20</v>
      </c>
      <c r="L52" s="802">
        <v>20</v>
      </c>
      <c r="M52" s="800"/>
      <c r="N52" s="801">
        <v>16</v>
      </c>
      <c r="O52" s="802">
        <v>16</v>
      </c>
      <c r="P52" s="800"/>
      <c r="Q52" s="801">
        <v>28</v>
      </c>
      <c r="R52" s="802">
        <v>28</v>
      </c>
      <c r="S52" s="800"/>
      <c r="T52" s="801">
        <v>31</v>
      </c>
      <c r="U52" s="802">
        <v>31</v>
      </c>
      <c r="V52" s="800"/>
      <c r="W52" s="801">
        <v>41</v>
      </c>
      <c r="X52" s="802">
        <v>41</v>
      </c>
      <c r="Y52" s="800">
        <v>35</v>
      </c>
      <c r="Z52" s="801">
        <v>59</v>
      </c>
      <c r="AA52" s="802">
        <f t="shared" si="0"/>
        <v>94</v>
      </c>
      <c r="AB52" s="803">
        <v>41</v>
      </c>
      <c r="AC52" s="801">
        <v>34</v>
      </c>
      <c r="AD52" s="802">
        <f t="shared" si="1"/>
        <v>75</v>
      </c>
      <c r="AE52" s="803">
        <v>39</v>
      </c>
      <c r="AF52" s="801">
        <v>49</v>
      </c>
      <c r="AG52" s="802">
        <f t="shared" si="2"/>
        <v>88</v>
      </c>
      <c r="AH52" s="803">
        <v>39</v>
      </c>
      <c r="AI52" s="801">
        <v>49</v>
      </c>
      <c r="AJ52" s="802">
        <f t="shared" si="36"/>
        <v>88</v>
      </c>
      <c r="AK52" s="803">
        <v>35</v>
      </c>
      <c r="AL52" s="801">
        <v>37</v>
      </c>
      <c r="AM52" s="802">
        <f t="shared" si="37"/>
        <v>72</v>
      </c>
      <c r="AN52" s="803">
        <v>26</v>
      </c>
      <c r="AO52" s="801">
        <v>22</v>
      </c>
      <c r="AP52" s="802">
        <f t="shared" si="38"/>
        <v>48</v>
      </c>
      <c r="AQ52" s="803">
        <v>19</v>
      </c>
      <c r="AR52" s="801">
        <v>20</v>
      </c>
      <c r="AS52" s="802">
        <f t="shared" si="39"/>
        <v>39</v>
      </c>
      <c r="AT52" s="803">
        <v>18</v>
      </c>
      <c r="AU52" s="801">
        <v>22</v>
      </c>
      <c r="AV52" s="802">
        <f t="shared" si="40"/>
        <v>40</v>
      </c>
    </row>
    <row r="53" spans="1:48" s="186" customFormat="1" ht="15" customHeight="1" x14ac:dyDescent="0.25">
      <c r="A53" s="5687"/>
      <c r="B53" s="5678"/>
      <c r="C53" s="799" t="s">
        <v>482</v>
      </c>
      <c r="D53" s="835">
        <v>48</v>
      </c>
      <c r="E53" s="836">
        <v>58</v>
      </c>
      <c r="F53" s="802">
        <v>106</v>
      </c>
      <c r="G53" s="835">
        <v>37</v>
      </c>
      <c r="H53" s="836">
        <v>84</v>
      </c>
      <c r="I53" s="802">
        <v>121</v>
      </c>
      <c r="J53" s="800">
        <v>45</v>
      </c>
      <c r="K53" s="801">
        <v>60</v>
      </c>
      <c r="L53" s="802">
        <v>105</v>
      </c>
      <c r="M53" s="800">
        <v>48</v>
      </c>
      <c r="N53" s="801">
        <v>89</v>
      </c>
      <c r="O53" s="802">
        <v>137</v>
      </c>
      <c r="P53" s="800">
        <v>41</v>
      </c>
      <c r="Q53" s="801">
        <v>87</v>
      </c>
      <c r="R53" s="802">
        <v>128</v>
      </c>
      <c r="S53" s="800">
        <v>57</v>
      </c>
      <c r="T53" s="801">
        <v>83</v>
      </c>
      <c r="U53" s="802">
        <v>140</v>
      </c>
      <c r="V53" s="800">
        <v>99</v>
      </c>
      <c r="W53" s="801">
        <v>89</v>
      </c>
      <c r="X53" s="802">
        <v>188</v>
      </c>
      <c r="Y53" s="800">
        <v>78</v>
      </c>
      <c r="Z53" s="801">
        <v>95</v>
      </c>
      <c r="AA53" s="802">
        <f t="shared" si="0"/>
        <v>173</v>
      </c>
      <c r="AB53" s="803">
        <v>85</v>
      </c>
      <c r="AC53" s="801">
        <v>96</v>
      </c>
      <c r="AD53" s="802">
        <f t="shared" si="1"/>
        <v>181</v>
      </c>
      <c r="AE53" s="803">
        <v>98</v>
      </c>
      <c r="AF53" s="801">
        <v>98</v>
      </c>
      <c r="AG53" s="802">
        <f t="shared" si="2"/>
        <v>196</v>
      </c>
      <c r="AH53" s="803">
        <v>77</v>
      </c>
      <c r="AI53" s="801">
        <v>95</v>
      </c>
      <c r="AJ53" s="802">
        <f t="shared" si="36"/>
        <v>172</v>
      </c>
      <c r="AK53" s="803">
        <v>73</v>
      </c>
      <c r="AL53" s="801">
        <v>84</v>
      </c>
      <c r="AM53" s="802">
        <f t="shared" si="37"/>
        <v>157</v>
      </c>
      <c r="AN53" s="803">
        <v>61</v>
      </c>
      <c r="AO53" s="801">
        <v>95</v>
      </c>
      <c r="AP53" s="802">
        <f t="shared" si="38"/>
        <v>156</v>
      </c>
      <c r="AQ53" s="803">
        <v>67</v>
      </c>
      <c r="AR53" s="801">
        <v>97</v>
      </c>
      <c r="AS53" s="802">
        <f t="shared" si="39"/>
        <v>164</v>
      </c>
      <c r="AT53" s="803">
        <v>86</v>
      </c>
      <c r="AU53" s="801">
        <v>98</v>
      </c>
      <c r="AV53" s="802">
        <f t="shared" si="40"/>
        <v>184</v>
      </c>
    </row>
    <row r="54" spans="1:48" s="186" customFormat="1" ht="15" customHeight="1" x14ac:dyDescent="0.25">
      <c r="A54" s="5687"/>
      <c r="B54" s="5678"/>
      <c r="C54" s="808" t="s">
        <v>483</v>
      </c>
      <c r="D54" s="841">
        <v>44</v>
      </c>
      <c r="E54" s="840">
        <v>68</v>
      </c>
      <c r="F54" s="811">
        <v>112</v>
      </c>
      <c r="G54" s="841">
        <v>59</v>
      </c>
      <c r="H54" s="840">
        <v>107</v>
      </c>
      <c r="I54" s="811">
        <v>166</v>
      </c>
      <c r="J54" s="809">
        <v>51</v>
      </c>
      <c r="K54" s="810">
        <v>93</v>
      </c>
      <c r="L54" s="811">
        <v>144</v>
      </c>
      <c r="M54" s="809">
        <v>88</v>
      </c>
      <c r="N54" s="810">
        <v>108</v>
      </c>
      <c r="O54" s="811">
        <v>196</v>
      </c>
      <c r="P54" s="809">
        <v>70</v>
      </c>
      <c r="Q54" s="810">
        <v>94</v>
      </c>
      <c r="R54" s="811">
        <v>164</v>
      </c>
      <c r="S54" s="809">
        <v>80</v>
      </c>
      <c r="T54" s="810">
        <v>99</v>
      </c>
      <c r="U54" s="811">
        <v>179</v>
      </c>
      <c r="V54" s="809">
        <v>106</v>
      </c>
      <c r="W54" s="810">
        <v>91</v>
      </c>
      <c r="X54" s="811">
        <v>197</v>
      </c>
      <c r="Y54" s="809">
        <v>100</v>
      </c>
      <c r="Z54" s="810">
        <v>99</v>
      </c>
      <c r="AA54" s="811">
        <f t="shared" si="0"/>
        <v>199</v>
      </c>
      <c r="AB54" s="812">
        <v>95</v>
      </c>
      <c r="AC54" s="810">
        <v>104</v>
      </c>
      <c r="AD54" s="811">
        <f t="shared" si="1"/>
        <v>199</v>
      </c>
      <c r="AE54" s="812">
        <v>98</v>
      </c>
      <c r="AF54" s="810">
        <v>97</v>
      </c>
      <c r="AG54" s="811">
        <f t="shared" si="2"/>
        <v>195</v>
      </c>
      <c r="AH54" s="812">
        <v>85</v>
      </c>
      <c r="AI54" s="810">
        <v>98</v>
      </c>
      <c r="AJ54" s="811">
        <f t="shared" si="36"/>
        <v>183</v>
      </c>
      <c r="AK54" s="812">
        <v>73</v>
      </c>
      <c r="AL54" s="810">
        <v>95</v>
      </c>
      <c r="AM54" s="811">
        <f t="shared" si="37"/>
        <v>168</v>
      </c>
      <c r="AN54" s="812">
        <v>58</v>
      </c>
      <c r="AO54" s="810">
        <v>97</v>
      </c>
      <c r="AP54" s="811">
        <f t="shared" si="38"/>
        <v>155</v>
      </c>
      <c r="AQ54" s="812">
        <v>42</v>
      </c>
      <c r="AR54" s="810">
        <v>94</v>
      </c>
      <c r="AS54" s="811">
        <f t="shared" si="39"/>
        <v>136</v>
      </c>
      <c r="AT54" s="812">
        <v>61</v>
      </c>
      <c r="AU54" s="810">
        <v>97</v>
      </c>
      <c r="AV54" s="811">
        <f t="shared" si="40"/>
        <v>158</v>
      </c>
    </row>
    <row r="55" spans="1:48" s="186" customFormat="1" ht="15" customHeight="1" x14ac:dyDescent="0.25">
      <c r="A55" s="5687"/>
      <c r="B55" s="5678"/>
      <c r="C55" s="855" t="s">
        <v>160</v>
      </c>
      <c r="D55" s="856">
        <f>SUM(D49:D54)</f>
        <v>158</v>
      </c>
      <c r="E55" s="857">
        <f t="shared" ref="E55:AG55" si="41">SUM(E49:E54)</f>
        <v>296</v>
      </c>
      <c r="F55" s="577">
        <f t="shared" si="41"/>
        <v>454</v>
      </c>
      <c r="G55" s="856">
        <f t="shared" si="41"/>
        <v>167</v>
      </c>
      <c r="H55" s="857">
        <f t="shared" si="41"/>
        <v>354</v>
      </c>
      <c r="I55" s="577">
        <f t="shared" si="41"/>
        <v>521</v>
      </c>
      <c r="J55" s="856">
        <f t="shared" si="41"/>
        <v>178</v>
      </c>
      <c r="K55" s="857">
        <f t="shared" si="41"/>
        <v>327</v>
      </c>
      <c r="L55" s="577">
        <f t="shared" si="41"/>
        <v>505</v>
      </c>
      <c r="M55" s="856">
        <f t="shared" si="41"/>
        <v>242</v>
      </c>
      <c r="N55" s="857">
        <f t="shared" si="41"/>
        <v>366</v>
      </c>
      <c r="O55" s="577">
        <f t="shared" si="41"/>
        <v>608</v>
      </c>
      <c r="P55" s="856">
        <f t="shared" si="41"/>
        <v>201</v>
      </c>
      <c r="Q55" s="857">
        <f t="shared" si="41"/>
        <v>392</v>
      </c>
      <c r="R55" s="577">
        <f t="shared" si="41"/>
        <v>593</v>
      </c>
      <c r="S55" s="856">
        <f t="shared" si="41"/>
        <v>255</v>
      </c>
      <c r="T55" s="857">
        <f t="shared" si="41"/>
        <v>401</v>
      </c>
      <c r="U55" s="577">
        <f t="shared" si="41"/>
        <v>656</v>
      </c>
      <c r="V55" s="856">
        <f t="shared" si="41"/>
        <v>346</v>
      </c>
      <c r="W55" s="857">
        <f t="shared" si="41"/>
        <v>407</v>
      </c>
      <c r="X55" s="577">
        <f t="shared" si="41"/>
        <v>753</v>
      </c>
      <c r="Y55" s="856">
        <f t="shared" si="41"/>
        <v>373</v>
      </c>
      <c r="Z55" s="857">
        <f t="shared" si="41"/>
        <v>430</v>
      </c>
      <c r="AA55" s="577">
        <f t="shared" si="41"/>
        <v>803</v>
      </c>
      <c r="AB55" s="856">
        <f t="shared" si="41"/>
        <v>391</v>
      </c>
      <c r="AC55" s="857">
        <f t="shared" si="41"/>
        <v>415</v>
      </c>
      <c r="AD55" s="577">
        <f t="shared" si="41"/>
        <v>806</v>
      </c>
      <c r="AE55" s="856">
        <f t="shared" si="41"/>
        <v>399</v>
      </c>
      <c r="AF55" s="857">
        <f t="shared" si="41"/>
        <v>405</v>
      </c>
      <c r="AG55" s="577">
        <f t="shared" si="41"/>
        <v>804</v>
      </c>
      <c r="AH55" s="856">
        <f t="shared" ref="AH55:AM55" si="42">SUM(AH49:AH54)</f>
        <v>382</v>
      </c>
      <c r="AI55" s="857">
        <f t="shared" si="42"/>
        <v>424</v>
      </c>
      <c r="AJ55" s="577">
        <f t="shared" si="42"/>
        <v>806</v>
      </c>
      <c r="AK55" s="856">
        <f t="shared" si="42"/>
        <v>350</v>
      </c>
      <c r="AL55" s="857">
        <f t="shared" si="42"/>
        <v>385</v>
      </c>
      <c r="AM55" s="577">
        <f t="shared" si="42"/>
        <v>735</v>
      </c>
      <c r="AN55" s="856">
        <f t="shared" ref="AN55:AV55" si="43">SUM(AN49:AN54)</f>
        <v>298</v>
      </c>
      <c r="AO55" s="857">
        <f t="shared" si="43"/>
        <v>377</v>
      </c>
      <c r="AP55" s="577">
        <f t="shared" si="43"/>
        <v>675</v>
      </c>
      <c r="AQ55" s="856">
        <f t="shared" si="43"/>
        <v>279</v>
      </c>
      <c r="AR55" s="857">
        <f t="shared" si="43"/>
        <v>384</v>
      </c>
      <c r="AS55" s="577">
        <f t="shared" si="43"/>
        <v>663</v>
      </c>
      <c r="AT55" s="856">
        <f t="shared" si="43"/>
        <v>286</v>
      </c>
      <c r="AU55" s="857">
        <f t="shared" si="43"/>
        <v>368</v>
      </c>
      <c r="AV55" s="577">
        <f t="shared" si="43"/>
        <v>654</v>
      </c>
    </row>
    <row r="56" spans="1:48" s="186" customFormat="1" ht="15" customHeight="1" x14ac:dyDescent="0.25">
      <c r="A56" s="5770"/>
      <c r="B56" s="3540"/>
      <c r="C56" s="2265" t="s">
        <v>444</v>
      </c>
      <c r="D56" s="2266">
        <f>SUM(D55,D48,D36)</f>
        <v>612</v>
      </c>
      <c r="E56" s="2267">
        <f t="shared" ref="E56:AG56" si="44">SUM(E55,E48,E36)</f>
        <v>1366</v>
      </c>
      <c r="F56" s="2268">
        <f t="shared" si="44"/>
        <v>1978</v>
      </c>
      <c r="G56" s="2266">
        <f t="shared" si="44"/>
        <v>616</v>
      </c>
      <c r="H56" s="2267">
        <f t="shared" si="44"/>
        <v>1576</v>
      </c>
      <c r="I56" s="2268">
        <f t="shared" si="44"/>
        <v>2192</v>
      </c>
      <c r="J56" s="2266">
        <f t="shared" si="44"/>
        <v>629</v>
      </c>
      <c r="K56" s="2267">
        <f t="shared" si="44"/>
        <v>1625</v>
      </c>
      <c r="L56" s="2268">
        <f t="shared" si="44"/>
        <v>2254</v>
      </c>
      <c r="M56" s="2266">
        <f t="shared" si="44"/>
        <v>782</v>
      </c>
      <c r="N56" s="2267">
        <f t="shared" si="44"/>
        <v>1604</v>
      </c>
      <c r="O56" s="2268">
        <f t="shared" si="44"/>
        <v>2386</v>
      </c>
      <c r="P56" s="2266">
        <f t="shared" si="44"/>
        <v>681</v>
      </c>
      <c r="Q56" s="2267">
        <f t="shared" si="44"/>
        <v>1704</v>
      </c>
      <c r="R56" s="2268">
        <f t="shared" si="44"/>
        <v>2385</v>
      </c>
      <c r="S56" s="2266">
        <f t="shared" si="44"/>
        <v>737</v>
      </c>
      <c r="T56" s="2267">
        <f t="shared" si="44"/>
        <v>1830</v>
      </c>
      <c r="U56" s="2268">
        <f t="shared" si="44"/>
        <v>2567</v>
      </c>
      <c r="V56" s="2266">
        <f t="shared" si="44"/>
        <v>748</v>
      </c>
      <c r="W56" s="2267">
        <f t="shared" si="44"/>
        <v>1731</v>
      </c>
      <c r="X56" s="2268">
        <f t="shared" si="44"/>
        <v>2479</v>
      </c>
      <c r="Y56" s="2266">
        <f t="shared" si="44"/>
        <v>652</v>
      </c>
      <c r="Z56" s="2267">
        <f t="shared" si="44"/>
        <v>2024</v>
      </c>
      <c r="AA56" s="2268">
        <f t="shared" si="44"/>
        <v>2676</v>
      </c>
      <c r="AB56" s="2266">
        <f t="shared" si="44"/>
        <v>735</v>
      </c>
      <c r="AC56" s="2267">
        <f t="shared" si="44"/>
        <v>1954</v>
      </c>
      <c r="AD56" s="2268">
        <f t="shared" si="44"/>
        <v>2689</v>
      </c>
      <c r="AE56" s="2266">
        <f t="shared" si="44"/>
        <v>754</v>
      </c>
      <c r="AF56" s="2267">
        <f t="shared" si="44"/>
        <v>1980</v>
      </c>
      <c r="AG56" s="2268">
        <f t="shared" si="44"/>
        <v>2734</v>
      </c>
      <c r="AH56" s="2266">
        <f t="shared" ref="AH56:AM56" si="45">SUM(AH55,AH48,AH36)</f>
        <v>763</v>
      </c>
      <c r="AI56" s="2267">
        <f t="shared" si="45"/>
        <v>2119</v>
      </c>
      <c r="AJ56" s="2268">
        <f t="shared" si="45"/>
        <v>2882</v>
      </c>
      <c r="AK56" s="2266">
        <f t="shared" si="45"/>
        <v>683</v>
      </c>
      <c r="AL56" s="2267">
        <f t="shared" si="45"/>
        <v>1934</v>
      </c>
      <c r="AM56" s="2268">
        <f t="shared" si="45"/>
        <v>2617</v>
      </c>
      <c r="AN56" s="2266">
        <f t="shared" ref="AN56:AV56" si="46">SUM(AN55,AN48,AN36)</f>
        <v>608</v>
      </c>
      <c r="AO56" s="2267">
        <f t="shared" si="46"/>
        <v>1935</v>
      </c>
      <c r="AP56" s="2268">
        <f t="shared" si="46"/>
        <v>2543</v>
      </c>
      <c r="AQ56" s="2266">
        <f t="shared" si="46"/>
        <v>559</v>
      </c>
      <c r="AR56" s="2267">
        <f t="shared" si="46"/>
        <v>2059</v>
      </c>
      <c r="AS56" s="2268">
        <f t="shared" si="46"/>
        <v>2618</v>
      </c>
      <c r="AT56" s="2266">
        <f t="shared" si="46"/>
        <v>431</v>
      </c>
      <c r="AU56" s="2267">
        <f t="shared" si="46"/>
        <v>1960</v>
      </c>
      <c r="AV56" s="2268">
        <f t="shared" si="46"/>
        <v>2391</v>
      </c>
    </row>
    <row r="57" spans="1:48" s="186" customFormat="1" ht="15" customHeight="1" x14ac:dyDescent="0.25">
      <c r="A57" s="5696" t="s">
        <v>442</v>
      </c>
      <c r="B57" s="5650" t="s">
        <v>6</v>
      </c>
      <c r="C57" s="813" t="s">
        <v>456</v>
      </c>
      <c r="D57" s="842">
        <v>89</v>
      </c>
      <c r="E57" s="843">
        <v>94</v>
      </c>
      <c r="F57" s="816">
        <v>183</v>
      </c>
      <c r="G57" s="842">
        <v>115</v>
      </c>
      <c r="H57" s="843">
        <v>104</v>
      </c>
      <c r="I57" s="816">
        <v>219</v>
      </c>
      <c r="J57" s="814">
        <v>117</v>
      </c>
      <c r="K57" s="815">
        <v>87</v>
      </c>
      <c r="L57" s="816">
        <v>204</v>
      </c>
      <c r="M57" s="814">
        <v>89</v>
      </c>
      <c r="N57" s="815">
        <v>83</v>
      </c>
      <c r="O57" s="816">
        <v>172</v>
      </c>
      <c r="P57" s="814">
        <v>135</v>
      </c>
      <c r="Q57" s="815">
        <v>96</v>
      </c>
      <c r="R57" s="816">
        <v>231</v>
      </c>
      <c r="S57" s="814">
        <v>112</v>
      </c>
      <c r="T57" s="815">
        <v>103</v>
      </c>
      <c r="U57" s="816">
        <v>215</v>
      </c>
      <c r="V57" s="814">
        <v>99</v>
      </c>
      <c r="W57" s="815">
        <v>86</v>
      </c>
      <c r="X57" s="816">
        <v>185</v>
      </c>
      <c r="Y57" s="814">
        <v>102</v>
      </c>
      <c r="Z57" s="815">
        <v>101</v>
      </c>
      <c r="AA57" s="816">
        <f t="shared" si="0"/>
        <v>203</v>
      </c>
      <c r="AB57" s="817">
        <v>109</v>
      </c>
      <c r="AC57" s="815">
        <v>99</v>
      </c>
      <c r="AD57" s="816">
        <f t="shared" si="1"/>
        <v>208</v>
      </c>
      <c r="AE57" s="817">
        <v>105</v>
      </c>
      <c r="AF57" s="815">
        <v>104</v>
      </c>
      <c r="AG57" s="816">
        <f t="shared" si="2"/>
        <v>209</v>
      </c>
      <c r="AH57" s="817">
        <v>106</v>
      </c>
      <c r="AI57" s="815">
        <v>109</v>
      </c>
      <c r="AJ57" s="816">
        <f t="shared" ref="AJ57:AJ62" si="47">SUM(AH57:AI57)</f>
        <v>215</v>
      </c>
      <c r="AK57" s="817">
        <v>121</v>
      </c>
      <c r="AL57" s="815">
        <v>103</v>
      </c>
      <c r="AM57" s="816">
        <f t="shared" ref="AM57:AM62" si="48">SUM(AK57:AL57)</f>
        <v>224</v>
      </c>
      <c r="AN57" s="817">
        <v>112</v>
      </c>
      <c r="AO57" s="815">
        <v>107</v>
      </c>
      <c r="AP57" s="816">
        <f t="shared" ref="AP57:AP62" si="49">SUM(AN57:AO57)</f>
        <v>219</v>
      </c>
      <c r="AQ57" s="817">
        <v>105</v>
      </c>
      <c r="AR57" s="815">
        <v>120</v>
      </c>
      <c r="AS57" s="816">
        <f t="shared" ref="AS57:AS62" si="50">SUM(AQ57:AR57)</f>
        <v>225</v>
      </c>
      <c r="AT57" s="817">
        <v>117</v>
      </c>
      <c r="AU57" s="815">
        <v>107</v>
      </c>
      <c r="AV57" s="816">
        <f t="shared" ref="AV57:AV62" si="51">SUM(AT57:AU57)</f>
        <v>224</v>
      </c>
    </row>
    <row r="58" spans="1:48" s="186" customFormat="1" ht="15" customHeight="1" x14ac:dyDescent="0.25">
      <c r="A58" s="5697"/>
      <c r="B58" s="5651"/>
      <c r="C58" s="799" t="s">
        <v>484</v>
      </c>
      <c r="D58" s="835">
        <v>111</v>
      </c>
      <c r="E58" s="836">
        <v>112</v>
      </c>
      <c r="F58" s="802">
        <v>223</v>
      </c>
      <c r="G58" s="835">
        <v>157</v>
      </c>
      <c r="H58" s="836">
        <v>127</v>
      </c>
      <c r="I58" s="802">
        <v>284</v>
      </c>
      <c r="J58" s="800">
        <v>137</v>
      </c>
      <c r="K58" s="801">
        <v>125</v>
      </c>
      <c r="L58" s="802">
        <v>262</v>
      </c>
      <c r="M58" s="800">
        <v>110</v>
      </c>
      <c r="N58" s="801">
        <v>116</v>
      </c>
      <c r="O58" s="802">
        <v>226</v>
      </c>
      <c r="P58" s="800">
        <v>113</v>
      </c>
      <c r="Q58" s="801">
        <v>106</v>
      </c>
      <c r="R58" s="802">
        <v>219</v>
      </c>
      <c r="S58" s="800">
        <v>117</v>
      </c>
      <c r="T58" s="801">
        <v>113</v>
      </c>
      <c r="U58" s="802">
        <v>230</v>
      </c>
      <c r="V58" s="800">
        <v>111</v>
      </c>
      <c r="W58" s="801">
        <v>107</v>
      </c>
      <c r="X58" s="802">
        <v>218</v>
      </c>
      <c r="Y58" s="800">
        <v>113</v>
      </c>
      <c r="Z58" s="801">
        <v>119</v>
      </c>
      <c r="AA58" s="802">
        <f t="shared" si="0"/>
        <v>232</v>
      </c>
      <c r="AB58" s="803">
        <v>109</v>
      </c>
      <c r="AC58" s="801">
        <v>97</v>
      </c>
      <c r="AD58" s="802">
        <f t="shared" si="1"/>
        <v>206</v>
      </c>
      <c r="AE58" s="803">
        <v>114</v>
      </c>
      <c r="AF58" s="801">
        <v>113</v>
      </c>
      <c r="AG58" s="802">
        <f t="shared" si="2"/>
        <v>227</v>
      </c>
      <c r="AH58" s="803">
        <v>108</v>
      </c>
      <c r="AI58" s="801">
        <v>111</v>
      </c>
      <c r="AJ58" s="802">
        <f t="shared" si="47"/>
        <v>219</v>
      </c>
      <c r="AK58" s="803">
        <v>120</v>
      </c>
      <c r="AL58" s="801">
        <v>111</v>
      </c>
      <c r="AM58" s="802">
        <f t="shared" si="48"/>
        <v>231</v>
      </c>
      <c r="AN58" s="803">
        <v>109</v>
      </c>
      <c r="AO58" s="801">
        <v>113</v>
      </c>
      <c r="AP58" s="802">
        <f t="shared" si="49"/>
        <v>222</v>
      </c>
      <c r="AQ58" s="803">
        <v>105</v>
      </c>
      <c r="AR58" s="801">
        <v>120</v>
      </c>
      <c r="AS58" s="802">
        <f t="shared" si="50"/>
        <v>225</v>
      </c>
      <c r="AT58" s="803">
        <v>120</v>
      </c>
      <c r="AU58" s="801">
        <v>120</v>
      </c>
      <c r="AV58" s="802">
        <f t="shared" si="51"/>
        <v>240</v>
      </c>
    </row>
    <row r="59" spans="1:48" s="186" customFormat="1" ht="15" customHeight="1" x14ac:dyDescent="0.25">
      <c r="A59" s="5697"/>
      <c r="B59" s="5651"/>
      <c r="C59" s="799" t="s">
        <v>458</v>
      </c>
      <c r="D59" s="835">
        <v>88</v>
      </c>
      <c r="E59" s="836">
        <v>89</v>
      </c>
      <c r="F59" s="802">
        <v>177</v>
      </c>
      <c r="G59" s="835">
        <v>119</v>
      </c>
      <c r="H59" s="836">
        <v>99</v>
      </c>
      <c r="I59" s="802">
        <v>218</v>
      </c>
      <c r="J59" s="800">
        <v>104</v>
      </c>
      <c r="K59" s="801">
        <v>100</v>
      </c>
      <c r="L59" s="802">
        <v>204</v>
      </c>
      <c r="M59" s="800">
        <v>91</v>
      </c>
      <c r="N59" s="801">
        <v>102</v>
      </c>
      <c r="O59" s="802">
        <v>193</v>
      </c>
      <c r="P59" s="800">
        <v>103</v>
      </c>
      <c r="Q59" s="801">
        <v>100</v>
      </c>
      <c r="R59" s="802">
        <v>203</v>
      </c>
      <c r="S59" s="800">
        <v>109</v>
      </c>
      <c r="T59" s="801">
        <v>100</v>
      </c>
      <c r="U59" s="802">
        <v>209</v>
      </c>
      <c r="V59" s="800">
        <v>98</v>
      </c>
      <c r="W59" s="801">
        <v>89</v>
      </c>
      <c r="X59" s="802">
        <v>187</v>
      </c>
      <c r="Y59" s="800">
        <v>101</v>
      </c>
      <c r="Z59" s="801">
        <v>96</v>
      </c>
      <c r="AA59" s="802">
        <f t="shared" si="0"/>
        <v>197</v>
      </c>
      <c r="AB59" s="803">
        <v>101</v>
      </c>
      <c r="AC59" s="801">
        <v>91</v>
      </c>
      <c r="AD59" s="802">
        <f t="shared" si="1"/>
        <v>192</v>
      </c>
      <c r="AE59" s="803">
        <v>104</v>
      </c>
      <c r="AF59" s="801">
        <v>100</v>
      </c>
      <c r="AG59" s="802">
        <f t="shared" si="2"/>
        <v>204</v>
      </c>
      <c r="AH59" s="803">
        <v>101</v>
      </c>
      <c r="AI59" s="801">
        <v>105</v>
      </c>
      <c r="AJ59" s="802">
        <f t="shared" si="47"/>
        <v>206</v>
      </c>
      <c r="AK59" s="803">
        <v>116</v>
      </c>
      <c r="AL59" s="801">
        <v>99</v>
      </c>
      <c r="AM59" s="802">
        <f t="shared" si="48"/>
        <v>215</v>
      </c>
      <c r="AN59" s="803">
        <v>110</v>
      </c>
      <c r="AO59" s="801">
        <v>109</v>
      </c>
      <c r="AP59" s="802">
        <f t="shared" si="49"/>
        <v>219</v>
      </c>
      <c r="AQ59" s="803">
        <v>107</v>
      </c>
      <c r="AR59" s="801">
        <v>117</v>
      </c>
      <c r="AS59" s="802">
        <f t="shared" si="50"/>
        <v>224</v>
      </c>
      <c r="AT59" s="803">
        <v>112</v>
      </c>
      <c r="AU59" s="801">
        <v>105</v>
      </c>
      <c r="AV59" s="802">
        <f t="shared" si="51"/>
        <v>217</v>
      </c>
    </row>
    <row r="60" spans="1:48" s="186" customFormat="1" ht="15" customHeight="1" x14ac:dyDescent="0.25">
      <c r="A60" s="5697"/>
      <c r="B60" s="5651"/>
      <c r="C60" s="799" t="s">
        <v>485</v>
      </c>
      <c r="D60" s="835">
        <v>203</v>
      </c>
      <c r="E60" s="836">
        <v>196</v>
      </c>
      <c r="F60" s="802">
        <v>399</v>
      </c>
      <c r="G60" s="835">
        <v>261</v>
      </c>
      <c r="H60" s="836">
        <v>238</v>
      </c>
      <c r="I60" s="802">
        <v>499</v>
      </c>
      <c r="J60" s="800">
        <v>263</v>
      </c>
      <c r="K60" s="801">
        <v>237</v>
      </c>
      <c r="L60" s="802">
        <v>500</v>
      </c>
      <c r="M60" s="800">
        <v>192</v>
      </c>
      <c r="N60" s="801">
        <v>182</v>
      </c>
      <c r="O60" s="802">
        <v>374</v>
      </c>
      <c r="P60" s="800">
        <v>201</v>
      </c>
      <c r="Q60" s="801">
        <v>195</v>
      </c>
      <c r="R60" s="802">
        <v>396</v>
      </c>
      <c r="S60" s="800">
        <v>208</v>
      </c>
      <c r="T60" s="801">
        <v>201</v>
      </c>
      <c r="U60" s="802">
        <v>409</v>
      </c>
      <c r="V60" s="800">
        <v>199</v>
      </c>
      <c r="W60" s="801">
        <v>189</v>
      </c>
      <c r="X60" s="802">
        <v>388</v>
      </c>
      <c r="Y60" s="800">
        <v>200</v>
      </c>
      <c r="Z60" s="801">
        <v>193</v>
      </c>
      <c r="AA60" s="802">
        <f t="shared" si="0"/>
        <v>393</v>
      </c>
      <c r="AB60" s="803">
        <v>192</v>
      </c>
      <c r="AC60" s="801">
        <v>183</v>
      </c>
      <c r="AD60" s="802">
        <f t="shared" si="1"/>
        <v>375</v>
      </c>
      <c r="AE60" s="803">
        <v>188</v>
      </c>
      <c r="AF60" s="801">
        <v>196</v>
      </c>
      <c r="AG60" s="802">
        <f t="shared" si="2"/>
        <v>384</v>
      </c>
      <c r="AH60" s="803">
        <v>176</v>
      </c>
      <c r="AI60" s="801">
        <v>179</v>
      </c>
      <c r="AJ60" s="802">
        <f t="shared" si="47"/>
        <v>355</v>
      </c>
      <c r="AK60" s="803">
        <v>183</v>
      </c>
      <c r="AL60" s="801">
        <v>174</v>
      </c>
      <c r="AM60" s="802">
        <f t="shared" si="48"/>
        <v>357</v>
      </c>
      <c r="AN60" s="803">
        <v>178</v>
      </c>
      <c r="AO60" s="801">
        <v>160</v>
      </c>
      <c r="AP60" s="802">
        <f t="shared" si="49"/>
        <v>338</v>
      </c>
      <c r="AQ60" s="803">
        <v>176</v>
      </c>
      <c r="AR60" s="801">
        <v>189</v>
      </c>
      <c r="AS60" s="802">
        <f t="shared" si="50"/>
        <v>365</v>
      </c>
      <c r="AT60" s="803">
        <v>181</v>
      </c>
      <c r="AU60" s="801">
        <v>170</v>
      </c>
      <c r="AV60" s="802">
        <f t="shared" si="51"/>
        <v>351</v>
      </c>
    </row>
    <row r="61" spans="1:48" s="186" customFormat="1" ht="15" customHeight="1" x14ac:dyDescent="0.25">
      <c r="A61" s="5697"/>
      <c r="B61" s="5651"/>
      <c r="C61" s="799" t="s">
        <v>459</v>
      </c>
      <c r="D61" s="835">
        <v>107</v>
      </c>
      <c r="E61" s="836">
        <v>141</v>
      </c>
      <c r="F61" s="802">
        <v>248</v>
      </c>
      <c r="G61" s="835">
        <v>138</v>
      </c>
      <c r="H61" s="836">
        <v>130</v>
      </c>
      <c r="I61" s="802">
        <v>268</v>
      </c>
      <c r="J61" s="800">
        <v>105</v>
      </c>
      <c r="K61" s="801">
        <v>102</v>
      </c>
      <c r="L61" s="802">
        <v>207</v>
      </c>
      <c r="M61" s="800">
        <v>112</v>
      </c>
      <c r="N61" s="801">
        <v>114</v>
      </c>
      <c r="O61" s="802">
        <v>226</v>
      </c>
      <c r="P61" s="800">
        <v>108</v>
      </c>
      <c r="Q61" s="801">
        <v>110</v>
      </c>
      <c r="R61" s="802">
        <v>218</v>
      </c>
      <c r="S61" s="800">
        <v>109</v>
      </c>
      <c r="T61" s="801">
        <v>103</v>
      </c>
      <c r="U61" s="802">
        <v>212</v>
      </c>
      <c r="V61" s="800">
        <v>100</v>
      </c>
      <c r="W61" s="801">
        <v>98</v>
      </c>
      <c r="X61" s="802">
        <v>198</v>
      </c>
      <c r="Y61" s="800">
        <v>104</v>
      </c>
      <c r="Z61" s="801">
        <v>106</v>
      </c>
      <c r="AA61" s="802">
        <f t="shared" si="0"/>
        <v>210</v>
      </c>
      <c r="AB61" s="803">
        <v>104</v>
      </c>
      <c r="AC61" s="801">
        <v>106</v>
      </c>
      <c r="AD61" s="802">
        <f t="shared" si="1"/>
        <v>210</v>
      </c>
      <c r="AE61" s="803">
        <v>100</v>
      </c>
      <c r="AF61" s="801">
        <v>104</v>
      </c>
      <c r="AG61" s="802">
        <f t="shared" si="2"/>
        <v>204</v>
      </c>
      <c r="AH61" s="803">
        <v>99</v>
      </c>
      <c r="AI61" s="801">
        <v>102</v>
      </c>
      <c r="AJ61" s="802">
        <f t="shared" si="47"/>
        <v>201</v>
      </c>
      <c r="AK61" s="803">
        <v>108</v>
      </c>
      <c r="AL61" s="801">
        <v>101</v>
      </c>
      <c r="AM61" s="802">
        <f t="shared" si="48"/>
        <v>209</v>
      </c>
      <c r="AN61" s="803">
        <v>102</v>
      </c>
      <c r="AO61" s="801">
        <v>99</v>
      </c>
      <c r="AP61" s="802">
        <f t="shared" si="49"/>
        <v>201</v>
      </c>
      <c r="AQ61" s="803">
        <v>102</v>
      </c>
      <c r="AR61" s="801">
        <v>111</v>
      </c>
      <c r="AS61" s="802">
        <f t="shared" si="50"/>
        <v>213</v>
      </c>
      <c r="AT61" s="803">
        <v>117</v>
      </c>
      <c r="AU61" s="801">
        <v>116</v>
      </c>
      <c r="AV61" s="802">
        <f t="shared" si="51"/>
        <v>233</v>
      </c>
    </row>
    <row r="62" spans="1:48" s="186" customFormat="1" ht="15" customHeight="1" x14ac:dyDescent="0.25">
      <c r="A62" s="5697"/>
      <c r="B62" s="5651"/>
      <c r="C62" s="808" t="s">
        <v>486</v>
      </c>
      <c r="D62" s="841">
        <v>33</v>
      </c>
      <c r="E62" s="840">
        <v>43</v>
      </c>
      <c r="F62" s="811">
        <v>76</v>
      </c>
      <c r="G62" s="841">
        <v>49</v>
      </c>
      <c r="H62" s="840">
        <v>36</v>
      </c>
      <c r="I62" s="811">
        <v>85</v>
      </c>
      <c r="J62" s="809">
        <v>42</v>
      </c>
      <c r="K62" s="810">
        <v>33</v>
      </c>
      <c r="L62" s="811">
        <v>75</v>
      </c>
      <c r="M62" s="809">
        <v>37</v>
      </c>
      <c r="N62" s="810">
        <v>50</v>
      </c>
      <c r="O62" s="811">
        <v>87</v>
      </c>
      <c r="P62" s="809">
        <v>42</v>
      </c>
      <c r="Q62" s="810">
        <v>46</v>
      </c>
      <c r="R62" s="811">
        <v>88</v>
      </c>
      <c r="S62" s="809">
        <v>40</v>
      </c>
      <c r="T62" s="810">
        <v>35</v>
      </c>
      <c r="U62" s="811">
        <v>75</v>
      </c>
      <c r="V62" s="809">
        <v>36</v>
      </c>
      <c r="W62" s="810">
        <v>34</v>
      </c>
      <c r="X62" s="811">
        <v>70</v>
      </c>
      <c r="Y62" s="809">
        <v>34</v>
      </c>
      <c r="Z62" s="810">
        <v>37</v>
      </c>
      <c r="AA62" s="811">
        <f t="shared" si="0"/>
        <v>71</v>
      </c>
      <c r="AB62" s="812">
        <v>35</v>
      </c>
      <c r="AC62" s="810">
        <v>36</v>
      </c>
      <c r="AD62" s="811">
        <f t="shared" si="1"/>
        <v>71</v>
      </c>
      <c r="AE62" s="812">
        <v>35</v>
      </c>
      <c r="AF62" s="810">
        <v>42</v>
      </c>
      <c r="AG62" s="811">
        <f t="shared" si="2"/>
        <v>77</v>
      </c>
      <c r="AH62" s="812">
        <v>40</v>
      </c>
      <c r="AI62" s="810">
        <v>43</v>
      </c>
      <c r="AJ62" s="811">
        <f t="shared" si="47"/>
        <v>83</v>
      </c>
      <c r="AK62" s="812">
        <v>60</v>
      </c>
      <c r="AL62" s="810">
        <v>61</v>
      </c>
      <c r="AM62" s="811">
        <f t="shared" si="48"/>
        <v>121</v>
      </c>
      <c r="AN62" s="812">
        <v>60</v>
      </c>
      <c r="AO62" s="810">
        <v>61</v>
      </c>
      <c r="AP62" s="811">
        <f t="shared" si="49"/>
        <v>121</v>
      </c>
      <c r="AQ62" s="812">
        <v>65</v>
      </c>
      <c r="AR62" s="810">
        <v>71</v>
      </c>
      <c r="AS62" s="811">
        <f t="shared" si="50"/>
        <v>136</v>
      </c>
      <c r="AT62" s="812">
        <v>61</v>
      </c>
      <c r="AU62" s="810">
        <v>61</v>
      </c>
      <c r="AV62" s="811">
        <f t="shared" si="51"/>
        <v>122</v>
      </c>
    </row>
    <row r="63" spans="1:48" s="186" customFormat="1" ht="15" customHeight="1" x14ac:dyDescent="0.25">
      <c r="A63" s="5697"/>
      <c r="B63" s="5652"/>
      <c r="C63" s="855" t="s">
        <v>160</v>
      </c>
      <c r="D63" s="856">
        <f>SUM(D57:D62)</f>
        <v>631</v>
      </c>
      <c r="E63" s="857">
        <f t="shared" ref="E63:AG63" si="52">SUM(E57:E62)</f>
        <v>675</v>
      </c>
      <c r="F63" s="577">
        <f t="shared" si="52"/>
        <v>1306</v>
      </c>
      <c r="G63" s="856">
        <f t="shared" si="52"/>
        <v>839</v>
      </c>
      <c r="H63" s="857">
        <f t="shared" si="52"/>
        <v>734</v>
      </c>
      <c r="I63" s="577">
        <f t="shared" si="52"/>
        <v>1573</v>
      </c>
      <c r="J63" s="856">
        <f t="shared" si="52"/>
        <v>768</v>
      </c>
      <c r="K63" s="857">
        <f t="shared" si="52"/>
        <v>684</v>
      </c>
      <c r="L63" s="577">
        <f t="shared" si="52"/>
        <v>1452</v>
      </c>
      <c r="M63" s="856">
        <f t="shared" si="52"/>
        <v>631</v>
      </c>
      <c r="N63" s="857">
        <f t="shared" si="52"/>
        <v>647</v>
      </c>
      <c r="O63" s="577">
        <f t="shared" si="52"/>
        <v>1278</v>
      </c>
      <c r="P63" s="856">
        <f t="shared" si="52"/>
        <v>702</v>
      </c>
      <c r="Q63" s="857">
        <f t="shared" si="52"/>
        <v>653</v>
      </c>
      <c r="R63" s="577">
        <f t="shared" si="52"/>
        <v>1355</v>
      </c>
      <c r="S63" s="856">
        <f t="shared" si="52"/>
        <v>695</v>
      </c>
      <c r="T63" s="857">
        <f t="shared" si="52"/>
        <v>655</v>
      </c>
      <c r="U63" s="577">
        <f t="shared" si="52"/>
        <v>1350</v>
      </c>
      <c r="V63" s="856">
        <f t="shared" si="52"/>
        <v>643</v>
      </c>
      <c r="W63" s="857">
        <f t="shared" si="52"/>
        <v>603</v>
      </c>
      <c r="X63" s="577">
        <f t="shared" si="52"/>
        <v>1246</v>
      </c>
      <c r="Y63" s="856">
        <f t="shared" si="52"/>
        <v>654</v>
      </c>
      <c r="Z63" s="857">
        <f t="shared" si="52"/>
        <v>652</v>
      </c>
      <c r="AA63" s="577">
        <f t="shared" si="52"/>
        <v>1306</v>
      </c>
      <c r="AB63" s="856">
        <f t="shared" si="52"/>
        <v>650</v>
      </c>
      <c r="AC63" s="857">
        <f t="shared" si="52"/>
        <v>612</v>
      </c>
      <c r="AD63" s="577">
        <f t="shared" si="52"/>
        <v>1262</v>
      </c>
      <c r="AE63" s="856">
        <f t="shared" si="52"/>
        <v>646</v>
      </c>
      <c r="AF63" s="857">
        <f t="shared" si="52"/>
        <v>659</v>
      </c>
      <c r="AG63" s="577">
        <f t="shared" si="52"/>
        <v>1305</v>
      </c>
      <c r="AH63" s="856">
        <f t="shared" ref="AH63:AM63" si="53">SUM(AH57:AH62)</f>
        <v>630</v>
      </c>
      <c r="AI63" s="857">
        <f t="shared" si="53"/>
        <v>649</v>
      </c>
      <c r="AJ63" s="577">
        <f t="shared" si="53"/>
        <v>1279</v>
      </c>
      <c r="AK63" s="856">
        <f t="shared" si="53"/>
        <v>708</v>
      </c>
      <c r="AL63" s="857">
        <f t="shared" si="53"/>
        <v>649</v>
      </c>
      <c r="AM63" s="577">
        <f t="shared" si="53"/>
        <v>1357</v>
      </c>
      <c r="AN63" s="856">
        <f t="shared" ref="AN63:AV63" si="54">SUM(AN57:AN62)</f>
        <v>671</v>
      </c>
      <c r="AO63" s="857">
        <f t="shared" si="54"/>
        <v>649</v>
      </c>
      <c r="AP63" s="577">
        <f t="shared" si="54"/>
        <v>1320</v>
      </c>
      <c r="AQ63" s="856">
        <f t="shared" si="54"/>
        <v>660</v>
      </c>
      <c r="AR63" s="1431">
        <f t="shared" si="54"/>
        <v>728</v>
      </c>
      <c r="AS63" s="577">
        <f t="shared" si="54"/>
        <v>1388</v>
      </c>
      <c r="AT63" s="856">
        <f t="shared" si="54"/>
        <v>708</v>
      </c>
      <c r="AU63" s="1431">
        <f t="shared" si="54"/>
        <v>679</v>
      </c>
      <c r="AV63" s="577">
        <f t="shared" si="54"/>
        <v>1387</v>
      </c>
    </row>
    <row r="64" spans="1:48" s="186" customFormat="1" ht="15" customHeight="1" x14ac:dyDescent="0.25">
      <c r="A64" s="5697"/>
      <c r="B64" s="5650" t="s">
        <v>11</v>
      </c>
      <c r="C64" s="793" t="s">
        <v>478</v>
      </c>
      <c r="D64" s="833">
        <v>94</v>
      </c>
      <c r="E64" s="834">
        <v>84</v>
      </c>
      <c r="F64" s="796">
        <v>178</v>
      </c>
      <c r="G64" s="833">
        <v>90</v>
      </c>
      <c r="H64" s="834">
        <v>124</v>
      </c>
      <c r="I64" s="796">
        <v>214</v>
      </c>
      <c r="J64" s="794">
        <v>127</v>
      </c>
      <c r="K64" s="795">
        <v>131</v>
      </c>
      <c r="L64" s="796">
        <v>258</v>
      </c>
      <c r="M64" s="794">
        <v>124</v>
      </c>
      <c r="N64" s="795">
        <v>130</v>
      </c>
      <c r="O64" s="796">
        <v>254</v>
      </c>
      <c r="P64" s="794">
        <v>126</v>
      </c>
      <c r="Q64" s="795">
        <v>97</v>
      </c>
      <c r="R64" s="796">
        <v>223</v>
      </c>
      <c r="S64" s="794">
        <v>116</v>
      </c>
      <c r="T64" s="795">
        <v>99</v>
      </c>
      <c r="U64" s="796">
        <v>215</v>
      </c>
      <c r="V64" s="794">
        <v>100</v>
      </c>
      <c r="W64" s="795">
        <v>91</v>
      </c>
      <c r="X64" s="796">
        <v>191</v>
      </c>
      <c r="Y64" s="794">
        <v>101</v>
      </c>
      <c r="Z64" s="795">
        <v>104</v>
      </c>
      <c r="AA64" s="796">
        <f t="shared" si="0"/>
        <v>205</v>
      </c>
      <c r="AB64" s="797">
        <v>104</v>
      </c>
      <c r="AC64" s="795">
        <v>99</v>
      </c>
      <c r="AD64" s="796">
        <f t="shared" si="1"/>
        <v>203</v>
      </c>
      <c r="AE64" s="797">
        <v>101</v>
      </c>
      <c r="AF64" s="795">
        <v>106</v>
      </c>
      <c r="AG64" s="796">
        <f t="shared" si="2"/>
        <v>207</v>
      </c>
      <c r="AH64" s="797">
        <v>108</v>
      </c>
      <c r="AI64" s="795">
        <v>104</v>
      </c>
      <c r="AJ64" s="796">
        <f t="shared" ref="AJ64:AJ71" si="55">SUM(AH64:AI64)</f>
        <v>212</v>
      </c>
      <c r="AK64" s="797">
        <v>108</v>
      </c>
      <c r="AL64" s="795">
        <v>105</v>
      </c>
      <c r="AM64" s="796">
        <f t="shared" ref="AM64:AM71" si="56">SUM(AK64:AL64)</f>
        <v>213</v>
      </c>
      <c r="AN64" s="797">
        <v>104</v>
      </c>
      <c r="AO64" s="795">
        <v>105</v>
      </c>
      <c r="AP64" s="796">
        <f t="shared" ref="AP64:AP71" si="57">SUM(AN64:AO64)</f>
        <v>209</v>
      </c>
      <c r="AQ64" s="797">
        <v>112</v>
      </c>
      <c r="AR64" s="795">
        <v>117</v>
      </c>
      <c r="AS64" s="796">
        <f t="shared" ref="AS64:AS71" si="58">SUM(AQ64:AR64)</f>
        <v>229</v>
      </c>
      <c r="AT64" s="797">
        <v>115</v>
      </c>
      <c r="AU64" s="795">
        <v>112</v>
      </c>
      <c r="AV64" s="796">
        <f t="shared" ref="AV64:AV71" si="59">SUM(AT64:AU64)</f>
        <v>227</v>
      </c>
    </row>
    <row r="65" spans="1:48" s="186" customFormat="1" ht="15" customHeight="1" x14ac:dyDescent="0.25">
      <c r="A65" s="5697"/>
      <c r="B65" s="5651"/>
      <c r="C65" s="799" t="s">
        <v>487</v>
      </c>
      <c r="D65" s="835">
        <v>63</v>
      </c>
      <c r="E65" s="836">
        <v>65</v>
      </c>
      <c r="F65" s="802">
        <v>128</v>
      </c>
      <c r="G65" s="835">
        <v>99</v>
      </c>
      <c r="H65" s="836">
        <v>83</v>
      </c>
      <c r="I65" s="802">
        <v>182</v>
      </c>
      <c r="J65" s="800">
        <v>89</v>
      </c>
      <c r="K65" s="801">
        <v>90</v>
      </c>
      <c r="L65" s="802">
        <v>179</v>
      </c>
      <c r="M65" s="800">
        <v>86</v>
      </c>
      <c r="N65" s="801">
        <v>86</v>
      </c>
      <c r="O65" s="802">
        <v>172</v>
      </c>
      <c r="P65" s="800">
        <v>67</v>
      </c>
      <c r="Q65" s="801">
        <v>61</v>
      </c>
      <c r="R65" s="802">
        <v>128</v>
      </c>
      <c r="S65" s="800">
        <v>86</v>
      </c>
      <c r="T65" s="801">
        <v>76</v>
      </c>
      <c r="U65" s="802">
        <v>162</v>
      </c>
      <c r="V65" s="800">
        <v>79</v>
      </c>
      <c r="W65" s="801">
        <v>77</v>
      </c>
      <c r="X65" s="802">
        <v>156</v>
      </c>
      <c r="Y65" s="800">
        <v>76</v>
      </c>
      <c r="Z65" s="801">
        <v>75</v>
      </c>
      <c r="AA65" s="802">
        <f t="shared" si="0"/>
        <v>151</v>
      </c>
      <c r="AB65" s="803">
        <v>74</v>
      </c>
      <c r="AC65" s="801">
        <v>64</v>
      </c>
      <c r="AD65" s="802">
        <f t="shared" si="1"/>
        <v>138</v>
      </c>
      <c r="AE65" s="803">
        <v>68</v>
      </c>
      <c r="AF65" s="801">
        <v>66</v>
      </c>
      <c r="AG65" s="802">
        <f t="shared" si="2"/>
        <v>134</v>
      </c>
      <c r="AH65" s="803">
        <v>72</v>
      </c>
      <c r="AI65" s="801">
        <v>64</v>
      </c>
      <c r="AJ65" s="802">
        <f t="shared" si="55"/>
        <v>136</v>
      </c>
      <c r="AK65" s="803">
        <v>72</v>
      </c>
      <c r="AL65" s="801">
        <v>64</v>
      </c>
      <c r="AM65" s="802">
        <f t="shared" si="56"/>
        <v>136</v>
      </c>
      <c r="AN65" s="803">
        <v>70</v>
      </c>
      <c r="AO65" s="801">
        <v>68</v>
      </c>
      <c r="AP65" s="802">
        <f t="shared" si="57"/>
        <v>138</v>
      </c>
      <c r="AQ65" s="803">
        <v>74</v>
      </c>
      <c r="AR65" s="801">
        <v>71</v>
      </c>
      <c r="AS65" s="802">
        <f t="shared" si="58"/>
        <v>145</v>
      </c>
      <c r="AT65" s="803">
        <v>82</v>
      </c>
      <c r="AU65" s="801">
        <v>73</v>
      </c>
      <c r="AV65" s="802">
        <f t="shared" si="59"/>
        <v>155</v>
      </c>
    </row>
    <row r="66" spans="1:48" s="186" customFormat="1" ht="15" customHeight="1" x14ac:dyDescent="0.25">
      <c r="A66" s="5697"/>
      <c r="B66" s="5651"/>
      <c r="C66" s="799" t="s">
        <v>488</v>
      </c>
      <c r="D66" s="835">
        <v>90</v>
      </c>
      <c r="E66" s="836">
        <v>100</v>
      </c>
      <c r="F66" s="802">
        <v>190</v>
      </c>
      <c r="G66" s="835">
        <v>142</v>
      </c>
      <c r="H66" s="836">
        <v>134</v>
      </c>
      <c r="I66" s="802">
        <v>276</v>
      </c>
      <c r="J66" s="800">
        <v>136</v>
      </c>
      <c r="K66" s="801">
        <v>115</v>
      </c>
      <c r="L66" s="802">
        <v>251</v>
      </c>
      <c r="M66" s="800">
        <v>105</v>
      </c>
      <c r="N66" s="801">
        <v>103</v>
      </c>
      <c r="O66" s="802">
        <v>208</v>
      </c>
      <c r="P66" s="800">
        <v>84</v>
      </c>
      <c r="Q66" s="801">
        <v>88</v>
      </c>
      <c r="R66" s="802">
        <v>172</v>
      </c>
      <c r="S66" s="800">
        <v>94</v>
      </c>
      <c r="T66" s="801">
        <v>86</v>
      </c>
      <c r="U66" s="802">
        <v>180</v>
      </c>
      <c r="V66" s="800">
        <v>81</v>
      </c>
      <c r="W66" s="801">
        <v>80</v>
      </c>
      <c r="X66" s="802">
        <v>161</v>
      </c>
      <c r="Y66" s="800">
        <v>93</v>
      </c>
      <c r="Z66" s="801">
        <v>96</v>
      </c>
      <c r="AA66" s="802">
        <f t="shared" si="0"/>
        <v>189</v>
      </c>
      <c r="AB66" s="803">
        <v>85</v>
      </c>
      <c r="AC66" s="801">
        <v>83</v>
      </c>
      <c r="AD66" s="802">
        <f t="shared" si="1"/>
        <v>168</v>
      </c>
      <c r="AE66" s="803">
        <v>79</v>
      </c>
      <c r="AF66" s="801">
        <v>79</v>
      </c>
      <c r="AG66" s="802">
        <f t="shared" si="2"/>
        <v>158</v>
      </c>
      <c r="AH66" s="803">
        <v>89</v>
      </c>
      <c r="AI66" s="801">
        <v>79</v>
      </c>
      <c r="AJ66" s="802">
        <f t="shared" si="55"/>
        <v>168</v>
      </c>
      <c r="AK66" s="803">
        <v>101</v>
      </c>
      <c r="AL66" s="801">
        <v>90</v>
      </c>
      <c r="AM66" s="802">
        <f t="shared" si="56"/>
        <v>191</v>
      </c>
      <c r="AN66" s="803">
        <v>95</v>
      </c>
      <c r="AO66" s="801">
        <v>96</v>
      </c>
      <c r="AP66" s="802">
        <f t="shared" si="57"/>
        <v>191</v>
      </c>
      <c r="AQ66" s="803">
        <v>100</v>
      </c>
      <c r="AR66" s="801">
        <v>116</v>
      </c>
      <c r="AS66" s="802">
        <f t="shared" si="58"/>
        <v>216</v>
      </c>
      <c r="AT66" s="803">
        <v>106</v>
      </c>
      <c r="AU66" s="801">
        <v>109</v>
      </c>
      <c r="AV66" s="802">
        <f t="shared" si="59"/>
        <v>215</v>
      </c>
    </row>
    <row r="67" spans="1:48" s="186" customFormat="1" ht="15" customHeight="1" x14ac:dyDescent="0.25">
      <c r="A67" s="5697"/>
      <c r="B67" s="5651"/>
      <c r="C67" s="799" t="s">
        <v>489</v>
      </c>
      <c r="D67" s="835">
        <v>134</v>
      </c>
      <c r="E67" s="836">
        <v>131</v>
      </c>
      <c r="F67" s="802">
        <v>265</v>
      </c>
      <c r="G67" s="835">
        <v>186</v>
      </c>
      <c r="H67" s="836">
        <v>148</v>
      </c>
      <c r="I67" s="802">
        <v>334</v>
      </c>
      <c r="J67" s="800">
        <v>178</v>
      </c>
      <c r="K67" s="801">
        <v>140</v>
      </c>
      <c r="L67" s="802">
        <v>318</v>
      </c>
      <c r="M67" s="800">
        <v>149</v>
      </c>
      <c r="N67" s="801">
        <v>147</v>
      </c>
      <c r="O67" s="802">
        <v>296</v>
      </c>
      <c r="P67" s="800">
        <v>140</v>
      </c>
      <c r="Q67" s="801">
        <v>119</v>
      </c>
      <c r="R67" s="802">
        <v>259</v>
      </c>
      <c r="S67" s="800">
        <v>136</v>
      </c>
      <c r="T67" s="801">
        <v>121</v>
      </c>
      <c r="U67" s="802">
        <v>257</v>
      </c>
      <c r="V67" s="800">
        <v>126</v>
      </c>
      <c r="W67" s="801">
        <v>122</v>
      </c>
      <c r="X67" s="802">
        <v>248</v>
      </c>
      <c r="Y67" s="800">
        <v>122</v>
      </c>
      <c r="Z67" s="801">
        <v>122</v>
      </c>
      <c r="AA67" s="802">
        <f t="shared" si="0"/>
        <v>244</v>
      </c>
      <c r="AB67" s="803">
        <v>130</v>
      </c>
      <c r="AC67" s="801">
        <v>125</v>
      </c>
      <c r="AD67" s="802">
        <f t="shared" si="1"/>
        <v>255</v>
      </c>
      <c r="AE67" s="803">
        <v>127</v>
      </c>
      <c r="AF67" s="801">
        <v>125</v>
      </c>
      <c r="AG67" s="802">
        <f t="shared" si="2"/>
        <v>252</v>
      </c>
      <c r="AH67" s="803">
        <v>147</v>
      </c>
      <c r="AI67" s="801">
        <v>146</v>
      </c>
      <c r="AJ67" s="802">
        <f t="shared" si="55"/>
        <v>293</v>
      </c>
      <c r="AK67" s="803">
        <v>157</v>
      </c>
      <c r="AL67" s="801">
        <v>148</v>
      </c>
      <c r="AM67" s="802">
        <f t="shared" si="56"/>
        <v>305</v>
      </c>
      <c r="AN67" s="803">
        <v>156</v>
      </c>
      <c r="AO67" s="801">
        <v>152</v>
      </c>
      <c r="AP67" s="802">
        <f t="shared" si="57"/>
        <v>308</v>
      </c>
      <c r="AQ67" s="803">
        <v>151</v>
      </c>
      <c r="AR67" s="801">
        <v>157</v>
      </c>
      <c r="AS67" s="802">
        <f t="shared" si="58"/>
        <v>308</v>
      </c>
      <c r="AT67" s="803">
        <v>161</v>
      </c>
      <c r="AU67" s="801">
        <v>152</v>
      </c>
      <c r="AV67" s="802">
        <f t="shared" si="59"/>
        <v>313</v>
      </c>
    </row>
    <row r="68" spans="1:48" s="186" customFormat="1" ht="15" customHeight="1" x14ac:dyDescent="0.25">
      <c r="A68" s="5697"/>
      <c r="B68" s="5651"/>
      <c r="C68" s="799" t="s">
        <v>490</v>
      </c>
      <c r="D68" s="835">
        <v>147</v>
      </c>
      <c r="E68" s="836">
        <v>150</v>
      </c>
      <c r="F68" s="802">
        <v>297</v>
      </c>
      <c r="G68" s="835">
        <v>179</v>
      </c>
      <c r="H68" s="836">
        <v>187</v>
      </c>
      <c r="I68" s="802">
        <v>366</v>
      </c>
      <c r="J68" s="800">
        <v>154</v>
      </c>
      <c r="K68" s="801">
        <v>174</v>
      </c>
      <c r="L68" s="802">
        <v>328</v>
      </c>
      <c r="M68" s="800">
        <v>162</v>
      </c>
      <c r="N68" s="801">
        <v>159</v>
      </c>
      <c r="O68" s="802">
        <v>321</v>
      </c>
      <c r="P68" s="800">
        <v>158</v>
      </c>
      <c r="Q68" s="801">
        <v>144</v>
      </c>
      <c r="R68" s="802">
        <v>302</v>
      </c>
      <c r="S68" s="800">
        <v>129</v>
      </c>
      <c r="T68" s="801">
        <v>121</v>
      </c>
      <c r="U68" s="802">
        <v>250</v>
      </c>
      <c r="V68" s="800">
        <v>120</v>
      </c>
      <c r="W68" s="801">
        <v>119</v>
      </c>
      <c r="X68" s="802">
        <v>239</v>
      </c>
      <c r="Y68" s="800">
        <v>116</v>
      </c>
      <c r="Z68" s="801">
        <v>120</v>
      </c>
      <c r="AA68" s="802">
        <f t="shared" si="0"/>
        <v>236</v>
      </c>
      <c r="AB68" s="803">
        <v>117</v>
      </c>
      <c r="AC68" s="801">
        <v>114</v>
      </c>
      <c r="AD68" s="802">
        <f t="shared" si="1"/>
        <v>231</v>
      </c>
      <c r="AE68" s="803">
        <v>132</v>
      </c>
      <c r="AF68" s="801">
        <v>125</v>
      </c>
      <c r="AG68" s="802">
        <f t="shared" si="2"/>
        <v>257</v>
      </c>
      <c r="AH68" s="803">
        <v>136</v>
      </c>
      <c r="AI68" s="801">
        <v>139</v>
      </c>
      <c r="AJ68" s="802">
        <f t="shared" si="55"/>
        <v>275</v>
      </c>
      <c r="AK68" s="803">
        <v>129</v>
      </c>
      <c r="AL68" s="801">
        <v>129</v>
      </c>
      <c r="AM68" s="802">
        <f t="shared" si="56"/>
        <v>258</v>
      </c>
      <c r="AN68" s="803">
        <v>131</v>
      </c>
      <c r="AO68" s="801">
        <v>135</v>
      </c>
      <c r="AP68" s="802">
        <f t="shared" si="57"/>
        <v>266</v>
      </c>
      <c r="AQ68" s="803">
        <v>136</v>
      </c>
      <c r="AR68" s="801">
        <v>137</v>
      </c>
      <c r="AS68" s="802">
        <f t="shared" si="58"/>
        <v>273</v>
      </c>
      <c r="AT68" s="803">
        <v>138</v>
      </c>
      <c r="AU68" s="801">
        <v>138</v>
      </c>
      <c r="AV68" s="802">
        <f t="shared" si="59"/>
        <v>276</v>
      </c>
    </row>
    <row r="69" spans="1:48" s="186" customFormat="1" ht="15" customHeight="1" x14ac:dyDescent="0.25">
      <c r="A69" s="5697"/>
      <c r="B69" s="5651"/>
      <c r="C69" s="799" t="s">
        <v>491</v>
      </c>
      <c r="D69" s="835">
        <v>75</v>
      </c>
      <c r="E69" s="836">
        <v>108</v>
      </c>
      <c r="F69" s="802">
        <v>183</v>
      </c>
      <c r="G69" s="835">
        <v>68</v>
      </c>
      <c r="H69" s="836">
        <v>84</v>
      </c>
      <c r="I69" s="802">
        <v>152</v>
      </c>
      <c r="J69" s="800">
        <v>59</v>
      </c>
      <c r="K69" s="801">
        <v>85</v>
      </c>
      <c r="L69" s="802">
        <v>144</v>
      </c>
      <c r="M69" s="800">
        <v>98</v>
      </c>
      <c r="N69" s="801">
        <v>74</v>
      </c>
      <c r="O69" s="802">
        <v>172</v>
      </c>
      <c r="P69" s="800">
        <v>90</v>
      </c>
      <c r="Q69" s="801">
        <v>113</v>
      </c>
      <c r="R69" s="802">
        <v>203</v>
      </c>
      <c r="S69" s="800">
        <v>104</v>
      </c>
      <c r="T69" s="801">
        <v>112</v>
      </c>
      <c r="U69" s="802">
        <v>216</v>
      </c>
      <c r="V69" s="800">
        <v>113</v>
      </c>
      <c r="W69" s="801">
        <v>109</v>
      </c>
      <c r="X69" s="802">
        <v>222</v>
      </c>
      <c r="Y69" s="800">
        <v>124</v>
      </c>
      <c r="Z69" s="801">
        <v>138</v>
      </c>
      <c r="AA69" s="802">
        <f t="shared" si="0"/>
        <v>262</v>
      </c>
      <c r="AB69" s="803">
        <v>129</v>
      </c>
      <c r="AC69" s="801">
        <v>131</v>
      </c>
      <c r="AD69" s="802">
        <f t="shared" si="1"/>
        <v>260</v>
      </c>
      <c r="AE69" s="803">
        <v>117</v>
      </c>
      <c r="AF69" s="801">
        <v>122</v>
      </c>
      <c r="AG69" s="802">
        <f t="shared" si="2"/>
        <v>239</v>
      </c>
      <c r="AH69" s="803">
        <v>111</v>
      </c>
      <c r="AI69" s="801">
        <v>112</v>
      </c>
      <c r="AJ69" s="802">
        <f t="shared" si="55"/>
        <v>223</v>
      </c>
      <c r="AK69" s="803">
        <v>99</v>
      </c>
      <c r="AL69" s="801">
        <v>96</v>
      </c>
      <c r="AM69" s="802">
        <f t="shared" si="56"/>
        <v>195</v>
      </c>
      <c r="AN69" s="803">
        <v>104</v>
      </c>
      <c r="AO69" s="801">
        <v>99</v>
      </c>
      <c r="AP69" s="802">
        <f t="shared" si="57"/>
        <v>203</v>
      </c>
      <c r="AQ69" s="803">
        <v>103</v>
      </c>
      <c r="AR69" s="801">
        <v>112</v>
      </c>
      <c r="AS69" s="802">
        <f t="shared" si="58"/>
        <v>215</v>
      </c>
      <c r="AT69" s="803">
        <v>109</v>
      </c>
      <c r="AU69" s="801">
        <v>121</v>
      </c>
      <c r="AV69" s="802">
        <f t="shared" si="59"/>
        <v>230</v>
      </c>
    </row>
    <row r="70" spans="1:48" s="186" customFormat="1" ht="15" customHeight="1" x14ac:dyDescent="0.25">
      <c r="A70" s="5697"/>
      <c r="B70" s="5651"/>
      <c r="C70" s="799" t="s">
        <v>492</v>
      </c>
      <c r="D70" s="835">
        <v>103</v>
      </c>
      <c r="E70" s="836">
        <v>86</v>
      </c>
      <c r="F70" s="802">
        <v>189</v>
      </c>
      <c r="G70" s="835">
        <v>134</v>
      </c>
      <c r="H70" s="836">
        <v>118</v>
      </c>
      <c r="I70" s="802">
        <v>252</v>
      </c>
      <c r="J70" s="800">
        <v>134</v>
      </c>
      <c r="K70" s="801">
        <v>112</v>
      </c>
      <c r="L70" s="802">
        <v>246</v>
      </c>
      <c r="M70" s="800">
        <v>124</v>
      </c>
      <c r="N70" s="801">
        <v>105</v>
      </c>
      <c r="O70" s="802">
        <v>229</v>
      </c>
      <c r="P70" s="800">
        <v>102</v>
      </c>
      <c r="Q70" s="801">
        <v>69</v>
      </c>
      <c r="R70" s="802">
        <v>171</v>
      </c>
      <c r="S70" s="800">
        <v>134</v>
      </c>
      <c r="T70" s="801">
        <v>115</v>
      </c>
      <c r="U70" s="802">
        <v>249</v>
      </c>
      <c r="V70" s="800">
        <v>117</v>
      </c>
      <c r="W70" s="801">
        <v>97</v>
      </c>
      <c r="X70" s="802">
        <v>214</v>
      </c>
      <c r="Y70" s="800">
        <v>117</v>
      </c>
      <c r="Z70" s="801">
        <v>111</v>
      </c>
      <c r="AA70" s="802">
        <f t="shared" ref="AA70:AA76" si="60">SUM(Y70:Z70)</f>
        <v>228</v>
      </c>
      <c r="AB70" s="803">
        <v>109</v>
      </c>
      <c r="AC70" s="801">
        <v>86</v>
      </c>
      <c r="AD70" s="802">
        <f t="shared" si="1"/>
        <v>195</v>
      </c>
      <c r="AE70" s="803">
        <v>107</v>
      </c>
      <c r="AF70" s="801">
        <v>95</v>
      </c>
      <c r="AG70" s="802">
        <f t="shared" si="2"/>
        <v>202</v>
      </c>
      <c r="AH70" s="803">
        <v>107</v>
      </c>
      <c r="AI70" s="801">
        <v>97</v>
      </c>
      <c r="AJ70" s="802">
        <f t="shared" si="55"/>
        <v>204</v>
      </c>
      <c r="AK70" s="803">
        <v>120</v>
      </c>
      <c r="AL70" s="801">
        <v>103</v>
      </c>
      <c r="AM70" s="802">
        <f t="shared" si="56"/>
        <v>223</v>
      </c>
      <c r="AN70" s="803">
        <v>117</v>
      </c>
      <c r="AO70" s="801">
        <v>101</v>
      </c>
      <c r="AP70" s="802">
        <f t="shared" si="57"/>
        <v>218</v>
      </c>
      <c r="AQ70" s="803">
        <v>112</v>
      </c>
      <c r="AR70" s="801">
        <v>110</v>
      </c>
      <c r="AS70" s="802">
        <f t="shared" si="58"/>
        <v>222</v>
      </c>
      <c r="AT70" s="803">
        <v>104</v>
      </c>
      <c r="AU70" s="801">
        <v>85</v>
      </c>
      <c r="AV70" s="802">
        <f t="shared" si="59"/>
        <v>189</v>
      </c>
    </row>
    <row r="71" spans="1:48" s="186" customFormat="1" ht="15" customHeight="1" x14ac:dyDescent="0.25">
      <c r="A71" s="5697"/>
      <c r="B71" s="5651"/>
      <c r="C71" s="808" t="s">
        <v>493</v>
      </c>
      <c r="D71" s="841">
        <v>63</v>
      </c>
      <c r="E71" s="840">
        <v>52</v>
      </c>
      <c r="F71" s="811">
        <v>115</v>
      </c>
      <c r="G71" s="841">
        <v>77</v>
      </c>
      <c r="H71" s="840">
        <v>65</v>
      </c>
      <c r="I71" s="811">
        <v>142</v>
      </c>
      <c r="J71" s="809">
        <v>83</v>
      </c>
      <c r="K71" s="810">
        <v>65</v>
      </c>
      <c r="L71" s="811">
        <v>148</v>
      </c>
      <c r="M71" s="809">
        <v>67</v>
      </c>
      <c r="N71" s="810">
        <v>76</v>
      </c>
      <c r="O71" s="811">
        <v>143</v>
      </c>
      <c r="P71" s="809">
        <v>69</v>
      </c>
      <c r="Q71" s="810">
        <v>56</v>
      </c>
      <c r="R71" s="811">
        <v>125</v>
      </c>
      <c r="S71" s="809">
        <v>60</v>
      </c>
      <c r="T71" s="810">
        <v>53</v>
      </c>
      <c r="U71" s="811">
        <v>113</v>
      </c>
      <c r="V71" s="809">
        <v>54</v>
      </c>
      <c r="W71" s="810">
        <v>54</v>
      </c>
      <c r="X71" s="811">
        <v>108</v>
      </c>
      <c r="Y71" s="809">
        <v>64</v>
      </c>
      <c r="Z71" s="810">
        <v>57</v>
      </c>
      <c r="AA71" s="811">
        <f t="shared" si="60"/>
        <v>121</v>
      </c>
      <c r="AB71" s="812">
        <v>67</v>
      </c>
      <c r="AC71" s="810">
        <v>62</v>
      </c>
      <c r="AD71" s="811">
        <f t="shared" si="1"/>
        <v>129</v>
      </c>
      <c r="AE71" s="812">
        <v>64</v>
      </c>
      <c r="AF71" s="810">
        <v>63</v>
      </c>
      <c r="AG71" s="811">
        <f t="shared" si="2"/>
        <v>127</v>
      </c>
      <c r="AH71" s="812">
        <v>76</v>
      </c>
      <c r="AI71" s="810">
        <v>73</v>
      </c>
      <c r="AJ71" s="811">
        <f t="shared" si="55"/>
        <v>149</v>
      </c>
      <c r="AK71" s="812">
        <v>78</v>
      </c>
      <c r="AL71" s="810">
        <v>75</v>
      </c>
      <c r="AM71" s="811">
        <f t="shared" si="56"/>
        <v>153</v>
      </c>
      <c r="AN71" s="812">
        <v>74</v>
      </c>
      <c r="AO71" s="810">
        <v>77</v>
      </c>
      <c r="AP71" s="811">
        <f t="shared" si="57"/>
        <v>151</v>
      </c>
      <c r="AQ71" s="812">
        <v>76</v>
      </c>
      <c r="AR71" s="810">
        <v>76</v>
      </c>
      <c r="AS71" s="811">
        <f t="shared" si="58"/>
        <v>152</v>
      </c>
      <c r="AT71" s="812">
        <v>79</v>
      </c>
      <c r="AU71" s="810">
        <v>76</v>
      </c>
      <c r="AV71" s="811">
        <f t="shared" si="59"/>
        <v>155</v>
      </c>
    </row>
    <row r="72" spans="1:48" s="186" customFormat="1" ht="15" customHeight="1" x14ac:dyDescent="0.25">
      <c r="A72" s="5697"/>
      <c r="B72" s="5652"/>
      <c r="C72" s="855" t="s">
        <v>160</v>
      </c>
      <c r="D72" s="856">
        <f>SUM(D64:D71)</f>
        <v>769</v>
      </c>
      <c r="E72" s="857">
        <f t="shared" ref="E72:AG72" si="61">SUM(E64:E71)</f>
        <v>776</v>
      </c>
      <c r="F72" s="577">
        <f t="shared" si="61"/>
        <v>1545</v>
      </c>
      <c r="G72" s="856">
        <f t="shared" si="61"/>
        <v>975</v>
      </c>
      <c r="H72" s="857">
        <f t="shared" si="61"/>
        <v>943</v>
      </c>
      <c r="I72" s="577">
        <f t="shared" si="61"/>
        <v>1918</v>
      </c>
      <c r="J72" s="856">
        <f t="shared" si="61"/>
        <v>960</v>
      </c>
      <c r="K72" s="857">
        <f t="shared" si="61"/>
        <v>912</v>
      </c>
      <c r="L72" s="577">
        <f t="shared" si="61"/>
        <v>1872</v>
      </c>
      <c r="M72" s="856">
        <f t="shared" si="61"/>
        <v>915</v>
      </c>
      <c r="N72" s="857">
        <f t="shared" si="61"/>
        <v>880</v>
      </c>
      <c r="O72" s="577">
        <f t="shared" si="61"/>
        <v>1795</v>
      </c>
      <c r="P72" s="856">
        <f t="shared" si="61"/>
        <v>836</v>
      </c>
      <c r="Q72" s="857">
        <f t="shared" si="61"/>
        <v>747</v>
      </c>
      <c r="R72" s="577">
        <f t="shared" si="61"/>
        <v>1583</v>
      </c>
      <c r="S72" s="856">
        <f t="shared" si="61"/>
        <v>859</v>
      </c>
      <c r="T72" s="857">
        <f t="shared" si="61"/>
        <v>783</v>
      </c>
      <c r="U72" s="577">
        <f t="shared" si="61"/>
        <v>1642</v>
      </c>
      <c r="V72" s="856">
        <f t="shared" si="61"/>
        <v>790</v>
      </c>
      <c r="W72" s="857">
        <f t="shared" si="61"/>
        <v>749</v>
      </c>
      <c r="X72" s="577">
        <f t="shared" si="61"/>
        <v>1539</v>
      </c>
      <c r="Y72" s="856">
        <f t="shared" si="61"/>
        <v>813</v>
      </c>
      <c r="Z72" s="857">
        <f t="shared" si="61"/>
        <v>823</v>
      </c>
      <c r="AA72" s="577">
        <f t="shared" si="61"/>
        <v>1636</v>
      </c>
      <c r="AB72" s="856">
        <f t="shared" si="61"/>
        <v>815</v>
      </c>
      <c r="AC72" s="857">
        <f t="shared" si="61"/>
        <v>764</v>
      </c>
      <c r="AD72" s="577">
        <f t="shared" si="61"/>
        <v>1579</v>
      </c>
      <c r="AE72" s="856">
        <f t="shared" si="61"/>
        <v>795</v>
      </c>
      <c r="AF72" s="857">
        <f t="shared" si="61"/>
        <v>781</v>
      </c>
      <c r="AG72" s="577">
        <f t="shared" si="61"/>
        <v>1576</v>
      </c>
      <c r="AH72" s="856">
        <f t="shared" ref="AH72:AM72" si="62">SUM(AH64:AH71)</f>
        <v>846</v>
      </c>
      <c r="AI72" s="857">
        <f t="shared" si="62"/>
        <v>814</v>
      </c>
      <c r="AJ72" s="577">
        <f t="shared" si="62"/>
        <v>1660</v>
      </c>
      <c r="AK72" s="856">
        <f t="shared" si="62"/>
        <v>864</v>
      </c>
      <c r="AL72" s="857">
        <f t="shared" si="62"/>
        <v>810</v>
      </c>
      <c r="AM72" s="577">
        <f t="shared" si="62"/>
        <v>1674</v>
      </c>
      <c r="AN72" s="856">
        <f t="shared" ref="AN72:AV72" si="63">SUM(AN64:AN71)</f>
        <v>851</v>
      </c>
      <c r="AO72" s="857">
        <f t="shared" si="63"/>
        <v>833</v>
      </c>
      <c r="AP72" s="577">
        <f t="shared" si="63"/>
        <v>1684</v>
      </c>
      <c r="AQ72" s="856">
        <f t="shared" si="63"/>
        <v>864</v>
      </c>
      <c r="AR72" s="1431">
        <f t="shared" si="63"/>
        <v>896</v>
      </c>
      <c r="AS72" s="577">
        <f t="shared" si="63"/>
        <v>1760</v>
      </c>
      <c r="AT72" s="856">
        <f t="shared" si="63"/>
        <v>894</v>
      </c>
      <c r="AU72" s="1431">
        <f t="shared" si="63"/>
        <v>866</v>
      </c>
      <c r="AV72" s="577">
        <f t="shared" si="63"/>
        <v>1760</v>
      </c>
    </row>
    <row r="73" spans="1:48" s="186" customFormat="1" ht="15" customHeight="1" x14ac:dyDescent="0.25">
      <c r="A73" s="5697"/>
      <c r="B73" s="5650" t="s">
        <v>7</v>
      </c>
      <c r="C73" s="813" t="s">
        <v>460</v>
      </c>
      <c r="D73" s="842">
        <v>152</v>
      </c>
      <c r="E73" s="843">
        <v>158</v>
      </c>
      <c r="F73" s="816">
        <v>310</v>
      </c>
      <c r="G73" s="842">
        <v>164</v>
      </c>
      <c r="H73" s="843">
        <v>162</v>
      </c>
      <c r="I73" s="816">
        <v>326</v>
      </c>
      <c r="J73" s="814">
        <v>163</v>
      </c>
      <c r="K73" s="815">
        <v>163</v>
      </c>
      <c r="L73" s="816">
        <v>326</v>
      </c>
      <c r="M73" s="814">
        <v>149</v>
      </c>
      <c r="N73" s="815">
        <v>152</v>
      </c>
      <c r="O73" s="816">
        <v>301</v>
      </c>
      <c r="P73" s="814">
        <v>158</v>
      </c>
      <c r="Q73" s="815">
        <v>162</v>
      </c>
      <c r="R73" s="816">
        <v>320</v>
      </c>
      <c r="S73" s="814">
        <v>163</v>
      </c>
      <c r="T73" s="815">
        <v>164</v>
      </c>
      <c r="U73" s="816">
        <v>327</v>
      </c>
      <c r="V73" s="814">
        <v>131</v>
      </c>
      <c r="W73" s="815">
        <v>128</v>
      </c>
      <c r="X73" s="816">
        <v>259</v>
      </c>
      <c r="Y73" s="814">
        <v>132</v>
      </c>
      <c r="Z73" s="815">
        <v>127</v>
      </c>
      <c r="AA73" s="816">
        <f t="shared" si="60"/>
        <v>259</v>
      </c>
      <c r="AB73" s="817">
        <v>136</v>
      </c>
      <c r="AC73" s="815">
        <v>128</v>
      </c>
      <c r="AD73" s="816">
        <f t="shared" si="1"/>
        <v>264</v>
      </c>
      <c r="AE73" s="817">
        <v>133</v>
      </c>
      <c r="AF73" s="815">
        <v>130</v>
      </c>
      <c r="AG73" s="816">
        <f t="shared" si="2"/>
        <v>263</v>
      </c>
      <c r="AH73" s="817">
        <v>136</v>
      </c>
      <c r="AI73" s="815">
        <v>130</v>
      </c>
      <c r="AJ73" s="816">
        <f>SUM(AH73:AI73)</f>
        <v>266</v>
      </c>
      <c r="AK73" s="817">
        <v>135</v>
      </c>
      <c r="AL73" s="815">
        <v>128</v>
      </c>
      <c r="AM73" s="816">
        <f>SUM(AK73:AL73)</f>
        <v>263</v>
      </c>
      <c r="AN73" s="817">
        <v>134</v>
      </c>
      <c r="AO73" s="815">
        <v>132</v>
      </c>
      <c r="AP73" s="816">
        <f>SUM(AN73:AO73)</f>
        <v>266</v>
      </c>
      <c r="AQ73" s="817">
        <v>140</v>
      </c>
      <c r="AR73" s="815">
        <v>141</v>
      </c>
      <c r="AS73" s="816">
        <f>SUM(AQ73:AR73)</f>
        <v>281</v>
      </c>
      <c r="AT73" s="817">
        <v>132</v>
      </c>
      <c r="AU73" s="815">
        <v>136</v>
      </c>
      <c r="AV73" s="816">
        <f>SUM(AT73:AU73)</f>
        <v>268</v>
      </c>
    </row>
    <row r="74" spans="1:48" s="186" customFormat="1" ht="15" customHeight="1" x14ac:dyDescent="0.25">
      <c r="A74" s="5697"/>
      <c r="B74" s="5651"/>
      <c r="C74" s="799" t="s">
        <v>461</v>
      </c>
      <c r="D74" s="835">
        <v>78</v>
      </c>
      <c r="E74" s="836">
        <v>80</v>
      </c>
      <c r="F74" s="802">
        <v>158</v>
      </c>
      <c r="G74" s="835">
        <v>72</v>
      </c>
      <c r="H74" s="836">
        <v>75</v>
      </c>
      <c r="I74" s="802">
        <v>147</v>
      </c>
      <c r="J74" s="800">
        <v>76</v>
      </c>
      <c r="K74" s="801">
        <v>77</v>
      </c>
      <c r="L74" s="802">
        <v>153</v>
      </c>
      <c r="M74" s="800">
        <v>61</v>
      </c>
      <c r="N74" s="801">
        <v>56</v>
      </c>
      <c r="O74" s="802">
        <v>117</v>
      </c>
      <c r="P74" s="800">
        <v>59</v>
      </c>
      <c r="Q74" s="801">
        <v>58</v>
      </c>
      <c r="R74" s="802">
        <v>117</v>
      </c>
      <c r="S74" s="800">
        <v>64</v>
      </c>
      <c r="T74" s="801">
        <v>59</v>
      </c>
      <c r="U74" s="802">
        <v>123</v>
      </c>
      <c r="V74" s="800">
        <v>57</v>
      </c>
      <c r="W74" s="801">
        <v>60</v>
      </c>
      <c r="X74" s="802">
        <v>117</v>
      </c>
      <c r="Y74" s="800">
        <v>60</v>
      </c>
      <c r="Z74" s="801">
        <v>62</v>
      </c>
      <c r="AA74" s="802">
        <f t="shared" si="60"/>
        <v>122</v>
      </c>
      <c r="AB74" s="803">
        <v>62</v>
      </c>
      <c r="AC74" s="801">
        <v>60</v>
      </c>
      <c r="AD74" s="802">
        <f t="shared" si="1"/>
        <v>122</v>
      </c>
      <c r="AE74" s="803">
        <v>59</v>
      </c>
      <c r="AF74" s="801">
        <v>65</v>
      </c>
      <c r="AG74" s="802">
        <f t="shared" si="2"/>
        <v>124</v>
      </c>
      <c r="AH74" s="803">
        <v>60</v>
      </c>
      <c r="AI74" s="801">
        <v>64</v>
      </c>
      <c r="AJ74" s="802">
        <f>SUM(AH74:AI74)</f>
        <v>124</v>
      </c>
      <c r="AK74" s="803">
        <v>63</v>
      </c>
      <c r="AL74" s="801">
        <v>59</v>
      </c>
      <c r="AM74" s="802">
        <f>SUM(AK74:AL74)</f>
        <v>122</v>
      </c>
      <c r="AN74" s="803">
        <v>65</v>
      </c>
      <c r="AO74" s="801">
        <v>61</v>
      </c>
      <c r="AP74" s="802">
        <f>SUM(AN74:AO74)</f>
        <v>126</v>
      </c>
      <c r="AQ74" s="803">
        <v>59</v>
      </c>
      <c r="AR74" s="801">
        <v>61</v>
      </c>
      <c r="AS74" s="802">
        <f>SUM(AQ74:AR74)</f>
        <v>120</v>
      </c>
      <c r="AT74" s="803">
        <v>60</v>
      </c>
      <c r="AU74" s="801">
        <v>64</v>
      </c>
      <c r="AV74" s="802">
        <f>SUM(AT74:AU74)</f>
        <v>124</v>
      </c>
    </row>
    <row r="75" spans="1:48" s="186" customFormat="1" ht="15" customHeight="1" x14ac:dyDescent="0.25">
      <c r="A75" s="5697"/>
      <c r="B75" s="5651"/>
      <c r="C75" s="799" t="s">
        <v>462</v>
      </c>
      <c r="D75" s="835">
        <v>70</v>
      </c>
      <c r="E75" s="836">
        <v>65</v>
      </c>
      <c r="F75" s="802">
        <v>135</v>
      </c>
      <c r="G75" s="835">
        <v>82</v>
      </c>
      <c r="H75" s="836">
        <v>81</v>
      </c>
      <c r="I75" s="802">
        <v>163</v>
      </c>
      <c r="J75" s="800">
        <v>75</v>
      </c>
      <c r="K75" s="801">
        <v>75</v>
      </c>
      <c r="L75" s="802">
        <v>150</v>
      </c>
      <c r="M75" s="800">
        <v>68</v>
      </c>
      <c r="N75" s="801">
        <v>63</v>
      </c>
      <c r="O75" s="802">
        <v>131</v>
      </c>
      <c r="P75" s="800">
        <v>68</v>
      </c>
      <c r="Q75" s="801">
        <v>58</v>
      </c>
      <c r="R75" s="802">
        <v>126</v>
      </c>
      <c r="S75" s="800">
        <v>67</v>
      </c>
      <c r="T75" s="801">
        <v>59</v>
      </c>
      <c r="U75" s="802">
        <v>126</v>
      </c>
      <c r="V75" s="800">
        <v>58</v>
      </c>
      <c r="W75" s="801">
        <v>58</v>
      </c>
      <c r="X75" s="802">
        <v>116</v>
      </c>
      <c r="Y75" s="800">
        <v>60</v>
      </c>
      <c r="Z75" s="801">
        <v>59</v>
      </c>
      <c r="AA75" s="802">
        <f t="shared" si="60"/>
        <v>119</v>
      </c>
      <c r="AB75" s="803">
        <v>65</v>
      </c>
      <c r="AC75" s="801">
        <v>61</v>
      </c>
      <c r="AD75" s="802">
        <f t="shared" si="1"/>
        <v>126</v>
      </c>
      <c r="AE75" s="803">
        <v>62</v>
      </c>
      <c r="AF75" s="801">
        <v>61</v>
      </c>
      <c r="AG75" s="802">
        <f t="shared" si="2"/>
        <v>123</v>
      </c>
      <c r="AH75" s="803">
        <v>59</v>
      </c>
      <c r="AI75" s="801">
        <v>63</v>
      </c>
      <c r="AJ75" s="802">
        <f>SUM(AH75:AI75)</f>
        <v>122</v>
      </c>
      <c r="AK75" s="803">
        <v>63</v>
      </c>
      <c r="AL75" s="801">
        <v>58</v>
      </c>
      <c r="AM75" s="802">
        <f>SUM(AK75:AL75)</f>
        <v>121</v>
      </c>
      <c r="AN75" s="803">
        <v>66</v>
      </c>
      <c r="AO75" s="801">
        <v>66</v>
      </c>
      <c r="AP75" s="802">
        <f>SUM(AN75:AO75)</f>
        <v>132</v>
      </c>
      <c r="AQ75" s="803">
        <v>66</v>
      </c>
      <c r="AR75" s="801">
        <v>69</v>
      </c>
      <c r="AS75" s="802">
        <f>SUM(AQ75:AR75)</f>
        <v>135</v>
      </c>
      <c r="AT75" s="803">
        <v>65</v>
      </c>
      <c r="AU75" s="801">
        <v>67</v>
      </c>
      <c r="AV75" s="802">
        <f>SUM(AT75:AU75)</f>
        <v>132</v>
      </c>
    </row>
    <row r="76" spans="1:48" s="186" customFormat="1" ht="15" customHeight="1" x14ac:dyDescent="0.25">
      <c r="A76" s="5697"/>
      <c r="B76" s="5651"/>
      <c r="C76" s="808" t="s">
        <v>494</v>
      </c>
      <c r="D76" s="841">
        <v>50</v>
      </c>
      <c r="E76" s="840">
        <v>54</v>
      </c>
      <c r="F76" s="811">
        <v>104</v>
      </c>
      <c r="G76" s="841">
        <v>48</v>
      </c>
      <c r="H76" s="840">
        <v>66</v>
      </c>
      <c r="I76" s="811">
        <v>114</v>
      </c>
      <c r="J76" s="809">
        <v>59</v>
      </c>
      <c r="K76" s="810">
        <v>52</v>
      </c>
      <c r="L76" s="811">
        <v>111</v>
      </c>
      <c r="M76" s="809">
        <v>56</v>
      </c>
      <c r="N76" s="810">
        <v>61</v>
      </c>
      <c r="O76" s="811">
        <v>117</v>
      </c>
      <c r="P76" s="809">
        <v>65</v>
      </c>
      <c r="Q76" s="810">
        <v>67</v>
      </c>
      <c r="R76" s="811">
        <v>132</v>
      </c>
      <c r="S76" s="809">
        <v>62</v>
      </c>
      <c r="T76" s="810">
        <v>65</v>
      </c>
      <c r="U76" s="811">
        <v>127</v>
      </c>
      <c r="V76" s="809">
        <v>60</v>
      </c>
      <c r="W76" s="810">
        <v>62</v>
      </c>
      <c r="X76" s="811">
        <v>122</v>
      </c>
      <c r="Y76" s="809">
        <v>61</v>
      </c>
      <c r="Z76" s="810">
        <v>60</v>
      </c>
      <c r="AA76" s="811">
        <f t="shared" si="60"/>
        <v>121</v>
      </c>
      <c r="AB76" s="812">
        <v>66</v>
      </c>
      <c r="AC76" s="810">
        <v>63</v>
      </c>
      <c r="AD76" s="811">
        <f t="shared" si="1"/>
        <v>129</v>
      </c>
      <c r="AE76" s="812">
        <v>59</v>
      </c>
      <c r="AF76" s="810">
        <v>62</v>
      </c>
      <c r="AG76" s="811">
        <f t="shared" si="2"/>
        <v>121</v>
      </c>
      <c r="AH76" s="812">
        <v>61</v>
      </c>
      <c r="AI76" s="810">
        <v>62</v>
      </c>
      <c r="AJ76" s="811">
        <f>SUM(AH76:AI76)</f>
        <v>123</v>
      </c>
      <c r="AK76" s="812">
        <v>59</v>
      </c>
      <c r="AL76" s="810">
        <v>60</v>
      </c>
      <c r="AM76" s="811">
        <f>SUM(AK76:AL76)</f>
        <v>119</v>
      </c>
      <c r="AN76" s="812">
        <v>65</v>
      </c>
      <c r="AO76" s="810">
        <v>64</v>
      </c>
      <c r="AP76" s="811">
        <f>SUM(AN76:AO76)</f>
        <v>129</v>
      </c>
      <c r="AQ76" s="812">
        <v>58</v>
      </c>
      <c r="AR76" s="810">
        <v>73</v>
      </c>
      <c r="AS76" s="811">
        <f>SUM(AQ76:AR76)</f>
        <v>131</v>
      </c>
      <c r="AT76" s="812">
        <v>65</v>
      </c>
      <c r="AU76" s="810">
        <v>72</v>
      </c>
      <c r="AV76" s="811">
        <f>SUM(AT76:AU76)</f>
        <v>137</v>
      </c>
    </row>
    <row r="77" spans="1:48" s="186" customFormat="1" ht="15" customHeight="1" x14ac:dyDescent="0.25">
      <c r="A77" s="5697"/>
      <c r="B77" s="5652"/>
      <c r="C77" s="855" t="s">
        <v>160</v>
      </c>
      <c r="D77" s="856">
        <f>SUM(D73:D76)</f>
        <v>350</v>
      </c>
      <c r="E77" s="857">
        <f t="shared" ref="E77:AG77" si="64">SUM(E73:E76)</f>
        <v>357</v>
      </c>
      <c r="F77" s="577">
        <f t="shared" si="64"/>
        <v>707</v>
      </c>
      <c r="G77" s="856">
        <f t="shared" si="64"/>
        <v>366</v>
      </c>
      <c r="H77" s="857">
        <f t="shared" si="64"/>
        <v>384</v>
      </c>
      <c r="I77" s="577">
        <f t="shared" si="64"/>
        <v>750</v>
      </c>
      <c r="J77" s="856">
        <f t="shared" si="64"/>
        <v>373</v>
      </c>
      <c r="K77" s="857">
        <f t="shared" si="64"/>
        <v>367</v>
      </c>
      <c r="L77" s="577">
        <f t="shared" si="64"/>
        <v>740</v>
      </c>
      <c r="M77" s="856">
        <f t="shared" si="64"/>
        <v>334</v>
      </c>
      <c r="N77" s="857">
        <f t="shared" si="64"/>
        <v>332</v>
      </c>
      <c r="O77" s="577">
        <f t="shared" si="64"/>
        <v>666</v>
      </c>
      <c r="P77" s="856">
        <f t="shared" si="64"/>
        <v>350</v>
      </c>
      <c r="Q77" s="857">
        <f t="shared" si="64"/>
        <v>345</v>
      </c>
      <c r="R77" s="577">
        <f t="shared" si="64"/>
        <v>695</v>
      </c>
      <c r="S77" s="856">
        <f t="shared" si="64"/>
        <v>356</v>
      </c>
      <c r="T77" s="857">
        <f t="shared" si="64"/>
        <v>347</v>
      </c>
      <c r="U77" s="577">
        <f t="shared" si="64"/>
        <v>703</v>
      </c>
      <c r="V77" s="856">
        <f t="shared" si="64"/>
        <v>306</v>
      </c>
      <c r="W77" s="857">
        <f t="shared" si="64"/>
        <v>308</v>
      </c>
      <c r="X77" s="577">
        <f t="shared" si="64"/>
        <v>614</v>
      </c>
      <c r="Y77" s="856">
        <f t="shared" si="64"/>
        <v>313</v>
      </c>
      <c r="Z77" s="857">
        <f t="shared" si="64"/>
        <v>308</v>
      </c>
      <c r="AA77" s="577">
        <f t="shared" si="64"/>
        <v>621</v>
      </c>
      <c r="AB77" s="856">
        <f t="shared" si="64"/>
        <v>329</v>
      </c>
      <c r="AC77" s="857">
        <f t="shared" si="64"/>
        <v>312</v>
      </c>
      <c r="AD77" s="577">
        <f t="shared" si="64"/>
        <v>641</v>
      </c>
      <c r="AE77" s="856">
        <f t="shared" si="64"/>
        <v>313</v>
      </c>
      <c r="AF77" s="857">
        <f t="shared" si="64"/>
        <v>318</v>
      </c>
      <c r="AG77" s="577">
        <f t="shared" si="64"/>
        <v>631</v>
      </c>
      <c r="AH77" s="856">
        <f t="shared" ref="AH77:AM77" si="65">SUM(AH73:AH76)</f>
        <v>316</v>
      </c>
      <c r="AI77" s="857">
        <f t="shared" si="65"/>
        <v>319</v>
      </c>
      <c r="AJ77" s="577">
        <f t="shared" si="65"/>
        <v>635</v>
      </c>
      <c r="AK77" s="856">
        <f t="shared" si="65"/>
        <v>320</v>
      </c>
      <c r="AL77" s="857">
        <f t="shared" si="65"/>
        <v>305</v>
      </c>
      <c r="AM77" s="577">
        <f t="shared" si="65"/>
        <v>625</v>
      </c>
      <c r="AN77" s="856">
        <f t="shared" ref="AN77:AV77" si="66">SUM(AN73:AN76)</f>
        <v>330</v>
      </c>
      <c r="AO77" s="857">
        <f t="shared" si="66"/>
        <v>323</v>
      </c>
      <c r="AP77" s="577">
        <f t="shared" si="66"/>
        <v>653</v>
      </c>
      <c r="AQ77" s="856">
        <f t="shared" si="66"/>
        <v>323</v>
      </c>
      <c r="AR77" s="857">
        <f t="shared" si="66"/>
        <v>344</v>
      </c>
      <c r="AS77" s="577">
        <f t="shared" si="66"/>
        <v>667</v>
      </c>
      <c r="AT77" s="856">
        <f t="shared" si="66"/>
        <v>322</v>
      </c>
      <c r="AU77" s="857">
        <f t="shared" si="66"/>
        <v>339</v>
      </c>
      <c r="AV77" s="577">
        <f t="shared" si="66"/>
        <v>661</v>
      </c>
    </row>
    <row r="78" spans="1:48" s="186" customFormat="1" ht="15" customHeight="1" x14ac:dyDescent="0.25">
      <c r="A78" s="5768"/>
      <c r="B78" s="3541"/>
      <c r="C78" s="2273" t="s">
        <v>444</v>
      </c>
      <c r="D78" s="2274">
        <f>SUM(D77,D72,D63)</f>
        <v>1750</v>
      </c>
      <c r="E78" s="2275">
        <f t="shared" ref="E78:AG78" si="67">SUM(E77,E72,E63)</f>
        <v>1808</v>
      </c>
      <c r="F78" s="2276">
        <f t="shared" si="67"/>
        <v>3558</v>
      </c>
      <c r="G78" s="2274">
        <f t="shared" si="67"/>
        <v>2180</v>
      </c>
      <c r="H78" s="2275">
        <f t="shared" si="67"/>
        <v>2061</v>
      </c>
      <c r="I78" s="2276">
        <f t="shared" si="67"/>
        <v>4241</v>
      </c>
      <c r="J78" s="2274">
        <f t="shared" si="67"/>
        <v>2101</v>
      </c>
      <c r="K78" s="2275">
        <f t="shared" si="67"/>
        <v>1963</v>
      </c>
      <c r="L78" s="2276">
        <f t="shared" si="67"/>
        <v>4064</v>
      </c>
      <c r="M78" s="2274">
        <f t="shared" si="67"/>
        <v>1880</v>
      </c>
      <c r="N78" s="2275">
        <f t="shared" si="67"/>
        <v>1859</v>
      </c>
      <c r="O78" s="2276">
        <f t="shared" si="67"/>
        <v>3739</v>
      </c>
      <c r="P78" s="2274">
        <f t="shared" si="67"/>
        <v>1888</v>
      </c>
      <c r="Q78" s="2275">
        <f t="shared" si="67"/>
        <v>1745</v>
      </c>
      <c r="R78" s="2276">
        <f t="shared" si="67"/>
        <v>3633</v>
      </c>
      <c r="S78" s="2274">
        <f t="shared" si="67"/>
        <v>1910</v>
      </c>
      <c r="T78" s="2275">
        <f t="shared" si="67"/>
        <v>1785</v>
      </c>
      <c r="U78" s="2276">
        <f t="shared" si="67"/>
        <v>3695</v>
      </c>
      <c r="V78" s="2274">
        <f t="shared" si="67"/>
        <v>1739</v>
      </c>
      <c r="W78" s="2275">
        <f t="shared" si="67"/>
        <v>1660</v>
      </c>
      <c r="X78" s="2276">
        <f t="shared" si="67"/>
        <v>3399</v>
      </c>
      <c r="Y78" s="2274">
        <f t="shared" si="67"/>
        <v>1780</v>
      </c>
      <c r="Z78" s="2275">
        <f t="shared" si="67"/>
        <v>1783</v>
      </c>
      <c r="AA78" s="2276">
        <f t="shared" si="67"/>
        <v>3563</v>
      </c>
      <c r="AB78" s="2274">
        <f t="shared" si="67"/>
        <v>1794</v>
      </c>
      <c r="AC78" s="2275">
        <f t="shared" si="67"/>
        <v>1688</v>
      </c>
      <c r="AD78" s="2276">
        <f t="shared" si="67"/>
        <v>3482</v>
      </c>
      <c r="AE78" s="2274">
        <f t="shared" si="67"/>
        <v>1754</v>
      </c>
      <c r="AF78" s="2275">
        <f t="shared" si="67"/>
        <v>1758</v>
      </c>
      <c r="AG78" s="2276">
        <f t="shared" si="67"/>
        <v>3512</v>
      </c>
      <c r="AH78" s="2274">
        <f t="shared" ref="AH78:AM78" si="68">SUM(AH77,AH72,AH63)</f>
        <v>1792</v>
      </c>
      <c r="AI78" s="2275">
        <f t="shared" si="68"/>
        <v>1782</v>
      </c>
      <c r="AJ78" s="2276">
        <f t="shared" si="68"/>
        <v>3574</v>
      </c>
      <c r="AK78" s="2274">
        <f t="shared" si="68"/>
        <v>1892</v>
      </c>
      <c r="AL78" s="2275">
        <f t="shared" si="68"/>
        <v>1764</v>
      </c>
      <c r="AM78" s="2276">
        <f t="shared" si="68"/>
        <v>3656</v>
      </c>
      <c r="AN78" s="2274">
        <f t="shared" ref="AN78:AV78" si="69">SUM(AN77,AN72,AN63)</f>
        <v>1852</v>
      </c>
      <c r="AO78" s="2275">
        <f t="shared" si="69"/>
        <v>1805</v>
      </c>
      <c r="AP78" s="2276">
        <f t="shared" si="69"/>
        <v>3657</v>
      </c>
      <c r="AQ78" s="2274">
        <f t="shared" si="69"/>
        <v>1847</v>
      </c>
      <c r="AR78" s="2275">
        <f t="shared" si="69"/>
        <v>1968</v>
      </c>
      <c r="AS78" s="2276">
        <f t="shared" si="69"/>
        <v>3815</v>
      </c>
      <c r="AT78" s="2274">
        <f t="shared" si="69"/>
        <v>1924</v>
      </c>
      <c r="AU78" s="2275">
        <f t="shared" si="69"/>
        <v>1884</v>
      </c>
      <c r="AV78" s="2276">
        <f t="shared" si="69"/>
        <v>3808</v>
      </c>
    </row>
    <row r="79" spans="1:48" s="186" customFormat="1" ht="15" customHeight="1" x14ac:dyDescent="0.25">
      <c r="A79" s="5693" t="s">
        <v>430</v>
      </c>
      <c r="B79" s="5647" t="s">
        <v>6</v>
      </c>
      <c r="C79" s="793" t="s">
        <v>456</v>
      </c>
      <c r="D79" s="823"/>
      <c r="E79" s="825"/>
      <c r="F79" s="796"/>
      <c r="G79" s="847"/>
      <c r="H79" s="825"/>
      <c r="I79" s="796"/>
      <c r="J79" s="823"/>
      <c r="K79" s="824">
        <v>57</v>
      </c>
      <c r="L79" s="796">
        <v>57</v>
      </c>
      <c r="M79" s="823"/>
      <c r="N79" s="848">
        <v>43</v>
      </c>
      <c r="O79" s="796">
        <v>43</v>
      </c>
      <c r="P79" s="823"/>
      <c r="Q79" s="824">
        <v>68</v>
      </c>
      <c r="R79" s="796">
        <v>68</v>
      </c>
      <c r="S79" s="823"/>
      <c r="T79" s="824">
        <v>63</v>
      </c>
      <c r="U79" s="796">
        <v>63</v>
      </c>
      <c r="V79" s="823"/>
      <c r="W79" s="824">
        <v>28</v>
      </c>
      <c r="X79" s="796">
        <v>28</v>
      </c>
      <c r="Y79" s="823"/>
      <c r="Z79" s="824">
        <v>30</v>
      </c>
      <c r="AA79" s="796">
        <f t="shared" ref="AA79:AA91" si="70">SUM(Y79:Z79)</f>
        <v>30</v>
      </c>
      <c r="AB79" s="823"/>
      <c r="AC79" s="824">
        <v>31</v>
      </c>
      <c r="AD79" s="796">
        <f t="shared" si="1"/>
        <v>31</v>
      </c>
      <c r="AE79" s="823"/>
      <c r="AF79" s="824">
        <v>29</v>
      </c>
      <c r="AG79" s="796">
        <f t="shared" si="2"/>
        <v>29</v>
      </c>
      <c r="AH79" s="823"/>
      <c r="AI79" s="824">
        <v>34</v>
      </c>
      <c r="AJ79" s="796">
        <f>SUM(AH79:AI79)</f>
        <v>34</v>
      </c>
      <c r="AK79" s="823">
        <v>30</v>
      </c>
      <c r="AL79" s="824">
        <v>30</v>
      </c>
      <c r="AM79" s="796">
        <f>SUM(AK79:AL79)</f>
        <v>60</v>
      </c>
      <c r="AN79" s="823">
        <v>32</v>
      </c>
      <c r="AO79" s="824">
        <v>33</v>
      </c>
      <c r="AP79" s="796">
        <f>SUM(AN79:AO79)</f>
        <v>65</v>
      </c>
      <c r="AQ79" s="823">
        <v>32</v>
      </c>
      <c r="AR79" s="824">
        <v>33</v>
      </c>
      <c r="AS79" s="796">
        <f>SUM(AQ79:AR79)</f>
        <v>65</v>
      </c>
      <c r="AT79" s="823">
        <v>31</v>
      </c>
      <c r="AU79" s="824">
        <v>32</v>
      </c>
      <c r="AV79" s="796">
        <f>SUM(AT79:AU79)</f>
        <v>63</v>
      </c>
    </row>
    <row r="80" spans="1:48" s="186" customFormat="1" ht="15" customHeight="1" x14ac:dyDescent="0.25">
      <c r="A80" s="5694"/>
      <c r="B80" s="5648"/>
      <c r="C80" s="799" t="s">
        <v>457</v>
      </c>
      <c r="D80" s="805"/>
      <c r="E80" s="806"/>
      <c r="F80" s="802"/>
      <c r="G80" s="837"/>
      <c r="H80" s="806"/>
      <c r="I80" s="802"/>
      <c r="J80" s="805"/>
      <c r="K80" s="807">
        <v>54</v>
      </c>
      <c r="L80" s="802">
        <v>54</v>
      </c>
      <c r="M80" s="805"/>
      <c r="N80" s="839"/>
      <c r="O80" s="802"/>
      <c r="P80" s="805"/>
      <c r="Q80" s="807"/>
      <c r="R80" s="802"/>
      <c r="S80" s="805"/>
      <c r="T80" s="807"/>
      <c r="U80" s="802">
        <v>0</v>
      </c>
      <c r="V80" s="805"/>
      <c r="W80" s="807"/>
      <c r="X80" s="802">
        <v>0</v>
      </c>
      <c r="Y80" s="805"/>
      <c r="Z80" s="807"/>
      <c r="AA80" s="802">
        <f t="shared" si="70"/>
        <v>0</v>
      </c>
      <c r="AB80" s="805"/>
      <c r="AC80" s="807"/>
      <c r="AD80" s="802">
        <f t="shared" si="1"/>
        <v>0</v>
      </c>
      <c r="AE80" s="805"/>
      <c r="AF80" s="807"/>
      <c r="AG80" s="802">
        <f t="shared" si="2"/>
        <v>0</v>
      </c>
      <c r="AH80" s="805"/>
      <c r="AI80" s="807"/>
      <c r="AJ80" s="802">
        <f>SUM(AH80:AI80)</f>
        <v>0</v>
      </c>
      <c r="AK80" s="805"/>
      <c r="AL80" s="807"/>
      <c r="AM80" s="802">
        <f>SUM(AK80:AL80)</f>
        <v>0</v>
      </c>
      <c r="AN80" s="805"/>
      <c r="AO80" s="807">
        <v>36</v>
      </c>
      <c r="AP80" s="802">
        <f>SUM(AN80:AO80)</f>
        <v>36</v>
      </c>
      <c r="AQ80" s="805"/>
      <c r="AR80" s="807">
        <v>35</v>
      </c>
      <c r="AS80" s="802">
        <f>SUM(AQ80:AR80)</f>
        <v>35</v>
      </c>
      <c r="AT80" s="805"/>
      <c r="AU80" s="807">
        <v>30</v>
      </c>
      <c r="AV80" s="802">
        <f>SUM(AT80:AU80)</f>
        <v>30</v>
      </c>
    </row>
    <row r="81" spans="1:48" s="186" customFormat="1" ht="15" customHeight="1" x14ac:dyDescent="0.2">
      <c r="A81" s="5694"/>
      <c r="B81" s="5648"/>
      <c r="C81" s="799" t="s">
        <v>495</v>
      </c>
      <c r="D81" s="805"/>
      <c r="E81" s="806"/>
      <c r="F81" s="802"/>
      <c r="G81" s="837"/>
      <c r="H81" s="806"/>
      <c r="I81" s="802"/>
      <c r="J81" s="805"/>
      <c r="K81" s="807"/>
      <c r="L81" s="802"/>
      <c r="M81" s="805"/>
      <c r="N81" s="807"/>
      <c r="O81" s="802"/>
      <c r="P81" s="805"/>
      <c r="Q81" s="807">
        <v>22</v>
      </c>
      <c r="R81" s="802">
        <v>22</v>
      </c>
      <c r="S81" s="805"/>
      <c r="T81" s="807">
        <v>21</v>
      </c>
      <c r="U81" s="802">
        <v>21</v>
      </c>
      <c r="V81" s="805"/>
      <c r="W81" s="807">
        <v>23</v>
      </c>
      <c r="X81" s="802">
        <v>23</v>
      </c>
      <c r="Y81" s="805"/>
      <c r="Z81" s="807">
        <v>37</v>
      </c>
      <c r="AA81" s="802">
        <f t="shared" si="70"/>
        <v>37</v>
      </c>
      <c r="AB81" s="805"/>
      <c r="AC81" s="807">
        <v>26</v>
      </c>
      <c r="AD81" s="802">
        <f t="shared" si="1"/>
        <v>26</v>
      </c>
      <c r="AE81" s="805"/>
      <c r="AF81" s="807">
        <v>27</v>
      </c>
      <c r="AG81" s="802">
        <f t="shared" si="2"/>
        <v>27</v>
      </c>
      <c r="AH81" s="805"/>
      <c r="AI81" s="807">
        <v>30</v>
      </c>
      <c r="AJ81" s="802">
        <f>SUM(AH81:AI81)</f>
        <v>30</v>
      </c>
      <c r="AK81" s="805">
        <v>34</v>
      </c>
      <c r="AL81" s="807">
        <v>34</v>
      </c>
      <c r="AM81" s="802">
        <f>SUM(AK81:AL81)</f>
        <v>68</v>
      </c>
      <c r="AN81" s="805">
        <v>33</v>
      </c>
      <c r="AO81" s="807">
        <v>30</v>
      </c>
      <c r="AP81" s="802">
        <f>SUM(AN81:AO81)</f>
        <v>63</v>
      </c>
      <c r="AQ81" s="805">
        <v>33</v>
      </c>
      <c r="AR81" s="807">
        <v>33</v>
      </c>
      <c r="AS81" s="802">
        <f>SUM(AQ81:AR81)</f>
        <v>66</v>
      </c>
      <c r="AT81" s="805">
        <v>33</v>
      </c>
      <c r="AU81" s="807">
        <v>32</v>
      </c>
      <c r="AV81" s="802">
        <f>SUM(AT81:AU81)</f>
        <v>65</v>
      </c>
    </row>
    <row r="82" spans="1:48" s="186" customFormat="1" ht="15" customHeight="1" x14ac:dyDescent="0.25">
      <c r="A82" s="5694"/>
      <c r="B82" s="5648"/>
      <c r="C82" s="808" t="s">
        <v>496</v>
      </c>
      <c r="D82" s="841"/>
      <c r="E82" s="840"/>
      <c r="F82" s="811"/>
      <c r="G82" s="841"/>
      <c r="H82" s="840"/>
      <c r="I82" s="811"/>
      <c r="J82" s="809"/>
      <c r="K82" s="810"/>
      <c r="L82" s="811"/>
      <c r="M82" s="809"/>
      <c r="N82" s="810"/>
      <c r="O82" s="811"/>
      <c r="P82" s="809"/>
      <c r="Q82" s="810">
        <v>31</v>
      </c>
      <c r="R82" s="811">
        <v>31</v>
      </c>
      <c r="S82" s="809"/>
      <c r="T82" s="810">
        <v>32</v>
      </c>
      <c r="U82" s="811">
        <v>32</v>
      </c>
      <c r="V82" s="809"/>
      <c r="W82" s="810">
        <v>30</v>
      </c>
      <c r="X82" s="811">
        <v>30</v>
      </c>
      <c r="Y82" s="809"/>
      <c r="Z82" s="810">
        <v>28</v>
      </c>
      <c r="AA82" s="811">
        <f t="shared" si="70"/>
        <v>28</v>
      </c>
      <c r="AB82" s="812"/>
      <c r="AC82" s="810">
        <v>30</v>
      </c>
      <c r="AD82" s="811">
        <f t="shared" si="1"/>
        <v>30</v>
      </c>
      <c r="AE82" s="812"/>
      <c r="AF82" s="810">
        <v>30</v>
      </c>
      <c r="AG82" s="811">
        <f t="shared" si="2"/>
        <v>30</v>
      </c>
      <c r="AH82" s="812"/>
      <c r="AI82" s="810">
        <v>30</v>
      </c>
      <c r="AJ82" s="811">
        <f>SUM(AH82:AI82)</f>
        <v>30</v>
      </c>
      <c r="AK82" s="812">
        <v>33</v>
      </c>
      <c r="AL82" s="810">
        <v>35</v>
      </c>
      <c r="AM82" s="811">
        <f>SUM(AK82:AL82)</f>
        <v>68</v>
      </c>
      <c r="AN82" s="812">
        <v>32</v>
      </c>
      <c r="AO82" s="810">
        <v>30</v>
      </c>
      <c r="AP82" s="811">
        <f>SUM(AN82:AO82)</f>
        <v>62</v>
      </c>
      <c r="AQ82" s="812">
        <v>32</v>
      </c>
      <c r="AR82" s="810">
        <v>34</v>
      </c>
      <c r="AS82" s="811">
        <f>SUM(AQ82:AR82)</f>
        <v>66</v>
      </c>
      <c r="AT82" s="812">
        <v>34</v>
      </c>
      <c r="AU82" s="810">
        <v>32</v>
      </c>
      <c r="AV82" s="811">
        <f>SUM(AT82:AU82)</f>
        <v>66</v>
      </c>
    </row>
    <row r="83" spans="1:48" s="186" customFormat="1" ht="15" customHeight="1" x14ac:dyDescent="0.25">
      <c r="A83" s="5694"/>
      <c r="B83" s="5649"/>
      <c r="C83" s="855" t="s">
        <v>160</v>
      </c>
      <c r="D83" s="856"/>
      <c r="E83" s="857"/>
      <c r="F83" s="577"/>
      <c r="G83" s="856"/>
      <c r="H83" s="857"/>
      <c r="I83" s="577"/>
      <c r="J83" s="856"/>
      <c r="K83" s="857">
        <f>SUM(K79:K82)</f>
        <v>111</v>
      </c>
      <c r="L83" s="577">
        <f t="shared" ref="L83:AG83" si="71">SUM(L79:L82)</f>
        <v>111</v>
      </c>
      <c r="M83" s="856">
        <f t="shared" si="71"/>
        <v>0</v>
      </c>
      <c r="N83" s="857">
        <f t="shared" si="71"/>
        <v>43</v>
      </c>
      <c r="O83" s="577">
        <f t="shared" si="71"/>
        <v>43</v>
      </c>
      <c r="P83" s="856">
        <f t="shared" si="71"/>
        <v>0</v>
      </c>
      <c r="Q83" s="857">
        <f t="shared" si="71"/>
        <v>121</v>
      </c>
      <c r="R83" s="577">
        <f t="shared" si="71"/>
        <v>121</v>
      </c>
      <c r="S83" s="856">
        <f t="shared" si="71"/>
        <v>0</v>
      </c>
      <c r="T83" s="857">
        <f t="shared" si="71"/>
        <v>116</v>
      </c>
      <c r="U83" s="577">
        <f t="shared" si="71"/>
        <v>116</v>
      </c>
      <c r="V83" s="856">
        <f t="shared" si="71"/>
        <v>0</v>
      </c>
      <c r="W83" s="857">
        <f t="shared" si="71"/>
        <v>81</v>
      </c>
      <c r="X83" s="577">
        <f t="shared" si="71"/>
        <v>81</v>
      </c>
      <c r="Y83" s="856">
        <f t="shared" si="71"/>
        <v>0</v>
      </c>
      <c r="Z83" s="857">
        <f t="shared" si="71"/>
        <v>95</v>
      </c>
      <c r="AA83" s="577">
        <f t="shared" si="71"/>
        <v>95</v>
      </c>
      <c r="AB83" s="856">
        <f t="shared" si="71"/>
        <v>0</v>
      </c>
      <c r="AC83" s="857">
        <f t="shared" si="71"/>
        <v>87</v>
      </c>
      <c r="AD83" s="577">
        <f t="shared" si="71"/>
        <v>87</v>
      </c>
      <c r="AE83" s="856">
        <f t="shared" si="71"/>
        <v>0</v>
      </c>
      <c r="AF83" s="857">
        <f t="shared" si="71"/>
        <v>86</v>
      </c>
      <c r="AG83" s="577">
        <f t="shared" si="71"/>
        <v>86</v>
      </c>
      <c r="AH83" s="856">
        <f t="shared" ref="AH83:AM83" si="72">SUM(AH79:AH82)</f>
        <v>0</v>
      </c>
      <c r="AI83" s="857">
        <f t="shared" si="72"/>
        <v>94</v>
      </c>
      <c r="AJ83" s="577">
        <f t="shared" si="72"/>
        <v>94</v>
      </c>
      <c r="AK83" s="856">
        <f t="shared" si="72"/>
        <v>97</v>
      </c>
      <c r="AL83" s="857">
        <f t="shared" si="72"/>
        <v>99</v>
      </c>
      <c r="AM83" s="577">
        <f t="shared" si="72"/>
        <v>196</v>
      </c>
      <c r="AN83" s="856">
        <f t="shared" ref="AN83:AV83" si="73">SUM(AN79:AN82)</f>
        <v>97</v>
      </c>
      <c r="AO83" s="857">
        <f t="shared" si="73"/>
        <v>129</v>
      </c>
      <c r="AP83" s="577">
        <f t="shared" si="73"/>
        <v>226</v>
      </c>
      <c r="AQ83" s="856">
        <f t="shared" si="73"/>
        <v>97</v>
      </c>
      <c r="AR83" s="1431">
        <f t="shared" si="73"/>
        <v>135</v>
      </c>
      <c r="AS83" s="577">
        <f t="shared" si="73"/>
        <v>232</v>
      </c>
      <c r="AT83" s="856">
        <f t="shared" si="73"/>
        <v>98</v>
      </c>
      <c r="AU83" s="1431">
        <f t="shared" si="73"/>
        <v>126</v>
      </c>
      <c r="AV83" s="577">
        <f t="shared" si="73"/>
        <v>224</v>
      </c>
    </row>
    <row r="84" spans="1:48" s="186" customFormat="1" ht="15" customHeight="1" x14ac:dyDescent="0.2">
      <c r="A84" s="5694"/>
      <c r="B84" s="5647" t="s">
        <v>9</v>
      </c>
      <c r="C84" s="813" t="s">
        <v>497</v>
      </c>
      <c r="D84" s="819"/>
      <c r="E84" s="822"/>
      <c r="F84" s="816"/>
      <c r="G84" s="846"/>
      <c r="H84" s="822"/>
      <c r="I84" s="816"/>
      <c r="J84" s="819"/>
      <c r="K84" s="820">
        <v>34</v>
      </c>
      <c r="L84" s="816">
        <v>34</v>
      </c>
      <c r="M84" s="819"/>
      <c r="N84" s="820">
        <v>30</v>
      </c>
      <c r="O84" s="816">
        <v>30</v>
      </c>
      <c r="P84" s="814"/>
      <c r="Q84" s="815">
        <v>57</v>
      </c>
      <c r="R84" s="816">
        <v>57</v>
      </c>
      <c r="S84" s="814"/>
      <c r="T84" s="815">
        <v>56</v>
      </c>
      <c r="U84" s="816">
        <v>56</v>
      </c>
      <c r="V84" s="814"/>
      <c r="W84" s="815">
        <v>28</v>
      </c>
      <c r="X84" s="816">
        <v>28</v>
      </c>
      <c r="Y84" s="814"/>
      <c r="Z84" s="815">
        <v>42</v>
      </c>
      <c r="AA84" s="816">
        <f t="shared" si="70"/>
        <v>42</v>
      </c>
      <c r="AB84" s="814"/>
      <c r="AC84" s="815">
        <v>36</v>
      </c>
      <c r="AD84" s="816">
        <f t="shared" ref="AD84:AD100" si="74">SUM(AB84:AC84)</f>
        <v>36</v>
      </c>
      <c r="AE84" s="814"/>
      <c r="AF84" s="815">
        <v>47</v>
      </c>
      <c r="AG84" s="816">
        <f t="shared" ref="AG84:AG100" si="75">SUM(AE84:AF84)</f>
        <v>47</v>
      </c>
      <c r="AH84" s="814"/>
      <c r="AI84" s="815">
        <v>39</v>
      </c>
      <c r="AJ84" s="816">
        <f>SUM(AH84:AI84)</f>
        <v>39</v>
      </c>
      <c r="AK84" s="814"/>
      <c r="AL84" s="815">
        <v>60</v>
      </c>
      <c r="AM84" s="816">
        <f>SUM(AK84:AL84)</f>
        <v>60</v>
      </c>
      <c r="AN84" s="814"/>
      <c r="AO84" s="815">
        <v>57</v>
      </c>
      <c r="AP84" s="816">
        <f>SUM(AN84:AO84)</f>
        <v>57</v>
      </c>
      <c r="AQ84" s="814"/>
      <c r="AR84" s="815">
        <v>76</v>
      </c>
      <c r="AS84" s="816">
        <f>SUM(AQ84:AR84)</f>
        <v>76</v>
      </c>
      <c r="AT84" s="814"/>
      <c r="AU84" s="815">
        <v>75</v>
      </c>
      <c r="AV84" s="816">
        <f>SUM(AT84:AU84)</f>
        <v>75</v>
      </c>
    </row>
    <row r="85" spans="1:48" s="186" customFormat="1" ht="15" customHeight="1" x14ac:dyDescent="0.2">
      <c r="A85" s="5694"/>
      <c r="B85" s="5648"/>
      <c r="C85" s="799" t="s">
        <v>498</v>
      </c>
      <c r="D85" s="805"/>
      <c r="E85" s="806"/>
      <c r="F85" s="802"/>
      <c r="G85" s="837"/>
      <c r="H85" s="806"/>
      <c r="I85" s="802"/>
      <c r="J85" s="805"/>
      <c r="K85" s="807"/>
      <c r="L85" s="802"/>
      <c r="M85" s="805"/>
      <c r="N85" s="807"/>
      <c r="O85" s="802"/>
      <c r="P85" s="805"/>
      <c r="Q85" s="807">
        <v>25</v>
      </c>
      <c r="R85" s="802">
        <v>25</v>
      </c>
      <c r="S85" s="805"/>
      <c r="T85" s="807">
        <v>24</v>
      </c>
      <c r="U85" s="802">
        <v>24</v>
      </c>
      <c r="V85" s="805"/>
      <c r="W85" s="807">
        <v>41</v>
      </c>
      <c r="X85" s="802">
        <v>41</v>
      </c>
      <c r="Y85" s="805"/>
      <c r="Z85" s="807">
        <v>39</v>
      </c>
      <c r="AA85" s="802">
        <f t="shared" si="70"/>
        <v>39</v>
      </c>
      <c r="AB85" s="805"/>
      <c r="AC85" s="807">
        <v>41</v>
      </c>
      <c r="AD85" s="802">
        <f t="shared" si="74"/>
        <v>41</v>
      </c>
      <c r="AE85" s="805"/>
      <c r="AF85" s="807">
        <v>40</v>
      </c>
      <c r="AG85" s="802">
        <f t="shared" si="75"/>
        <v>40</v>
      </c>
      <c r="AH85" s="805"/>
      <c r="AI85" s="807">
        <v>38</v>
      </c>
      <c r="AJ85" s="802">
        <f>SUM(AH85:AI85)</f>
        <v>38</v>
      </c>
      <c r="AK85" s="805"/>
      <c r="AL85" s="807">
        <v>35</v>
      </c>
      <c r="AM85" s="802">
        <f>SUM(AK85:AL85)</f>
        <v>35</v>
      </c>
      <c r="AN85" s="805"/>
      <c r="AO85" s="807">
        <v>49</v>
      </c>
      <c r="AP85" s="802">
        <f>SUM(AN85:AO85)</f>
        <v>49</v>
      </c>
      <c r="AQ85" s="805"/>
      <c r="AR85" s="807">
        <v>61</v>
      </c>
      <c r="AS85" s="802">
        <f>SUM(AQ85:AR85)</f>
        <v>61</v>
      </c>
      <c r="AT85" s="805"/>
      <c r="AU85" s="807">
        <v>60</v>
      </c>
      <c r="AV85" s="802">
        <f>SUM(AT85:AU85)</f>
        <v>60</v>
      </c>
    </row>
    <row r="86" spans="1:48" s="186" customFormat="1" ht="15" customHeight="1" x14ac:dyDescent="0.25">
      <c r="A86" s="5694"/>
      <c r="B86" s="5648"/>
      <c r="C86" s="808" t="s">
        <v>499</v>
      </c>
      <c r="D86" s="841"/>
      <c r="E86" s="840"/>
      <c r="F86" s="811"/>
      <c r="G86" s="841"/>
      <c r="H86" s="840"/>
      <c r="I86" s="811"/>
      <c r="J86" s="809"/>
      <c r="K86" s="810"/>
      <c r="L86" s="811"/>
      <c r="M86" s="809"/>
      <c r="N86" s="810"/>
      <c r="O86" s="811"/>
      <c r="P86" s="809"/>
      <c r="Q86" s="810">
        <v>49</v>
      </c>
      <c r="R86" s="811">
        <v>49</v>
      </c>
      <c r="S86" s="809"/>
      <c r="T86" s="810">
        <v>49</v>
      </c>
      <c r="U86" s="811">
        <v>49</v>
      </c>
      <c r="V86" s="809"/>
      <c r="W86" s="810">
        <v>27</v>
      </c>
      <c r="X86" s="811">
        <v>27</v>
      </c>
      <c r="Y86" s="809"/>
      <c r="Z86" s="810">
        <v>36</v>
      </c>
      <c r="AA86" s="811">
        <f t="shared" si="70"/>
        <v>36</v>
      </c>
      <c r="AB86" s="812"/>
      <c r="AC86" s="810">
        <v>48</v>
      </c>
      <c r="AD86" s="811">
        <f t="shared" si="74"/>
        <v>48</v>
      </c>
      <c r="AE86" s="812"/>
      <c r="AF86" s="810">
        <v>47</v>
      </c>
      <c r="AG86" s="811">
        <f t="shared" si="75"/>
        <v>47</v>
      </c>
      <c r="AH86" s="812"/>
      <c r="AI86" s="810">
        <v>45</v>
      </c>
      <c r="AJ86" s="811">
        <f>SUM(AH86:AI86)</f>
        <v>45</v>
      </c>
      <c r="AK86" s="812"/>
      <c r="AL86" s="810">
        <v>60</v>
      </c>
      <c r="AM86" s="811">
        <f>SUM(AK86:AL86)</f>
        <v>60</v>
      </c>
      <c r="AN86" s="812"/>
      <c r="AO86" s="810">
        <v>83</v>
      </c>
      <c r="AP86" s="811">
        <f>SUM(AN86:AO86)</f>
        <v>83</v>
      </c>
      <c r="AQ86" s="812"/>
      <c r="AR86" s="810">
        <v>89</v>
      </c>
      <c r="AS86" s="811">
        <f>SUM(AQ86:AR86)</f>
        <v>89</v>
      </c>
      <c r="AT86" s="812"/>
      <c r="AU86" s="810">
        <v>84</v>
      </c>
      <c r="AV86" s="811">
        <f>SUM(AT86:AU86)</f>
        <v>84</v>
      </c>
    </row>
    <row r="87" spans="1:48" s="186" customFormat="1" ht="15" customHeight="1" x14ac:dyDescent="0.25">
      <c r="A87" s="5694"/>
      <c r="B87" s="5649"/>
      <c r="C87" s="855" t="s">
        <v>160</v>
      </c>
      <c r="D87" s="856"/>
      <c r="E87" s="857"/>
      <c r="F87" s="577"/>
      <c r="G87" s="856"/>
      <c r="H87" s="857"/>
      <c r="I87" s="577"/>
      <c r="J87" s="856"/>
      <c r="K87" s="857">
        <f>SUM(K84:K86)</f>
        <v>34</v>
      </c>
      <c r="L87" s="577">
        <f t="shared" ref="L87:AG87" si="76">SUM(L84:L86)</f>
        <v>34</v>
      </c>
      <c r="M87" s="856">
        <f t="shared" si="76"/>
        <v>0</v>
      </c>
      <c r="N87" s="857">
        <f t="shared" si="76"/>
        <v>30</v>
      </c>
      <c r="O87" s="577">
        <f t="shared" si="76"/>
        <v>30</v>
      </c>
      <c r="P87" s="856">
        <f t="shared" si="76"/>
        <v>0</v>
      </c>
      <c r="Q87" s="857">
        <f t="shared" si="76"/>
        <v>131</v>
      </c>
      <c r="R87" s="577">
        <f t="shared" si="76"/>
        <v>131</v>
      </c>
      <c r="S87" s="856">
        <f t="shared" si="76"/>
        <v>0</v>
      </c>
      <c r="T87" s="857">
        <f t="shared" si="76"/>
        <v>129</v>
      </c>
      <c r="U87" s="577">
        <f t="shared" si="76"/>
        <v>129</v>
      </c>
      <c r="V87" s="856">
        <f t="shared" si="76"/>
        <v>0</v>
      </c>
      <c r="W87" s="857">
        <f t="shared" si="76"/>
        <v>96</v>
      </c>
      <c r="X87" s="577">
        <f t="shared" si="76"/>
        <v>96</v>
      </c>
      <c r="Y87" s="856">
        <f t="shared" si="76"/>
        <v>0</v>
      </c>
      <c r="Z87" s="857">
        <f t="shared" si="76"/>
        <v>117</v>
      </c>
      <c r="AA87" s="577">
        <f t="shared" si="76"/>
        <v>117</v>
      </c>
      <c r="AB87" s="856">
        <f t="shared" si="76"/>
        <v>0</v>
      </c>
      <c r="AC87" s="857">
        <f t="shared" si="76"/>
        <v>125</v>
      </c>
      <c r="AD87" s="577">
        <f t="shared" si="76"/>
        <v>125</v>
      </c>
      <c r="AE87" s="856">
        <f t="shared" si="76"/>
        <v>0</v>
      </c>
      <c r="AF87" s="857">
        <f t="shared" si="76"/>
        <v>134</v>
      </c>
      <c r="AG87" s="577">
        <f t="shared" si="76"/>
        <v>134</v>
      </c>
      <c r="AH87" s="856">
        <f t="shared" ref="AH87:AM87" si="77">SUM(AH84:AH86)</f>
        <v>0</v>
      </c>
      <c r="AI87" s="857">
        <f t="shared" si="77"/>
        <v>122</v>
      </c>
      <c r="AJ87" s="577">
        <f t="shared" si="77"/>
        <v>122</v>
      </c>
      <c r="AK87" s="856">
        <f t="shared" si="77"/>
        <v>0</v>
      </c>
      <c r="AL87" s="857">
        <f t="shared" si="77"/>
        <v>155</v>
      </c>
      <c r="AM87" s="577">
        <f t="shared" si="77"/>
        <v>155</v>
      </c>
      <c r="AN87" s="856">
        <f t="shared" ref="AN87:AV87" si="78">SUM(AN84:AN86)</f>
        <v>0</v>
      </c>
      <c r="AO87" s="857">
        <f t="shared" si="78"/>
        <v>189</v>
      </c>
      <c r="AP87" s="577">
        <f t="shared" si="78"/>
        <v>189</v>
      </c>
      <c r="AQ87" s="856">
        <f t="shared" si="78"/>
        <v>0</v>
      </c>
      <c r="AR87" s="1431">
        <f t="shared" si="78"/>
        <v>226</v>
      </c>
      <c r="AS87" s="577">
        <f t="shared" si="78"/>
        <v>226</v>
      </c>
      <c r="AT87" s="856">
        <f t="shared" si="78"/>
        <v>0</v>
      </c>
      <c r="AU87" s="1431">
        <f t="shared" si="78"/>
        <v>219</v>
      </c>
      <c r="AV87" s="577">
        <f t="shared" si="78"/>
        <v>219</v>
      </c>
    </row>
    <row r="88" spans="1:48" s="186" customFormat="1" ht="15" customHeight="1" x14ac:dyDescent="0.25">
      <c r="A88" s="5694"/>
      <c r="B88" s="5647" t="s">
        <v>74</v>
      </c>
      <c r="C88" s="793" t="s">
        <v>455</v>
      </c>
      <c r="D88" s="823"/>
      <c r="E88" s="825"/>
      <c r="F88" s="796"/>
      <c r="G88" s="847"/>
      <c r="H88" s="825"/>
      <c r="I88" s="796"/>
      <c r="J88" s="823"/>
      <c r="K88" s="824">
        <v>46</v>
      </c>
      <c r="L88" s="796">
        <v>46</v>
      </c>
      <c r="M88" s="823"/>
      <c r="N88" s="848">
        <v>24</v>
      </c>
      <c r="O88" s="796">
        <v>24</v>
      </c>
      <c r="P88" s="823"/>
      <c r="Q88" s="824">
        <v>42</v>
      </c>
      <c r="R88" s="796">
        <v>42</v>
      </c>
      <c r="S88" s="823"/>
      <c r="T88" s="824">
        <v>61</v>
      </c>
      <c r="U88" s="796">
        <v>61</v>
      </c>
      <c r="V88" s="823"/>
      <c r="W88" s="824">
        <v>32</v>
      </c>
      <c r="X88" s="796">
        <v>32</v>
      </c>
      <c r="Y88" s="823"/>
      <c r="Z88" s="824">
        <v>28</v>
      </c>
      <c r="AA88" s="796">
        <f t="shared" si="70"/>
        <v>28</v>
      </c>
      <c r="AB88" s="823"/>
      <c r="AC88" s="824">
        <v>28</v>
      </c>
      <c r="AD88" s="796">
        <f t="shared" si="74"/>
        <v>28</v>
      </c>
      <c r="AE88" s="823"/>
      <c r="AF88" s="824">
        <v>35</v>
      </c>
      <c r="AG88" s="796">
        <f t="shared" si="75"/>
        <v>35</v>
      </c>
      <c r="AH88" s="823"/>
      <c r="AI88" s="824">
        <v>44</v>
      </c>
      <c r="AJ88" s="796">
        <f>SUM(AH88:AI88)</f>
        <v>44</v>
      </c>
      <c r="AK88" s="823"/>
      <c r="AL88" s="824">
        <v>70</v>
      </c>
      <c r="AM88" s="796">
        <f>SUM(AK88:AL88)</f>
        <v>70</v>
      </c>
      <c r="AN88" s="823"/>
      <c r="AO88" s="824">
        <v>52</v>
      </c>
      <c r="AP88" s="796">
        <f>SUM(AN88:AO88)</f>
        <v>52</v>
      </c>
      <c r="AQ88" s="823"/>
      <c r="AR88" s="824">
        <v>69</v>
      </c>
      <c r="AS88" s="796">
        <f>SUM(AQ88:AR88)</f>
        <v>69</v>
      </c>
      <c r="AT88" s="823"/>
      <c r="AU88" s="824">
        <v>61</v>
      </c>
      <c r="AV88" s="796">
        <f>SUM(AT88:AU88)</f>
        <v>61</v>
      </c>
    </row>
    <row r="89" spans="1:48" s="186" customFormat="1" ht="15" customHeight="1" x14ac:dyDescent="0.25">
      <c r="A89" s="5694"/>
      <c r="B89" s="5648"/>
      <c r="C89" s="799" t="s">
        <v>500</v>
      </c>
      <c r="D89" s="805"/>
      <c r="E89" s="806"/>
      <c r="F89" s="802"/>
      <c r="G89" s="837"/>
      <c r="H89" s="806"/>
      <c r="I89" s="802"/>
      <c r="J89" s="805"/>
      <c r="K89" s="807">
        <v>12</v>
      </c>
      <c r="L89" s="802">
        <v>12</v>
      </c>
      <c r="M89" s="805"/>
      <c r="N89" s="838">
        <v>4</v>
      </c>
      <c r="O89" s="802">
        <v>4</v>
      </c>
      <c r="P89" s="805"/>
      <c r="Q89" s="807">
        <v>22</v>
      </c>
      <c r="R89" s="802">
        <v>22</v>
      </c>
      <c r="S89" s="805"/>
      <c r="T89" s="807">
        <v>30</v>
      </c>
      <c r="U89" s="802">
        <v>30</v>
      </c>
      <c r="V89" s="805"/>
      <c r="W89" s="807">
        <v>27</v>
      </c>
      <c r="X89" s="802">
        <v>27</v>
      </c>
      <c r="Y89" s="805"/>
      <c r="Z89" s="807">
        <v>25</v>
      </c>
      <c r="AA89" s="802">
        <f t="shared" si="70"/>
        <v>25</v>
      </c>
      <c r="AB89" s="805"/>
      <c r="AC89" s="807">
        <v>27</v>
      </c>
      <c r="AD89" s="802">
        <f t="shared" si="74"/>
        <v>27</v>
      </c>
      <c r="AE89" s="805"/>
      <c r="AF89" s="807">
        <v>28</v>
      </c>
      <c r="AG89" s="802">
        <f t="shared" si="75"/>
        <v>28</v>
      </c>
      <c r="AH89" s="805"/>
      <c r="AI89" s="807">
        <v>28</v>
      </c>
      <c r="AJ89" s="802">
        <f>SUM(AH89:AI89)</f>
        <v>28</v>
      </c>
      <c r="AK89" s="805"/>
      <c r="AL89" s="807">
        <v>34</v>
      </c>
      <c r="AM89" s="802">
        <f>SUM(AK89:AL89)</f>
        <v>34</v>
      </c>
      <c r="AN89" s="805"/>
      <c r="AO89" s="807">
        <v>31</v>
      </c>
      <c r="AP89" s="802">
        <f>SUM(AN89:AO89)</f>
        <v>31</v>
      </c>
      <c r="AQ89" s="805"/>
      <c r="AR89" s="807">
        <v>33</v>
      </c>
      <c r="AS89" s="802">
        <f>SUM(AQ89:AR89)</f>
        <v>33</v>
      </c>
      <c r="AT89" s="805"/>
      <c r="AU89" s="807">
        <v>31</v>
      </c>
      <c r="AV89" s="802">
        <f>SUM(AT89:AU89)</f>
        <v>31</v>
      </c>
    </row>
    <row r="90" spans="1:48" s="186" customFormat="1" ht="15" customHeight="1" x14ac:dyDescent="0.25">
      <c r="A90" s="5694"/>
      <c r="B90" s="5648"/>
      <c r="C90" s="799" t="s">
        <v>501</v>
      </c>
      <c r="D90" s="805"/>
      <c r="E90" s="806"/>
      <c r="F90" s="802"/>
      <c r="G90" s="837"/>
      <c r="H90" s="806"/>
      <c r="I90" s="802"/>
      <c r="J90" s="805"/>
      <c r="K90" s="807"/>
      <c r="L90" s="802"/>
      <c r="M90" s="805"/>
      <c r="N90" s="838"/>
      <c r="O90" s="802"/>
      <c r="P90" s="805"/>
      <c r="Q90" s="807"/>
      <c r="R90" s="802"/>
      <c r="S90" s="805"/>
      <c r="T90" s="807">
        <v>19</v>
      </c>
      <c r="U90" s="802">
        <v>19</v>
      </c>
      <c r="V90" s="805"/>
      <c r="W90" s="807">
        <v>24</v>
      </c>
      <c r="X90" s="802">
        <v>24</v>
      </c>
      <c r="Y90" s="805"/>
      <c r="Z90" s="807">
        <v>27</v>
      </c>
      <c r="AA90" s="802">
        <f t="shared" si="70"/>
        <v>27</v>
      </c>
      <c r="AB90" s="805"/>
      <c r="AC90" s="807">
        <v>13</v>
      </c>
      <c r="AD90" s="802">
        <f t="shared" si="74"/>
        <v>13</v>
      </c>
      <c r="AE90" s="805"/>
      <c r="AF90" s="807">
        <v>16</v>
      </c>
      <c r="AG90" s="802">
        <f t="shared" si="75"/>
        <v>16</v>
      </c>
      <c r="AH90" s="805"/>
      <c r="AI90" s="807">
        <v>28</v>
      </c>
      <c r="AJ90" s="802">
        <f>SUM(AH90:AI90)</f>
        <v>28</v>
      </c>
      <c r="AK90" s="805"/>
      <c r="AL90" s="807">
        <v>57</v>
      </c>
      <c r="AM90" s="802">
        <f>SUM(AK90:AL90)</f>
        <v>57</v>
      </c>
      <c r="AN90" s="805"/>
      <c r="AO90" s="807">
        <v>49</v>
      </c>
      <c r="AP90" s="802">
        <f>SUM(AN90:AO90)</f>
        <v>49</v>
      </c>
      <c r="AQ90" s="805"/>
      <c r="AR90" s="807">
        <v>67</v>
      </c>
      <c r="AS90" s="802">
        <f>SUM(AQ90:AR90)</f>
        <v>67</v>
      </c>
      <c r="AT90" s="805"/>
      <c r="AU90" s="807">
        <v>59</v>
      </c>
      <c r="AV90" s="802">
        <f>SUM(AT90:AU90)</f>
        <v>59</v>
      </c>
    </row>
    <row r="91" spans="1:48" s="186" customFormat="1" ht="15" customHeight="1" x14ac:dyDescent="0.25">
      <c r="A91" s="5694"/>
      <c r="B91" s="5648"/>
      <c r="C91" s="808" t="s">
        <v>502</v>
      </c>
      <c r="D91" s="841"/>
      <c r="E91" s="840"/>
      <c r="F91" s="811"/>
      <c r="G91" s="841"/>
      <c r="H91" s="840"/>
      <c r="I91" s="811"/>
      <c r="J91" s="809"/>
      <c r="K91" s="810"/>
      <c r="L91" s="811"/>
      <c r="M91" s="809"/>
      <c r="N91" s="810"/>
      <c r="O91" s="811"/>
      <c r="P91" s="809"/>
      <c r="Q91" s="810"/>
      <c r="R91" s="811"/>
      <c r="S91" s="809"/>
      <c r="T91" s="810"/>
      <c r="U91" s="811"/>
      <c r="V91" s="809"/>
      <c r="W91" s="810"/>
      <c r="X91" s="811"/>
      <c r="Y91" s="809"/>
      <c r="Z91" s="810">
        <v>27</v>
      </c>
      <c r="AA91" s="811">
        <f t="shared" si="70"/>
        <v>27</v>
      </c>
      <c r="AB91" s="812"/>
      <c r="AC91" s="810">
        <v>42</v>
      </c>
      <c r="AD91" s="811">
        <f t="shared" si="74"/>
        <v>42</v>
      </c>
      <c r="AE91" s="812"/>
      <c r="AF91" s="810">
        <v>57</v>
      </c>
      <c r="AG91" s="811">
        <f t="shared" si="75"/>
        <v>57</v>
      </c>
      <c r="AH91" s="812"/>
      <c r="AI91" s="810">
        <v>45</v>
      </c>
      <c r="AJ91" s="811">
        <f>SUM(AH91:AI91)</f>
        <v>45</v>
      </c>
      <c r="AK91" s="812"/>
      <c r="AL91" s="810">
        <v>68</v>
      </c>
      <c r="AM91" s="811">
        <f>SUM(AK91:AL91)</f>
        <v>68</v>
      </c>
      <c r="AN91" s="812"/>
      <c r="AO91" s="810">
        <v>61</v>
      </c>
      <c r="AP91" s="811">
        <f>SUM(AN91:AO91)</f>
        <v>61</v>
      </c>
      <c r="AQ91" s="812"/>
      <c r="AR91" s="810">
        <v>67</v>
      </c>
      <c r="AS91" s="811">
        <f>SUM(AQ91:AR91)</f>
        <v>67</v>
      </c>
      <c r="AT91" s="812"/>
      <c r="AU91" s="810">
        <v>65</v>
      </c>
      <c r="AV91" s="811">
        <f>SUM(AT91:AU91)</f>
        <v>65</v>
      </c>
    </row>
    <row r="92" spans="1:48" s="186" customFormat="1" ht="15" customHeight="1" x14ac:dyDescent="0.25">
      <c r="A92" s="5694"/>
      <c r="B92" s="5649"/>
      <c r="C92" s="855" t="s">
        <v>160</v>
      </c>
      <c r="D92" s="856"/>
      <c r="E92" s="857"/>
      <c r="F92" s="577"/>
      <c r="G92" s="856"/>
      <c r="H92" s="857"/>
      <c r="I92" s="577"/>
      <c r="J92" s="856"/>
      <c r="K92" s="857">
        <f>SUM(K88:K91)</f>
        <v>58</v>
      </c>
      <c r="L92" s="577">
        <f t="shared" ref="L92:AG92" si="79">SUM(L88:L91)</f>
        <v>58</v>
      </c>
      <c r="M92" s="856">
        <f t="shared" si="79"/>
        <v>0</v>
      </c>
      <c r="N92" s="857">
        <f t="shared" si="79"/>
        <v>28</v>
      </c>
      <c r="O92" s="577">
        <f t="shared" si="79"/>
        <v>28</v>
      </c>
      <c r="P92" s="856">
        <f t="shared" si="79"/>
        <v>0</v>
      </c>
      <c r="Q92" s="857">
        <f t="shared" si="79"/>
        <v>64</v>
      </c>
      <c r="R92" s="577">
        <f t="shared" si="79"/>
        <v>64</v>
      </c>
      <c r="S92" s="856">
        <f t="shared" si="79"/>
        <v>0</v>
      </c>
      <c r="T92" s="857">
        <f t="shared" si="79"/>
        <v>110</v>
      </c>
      <c r="U92" s="577">
        <f t="shared" si="79"/>
        <v>110</v>
      </c>
      <c r="V92" s="856">
        <f t="shared" si="79"/>
        <v>0</v>
      </c>
      <c r="W92" s="857">
        <f t="shared" si="79"/>
        <v>83</v>
      </c>
      <c r="X92" s="577">
        <f t="shared" si="79"/>
        <v>83</v>
      </c>
      <c r="Y92" s="856">
        <f t="shared" si="79"/>
        <v>0</v>
      </c>
      <c r="Z92" s="857">
        <f t="shared" si="79"/>
        <v>107</v>
      </c>
      <c r="AA92" s="577">
        <f t="shared" si="79"/>
        <v>107</v>
      </c>
      <c r="AB92" s="856">
        <f t="shared" si="79"/>
        <v>0</v>
      </c>
      <c r="AC92" s="857">
        <f t="shared" si="79"/>
        <v>110</v>
      </c>
      <c r="AD92" s="577">
        <f t="shared" si="79"/>
        <v>110</v>
      </c>
      <c r="AE92" s="856">
        <f t="shared" si="79"/>
        <v>0</v>
      </c>
      <c r="AF92" s="857">
        <f t="shared" si="79"/>
        <v>136</v>
      </c>
      <c r="AG92" s="577">
        <f t="shared" si="79"/>
        <v>136</v>
      </c>
      <c r="AH92" s="856">
        <f t="shared" ref="AH92:AM92" si="80">SUM(AH88:AH91)</f>
        <v>0</v>
      </c>
      <c r="AI92" s="857">
        <f t="shared" si="80"/>
        <v>145</v>
      </c>
      <c r="AJ92" s="577">
        <f t="shared" si="80"/>
        <v>145</v>
      </c>
      <c r="AK92" s="856">
        <f t="shared" si="80"/>
        <v>0</v>
      </c>
      <c r="AL92" s="857">
        <f t="shared" si="80"/>
        <v>229</v>
      </c>
      <c r="AM92" s="577">
        <f t="shared" si="80"/>
        <v>229</v>
      </c>
      <c r="AN92" s="856">
        <f t="shared" ref="AN92:AV92" si="81">SUM(AN88:AN91)</f>
        <v>0</v>
      </c>
      <c r="AO92" s="857">
        <f t="shared" si="81"/>
        <v>193</v>
      </c>
      <c r="AP92" s="577">
        <f t="shared" si="81"/>
        <v>193</v>
      </c>
      <c r="AQ92" s="856">
        <f t="shared" si="81"/>
        <v>0</v>
      </c>
      <c r="AR92" s="857">
        <f t="shared" si="81"/>
        <v>236</v>
      </c>
      <c r="AS92" s="577">
        <f t="shared" si="81"/>
        <v>236</v>
      </c>
      <c r="AT92" s="856">
        <f t="shared" si="81"/>
        <v>0</v>
      </c>
      <c r="AU92" s="857">
        <f t="shared" si="81"/>
        <v>216</v>
      </c>
      <c r="AV92" s="577">
        <f t="shared" si="81"/>
        <v>216</v>
      </c>
    </row>
    <row r="93" spans="1:48" s="186" customFormat="1" ht="15" customHeight="1" x14ac:dyDescent="0.25">
      <c r="A93" s="5762"/>
      <c r="B93" s="3543"/>
      <c r="C93" s="2261" t="s">
        <v>444</v>
      </c>
      <c r="D93" s="2262"/>
      <c r="E93" s="2263"/>
      <c r="F93" s="2264"/>
      <c r="G93" s="2262"/>
      <c r="H93" s="2263"/>
      <c r="I93" s="2264"/>
      <c r="J93" s="2262"/>
      <c r="K93" s="2263">
        <f>SUM(K92,K87,K83)</f>
        <v>203</v>
      </c>
      <c r="L93" s="2264">
        <f t="shared" ref="L93:AG93" si="82">SUM(L92,L87,L83)</f>
        <v>203</v>
      </c>
      <c r="M93" s="2262">
        <f t="shared" si="82"/>
        <v>0</v>
      </c>
      <c r="N93" s="2263">
        <f t="shared" si="82"/>
        <v>101</v>
      </c>
      <c r="O93" s="2264">
        <f t="shared" si="82"/>
        <v>101</v>
      </c>
      <c r="P93" s="2262">
        <f t="shared" si="82"/>
        <v>0</v>
      </c>
      <c r="Q93" s="2263">
        <f t="shared" si="82"/>
        <v>316</v>
      </c>
      <c r="R93" s="2264">
        <f t="shared" si="82"/>
        <v>316</v>
      </c>
      <c r="S93" s="2262">
        <f t="shared" si="82"/>
        <v>0</v>
      </c>
      <c r="T93" s="2263">
        <f t="shared" si="82"/>
        <v>355</v>
      </c>
      <c r="U93" s="2264">
        <f t="shared" si="82"/>
        <v>355</v>
      </c>
      <c r="V93" s="2262">
        <f t="shared" si="82"/>
        <v>0</v>
      </c>
      <c r="W93" s="2263">
        <f t="shared" si="82"/>
        <v>260</v>
      </c>
      <c r="X93" s="2264">
        <f t="shared" si="82"/>
        <v>260</v>
      </c>
      <c r="Y93" s="2262">
        <f t="shared" si="82"/>
        <v>0</v>
      </c>
      <c r="Z93" s="2263">
        <f t="shared" si="82"/>
        <v>319</v>
      </c>
      <c r="AA93" s="2264">
        <f t="shared" si="82"/>
        <v>319</v>
      </c>
      <c r="AB93" s="2262">
        <f t="shared" si="82"/>
        <v>0</v>
      </c>
      <c r="AC93" s="2263">
        <f t="shared" si="82"/>
        <v>322</v>
      </c>
      <c r="AD93" s="2264">
        <f t="shared" si="82"/>
        <v>322</v>
      </c>
      <c r="AE93" s="2262">
        <f t="shared" si="82"/>
        <v>0</v>
      </c>
      <c r="AF93" s="2263">
        <f t="shared" si="82"/>
        <v>356</v>
      </c>
      <c r="AG93" s="2264">
        <f t="shared" si="82"/>
        <v>356</v>
      </c>
      <c r="AH93" s="2262">
        <f t="shared" ref="AH93:AM93" si="83">SUM(AH92,AH87,AH83)</f>
        <v>0</v>
      </c>
      <c r="AI93" s="2263">
        <f t="shared" si="83"/>
        <v>361</v>
      </c>
      <c r="AJ93" s="2264">
        <f t="shared" si="83"/>
        <v>361</v>
      </c>
      <c r="AK93" s="2262">
        <f t="shared" si="83"/>
        <v>97</v>
      </c>
      <c r="AL93" s="2263">
        <f t="shared" si="83"/>
        <v>483</v>
      </c>
      <c r="AM93" s="2264">
        <f t="shared" si="83"/>
        <v>580</v>
      </c>
      <c r="AN93" s="2262">
        <f t="shared" ref="AN93:AV93" si="84">SUM(AN92,AN87,AN83)</f>
        <v>97</v>
      </c>
      <c r="AO93" s="2263">
        <f t="shared" si="84"/>
        <v>511</v>
      </c>
      <c r="AP93" s="2264">
        <f t="shared" si="84"/>
        <v>608</v>
      </c>
      <c r="AQ93" s="2262">
        <f t="shared" si="84"/>
        <v>97</v>
      </c>
      <c r="AR93" s="2263">
        <f t="shared" si="84"/>
        <v>597</v>
      </c>
      <c r="AS93" s="2264">
        <f t="shared" si="84"/>
        <v>694</v>
      </c>
      <c r="AT93" s="2262">
        <f t="shared" si="84"/>
        <v>98</v>
      </c>
      <c r="AU93" s="2263">
        <f t="shared" si="84"/>
        <v>561</v>
      </c>
      <c r="AV93" s="2264">
        <f t="shared" si="84"/>
        <v>659</v>
      </c>
    </row>
    <row r="94" spans="1:48" s="186" customFormat="1" ht="15" customHeight="1" x14ac:dyDescent="0.2">
      <c r="A94" s="5763" t="s">
        <v>431</v>
      </c>
      <c r="B94" s="5760" t="s">
        <v>5</v>
      </c>
      <c r="C94" s="4481" t="s">
        <v>503</v>
      </c>
      <c r="D94" s="819"/>
      <c r="E94" s="822"/>
      <c r="F94" s="816"/>
      <c r="G94" s="846"/>
      <c r="H94" s="822"/>
      <c r="I94" s="816"/>
      <c r="J94" s="819"/>
      <c r="K94" s="820"/>
      <c r="L94" s="816"/>
      <c r="M94" s="819"/>
      <c r="N94" s="820"/>
      <c r="O94" s="816"/>
      <c r="P94" s="814"/>
      <c r="Q94" s="815"/>
      <c r="R94" s="816"/>
      <c r="S94" s="814"/>
      <c r="T94" s="815"/>
      <c r="U94" s="816"/>
      <c r="V94" s="814"/>
      <c r="W94" s="815"/>
      <c r="X94" s="816"/>
      <c r="Y94" s="814"/>
      <c r="Z94" s="815"/>
      <c r="AA94" s="816"/>
      <c r="AB94" s="814">
        <v>26</v>
      </c>
      <c r="AC94" s="815">
        <v>33</v>
      </c>
      <c r="AD94" s="816">
        <f t="shared" si="74"/>
        <v>59</v>
      </c>
      <c r="AE94" s="814"/>
      <c r="AF94" s="815">
        <v>30</v>
      </c>
      <c r="AG94" s="816">
        <f t="shared" si="75"/>
        <v>30</v>
      </c>
      <c r="AH94" s="814">
        <v>26</v>
      </c>
      <c r="AI94" s="815">
        <v>26</v>
      </c>
      <c r="AJ94" s="816">
        <f>SUM(AH94:AI94)</f>
        <v>52</v>
      </c>
      <c r="AK94" s="814">
        <v>21</v>
      </c>
      <c r="AL94" s="815">
        <v>28</v>
      </c>
      <c r="AM94" s="816">
        <f>SUM(AK94:AL94)</f>
        <v>49</v>
      </c>
      <c r="AN94" s="814">
        <v>22</v>
      </c>
      <c r="AO94" s="815">
        <v>46</v>
      </c>
      <c r="AP94" s="816">
        <f>SUM(AN94:AO94)</f>
        <v>68</v>
      </c>
      <c r="AQ94" s="814">
        <v>18</v>
      </c>
      <c r="AR94" s="815">
        <v>34</v>
      </c>
      <c r="AS94" s="816">
        <f>SUM(AQ94:AR94)</f>
        <v>52</v>
      </c>
      <c r="AT94" s="814">
        <v>21</v>
      </c>
      <c r="AU94" s="815">
        <v>31</v>
      </c>
      <c r="AV94" s="816">
        <f>SUM(AT94:AU94)</f>
        <v>52</v>
      </c>
    </row>
    <row r="95" spans="1:48" s="186" customFormat="1" ht="15" customHeight="1" x14ac:dyDescent="0.2">
      <c r="A95" s="5764"/>
      <c r="B95" s="5758"/>
      <c r="C95" s="808" t="s">
        <v>1579</v>
      </c>
      <c r="D95" s="819"/>
      <c r="E95" s="822"/>
      <c r="F95" s="816"/>
      <c r="G95" s="846"/>
      <c r="H95" s="822"/>
      <c r="I95" s="816"/>
      <c r="J95" s="819"/>
      <c r="K95" s="820"/>
      <c r="L95" s="816"/>
      <c r="M95" s="819"/>
      <c r="N95" s="820"/>
      <c r="O95" s="816"/>
      <c r="P95" s="814"/>
      <c r="Q95" s="815"/>
      <c r="R95" s="816"/>
      <c r="S95" s="814"/>
      <c r="T95" s="815"/>
      <c r="U95" s="816"/>
      <c r="V95" s="814"/>
      <c r="W95" s="815"/>
      <c r="X95" s="816"/>
      <c r="Y95" s="814"/>
      <c r="Z95" s="815"/>
      <c r="AA95" s="816"/>
      <c r="AB95" s="814"/>
      <c r="AC95" s="815"/>
      <c r="AD95" s="816"/>
      <c r="AE95" s="814"/>
      <c r="AF95" s="815"/>
      <c r="AG95" s="816"/>
      <c r="AH95" s="814"/>
      <c r="AI95" s="815"/>
      <c r="AJ95" s="816"/>
      <c r="AK95" s="814"/>
      <c r="AL95" s="815"/>
      <c r="AM95" s="816"/>
      <c r="AN95" s="814"/>
      <c r="AO95" s="815"/>
      <c r="AP95" s="816"/>
      <c r="AQ95" s="814"/>
      <c r="AR95" s="815"/>
      <c r="AS95" s="816"/>
      <c r="AT95" s="814">
        <v>32</v>
      </c>
      <c r="AU95" s="815">
        <v>27</v>
      </c>
      <c r="AV95" s="816">
        <f>SUM(AT95:AU95)</f>
        <v>59</v>
      </c>
    </row>
    <row r="96" spans="1:48" s="186" customFormat="1" ht="15" customHeight="1" x14ac:dyDescent="0.25">
      <c r="A96" s="5764"/>
      <c r="B96" s="5759"/>
      <c r="C96" s="855" t="s">
        <v>160</v>
      </c>
      <c r="D96" s="856"/>
      <c r="E96" s="857"/>
      <c r="F96" s="577"/>
      <c r="G96" s="856"/>
      <c r="H96" s="857"/>
      <c r="I96" s="577"/>
      <c r="J96" s="856"/>
      <c r="K96" s="857"/>
      <c r="L96" s="577"/>
      <c r="M96" s="856"/>
      <c r="N96" s="857"/>
      <c r="O96" s="577"/>
      <c r="P96" s="856"/>
      <c r="Q96" s="857"/>
      <c r="R96" s="577"/>
      <c r="S96" s="856"/>
      <c r="T96" s="857"/>
      <c r="U96" s="577"/>
      <c r="V96" s="856"/>
      <c r="W96" s="857"/>
      <c r="X96" s="577"/>
      <c r="Y96" s="856"/>
      <c r="Z96" s="857"/>
      <c r="AA96" s="577"/>
      <c r="AB96" s="856">
        <f>SUM(AB94)</f>
        <v>26</v>
      </c>
      <c r="AC96" s="857">
        <f t="shared" ref="AC96:AS96" si="85">SUM(AC94)</f>
        <v>33</v>
      </c>
      <c r="AD96" s="577">
        <f t="shared" si="85"/>
        <v>59</v>
      </c>
      <c r="AE96" s="856">
        <f t="shared" si="85"/>
        <v>0</v>
      </c>
      <c r="AF96" s="857">
        <f t="shared" si="85"/>
        <v>30</v>
      </c>
      <c r="AG96" s="577">
        <f t="shared" si="85"/>
        <v>30</v>
      </c>
      <c r="AH96" s="856">
        <f t="shared" si="85"/>
        <v>26</v>
      </c>
      <c r="AI96" s="857">
        <f t="shared" si="85"/>
        <v>26</v>
      </c>
      <c r="AJ96" s="577">
        <f t="shared" si="85"/>
        <v>52</v>
      </c>
      <c r="AK96" s="856">
        <f t="shared" si="85"/>
        <v>21</v>
      </c>
      <c r="AL96" s="857">
        <f t="shared" si="85"/>
        <v>28</v>
      </c>
      <c r="AM96" s="577">
        <f t="shared" si="85"/>
        <v>49</v>
      </c>
      <c r="AN96" s="856">
        <f t="shared" si="85"/>
        <v>22</v>
      </c>
      <c r="AO96" s="857">
        <f t="shared" si="85"/>
        <v>46</v>
      </c>
      <c r="AP96" s="577">
        <f t="shared" si="85"/>
        <v>68</v>
      </c>
      <c r="AQ96" s="856">
        <f>SUM(AQ94)</f>
        <v>18</v>
      </c>
      <c r="AR96" s="1431">
        <f>SUM(AR94)</f>
        <v>34</v>
      </c>
      <c r="AS96" s="577">
        <f t="shared" si="85"/>
        <v>52</v>
      </c>
      <c r="AT96" s="856">
        <f>SUM(AT94:AT95)</f>
        <v>53</v>
      </c>
      <c r="AU96" s="1431">
        <f>SUM(AU94:AU95)</f>
        <v>58</v>
      </c>
      <c r="AV96" s="577">
        <f>SUM(AV94:AV95)</f>
        <v>111</v>
      </c>
    </row>
    <row r="97" spans="1:48" s="186" customFormat="1" ht="15" customHeight="1" x14ac:dyDescent="0.2">
      <c r="A97" s="5764"/>
      <c r="B97" s="5757" t="s">
        <v>6</v>
      </c>
      <c r="C97" s="813" t="s">
        <v>504</v>
      </c>
      <c r="D97" s="819"/>
      <c r="E97" s="822"/>
      <c r="F97" s="816"/>
      <c r="G97" s="846"/>
      <c r="H97" s="822"/>
      <c r="I97" s="816"/>
      <c r="J97" s="819"/>
      <c r="K97" s="820"/>
      <c r="L97" s="816"/>
      <c r="M97" s="819"/>
      <c r="N97" s="820"/>
      <c r="O97" s="816"/>
      <c r="P97" s="814"/>
      <c r="Q97" s="815"/>
      <c r="R97" s="816"/>
      <c r="S97" s="814"/>
      <c r="T97" s="815"/>
      <c r="U97" s="816"/>
      <c r="V97" s="814"/>
      <c r="W97" s="815"/>
      <c r="X97" s="816"/>
      <c r="Y97" s="814"/>
      <c r="Z97" s="815"/>
      <c r="AA97" s="816"/>
      <c r="AB97" s="814">
        <v>29</v>
      </c>
      <c r="AC97" s="815">
        <v>29</v>
      </c>
      <c r="AD97" s="816">
        <f t="shared" si="74"/>
        <v>58</v>
      </c>
      <c r="AE97" s="814"/>
      <c r="AF97" s="815">
        <v>33</v>
      </c>
      <c r="AG97" s="816">
        <f t="shared" si="75"/>
        <v>33</v>
      </c>
      <c r="AH97" s="814">
        <v>22</v>
      </c>
      <c r="AI97" s="815">
        <v>29</v>
      </c>
      <c r="AJ97" s="816">
        <f>SUM(AH97:AI97)</f>
        <v>51</v>
      </c>
      <c r="AK97" s="814"/>
      <c r="AL97" s="815">
        <v>30</v>
      </c>
      <c r="AM97" s="816">
        <f>SUM(AK97:AL97)</f>
        <v>30</v>
      </c>
      <c r="AN97" s="814"/>
      <c r="AO97" s="815">
        <v>37</v>
      </c>
      <c r="AP97" s="816">
        <f>SUM(AN97:AO97)</f>
        <v>37</v>
      </c>
      <c r="AQ97" s="814">
        <v>31</v>
      </c>
      <c r="AR97" s="815">
        <v>32</v>
      </c>
      <c r="AS97" s="816">
        <f>SUM(AQ97:AR97)</f>
        <v>63</v>
      </c>
      <c r="AT97" s="814">
        <v>27</v>
      </c>
      <c r="AU97" s="815">
        <v>38</v>
      </c>
      <c r="AV97" s="816">
        <f>SUM(AT97:AU97)</f>
        <v>65</v>
      </c>
    </row>
    <row r="98" spans="1:48" s="186" customFormat="1" ht="15" customHeight="1" x14ac:dyDescent="0.2">
      <c r="A98" s="5764"/>
      <c r="B98" s="5758"/>
      <c r="C98" s="808" t="s">
        <v>612</v>
      </c>
      <c r="D98" s="819"/>
      <c r="E98" s="822"/>
      <c r="F98" s="816"/>
      <c r="G98" s="846"/>
      <c r="H98" s="822"/>
      <c r="I98" s="816"/>
      <c r="J98" s="819"/>
      <c r="K98" s="820"/>
      <c r="L98" s="816"/>
      <c r="M98" s="819"/>
      <c r="N98" s="820"/>
      <c r="O98" s="816"/>
      <c r="P98" s="814"/>
      <c r="Q98" s="815"/>
      <c r="R98" s="816"/>
      <c r="S98" s="814"/>
      <c r="T98" s="815"/>
      <c r="U98" s="816"/>
      <c r="V98" s="814"/>
      <c r="W98" s="815"/>
      <c r="X98" s="816"/>
      <c r="Y98" s="814"/>
      <c r="Z98" s="815"/>
      <c r="AA98" s="816"/>
      <c r="AB98" s="814"/>
      <c r="AC98" s="815"/>
      <c r="AD98" s="816"/>
      <c r="AE98" s="814"/>
      <c r="AF98" s="815"/>
      <c r="AG98" s="816"/>
      <c r="AH98" s="814"/>
      <c r="AI98" s="815">
        <v>18</v>
      </c>
      <c r="AJ98" s="816">
        <f>SUM(AH98:AI98)</f>
        <v>18</v>
      </c>
      <c r="AK98" s="814"/>
      <c r="AL98" s="815">
        <v>18</v>
      </c>
      <c r="AM98" s="816">
        <f>SUM(AK98:AL98)</f>
        <v>18</v>
      </c>
      <c r="AN98" s="814"/>
      <c r="AO98" s="815">
        <v>18</v>
      </c>
      <c r="AP98" s="816">
        <f>SUM(AN98:AO98)</f>
        <v>18</v>
      </c>
      <c r="AQ98" s="814"/>
      <c r="AR98" s="815">
        <v>26</v>
      </c>
      <c r="AS98" s="816">
        <f>SUM(AQ98:AR98)</f>
        <v>26</v>
      </c>
      <c r="AT98" s="814"/>
      <c r="AU98" s="815">
        <v>31</v>
      </c>
      <c r="AV98" s="816">
        <f>SUM(AT98:AU98)</f>
        <v>31</v>
      </c>
    </row>
    <row r="99" spans="1:48" s="186" customFormat="1" ht="15" customHeight="1" x14ac:dyDescent="0.25">
      <c r="A99" s="5764"/>
      <c r="B99" s="5759"/>
      <c r="C99" s="855" t="s">
        <v>160</v>
      </c>
      <c r="D99" s="856"/>
      <c r="E99" s="857"/>
      <c r="F99" s="577"/>
      <c r="G99" s="856"/>
      <c r="H99" s="857"/>
      <c r="I99" s="577"/>
      <c r="J99" s="856"/>
      <c r="K99" s="857"/>
      <c r="L99" s="577"/>
      <c r="M99" s="856"/>
      <c r="N99" s="857"/>
      <c r="O99" s="577"/>
      <c r="P99" s="856"/>
      <c r="Q99" s="857"/>
      <c r="R99" s="577"/>
      <c r="S99" s="856"/>
      <c r="T99" s="857"/>
      <c r="U99" s="577"/>
      <c r="V99" s="856"/>
      <c r="W99" s="857"/>
      <c r="X99" s="577"/>
      <c r="Y99" s="856"/>
      <c r="Z99" s="857"/>
      <c r="AA99" s="577"/>
      <c r="AB99" s="856">
        <f t="shared" ref="AB99:AG99" si="86">SUM(AB97:AB98)</f>
        <v>29</v>
      </c>
      <c r="AC99" s="857">
        <f t="shared" si="86"/>
        <v>29</v>
      </c>
      <c r="AD99" s="577">
        <f t="shared" si="86"/>
        <v>58</v>
      </c>
      <c r="AE99" s="856">
        <f t="shared" si="86"/>
        <v>0</v>
      </c>
      <c r="AF99" s="857">
        <f t="shared" si="86"/>
        <v>33</v>
      </c>
      <c r="AG99" s="577">
        <f t="shared" si="86"/>
        <v>33</v>
      </c>
      <c r="AH99" s="856">
        <f t="shared" ref="AH99:AM99" si="87">SUM(AH97:AH98)</f>
        <v>22</v>
      </c>
      <c r="AI99" s="857">
        <f t="shared" si="87"/>
        <v>47</v>
      </c>
      <c r="AJ99" s="577">
        <f t="shared" si="87"/>
        <v>69</v>
      </c>
      <c r="AK99" s="856">
        <f t="shared" si="87"/>
        <v>0</v>
      </c>
      <c r="AL99" s="857">
        <f t="shared" si="87"/>
        <v>48</v>
      </c>
      <c r="AM99" s="577">
        <f t="shared" si="87"/>
        <v>48</v>
      </c>
      <c r="AN99" s="856">
        <f t="shared" ref="AN99:AV99" si="88">SUM(AN97:AN98)</f>
        <v>0</v>
      </c>
      <c r="AO99" s="857">
        <f t="shared" si="88"/>
        <v>55</v>
      </c>
      <c r="AP99" s="577">
        <f t="shared" si="88"/>
        <v>55</v>
      </c>
      <c r="AQ99" s="856">
        <f t="shared" si="88"/>
        <v>31</v>
      </c>
      <c r="AR99" s="1431">
        <f t="shared" si="88"/>
        <v>58</v>
      </c>
      <c r="AS99" s="577">
        <f t="shared" si="88"/>
        <v>89</v>
      </c>
      <c r="AT99" s="856">
        <f t="shared" si="88"/>
        <v>27</v>
      </c>
      <c r="AU99" s="1431">
        <f t="shared" si="88"/>
        <v>69</v>
      </c>
      <c r="AV99" s="577">
        <f t="shared" si="88"/>
        <v>96</v>
      </c>
    </row>
    <row r="100" spans="1:48" s="186" customFormat="1" ht="15" customHeight="1" x14ac:dyDescent="0.2">
      <c r="A100" s="5765"/>
      <c r="B100" s="5760" t="s">
        <v>11</v>
      </c>
      <c r="C100" s="813" t="s">
        <v>505</v>
      </c>
      <c r="D100" s="819"/>
      <c r="E100" s="822"/>
      <c r="F100" s="816"/>
      <c r="G100" s="846"/>
      <c r="H100" s="822"/>
      <c r="I100" s="816"/>
      <c r="J100" s="819"/>
      <c r="K100" s="820"/>
      <c r="L100" s="816"/>
      <c r="M100" s="819"/>
      <c r="N100" s="820"/>
      <c r="O100" s="816"/>
      <c r="P100" s="814"/>
      <c r="Q100" s="815"/>
      <c r="R100" s="816"/>
      <c r="S100" s="814"/>
      <c r="T100" s="815"/>
      <c r="U100" s="816"/>
      <c r="V100" s="814"/>
      <c r="W100" s="815"/>
      <c r="X100" s="816"/>
      <c r="Y100" s="814"/>
      <c r="Z100" s="815"/>
      <c r="AA100" s="816"/>
      <c r="AB100" s="814">
        <v>30</v>
      </c>
      <c r="AC100" s="815">
        <v>26</v>
      </c>
      <c r="AD100" s="816">
        <f t="shared" si="74"/>
        <v>56</v>
      </c>
      <c r="AE100" s="814"/>
      <c r="AF100" s="815">
        <v>26</v>
      </c>
      <c r="AG100" s="816">
        <f t="shared" si="75"/>
        <v>26</v>
      </c>
      <c r="AH100" s="814">
        <v>19</v>
      </c>
      <c r="AI100" s="815">
        <v>36</v>
      </c>
      <c r="AJ100" s="816">
        <f>SUM(AH100:AI100)</f>
        <v>55</v>
      </c>
      <c r="AK100" s="814">
        <v>30</v>
      </c>
      <c r="AL100" s="815">
        <v>17</v>
      </c>
      <c r="AM100" s="816">
        <f>SUM(AK100:AL100)</f>
        <v>47</v>
      </c>
      <c r="AN100" s="814">
        <v>37</v>
      </c>
      <c r="AO100" s="815">
        <v>41</v>
      </c>
      <c r="AP100" s="816">
        <f>SUM(AN100:AO100)</f>
        <v>78</v>
      </c>
      <c r="AQ100" s="814">
        <v>31</v>
      </c>
      <c r="AR100" s="815">
        <v>50</v>
      </c>
      <c r="AS100" s="816">
        <f>SUM(AQ100:AR100)</f>
        <v>81</v>
      </c>
      <c r="AT100" s="794">
        <v>34</v>
      </c>
      <c r="AU100" s="795">
        <v>30</v>
      </c>
      <c r="AV100" s="796">
        <f>SUM(AT100:AU100)</f>
        <v>64</v>
      </c>
    </row>
    <row r="101" spans="1:48" s="186" customFormat="1" ht="15" customHeight="1" x14ac:dyDescent="0.2">
      <c r="A101" s="5765"/>
      <c r="B101" s="5758"/>
      <c r="C101" s="808" t="s">
        <v>1582</v>
      </c>
      <c r="D101" s="819"/>
      <c r="E101" s="822"/>
      <c r="F101" s="816"/>
      <c r="G101" s="846"/>
      <c r="H101" s="822"/>
      <c r="I101" s="816"/>
      <c r="J101" s="819"/>
      <c r="K101" s="820"/>
      <c r="L101" s="816"/>
      <c r="M101" s="819"/>
      <c r="N101" s="820"/>
      <c r="O101" s="816"/>
      <c r="P101" s="814"/>
      <c r="Q101" s="815"/>
      <c r="R101" s="816"/>
      <c r="S101" s="814"/>
      <c r="T101" s="815"/>
      <c r="U101" s="816"/>
      <c r="V101" s="814"/>
      <c r="W101" s="815"/>
      <c r="X101" s="816"/>
      <c r="Y101" s="814"/>
      <c r="Z101" s="815"/>
      <c r="AA101" s="816"/>
      <c r="AB101" s="814"/>
      <c r="AC101" s="815"/>
      <c r="AD101" s="816"/>
      <c r="AE101" s="814"/>
      <c r="AF101" s="815"/>
      <c r="AG101" s="816"/>
      <c r="AH101" s="814"/>
      <c r="AI101" s="815"/>
      <c r="AJ101" s="816"/>
      <c r="AK101" s="814"/>
      <c r="AL101" s="815"/>
      <c r="AM101" s="816"/>
      <c r="AN101" s="814"/>
      <c r="AO101" s="815"/>
      <c r="AP101" s="816"/>
      <c r="AQ101" s="814"/>
      <c r="AR101" s="815"/>
      <c r="AS101" s="816"/>
      <c r="AT101" s="814"/>
      <c r="AU101" s="815">
        <v>31</v>
      </c>
      <c r="AV101" s="816">
        <f>SUM(AT101:AU101)</f>
        <v>31</v>
      </c>
    </row>
    <row r="102" spans="1:48" s="186" customFormat="1" ht="15" customHeight="1" x14ac:dyDescent="0.25">
      <c r="A102" s="5765"/>
      <c r="B102" s="5759"/>
      <c r="C102" s="855" t="s">
        <v>160</v>
      </c>
      <c r="D102" s="856"/>
      <c r="E102" s="857"/>
      <c r="F102" s="577"/>
      <c r="G102" s="856"/>
      <c r="H102" s="857"/>
      <c r="I102" s="577"/>
      <c r="J102" s="856"/>
      <c r="K102" s="857"/>
      <c r="L102" s="577"/>
      <c r="M102" s="856"/>
      <c r="N102" s="857"/>
      <c r="O102" s="577"/>
      <c r="P102" s="856"/>
      <c r="Q102" s="857"/>
      <c r="R102" s="577"/>
      <c r="S102" s="856"/>
      <c r="T102" s="857"/>
      <c r="U102" s="577"/>
      <c r="V102" s="856"/>
      <c r="W102" s="857"/>
      <c r="X102" s="577"/>
      <c r="Y102" s="856"/>
      <c r="Z102" s="857"/>
      <c r="AA102" s="577"/>
      <c r="AB102" s="856">
        <f>SUM(AB100)</f>
        <v>30</v>
      </c>
      <c r="AC102" s="857">
        <f t="shared" ref="AC102:AS102" si="89">SUM(AC100)</f>
        <v>26</v>
      </c>
      <c r="AD102" s="577">
        <f t="shared" si="89"/>
        <v>56</v>
      </c>
      <c r="AE102" s="856">
        <f t="shared" si="89"/>
        <v>0</v>
      </c>
      <c r="AF102" s="857">
        <f t="shared" si="89"/>
        <v>26</v>
      </c>
      <c r="AG102" s="577">
        <f t="shared" si="89"/>
        <v>26</v>
      </c>
      <c r="AH102" s="856">
        <f t="shared" si="89"/>
        <v>19</v>
      </c>
      <c r="AI102" s="857">
        <f t="shared" si="89"/>
        <v>36</v>
      </c>
      <c r="AJ102" s="577">
        <f t="shared" si="89"/>
        <v>55</v>
      </c>
      <c r="AK102" s="856">
        <f t="shared" si="89"/>
        <v>30</v>
      </c>
      <c r="AL102" s="857">
        <f t="shared" si="89"/>
        <v>17</v>
      </c>
      <c r="AM102" s="577">
        <f t="shared" si="89"/>
        <v>47</v>
      </c>
      <c r="AN102" s="856">
        <f t="shared" si="89"/>
        <v>37</v>
      </c>
      <c r="AO102" s="857">
        <f t="shared" si="89"/>
        <v>41</v>
      </c>
      <c r="AP102" s="577">
        <f t="shared" si="89"/>
        <v>78</v>
      </c>
      <c r="AQ102" s="856">
        <f>SUM(AQ100)</f>
        <v>31</v>
      </c>
      <c r="AR102" s="857">
        <f t="shared" si="89"/>
        <v>50</v>
      </c>
      <c r="AS102" s="577">
        <f t="shared" si="89"/>
        <v>81</v>
      </c>
      <c r="AT102" s="856">
        <f>SUM(AT100)</f>
        <v>34</v>
      </c>
      <c r="AU102" s="1431">
        <f>SUM(AU100:AU101)</f>
        <v>61</v>
      </c>
      <c r="AV102" s="5142">
        <f>SUM(AV100:AV101)</f>
        <v>95</v>
      </c>
    </row>
    <row r="103" spans="1:48" s="186" customFormat="1" ht="15" customHeight="1" x14ac:dyDescent="0.25">
      <c r="A103" s="5766"/>
      <c r="B103" s="3542"/>
      <c r="C103" s="2269" t="s">
        <v>444</v>
      </c>
      <c r="D103" s="2270"/>
      <c r="E103" s="2271"/>
      <c r="F103" s="2272"/>
      <c r="G103" s="2271"/>
      <c r="H103" s="2271"/>
      <c r="I103" s="2271"/>
      <c r="J103" s="2270"/>
      <c r="K103" s="2271"/>
      <c r="L103" s="2272"/>
      <c r="M103" s="2271"/>
      <c r="N103" s="2271"/>
      <c r="O103" s="2271"/>
      <c r="P103" s="2270"/>
      <c r="Q103" s="2271"/>
      <c r="R103" s="2272"/>
      <c r="S103" s="2271"/>
      <c r="T103" s="2271"/>
      <c r="U103" s="2271"/>
      <c r="V103" s="2270"/>
      <c r="W103" s="2271"/>
      <c r="X103" s="2272"/>
      <c r="Y103" s="2271"/>
      <c r="Z103" s="2271"/>
      <c r="AA103" s="2272"/>
      <c r="AB103" s="2270">
        <f>SUM(AB102,AB99,AB96)</f>
        <v>85</v>
      </c>
      <c r="AC103" s="2271">
        <f t="shared" ref="AC103:AS103" si="90">SUM(AC102,AC99,AC96)</f>
        <v>88</v>
      </c>
      <c r="AD103" s="2272">
        <f t="shared" si="90"/>
        <v>173</v>
      </c>
      <c r="AE103" s="2270">
        <f t="shared" si="90"/>
        <v>0</v>
      </c>
      <c r="AF103" s="2271">
        <f t="shared" si="90"/>
        <v>89</v>
      </c>
      <c r="AG103" s="2272">
        <f t="shared" si="90"/>
        <v>89</v>
      </c>
      <c r="AH103" s="2270">
        <f t="shared" si="90"/>
        <v>67</v>
      </c>
      <c r="AI103" s="2271">
        <f t="shared" si="90"/>
        <v>109</v>
      </c>
      <c r="AJ103" s="2272">
        <f t="shared" si="90"/>
        <v>176</v>
      </c>
      <c r="AK103" s="2270">
        <f t="shared" si="90"/>
        <v>51</v>
      </c>
      <c r="AL103" s="2271">
        <f t="shared" si="90"/>
        <v>93</v>
      </c>
      <c r="AM103" s="2272">
        <f t="shared" si="90"/>
        <v>144</v>
      </c>
      <c r="AN103" s="2270">
        <f t="shared" si="90"/>
        <v>59</v>
      </c>
      <c r="AO103" s="2271">
        <f t="shared" si="90"/>
        <v>142</v>
      </c>
      <c r="AP103" s="2272">
        <f t="shared" si="90"/>
        <v>201</v>
      </c>
      <c r="AQ103" s="2270">
        <f t="shared" si="90"/>
        <v>80</v>
      </c>
      <c r="AR103" s="2271">
        <f t="shared" si="90"/>
        <v>142</v>
      </c>
      <c r="AS103" s="2272">
        <f t="shared" si="90"/>
        <v>222</v>
      </c>
      <c r="AT103" s="2270">
        <f>SUM(AT102,AT99,AT96)</f>
        <v>114</v>
      </c>
      <c r="AU103" s="2271">
        <f>SUM(AU102,AU99,AU96)</f>
        <v>188</v>
      </c>
      <c r="AV103" s="2272">
        <f>SUM(AV102,AV99,AV96)</f>
        <v>302</v>
      </c>
    </row>
    <row r="104" spans="1:48" s="186" customFormat="1" ht="15" customHeight="1" x14ac:dyDescent="0.2">
      <c r="A104" s="499"/>
      <c r="B104" s="499"/>
      <c r="C104" s="499"/>
      <c r="D104" s="499"/>
      <c r="E104" s="499"/>
      <c r="F104" s="499"/>
      <c r="G104" s="499"/>
      <c r="H104" s="499"/>
      <c r="I104" s="499"/>
      <c r="J104" s="499"/>
      <c r="K104" s="499"/>
      <c r="L104" s="499"/>
      <c r="M104" s="499"/>
      <c r="N104" s="499"/>
      <c r="O104" s="499"/>
      <c r="P104" s="499"/>
      <c r="Q104" s="499"/>
      <c r="R104" s="499"/>
      <c r="S104" s="499"/>
      <c r="T104" s="499"/>
      <c r="U104" s="499"/>
      <c r="V104" s="499"/>
      <c r="W104" s="499"/>
      <c r="X104" s="499"/>
      <c r="Y104" s="499"/>
      <c r="Z104" s="499"/>
      <c r="AA104" s="499"/>
      <c r="AB104" s="499"/>
      <c r="AC104" s="491"/>
      <c r="AD104" s="491"/>
      <c r="AE104" s="499"/>
      <c r="AF104" s="491"/>
      <c r="AG104" s="491"/>
      <c r="AH104" s="499"/>
      <c r="AI104" s="491"/>
      <c r="AJ104" s="491"/>
      <c r="AK104" s="499"/>
      <c r="AL104" s="491"/>
      <c r="AM104" s="491"/>
      <c r="AN104" s="499"/>
      <c r="AO104" s="491"/>
      <c r="AP104" s="491"/>
      <c r="AQ104" s="499"/>
      <c r="AR104" s="491"/>
      <c r="AS104" s="491"/>
      <c r="AT104" s="499"/>
      <c r="AU104" s="491"/>
      <c r="AV104" s="491"/>
    </row>
    <row r="105" spans="1:48" s="188" customFormat="1" x14ac:dyDescent="0.25">
      <c r="A105" s="831"/>
      <c r="B105" s="5655" t="s">
        <v>76</v>
      </c>
      <c r="C105" s="5657"/>
      <c r="D105" s="858">
        <f t="shared" ref="D105:AD105" si="91">SUM(D25,D56,D78,D93,D103)</f>
        <v>3555</v>
      </c>
      <c r="E105" s="859">
        <f t="shared" si="91"/>
        <v>4762</v>
      </c>
      <c r="F105" s="860">
        <f t="shared" si="91"/>
        <v>8317</v>
      </c>
      <c r="G105" s="858">
        <f t="shared" si="91"/>
        <v>4222</v>
      </c>
      <c r="H105" s="859">
        <f t="shared" si="91"/>
        <v>5490</v>
      </c>
      <c r="I105" s="860">
        <f t="shared" si="91"/>
        <v>9712</v>
      </c>
      <c r="J105" s="858">
        <f t="shared" si="91"/>
        <v>4137</v>
      </c>
      <c r="K105" s="859">
        <f t="shared" si="91"/>
        <v>5316</v>
      </c>
      <c r="L105" s="860">
        <f t="shared" si="91"/>
        <v>9453</v>
      </c>
      <c r="M105" s="858">
        <f t="shared" si="91"/>
        <v>4019</v>
      </c>
      <c r="N105" s="859">
        <f t="shared" si="91"/>
        <v>5163</v>
      </c>
      <c r="O105" s="860">
        <f t="shared" si="91"/>
        <v>9182</v>
      </c>
      <c r="P105" s="858">
        <f t="shared" si="91"/>
        <v>4013</v>
      </c>
      <c r="Q105" s="859">
        <f t="shared" si="91"/>
        <v>5251</v>
      </c>
      <c r="R105" s="860">
        <f t="shared" si="91"/>
        <v>9264</v>
      </c>
      <c r="S105" s="858">
        <f t="shared" si="91"/>
        <v>4227</v>
      </c>
      <c r="T105" s="859">
        <f t="shared" si="91"/>
        <v>5708</v>
      </c>
      <c r="U105" s="860">
        <f t="shared" si="91"/>
        <v>9935</v>
      </c>
      <c r="V105" s="858">
        <f t="shared" si="91"/>
        <v>4004</v>
      </c>
      <c r="W105" s="859">
        <f t="shared" si="91"/>
        <v>5249</v>
      </c>
      <c r="X105" s="860">
        <f t="shared" si="91"/>
        <v>9253</v>
      </c>
      <c r="Y105" s="858">
        <f t="shared" si="91"/>
        <v>4091</v>
      </c>
      <c r="Z105" s="859">
        <f t="shared" si="91"/>
        <v>5796</v>
      </c>
      <c r="AA105" s="860">
        <f t="shared" si="91"/>
        <v>9887</v>
      </c>
      <c r="AB105" s="858">
        <f t="shared" si="91"/>
        <v>4336</v>
      </c>
      <c r="AC105" s="859">
        <f t="shared" si="91"/>
        <v>5356</v>
      </c>
      <c r="AD105" s="860">
        <f t="shared" si="91"/>
        <v>9692</v>
      </c>
      <c r="AE105" s="858">
        <f t="shared" ref="AE105:AJ105" si="92">SUM(AE25,AE56,AE78,AE93,AE103)</f>
        <v>3839</v>
      </c>
      <c r="AF105" s="859">
        <f t="shared" si="92"/>
        <v>5564</v>
      </c>
      <c r="AG105" s="860">
        <f t="shared" si="92"/>
        <v>9403</v>
      </c>
      <c r="AH105" s="858">
        <f t="shared" si="92"/>
        <v>4079</v>
      </c>
      <c r="AI105" s="859">
        <f t="shared" si="92"/>
        <v>5779</v>
      </c>
      <c r="AJ105" s="860">
        <f t="shared" si="92"/>
        <v>9858</v>
      </c>
      <c r="AK105" s="858">
        <f t="shared" ref="AK105:AP105" si="93">SUM(AK25,AK56,AK78,AK93,AK103)</f>
        <v>4075</v>
      </c>
      <c r="AL105" s="859">
        <f t="shared" si="93"/>
        <v>5798</v>
      </c>
      <c r="AM105" s="860">
        <f t="shared" si="93"/>
        <v>9873</v>
      </c>
      <c r="AN105" s="858">
        <f t="shared" si="93"/>
        <v>3865</v>
      </c>
      <c r="AO105" s="859">
        <f t="shared" si="93"/>
        <v>5984</v>
      </c>
      <c r="AP105" s="860">
        <f t="shared" si="93"/>
        <v>9849</v>
      </c>
      <c r="AQ105" s="858">
        <f t="shared" ref="AQ105:AV105" si="94">SUM(AQ25,AQ56,AQ78,AQ93,AQ103)</f>
        <v>3969</v>
      </c>
      <c r="AR105" s="859">
        <f t="shared" si="94"/>
        <v>6347</v>
      </c>
      <c r="AS105" s="860">
        <f t="shared" si="94"/>
        <v>10316</v>
      </c>
      <c r="AT105" s="858">
        <f t="shared" si="94"/>
        <v>4024</v>
      </c>
      <c r="AU105" s="859">
        <f t="shared" si="94"/>
        <v>6137</v>
      </c>
      <c r="AV105" s="860">
        <f t="shared" si="94"/>
        <v>10161</v>
      </c>
    </row>
    <row r="106" spans="1:48" s="186" customFormat="1" x14ac:dyDescent="0.2">
      <c r="A106" s="491"/>
      <c r="B106" s="2208" t="s">
        <v>782</v>
      </c>
      <c r="C106" s="832"/>
      <c r="D106" s="491"/>
      <c r="E106" s="491"/>
      <c r="F106" s="491"/>
      <c r="G106" s="491"/>
      <c r="H106" s="491"/>
      <c r="I106" s="491"/>
      <c r="J106" s="491"/>
      <c r="K106" s="491"/>
      <c r="L106" s="491"/>
      <c r="M106" s="491"/>
      <c r="N106" s="491"/>
      <c r="O106" s="491"/>
      <c r="P106" s="491"/>
      <c r="Q106" s="491"/>
      <c r="R106" s="491"/>
      <c r="S106" s="491"/>
      <c r="T106" s="491"/>
      <c r="U106" s="491"/>
      <c r="V106" s="491"/>
      <c r="W106" s="491"/>
      <c r="X106" s="491"/>
      <c r="Y106" s="491"/>
      <c r="Z106" s="491"/>
      <c r="AA106" s="491"/>
      <c r="AB106" s="499"/>
      <c r="AC106" s="491"/>
      <c r="AD106" s="491"/>
      <c r="AE106" s="491"/>
      <c r="AF106" s="491"/>
      <c r="AG106" s="491"/>
    </row>
    <row r="107" spans="1:48" x14ac:dyDescent="0.2">
      <c r="B107" s="240" t="s">
        <v>648</v>
      </c>
      <c r="C107" s="563"/>
      <c r="D107" s="563"/>
      <c r="AB107" s="499"/>
    </row>
  </sheetData>
  <sheetProtection algorithmName="SHA-512" hashValue="OebfQsQ7YzLudgCZDa7A4dr6P750u1nem1OGKWkuR2IM4Evb0wY7C4BkpMP3JCjdqAC8iEEqSkMqNX7TUREAcw==" saltValue="affxudmbFWkjylIJgijBMw==" spinCount="100000" sheet="1" objects="1" scenarios="1"/>
  <mergeCells count="40">
    <mergeCell ref="A1:C1"/>
    <mergeCell ref="A79:A93"/>
    <mergeCell ref="A94:A103"/>
    <mergeCell ref="B49:B55"/>
    <mergeCell ref="A5:A25"/>
    <mergeCell ref="B5:B15"/>
    <mergeCell ref="A57:A78"/>
    <mergeCell ref="A3:A4"/>
    <mergeCell ref="B3:B4"/>
    <mergeCell ref="A26:A56"/>
    <mergeCell ref="B37:B48"/>
    <mergeCell ref="C3:C4"/>
    <mergeCell ref="B21:B24"/>
    <mergeCell ref="B26:B36"/>
    <mergeCell ref="B16:B20"/>
    <mergeCell ref="B105:C105"/>
    <mergeCell ref="B57:B63"/>
    <mergeCell ref="B64:B72"/>
    <mergeCell ref="B73:B77"/>
    <mergeCell ref="B79:B83"/>
    <mergeCell ref="B84:B87"/>
    <mergeCell ref="B88:B92"/>
    <mergeCell ref="B97:B99"/>
    <mergeCell ref="B94:B96"/>
    <mergeCell ref="B100:B102"/>
    <mergeCell ref="AT3:AV3"/>
    <mergeCell ref="AN3:AP3"/>
    <mergeCell ref="D3:F3"/>
    <mergeCell ref="G3:I3"/>
    <mergeCell ref="AK3:AM3"/>
    <mergeCell ref="AH3:AJ3"/>
    <mergeCell ref="AE3:AG3"/>
    <mergeCell ref="S3:U3"/>
    <mergeCell ref="V3:X3"/>
    <mergeCell ref="J3:L3"/>
    <mergeCell ref="M3:O3"/>
    <mergeCell ref="P3:R3"/>
    <mergeCell ref="Y3:AA3"/>
    <mergeCell ref="AB3:AD3"/>
    <mergeCell ref="AQ3:AS3"/>
  </mergeCells>
  <printOptions horizontalCentered="1" verticalCentered="1"/>
  <pageMargins left="0.35433070866141736" right="0.27559055118110237" top="0.31496062992125984" bottom="0.19685039370078741" header="0" footer="0.31496062992125984"/>
  <pageSetup scale="60" pageOrder="overThenDown" orientation="landscape" horizontalDpi="1200" verticalDpi="1200" r:id="rId1"/>
  <rowBreaks count="1" manualBreakCount="1">
    <brk id="56" max="41" man="1"/>
  </rowBreaks>
  <colBreaks count="2" manualBreakCount="2">
    <brk id="21" max="101" man="1"/>
    <brk id="39" max="101" man="1"/>
  </colBreaks>
  <ignoredErrors>
    <ignoredError sqref="AA88:AA91 AA5:AA14 AA21:AA23 AA26:AA34 AA37:AA47 AA49:AA54 AA73:AA76 AA79:AA82 AA57:AA62 AH99:AI99 AB99:AG99" formulaRange="1"/>
    <ignoredError sqref="AA16:AA19 AJ99 AA84:AA86 AA64:AA71 AK99:AM99 AN99:AO99" formula="1" formulaRange="1"/>
    <ignoredError sqref="AA15:AJ15 AA20:AJ20 AB16:AH19 AJ16:AJ19 AJ83:AJ87 AA48:AJ48 AA83:AG83 AA87:AG87 AB84:AG86 AA63:AJ63 AA72:AJ72 AB64:AJ71 AK97:AP98 AP63:AP72 AP36:AP48 AP15:AP20 AP99 AN83:AP94 AK36:AM94 AD96:AP96 AS96 AS15:AS20 AK15:AM34 AS36:AS48 AS63:AS72 AS83:AS87 AS99 AV83:AV99 AV63:AV72 AV36:AV48 AV15:AV20" formula="1"/>
  </ignoredError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  <pageSetUpPr fitToPage="1"/>
  </sheetPr>
  <dimension ref="A1:U199"/>
  <sheetViews>
    <sheetView showGridLines="0" zoomScaleNormal="100" workbookViewId="0">
      <pane xSplit="1" ySplit="5" topLeftCell="E6" activePane="bottomRight" state="frozen"/>
      <selection sqref="A1:E1"/>
      <selection pane="topRight" sqref="A1:E1"/>
      <selection pane="bottomLeft" sqref="A1:E1"/>
      <selection pane="bottomRight" activeCell="R24" sqref="R24"/>
    </sheetView>
  </sheetViews>
  <sheetFormatPr baseColWidth="10" defaultRowHeight="15" x14ac:dyDescent="0.25"/>
  <cols>
    <col min="1" max="1" width="31.85546875" style="1378" bestFit="1" customWidth="1"/>
    <col min="2" max="2" width="12.7109375" style="1378" customWidth="1"/>
    <col min="3" max="3" width="14.7109375" style="1378" customWidth="1"/>
    <col min="4" max="4" width="12.140625" style="1378" customWidth="1"/>
    <col min="5" max="16384" width="11.42578125" style="1378"/>
  </cols>
  <sheetData>
    <row r="1" spans="1:21" x14ac:dyDescent="0.25">
      <c r="B1" s="7471"/>
      <c r="C1" s="7471"/>
      <c r="D1" s="7471"/>
    </row>
    <row r="2" spans="1:21" ht="18.75" x14ac:dyDescent="0.3">
      <c r="A2" s="1379"/>
      <c r="B2" s="2142" t="s">
        <v>747</v>
      </c>
      <c r="C2" s="3359"/>
      <c r="D2" s="3359"/>
    </row>
    <row r="3" spans="1:21" x14ac:dyDescent="0.25">
      <c r="A3" s="3359"/>
    </row>
    <row r="4" spans="1:21" ht="25.5" customHeight="1" x14ac:dyDescent="0.25">
      <c r="A4" s="7472" t="s">
        <v>582</v>
      </c>
      <c r="B4" s="7469" t="s">
        <v>583</v>
      </c>
      <c r="C4" s="7469"/>
      <c r="D4" s="7469" t="s">
        <v>1056</v>
      </c>
      <c r="E4" s="7469"/>
      <c r="F4" s="7469" t="s">
        <v>1057</v>
      </c>
      <c r="G4" s="7469"/>
      <c r="H4" s="7469" t="s">
        <v>1058</v>
      </c>
      <c r="I4" s="7469"/>
      <c r="J4" s="7469" t="s">
        <v>1059</v>
      </c>
      <c r="K4" s="7469"/>
      <c r="L4" s="7469" t="s">
        <v>1060</v>
      </c>
      <c r="M4" s="7469"/>
      <c r="N4" s="7469" t="s">
        <v>744</v>
      </c>
      <c r="O4" s="7469"/>
      <c r="P4" s="7469" t="s">
        <v>1445</v>
      </c>
      <c r="Q4" s="7469"/>
      <c r="R4" s="7469" t="s">
        <v>1559</v>
      </c>
      <c r="S4" s="7469"/>
      <c r="T4" s="7469" t="s">
        <v>1686</v>
      </c>
      <c r="U4" s="7469"/>
    </row>
    <row r="5" spans="1:21" x14ac:dyDescent="0.25">
      <c r="A5" s="7472"/>
      <c r="B5" s="2940" t="s">
        <v>745</v>
      </c>
      <c r="C5" s="2941" t="s">
        <v>746</v>
      </c>
      <c r="D5" s="2940" t="s">
        <v>745</v>
      </c>
      <c r="E5" s="2941" t="s">
        <v>746</v>
      </c>
      <c r="F5" s="2940" t="s">
        <v>745</v>
      </c>
      <c r="G5" s="2941" t="s">
        <v>746</v>
      </c>
      <c r="H5" s="2940" t="s">
        <v>745</v>
      </c>
      <c r="I5" s="2941" t="s">
        <v>746</v>
      </c>
      <c r="J5" s="2940" t="s">
        <v>745</v>
      </c>
      <c r="K5" s="2941" t="s">
        <v>746</v>
      </c>
      <c r="L5" s="2940" t="s">
        <v>745</v>
      </c>
      <c r="M5" s="2941" t="s">
        <v>746</v>
      </c>
      <c r="N5" s="2940" t="s">
        <v>745</v>
      </c>
      <c r="O5" s="2941" t="s">
        <v>746</v>
      </c>
      <c r="P5" s="2940" t="s">
        <v>745</v>
      </c>
      <c r="Q5" s="2941" t="s">
        <v>746</v>
      </c>
      <c r="R5" s="2940" t="s">
        <v>745</v>
      </c>
      <c r="S5" s="2941" t="s">
        <v>746</v>
      </c>
      <c r="T5" s="2940" t="s">
        <v>745</v>
      </c>
      <c r="U5" s="2941" t="s">
        <v>746</v>
      </c>
    </row>
    <row r="6" spans="1:21" ht="25.5" customHeight="1" x14ac:dyDescent="0.25">
      <c r="A6" s="2930" t="s">
        <v>584</v>
      </c>
      <c r="B6" s="2931">
        <v>538</v>
      </c>
      <c r="C6" s="2931"/>
      <c r="D6" s="2931">
        <v>975</v>
      </c>
      <c r="E6" s="2931">
        <v>7010</v>
      </c>
      <c r="F6" s="2931">
        <v>866</v>
      </c>
      <c r="G6" s="2931">
        <v>2764</v>
      </c>
      <c r="H6" s="2931">
        <v>558</v>
      </c>
      <c r="I6" s="2931">
        <v>2360</v>
      </c>
      <c r="J6" s="2931">
        <v>940</v>
      </c>
      <c r="K6" s="2931">
        <v>3100</v>
      </c>
      <c r="L6" s="2931">
        <v>1044</v>
      </c>
      <c r="M6" s="2931">
        <v>3796</v>
      </c>
      <c r="N6" s="2931">
        <v>777</v>
      </c>
      <c r="O6" s="2931">
        <v>2300</v>
      </c>
      <c r="Q6" s="2931">
        <v>5583</v>
      </c>
      <c r="R6" s="2931">
        <v>1142</v>
      </c>
      <c r="S6" s="2931">
        <v>6785</v>
      </c>
      <c r="T6" s="2931">
        <v>1192</v>
      </c>
      <c r="U6" s="2931">
        <v>8762</v>
      </c>
    </row>
    <row r="7" spans="1:21" ht="25.5" customHeight="1" x14ac:dyDescent="0.25">
      <c r="A7" s="2932" t="s">
        <v>585</v>
      </c>
      <c r="B7" s="2931">
        <v>1708</v>
      </c>
      <c r="C7" s="2931">
        <v>7230</v>
      </c>
      <c r="D7" s="2931">
        <v>1690</v>
      </c>
      <c r="E7" s="2931">
        <v>8360</v>
      </c>
      <c r="F7" s="2931">
        <v>1256</v>
      </c>
      <c r="G7" s="2931">
        <v>11361</v>
      </c>
      <c r="H7" s="2931">
        <v>1149</v>
      </c>
      <c r="I7" s="2931">
        <v>14277</v>
      </c>
      <c r="J7" s="2931">
        <v>1332</v>
      </c>
      <c r="K7" s="2931">
        <v>13642</v>
      </c>
      <c r="L7" s="2931"/>
      <c r="M7" s="2931"/>
      <c r="N7" s="2931">
        <v>1009</v>
      </c>
      <c r="O7" s="2931">
        <v>2480</v>
      </c>
      <c r="P7" s="2931"/>
      <c r="Q7" s="2931"/>
      <c r="R7" s="2931"/>
      <c r="S7" s="2931"/>
      <c r="T7" s="2931"/>
      <c r="U7" s="2931"/>
    </row>
    <row r="8" spans="1:21" ht="25.5" customHeight="1" x14ac:dyDescent="0.25">
      <c r="A8" s="2933" t="s">
        <v>586</v>
      </c>
      <c r="B8" s="2931">
        <v>705</v>
      </c>
      <c r="C8" s="2931"/>
      <c r="D8" s="2931">
        <v>2631</v>
      </c>
      <c r="E8" s="2931"/>
      <c r="F8" s="2931">
        <v>2658</v>
      </c>
      <c r="G8" s="2931">
        <v>3040</v>
      </c>
      <c r="H8" s="2931">
        <v>3563</v>
      </c>
      <c r="I8" s="2931">
        <v>4945</v>
      </c>
      <c r="J8" s="2931">
        <v>4846</v>
      </c>
      <c r="K8" s="2931">
        <v>5390</v>
      </c>
      <c r="L8" s="2931">
        <v>4580</v>
      </c>
      <c r="M8" s="2931">
        <v>6460</v>
      </c>
      <c r="N8" s="2931">
        <v>4975</v>
      </c>
      <c r="O8" s="2931">
        <v>7350</v>
      </c>
      <c r="P8" s="2931">
        <v>3846</v>
      </c>
      <c r="Q8" s="2931">
        <v>7150</v>
      </c>
      <c r="R8" s="2931">
        <v>4110</v>
      </c>
      <c r="S8" s="2931">
        <v>13460</v>
      </c>
      <c r="T8" s="2931">
        <v>4131</v>
      </c>
      <c r="U8" s="2931">
        <v>7650</v>
      </c>
    </row>
    <row r="9" spans="1:21" ht="25.5" customHeight="1" x14ac:dyDescent="0.25">
      <c r="A9" s="2933" t="s">
        <v>587</v>
      </c>
      <c r="B9" s="2931"/>
      <c r="C9" s="2931"/>
      <c r="D9" s="2931"/>
      <c r="E9" s="2931"/>
      <c r="F9" s="2931">
        <v>2052</v>
      </c>
      <c r="G9" s="2931">
        <v>3040</v>
      </c>
      <c r="H9" s="2931">
        <v>2698</v>
      </c>
      <c r="I9" s="2931">
        <v>4945</v>
      </c>
      <c r="J9" s="2931">
        <v>2200</v>
      </c>
      <c r="K9" s="2931">
        <v>5390</v>
      </c>
      <c r="L9" s="2931">
        <v>3231</v>
      </c>
      <c r="M9" s="2931">
        <v>6460</v>
      </c>
      <c r="N9" s="2931">
        <v>4332</v>
      </c>
      <c r="O9" s="2931">
        <v>7350</v>
      </c>
      <c r="P9" s="2931">
        <v>5987</v>
      </c>
      <c r="Q9" s="2931">
        <v>7150</v>
      </c>
      <c r="R9" s="2931">
        <v>6080</v>
      </c>
      <c r="S9" s="2931">
        <v>13460</v>
      </c>
      <c r="T9" s="2931">
        <v>6385</v>
      </c>
      <c r="U9" s="2931">
        <v>7650</v>
      </c>
    </row>
    <row r="10" spans="1:21" ht="25.5" customHeight="1" x14ac:dyDescent="0.25">
      <c r="A10" s="2933" t="s">
        <v>809</v>
      </c>
      <c r="B10" s="2931"/>
      <c r="C10" s="2931"/>
      <c r="D10" s="2931"/>
      <c r="E10" s="2931"/>
      <c r="F10" s="2931"/>
      <c r="G10" s="2931"/>
      <c r="H10" s="2931"/>
      <c r="I10" s="2931"/>
      <c r="J10" s="2931"/>
      <c r="K10" s="2931"/>
      <c r="L10" s="2931"/>
      <c r="M10" s="2931"/>
      <c r="N10" s="2931">
        <v>1876</v>
      </c>
      <c r="O10" s="2931">
        <v>2755</v>
      </c>
      <c r="P10" s="2931"/>
      <c r="Q10" s="2931"/>
      <c r="R10" s="2931"/>
      <c r="S10" s="2931"/>
      <c r="T10" s="2931"/>
      <c r="U10" s="2931"/>
    </row>
    <row r="11" spans="1:21" ht="25.5" customHeight="1" x14ac:dyDescent="0.25">
      <c r="A11" s="3358" t="s">
        <v>160</v>
      </c>
      <c r="B11" s="2934">
        <v>2951</v>
      </c>
      <c r="C11" s="2934">
        <v>7230</v>
      </c>
      <c r="D11" s="2934">
        <v>5296</v>
      </c>
      <c r="E11" s="2934">
        <v>15370</v>
      </c>
      <c r="F11" s="2934">
        <v>6832</v>
      </c>
      <c r="G11" s="2934">
        <v>20205</v>
      </c>
      <c r="H11" s="2934">
        <v>7968</v>
      </c>
      <c r="I11" s="2934">
        <v>26527</v>
      </c>
      <c r="J11" s="2934">
        <v>9318</v>
      </c>
      <c r="K11" s="2934">
        <v>27522</v>
      </c>
      <c r="L11" s="2934">
        <v>8855</v>
      </c>
      <c r="M11" s="2934">
        <v>16716</v>
      </c>
      <c r="N11" s="2934">
        <v>12969</v>
      </c>
      <c r="O11" s="2934">
        <v>22235</v>
      </c>
      <c r="P11" s="2934">
        <f t="shared" ref="P11:U11" si="0">SUM(P6:P10)</f>
        <v>9833</v>
      </c>
      <c r="Q11" s="2934">
        <f t="shared" si="0"/>
        <v>19883</v>
      </c>
      <c r="R11" s="2934">
        <f t="shared" si="0"/>
        <v>11332</v>
      </c>
      <c r="S11" s="2934">
        <f t="shared" si="0"/>
        <v>33705</v>
      </c>
      <c r="T11" s="2934">
        <f t="shared" si="0"/>
        <v>11708</v>
      </c>
      <c r="U11" s="2934">
        <f t="shared" si="0"/>
        <v>24062</v>
      </c>
    </row>
    <row r="13" spans="1:21" ht="30" customHeight="1" x14ac:dyDescent="0.25">
      <c r="A13" s="7470" t="s">
        <v>588</v>
      </c>
      <c r="B13" s="7470"/>
      <c r="C13" s="7470"/>
      <c r="D13" s="7470"/>
      <c r="E13" s="7470"/>
      <c r="F13" s="7470"/>
      <c r="G13" s="7470"/>
      <c r="H13" s="7470"/>
      <c r="I13" s="7470"/>
      <c r="J13" s="7470"/>
      <c r="K13" s="7470"/>
      <c r="L13" s="7470"/>
      <c r="M13" s="7470"/>
      <c r="N13" s="7470"/>
      <c r="O13" s="7470"/>
    </row>
    <row r="14" spans="1:21" ht="30" customHeight="1" x14ac:dyDescent="0.25">
      <c r="A14" s="7470" t="s">
        <v>589</v>
      </c>
      <c r="B14" s="7470"/>
      <c r="C14" s="7470"/>
      <c r="D14" s="7470"/>
      <c r="E14" s="7470"/>
      <c r="F14" s="7470"/>
      <c r="G14" s="7470"/>
      <c r="H14" s="7470"/>
      <c r="I14" s="7470"/>
      <c r="J14" s="7470"/>
      <c r="K14" s="7470"/>
      <c r="L14" s="7470"/>
      <c r="M14" s="7470"/>
      <c r="N14" s="7470"/>
      <c r="O14" s="7470"/>
    </row>
    <row r="15" spans="1:21" x14ac:dyDescent="0.25">
      <c r="B15" s="2924"/>
      <c r="C15" s="2924"/>
      <c r="D15" s="2924"/>
    </row>
    <row r="16" spans="1:21" ht="15" customHeight="1" x14ac:dyDescent="0.25">
      <c r="C16" s="2924"/>
      <c r="D16" s="2924"/>
    </row>
    <row r="17" spans="1:4" x14ac:dyDescent="0.25">
      <c r="B17" s="2924"/>
      <c r="C17" s="2924"/>
      <c r="D17" s="2924"/>
    </row>
    <row r="18" spans="1:4" x14ac:dyDescent="0.25">
      <c r="A18" s="2921"/>
      <c r="B18" s="2790"/>
      <c r="C18" s="2790"/>
      <c r="D18" s="2924"/>
    </row>
    <row r="19" spans="1:4" x14ac:dyDescent="0.25">
      <c r="A19" s="2921"/>
      <c r="B19" s="2921"/>
      <c r="C19" s="2921"/>
    </row>
    <row r="20" spans="1:4" ht="15" customHeight="1" x14ac:dyDescent="0.25">
      <c r="A20" s="2921"/>
      <c r="B20" s="2921"/>
      <c r="C20" s="2921"/>
    </row>
    <row r="21" spans="1:4" x14ac:dyDescent="0.25">
      <c r="A21" s="2921"/>
      <c r="B21" s="2921"/>
      <c r="C21" s="2921"/>
    </row>
    <row r="22" spans="1:4" ht="15" customHeight="1" x14ac:dyDescent="0.25">
      <c r="A22" s="2921"/>
      <c r="B22" s="2921"/>
      <c r="C22" s="2921"/>
    </row>
    <row r="23" spans="1:4" ht="15" customHeight="1" x14ac:dyDescent="0.25">
      <c r="A23" s="2921"/>
      <c r="B23" s="2921"/>
      <c r="C23" s="2921"/>
    </row>
    <row r="24" spans="1:4" x14ac:dyDescent="0.25">
      <c r="A24" s="2921"/>
      <c r="B24" s="2921"/>
      <c r="C24" s="2921"/>
    </row>
    <row r="25" spans="1:4" x14ac:dyDescent="0.25">
      <c r="A25" s="2921"/>
      <c r="B25" s="2921"/>
      <c r="C25" s="2921"/>
    </row>
    <row r="26" spans="1:4" ht="15" customHeight="1" x14ac:dyDescent="0.25">
      <c r="A26" s="2921"/>
      <c r="B26" s="2921"/>
      <c r="C26" s="2921"/>
    </row>
    <row r="27" spans="1:4" ht="15" customHeight="1" x14ac:dyDescent="0.25">
      <c r="A27" s="2921"/>
      <c r="B27" s="2921"/>
      <c r="C27" s="2921"/>
    </row>
    <row r="28" spans="1:4" x14ac:dyDescent="0.25">
      <c r="A28" s="2921"/>
      <c r="B28" s="2921"/>
      <c r="C28" s="2921"/>
    </row>
    <row r="29" spans="1:4" x14ac:dyDescent="0.25">
      <c r="A29" s="2921"/>
      <c r="B29" s="2921"/>
      <c r="C29" s="2921"/>
    </row>
    <row r="30" spans="1:4" x14ac:dyDescent="0.25">
      <c r="A30" s="2921"/>
      <c r="B30" s="2921"/>
      <c r="C30" s="2921"/>
    </row>
    <row r="31" spans="1:4" ht="15" customHeight="1" x14ac:dyDescent="0.25">
      <c r="A31" s="2921"/>
      <c r="B31" s="2921"/>
      <c r="C31" s="2921"/>
    </row>
    <row r="32" spans="1:4" x14ac:dyDescent="0.25">
      <c r="A32" s="2921"/>
      <c r="B32" s="2921"/>
      <c r="C32" s="2921"/>
    </row>
    <row r="33" spans="1:3" x14ac:dyDescent="0.25">
      <c r="A33" s="2921"/>
      <c r="B33" s="2921"/>
      <c r="C33" s="2921"/>
    </row>
    <row r="34" spans="1:3" x14ac:dyDescent="0.25">
      <c r="A34" s="2921"/>
      <c r="B34" s="2921"/>
      <c r="C34" s="2921"/>
    </row>
    <row r="35" spans="1:3" x14ac:dyDescent="0.25">
      <c r="A35" s="2921"/>
      <c r="B35" s="2921"/>
      <c r="C35" s="2921"/>
    </row>
    <row r="36" spans="1:3" x14ac:dyDescent="0.25">
      <c r="A36" s="2921"/>
      <c r="B36" s="2921"/>
      <c r="C36" s="2921"/>
    </row>
    <row r="37" spans="1:3" ht="15" customHeight="1" x14ac:dyDescent="0.25">
      <c r="A37" s="2921"/>
      <c r="B37" s="2921"/>
      <c r="C37" s="2921"/>
    </row>
    <row r="38" spans="1:3" x14ac:dyDescent="0.25">
      <c r="A38" s="2921"/>
      <c r="B38" s="2921"/>
      <c r="C38" s="2921"/>
    </row>
    <row r="39" spans="1:3" x14ac:dyDescent="0.25">
      <c r="A39" s="2921"/>
      <c r="B39" s="2921"/>
      <c r="C39" s="2921"/>
    </row>
    <row r="40" spans="1:3" x14ac:dyDescent="0.25">
      <c r="A40" s="2921"/>
      <c r="B40" s="2921"/>
      <c r="C40" s="2921"/>
    </row>
    <row r="41" spans="1:3" x14ac:dyDescent="0.25">
      <c r="A41" s="2921"/>
      <c r="B41" s="2921"/>
      <c r="C41" s="2921"/>
    </row>
    <row r="42" spans="1:3" x14ac:dyDescent="0.25">
      <c r="A42" s="2921"/>
      <c r="B42" s="2921"/>
      <c r="C42" s="2921"/>
    </row>
    <row r="43" spans="1:3" x14ac:dyDescent="0.25">
      <c r="A43" s="2921"/>
      <c r="B43" s="2921"/>
      <c r="C43" s="2921"/>
    </row>
    <row r="44" spans="1:3" x14ac:dyDescent="0.25">
      <c r="A44" s="2921"/>
      <c r="B44" s="2921"/>
      <c r="C44" s="2921"/>
    </row>
    <row r="45" spans="1:3" x14ac:dyDescent="0.25">
      <c r="A45" s="2921"/>
      <c r="B45" s="2921"/>
      <c r="C45" s="2921"/>
    </row>
    <row r="46" spans="1:3" x14ac:dyDescent="0.25">
      <c r="A46" s="2844"/>
      <c r="B46" s="2921"/>
      <c r="C46" s="2921"/>
    </row>
    <row r="47" spans="1:3" x14ac:dyDescent="0.25">
      <c r="A47" s="2921"/>
      <c r="B47" s="2921"/>
      <c r="C47" s="2921"/>
    </row>
    <row r="48" spans="1:3" x14ac:dyDescent="0.25">
      <c r="A48" s="2921"/>
      <c r="B48" s="2921"/>
      <c r="C48" s="2921"/>
    </row>
    <row r="49" spans="1:3" ht="15" customHeight="1" x14ac:dyDescent="0.25">
      <c r="A49" s="2921"/>
      <c r="B49" s="2921"/>
      <c r="C49" s="2921"/>
    </row>
    <row r="50" spans="1:3" ht="15" customHeight="1" x14ac:dyDescent="0.25">
      <c r="A50" s="2921"/>
      <c r="B50" s="2921"/>
      <c r="C50" s="2921"/>
    </row>
    <row r="51" spans="1:3" x14ac:dyDescent="0.25">
      <c r="A51" s="2921"/>
      <c r="B51" s="2921"/>
      <c r="C51" s="2921"/>
    </row>
    <row r="52" spans="1:3" x14ac:dyDescent="0.25">
      <c r="A52" s="2921"/>
      <c r="B52" s="2921"/>
      <c r="C52" s="2921"/>
    </row>
    <row r="53" spans="1:3" x14ac:dyDescent="0.25">
      <c r="A53" s="2921"/>
      <c r="B53" s="2921"/>
      <c r="C53" s="2921"/>
    </row>
    <row r="54" spans="1:3" x14ac:dyDescent="0.25">
      <c r="A54" s="2921"/>
      <c r="B54" s="2921"/>
      <c r="C54" s="2921"/>
    </row>
    <row r="55" spans="1:3" x14ac:dyDescent="0.25">
      <c r="A55" s="2921"/>
      <c r="B55" s="2921"/>
      <c r="C55" s="2921"/>
    </row>
    <row r="56" spans="1:3" ht="15" customHeight="1" x14ac:dyDescent="0.25">
      <c r="A56" s="2921"/>
      <c r="B56" s="2921"/>
      <c r="C56" s="2921"/>
    </row>
    <row r="57" spans="1:3" x14ac:dyDescent="0.25">
      <c r="A57" s="2921"/>
      <c r="B57" s="2921"/>
      <c r="C57" s="2921"/>
    </row>
    <row r="58" spans="1:3" ht="15" customHeight="1" x14ac:dyDescent="0.25">
      <c r="A58" s="2921"/>
      <c r="B58" s="2921"/>
      <c r="C58" s="2921"/>
    </row>
    <row r="59" spans="1:3" ht="15" customHeight="1" x14ac:dyDescent="0.25">
      <c r="A59" s="2921"/>
      <c r="B59" s="2921"/>
      <c r="C59" s="2921"/>
    </row>
    <row r="60" spans="1:3" x14ac:dyDescent="0.25">
      <c r="A60" s="2921"/>
      <c r="B60" s="2921"/>
      <c r="C60" s="2921"/>
    </row>
    <row r="61" spans="1:3" x14ac:dyDescent="0.25">
      <c r="A61" s="2921"/>
      <c r="B61" s="2921"/>
      <c r="C61" s="2921"/>
    </row>
    <row r="62" spans="1:3" ht="15" customHeight="1" x14ac:dyDescent="0.25">
      <c r="A62" s="2921"/>
      <c r="B62" s="2921"/>
      <c r="C62" s="2921"/>
    </row>
    <row r="63" spans="1:3" ht="15" customHeight="1" x14ac:dyDescent="0.25">
      <c r="A63" s="2921"/>
      <c r="B63" s="2921"/>
      <c r="C63" s="2921"/>
    </row>
    <row r="64" spans="1:3" x14ac:dyDescent="0.25">
      <c r="A64" s="2921"/>
      <c r="B64" s="2921"/>
      <c r="C64" s="2921"/>
    </row>
    <row r="65" spans="1:3" x14ac:dyDescent="0.25">
      <c r="A65" s="2921"/>
      <c r="B65" s="2921"/>
      <c r="C65" s="2921"/>
    </row>
    <row r="66" spans="1:3" x14ac:dyDescent="0.25">
      <c r="A66" s="2921"/>
      <c r="B66" s="2921"/>
      <c r="C66" s="2921"/>
    </row>
    <row r="67" spans="1:3" x14ac:dyDescent="0.25">
      <c r="A67" s="2921"/>
      <c r="B67" s="2921"/>
      <c r="C67" s="2921"/>
    </row>
    <row r="68" spans="1:3" x14ac:dyDescent="0.25">
      <c r="A68" s="2921"/>
      <c r="B68" s="2921"/>
      <c r="C68" s="2921"/>
    </row>
    <row r="69" spans="1:3" x14ac:dyDescent="0.25">
      <c r="A69" s="2921"/>
      <c r="B69" s="2921"/>
      <c r="C69" s="2921"/>
    </row>
    <row r="70" spans="1:3" x14ac:dyDescent="0.25">
      <c r="A70" s="2921"/>
      <c r="B70" s="2921"/>
      <c r="C70" s="2921"/>
    </row>
    <row r="71" spans="1:3" x14ac:dyDescent="0.25">
      <c r="A71" s="2921"/>
      <c r="B71" s="2921"/>
      <c r="C71" s="2921"/>
    </row>
    <row r="72" spans="1:3" x14ac:dyDescent="0.25">
      <c r="A72" s="2921"/>
      <c r="B72" s="2921"/>
      <c r="C72" s="2921"/>
    </row>
    <row r="73" spans="1:3" x14ac:dyDescent="0.25">
      <c r="A73" s="2921"/>
      <c r="B73" s="2921"/>
      <c r="C73" s="2921"/>
    </row>
    <row r="74" spans="1:3" x14ac:dyDescent="0.25">
      <c r="A74" s="2921"/>
      <c r="B74" s="2921"/>
      <c r="C74" s="2921"/>
    </row>
    <row r="75" spans="1:3" ht="15" customHeight="1" x14ac:dyDescent="0.25">
      <c r="A75" s="2921"/>
      <c r="B75" s="2921"/>
      <c r="C75" s="2921"/>
    </row>
    <row r="76" spans="1:3" x14ac:dyDescent="0.25">
      <c r="A76" s="2921"/>
      <c r="B76" s="2921"/>
      <c r="C76" s="2921"/>
    </row>
    <row r="77" spans="1:3" ht="15" customHeight="1" x14ac:dyDescent="0.25">
      <c r="A77" s="2921"/>
      <c r="B77" s="2921"/>
      <c r="C77" s="2921"/>
    </row>
    <row r="78" spans="1:3" x14ac:dyDescent="0.25">
      <c r="A78" s="2921"/>
      <c r="B78" s="2921"/>
      <c r="C78" s="2921"/>
    </row>
    <row r="79" spans="1:3" x14ac:dyDescent="0.25">
      <c r="A79" s="2921"/>
      <c r="B79" s="2921"/>
      <c r="C79" s="2921"/>
    </row>
    <row r="80" spans="1:3" ht="15" customHeight="1" x14ac:dyDescent="0.25">
      <c r="A80" s="2921"/>
      <c r="B80" s="2921"/>
      <c r="C80" s="2921"/>
    </row>
    <row r="81" spans="1:3" x14ac:dyDescent="0.25">
      <c r="A81" s="2921"/>
      <c r="B81" s="2921"/>
      <c r="C81" s="2921"/>
    </row>
    <row r="82" spans="1:3" x14ac:dyDescent="0.25">
      <c r="A82" s="2921"/>
      <c r="B82" s="2921"/>
      <c r="C82" s="2921"/>
    </row>
    <row r="83" spans="1:3" x14ac:dyDescent="0.25">
      <c r="A83" s="2921"/>
      <c r="B83" s="2921"/>
      <c r="C83" s="2921"/>
    </row>
    <row r="84" spans="1:3" x14ac:dyDescent="0.25">
      <c r="A84" s="2921"/>
      <c r="B84" s="2921"/>
      <c r="C84" s="2921"/>
    </row>
    <row r="85" spans="1:3" x14ac:dyDescent="0.25">
      <c r="A85" s="2921"/>
      <c r="B85" s="2921"/>
      <c r="C85" s="2921"/>
    </row>
    <row r="86" spans="1:3" x14ac:dyDescent="0.25">
      <c r="A86" s="2921"/>
      <c r="B86" s="2921"/>
      <c r="C86" s="2921"/>
    </row>
    <row r="87" spans="1:3" x14ac:dyDescent="0.25">
      <c r="A87" s="2921"/>
      <c r="B87" s="2921"/>
      <c r="C87" s="2921"/>
    </row>
    <row r="88" spans="1:3" x14ac:dyDescent="0.25">
      <c r="A88" s="2921"/>
      <c r="B88" s="2921"/>
      <c r="C88" s="2921"/>
    </row>
    <row r="89" spans="1:3" x14ac:dyDescent="0.25">
      <c r="A89" s="2921"/>
      <c r="B89" s="2921"/>
      <c r="C89" s="2921"/>
    </row>
    <row r="90" spans="1:3" x14ac:dyDescent="0.25">
      <c r="A90" s="2921"/>
      <c r="B90" s="2921"/>
      <c r="C90" s="2921"/>
    </row>
    <row r="91" spans="1:3" x14ac:dyDescent="0.25">
      <c r="A91" s="2921"/>
      <c r="B91" s="2921"/>
      <c r="C91" s="2921"/>
    </row>
    <row r="92" spans="1:3" x14ac:dyDescent="0.25">
      <c r="A92" s="2921"/>
      <c r="B92" s="2921"/>
      <c r="C92" s="2921"/>
    </row>
    <row r="93" spans="1:3" x14ac:dyDescent="0.25">
      <c r="A93" s="2921"/>
      <c r="B93" s="2921"/>
      <c r="C93" s="2921"/>
    </row>
    <row r="94" spans="1:3" x14ac:dyDescent="0.25">
      <c r="A94" s="2921"/>
      <c r="B94" s="2921"/>
      <c r="C94" s="2921"/>
    </row>
    <row r="95" spans="1:3" x14ac:dyDescent="0.25">
      <c r="A95" s="2921"/>
      <c r="B95" s="2921"/>
      <c r="C95" s="2921"/>
    </row>
    <row r="96" spans="1:3" x14ac:dyDescent="0.25">
      <c r="A96" s="2921"/>
      <c r="B96" s="2921"/>
      <c r="C96" s="2921"/>
    </row>
    <row r="97" spans="1:3" x14ac:dyDescent="0.25">
      <c r="A97" s="2921"/>
      <c r="B97" s="2921"/>
      <c r="C97" s="2921"/>
    </row>
    <row r="98" spans="1:3" x14ac:dyDescent="0.25">
      <c r="A98" s="2921"/>
      <c r="B98" s="2921"/>
      <c r="C98" s="2921"/>
    </row>
    <row r="99" spans="1:3" ht="15" customHeight="1" x14ac:dyDescent="0.25">
      <c r="A99" s="2921"/>
      <c r="B99" s="2921"/>
      <c r="C99" s="2921"/>
    </row>
    <row r="100" spans="1:3" x14ac:dyDescent="0.25">
      <c r="A100" s="2921"/>
      <c r="B100" s="2921"/>
      <c r="C100" s="2921"/>
    </row>
    <row r="101" spans="1:3" x14ac:dyDescent="0.25">
      <c r="A101" s="2921"/>
      <c r="B101" s="2921"/>
      <c r="C101" s="2921"/>
    </row>
    <row r="102" spans="1:3" ht="15" customHeight="1" x14ac:dyDescent="0.25">
      <c r="A102" s="2921"/>
      <c r="B102" s="2921"/>
      <c r="C102" s="2921"/>
    </row>
    <row r="103" spans="1:3" ht="15" customHeight="1" x14ac:dyDescent="0.25">
      <c r="A103" s="2921"/>
      <c r="B103" s="2921"/>
      <c r="C103" s="2921"/>
    </row>
    <row r="104" spans="1:3" x14ac:dyDescent="0.25">
      <c r="A104" s="2921"/>
      <c r="B104" s="2921"/>
      <c r="C104" s="2921"/>
    </row>
    <row r="105" spans="1:3" ht="15" customHeight="1" x14ac:dyDescent="0.25">
      <c r="A105" s="2921"/>
      <c r="B105" s="2921"/>
      <c r="C105" s="2921"/>
    </row>
    <row r="106" spans="1:3" ht="15" customHeight="1" x14ac:dyDescent="0.25">
      <c r="A106" s="2921"/>
      <c r="B106" s="2921"/>
      <c r="C106" s="2921"/>
    </row>
    <row r="107" spans="1:3" x14ac:dyDescent="0.25">
      <c r="A107" s="2921"/>
      <c r="B107" s="2921"/>
      <c r="C107" s="2921"/>
    </row>
    <row r="108" spans="1:3" x14ac:dyDescent="0.25">
      <c r="A108" s="2921"/>
      <c r="B108" s="2921"/>
      <c r="C108" s="2921"/>
    </row>
    <row r="109" spans="1:3" x14ac:dyDescent="0.25">
      <c r="A109" s="2921"/>
      <c r="B109" s="2921"/>
      <c r="C109" s="2921"/>
    </row>
    <row r="110" spans="1:3" x14ac:dyDescent="0.25">
      <c r="A110" s="2921"/>
      <c r="B110" s="2921"/>
      <c r="C110" s="2921"/>
    </row>
    <row r="111" spans="1:3" x14ac:dyDescent="0.25">
      <c r="A111" s="2921"/>
      <c r="B111" s="2921"/>
      <c r="C111" s="2921"/>
    </row>
    <row r="112" spans="1:3" x14ac:dyDescent="0.25">
      <c r="A112" s="2921"/>
      <c r="B112" s="2921"/>
      <c r="C112" s="2921"/>
    </row>
    <row r="113" spans="1:3" ht="15" customHeight="1" x14ac:dyDescent="0.25">
      <c r="A113" s="2921"/>
      <c r="B113" s="2921"/>
      <c r="C113" s="2921"/>
    </row>
    <row r="114" spans="1:3" ht="15" customHeight="1" x14ac:dyDescent="0.25">
      <c r="A114" s="2921"/>
      <c r="B114" s="2921"/>
      <c r="C114" s="2921"/>
    </row>
    <row r="115" spans="1:3" x14ac:dyDescent="0.25">
      <c r="A115" s="2921"/>
      <c r="B115" s="2921"/>
      <c r="C115" s="2921"/>
    </row>
    <row r="116" spans="1:3" x14ac:dyDescent="0.25">
      <c r="A116" s="2921"/>
      <c r="B116" s="2921"/>
      <c r="C116" s="2921"/>
    </row>
    <row r="117" spans="1:3" x14ac:dyDescent="0.25">
      <c r="A117" s="2921"/>
      <c r="B117" s="2921"/>
      <c r="C117" s="2921"/>
    </row>
    <row r="118" spans="1:3" x14ac:dyDescent="0.25">
      <c r="A118" s="2921"/>
      <c r="B118" s="2921"/>
      <c r="C118" s="2921"/>
    </row>
    <row r="119" spans="1:3" x14ac:dyDescent="0.25">
      <c r="A119" s="2921"/>
      <c r="B119" s="2921"/>
      <c r="C119" s="2921"/>
    </row>
    <row r="120" spans="1:3" x14ac:dyDescent="0.25">
      <c r="A120" s="2921"/>
      <c r="B120" s="2921"/>
      <c r="C120" s="2921"/>
    </row>
    <row r="121" spans="1:3" x14ac:dyDescent="0.25">
      <c r="A121" s="2921"/>
      <c r="B121" s="2921"/>
      <c r="C121" s="2921"/>
    </row>
    <row r="122" spans="1:3" ht="15" customHeight="1" x14ac:dyDescent="0.25">
      <c r="A122" s="2921"/>
      <c r="B122" s="2921"/>
      <c r="C122" s="2921"/>
    </row>
    <row r="123" spans="1:3" x14ac:dyDescent="0.25">
      <c r="A123" s="2921"/>
      <c r="B123" s="2921"/>
      <c r="C123" s="2921"/>
    </row>
    <row r="124" spans="1:3" ht="15" customHeight="1" x14ac:dyDescent="0.25">
      <c r="A124" s="2921"/>
      <c r="B124" s="2921"/>
      <c r="C124" s="2921"/>
    </row>
    <row r="125" spans="1:3" x14ac:dyDescent="0.25">
      <c r="A125" s="2921"/>
      <c r="B125" s="2921"/>
      <c r="C125" s="2921"/>
    </row>
    <row r="126" spans="1:3" x14ac:dyDescent="0.25">
      <c r="A126" s="2921"/>
      <c r="B126" s="2921"/>
      <c r="C126" s="2921"/>
    </row>
    <row r="127" spans="1:3" ht="15" customHeight="1" x14ac:dyDescent="0.25">
      <c r="A127" s="2921"/>
      <c r="B127" s="2921"/>
      <c r="C127" s="2921"/>
    </row>
    <row r="128" spans="1:3" x14ac:dyDescent="0.25">
      <c r="A128" s="2921"/>
      <c r="B128" s="2921"/>
      <c r="C128" s="2921"/>
    </row>
    <row r="129" spans="1:3" x14ac:dyDescent="0.25">
      <c r="A129" s="2921"/>
      <c r="B129" s="2921"/>
      <c r="C129" s="2921"/>
    </row>
    <row r="130" spans="1:3" x14ac:dyDescent="0.25">
      <c r="A130" s="2921"/>
      <c r="B130" s="2921"/>
      <c r="C130" s="2921"/>
    </row>
    <row r="131" spans="1:3" x14ac:dyDescent="0.25">
      <c r="A131" s="2921"/>
      <c r="B131" s="2921"/>
      <c r="C131" s="2921"/>
    </row>
    <row r="132" spans="1:3" x14ac:dyDescent="0.25">
      <c r="A132" s="2921"/>
      <c r="B132" s="2921"/>
      <c r="C132" s="2921"/>
    </row>
    <row r="133" spans="1:3" x14ac:dyDescent="0.25">
      <c r="A133" s="2921"/>
      <c r="B133" s="2921"/>
      <c r="C133" s="2921"/>
    </row>
    <row r="134" spans="1:3" x14ac:dyDescent="0.25">
      <c r="A134" s="2921"/>
      <c r="B134" s="2921"/>
      <c r="C134" s="2921"/>
    </row>
    <row r="135" spans="1:3" x14ac:dyDescent="0.25">
      <c r="A135" s="2921"/>
      <c r="B135" s="2921"/>
      <c r="C135" s="2921"/>
    </row>
    <row r="136" spans="1:3" x14ac:dyDescent="0.25">
      <c r="A136" s="2921"/>
      <c r="B136" s="2921"/>
      <c r="C136" s="2921"/>
    </row>
    <row r="137" spans="1:3" x14ac:dyDescent="0.25">
      <c r="A137" s="2921"/>
      <c r="B137" s="2921"/>
      <c r="C137" s="2921"/>
    </row>
    <row r="138" spans="1:3" ht="15" customHeight="1" x14ac:dyDescent="0.25">
      <c r="A138" s="2921"/>
      <c r="B138" s="2921"/>
      <c r="C138" s="2921"/>
    </row>
    <row r="139" spans="1:3" x14ac:dyDescent="0.25">
      <c r="A139" s="2921"/>
      <c r="B139" s="2921"/>
      <c r="C139" s="2921"/>
    </row>
    <row r="140" spans="1:3" x14ac:dyDescent="0.25">
      <c r="A140" s="2921"/>
      <c r="B140" s="2921"/>
      <c r="C140" s="2921"/>
    </row>
    <row r="141" spans="1:3" ht="15" customHeight="1" x14ac:dyDescent="0.25">
      <c r="A141" s="2921"/>
      <c r="B141" s="2921"/>
      <c r="C141" s="2921"/>
    </row>
    <row r="142" spans="1:3" x14ac:dyDescent="0.25">
      <c r="A142" s="2921"/>
      <c r="B142" s="2921"/>
      <c r="C142" s="2921"/>
    </row>
    <row r="143" spans="1:3" x14ac:dyDescent="0.25">
      <c r="A143" s="2921"/>
      <c r="B143" s="2921"/>
      <c r="C143" s="2921"/>
    </row>
    <row r="144" spans="1:3" x14ac:dyDescent="0.25">
      <c r="A144" s="2921"/>
      <c r="B144" s="2921"/>
      <c r="C144" s="2921"/>
    </row>
    <row r="145" spans="1:3" x14ac:dyDescent="0.25">
      <c r="A145" s="2921"/>
      <c r="B145" s="2921"/>
      <c r="C145" s="2921"/>
    </row>
    <row r="146" spans="1:3" x14ac:dyDescent="0.25">
      <c r="A146" s="2921"/>
      <c r="B146" s="2921"/>
      <c r="C146" s="2921"/>
    </row>
    <row r="147" spans="1:3" x14ac:dyDescent="0.25">
      <c r="A147" s="2921"/>
      <c r="B147" s="2921"/>
      <c r="C147" s="2921"/>
    </row>
    <row r="148" spans="1:3" x14ac:dyDescent="0.25">
      <c r="A148" s="2921"/>
      <c r="B148" s="2921"/>
      <c r="C148" s="2921"/>
    </row>
    <row r="149" spans="1:3" x14ac:dyDescent="0.25">
      <c r="A149" s="2921"/>
      <c r="B149" s="2921"/>
      <c r="C149" s="2921"/>
    </row>
    <row r="150" spans="1:3" x14ac:dyDescent="0.25">
      <c r="A150" s="2921"/>
      <c r="B150" s="2921"/>
      <c r="C150" s="2921"/>
    </row>
    <row r="151" spans="1:3" x14ac:dyDescent="0.25">
      <c r="A151" s="2921"/>
      <c r="B151" s="2921"/>
      <c r="C151" s="2921"/>
    </row>
    <row r="152" spans="1:3" x14ac:dyDescent="0.25">
      <c r="A152" s="2921"/>
      <c r="B152" s="2921"/>
      <c r="C152" s="2921"/>
    </row>
    <row r="153" spans="1:3" x14ac:dyDescent="0.25">
      <c r="A153" s="2921"/>
      <c r="B153" s="2921"/>
      <c r="C153" s="2921"/>
    </row>
    <row r="154" spans="1:3" x14ac:dyDescent="0.25">
      <c r="A154" s="2921"/>
      <c r="B154" s="2921"/>
      <c r="C154" s="2921"/>
    </row>
    <row r="155" spans="1:3" x14ac:dyDescent="0.25">
      <c r="A155" s="2921"/>
      <c r="B155" s="2921"/>
      <c r="C155" s="2921"/>
    </row>
    <row r="156" spans="1:3" x14ac:dyDescent="0.25">
      <c r="A156" s="2921"/>
      <c r="B156" s="2921"/>
      <c r="C156" s="2921"/>
    </row>
    <row r="157" spans="1:3" x14ac:dyDescent="0.25">
      <c r="A157" s="2921"/>
      <c r="B157" s="2921"/>
      <c r="C157" s="2921"/>
    </row>
    <row r="158" spans="1:3" x14ac:dyDescent="0.25">
      <c r="A158" s="2921"/>
      <c r="B158" s="2921"/>
      <c r="C158" s="2921"/>
    </row>
    <row r="159" spans="1:3" x14ac:dyDescent="0.25">
      <c r="A159" s="2921"/>
      <c r="B159" s="2921"/>
      <c r="C159" s="2921"/>
    </row>
    <row r="160" spans="1:3" x14ac:dyDescent="0.25">
      <c r="A160" s="2921"/>
      <c r="B160" s="2921"/>
      <c r="C160" s="2921"/>
    </row>
    <row r="161" spans="1:3" x14ac:dyDescent="0.25">
      <c r="A161" s="2921"/>
      <c r="B161" s="2921"/>
      <c r="C161" s="2921"/>
    </row>
    <row r="162" spans="1:3" x14ac:dyDescent="0.25">
      <c r="A162" s="2921"/>
      <c r="B162" s="2921"/>
      <c r="C162" s="2921"/>
    </row>
    <row r="163" spans="1:3" x14ac:dyDescent="0.25">
      <c r="A163" s="2921"/>
      <c r="B163" s="2921"/>
      <c r="C163" s="2921"/>
    </row>
    <row r="164" spans="1:3" x14ac:dyDescent="0.25">
      <c r="A164" s="2921"/>
      <c r="B164" s="2921"/>
      <c r="C164" s="2921"/>
    </row>
    <row r="165" spans="1:3" x14ac:dyDescent="0.25">
      <c r="A165" s="2921"/>
      <c r="B165" s="2921"/>
      <c r="C165" s="2921"/>
    </row>
    <row r="166" spans="1:3" x14ac:dyDescent="0.25">
      <c r="A166" s="2921"/>
      <c r="B166" s="2921"/>
      <c r="C166" s="2921"/>
    </row>
    <row r="167" spans="1:3" x14ac:dyDescent="0.25">
      <c r="A167" s="2921"/>
      <c r="B167" s="2921"/>
      <c r="C167" s="2921"/>
    </row>
    <row r="168" spans="1:3" x14ac:dyDescent="0.25">
      <c r="A168" s="2921"/>
      <c r="B168" s="2921"/>
      <c r="C168" s="2921"/>
    </row>
    <row r="169" spans="1:3" x14ac:dyDescent="0.25">
      <c r="A169" s="2921"/>
      <c r="B169" s="2921"/>
      <c r="C169" s="2921"/>
    </row>
    <row r="170" spans="1:3" x14ac:dyDescent="0.25">
      <c r="A170" s="2921"/>
      <c r="B170" s="2921"/>
      <c r="C170" s="2921"/>
    </row>
    <row r="171" spans="1:3" x14ac:dyDescent="0.25">
      <c r="A171" s="2921"/>
      <c r="B171" s="2921"/>
      <c r="C171" s="2921"/>
    </row>
    <row r="172" spans="1:3" ht="15" customHeight="1" x14ac:dyDescent="0.25">
      <c r="A172" s="2921"/>
      <c r="B172" s="2921"/>
      <c r="C172" s="2921"/>
    </row>
    <row r="173" spans="1:3" x14ac:dyDescent="0.25">
      <c r="A173" s="2921"/>
      <c r="B173" s="2921"/>
      <c r="C173" s="2921"/>
    </row>
    <row r="174" spans="1:3" x14ac:dyDescent="0.25">
      <c r="A174" s="2921"/>
      <c r="B174" s="2921"/>
      <c r="C174" s="2921"/>
    </row>
    <row r="175" spans="1:3" x14ac:dyDescent="0.25">
      <c r="A175" s="2921"/>
      <c r="B175" s="2921"/>
      <c r="C175" s="2921"/>
    </row>
    <row r="176" spans="1:3" x14ac:dyDescent="0.25">
      <c r="A176" s="2921"/>
      <c r="B176" s="2921"/>
      <c r="C176" s="2921"/>
    </row>
    <row r="177" spans="1:3" x14ac:dyDescent="0.25">
      <c r="A177" s="2921"/>
      <c r="B177" s="2921"/>
      <c r="C177" s="2921"/>
    </row>
    <row r="178" spans="1:3" x14ac:dyDescent="0.25">
      <c r="A178" s="2921"/>
      <c r="B178" s="2921"/>
      <c r="C178" s="2921"/>
    </row>
    <row r="179" spans="1:3" x14ac:dyDescent="0.25">
      <c r="A179" s="2921"/>
      <c r="B179" s="2921"/>
      <c r="C179" s="2921"/>
    </row>
    <row r="180" spans="1:3" x14ac:dyDescent="0.25">
      <c r="A180" s="2921"/>
      <c r="B180" s="2921"/>
      <c r="C180" s="2921"/>
    </row>
    <row r="181" spans="1:3" x14ac:dyDescent="0.25">
      <c r="A181" s="2921"/>
      <c r="B181" s="2921"/>
      <c r="C181" s="2921"/>
    </row>
    <row r="182" spans="1:3" x14ac:dyDescent="0.25">
      <c r="A182" s="2921"/>
      <c r="B182" s="2921"/>
      <c r="C182" s="2921"/>
    </row>
    <row r="183" spans="1:3" x14ac:dyDescent="0.25">
      <c r="A183" s="2921"/>
      <c r="B183" s="2921"/>
      <c r="C183" s="2921"/>
    </row>
    <row r="184" spans="1:3" x14ac:dyDescent="0.25">
      <c r="A184" s="2921"/>
      <c r="B184" s="2921"/>
      <c r="C184" s="2921"/>
    </row>
    <row r="185" spans="1:3" x14ac:dyDescent="0.25">
      <c r="A185" s="2921"/>
      <c r="B185" s="2921"/>
      <c r="C185" s="2921"/>
    </row>
    <row r="186" spans="1:3" x14ac:dyDescent="0.25">
      <c r="A186" s="2921"/>
      <c r="B186" s="2921"/>
      <c r="C186" s="2921"/>
    </row>
    <row r="187" spans="1:3" x14ac:dyDescent="0.25">
      <c r="A187" s="2921"/>
      <c r="B187" s="2921"/>
      <c r="C187" s="2921"/>
    </row>
    <row r="188" spans="1:3" x14ac:dyDescent="0.25">
      <c r="A188" s="2921"/>
      <c r="B188" s="2921"/>
      <c r="C188" s="2921"/>
    </row>
    <row r="189" spans="1:3" x14ac:dyDescent="0.25">
      <c r="A189" s="2921"/>
      <c r="B189" s="2921"/>
      <c r="C189" s="2921"/>
    </row>
    <row r="190" spans="1:3" x14ac:dyDescent="0.25">
      <c r="A190" s="2921"/>
      <c r="B190" s="2921"/>
      <c r="C190" s="2921"/>
    </row>
    <row r="191" spans="1:3" x14ac:dyDescent="0.25">
      <c r="A191" s="2921"/>
      <c r="B191" s="2921"/>
      <c r="C191" s="2921"/>
    </row>
    <row r="192" spans="1:3" x14ac:dyDescent="0.25">
      <c r="A192" s="2921"/>
      <c r="B192" s="2921"/>
      <c r="C192" s="2921"/>
    </row>
    <row r="193" spans="1:3" x14ac:dyDescent="0.25">
      <c r="A193" s="2921"/>
      <c r="B193" s="2921"/>
      <c r="C193" s="2921"/>
    </row>
    <row r="194" spans="1:3" x14ac:dyDescent="0.25">
      <c r="A194" s="2921"/>
      <c r="B194" s="2921"/>
      <c r="C194" s="2921"/>
    </row>
    <row r="195" spans="1:3" x14ac:dyDescent="0.25">
      <c r="A195" s="2921"/>
      <c r="B195" s="2921"/>
      <c r="C195" s="2921"/>
    </row>
    <row r="196" spans="1:3" x14ac:dyDescent="0.25">
      <c r="A196" s="2921"/>
      <c r="B196" s="2921"/>
      <c r="C196" s="2921"/>
    </row>
    <row r="197" spans="1:3" x14ac:dyDescent="0.25">
      <c r="A197" s="2921"/>
      <c r="B197" s="2921"/>
      <c r="C197" s="2921"/>
    </row>
    <row r="198" spans="1:3" x14ac:dyDescent="0.25">
      <c r="A198" s="2921"/>
      <c r="B198" s="2921"/>
      <c r="C198" s="2921"/>
    </row>
    <row r="199" spans="1:3" x14ac:dyDescent="0.25">
      <c r="A199" s="2921"/>
      <c r="B199" s="2921"/>
      <c r="C199" s="2921"/>
    </row>
  </sheetData>
  <mergeCells count="14">
    <mergeCell ref="B1:D1"/>
    <mergeCell ref="A4:A5"/>
    <mergeCell ref="B4:C4"/>
    <mergeCell ref="D4:E4"/>
    <mergeCell ref="F4:G4"/>
    <mergeCell ref="T4:U4"/>
    <mergeCell ref="A13:O13"/>
    <mergeCell ref="A14:O14"/>
    <mergeCell ref="J4:K4"/>
    <mergeCell ref="L4:M4"/>
    <mergeCell ref="N4:O4"/>
    <mergeCell ref="H4:I4"/>
    <mergeCell ref="R4:S4"/>
    <mergeCell ref="P4:Q4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56" orientation="landscape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O101"/>
  <sheetViews>
    <sheetView showGridLines="0" topLeftCell="A40" zoomScaleNormal="100" workbookViewId="0">
      <selection activeCell="O48" sqref="O48"/>
    </sheetView>
  </sheetViews>
  <sheetFormatPr baseColWidth="10" defaultRowHeight="15" x14ac:dyDescent="0.25"/>
  <cols>
    <col min="1" max="1" width="28.42578125" style="1519" customWidth="1"/>
    <col min="2" max="2" width="1.28515625" style="1519" customWidth="1"/>
    <col min="3" max="15" width="10.7109375" style="1519" customWidth="1"/>
    <col min="16" max="16" width="12.7109375" style="1519" customWidth="1"/>
    <col min="17" max="17" width="14.7109375" style="1519" customWidth="1"/>
    <col min="18" max="16384" width="11.42578125" style="1519"/>
  </cols>
  <sheetData>
    <row r="1" spans="1:15" ht="21" x14ac:dyDescent="0.25">
      <c r="A1" s="2143" t="s">
        <v>590</v>
      </c>
      <c r="B1" s="1520"/>
      <c r="D1" s="2143"/>
      <c r="E1" s="2143"/>
      <c r="F1" s="2143"/>
      <c r="G1" s="2143"/>
      <c r="H1" s="2143"/>
      <c r="I1" s="2143"/>
      <c r="J1" s="2143"/>
      <c r="K1" s="2143"/>
    </row>
    <row r="2" spans="1:15" ht="11.25" customHeight="1" thickBot="1" x14ac:dyDescent="0.3"/>
    <row r="3" spans="1:15" ht="33.75" customHeight="1" thickBot="1" x14ac:dyDescent="0.3">
      <c r="A3" s="1521" t="s">
        <v>98</v>
      </c>
      <c r="B3" s="1522"/>
      <c r="C3" s="1523">
        <v>2005</v>
      </c>
      <c r="D3" s="1524">
        <v>2006</v>
      </c>
      <c r="E3" s="1524">
        <v>2007</v>
      </c>
      <c r="F3" s="1524">
        <v>2008</v>
      </c>
      <c r="G3" s="1524">
        <v>2009</v>
      </c>
      <c r="H3" s="1524">
        <v>2010</v>
      </c>
      <c r="I3" s="1524">
        <v>2011</v>
      </c>
      <c r="J3" s="1524">
        <v>2012</v>
      </c>
      <c r="K3" s="1524">
        <v>2013</v>
      </c>
      <c r="L3" s="1524">
        <v>2014</v>
      </c>
      <c r="M3" s="1524">
        <v>2015</v>
      </c>
      <c r="N3" s="1525">
        <v>2016</v>
      </c>
      <c r="O3" s="1525">
        <v>2017</v>
      </c>
    </row>
    <row r="4" spans="1:15" ht="11.25" customHeight="1" thickBot="1" x14ac:dyDescent="0.3"/>
    <row r="5" spans="1:15" ht="21" customHeight="1" x14ac:dyDescent="0.25">
      <c r="A5" s="1526" t="s">
        <v>99</v>
      </c>
      <c r="C5" s="1527">
        <v>143</v>
      </c>
      <c r="D5" s="1528">
        <v>193</v>
      </c>
      <c r="E5" s="1528">
        <v>317</v>
      </c>
      <c r="F5" s="1528">
        <v>346</v>
      </c>
      <c r="G5" s="1528">
        <v>381</v>
      </c>
      <c r="H5" s="1528">
        <v>487</v>
      </c>
      <c r="I5" s="1528">
        <v>510</v>
      </c>
      <c r="J5" s="1528">
        <v>562</v>
      </c>
      <c r="K5" s="1528">
        <v>573</v>
      </c>
      <c r="L5" s="1528">
        <v>557</v>
      </c>
      <c r="M5" s="1528">
        <v>568</v>
      </c>
      <c r="N5" s="1528">
        <v>591</v>
      </c>
      <c r="O5" s="1529">
        <v>588</v>
      </c>
    </row>
    <row r="6" spans="1:15" ht="21" customHeight="1" x14ac:dyDescent="0.25">
      <c r="A6" s="1530" t="s">
        <v>100</v>
      </c>
      <c r="C6" s="1531">
        <v>287</v>
      </c>
      <c r="D6" s="1532">
        <v>300</v>
      </c>
      <c r="E6" s="1532">
        <v>355</v>
      </c>
      <c r="F6" s="1532">
        <v>376</v>
      </c>
      <c r="G6" s="1532">
        <v>398</v>
      </c>
      <c r="H6" s="1532">
        <v>423</v>
      </c>
      <c r="I6" s="1532">
        <v>461</v>
      </c>
      <c r="J6" s="1532">
        <v>484</v>
      </c>
      <c r="K6" s="1532">
        <v>493</v>
      </c>
      <c r="L6" s="1532">
        <v>533</v>
      </c>
      <c r="M6" s="1532">
        <v>532</v>
      </c>
      <c r="N6" s="1532">
        <v>562</v>
      </c>
      <c r="O6" s="1533">
        <v>567</v>
      </c>
    </row>
    <row r="7" spans="1:15" ht="21" customHeight="1" x14ac:dyDescent="0.25">
      <c r="A7" s="1530" t="s">
        <v>101</v>
      </c>
      <c r="C7" s="1531">
        <v>496</v>
      </c>
      <c r="D7" s="1532">
        <v>508</v>
      </c>
      <c r="E7" s="1532">
        <v>576</v>
      </c>
      <c r="F7" s="1532">
        <v>577</v>
      </c>
      <c r="G7" s="1532">
        <v>595</v>
      </c>
      <c r="H7" s="1532">
        <v>608</v>
      </c>
      <c r="I7" s="1532">
        <v>563</v>
      </c>
      <c r="J7" s="1532">
        <v>548</v>
      </c>
      <c r="K7" s="1532">
        <v>575</v>
      </c>
      <c r="L7" s="1532">
        <v>591</v>
      </c>
      <c r="M7" s="1532">
        <v>593</v>
      </c>
      <c r="N7" s="1532">
        <v>629</v>
      </c>
      <c r="O7" s="1533">
        <v>650</v>
      </c>
    </row>
    <row r="8" spans="1:15" ht="21" customHeight="1" x14ac:dyDescent="0.25">
      <c r="A8" s="1530" t="s">
        <v>102</v>
      </c>
      <c r="C8" s="1531">
        <v>731</v>
      </c>
      <c r="D8" s="1532">
        <v>735</v>
      </c>
      <c r="E8" s="1532">
        <v>795</v>
      </c>
      <c r="F8" s="1532">
        <v>769</v>
      </c>
      <c r="G8" s="1532">
        <v>725</v>
      </c>
      <c r="H8" s="1532">
        <v>710</v>
      </c>
      <c r="I8" s="1532">
        <v>709</v>
      </c>
      <c r="J8" s="1532">
        <v>741</v>
      </c>
      <c r="K8" s="1532">
        <v>719</v>
      </c>
      <c r="L8" s="1532">
        <v>738</v>
      </c>
      <c r="M8" s="1532">
        <v>728</v>
      </c>
      <c r="N8" s="1532">
        <v>694</v>
      </c>
      <c r="O8" s="1533">
        <v>680</v>
      </c>
    </row>
    <row r="9" spans="1:15" ht="21" customHeight="1" x14ac:dyDescent="0.25">
      <c r="A9" s="1530" t="s">
        <v>103</v>
      </c>
      <c r="C9" s="1531">
        <v>892</v>
      </c>
      <c r="D9" s="1532">
        <v>893</v>
      </c>
      <c r="E9" s="1532">
        <v>885</v>
      </c>
      <c r="F9" s="1532">
        <v>888</v>
      </c>
      <c r="G9" s="1532">
        <v>894</v>
      </c>
      <c r="H9" s="1532">
        <v>898</v>
      </c>
      <c r="I9" s="1532">
        <v>899</v>
      </c>
      <c r="J9" s="1532">
        <v>854</v>
      </c>
      <c r="K9" s="1532">
        <v>834</v>
      </c>
      <c r="L9" s="1532">
        <v>794</v>
      </c>
      <c r="M9" s="1532">
        <v>749</v>
      </c>
      <c r="N9" s="1532">
        <v>779</v>
      </c>
      <c r="O9" s="1533">
        <v>821</v>
      </c>
    </row>
    <row r="10" spans="1:15" ht="21" customHeight="1" x14ac:dyDescent="0.25">
      <c r="A10" s="1530" t="s">
        <v>104</v>
      </c>
      <c r="C10" s="1531">
        <v>861</v>
      </c>
      <c r="D10" s="1532">
        <v>825</v>
      </c>
      <c r="E10" s="1532">
        <v>727</v>
      </c>
      <c r="F10" s="1532">
        <v>759</v>
      </c>
      <c r="G10" s="1532">
        <v>792</v>
      </c>
      <c r="H10" s="1532">
        <v>821</v>
      </c>
      <c r="I10" s="1532">
        <v>817</v>
      </c>
      <c r="J10" s="1532">
        <v>807</v>
      </c>
      <c r="K10" s="1532">
        <v>814</v>
      </c>
      <c r="L10" s="1532">
        <v>826</v>
      </c>
      <c r="M10" s="1532">
        <v>841</v>
      </c>
      <c r="N10" s="1532">
        <v>853</v>
      </c>
      <c r="O10" s="1533">
        <v>798</v>
      </c>
    </row>
    <row r="11" spans="1:15" ht="21" customHeight="1" x14ac:dyDescent="0.25">
      <c r="A11" s="1530" t="s">
        <v>105</v>
      </c>
      <c r="C11" s="1531">
        <v>554</v>
      </c>
      <c r="D11" s="1532">
        <v>529</v>
      </c>
      <c r="E11" s="1532">
        <v>463</v>
      </c>
      <c r="F11" s="1532">
        <v>463</v>
      </c>
      <c r="G11" s="1532">
        <v>471</v>
      </c>
      <c r="H11" s="1532">
        <v>500</v>
      </c>
      <c r="I11" s="1532">
        <v>534</v>
      </c>
      <c r="J11" s="1532">
        <v>560</v>
      </c>
      <c r="K11" s="1532">
        <v>575</v>
      </c>
      <c r="L11" s="1532">
        <v>575</v>
      </c>
      <c r="M11" s="1532">
        <v>581</v>
      </c>
      <c r="N11" s="1532">
        <v>570</v>
      </c>
      <c r="O11" s="1533">
        <v>575</v>
      </c>
    </row>
    <row r="12" spans="1:15" ht="21" customHeight="1" x14ac:dyDescent="0.25">
      <c r="A12" s="1530" t="s">
        <v>106</v>
      </c>
      <c r="C12" s="1531">
        <v>300</v>
      </c>
      <c r="D12" s="1532">
        <v>287</v>
      </c>
      <c r="E12" s="1532">
        <v>220</v>
      </c>
      <c r="F12" s="1532">
        <v>240</v>
      </c>
      <c r="G12" s="1532">
        <v>265</v>
      </c>
      <c r="H12" s="1532">
        <v>282</v>
      </c>
      <c r="I12" s="1532">
        <v>302</v>
      </c>
      <c r="J12" s="1532">
        <v>304</v>
      </c>
      <c r="K12" s="1532">
        <v>301</v>
      </c>
      <c r="L12" s="1532">
        <v>321</v>
      </c>
      <c r="M12" s="1532">
        <v>323</v>
      </c>
      <c r="N12" s="1532">
        <v>319</v>
      </c>
      <c r="O12" s="1533">
        <v>323</v>
      </c>
    </row>
    <row r="13" spans="1:15" ht="21" customHeight="1" x14ac:dyDescent="0.25">
      <c r="A13" s="1530" t="s">
        <v>107</v>
      </c>
      <c r="C13" s="1531">
        <v>145</v>
      </c>
      <c r="D13" s="1532">
        <v>127</v>
      </c>
      <c r="E13" s="1532">
        <v>98</v>
      </c>
      <c r="F13" s="1532">
        <v>102</v>
      </c>
      <c r="G13" s="1532">
        <v>110</v>
      </c>
      <c r="H13" s="1532">
        <v>124</v>
      </c>
      <c r="I13" s="1532">
        <v>143</v>
      </c>
      <c r="J13" s="1532">
        <v>148</v>
      </c>
      <c r="K13" s="1532">
        <v>147</v>
      </c>
      <c r="L13" s="1532">
        <v>143</v>
      </c>
      <c r="M13" s="1532">
        <v>145</v>
      </c>
      <c r="N13" s="1532">
        <v>142</v>
      </c>
      <c r="O13" s="1533">
        <v>157</v>
      </c>
    </row>
    <row r="14" spans="1:15" ht="21" customHeight="1" thickBot="1" x14ac:dyDescent="0.3">
      <c r="A14" s="1534" t="s">
        <v>591</v>
      </c>
      <c r="C14" s="1535">
        <v>89</v>
      </c>
      <c r="D14" s="1536">
        <v>82</v>
      </c>
      <c r="E14" s="1536">
        <v>58</v>
      </c>
      <c r="F14" s="1536">
        <v>58</v>
      </c>
      <c r="G14" s="1536">
        <v>63</v>
      </c>
      <c r="H14" s="1536">
        <v>65</v>
      </c>
      <c r="I14" s="1536">
        <v>68</v>
      </c>
      <c r="J14" s="1536">
        <v>71</v>
      </c>
      <c r="K14" s="1536">
        <v>66</v>
      </c>
      <c r="L14" s="1536">
        <v>71</v>
      </c>
      <c r="M14" s="1536">
        <v>68</v>
      </c>
      <c r="N14" s="1536">
        <v>79</v>
      </c>
      <c r="O14" s="1537">
        <v>75</v>
      </c>
    </row>
    <row r="15" spans="1:15" ht="11.25" customHeight="1" thickBot="1" x14ac:dyDescent="0.3"/>
    <row r="16" spans="1:15" ht="21.75" customHeight="1" thickBot="1" x14ac:dyDescent="0.3">
      <c r="A16" s="1538" t="s">
        <v>12</v>
      </c>
      <c r="C16" s="1539">
        <f t="shared" ref="C16:J16" si="0">SUM(C5:C14)</f>
        <v>4498</v>
      </c>
      <c r="D16" s="1540">
        <f t="shared" si="0"/>
        <v>4479</v>
      </c>
      <c r="E16" s="1540">
        <f t="shared" si="0"/>
        <v>4494</v>
      </c>
      <c r="F16" s="1540">
        <f t="shared" si="0"/>
        <v>4578</v>
      </c>
      <c r="G16" s="1540">
        <f t="shared" si="0"/>
        <v>4694</v>
      </c>
      <c r="H16" s="1540">
        <f>SUM(H5:H14)</f>
        <v>4918</v>
      </c>
      <c r="I16" s="1540">
        <v>5006</v>
      </c>
      <c r="J16" s="1540">
        <f t="shared" si="0"/>
        <v>5079</v>
      </c>
      <c r="K16" s="1540">
        <f>SUM(K5:K14)</f>
        <v>5097</v>
      </c>
      <c r="L16" s="1540">
        <f>SUM(L5:L14)</f>
        <v>5149</v>
      </c>
      <c r="M16" s="1540">
        <f>SUM(M5:M14)</f>
        <v>5128</v>
      </c>
      <c r="N16" s="1540">
        <f>SUM(N5:N14)</f>
        <v>5218</v>
      </c>
      <c r="O16" s="1541">
        <f>SUM(O5:O14)</f>
        <v>5234</v>
      </c>
    </row>
    <row r="17" spans="1:15" ht="11.25" customHeight="1" thickBot="1" x14ac:dyDescent="0.3">
      <c r="A17" s="1542"/>
    </row>
    <row r="18" spans="1:15" ht="21.75" customHeight="1" thickBot="1" x14ac:dyDescent="0.3">
      <c r="A18" s="1538" t="s">
        <v>108</v>
      </c>
      <c r="C18" s="1901">
        <v>48.867718986216097</v>
      </c>
      <c r="D18" s="1902">
        <v>48.294038847957097</v>
      </c>
      <c r="E18" s="1902">
        <v>46.478415665331603</v>
      </c>
      <c r="F18" s="1902">
        <v>46.455657492354703</v>
      </c>
      <c r="G18" s="1902">
        <v>46.425436727737498</v>
      </c>
      <c r="H18" s="1902">
        <v>46.116307442049603</v>
      </c>
      <c r="I18" s="1902">
        <v>46.243507790651201</v>
      </c>
      <c r="J18" s="1902">
        <v>46.066154754873004</v>
      </c>
      <c r="K18" s="1902">
        <v>46.03</v>
      </c>
      <c r="L18" s="1902">
        <v>45.9584385317537</v>
      </c>
      <c r="M18" s="1902">
        <v>45.926482059282399</v>
      </c>
      <c r="N18" s="1902">
        <v>45.774434649290903</v>
      </c>
      <c r="O18" s="1903">
        <v>45.769201375620902</v>
      </c>
    </row>
    <row r="19" spans="1:15" ht="11.25" customHeight="1" x14ac:dyDescent="0.25"/>
    <row r="20" spans="1:15" x14ac:dyDescent="0.25">
      <c r="A20" s="1543" t="s">
        <v>624</v>
      </c>
    </row>
    <row r="21" spans="1:15" x14ac:dyDescent="0.25">
      <c r="A21" s="1543" t="s">
        <v>116</v>
      </c>
    </row>
    <row r="22" spans="1:15" x14ac:dyDescent="0.25">
      <c r="A22" s="1543"/>
    </row>
    <row r="23" spans="1:15" x14ac:dyDescent="0.25">
      <c r="A23" s="1543"/>
    </row>
    <row r="25" spans="1:15" s="2784" customFormat="1" ht="11.25" x14ac:dyDescent="0.2">
      <c r="A25" s="3748" t="s">
        <v>98</v>
      </c>
      <c r="C25" s="3749">
        <v>2005</v>
      </c>
      <c r="D25" s="3749">
        <v>2006</v>
      </c>
      <c r="E25" s="3749">
        <v>2007</v>
      </c>
      <c r="F25" s="3749">
        <v>2008</v>
      </c>
      <c r="G25" s="3749">
        <v>2009</v>
      </c>
      <c r="H25" s="3749">
        <v>2010</v>
      </c>
      <c r="I25" s="3749">
        <v>2011</v>
      </c>
      <c r="J25" s="3749">
        <v>2012</v>
      </c>
      <c r="K25" s="3749">
        <v>2013</v>
      </c>
      <c r="L25" s="3749">
        <v>2014</v>
      </c>
      <c r="M25" s="3749">
        <v>2015</v>
      </c>
      <c r="N25" s="3749">
        <v>2016</v>
      </c>
      <c r="O25" s="3749">
        <v>2017</v>
      </c>
    </row>
    <row r="26" spans="1:15" s="2784" customFormat="1" ht="11.25" x14ac:dyDescent="0.2">
      <c r="A26" s="3750" t="s">
        <v>99</v>
      </c>
      <c r="C26" s="5304">
        <v>143</v>
      </c>
      <c r="D26" s="5304">
        <v>193</v>
      </c>
      <c r="E26" s="5305">
        <v>317</v>
      </c>
      <c r="F26" s="5305">
        <v>346</v>
      </c>
      <c r="G26" s="5305">
        <v>381</v>
      </c>
      <c r="H26" s="5305">
        <v>487</v>
      </c>
      <c r="I26" s="5304">
        <v>510</v>
      </c>
      <c r="J26" s="5305">
        <v>562</v>
      </c>
      <c r="K26" s="5304">
        <v>573</v>
      </c>
      <c r="L26" s="5304">
        <f>+L5</f>
        <v>557</v>
      </c>
      <c r="M26" s="5304">
        <f>+M5</f>
        <v>568</v>
      </c>
      <c r="N26" s="5304">
        <f>+N5</f>
        <v>591</v>
      </c>
      <c r="O26" s="5304">
        <f>+O5</f>
        <v>588</v>
      </c>
    </row>
    <row r="27" spans="1:15" s="2784" customFormat="1" ht="11.25" x14ac:dyDescent="0.2">
      <c r="A27" s="3751" t="s">
        <v>625</v>
      </c>
      <c r="C27" s="5306">
        <f t="shared" ref="C27:N27" si="1">SUM(C6:C7)</f>
        <v>783</v>
      </c>
      <c r="D27" s="5306">
        <f t="shared" si="1"/>
        <v>808</v>
      </c>
      <c r="E27" s="5306">
        <f t="shared" si="1"/>
        <v>931</v>
      </c>
      <c r="F27" s="5306">
        <f t="shared" si="1"/>
        <v>953</v>
      </c>
      <c r="G27" s="5306">
        <f t="shared" si="1"/>
        <v>993</v>
      </c>
      <c r="H27" s="5306">
        <f t="shared" si="1"/>
        <v>1031</v>
      </c>
      <c r="I27" s="5306">
        <f t="shared" si="1"/>
        <v>1024</v>
      </c>
      <c r="J27" s="5306">
        <f t="shared" si="1"/>
        <v>1032</v>
      </c>
      <c r="K27" s="5306">
        <f t="shared" si="1"/>
        <v>1068</v>
      </c>
      <c r="L27" s="5306">
        <f t="shared" si="1"/>
        <v>1124</v>
      </c>
      <c r="M27" s="5306">
        <f t="shared" si="1"/>
        <v>1125</v>
      </c>
      <c r="N27" s="5306">
        <f t="shared" si="1"/>
        <v>1191</v>
      </c>
      <c r="O27" s="5306">
        <f t="shared" ref="O27" si="2">SUM(O6:O7)</f>
        <v>1217</v>
      </c>
    </row>
    <row r="28" spans="1:15" s="2784" customFormat="1" ht="11.25" x14ac:dyDescent="0.2">
      <c r="A28" s="3751" t="s">
        <v>636</v>
      </c>
      <c r="C28" s="5306">
        <f t="shared" ref="C28:N28" si="3">SUM(C8:C9)</f>
        <v>1623</v>
      </c>
      <c r="D28" s="5306">
        <f t="shared" si="3"/>
        <v>1628</v>
      </c>
      <c r="E28" s="5306">
        <f t="shared" si="3"/>
        <v>1680</v>
      </c>
      <c r="F28" s="5306">
        <f t="shared" si="3"/>
        <v>1657</v>
      </c>
      <c r="G28" s="5306">
        <f t="shared" si="3"/>
        <v>1619</v>
      </c>
      <c r="H28" s="5306">
        <f t="shared" si="3"/>
        <v>1608</v>
      </c>
      <c r="I28" s="5306">
        <f t="shared" si="3"/>
        <v>1608</v>
      </c>
      <c r="J28" s="5306">
        <f t="shared" si="3"/>
        <v>1595</v>
      </c>
      <c r="K28" s="5306">
        <f t="shared" si="3"/>
        <v>1553</v>
      </c>
      <c r="L28" s="5306">
        <f t="shared" si="3"/>
        <v>1532</v>
      </c>
      <c r="M28" s="5306">
        <f t="shared" si="3"/>
        <v>1477</v>
      </c>
      <c r="N28" s="5306">
        <f t="shared" si="3"/>
        <v>1473</v>
      </c>
      <c r="O28" s="5306">
        <f t="shared" ref="O28" si="4">SUM(O8:O9)</f>
        <v>1501</v>
      </c>
    </row>
    <row r="29" spans="1:15" s="2784" customFormat="1" ht="11.25" x14ac:dyDescent="0.2">
      <c r="A29" s="3751" t="s">
        <v>627</v>
      </c>
      <c r="C29" s="5306">
        <f t="shared" ref="C29:N29" si="5">SUM(C10:C11)</f>
        <v>1415</v>
      </c>
      <c r="D29" s="5306">
        <f t="shared" si="5"/>
        <v>1354</v>
      </c>
      <c r="E29" s="5306">
        <f t="shared" si="5"/>
        <v>1190</v>
      </c>
      <c r="F29" s="5306">
        <f t="shared" si="5"/>
        <v>1222</v>
      </c>
      <c r="G29" s="5306">
        <f t="shared" si="5"/>
        <v>1263</v>
      </c>
      <c r="H29" s="5306">
        <f t="shared" si="5"/>
        <v>1321</v>
      </c>
      <c r="I29" s="5306">
        <f t="shared" si="5"/>
        <v>1351</v>
      </c>
      <c r="J29" s="5306">
        <f t="shared" si="5"/>
        <v>1367</v>
      </c>
      <c r="K29" s="5306">
        <f t="shared" si="5"/>
        <v>1389</v>
      </c>
      <c r="L29" s="5306">
        <f t="shared" si="5"/>
        <v>1401</v>
      </c>
      <c r="M29" s="5306">
        <f t="shared" si="5"/>
        <v>1422</v>
      </c>
      <c r="N29" s="5306">
        <f t="shared" si="5"/>
        <v>1423</v>
      </c>
      <c r="O29" s="5306">
        <f t="shared" ref="O29" si="6">SUM(O10:O11)</f>
        <v>1373</v>
      </c>
    </row>
    <row r="30" spans="1:15" s="2784" customFormat="1" ht="11.25" x14ac:dyDescent="0.2">
      <c r="A30" s="3751" t="s">
        <v>637</v>
      </c>
      <c r="C30" s="5306">
        <f t="shared" ref="C30:N30" si="7">SUM(C12:C13)</f>
        <v>445</v>
      </c>
      <c r="D30" s="5306">
        <f t="shared" si="7"/>
        <v>414</v>
      </c>
      <c r="E30" s="5306">
        <f t="shared" si="7"/>
        <v>318</v>
      </c>
      <c r="F30" s="5306">
        <f t="shared" si="7"/>
        <v>342</v>
      </c>
      <c r="G30" s="5306">
        <f t="shared" si="7"/>
        <v>375</v>
      </c>
      <c r="H30" s="5306">
        <f t="shared" si="7"/>
        <v>406</v>
      </c>
      <c r="I30" s="5306">
        <f t="shared" si="7"/>
        <v>445</v>
      </c>
      <c r="J30" s="5306">
        <f t="shared" si="7"/>
        <v>452</v>
      </c>
      <c r="K30" s="5306">
        <f t="shared" si="7"/>
        <v>448</v>
      </c>
      <c r="L30" s="5306">
        <f t="shared" si="7"/>
        <v>464</v>
      </c>
      <c r="M30" s="5306">
        <f t="shared" si="7"/>
        <v>468</v>
      </c>
      <c r="N30" s="5306">
        <f t="shared" si="7"/>
        <v>461</v>
      </c>
      <c r="O30" s="5306">
        <f t="shared" ref="O30" si="8">SUM(O12:O13)</f>
        <v>480</v>
      </c>
    </row>
    <row r="31" spans="1:15" s="2784" customFormat="1" ht="11.25" x14ac:dyDescent="0.2">
      <c r="A31" s="3752" t="s">
        <v>591</v>
      </c>
      <c r="C31" s="5307">
        <v>89</v>
      </c>
      <c r="D31" s="5307">
        <v>82</v>
      </c>
      <c r="E31" s="5308">
        <v>58</v>
      </c>
      <c r="F31" s="5308">
        <v>58</v>
      </c>
      <c r="G31" s="5308">
        <v>63</v>
      </c>
      <c r="H31" s="5308">
        <v>65</v>
      </c>
      <c r="I31" s="5307">
        <v>68</v>
      </c>
      <c r="J31" s="5308">
        <v>71</v>
      </c>
      <c r="K31" s="5307">
        <v>66</v>
      </c>
      <c r="L31" s="5307">
        <f>+L14</f>
        <v>71</v>
      </c>
      <c r="M31" s="5307">
        <f>+M14</f>
        <v>68</v>
      </c>
      <c r="N31" s="5307">
        <f>+N14</f>
        <v>79</v>
      </c>
      <c r="O31" s="5307">
        <f>+O14</f>
        <v>75</v>
      </c>
    </row>
    <row r="32" spans="1:15" s="2784" customFormat="1" ht="11.25" x14ac:dyDescent="0.2">
      <c r="A32" s="3749" t="s">
        <v>12</v>
      </c>
      <c r="C32" s="5309">
        <f t="shared" ref="C32:H32" si="9">SUM(C26:C31)</f>
        <v>4498</v>
      </c>
      <c r="D32" s="5309">
        <f t="shared" si="9"/>
        <v>4479</v>
      </c>
      <c r="E32" s="5309">
        <f t="shared" si="9"/>
        <v>4494</v>
      </c>
      <c r="F32" s="5309">
        <f t="shared" si="9"/>
        <v>4578</v>
      </c>
      <c r="G32" s="5309">
        <f t="shared" si="9"/>
        <v>4694</v>
      </c>
      <c r="H32" s="5309">
        <f t="shared" si="9"/>
        <v>4918</v>
      </c>
      <c r="I32" s="5309">
        <v>5006</v>
      </c>
      <c r="J32" s="5309">
        <f t="shared" ref="J32:O32" si="10">SUM(J26:J31)</f>
        <v>5079</v>
      </c>
      <c r="K32" s="5309">
        <f t="shared" si="10"/>
        <v>5097</v>
      </c>
      <c r="L32" s="5309">
        <f t="shared" si="10"/>
        <v>5149</v>
      </c>
      <c r="M32" s="5309">
        <f t="shared" si="10"/>
        <v>5128</v>
      </c>
      <c r="N32" s="5309">
        <f t="shared" si="10"/>
        <v>5218</v>
      </c>
      <c r="O32" s="5309">
        <f t="shared" si="10"/>
        <v>5234</v>
      </c>
    </row>
    <row r="33" spans="1:15" s="2784" customFormat="1" ht="11.25" x14ac:dyDescent="0.2"/>
    <row r="34" spans="1:15" s="2784" customFormat="1" ht="11.25" x14ac:dyDescent="0.2">
      <c r="A34" s="3748" t="s">
        <v>98</v>
      </c>
      <c r="C34" s="3749">
        <v>2005</v>
      </c>
      <c r="D34" s="3749">
        <v>2006</v>
      </c>
      <c r="E34" s="3749">
        <v>2007</v>
      </c>
      <c r="F34" s="3749">
        <v>2008</v>
      </c>
      <c r="G34" s="3749">
        <v>2009</v>
      </c>
      <c r="H34" s="3749">
        <v>2010</v>
      </c>
      <c r="I34" s="3749">
        <v>2011</v>
      </c>
      <c r="J34" s="3749">
        <v>2012</v>
      </c>
      <c r="K34" s="3749">
        <v>2013</v>
      </c>
      <c r="L34" s="3749">
        <v>2014</v>
      </c>
      <c r="M34" s="3749">
        <v>2015</v>
      </c>
      <c r="N34" s="3749">
        <v>2016</v>
      </c>
      <c r="O34" s="3749">
        <v>2017</v>
      </c>
    </row>
    <row r="35" spans="1:15" s="2784" customFormat="1" ht="11.25" x14ac:dyDescent="0.2">
      <c r="A35" s="3750" t="s">
        <v>99</v>
      </c>
      <c r="C35" s="5310">
        <f t="shared" ref="C35:C40" si="11">C26/$C$32</f>
        <v>3.1791907514450865E-2</v>
      </c>
      <c r="D35" s="5310">
        <f t="shared" ref="D35:D40" si="12">D26/$D$32</f>
        <v>4.3089975440946643E-2</v>
      </c>
      <c r="E35" s="5310">
        <f t="shared" ref="E35:E40" si="13">E26/$E$32</f>
        <v>7.0538495772140636E-2</v>
      </c>
      <c r="F35" s="5310">
        <f t="shared" ref="F35:F40" si="14">F26/$F$32</f>
        <v>7.5578855395369154E-2</v>
      </c>
      <c r="G35" s="5310">
        <f t="shared" ref="G35:G40" si="15">G26/$G$32</f>
        <v>8.116744780570942E-2</v>
      </c>
      <c r="H35" s="5310">
        <f t="shared" ref="H35:H40" si="16">H26/$H$32</f>
        <v>9.9023993493289955E-2</v>
      </c>
      <c r="I35" s="5310">
        <f t="shared" ref="I35:I40" si="17">I26/$I$32</f>
        <v>0.10187774670395526</v>
      </c>
      <c r="J35" s="5310">
        <f t="shared" ref="J35:J40" si="18">J26/$J$32</f>
        <v>0.11065170309115968</v>
      </c>
      <c r="K35" s="5310">
        <f t="shared" ref="K35:K40" si="19">K26/$K$32</f>
        <v>0.11241907004120071</v>
      </c>
      <c r="L35" s="5310">
        <f t="shared" ref="L35:L40" si="20">L26/$L$32</f>
        <v>0.10817634492134395</v>
      </c>
      <c r="M35" s="5310">
        <f t="shared" ref="M35:M40" si="21">M26/$M$32</f>
        <v>0.11076443057722309</v>
      </c>
      <c r="N35" s="5311">
        <f t="shared" ref="N35:O40" si="22">N26/$N$32</f>
        <v>0.11326178612495209</v>
      </c>
      <c r="O35" s="5311">
        <f t="shared" si="22"/>
        <v>0.11268685320045994</v>
      </c>
    </row>
    <row r="36" spans="1:15" s="2784" customFormat="1" ht="11.25" x14ac:dyDescent="0.2">
      <c r="A36" s="3751" t="s">
        <v>625</v>
      </c>
      <c r="C36" s="5312">
        <f t="shared" si="11"/>
        <v>0.17407736771898621</v>
      </c>
      <c r="D36" s="5312">
        <f t="shared" si="12"/>
        <v>0.18039741013619112</v>
      </c>
      <c r="E36" s="5312">
        <f t="shared" si="13"/>
        <v>0.20716510903426791</v>
      </c>
      <c r="F36" s="5312">
        <f t="shared" si="14"/>
        <v>0.20816950633464396</v>
      </c>
      <c r="G36" s="5312">
        <f t="shared" si="15"/>
        <v>0.21154665530464423</v>
      </c>
      <c r="H36" s="5312">
        <f t="shared" si="16"/>
        <v>0.20963806425376169</v>
      </c>
      <c r="I36" s="5312">
        <f t="shared" si="17"/>
        <v>0.20455453455852976</v>
      </c>
      <c r="J36" s="5312">
        <f t="shared" si="18"/>
        <v>0.20318960425280566</v>
      </c>
      <c r="K36" s="5312">
        <f t="shared" si="19"/>
        <v>0.20953502060035314</v>
      </c>
      <c r="L36" s="5312">
        <f t="shared" si="20"/>
        <v>0.21829481452709265</v>
      </c>
      <c r="M36" s="5312">
        <f t="shared" si="21"/>
        <v>0.21938377535101405</v>
      </c>
      <c r="N36" s="5313">
        <f t="shared" si="22"/>
        <v>0.22824837102338061</v>
      </c>
      <c r="O36" s="5313">
        <f t="shared" si="22"/>
        <v>0.23323112303564583</v>
      </c>
    </row>
    <row r="37" spans="1:15" s="2784" customFormat="1" ht="11.25" x14ac:dyDescent="0.2">
      <c r="A37" s="3751" t="s">
        <v>636</v>
      </c>
      <c r="C37" s="5312">
        <f t="shared" si="11"/>
        <v>0.36082703423743884</v>
      </c>
      <c r="D37" s="5312">
        <f t="shared" si="12"/>
        <v>0.3634739897298504</v>
      </c>
      <c r="E37" s="5312">
        <f t="shared" si="13"/>
        <v>0.37383177570093457</v>
      </c>
      <c r="F37" s="5312">
        <f t="shared" si="14"/>
        <v>0.36194844910441243</v>
      </c>
      <c r="G37" s="5312">
        <f t="shared" si="15"/>
        <v>0.34490839369407755</v>
      </c>
      <c r="H37" s="5312">
        <f t="shared" si="16"/>
        <v>0.32696217974786501</v>
      </c>
      <c r="I37" s="5312">
        <f t="shared" si="17"/>
        <v>0.32121454254894127</v>
      </c>
      <c r="J37" s="5312">
        <f t="shared" si="18"/>
        <v>0.31403819649537312</v>
      </c>
      <c r="K37" s="5312">
        <f t="shared" si="19"/>
        <v>0.3046890327643712</v>
      </c>
      <c r="L37" s="5312">
        <f t="shared" si="20"/>
        <v>0.297533501650806</v>
      </c>
      <c r="M37" s="5312">
        <f t="shared" si="21"/>
        <v>0.28802652106084242</v>
      </c>
      <c r="N37" s="5313">
        <f t="shared" si="22"/>
        <v>0.28229206592564199</v>
      </c>
      <c r="O37" s="5313">
        <f t="shared" si="22"/>
        <v>0.28765810655423535</v>
      </c>
    </row>
    <row r="38" spans="1:15" s="2784" customFormat="1" ht="11.25" x14ac:dyDescent="0.2">
      <c r="A38" s="3751" t="s">
        <v>627</v>
      </c>
      <c r="C38" s="5312">
        <f t="shared" si="11"/>
        <v>0.31458425967096487</v>
      </c>
      <c r="D38" s="5312">
        <f t="shared" si="12"/>
        <v>0.30229962045099351</v>
      </c>
      <c r="E38" s="5312">
        <f t="shared" si="13"/>
        <v>0.26479750778816197</v>
      </c>
      <c r="F38" s="5312">
        <f t="shared" si="14"/>
        <v>0.26692878986456969</v>
      </c>
      <c r="G38" s="5312">
        <f t="shared" si="15"/>
        <v>0.26906689390711547</v>
      </c>
      <c r="H38" s="5312">
        <f t="shared" si="16"/>
        <v>0.2686051240341602</v>
      </c>
      <c r="I38" s="5312">
        <f t="shared" si="17"/>
        <v>0.26987614862165399</v>
      </c>
      <c r="J38" s="5312">
        <f t="shared" si="18"/>
        <v>0.26914746997440442</v>
      </c>
      <c r="K38" s="5312">
        <f t="shared" si="19"/>
        <v>0.27251324308416713</v>
      </c>
      <c r="L38" s="5312">
        <f t="shared" si="20"/>
        <v>0.27209166828510389</v>
      </c>
      <c r="M38" s="5312">
        <f t="shared" si="21"/>
        <v>0.27730109204368175</v>
      </c>
      <c r="N38" s="5313">
        <f t="shared" si="22"/>
        <v>0.27270985051743962</v>
      </c>
      <c r="O38" s="5313">
        <f t="shared" si="22"/>
        <v>0.26312763510923726</v>
      </c>
    </row>
    <row r="39" spans="1:15" s="2784" customFormat="1" ht="11.25" x14ac:dyDescent="0.2">
      <c r="A39" s="3751" t="s">
        <v>637</v>
      </c>
      <c r="C39" s="5312">
        <f t="shared" si="11"/>
        <v>9.8932859048465979E-2</v>
      </c>
      <c r="D39" s="5312">
        <f t="shared" si="12"/>
        <v>9.2431346282652371E-2</v>
      </c>
      <c r="E39" s="5312">
        <f t="shared" si="13"/>
        <v>7.0761014686248333E-2</v>
      </c>
      <c r="F39" s="5312">
        <f t="shared" si="14"/>
        <v>7.4705111402359109E-2</v>
      </c>
      <c r="G39" s="5312">
        <f t="shared" si="15"/>
        <v>7.9889220281210052E-2</v>
      </c>
      <c r="H39" s="5312">
        <f t="shared" si="16"/>
        <v>8.255388369255795E-2</v>
      </c>
      <c r="I39" s="5312">
        <f t="shared" si="17"/>
        <v>8.8893328006392325E-2</v>
      </c>
      <c r="J39" s="5312">
        <f t="shared" si="18"/>
        <v>8.8993896436306355E-2</v>
      </c>
      <c r="K39" s="5312">
        <f t="shared" si="19"/>
        <v>8.7894840102020796E-2</v>
      </c>
      <c r="L39" s="5312">
        <f t="shared" si="20"/>
        <v>9.0114585356379881E-2</v>
      </c>
      <c r="M39" s="5312">
        <f t="shared" si="21"/>
        <v>9.1263650546021841E-2</v>
      </c>
      <c r="N39" s="5313">
        <f t="shared" si="22"/>
        <v>8.8348026063625906E-2</v>
      </c>
      <c r="O39" s="5313">
        <f t="shared" si="22"/>
        <v>9.1989267918742817E-2</v>
      </c>
    </row>
    <row r="40" spans="1:15" s="2784" customFormat="1" ht="11.25" x14ac:dyDescent="0.2">
      <c r="A40" s="3752" t="s">
        <v>591</v>
      </c>
      <c r="C40" s="5314">
        <f t="shared" si="11"/>
        <v>1.9786571809693197E-2</v>
      </c>
      <c r="D40" s="5314">
        <f t="shared" si="12"/>
        <v>1.8307657959365928E-2</v>
      </c>
      <c r="E40" s="5314">
        <f t="shared" si="13"/>
        <v>1.290609701824655E-2</v>
      </c>
      <c r="F40" s="5314">
        <f t="shared" si="14"/>
        <v>1.2669287898645697E-2</v>
      </c>
      <c r="G40" s="5314">
        <f t="shared" si="15"/>
        <v>1.342138900724329E-2</v>
      </c>
      <c r="H40" s="5314">
        <f t="shared" si="16"/>
        <v>1.3216754778365189E-2</v>
      </c>
      <c r="I40" s="5314">
        <f t="shared" si="17"/>
        <v>1.3583699560527367E-2</v>
      </c>
      <c r="J40" s="5314">
        <f t="shared" si="18"/>
        <v>1.3979129749950778E-2</v>
      </c>
      <c r="K40" s="5314">
        <f t="shared" si="19"/>
        <v>1.2948793407886992E-2</v>
      </c>
      <c r="L40" s="5314">
        <f t="shared" si="20"/>
        <v>1.3789085259273645E-2</v>
      </c>
      <c r="M40" s="5314">
        <f t="shared" si="21"/>
        <v>1.3260530421216849E-2</v>
      </c>
      <c r="N40" s="5315">
        <f t="shared" si="22"/>
        <v>1.5139900344959755E-2</v>
      </c>
      <c r="O40" s="5315">
        <f t="shared" si="22"/>
        <v>1.4373323112303564E-2</v>
      </c>
    </row>
    <row r="41" spans="1:15" s="2784" customFormat="1" ht="11.25" x14ac:dyDescent="0.2">
      <c r="A41" s="3749" t="s">
        <v>12</v>
      </c>
      <c r="C41" s="5316">
        <f t="shared" ref="C41:K41" si="23">SUM(C35:C40)</f>
        <v>1</v>
      </c>
      <c r="D41" s="5316">
        <f t="shared" si="23"/>
        <v>1</v>
      </c>
      <c r="E41" s="5316">
        <f t="shared" si="23"/>
        <v>0.99999999999999989</v>
      </c>
      <c r="F41" s="5316">
        <f t="shared" si="23"/>
        <v>1</v>
      </c>
      <c r="G41" s="5316">
        <f t="shared" si="23"/>
        <v>1</v>
      </c>
      <c r="H41" s="5316">
        <f t="shared" si="23"/>
        <v>0.99999999999999989</v>
      </c>
      <c r="I41" s="5316">
        <f t="shared" si="23"/>
        <v>1</v>
      </c>
      <c r="J41" s="5316">
        <f t="shared" si="23"/>
        <v>1</v>
      </c>
      <c r="K41" s="5316">
        <f t="shared" si="23"/>
        <v>1</v>
      </c>
      <c r="L41" s="5316">
        <f>SUM(L35:L40)</f>
        <v>1</v>
      </c>
      <c r="M41" s="5316">
        <f>SUM(M35:M40)</f>
        <v>1</v>
      </c>
      <c r="N41" s="5316">
        <f>SUM(N35:N40)</f>
        <v>0.99999999999999989</v>
      </c>
      <c r="O41" s="5316">
        <f>SUM(O35:O40)</f>
        <v>1.0030663089306249</v>
      </c>
    </row>
    <row r="57" spans="2:2" x14ac:dyDescent="0.25">
      <c r="B57" s="2787"/>
    </row>
    <row r="58" spans="2:2" x14ac:dyDescent="0.25">
      <c r="B58" s="2787"/>
    </row>
    <row r="98" spans="1:12" ht="15.75" x14ac:dyDescent="0.25">
      <c r="A98" s="1522"/>
      <c r="B98" s="1522"/>
      <c r="C98" s="1522"/>
      <c r="E98" s="2783"/>
      <c r="F98" s="1522"/>
      <c r="G98" s="1522"/>
      <c r="I98" s="2783"/>
      <c r="J98" s="1522"/>
      <c r="K98" s="1522"/>
      <c r="L98" s="1522"/>
    </row>
    <row r="99" spans="1:12" ht="15.75" x14ac:dyDescent="0.25">
      <c r="A99" s="2783"/>
      <c r="B99" s="1522"/>
      <c r="C99" s="1522"/>
      <c r="E99" s="1522"/>
      <c r="F99" s="1522"/>
      <c r="G99" s="1522"/>
      <c r="K99" s="2789"/>
      <c r="L99" s="2789"/>
    </row>
    <row r="100" spans="1:12" x14ac:dyDescent="0.25">
      <c r="B100" s="2786"/>
      <c r="C100" s="2786"/>
      <c r="F100" s="2788"/>
      <c r="G100" s="2788"/>
      <c r="K100" s="2789"/>
      <c r="L100" s="2785"/>
    </row>
    <row r="101" spans="1:12" x14ac:dyDescent="0.25">
      <c r="B101" s="2786"/>
      <c r="C101" s="2786"/>
      <c r="F101" s="2788"/>
      <c r="G101" s="2788"/>
    </row>
  </sheetData>
  <sheetProtection algorithmName="SHA-512" hashValue="Gw3X6glOPUd5CCu6p+uEq/BFtsShhcIosSwKAnxxIrS2e2ot8TbhVrZ33rm+vAUXebhczBKHqFqbvEFDT7crhA==" saltValue="k7OKHmKEWpw9kS27Dm5vNA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42" max="11" man="1"/>
  </rowBreaks>
  <ignoredErrors>
    <ignoredError sqref="C27:K30 L27:L30 M27:M30 N27:N30 O27:O30" formulaRange="1"/>
  </ignoredErrors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O33"/>
  <sheetViews>
    <sheetView showGridLines="0" zoomScaleNormal="100" workbookViewId="0">
      <selection activeCell="M46" sqref="M46"/>
    </sheetView>
  </sheetViews>
  <sheetFormatPr baseColWidth="10" defaultRowHeight="15" x14ac:dyDescent="0.25"/>
  <cols>
    <col min="1" max="1" width="28.42578125" style="1519" customWidth="1"/>
    <col min="2" max="2" width="1.28515625" style="1519" customWidth="1"/>
    <col min="3" max="15" width="10.7109375" style="1519" customWidth="1"/>
    <col min="16" max="16384" width="11.42578125" style="1519"/>
  </cols>
  <sheetData>
    <row r="1" spans="1:15" ht="21" x14ac:dyDescent="0.25">
      <c r="A1" s="2143" t="s">
        <v>592</v>
      </c>
      <c r="B1" s="1520"/>
      <c r="D1" s="2143"/>
      <c r="E1" s="2143"/>
      <c r="F1" s="2143"/>
      <c r="G1" s="2143"/>
      <c r="H1" s="2143"/>
      <c r="I1" s="2143"/>
      <c r="J1" s="2143"/>
      <c r="K1" s="2143"/>
    </row>
    <row r="2" spans="1:15" ht="15.75" thickBot="1" x14ac:dyDescent="0.3"/>
    <row r="3" spans="1:15" ht="16.5" thickBot="1" x14ac:dyDescent="0.3">
      <c r="A3" s="1521" t="s">
        <v>593</v>
      </c>
      <c r="B3" s="1522"/>
      <c r="C3" s="1523">
        <v>2005</v>
      </c>
      <c r="D3" s="1524">
        <v>2006</v>
      </c>
      <c r="E3" s="1524">
        <v>2007</v>
      </c>
      <c r="F3" s="1524">
        <v>2008</v>
      </c>
      <c r="G3" s="1524">
        <v>2009</v>
      </c>
      <c r="H3" s="1524">
        <v>2010</v>
      </c>
      <c r="I3" s="1524">
        <v>2011</v>
      </c>
      <c r="J3" s="1524">
        <v>2012</v>
      </c>
      <c r="K3" s="1524">
        <v>2013</v>
      </c>
      <c r="L3" s="1524">
        <v>2014</v>
      </c>
      <c r="M3" s="1524">
        <v>2015</v>
      </c>
      <c r="N3" s="1524">
        <v>2016</v>
      </c>
      <c r="O3" s="1525">
        <v>2017</v>
      </c>
    </row>
    <row r="4" spans="1:15" ht="15.75" thickBot="1" x14ac:dyDescent="0.3"/>
    <row r="5" spans="1:15" ht="21" customHeight="1" x14ac:dyDescent="0.25">
      <c r="A5" s="1526" t="s">
        <v>110</v>
      </c>
      <c r="C5" s="1544">
        <v>500</v>
      </c>
      <c r="D5" s="1545">
        <v>480</v>
      </c>
      <c r="E5" s="1545">
        <v>638</v>
      </c>
      <c r="F5" s="1545">
        <v>668</v>
      </c>
      <c r="G5" s="1545">
        <v>850</v>
      </c>
      <c r="H5" s="1545">
        <v>1133</v>
      </c>
      <c r="I5" s="1545">
        <v>1259</v>
      </c>
      <c r="J5" s="1545">
        <v>1423</v>
      </c>
      <c r="K5" s="1545">
        <v>1462</v>
      </c>
      <c r="L5" s="1545">
        <v>1500</v>
      </c>
      <c r="M5" s="1545">
        <v>1473</v>
      </c>
      <c r="N5" s="1545">
        <v>1437</v>
      </c>
      <c r="O5" s="1546">
        <v>1410</v>
      </c>
    </row>
    <row r="6" spans="1:15" ht="21" customHeight="1" x14ac:dyDescent="0.25">
      <c r="A6" s="1530" t="s">
        <v>111</v>
      </c>
      <c r="C6" s="1547">
        <v>627</v>
      </c>
      <c r="D6" s="1548">
        <v>637</v>
      </c>
      <c r="E6" s="1548">
        <v>536</v>
      </c>
      <c r="F6" s="1548">
        <v>580</v>
      </c>
      <c r="G6" s="1548">
        <v>550</v>
      </c>
      <c r="H6" s="1548">
        <v>480</v>
      </c>
      <c r="I6" s="1548">
        <v>433</v>
      </c>
      <c r="J6" s="1548">
        <v>446</v>
      </c>
      <c r="K6" s="1548">
        <v>523</v>
      </c>
      <c r="L6" s="1548">
        <v>661</v>
      </c>
      <c r="M6" s="1548">
        <v>826</v>
      </c>
      <c r="N6" s="1548">
        <v>1054</v>
      </c>
      <c r="O6" s="1549">
        <v>1160</v>
      </c>
    </row>
    <row r="7" spans="1:15" ht="21" customHeight="1" x14ac:dyDescent="0.25">
      <c r="A7" s="1530" t="s">
        <v>112</v>
      </c>
      <c r="C7" s="1547">
        <v>860</v>
      </c>
      <c r="D7" s="1548">
        <v>778</v>
      </c>
      <c r="E7" s="1548">
        <v>655</v>
      </c>
      <c r="F7" s="1548">
        <v>641</v>
      </c>
      <c r="G7" s="1548">
        <v>599</v>
      </c>
      <c r="H7" s="1548">
        <v>598</v>
      </c>
      <c r="I7" s="1548">
        <v>620</v>
      </c>
      <c r="J7" s="1548">
        <v>610</v>
      </c>
      <c r="K7" s="1548">
        <v>539</v>
      </c>
      <c r="L7" s="1548">
        <v>498</v>
      </c>
      <c r="M7" s="1548">
        <v>430</v>
      </c>
      <c r="N7" s="1548">
        <v>379</v>
      </c>
      <c r="O7" s="1549">
        <v>406</v>
      </c>
    </row>
    <row r="8" spans="1:15" ht="21" customHeight="1" x14ac:dyDescent="0.25">
      <c r="A8" s="1530" t="s">
        <v>113</v>
      </c>
      <c r="C8" s="1547">
        <v>777</v>
      </c>
      <c r="D8" s="1548">
        <v>768</v>
      </c>
      <c r="E8" s="1548">
        <v>832</v>
      </c>
      <c r="F8" s="1548">
        <v>857</v>
      </c>
      <c r="G8" s="1548">
        <v>831</v>
      </c>
      <c r="H8" s="1548">
        <v>792</v>
      </c>
      <c r="I8" s="1548">
        <v>719</v>
      </c>
      <c r="J8" s="1548">
        <v>590</v>
      </c>
      <c r="K8" s="1548">
        <v>584</v>
      </c>
      <c r="L8" s="1548">
        <v>538</v>
      </c>
      <c r="M8" s="1548">
        <v>524</v>
      </c>
      <c r="N8" s="1548">
        <v>555</v>
      </c>
      <c r="O8" s="1549">
        <v>547</v>
      </c>
    </row>
    <row r="9" spans="1:15" ht="21" customHeight="1" x14ac:dyDescent="0.25">
      <c r="A9" s="1530" t="s">
        <v>114</v>
      </c>
      <c r="C9" s="1547">
        <v>989</v>
      </c>
      <c r="D9" s="1548">
        <v>994</v>
      </c>
      <c r="E9" s="1548">
        <v>937</v>
      </c>
      <c r="F9" s="1548">
        <v>814</v>
      </c>
      <c r="G9" s="1548">
        <v>698</v>
      </c>
      <c r="H9" s="1548">
        <v>720</v>
      </c>
      <c r="I9" s="1548">
        <v>718</v>
      </c>
      <c r="J9" s="1548">
        <v>764</v>
      </c>
      <c r="K9" s="1548">
        <v>776</v>
      </c>
      <c r="L9" s="1548">
        <v>762</v>
      </c>
      <c r="M9" s="1548">
        <v>719</v>
      </c>
      <c r="N9" s="1548">
        <v>647</v>
      </c>
      <c r="O9" s="1549">
        <v>529</v>
      </c>
    </row>
    <row r="10" spans="1:15" ht="21" customHeight="1" x14ac:dyDescent="0.25">
      <c r="A10" s="1530" t="s">
        <v>115</v>
      </c>
      <c r="C10" s="1547">
        <v>658</v>
      </c>
      <c r="D10" s="1548">
        <v>646</v>
      </c>
      <c r="E10" s="1548">
        <v>622</v>
      </c>
      <c r="F10" s="1548">
        <v>755</v>
      </c>
      <c r="G10" s="1548">
        <v>881</v>
      </c>
      <c r="H10" s="1548">
        <v>829</v>
      </c>
      <c r="I10" s="1548">
        <v>820</v>
      </c>
      <c r="J10" s="1548">
        <v>778</v>
      </c>
      <c r="K10" s="1548">
        <v>669</v>
      </c>
      <c r="L10" s="1548">
        <v>588</v>
      </c>
      <c r="M10" s="1548">
        <v>572</v>
      </c>
      <c r="N10" s="1548">
        <v>600</v>
      </c>
      <c r="O10" s="1549">
        <v>639</v>
      </c>
    </row>
    <row r="11" spans="1:15" ht="16.5" thickBot="1" x14ac:dyDescent="0.3">
      <c r="A11" s="1534" t="s">
        <v>594</v>
      </c>
      <c r="C11" s="1550">
        <v>87</v>
      </c>
      <c r="D11" s="1551">
        <v>176</v>
      </c>
      <c r="E11" s="1551">
        <v>274</v>
      </c>
      <c r="F11" s="1551">
        <v>263</v>
      </c>
      <c r="G11" s="1551">
        <v>285</v>
      </c>
      <c r="H11" s="1551">
        <v>366</v>
      </c>
      <c r="I11" s="1551">
        <v>437</v>
      </c>
      <c r="J11" s="1551">
        <v>468</v>
      </c>
      <c r="K11" s="1551">
        <v>544</v>
      </c>
      <c r="L11" s="1551">
        <v>602</v>
      </c>
      <c r="M11" s="1551">
        <v>584</v>
      </c>
      <c r="N11" s="1551">
        <v>546</v>
      </c>
      <c r="O11" s="1552">
        <v>543</v>
      </c>
    </row>
    <row r="12" spans="1:15" ht="15.75" thickBot="1" x14ac:dyDescent="0.3"/>
    <row r="13" spans="1:15" ht="16.5" thickBot="1" x14ac:dyDescent="0.3">
      <c r="A13" s="1538" t="s">
        <v>12</v>
      </c>
      <c r="C13" s="1539">
        <f t="shared" ref="C13:H13" si="0">SUM(C5:C11)</f>
        <v>4498</v>
      </c>
      <c r="D13" s="1540">
        <f t="shared" si="0"/>
        <v>4479</v>
      </c>
      <c r="E13" s="1540">
        <f t="shared" si="0"/>
        <v>4494</v>
      </c>
      <c r="F13" s="1540">
        <f t="shared" si="0"/>
        <v>4578</v>
      </c>
      <c r="G13" s="1540">
        <f t="shared" si="0"/>
        <v>4694</v>
      </c>
      <c r="H13" s="1540">
        <f t="shared" si="0"/>
        <v>4918</v>
      </c>
      <c r="I13" s="1540">
        <v>5006</v>
      </c>
      <c r="J13" s="1540">
        <f t="shared" ref="J13:O13" si="1">SUM(J5:J12)</f>
        <v>5079</v>
      </c>
      <c r="K13" s="1540">
        <f t="shared" si="1"/>
        <v>5097</v>
      </c>
      <c r="L13" s="1540">
        <f t="shared" si="1"/>
        <v>5149</v>
      </c>
      <c r="M13" s="1540">
        <f t="shared" si="1"/>
        <v>5128</v>
      </c>
      <c r="N13" s="1540">
        <f t="shared" si="1"/>
        <v>5218</v>
      </c>
      <c r="O13" s="1541">
        <f t="shared" si="1"/>
        <v>5234</v>
      </c>
    </row>
    <row r="14" spans="1:15" ht="16.5" thickBot="1" x14ac:dyDescent="0.3">
      <c r="A14" s="1542"/>
    </row>
    <row r="15" spans="1:15" ht="16.5" thickBot="1" x14ac:dyDescent="0.3">
      <c r="A15" s="1538" t="s">
        <v>595</v>
      </c>
      <c r="C15" s="1901">
        <v>16.829702089817701</v>
      </c>
      <c r="D15" s="1902">
        <v>17.190667559723199</v>
      </c>
      <c r="E15" s="1902">
        <v>17.146568736092501</v>
      </c>
      <c r="F15" s="1902">
        <v>17.0421581476627</v>
      </c>
      <c r="G15" s="1902">
        <v>16.8206220707286</v>
      </c>
      <c r="H15" s="1902">
        <v>16.293005286701899</v>
      </c>
      <c r="I15" s="1902">
        <v>16.300039952057499</v>
      </c>
      <c r="J15" s="1902">
        <v>15.89722386296515</v>
      </c>
      <c r="K15" s="1902">
        <v>15.81</v>
      </c>
      <c r="L15" s="1902">
        <v>15.456205088366699</v>
      </c>
      <c r="M15" s="1902">
        <v>15.2377145085803</v>
      </c>
      <c r="N15" s="1902">
        <v>14.861249520889199</v>
      </c>
      <c r="O15" s="1903">
        <v>14.7307986243791</v>
      </c>
    </row>
    <row r="16" spans="1:15" ht="11.25" customHeight="1" x14ac:dyDescent="0.25"/>
    <row r="17" spans="1:15" x14ac:dyDescent="0.25">
      <c r="A17" s="1543" t="s">
        <v>624</v>
      </c>
    </row>
    <row r="18" spans="1:15" x14ac:dyDescent="0.25">
      <c r="A18" s="1543" t="s">
        <v>116</v>
      </c>
    </row>
    <row r="19" spans="1:15" x14ac:dyDescent="0.25">
      <c r="A19" s="1543"/>
    </row>
    <row r="20" spans="1:15" x14ac:dyDescent="0.25">
      <c r="A20" s="1543"/>
    </row>
    <row r="21" spans="1:15" x14ac:dyDescent="0.25">
      <c r="A21" s="1543"/>
    </row>
    <row r="22" spans="1:15" x14ac:dyDescent="0.25">
      <c r="A22" s="1543"/>
    </row>
    <row r="24" spans="1:15" s="2784" customFormat="1" ht="11.25" x14ac:dyDescent="0.2">
      <c r="A24" s="3756" t="s">
        <v>593</v>
      </c>
      <c r="C24" s="3749">
        <v>2005</v>
      </c>
      <c r="D24" s="3749">
        <v>2006</v>
      </c>
      <c r="E24" s="3749">
        <v>2007</v>
      </c>
      <c r="F24" s="3749">
        <v>2008</v>
      </c>
      <c r="G24" s="3749">
        <v>2009</v>
      </c>
      <c r="H24" s="3749">
        <v>2010</v>
      </c>
      <c r="I24" s="3749">
        <v>2011</v>
      </c>
      <c r="J24" s="3749">
        <v>2012</v>
      </c>
      <c r="K24" s="3749">
        <v>2013</v>
      </c>
      <c r="L24" s="3749">
        <v>2014</v>
      </c>
      <c r="M24" s="3749">
        <v>2015</v>
      </c>
      <c r="N24" s="3749">
        <v>2016</v>
      </c>
      <c r="O24" s="3749">
        <v>2017</v>
      </c>
    </row>
    <row r="25" spans="1:15" s="2784" customFormat="1" ht="11.25" x14ac:dyDescent="0.2">
      <c r="A25" s="3750" t="s">
        <v>110</v>
      </c>
      <c r="C25" s="3753">
        <f t="shared" ref="C25:C31" si="2">C5/$C$13</f>
        <v>0.11116051578479325</v>
      </c>
      <c r="D25" s="3753">
        <f t="shared" ref="D25:D31" si="3">D5/$D$13</f>
        <v>0.10716677829872739</v>
      </c>
      <c r="E25" s="3753">
        <f t="shared" ref="E25:E31" si="4">E5/$E$13</f>
        <v>0.14196706720071206</v>
      </c>
      <c r="F25" s="3753">
        <f t="shared" ref="F25:F31" si="5">F5/$F$13</f>
        <v>0.14591524683267804</v>
      </c>
      <c r="G25" s="3753">
        <f t="shared" ref="G25:G31" si="6">G5/$G$13</f>
        <v>0.18108223263740947</v>
      </c>
      <c r="H25" s="3753">
        <f t="shared" ref="H25:H31" si="7">H5/$H$13</f>
        <v>0.23037820252135013</v>
      </c>
      <c r="I25" s="3753">
        <f t="shared" ref="I25:I31" si="8">I5/$I$13</f>
        <v>0.25149820215741109</v>
      </c>
      <c r="J25" s="3753">
        <f t="shared" ref="J25:J31" si="9">J5/$J$13</f>
        <v>0.28017326245323881</v>
      </c>
      <c r="K25" s="3753">
        <f t="shared" ref="K25:K31" si="10">K5/$K$13</f>
        <v>0.28683539336864822</v>
      </c>
      <c r="L25" s="3753">
        <f t="shared" ref="L25:L31" si="11">L5/$L$13</f>
        <v>0.2913187026607108</v>
      </c>
      <c r="M25" s="3753">
        <f t="shared" ref="M25:M31" si="12">M5/$M$13</f>
        <v>0.28724648985959439</v>
      </c>
      <c r="N25" s="3753">
        <f t="shared" ref="N25:N31" si="13">N5/$N$13</f>
        <v>0.2753928708317363</v>
      </c>
      <c r="O25" s="3753">
        <f>O5/$O$13</f>
        <v>0.26939243408482993</v>
      </c>
    </row>
    <row r="26" spans="1:15" s="2784" customFormat="1" ht="11.25" x14ac:dyDescent="0.2">
      <c r="A26" s="3751" t="s">
        <v>111</v>
      </c>
      <c r="C26" s="3754">
        <f t="shared" si="2"/>
        <v>0.13939528679413071</v>
      </c>
      <c r="D26" s="3754">
        <f t="shared" si="3"/>
        <v>0.14221924536726949</v>
      </c>
      <c r="E26" s="3754">
        <f t="shared" si="4"/>
        <v>0.11927013796172675</v>
      </c>
      <c r="F26" s="3754">
        <f t="shared" si="5"/>
        <v>0.12669287898645698</v>
      </c>
      <c r="G26" s="3754">
        <f t="shared" si="6"/>
        <v>0.11717085641244142</v>
      </c>
      <c r="H26" s="3754">
        <f t="shared" si="7"/>
        <v>9.7600650671004471E-2</v>
      </c>
      <c r="I26" s="3754">
        <f t="shared" si="8"/>
        <v>8.6496204554534564E-2</v>
      </c>
      <c r="J26" s="3754">
        <f t="shared" si="9"/>
        <v>8.7812561527859809E-2</v>
      </c>
      <c r="K26" s="3754">
        <f t="shared" si="10"/>
        <v>0.10260937806552874</v>
      </c>
      <c r="L26" s="3754">
        <f t="shared" si="11"/>
        <v>0.12837444163915324</v>
      </c>
      <c r="M26" s="3754">
        <f t="shared" si="12"/>
        <v>0.16107644305772231</v>
      </c>
      <c r="N26" s="3754">
        <f t="shared" si="13"/>
        <v>0.20199310080490609</v>
      </c>
      <c r="O26" s="3754">
        <f t="shared" ref="O26:O31" si="14">O6/$O$13</f>
        <v>0.22162781811234239</v>
      </c>
    </row>
    <row r="27" spans="1:15" s="2784" customFormat="1" ht="11.25" x14ac:dyDescent="0.2">
      <c r="A27" s="3751" t="s">
        <v>112</v>
      </c>
      <c r="C27" s="3754">
        <f t="shared" si="2"/>
        <v>0.19119608714984437</v>
      </c>
      <c r="D27" s="3754">
        <f t="shared" si="3"/>
        <v>0.17369948649252065</v>
      </c>
      <c r="E27" s="3754">
        <f t="shared" si="4"/>
        <v>0.14574988874054295</v>
      </c>
      <c r="F27" s="3754">
        <f t="shared" si="5"/>
        <v>0.14001747487986019</v>
      </c>
      <c r="G27" s="3754">
        <f t="shared" si="6"/>
        <v>0.12760971452918621</v>
      </c>
      <c r="H27" s="3754">
        <f t="shared" si="7"/>
        <v>0.12159414396095974</v>
      </c>
      <c r="I27" s="3754">
        <f t="shared" si="8"/>
        <v>0.12385137834598482</v>
      </c>
      <c r="J27" s="3754">
        <f t="shared" si="9"/>
        <v>0.12010238235873204</v>
      </c>
      <c r="K27" s="3754">
        <f t="shared" si="10"/>
        <v>0.10574847949774377</v>
      </c>
      <c r="L27" s="3754">
        <f t="shared" si="11"/>
        <v>9.6717809283355993E-2</v>
      </c>
      <c r="M27" s="3754">
        <f t="shared" si="12"/>
        <v>8.3853354134165364E-2</v>
      </c>
      <c r="N27" s="3754">
        <f t="shared" si="13"/>
        <v>7.2633192794174017E-2</v>
      </c>
      <c r="O27" s="3754">
        <f t="shared" si="14"/>
        <v>7.7569736339319836E-2</v>
      </c>
    </row>
    <row r="28" spans="1:15" s="2784" customFormat="1" ht="11.25" x14ac:dyDescent="0.2">
      <c r="A28" s="3751" t="s">
        <v>113</v>
      </c>
      <c r="C28" s="3754">
        <f t="shared" si="2"/>
        <v>0.17274344152956869</v>
      </c>
      <c r="D28" s="3754">
        <f t="shared" si="3"/>
        <v>0.17146684527796383</v>
      </c>
      <c r="E28" s="3754">
        <f t="shared" si="4"/>
        <v>0.18513573653760571</v>
      </c>
      <c r="F28" s="3754">
        <f t="shared" si="5"/>
        <v>0.18719965050240281</v>
      </c>
      <c r="G28" s="3754">
        <f t="shared" si="6"/>
        <v>0.17703451214316149</v>
      </c>
      <c r="H28" s="3754">
        <f t="shared" si="7"/>
        <v>0.16104107360715739</v>
      </c>
      <c r="I28" s="3754">
        <f t="shared" si="8"/>
        <v>0.14362764682381143</v>
      </c>
      <c r="J28" s="3754">
        <f t="shared" si="9"/>
        <v>0.11616459933057688</v>
      </c>
      <c r="K28" s="3754">
        <f t="shared" si="10"/>
        <v>0.11457720227584854</v>
      </c>
      <c r="L28" s="3754">
        <f t="shared" si="11"/>
        <v>0.10448630802097494</v>
      </c>
      <c r="M28" s="3754">
        <f t="shared" si="12"/>
        <v>0.10218408736349453</v>
      </c>
      <c r="N28" s="3754">
        <f t="shared" si="13"/>
        <v>0.10636259103104638</v>
      </c>
      <c r="O28" s="3754">
        <f t="shared" si="14"/>
        <v>0.10450897974780282</v>
      </c>
    </row>
    <row r="29" spans="1:15" s="2784" customFormat="1" ht="11.25" x14ac:dyDescent="0.2">
      <c r="A29" s="3751" t="s">
        <v>114</v>
      </c>
      <c r="C29" s="3754">
        <f t="shared" si="2"/>
        <v>0.21987550022232102</v>
      </c>
      <c r="D29" s="3754">
        <f t="shared" si="3"/>
        <v>0.22192453672694798</v>
      </c>
      <c r="E29" s="3754">
        <f t="shared" si="4"/>
        <v>0.20850022251891412</v>
      </c>
      <c r="F29" s="3754">
        <f t="shared" si="5"/>
        <v>0.17780690257754478</v>
      </c>
      <c r="G29" s="3754">
        <f t="shared" si="6"/>
        <v>0.14870046868342565</v>
      </c>
      <c r="H29" s="3754">
        <f t="shared" si="7"/>
        <v>0.1464009760065067</v>
      </c>
      <c r="I29" s="3754">
        <f t="shared" si="8"/>
        <v>0.14342788653615662</v>
      </c>
      <c r="J29" s="3754">
        <f t="shared" si="9"/>
        <v>0.15042331167552667</v>
      </c>
      <c r="K29" s="3754">
        <f t="shared" si="10"/>
        <v>0.15224641946242887</v>
      </c>
      <c r="L29" s="3754">
        <f t="shared" si="11"/>
        <v>0.14798990095164111</v>
      </c>
      <c r="M29" s="3754">
        <f t="shared" si="12"/>
        <v>0.14021060842433697</v>
      </c>
      <c r="N29" s="3754">
        <f t="shared" si="13"/>
        <v>0.12399386738213874</v>
      </c>
      <c r="O29" s="3754">
        <f t="shared" si="14"/>
        <v>0.10106992739778373</v>
      </c>
    </row>
    <row r="30" spans="1:15" s="2784" customFormat="1" ht="11.25" x14ac:dyDescent="0.2">
      <c r="A30" s="3751" t="s">
        <v>115</v>
      </c>
      <c r="C30" s="3754">
        <f t="shared" si="2"/>
        <v>0.1462872387727879</v>
      </c>
      <c r="D30" s="3754">
        <f t="shared" si="3"/>
        <v>0.14422862246037063</v>
      </c>
      <c r="E30" s="3754">
        <f t="shared" si="4"/>
        <v>0.13840676457498888</v>
      </c>
      <c r="F30" s="3754">
        <f t="shared" si="5"/>
        <v>0.16491917868064657</v>
      </c>
      <c r="G30" s="3754">
        <f t="shared" si="6"/>
        <v>0.18768640818065616</v>
      </c>
      <c r="H30" s="3754">
        <f t="shared" si="7"/>
        <v>0.16856445709638065</v>
      </c>
      <c r="I30" s="3754">
        <f t="shared" si="8"/>
        <v>0.16380343587694765</v>
      </c>
      <c r="J30" s="3754">
        <f t="shared" si="9"/>
        <v>0.15317975979523529</v>
      </c>
      <c r="K30" s="3754">
        <f t="shared" si="10"/>
        <v>0.13125367863449089</v>
      </c>
      <c r="L30" s="3754">
        <f t="shared" si="11"/>
        <v>0.11419693144299864</v>
      </c>
      <c r="M30" s="3754">
        <f t="shared" si="12"/>
        <v>0.11154446177847113</v>
      </c>
      <c r="N30" s="3754">
        <f t="shared" si="13"/>
        <v>0.11498658489842851</v>
      </c>
      <c r="O30" s="3754">
        <f t="shared" si="14"/>
        <v>0.12208635842567826</v>
      </c>
    </row>
    <row r="31" spans="1:15" s="2784" customFormat="1" ht="11.25" x14ac:dyDescent="0.2">
      <c r="A31" s="3752" t="s">
        <v>594</v>
      </c>
      <c r="C31" s="3755">
        <f t="shared" si="2"/>
        <v>1.9341929746554024E-2</v>
      </c>
      <c r="D31" s="3755">
        <f t="shared" si="3"/>
        <v>3.9294485376200047E-2</v>
      </c>
      <c r="E31" s="3755">
        <f t="shared" si="4"/>
        <v>6.0970182465509566E-2</v>
      </c>
      <c r="F31" s="3755">
        <f t="shared" si="5"/>
        <v>5.7448667540410663E-2</v>
      </c>
      <c r="G31" s="3755">
        <f t="shared" si="6"/>
        <v>6.0715807413719645E-2</v>
      </c>
      <c r="H31" s="3755">
        <f t="shared" si="7"/>
        <v>7.442049613664091E-2</v>
      </c>
      <c r="I31" s="3755">
        <f t="shared" si="8"/>
        <v>8.7295245705153818E-2</v>
      </c>
      <c r="J31" s="3755">
        <f t="shared" si="9"/>
        <v>9.2144122858830474E-2</v>
      </c>
      <c r="K31" s="3755">
        <f t="shared" si="10"/>
        <v>0.10672944869531097</v>
      </c>
      <c r="L31" s="3755">
        <f t="shared" si="11"/>
        <v>0.11691590600116528</v>
      </c>
      <c r="M31" s="3755">
        <f t="shared" si="12"/>
        <v>0.11388455538221529</v>
      </c>
      <c r="N31" s="3755">
        <f t="shared" si="13"/>
        <v>0.10463779225756994</v>
      </c>
      <c r="O31" s="3755">
        <f t="shared" si="14"/>
        <v>0.10374474589224303</v>
      </c>
    </row>
    <row r="32" spans="1:15" s="2784" customFormat="1" ht="11.25" x14ac:dyDescent="0.2">
      <c r="A32" s="3757" t="s">
        <v>12</v>
      </c>
      <c r="C32" s="3758">
        <f t="shared" ref="C32:K32" si="15">SUM(C25:C31)</f>
        <v>1</v>
      </c>
      <c r="D32" s="3758">
        <f t="shared" si="15"/>
        <v>1</v>
      </c>
      <c r="E32" s="3758">
        <f t="shared" si="15"/>
        <v>1</v>
      </c>
      <c r="F32" s="3758">
        <f t="shared" si="15"/>
        <v>1</v>
      </c>
      <c r="G32" s="3758">
        <f t="shared" si="15"/>
        <v>1</v>
      </c>
      <c r="H32" s="3758">
        <f t="shared" si="15"/>
        <v>1</v>
      </c>
      <c r="I32" s="3758">
        <f t="shared" si="15"/>
        <v>1</v>
      </c>
      <c r="J32" s="3758">
        <f t="shared" si="15"/>
        <v>1</v>
      </c>
      <c r="K32" s="3758">
        <f t="shared" si="15"/>
        <v>1</v>
      </c>
      <c r="L32" s="3758">
        <f>SUM(L25:L31)</f>
        <v>1</v>
      </c>
      <c r="M32" s="3758">
        <f>SUM(M25:M31)</f>
        <v>1</v>
      </c>
      <c r="N32" s="3758">
        <f>SUM(N25:N31)</f>
        <v>1</v>
      </c>
      <c r="O32" s="3758">
        <f>SUM(O25:O31)</f>
        <v>1</v>
      </c>
    </row>
    <row r="33" spans="1:1" ht="15.75" x14ac:dyDescent="0.25">
      <c r="A33" s="1542"/>
    </row>
  </sheetData>
  <sheetProtection algorithmName="SHA-512" hashValue="JZBRbPDFh/O97i/x5X7BF6Wgy0aXBmrlSOjU3MpSTzD/BJbQxZdxGrZVn36JL3Aw/1RkheD7T7xbnWGOo0w0Ig==" saltValue="bKYVR/IjHhqiXveyuLkDUg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33" max="11" man="1"/>
  </rowBreaks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F292"/>
  <sheetViews>
    <sheetView showGridLines="0" zoomScaleNormal="100" zoomScaleSheetLayoutView="80" workbookViewId="0">
      <selection activeCell="O28" sqref="O28"/>
    </sheetView>
  </sheetViews>
  <sheetFormatPr baseColWidth="10" defaultRowHeight="12.75" x14ac:dyDescent="0.2"/>
  <cols>
    <col min="1" max="1" width="18.42578125" style="1787" bestFit="1" customWidth="1"/>
    <col min="2" max="2" width="13.28515625" style="261" bestFit="1" customWidth="1"/>
    <col min="3" max="5" width="15.7109375" style="261" customWidth="1"/>
    <col min="6" max="6" width="15.140625" style="1787" bestFit="1" customWidth="1"/>
    <col min="7" max="8" width="10.7109375" style="23" customWidth="1"/>
    <col min="9" max="9" width="9" style="23" bestFit="1" customWidth="1"/>
    <col min="10" max="10" width="4.7109375" style="23" bestFit="1" customWidth="1"/>
    <col min="11" max="16384" width="11.42578125" style="23"/>
  </cols>
  <sheetData>
    <row r="1" spans="1:6" ht="18.75" x14ac:dyDescent="0.2">
      <c r="A1" s="2602" t="s">
        <v>1227</v>
      </c>
      <c r="B1" s="2601"/>
      <c r="C1" s="2601"/>
      <c r="D1" s="2601"/>
      <c r="E1" s="2601"/>
      <c r="F1" s="2601"/>
    </row>
    <row r="2" spans="1:6" ht="18.75" x14ac:dyDescent="0.2">
      <c r="A2" s="2602"/>
      <c r="B2" s="2601"/>
      <c r="C2" s="2601"/>
      <c r="D2" s="2601"/>
      <c r="E2" s="2601"/>
      <c r="F2" s="2601"/>
    </row>
    <row r="3" spans="1:6" ht="15.75" x14ac:dyDescent="0.2">
      <c r="A3" s="4323" t="s">
        <v>51</v>
      </c>
      <c r="B3" s="5069" t="s">
        <v>685</v>
      </c>
      <c r="C3" s="4323" t="s">
        <v>789</v>
      </c>
      <c r="D3" s="4323" t="s">
        <v>597</v>
      </c>
      <c r="E3" s="4323" t="s">
        <v>707</v>
      </c>
      <c r="F3" s="4325" t="s">
        <v>1687</v>
      </c>
    </row>
    <row r="4" spans="1:6" ht="15" x14ac:dyDescent="0.2">
      <c r="A4" s="7475" t="s">
        <v>161</v>
      </c>
      <c r="B4" s="5529" t="s">
        <v>160</v>
      </c>
      <c r="C4" s="5530">
        <f>SUM(C5:C8)</f>
        <v>3467000</v>
      </c>
      <c r="D4" s="5530">
        <f>SUM(D5:D8)</f>
        <v>2812778</v>
      </c>
      <c r="E4" s="5530">
        <f>SUM(E5:E8)</f>
        <v>15091234.42</v>
      </c>
      <c r="F4" s="5531">
        <f>SUM(C4:E4)</f>
        <v>21371012.420000002</v>
      </c>
    </row>
    <row r="5" spans="1:6" ht="15" x14ac:dyDescent="0.2">
      <c r="A5" s="7476"/>
      <c r="B5" s="4329" t="s">
        <v>5</v>
      </c>
      <c r="C5" s="3421">
        <v>1439000</v>
      </c>
      <c r="D5" s="3422">
        <v>518022</v>
      </c>
      <c r="E5" s="3423">
        <v>10815440.68</v>
      </c>
      <c r="F5" s="4330">
        <f t="shared" ref="F5:F31" si="0">SUM(C5:E5)</f>
        <v>12772462.68</v>
      </c>
    </row>
    <row r="6" spans="1:6" ht="15" x14ac:dyDescent="0.2">
      <c r="A6" s="7476"/>
      <c r="B6" s="4329" t="s">
        <v>6</v>
      </c>
      <c r="C6" s="3421">
        <v>2028000</v>
      </c>
      <c r="D6" s="3422">
        <v>1074678</v>
      </c>
      <c r="E6" s="3423">
        <v>3187740.55</v>
      </c>
      <c r="F6" s="4330">
        <f t="shared" si="0"/>
        <v>6290418.5499999998</v>
      </c>
    </row>
    <row r="7" spans="1:6" ht="15" x14ac:dyDescent="0.2">
      <c r="A7" s="7476"/>
      <c r="B7" s="4329" t="s">
        <v>7</v>
      </c>
      <c r="C7" s="3421"/>
      <c r="D7" s="3422">
        <v>1220078</v>
      </c>
      <c r="E7" s="3423">
        <v>1088053.19</v>
      </c>
      <c r="F7" s="4330">
        <f t="shared" si="0"/>
        <v>2308131.19</v>
      </c>
    </row>
    <row r="8" spans="1:6" ht="15" x14ac:dyDescent="0.2">
      <c r="A8" s="7477"/>
      <c r="B8" s="4329" t="s">
        <v>676</v>
      </c>
      <c r="C8" s="3421"/>
      <c r="D8" s="3422"/>
      <c r="E8" s="3423"/>
      <c r="F8" s="4331">
        <f t="shared" si="0"/>
        <v>0</v>
      </c>
    </row>
    <row r="9" spans="1:6" ht="15" x14ac:dyDescent="0.2">
      <c r="A9" s="7478" t="s">
        <v>407</v>
      </c>
      <c r="B9" s="5532" t="s">
        <v>160</v>
      </c>
      <c r="C9" s="5533">
        <f>SUM(C10:C12)</f>
        <v>2198000</v>
      </c>
      <c r="D9" s="5533">
        <f>SUM(D10:D12)</f>
        <v>230000</v>
      </c>
      <c r="E9" s="5533">
        <f>SUM(E10:E12)</f>
        <v>20448675</v>
      </c>
      <c r="F9" s="5534">
        <f t="shared" si="0"/>
        <v>22876675</v>
      </c>
    </row>
    <row r="10" spans="1:6" ht="15" x14ac:dyDescent="0.2">
      <c r="A10" s="7479"/>
      <c r="B10" s="4329" t="s">
        <v>9</v>
      </c>
      <c r="C10" s="3421">
        <v>1220000</v>
      </c>
      <c r="D10" s="3422">
        <v>10000</v>
      </c>
      <c r="E10" s="3423">
        <v>1021140</v>
      </c>
      <c r="F10" s="4330">
        <f t="shared" si="0"/>
        <v>2251140</v>
      </c>
    </row>
    <row r="11" spans="1:6" ht="15" x14ac:dyDescent="0.2">
      <c r="A11" s="7479"/>
      <c r="B11" s="4329" t="s">
        <v>74</v>
      </c>
      <c r="C11" s="3421">
        <v>276000</v>
      </c>
      <c r="D11" s="3422"/>
      <c r="E11" s="3423">
        <v>13137236</v>
      </c>
      <c r="F11" s="4330">
        <f t="shared" si="0"/>
        <v>13413236</v>
      </c>
    </row>
    <row r="12" spans="1:6" ht="15" x14ac:dyDescent="0.2">
      <c r="A12" s="7479"/>
      <c r="B12" s="4329" t="s">
        <v>6</v>
      </c>
      <c r="C12" s="3421">
        <v>702000</v>
      </c>
      <c r="D12" s="3422">
        <v>220000</v>
      </c>
      <c r="E12" s="3423">
        <v>6290299</v>
      </c>
      <c r="F12" s="4330">
        <f t="shared" si="0"/>
        <v>7212299</v>
      </c>
    </row>
    <row r="13" spans="1:6" ht="15" x14ac:dyDescent="0.2">
      <c r="A13" s="7480"/>
      <c r="B13" s="4334" t="s">
        <v>676</v>
      </c>
      <c r="C13" s="3421"/>
      <c r="D13" s="3422"/>
      <c r="E13" s="3423"/>
      <c r="F13" s="4331">
        <f t="shared" si="0"/>
        <v>0</v>
      </c>
    </row>
    <row r="14" spans="1:6" ht="15" x14ac:dyDescent="0.2">
      <c r="A14" s="7481" t="s">
        <v>162</v>
      </c>
      <c r="B14" s="4320" t="s">
        <v>160</v>
      </c>
      <c r="C14" s="5535">
        <f>SUM(C15:C19)</f>
        <v>12101000</v>
      </c>
      <c r="D14" s="5535">
        <f>SUM(D15:D19)</f>
        <v>7598919.0899999999</v>
      </c>
      <c r="E14" s="5535">
        <f>SUM(E15:E19)</f>
        <v>54887550.060000002</v>
      </c>
      <c r="F14" s="5535">
        <f>SUM(F15:F19)</f>
        <v>74587469.150000006</v>
      </c>
    </row>
    <row r="15" spans="1:6" ht="15" x14ac:dyDescent="0.2">
      <c r="A15" s="7482"/>
      <c r="B15" s="4329" t="s">
        <v>5</v>
      </c>
      <c r="C15" s="3421">
        <v>4737000</v>
      </c>
      <c r="D15" s="3422">
        <v>5085128</v>
      </c>
      <c r="E15" s="3423">
        <v>29657999</v>
      </c>
      <c r="F15" s="4330">
        <f t="shared" si="0"/>
        <v>39480127</v>
      </c>
    </row>
    <row r="16" spans="1:6" ht="15" x14ac:dyDescent="0.2">
      <c r="A16" s="7482"/>
      <c r="B16" s="4329" t="s">
        <v>11</v>
      </c>
      <c r="C16" s="3421">
        <v>5670000</v>
      </c>
      <c r="D16" s="3422">
        <v>1572246</v>
      </c>
      <c r="E16" s="3423">
        <v>10585118.08</v>
      </c>
      <c r="F16" s="4330">
        <f>SUM(C16:E16)</f>
        <v>17827364.079999998</v>
      </c>
    </row>
    <row r="17" spans="1:6" ht="15" x14ac:dyDescent="0.2">
      <c r="A17" s="7482"/>
      <c r="B17" s="4329" t="s">
        <v>6</v>
      </c>
      <c r="C17" s="3421">
        <v>1694000</v>
      </c>
      <c r="D17" s="3422">
        <v>941545.09</v>
      </c>
      <c r="E17" s="3423">
        <v>10542157.98</v>
      </c>
      <c r="F17" s="4330">
        <f>SUM(C17:E17)</f>
        <v>13177703.07</v>
      </c>
    </row>
    <row r="18" spans="1:6" ht="15" x14ac:dyDescent="0.2">
      <c r="A18" s="7482"/>
      <c r="B18" s="4329" t="s">
        <v>676</v>
      </c>
      <c r="C18" s="3421"/>
      <c r="D18" s="3421"/>
      <c r="E18" s="3423">
        <v>4102275</v>
      </c>
      <c r="F18" s="4330">
        <f t="shared" si="0"/>
        <v>4102275</v>
      </c>
    </row>
    <row r="19" spans="1:6" ht="15" x14ac:dyDescent="0.2">
      <c r="A19" s="7483"/>
      <c r="B19" s="4334" t="s">
        <v>1569</v>
      </c>
      <c r="C19" s="3421"/>
      <c r="D19" s="3422"/>
      <c r="E19" s="3423"/>
      <c r="F19" s="4330">
        <f>SUM(C19:E19)</f>
        <v>0</v>
      </c>
    </row>
    <row r="20" spans="1:6" ht="15" x14ac:dyDescent="0.2">
      <c r="A20" s="7484" t="s">
        <v>408</v>
      </c>
      <c r="B20" s="5536" t="s">
        <v>160</v>
      </c>
      <c r="C20" s="5537">
        <f>SUM(C21:C24)</f>
        <v>0</v>
      </c>
      <c r="D20" s="5537">
        <f>SUM(D21:D24)</f>
        <v>1807617</v>
      </c>
      <c r="E20" s="5537">
        <f>SUM(E21:E24)</f>
        <v>2619998</v>
      </c>
      <c r="F20" s="5537">
        <f>SUM(F21:F24)</f>
        <v>4427615</v>
      </c>
    </row>
    <row r="21" spans="1:6" ht="15" x14ac:dyDescent="0.2">
      <c r="A21" s="6754"/>
      <c r="B21" s="4329" t="s">
        <v>5</v>
      </c>
      <c r="C21" s="3421"/>
      <c r="D21" s="3421">
        <v>70000</v>
      </c>
      <c r="E21" s="3421">
        <v>2429998</v>
      </c>
      <c r="F21" s="4330">
        <f t="shared" si="0"/>
        <v>2499998</v>
      </c>
    </row>
    <row r="22" spans="1:6" ht="15" x14ac:dyDescent="0.2">
      <c r="A22" s="6754"/>
      <c r="B22" s="4329" t="s">
        <v>11</v>
      </c>
      <c r="C22" s="3421"/>
      <c r="D22" s="3421">
        <v>651539</v>
      </c>
      <c r="E22" s="3421">
        <v>190000</v>
      </c>
      <c r="F22" s="4330">
        <f>SUM(D22:E22)</f>
        <v>841539</v>
      </c>
    </row>
    <row r="23" spans="1:6" ht="15" x14ac:dyDescent="0.2">
      <c r="A23" s="6754"/>
      <c r="B23" s="4329" t="s">
        <v>6</v>
      </c>
      <c r="C23" s="3421"/>
      <c r="D23" s="3421">
        <v>1086078</v>
      </c>
      <c r="E23" s="3421"/>
      <c r="F23" s="4330">
        <f>SUM(D23:E23)</f>
        <v>1086078</v>
      </c>
    </row>
    <row r="24" spans="1:6" ht="15" x14ac:dyDescent="0.2">
      <c r="A24" s="7485"/>
      <c r="B24" s="4334" t="s">
        <v>676</v>
      </c>
      <c r="C24" s="3421"/>
      <c r="D24" s="3421"/>
      <c r="E24" s="3421"/>
      <c r="F24" s="4330">
        <f t="shared" si="0"/>
        <v>0</v>
      </c>
    </row>
    <row r="25" spans="1:6" ht="15" x14ac:dyDescent="0.2">
      <c r="A25" s="7486" t="s">
        <v>163</v>
      </c>
      <c r="B25" s="5528" t="s">
        <v>160</v>
      </c>
      <c r="C25" s="5538">
        <f>SUM(C26:C30)</f>
        <v>3178000</v>
      </c>
      <c r="D25" s="5538">
        <f>SUM(D26:D30)</f>
        <v>28211162.490000002</v>
      </c>
      <c r="E25" s="5538">
        <f>SUM(E26:E30)</f>
        <v>67428810.75</v>
      </c>
      <c r="F25" s="5538">
        <f>SUM(F26:F30)</f>
        <v>98817973.24000001</v>
      </c>
    </row>
    <row r="26" spans="1:6" ht="15" x14ac:dyDescent="0.2">
      <c r="A26" s="7487"/>
      <c r="B26" s="4329" t="s">
        <v>11</v>
      </c>
      <c r="C26" s="3421">
        <v>1142000</v>
      </c>
      <c r="D26" s="3422">
        <v>2773452.5700000003</v>
      </c>
      <c r="E26" s="3423">
        <v>13659231.800000001</v>
      </c>
      <c r="F26" s="4330">
        <f t="shared" si="0"/>
        <v>17574684.370000001</v>
      </c>
    </row>
    <row r="27" spans="1:6" ht="15" x14ac:dyDescent="0.2">
      <c r="A27" s="7487"/>
      <c r="B27" s="4329" t="s">
        <v>6</v>
      </c>
      <c r="C27" s="3421">
        <v>1734000</v>
      </c>
      <c r="D27" s="3422">
        <v>1342110.92</v>
      </c>
      <c r="E27" s="3423">
        <v>47558825.700000003</v>
      </c>
      <c r="F27" s="4330">
        <f t="shared" si="0"/>
        <v>50634936.620000005</v>
      </c>
    </row>
    <row r="28" spans="1:6" ht="15" x14ac:dyDescent="0.2">
      <c r="A28" s="7487"/>
      <c r="B28" s="4329" t="s">
        <v>7</v>
      </c>
      <c r="C28" s="3421">
        <v>302000</v>
      </c>
      <c r="D28" s="3422">
        <v>245539</v>
      </c>
      <c r="E28" s="3423">
        <v>1182080</v>
      </c>
      <c r="F28" s="4330">
        <f t="shared" si="0"/>
        <v>1729619</v>
      </c>
    </row>
    <row r="29" spans="1:6" ht="15" x14ac:dyDescent="0.2">
      <c r="A29" s="7487"/>
      <c r="B29" s="4329" t="s">
        <v>676</v>
      </c>
      <c r="C29" s="3421"/>
      <c r="D29" s="3422">
        <v>23850060</v>
      </c>
      <c r="E29" s="3423">
        <v>5028673.2499999991</v>
      </c>
      <c r="F29" s="4330">
        <f t="shared" si="0"/>
        <v>28878733.25</v>
      </c>
    </row>
    <row r="30" spans="1:6" ht="15" x14ac:dyDescent="0.2">
      <c r="A30" s="7488"/>
      <c r="B30" s="4334" t="s">
        <v>1569</v>
      </c>
      <c r="C30" s="3421"/>
      <c r="D30" s="3422"/>
      <c r="E30" s="3423"/>
      <c r="F30" s="4331">
        <f t="shared" si="0"/>
        <v>0</v>
      </c>
    </row>
    <row r="31" spans="1:6" ht="15" x14ac:dyDescent="0.2">
      <c r="A31" s="4349" t="s">
        <v>671</v>
      </c>
      <c r="B31" s="4342" t="s">
        <v>160</v>
      </c>
      <c r="C31" s="4346">
        <v>1200000</v>
      </c>
      <c r="D31" s="5081"/>
      <c r="E31" s="4346"/>
      <c r="F31" s="5082">
        <f t="shared" si="0"/>
        <v>1200000</v>
      </c>
    </row>
    <row r="32" spans="1:6" ht="15" x14ac:dyDescent="0.2">
      <c r="A32" s="7473" t="s">
        <v>573</v>
      </c>
      <c r="B32" s="7474"/>
      <c r="C32" s="4343">
        <f>C4+C9+C14+C20+C25+C31</f>
        <v>22144000</v>
      </c>
      <c r="D32" s="4343">
        <f>D4+D9+D14+D20+D25+D31</f>
        <v>40660476.579999998</v>
      </c>
      <c r="E32" s="4343">
        <f>E4+E9+E14+E20+E25+E31</f>
        <v>160476268.23000002</v>
      </c>
      <c r="F32" s="4343">
        <f>F4+F9+F14+F20+F25+F31</f>
        <v>223280744.81</v>
      </c>
    </row>
    <row r="33" spans="1:6" x14ac:dyDescent="0.2">
      <c r="A33" s="4344" t="s">
        <v>1703</v>
      </c>
      <c r="B33" s="184"/>
      <c r="C33" s="4345"/>
      <c r="D33" s="184"/>
      <c r="E33" s="184"/>
      <c r="F33" s="184"/>
    </row>
    <row r="34" spans="1:6" ht="18.75" x14ac:dyDescent="0.2">
      <c r="A34" s="2602"/>
      <c r="B34" s="2601"/>
      <c r="C34" s="2601"/>
      <c r="D34" s="2601"/>
      <c r="E34" s="2601"/>
      <c r="F34" s="2601"/>
    </row>
    <row r="35" spans="1:6" ht="18.75" x14ac:dyDescent="0.2">
      <c r="A35" s="2602"/>
      <c r="B35" s="2601"/>
      <c r="C35" s="2601"/>
      <c r="D35" s="2601"/>
      <c r="E35" s="2601"/>
      <c r="F35" s="2601"/>
    </row>
    <row r="36" spans="1:6" ht="15.75" x14ac:dyDescent="0.2">
      <c r="A36" s="4323" t="s">
        <v>51</v>
      </c>
      <c r="B36" s="5069" t="s">
        <v>685</v>
      </c>
      <c r="C36" s="4323" t="s">
        <v>789</v>
      </c>
      <c r="D36" s="4323" t="s">
        <v>597</v>
      </c>
      <c r="E36" s="4323" t="s">
        <v>707</v>
      </c>
      <c r="F36" s="4325" t="s">
        <v>1568</v>
      </c>
    </row>
    <row r="37" spans="1:6" ht="15" x14ac:dyDescent="0.2">
      <c r="A37" s="7516" t="s">
        <v>161</v>
      </c>
      <c r="B37" s="5070" t="s">
        <v>160</v>
      </c>
      <c r="C37" s="5071">
        <f>SUM(C38:C41)</f>
        <v>11216155.98</v>
      </c>
      <c r="D37" s="5071">
        <f>SUM(D38:D41)</f>
        <v>8269335</v>
      </c>
      <c r="E37" s="5071">
        <f>SUM(E38:E41)</f>
        <v>24260078.460000001</v>
      </c>
      <c r="F37" s="5072">
        <f>SUM(C37:E37)</f>
        <v>43745569.439999998</v>
      </c>
    </row>
    <row r="38" spans="1:6" ht="15" x14ac:dyDescent="0.2">
      <c r="A38" s="7476"/>
      <c r="B38" s="4329" t="s">
        <v>5</v>
      </c>
      <c r="C38" s="3421">
        <v>7112323.96</v>
      </c>
      <c r="D38" s="3422">
        <v>5007359.2</v>
      </c>
      <c r="E38" s="3423">
        <v>20025250.280000001</v>
      </c>
      <c r="F38" s="4330">
        <f t="shared" ref="F38:F64" si="1">SUM(C38:E38)</f>
        <v>32144933.440000001</v>
      </c>
    </row>
    <row r="39" spans="1:6" ht="15" x14ac:dyDescent="0.2">
      <c r="A39" s="7476"/>
      <c r="B39" s="4329" t="s">
        <v>6</v>
      </c>
      <c r="C39" s="3421">
        <v>4103832.02</v>
      </c>
      <c r="D39" s="3422">
        <v>1861316.8</v>
      </c>
      <c r="E39" s="3423">
        <v>3699484.4199999985</v>
      </c>
      <c r="F39" s="4330">
        <f t="shared" si="1"/>
        <v>9664633.2399999984</v>
      </c>
    </row>
    <row r="40" spans="1:6" ht="15" x14ac:dyDescent="0.2">
      <c r="A40" s="7476"/>
      <c r="B40" s="4329" t="s">
        <v>7</v>
      </c>
      <c r="C40" s="3421">
        <v>0</v>
      </c>
      <c r="D40" s="3422">
        <v>0</v>
      </c>
      <c r="E40" s="3423">
        <v>0</v>
      </c>
      <c r="F40" s="4330">
        <f t="shared" si="1"/>
        <v>0</v>
      </c>
    </row>
    <row r="41" spans="1:6" ht="15" x14ac:dyDescent="0.2">
      <c r="A41" s="7477"/>
      <c r="B41" s="4329" t="s">
        <v>676</v>
      </c>
      <c r="C41" s="3421">
        <v>0</v>
      </c>
      <c r="D41" s="3422">
        <v>1400659</v>
      </c>
      <c r="E41" s="3423">
        <v>535343.76</v>
      </c>
      <c r="F41" s="4331">
        <f t="shared" si="1"/>
        <v>1936002.76</v>
      </c>
    </row>
    <row r="42" spans="1:6" ht="15" x14ac:dyDescent="0.2">
      <c r="A42" s="7517" t="s">
        <v>407</v>
      </c>
      <c r="B42" s="5073" t="s">
        <v>160</v>
      </c>
      <c r="C42" s="5074">
        <f>SUM(C43:C45)</f>
        <v>3154000</v>
      </c>
      <c r="D42" s="5074">
        <f>SUM(D43:D45)</f>
        <v>2752319</v>
      </c>
      <c r="E42" s="5074">
        <f>SUM(E43:E45)</f>
        <v>10396788.99</v>
      </c>
      <c r="F42" s="5075">
        <f t="shared" si="1"/>
        <v>16303107.99</v>
      </c>
    </row>
    <row r="43" spans="1:6" ht="15" x14ac:dyDescent="0.2">
      <c r="A43" s="7479"/>
      <c r="B43" s="4329" t="s">
        <v>9</v>
      </c>
      <c r="C43" s="3421">
        <v>276000</v>
      </c>
      <c r="D43" s="3422">
        <v>500660</v>
      </c>
      <c r="E43" s="3423">
        <v>680000</v>
      </c>
      <c r="F43" s="4330">
        <f t="shared" si="1"/>
        <v>1456660</v>
      </c>
    </row>
    <row r="44" spans="1:6" ht="15" x14ac:dyDescent="0.2">
      <c r="A44" s="7479"/>
      <c r="B44" s="4329" t="s">
        <v>74</v>
      </c>
      <c r="C44" s="3421">
        <v>910000</v>
      </c>
      <c r="D44" s="3422">
        <v>1415659</v>
      </c>
      <c r="E44" s="3423">
        <v>6295094.0099999998</v>
      </c>
      <c r="F44" s="4330">
        <f t="shared" si="1"/>
        <v>8620753.0099999998</v>
      </c>
    </row>
    <row r="45" spans="1:6" ht="15" x14ac:dyDescent="0.2">
      <c r="A45" s="7479"/>
      <c r="B45" s="4329" t="s">
        <v>6</v>
      </c>
      <c r="C45" s="3421">
        <v>1968000</v>
      </c>
      <c r="D45" s="3422">
        <v>836000</v>
      </c>
      <c r="E45" s="3423">
        <v>3421694.9800000004</v>
      </c>
      <c r="F45" s="4330">
        <f t="shared" si="1"/>
        <v>6225694.9800000004</v>
      </c>
    </row>
    <row r="46" spans="1:6" ht="15" x14ac:dyDescent="0.2">
      <c r="A46" s="7480"/>
      <c r="B46" s="4334" t="s">
        <v>676</v>
      </c>
      <c r="C46" s="3421">
        <v>0</v>
      </c>
      <c r="D46" s="3422">
        <v>0</v>
      </c>
      <c r="E46" s="3423">
        <v>0</v>
      </c>
      <c r="F46" s="4331">
        <f t="shared" si="1"/>
        <v>0</v>
      </c>
    </row>
    <row r="47" spans="1:6" ht="15" x14ac:dyDescent="0.2">
      <c r="A47" s="7518" t="s">
        <v>162</v>
      </c>
      <c r="B47" s="4320" t="s">
        <v>160</v>
      </c>
      <c r="C47" s="5076">
        <f>SUM(C48:C52)</f>
        <v>53760828</v>
      </c>
      <c r="D47" s="5076">
        <f>SUM(D48:D52)</f>
        <v>9910727.3200000003</v>
      </c>
      <c r="E47" s="5076">
        <f>SUM(E48:E52)</f>
        <v>69919047.229999989</v>
      </c>
      <c r="F47" s="5076">
        <f>SUM(F48:F52)</f>
        <v>133590602.54999998</v>
      </c>
    </row>
    <row r="48" spans="1:6" ht="15" x14ac:dyDescent="0.2">
      <c r="A48" s="7482"/>
      <c r="B48" s="4329" t="s">
        <v>5</v>
      </c>
      <c r="C48" s="3421">
        <v>45365061.43</v>
      </c>
      <c r="D48" s="3422">
        <v>3122443</v>
      </c>
      <c r="E48" s="3423">
        <v>25927800.809999995</v>
      </c>
      <c r="F48" s="4330">
        <f t="shared" si="1"/>
        <v>74415305.239999995</v>
      </c>
    </row>
    <row r="49" spans="1:6" ht="15" x14ac:dyDescent="0.2">
      <c r="A49" s="7482"/>
      <c r="B49" s="4329" t="s">
        <v>11</v>
      </c>
      <c r="C49" s="3421">
        <v>4914000</v>
      </c>
      <c r="D49" s="3422">
        <v>563660</v>
      </c>
      <c r="E49" s="3423">
        <v>6153759.0199999996</v>
      </c>
      <c r="F49" s="4330">
        <f>SUM(C49:E49)</f>
        <v>11631419.02</v>
      </c>
    </row>
    <row r="50" spans="1:6" ht="15" x14ac:dyDescent="0.2">
      <c r="A50" s="7482"/>
      <c r="B50" s="4329" t="s">
        <v>6</v>
      </c>
      <c r="C50" s="3421">
        <v>3481766.5700000003</v>
      </c>
      <c r="D50" s="3422">
        <v>4724624.32</v>
      </c>
      <c r="E50" s="3423">
        <v>32633242.829999998</v>
      </c>
      <c r="F50" s="4330">
        <f>SUM(C50:E50)</f>
        <v>40839633.719999999</v>
      </c>
    </row>
    <row r="51" spans="1:6" ht="15" x14ac:dyDescent="0.2">
      <c r="A51" s="7482"/>
      <c r="B51" s="4329" t="s">
        <v>676</v>
      </c>
      <c r="C51" s="3421">
        <v>0</v>
      </c>
      <c r="D51" s="3421">
        <v>0</v>
      </c>
      <c r="E51" s="3423">
        <v>4978539.25</v>
      </c>
      <c r="F51" s="4330">
        <f t="shared" si="1"/>
        <v>4978539.25</v>
      </c>
    </row>
    <row r="52" spans="1:6" ht="15" x14ac:dyDescent="0.2">
      <c r="A52" s="7483"/>
      <c r="B52" s="4334" t="s">
        <v>1569</v>
      </c>
      <c r="C52" s="3421">
        <v>0</v>
      </c>
      <c r="D52" s="3422">
        <v>1500000</v>
      </c>
      <c r="E52" s="3423">
        <v>225705.32000000007</v>
      </c>
      <c r="F52" s="4330">
        <f>SUM(C52:E52)</f>
        <v>1725705.32</v>
      </c>
    </row>
    <row r="53" spans="1:6" ht="15" x14ac:dyDescent="0.2">
      <c r="A53" s="7519" t="s">
        <v>408</v>
      </c>
      <c r="B53" s="5077" t="s">
        <v>160</v>
      </c>
      <c r="C53" s="5078">
        <f>SUM(C54:C57)</f>
        <v>0</v>
      </c>
      <c r="D53" s="5078">
        <f>SUM(D54:D57)</f>
        <v>3467640</v>
      </c>
      <c r="E53" s="5078">
        <f>SUM(E54:E57)</f>
        <v>18260431.91</v>
      </c>
      <c r="F53" s="5078">
        <f>SUM(F54:F57)</f>
        <v>21728071.91</v>
      </c>
    </row>
    <row r="54" spans="1:6" ht="15" x14ac:dyDescent="0.2">
      <c r="A54" s="6754"/>
      <c r="B54" s="4329" t="s">
        <v>5</v>
      </c>
      <c r="C54" s="3421">
        <v>0</v>
      </c>
      <c r="D54" s="3421">
        <v>870000</v>
      </c>
      <c r="E54" s="3421">
        <v>582176.43999999994</v>
      </c>
      <c r="F54" s="4330">
        <f t="shared" si="1"/>
        <v>1452176.44</v>
      </c>
    </row>
    <row r="55" spans="1:6" ht="15" x14ac:dyDescent="0.2">
      <c r="A55" s="6754"/>
      <c r="B55" s="4329" t="s">
        <v>11</v>
      </c>
      <c r="C55" s="3421">
        <v>0</v>
      </c>
      <c r="D55" s="3421">
        <v>312000</v>
      </c>
      <c r="E55" s="3421">
        <v>4685570</v>
      </c>
      <c r="F55" s="4330">
        <f>SUM(D55:E55)</f>
        <v>4997570</v>
      </c>
    </row>
    <row r="56" spans="1:6" ht="15" x14ac:dyDescent="0.2">
      <c r="A56" s="6754"/>
      <c r="B56" s="4329" t="s">
        <v>6</v>
      </c>
      <c r="C56" s="3421">
        <v>0</v>
      </c>
      <c r="D56" s="3421">
        <v>2285640</v>
      </c>
      <c r="E56" s="3421">
        <v>992685.46999999974</v>
      </c>
      <c r="F56" s="4330">
        <f>SUM(D56:E56)</f>
        <v>3278325.4699999997</v>
      </c>
    </row>
    <row r="57" spans="1:6" ht="15" x14ac:dyDescent="0.2">
      <c r="A57" s="7485"/>
      <c r="B57" s="4334" t="s">
        <v>676</v>
      </c>
      <c r="C57" s="3421">
        <v>0</v>
      </c>
      <c r="D57" s="3421">
        <v>0</v>
      </c>
      <c r="E57" s="3421">
        <v>12000000</v>
      </c>
      <c r="F57" s="4330">
        <f t="shared" si="1"/>
        <v>12000000</v>
      </c>
    </row>
    <row r="58" spans="1:6" ht="15" x14ac:dyDescent="0.2">
      <c r="A58" s="7520" t="s">
        <v>163</v>
      </c>
      <c r="B58" s="5068" t="s">
        <v>160</v>
      </c>
      <c r="C58" s="5079">
        <f>SUM(C59:C63)</f>
        <v>15549156.400000002</v>
      </c>
      <c r="D58" s="5079">
        <f>SUM(D59:D63)</f>
        <v>8117204.3499999996</v>
      </c>
      <c r="E58" s="5079">
        <f>SUM(E59:E63)</f>
        <v>49187176.739999995</v>
      </c>
      <c r="F58" s="5079">
        <f>SUM(F59:F63)</f>
        <v>72853537.489999995</v>
      </c>
    </row>
    <row r="59" spans="1:6" ht="15" x14ac:dyDescent="0.2">
      <c r="A59" s="7487"/>
      <c r="B59" s="4329" t="s">
        <v>11</v>
      </c>
      <c r="C59" s="3421">
        <v>7412775.6400000006</v>
      </c>
      <c r="D59" s="3422">
        <v>2691910</v>
      </c>
      <c r="E59" s="3423">
        <v>9536022.5199999996</v>
      </c>
      <c r="F59" s="4330">
        <f t="shared" si="1"/>
        <v>19640708.16</v>
      </c>
    </row>
    <row r="60" spans="1:6" ht="15" x14ac:dyDescent="0.2">
      <c r="A60" s="7487"/>
      <c r="B60" s="4329" t="s">
        <v>6</v>
      </c>
      <c r="C60" s="3421">
        <v>7548380.7600000007</v>
      </c>
      <c r="D60" s="3422">
        <v>1208990</v>
      </c>
      <c r="E60" s="3423">
        <v>25896443.16</v>
      </c>
      <c r="F60" s="4330">
        <f t="shared" si="1"/>
        <v>34653813.920000002</v>
      </c>
    </row>
    <row r="61" spans="1:6" ht="15" x14ac:dyDescent="0.2">
      <c r="A61" s="7487"/>
      <c r="B61" s="4329" t="s">
        <v>7</v>
      </c>
      <c r="C61" s="3421">
        <v>0</v>
      </c>
      <c r="D61" s="3422">
        <v>0</v>
      </c>
      <c r="E61" s="3423">
        <v>0</v>
      </c>
      <c r="F61" s="4330">
        <f t="shared" si="1"/>
        <v>0</v>
      </c>
    </row>
    <row r="62" spans="1:6" ht="15" x14ac:dyDescent="0.2">
      <c r="A62" s="7487"/>
      <c r="B62" s="4329" t="s">
        <v>676</v>
      </c>
      <c r="C62" s="3421">
        <v>0</v>
      </c>
      <c r="D62" s="3422">
        <v>3991304.35</v>
      </c>
      <c r="E62" s="3423">
        <v>5398202.9700000007</v>
      </c>
      <c r="F62" s="4330">
        <f t="shared" si="1"/>
        <v>9389507.3200000003</v>
      </c>
    </row>
    <row r="63" spans="1:6" ht="15" x14ac:dyDescent="0.2">
      <c r="A63" s="7488"/>
      <c r="B63" s="4334" t="s">
        <v>1569</v>
      </c>
      <c r="C63" s="3421">
        <v>588000</v>
      </c>
      <c r="D63" s="3422">
        <v>225000</v>
      </c>
      <c r="E63" s="3423">
        <v>8356508.0899999999</v>
      </c>
      <c r="F63" s="4331">
        <f t="shared" si="1"/>
        <v>9169508.0899999999</v>
      </c>
    </row>
    <row r="64" spans="1:6" ht="21" customHeight="1" x14ac:dyDescent="0.2">
      <c r="A64" s="5080" t="s">
        <v>671</v>
      </c>
      <c r="B64" s="4342" t="s">
        <v>160</v>
      </c>
      <c r="C64" s="4346">
        <v>0</v>
      </c>
      <c r="D64" s="5081">
        <v>0</v>
      </c>
      <c r="E64" s="4346">
        <v>2494000</v>
      </c>
      <c r="F64" s="5082">
        <f t="shared" si="1"/>
        <v>2494000</v>
      </c>
    </row>
    <row r="65" spans="1:6" ht="15" x14ac:dyDescent="0.2">
      <c r="A65" s="7515" t="s">
        <v>573</v>
      </c>
      <c r="B65" s="7474"/>
      <c r="C65" s="4343">
        <f>C37+C42+C47+C53+C58+C64</f>
        <v>83680140.38000001</v>
      </c>
      <c r="D65" s="4343">
        <f>D37+D42+D47+D53+D58+D64</f>
        <v>32517225.670000002</v>
      </c>
      <c r="E65" s="4343">
        <f>E37+E42+E47+E53+E58+E64</f>
        <v>174517523.32999998</v>
      </c>
      <c r="F65" s="4343">
        <f>F37+F42+F47+F53+F58+F64</f>
        <v>290714889.38</v>
      </c>
    </row>
    <row r="66" spans="1:6" x14ac:dyDescent="0.2">
      <c r="A66" s="4344" t="s">
        <v>1570</v>
      </c>
      <c r="B66" s="184"/>
      <c r="C66" s="4345"/>
      <c r="D66" s="184"/>
      <c r="E66" s="184"/>
      <c r="F66" s="184"/>
    </row>
    <row r="67" spans="1:6" ht="18.75" x14ac:dyDescent="0.2">
      <c r="A67" s="2602"/>
      <c r="B67" s="2601"/>
      <c r="C67" s="2601"/>
      <c r="D67" s="2601"/>
      <c r="E67" s="2601"/>
      <c r="F67" s="2601"/>
    </row>
    <row r="68" spans="1:6" ht="18.75" x14ac:dyDescent="0.2">
      <c r="A68" s="2602"/>
      <c r="B68" s="2601"/>
      <c r="C68" s="2601"/>
      <c r="D68" s="2601"/>
      <c r="E68" s="2601"/>
      <c r="F68" s="2601"/>
    </row>
    <row r="69" spans="1:6" ht="15.75" x14ac:dyDescent="0.2">
      <c r="A69" s="4323" t="s">
        <v>51</v>
      </c>
      <c r="B69" s="4324" t="s">
        <v>685</v>
      </c>
      <c r="C69" s="4323" t="s">
        <v>789</v>
      </c>
      <c r="D69" s="4323" t="s">
        <v>597</v>
      </c>
      <c r="E69" s="4323" t="s">
        <v>707</v>
      </c>
      <c r="F69" s="4325" t="s">
        <v>1391</v>
      </c>
    </row>
    <row r="70" spans="1:6" ht="15" x14ac:dyDescent="0.2">
      <c r="A70" s="7490" t="s">
        <v>161</v>
      </c>
      <c r="B70" s="4326" t="s">
        <v>160</v>
      </c>
      <c r="C70" s="4327">
        <v>15691746.49</v>
      </c>
      <c r="D70" s="4327">
        <v>10053315.49</v>
      </c>
      <c r="E70" s="4327">
        <v>7077457.1699999999</v>
      </c>
      <c r="F70" s="4328">
        <v>32822519.149999999</v>
      </c>
    </row>
    <row r="71" spans="1:6" ht="15" x14ac:dyDescent="0.2">
      <c r="A71" s="7476"/>
      <c r="B71" s="4329" t="s">
        <v>5</v>
      </c>
      <c r="C71" s="3421">
        <v>12534228.49</v>
      </c>
      <c r="D71" s="3422">
        <v>4231102.2300000004</v>
      </c>
      <c r="E71" s="3423">
        <v>4739408.83</v>
      </c>
      <c r="F71" s="4330">
        <v>21504739.550000001</v>
      </c>
    </row>
    <row r="72" spans="1:6" ht="15" x14ac:dyDescent="0.2">
      <c r="A72" s="7476"/>
      <c r="B72" s="4329" t="s">
        <v>6</v>
      </c>
      <c r="C72" s="3421">
        <v>1978518</v>
      </c>
      <c r="D72" s="3422">
        <v>3498522</v>
      </c>
      <c r="E72" s="3423">
        <v>545981.67000000004</v>
      </c>
      <c r="F72" s="4330">
        <v>6023021.6699999999</v>
      </c>
    </row>
    <row r="73" spans="1:6" ht="15" x14ac:dyDescent="0.2">
      <c r="A73" s="7477"/>
      <c r="B73" s="4329" t="s">
        <v>7</v>
      </c>
      <c r="C73" s="3421">
        <v>1179000</v>
      </c>
      <c r="D73" s="3422">
        <v>2323691.2599999998</v>
      </c>
      <c r="E73" s="3423">
        <v>1792066.67</v>
      </c>
      <c r="F73" s="4331">
        <v>5294757.93</v>
      </c>
    </row>
    <row r="74" spans="1:6" ht="15" x14ac:dyDescent="0.2">
      <c r="A74" s="7491" t="s">
        <v>407</v>
      </c>
      <c r="B74" s="4322" t="s">
        <v>160</v>
      </c>
      <c r="C74" s="4332">
        <v>12248378.780000001</v>
      </c>
      <c r="D74" s="4332">
        <v>4602822</v>
      </c>
      <c r="E74" s="4332">
        <v>2037929.14</v>
      </c>
      <c r="F74" s="4333">
        <v>18889129.920000002</v>
      </c>
    </row>
    <row r="75" spans="1:6" ht="15" x14ac:dyDescent="0.2">
      <c r="A75" s="7479"/>
      <c r="B75" s="4329" t="s">
        <v>9</v>
      </c>
      <c r="C75" s="3421">
        <v>0</v>
      </c>
      <c r="D75" s="3422">
        <v>1429587</v>
      </c>
      <c r="E75" s="3423">
        <v>0</v>
      </c>
      <c r="F75" s="4330">
        <v>1429587</v>
      </c>
    </row>
    <row r="76" spans="1:6" ht="15" x14ac:dyDescent="0.2">
      <c r="A76" s="7479"/>
      <c r="B76" s="4329" t="s">
        <v>74</v>
      </c>
      <c r="C76" s="3421">
        <v>10549378.780000001</v>
      </c>
      <c r="D76" s="3422">
        <v>1084000</v>
      </c>
      <c r="E76" s="3423">
        <v>1957047.8599999999</v>
      </c>
      <c r="F76" s="4330">
        <v>13590426.640000001</v>
      </c>
    </row>
    <row r="77" spans="1:6" ht="15" x14ac:dyDescent="0.2">
      <c r="A77" s="7479"/>
      <c r="B77" s="4329" t="s">
        <v>6</v>
      </c>
      <c r="C77" s="3421">
        <v>1699000</v>
      </c>
      <c r="D77" s="3422">
        <v>2089235</v>
      </c>
      <c r="E77" s="3423">
        <v>67903.23</v>
      </c>
      <c r="F77" s="4330">
        <v>3856138.23</v>
      </c>
    </row>
    <row r="78" spans="1:6" ht="15" x14ac:dyDescent="0.2">
      <c r="A78" s="7480"/>
      <c r="B78" s="4334" t="s">
        <v>676</v>
      </c>
      <c r="C78" s="3421">
        <v>0</v>
      </c>
      <c r="D78" s="3422">
        <v>0</v>
      </c>
      <c r="E78" s="3423">
        <v>12978.05</v>
      </c>
      <c r="F78" s="4331">
        <v>12978.05</v>
      </c>
    </row>
    <row r="79" spans="1:6" ht="15" x14ac:dyDescent="0.2">
      <c r="A79" s="7492" t="s">
        <v>162</v>
      </c>
      <c r="B79" s="4320" t="s">
        <v>160</v>
      </c>
      <c r="C79" s="4335">
        <v>112250971.52</v>
      </c>
      <c r="D79" s="4335">
        <v>12336639.439999999</v>
      </c>
      <c r="E79" s="4335">
        <v>61882870.219999999</v>
      </c>
      <c r="F79" s="4336">
        <v>186470481.18000001</v>
      </c>
    </row>
    <row r="80" spans="1:6" ht="15" x14ac:dyDescent="0.2">
      <c r="A80" s="7482"/>
      <c r="B80" s="4329" t="s">
        <v>5</v>
      </c>
      <c r="C80" s="3421">
        <v>85547818.859999999</v>
      </c>
      <c r="D80" s="3422">
        <v>4203761</v>
      </c>
      <c r="E80" s="3423">
        <v>16020184.84</v>
      </c>
      <c r="F80" s="4330">
        <v>105771764.7</v>
      </c>
    </row>
    <row r="81" spans="1:6" ht="15" x14ac:dyDescent="0.2">
      <c r="A81" s="7482"/>
      <c r="B81" s="4329" t="s">
        <v>11</v>
      </c>
      <c r="C81" s="3421">
        <v>20123089.91</v>
      </c>
      <c r="D81" s="3422">
        <v>4502283</v>
      </c>
      <c r="E81" s="3423">
        <v>21342884.32</v>
      </c>
      <c r="F81" s="4330">
        <v>45968257.230000004</v>
      </c>
    </row>
    <row r="82" spans="1:6" ht="15" x14ac:dyDescent="0.2">
      <c r="A82" s="7482"/>
      <c r="B82" s="4329" t="s">
        <v>6</v>
      </c>
      <c r="C82" s="3421">
        <v>6580062.75</v>
      </c>
      <c r="D82" s="3422">
        <v>2130595.44</v>
      </c>
      <c r="E82" s="3423">
        <v>15391791.789999999</v>
      </c>
      <c r="F82" s="4330">
        <v>24102449.979999997</v>
      </c>
    </row>
    <row r="83" spans="1:6" ht="15" x14ac:dyDescent="0.2">
      <c r="A83" s="7483"/>
      <c r="B83" s="4334" t="s">
        <v>676</v>
      </c>
      <c r="C83" s="3421">
        <v>0</v>
      </c>
      <c r="D83" s="3422">
        <v>1500000</v>
      </c>
      <c r="E83" s="3423">
        <v>9128009.2700000014</v>
      </c>
      <c r="F83" s="4331">
        <v>10628009.270000001</v>
      </c>
    </row>
    <row r="84" spans="1:6" ht="15" x14ac:dyDescent="0.2">
      <c r="A84" s="7493" t="s">
        <v>408</v>
      </c>
      <c r="B84" s="4337" t="s">
        <v>160</v>
      </c>
      <c r="C84" s="4338">
        <v>9264572.0199999996</v>
      </c>
      <c r="D84" s="4338">
        <v>490087</v>
      </c>
      <c r="E84" s="4338">
        <v>1353729.26</v>
      </c>
      <c r="F84" s="4339">
        <v>11108388.279999999</v>
      </c>
    </row>
    <row r="85" spans="1:6" ht="15" x14ac:dyDescent="0.2">
      <c r="A85" s="6754"/>
      <c r="B85" s="4329" t="s">
        <v>5</v>
      </c>
      <c r="C85" s="3421">
        <v>0</v>
      </c>
      <c r="D85" s="3421">
        <v>40000</v>
      </c>
      <c r="E85" s="3421">
        <v>0</v>
      </c>
      <c r="F85" s="4330">
        <v>40000</v>
      </c>
    </row>
    <row r="86" spans="1:6" ht="15" x14ac:dyDescent="0.2">
      <c r="A86" s="6754"/>
      <c r="B86" s="4329" t="s">
        <v>11</v>
      </c>
      <c r="C86" s="3421">
        <v>384169.98</v>
      </c>
      <c r="D86" s="3421">
        <v>450087</v>
      </c>
      <c r="E86" s="3421">
        <v>283500</v>
      </c>
      <c r="F86" s="4330">
        <v>1117756.98</v>
      </c>
    </row>
    <row r="87" spans="1:6" ht="15" x14ac:dyDescent="0.2">
      <c r="A87" s="6754"/>
      <c r="B87" s="4329" t="s">
        <v>6</v>
      </c>
      <c r="C87" s="3421">
        <v>0</v>
      </c>
      <c r="D87" s="3421">
        <v>0</v>
      </c>
      <c r="E87" s="3421">
        <v>1053056.8500000001</v>
      </c>
      <c r="F87" s="4330">
        <v>1053056.8500000001</v>
      </c>
    </row>
    <row r="88" spans="1:6" ht="15" x14ac:dyDescent="0.2">
      <c r="A88" s="7485"/>
      <c r="B88" s="4334" t="s">
        <v>676</v>
      </c>
      <c r="C88" s="3421">
        <v>8880402.0399999991</v>
      </c>
      <c r="D88" s="3421">
        <v>0</v>
      </c>
      <c r="E88" s="3421">
        <v>17172.41</v>
      </c>
      <c r="F88" s="4330">
        <v>8897574.4499999993</v>
      </c>
    </row>
    <row r="89" spans="1:6" ht="15" x14ac:dyDescent="0.2">
      <c r="A89" s="7494" t="s">
        <v>163</v>
      </c>
      <c r="B89" s="4321" t="s">
        <v>160</v>
      </c>
      <c r="C89" s="4340">
        <v>12748810.75</v>
      </c>
      <c r="D89" s="4340">
        <v>20368552.18</v>
      </c>
      <c r="E89" s="4340">
        <v>27992782.59</v>
      </c>
      <c r="F89" s="4341">
        <v>61110145.519999996</v>
      </c>
    </row>
    <row r="90" spans="1:6" ht="15" x14ac:dyDescent="0.2">
      <c r="A90" s="7487"/>
      <c r="B90" s="4329" t="s">
        <v>11</v>
      </c>
      <c r="C90" s="3421">
        <v>5101877.5699999994</v>
      </c>
      <c r="D90" s="3422">
        <v>3214463.25</v>
      </c>
      <c r="E90" s="3423">
        <v>6674104.0199999996</v>
      </c>
      <c r="F90" s="4330">
        <v>14990444.84</v>
      </c>
    </row>
    <row r="91" spans="1:6" ht="15" x14ac:dyDescent="0.2">
      <c r="A91" s="7487"/>
      <c r="B91" s="4329" t="s">
        <v>6</v>
      </c>
      <c r="C91" s="3421">
        <v>7585933.1799999997</v>
      </c>
      <c r="D91" s="3422">
        <v>1607088.9300000002</v>
      </c>
      <c r="E91" s="3423">
        <v>12485349.879999999</v>
      </c>
      <c r="F91" s="4330">
        <v>21678371.989999998</v>
      </c>
    </row>
    <row r="92" spans="1:6" ht="15" x14ac:dyDescent="0.2">
      <c r="A92" s="7487"/>
      <c r="B92" s="4329" t="s">
        <v>7</v>
      </c>
      <c r="C92" s="3421">
        <v>61000</v>
      </c>
      <c r="D92" s="3422">
        <v>427000</v>
      </c>
      <c r="E92" s="3423">
        <v>4814643.16</v>
      </c>
      <c r="F92" s="4330">
        <v>5302643.16</v>
      </c>
    </row>
    <row r="93" spans="1:6" ht="15" x14ac:dyDescent="0.2">
      <c r="A93" s="7488"/>
      <c r="B93" s="4334" t="s">
        <v>676</v>
      </c>
      <c r="C93" s="3421">
        <v>0</v>
      </c>
      <c r="D93" s="3422">
        <v>15120000</v>
      </c>
      <c r="E93" s="3423">
        <v>4018685.5300000003</v>
      </c>
      <c r="F93" s="4331">
        <v>19138685.530000001</v>
      </c>
    </row>
    <row r="94" spans="1:6" ht="15" x14ac:dyDescent="0.2">
      <c r="A94" s="4349" t="s">
        <v>671</v>
      </c>
      <c r="B94" s="4342" t="s">
        <v>160</v>
      </c>
      <c r="C94" s="4346">
        <v>450000</v>
      </c>
      <c r="D94" s="4347">
        <v>0</v>
      </c>
      <c r="E94" s="4346">
        <v>23418729.120000001</v>
      </c>
      <c r="F94" s="4348">
        <v>23868729.120000001</v>
      </c>
    </row>
    <row r="95" spans="1:6" ht="15" x14ac:dyDescent="0.2">
      <c r="A95" s="7473" t="s">
        <v>573</v>
      </c>
      <c r="B95" s="7489"/>
      <c r="C95" s="4343">
        <v>162654479.56</v>
      </c>
      <c r="D95" s="4343">
        <v>47851416.109999999</v>
      </c>
      <c r="E95" s="4343">
        <v>123763497.50000001</v>
      </c>
      <c r="F95" s="4343">
        <v>334269393.17000002</v>
      </c>
    </row>
    <row r="96" spans="1:6" x14ac:dyDescent="0.2">
      <c r="A96" s="4344" t="s">
        <v>1446</v>
      </c>
      <c r="B96" s="184"/>
      <c r="C96" s="4345"/>
      <c r="D96" s="184"/>
      <c r="E96" s="184"/>
      <c r="F96" s="184"/>
    </row>
    <row r="97" spans="1:6" ht="18.75" x14ac:dyDescent="0.2">
      <c r="A97" s="2602"/>
      <c r="B97" s="2601"/>
      <c r="C97" s="2601"/>
      <c r="D97" s="2601"/>
      <c r="E97" s="2601"/>
      <c r="F97" s="2601"/>
    </row>
    <row r="98" spans="1:6" ht="18.75" x14ac:dyDescent="0.2">
      <c r="A98" s="2602"/>
      <c r="B98" s="2601"/>
      <c r="C98" s="2601"/>
      <c r="D98" s="2601"/>
      <c r="E98" s="2601"/>
      <c r="F98" s="2601"/>
    </row>
    <row r="99" spans="1:6" ht="20.25" customHeight="1" x14ac:dyDescent="0.2">
      <c r="A99" s="3377" t="s">
        <v>51</v>
      </c>
      <c r="B99" s="3378" t="s">
        <v>685</v>
      </c>
      <c r="C99" s="3377" t="s">
        <v>789</v>
      </c>
      <c r="D99" s="3377" t="s">
        <v>597</v>
      </c>
      <c r="E99" s="3377" t="s">
        <v>707</v>
      </c>
      <c r="F99" s="3453" t="s">
        <v>845</v>
      </c>
    </row>
    <row r="100" spans="1:6" ht="15" x14ac:dyDescent="0.2">
      <c r="A100" s="7495" t="s">
        <v>161</v>
      </c>
      <c r="B100" s="3375" t="s">
        <v>160</v>
      </c>
      <c r="C100" s="3418">
        <f>C103+C102+C101</f>
        <v>17789133.18</v>
      </c>
      <c r="D100" s="3419">
        <f>D103+D102+D101</f>
        <v>3600021.73</v>
      </c>
      <c r="E100" s="3420">
        <f>E103+E102+E101</f>
        <v>5611025.9800000004</v>
      </c>
      <c r="F100" s="2573">
        <f>F103+F102+F101</f>
        <v>27000180.890000001</v>
      </c>
    </row>
    <row r="101" spans="1:6" ht="15" x14ac:dyDescent="0.2">
      <c r="A101" s="7496"/>
      <c r="B101" s="1895" t="s">
        <v>5</v>
      </c>
      <c r="C101" s="3421">
        <v>11146044.289999999</v>
      </c>
      <c r="D101" s="3422">
        <v>1065666.73</v>
      </c>
      <c r="E101" s="3423">
        <v>4136533.6</v>
      </c>
      <c r="F101" s="1826">
        <f>+C101+D101+E101</f>
        <v>16348244.619999999</v>
      </c>
    </row>
    <row r="102" spans="1:6" ht="15" x14ac:dyDescent="0.2">
      <c r="A102" s="7496"/>
      <c r="B102" s="1895" t="s">
        <v>6</v>
      </c>
      <c r="C102" s="3421">
        <v>5414429.8899999997</v>
      </c>
      <c r="D102" s="3422">
        <v>1828244</v>
      </c>
      <c r="E102" s="3423">
        <v>1224492.3799999999</v>
      </c>
      <c r="F102" s="1826">
        <f>+C102+D102+E102</f>
        <v>8467166.2699999996</v>
      </c>
    </row>
    <row r="103" spans="1:6" ht="15" x14ac:dyDescent="0.2">
      <c r="A103" s="7497"/>
      <c r="B103" s="1895" t="s">
        <v>7</v>
      </c>
      <c r="C103" s="3424">
        <v>1228659</v>
      </c>
      <c r="D103" s="3425">
        <v>706111</v>
      </c>
      <c r="E103" s="3426">
        <v>250000</v>
      </c>
      <c r="F103" s="1829">
        <f>+C103+D103+E103</f>
        <v>2184770</v>
      </c>
    </row>
    <row r="104" spans="1:6" ht="15" x14ac:dyDescent="0.2">
      <c r="A104" s="7498" t="s">
        <v>407</v>
      </c>
      <c r="B104" s="3379" t="s">
        <v>160</v>
      </c>
      <c r="C104" s="3427">
        <f>+C105+C106+C107+C108</f>
        <v>5410324.1299999999</v>
      </c>
      <c r="D104" s="3428">
        <f>+D105+D106+D107+D108</f>
        <v>1898306.61</v>
      </c>
      <c r="E104" s="3429">
        <f>+E108+E107+E106+E105</f>
        <v>268388.11</v>
      </c>
      <c r="F104" s="2576">
        <f>+F108+F107+F106+F105</f>
        <v>7577018.8499999996</v>
      </c>
    </row>
    <row r="105" spans="1:6" ht="15" x14ac:dyDescent="0.2">
      <c r="A105" s="7499"/>
      <c r="B105" s="1895" t="s">
        <v>9</v>
      </c>
      <c r="C105" s="3421"/>
      <c r="D105" s="3422">
        <v>1818306.61</v>
      </c>
      <c r="E105" s="3423">
        <v>124751.75</v>
      </c>
      <c r="F105" s="1826">
        <f>+C105+D105+E105</f>
        <v>1943058.36</v>
      </c>
    </row>
    <row r="106" spans="1:6" ht="15" x14ac:dyDescent="0.2">
      <c r="A106" s="7499"/>
      <c r="B106" s="1895" t="s">
        <v>74</v>
      </c>
      <c r="C106" s="3421">
        <v>1328028.1299999999</v>
      </c>
      <c r="D106" s="3422">
        <v>40000</v>
      </c>
      <c r="E106" s="3423"/>
      <c r="F106" s="1826">
        <f>+C106+D106+E106</f>
        <v>1368028.13</v>
      </c>
    </row>
    <row r="107" spans="1:6" ht="15" x14ac:dyDescent="0.2">
      <c r="A107" s="7499"/>
      <c r="B107" s="1895" t="s">
        <v>6</v>
      </c>
      <c r="C107" s="3421">
        <v>1345296</v>
      </c>
      <c r="D107" s="3422">
        <v>40000</v>
      </c>
      <c r="E107" s="3423"/>
      <c r="F107" s="1826">
        <f>+C107+D107+E107</f>
        <v>1385296</v>
      </c>
    </row>
    <row r="108" spans="1:6" ht="15" x14ac:dyDescent="0.2">
      <c r="A108" s="7500"/>
      <c r="B108" s="1896" t="s">
        <v>676</v>
      </c>
      <c r="C108" s="3424">
        <v>2737000</v>
      </c>
      <c r="D108" s="3425"/>
      <c r="E108" s="3426">
        <v>143636.35999999999</v>
      </c>
      <c r="F108" s="1829">
        <f>+C108+D108+E108</f>
        <v>2880636.36</v>
      </c>
    </row>
    <row r="109" spans="1:6" ht="15" x14ac:dyDescent="0.2">
      <c r="A109" s="7501" t="s">
        <v>162</v>
      </c>
      <c r="B109" s="3376" t="s">
        <v>160</v>
      </c>
      <c r="C109" s="3430">
        <f>+C110+C111+C112+C113</f>
        <v>130801864.45999999</v>
      </c>
      <c r="D109" s="3431">
        <f>+D110+D111+D112+D113</f>
        <v>6107504.1099999994</v>
      </c>
      <c r="E109" s="3432">
        <f>+E113+E112+E111+E110</f>
        <v>21483205.110000003</v>
      </c>
      <c r="F109" s="2582">
        <f>+F113+F112+F111+F110</f>
        <v>158392573.67999998</v>
      </c>
    </row>
    <row r="110" spans="1:6" ht="15" x14ac:dyDescent="0.2">
      <c r="A110" s="7502"/>
      <c r="B110" s="1895" t="s">
        <v>5</v>
      </c>
      <c r="C110" s="3421">
        <v>93656180.349999994</v>
      </c>
      <c r="D110" s="3422">
        <v>2512654.63</v>
      </c>
      <c r="E110" s="3423">
        <v>3712352.35</v>
      </c>
      <c r="F110" s="1826">
        <f>+C110+D110+E110</f>
        <v>99881187.329999983</v>
      </c>
    </row>
    <row r="111" spans="1:6" ht="15" x14ac:dyDescent="0.2">
      <c r="A111" s="7502"/>
      <c r="B111" s="1895" t="s">
        <v>11</v>
      </c>
      <c r="C111" s="3421">
        <v>24529190.199999999</v>
      </c>
      <c r="D111" s="3422">
        <v>2021122</v>
      </c>
      <c r="E111" s="3423">
        <v>2477984.11</v>
      </c>
      <c r="F111" s="1826">
        <f>+C111+D111+E111</f>
        <v>29028296.309999999</v>
      </c>
    </row>
    <row r="112" spans="1:6" ht="15" x14ac:dyDescent="0.2">
      <c r="A112" s="7502"/>
      <c r="B112" s="1895" t="s">
        <v>6</v>
      </c>
      <c r="C112" s="3421">
        <v>12176493.91</v>
      </c>
      <c r="D112" s="3422">
        <v>1573727.48</v>
      </c>
      <c r="E112" s="3423">
        <v>4539057.84</v>
      </c>
      <c r="F112" s="1826">
        <f>+C112+D112+E112</f>
        <v>18289279.23</v>
      </c>
    </row>
    <row r="113" spans="1:6" ht="15" x14ac:dyDescent="0.2">
      <c r="A113" s="7503"/>
      <c r="B113" s="1896" t="s">
        <v>676</v>
      </c>
      <c r="C113" s="3424">
        <v>440000</v>
      </c>
      <c r="D113" s="3425"/>
      <c r="E113" s="3426">
        <v>10753810.810000001</v>
      </c>
      <c r="F113" s="1829">
        <f>+C113+D113+E113</f>
        <v>11193810.810000001</v>
      </c>
    </row>
    <row r="114" spans="1:6" ht="15" x14ac:dyDescent="0.2">
      <c r="A114" s="7262" t="s">
        <v>408</v>
      </c>
      <c r="B114" s="3380" t="s">
        <v>160</v>
      </c>
      <c r="C114" s="3433">
        <f>C115+C116+C117+C118</f>
        <v>1924698</v>
      </c>
      <c r="D114" s="3433">
        <f>D115+D116+D117+D118</f>
        <v>864561</v>
      </c>
      <c r="E114" s="3433">
        <f>E115+E116+E117+E118</f>
        <v>0</v>
      </c>
      <c r="F114" s="2585">
        <f>SUM(C114:E114)</f>
        <v>2789259</v>
      </c>
    </row>
    <row r="115" spans="1:6" ht="15" x14ac:dyDescent="0.2">
      <c r="A115" s="7263"/>
      <c r="B115" s="1895" t="s">
        <v>5</v>
      </c>
      <c r="C115" s="3421"/>
      <c r="D115" s="3421">
        <v>80000</v>
      </c>
      <c r="E115" s="3421"/>
      <c r="F115" s="1826">
        <f>+C115+D115+E115</f>
        <v>80000</v>
      </c>
    </row>
    <row r="116" spans="1:6" ht="15" x14ac:dyDescent="0.2">
      <c r="A116" s="7263"/>
      <c r="B116" s="1895" t="s">
        <v>11</v>
      </c>
      <c r="C116" s="3421">
        <v>1714698</v>
      </c>
      <c r="D116" s="3421"/>
      <c r="E116" s="3421"/>
      <c r="F116" s="1826">
        <f>+C116+D116+E116</f>
        <v>1714698</v>
      </c>
    </row>
    <row r="117" spans="1:6" ht="15" x14ac:dyDescent="0.2">
      <c r="A117" s="7263"/>
      <c r="B117" s="1895" t="s">
        <v>6</v>
      </c>
      <c r="C117" s="3421">
        <v>210000</v>
      </c>
      <c r="D117" s="3422">
        <v>784561</v>
      </c>
      <c r="E117" s="3434"/>
      <c r="F117" s="1826">
        <f>+C117+D117+E117</f>
        <v>994561</v>
      </c>
    </row>
    <row r="118" spans="1:6" ht="15" x14ac:dyDescent="0.2">
      <c r="A118" s="7264"/>
      <c r="B118" s="1896" t="s">
        <v>676</v>
      </c>
      <c r="C118" s="3424"/>
      <c r="D118" s="3425"/>
      <c r="E118" s="3435"/>
      <c r="F118" s="1829"/>
    </row>
    <row r="119" spans="1:6" ht="15" x14ac:dyDescent="0.2">
      <c r="A119" s="7259" t="s">
        <v>163</v>
      </c>
      <c r="B119" s="3374" t="s">
        <v>160</v>
      </c>
      <c r="C119" s="3436">
        <f>+C122+C121+C120+C123</f>
        <v>22218023.149999999</v>
      </c>
      <c r="D119" s="3437">
        <f>+D122+D121+D120+D123</f>
        <v>3899169.4299999997</v>
      </c>
      <c r="E119" s="3438">
        <f>+E122+E121+E120+E123</f>
        <v>24853748.830000002</v>
      </c>
      <c r="F119" s="2579">
        <f>SUM(C119:E119)</f>
        <v>50970941.409999996</v>
      </c>
    </row>
    <row r="120" spans="1:6" ht="15" x14ac:dyDescent="0.2">
      <c r="A120" s="7260"/>
      <c r="B120" s="1895" t="s">
        <v>11</v>
      </c>
      <c r="C120" s="3421">
        <v>10993677.58</v>
      </c>
      <c r="D120" s="3422">
        <v>2090787.43</v>
      </c>
      <c r="E120" s="3423">
        <v>494655.17</v>
      </c>
      <c r="F120" s="1826">
        <f>+C120+D120+E120</f>
        <v>13579120.18</v>
      </c>
    </row>
    <row r="121" spans="1:6" ht="15" x14ac:dyDescent="0.2">
      <c r="A121" s="7260"/>
      <c r="B121" s="1895" t="s">
        <v>6</v>
      </c>
      <c r="C121" s="3421">
        <v>10110345.57</v>
      </c>
      <c r="D121" s="3422">
        <v>895821</v>
      </c>
      <c r="E121" s="3423">
        <v>16564083.58</v>
      </c>
      <c r="F121" s="1826">
        <f>+C121+D121+E121</f>
        <v>27570250.149999999</v>
      </c>
    </row>
    <row r="122" spans="1:6" ht="15" x14ac:dyDescent="0.2">
      <c r="A122" s="7260"/>
      <c r="B122" s="1895" t="s">
        <v>7</v>
      </c>
      <c r="C122" s="3421"/>
      <c r="D122" s="3422">
        <v>912561</v>
      </c>
      <c r="E122" s="3423">
        <v>3756317.9</v>
      </c>
      <c r="F122" s="1826">
        <f>+C122+D122+E122</f>
        <v>4668878.9000000004</v>
      </c>
    </row>
    <row r="123" spans="1:6" ht="15" x14ac:dyDescent="0.2">
      <c r="A123" s="7261"/>
      <c r="B123" s="1896" t="s">
        <v>676</v>
      </c>
      <c r="C123" s="3424">
        <v>1114000</v>
      </c>
      <c r="D123" s="3425"/>
      <c r="E123" s="3426">
        <v>4038692.18</v>
      </c>
      <c r="F123" s="1829">
        <f>+C123+D123+E123</f>
        <v>5152692.18</v>
      </c>
    </row>
    <row r="124" spans="1:6" ht="15" x14ac:dyDescent="0.2">
      <c r="A124" s="2588" t="s">
        <v>671</v>
      </c>
      <c r="B124" s="3417" t="s">
        <v>160</v>
      </c>
      <c r="C124" s="3451">
        <v>1366806</v>
      </c>
      <c r="D124" s="3452"/>
      <c r="E124" s="3451">
        <v>18343386.16</v>
      </c>
      <c r="F124" s="3439">
        <f>+C124+D124+E124</f>
        <v>19710192.16</v>
      </c>
    </row>
    <row r="125" spans="1:6" ht="20.100000000000001" customHeight="1" x14ac:dyDescent="0.2">
      <c r="A125" s="7254" t="s">
        <v>573</v>
      </c>
      <c r="B125" s="7255"/>
      <c r="C125" s="1687">
        <f>SUM(C100,C104,C109,C114,C119,C124)</f>
        <v>179510848.91999999</v>
      </c>
      <c r="D125" s="1687">
        <f>SUM(D100,D104,D109,D114,D119,D124)</f>
        <v>16369562.879999999</v>
      </c>
      <c r="E125" s="1687">
        <f>SUM(E100,E104,E109,E114,E119,E124)</f>
        <v>70559754.189999998</v>
      </c>
      <c r="F125" s="1687">
        <f>SUM(F100,F104,F109,F114,F119,F124)</f>
        <v>266440165.98999998</v>
      </c>
    </row>
    <row r="126" spans="1:6" ht="15" customHeight="1" x14ac:dyDescent="0.2">
      <c r="A126" s="441" t="s">
        <v>1244</v>
      </c>
      <c r="B126" s="23"/>
      <c r="C126" s="23"/>
      <c r="D126" s="23"/>
      <c r="E126" s="23"/>
      <c r="F126" s="23"/>
    </row>
    <row r="127" spans="1:6" ht="15" customHeight="1" x14ac:dyDescent="0.2">
      <c r="A127" s="2602"/>
      <c r="B127" s="2601"/>
      <c r="C127" s="2601"/>
      <c r="D127" s="2601"/>
      <c r="E127" s="2601"/>
      <c r="F127" s="2601"/>
    </row>
    <row r="128" spans="1:6" ht="15.75" customHeight="1" x14ac:dyDescent="0.2">
      <c r="A128" s="1824"/>
      <c r="B128" s="1824"/>
      <c r="C128" s="1824"/>
      <c r="D128" s="1824"/>
      <c r="E128" s="1824"/>
      <c r="F128" s="1824"/>
    </row>
    <row r="129" spans="1:6" ht="15.75" customHeight="1" x14ac:dyDescent="0.2">
      <c r="A129" s="1386" t="s">
        <v>51</v>
      </c>
      <c r="B129" s="1786" t="s">
        <v>685</v>
      </c>
      <c r="C129" s="1386" t="s">
        <v>789</v>
      </c>
      <c r="D129" s="1386" t="s">
        <v>597</v>
      </c>
      <c r="E129" s="1386" t="s">
        <v>707</v>
      </c>
      <c r="F129" s="3453" t="s">
        <v>800</v>
      </c>
    </row>
    <row r="130" spans="1:6" ht="15.75" customHeight="1" x14ac:dyDescent="0.2">
      <c r="A130" s="7495" t="s">
        <v>161</v>
      </c>
      <c r="B130" s="2561" t="s">
        <v>160</v>
      </c>
      <c r="C130" s="2573">
        <f>C133+C132+C131</f>
        <v>6154939.3399999999</v>
      </c>
      <c r="D130" s="2574">
        <f>D133+D132+D131</f>
        <v>11929784.07</v>
      </c>
      <c r="E130" s="2575">
        <f>E133+E132+E131</f>
        <v>6966310.6500000013</v>
      </c>
      <c r="F130" s="2573">
        <f>F133+F132+F131</f>
        <v>25051034.060000002</v>
      </c>
    </row>
    <row r="131" spans="1:6" ht="15.75" customHeight="1" x14ac:dyDescent="0.2">
      <c r="A131" s="7496"/>
      <c r="B131" s="1895" t="s">
        <v>5</v>
      </c>
      <c r="C131" s="1826">
        <v>4105171</v>
      </c>
      <c r="D131" s="1827">
        <v>4459670.1899999995</v>
      </c>
      <c r="E131" s="1828">
        <v>2923239.3800000008</v>
      </c>
      <c r="F131" s="1826">
        <f>+C131+D131+E131</f>
        <v>11488080.57</v>
      </c>
    </row>
    <row r="132" spans="1:6" ht="15.75" customHeight="1" x14ac:dyDescent="0.2">
      <c r="A132" s="7496"/>
      <c r="B132" s="1895" t="s">
        <v>6</v>
      </c>
      <c r="C132" s="1826">
        <v>2031768.34</v>
      </c>
      <c r="D132" s="1827">
        <v>4530756</v>
      </c>
      <c r="E132" s="1828">
        <v>4025158.1500000004</v>
      </c>
      <c r="F132" s="1826">
        <f>+C132+D132+E132</f>
        <v>10587682.49</v>
      </c>
    </row>
    <row r="133" spans="1:6" ht="15.75" customHeight="1" x14ac:dyDescent="0.2">
      <c r="A133" s="7497"/>
      <c r="B133" s="1895" t="s">
        <v>7</v>
      </c>
      <c r="C133" s="1829">
        <v>18000</v>
      </c>
      <c r="D133" s="1830">
        <v>2939357.88</v>
      </c>
      <c r="E133" s="1831">
        <v>17913.12</v>
      </c>
      <c r="F133" s="1829">
        <f>+C133+D133+E133</f>
        <v>2975271</v>
      </c>
    </row>
    <row r="134" spans="1:6" ht="15.75" customHeight="1" x14ac:dyDescent="0.2">
      <c r="A134" s="7498" t="s">
        <v>407</v>
      </c>
      <c r="B134" s="2563" t="s">
        <v>160</v>
      </c>
      <c r="C134" s="2576">
        <f>+C135+C136+C137+C138</f>
        <v>1422593</v>
      </c>
      <c r="D134" s="2577">
        <f>+D135+D136+D137+D138</f>
        <v>4355759</v>
      </c>
      <c r="E134" s="2578">
        <f>+E138+E137+E136+E135</f>
        <v>3247058.8800000004</v>
      </c>
      <c r="F134" s="2576">
        <f>+F138+F137+F136+F135</f>
        <v>9025410.879999999</v>
      </c>
    </row>
    <row r="135" spans="1:6" ht="15.75" customHeight="1" x14ac:dyDescent="0.2">
      <c r="A135" s="7499"/>
      <c r="B135" s="1895" t="s">
        <v>9</v>
      </c>
      <c r="C135" s="1826"/>
      <c r="D135" s="1827">
        <v>629637</v>
      </c>
      <c r="E135" s="1828"/>
      <c r="F135" s="1826">
        <f>+C135+D135+E135</f>
        <v>629637</v>
      </c>
    </row>
    <row r="136" spans="1:6" ht="15.75" customHeight="1" x14ac:dyDescent="0.2">
      <c r="A136" s="7499"/>
      <c r="B136" s="1895" t="s">
        <v>74</v>
      </c>
      <c r="C136" s="1826">
        <v>435100</v>
      </c>
      <c r="D136" s="1827">
        <v>2671211</v>
      </c>
      <c r="E136" s="1828">
        <v>2405068.6800000002</v>
      </c>
      <c r="F136" s="1826">
        <f>+C136+D136+E136</f>
        <v>5511379.6799999997</v>
      </c>
    </row>
    <row r="137" spans="1:6" ht="15.75" customHeight="1" x14ac:dyDescent="0.2">
      <c r="A137" s="7499"/>
      <c r="B137" s="1895" t="s">
        <v>6</v>
      </c>
      <c r="C137" s="1826">
        <v>115493</v>
      </c>
      <c r="D137" s="1827">
        <v>1054911</v>
      </c>
      <c r="E137" s="1828">
        <v>841990.20000000007</v>
      </c>
      <c r="F137" s="1826">
        <f>+C137+D137+E137</f>
        <v>2012394.2000000002</v>
      </c>
    </row>
    <row r="138" spans="1:6" ht="15.75" customHeight="1" x14ac:dyDescent="0.2">
      <c r="A138" s="7500"/>
      <c r="B138" s="1896" t="s">
        <v>676</v>
      </c>
      <c r="C138" s="1829">
        <v>872000</v>
      </c>
      <c r="D138" s="1830"/>
      <c r="E138" s="1831"/>
      <c r="F138" s="1829">
        <f>+C138+D138+E138</f>
        <v>872000</v>
      </c>
    </row>
    <row r="139" spans="1:6" ht="15.75" customHeight="1" x14ac:dyDescent="0.2">
      <c r="A139" s="7501" t="s">
        <v>162</v>
      </c>
      <c r="B139" s="2562" t="s">
        <v>160</v>
      </c>
      <c r="C139" s="2582">
        <f>+C140+C141+C142+C143</f>
        <v>58222623.220000006</v>
      </c>
      <c r="D139" s="2583">
        <f>+D140+D141+D142+D143</f>
        <v>18607209.43</v>
      </c>
      <c r="E139" s="2584">
        <f>+E143+E142+E141+E140</f>
        <v>34822147.730000004</v>
      </c>
      <c r="F139" s="2582">
        <f>+F143+F142+F141+F140</f>
        <v>111651980.38000001</v>
      </c>
    </row>
    <row r="140" spans="1:6" ht="15.75" customHeight="1" x14ac:dyDescent="0.2">
      <c r="A140" s="7502"/>
      <c r="B140" s="1895" t="s">
        <v>5</v>
      </c>
      <c r="C140" s="1826">
        <v>26820686.170000002</v>
      </c>
      <c r="D140" s="1827">
        <v>4981422.5999999996</v>
      </c>
      <c r="E140" s="1828">
        <v>6936098.370000001</v>
      </c>
      <c r="F140" s="1826">
        <f>+C140+D140+E140</f>
        <v>38738207.140000001</v>
      </c>
    </row>
    <row r="141" spans="1:6" ht="15.75" customHeight="1" x14ac:dyDescent="0.2">
      <c r="A141" s="7502"/>
      <c r="B141" s="1895" t="s">
        <v>11</v>
      </c>
      <c r="C141" s="1826">
        <v>21029427.449999999</v>
      </c>
      <c r="D141" s="1827">
        <v>6409992</v>
      </c>
      <c r="E141" s="1828">
        <v>2666748.02</v>
      </c>
      <c r="F141" s="1826">
        <f>+C141+D141+E141</f>
        <v>30106167.469999999</v>
      </c>
    </row>
    <row r="142" spans="1:6" ht="15.75" customHeight="1" x14ac:dyDescent="0.2">
      <c r="A142" s="7502"/>
      <c r="B142" s="1895" t="s">
        <v>6</v>
      </c>
      <c r="C142" s="1826">
        <v>9995009.5999999996</v>
      </c>
      <c r="D142" s="1827">
        <v>7215794.8300000001</v>
      </c>
      <c r="E142" s="1828">
        <v>19572878.41</v>
      </c>
      <c r="F142" s="1826">
        <f>+C142+D142+E142</f>
        <v>36783682.840000004</v>
      </c>
    </row>
    <row r="143" spans="1:6" ht="15.75" customHeight="1" x14ac:dyDescent="0.2">
      <c r="A143" s="7503"/>
      <c r="B143" s="1896" t="s">
        <v>676</v>
      </c>
      <c r="C143" s="1829">
        <v>377500</v>
      </c>
      <c r="D143" s="1830"/>
      <c r="E143" s="1831">
        <v>5646422.9299999997</v>
      </c>
      <c r="F143" s="1829">
        <f>+C143+D143+E143</f>
        <v>6023922.9299999997</v>
      </c>
    </row>
    <row r="144" spans="1:6" ht="15.75" customHeight="1" x14ac:dyDescent="0.2">
      <c r="A144" s="7262" t="s">
        <v>408</v>
      </c>
      <c r="B144" s="2564" t="s">
        <v>160</v>
      </c>
      <c r="C144" s="2585">
        <f>+C145+C146</f>
        <v>1134919.05</v>
      </c>
      <c r="D144" s="2586"/>
      <c r="E144" s="2587"/>
      <c r="F144" s="2585">
        <f>+F145+F146</f>
        <v>1134919.05</v>
      </c>
    </row>
    <row r="145" spans="1:6" ht="15.75" customHeight="1" x14ac:dyDescent="0.2">
      <c r="A145" s="7263"/>
      <c r="B145" s="1895" t="s">
        <v>11</v>
      </c>
      <c r="C145" s="1826">
        <v>923719.05</v>
      </c>
      <c r="D145" s="1827"/>
      <c r="E145" s="1832"/>
      <c r="F145" s="1826">
        <f>+C145+D145+E145</f>
        <v>923719.05</v>
      </c>
    </row>
    <row r="146" spans="1:6" ht="15.75" customHeight="1" x14ac:dyDescent="0.2">
      <c r="A146" s="7264"/>
      <c r="B146" s="1896" t="s">
        <v>676</v>
      </c>
      <c r="C146" s="1829">
        <v>211200</v>
      </c>
      <c r="D146" s="1830"/>
      <c r="E146" s="1833"/>
      <c r="F146" s="1829">
        <f>+C146+D146+E146</f>
        <v>211200</v>
      </c>
    </row>
    <row r="147" spans="1:6" ht="15.75" customHeight="1" x14ac:dyDescent="0.2">
      <c r="A147" s="7259" t="s">
        <v>163</v>
      </c>
      <c r="B147" s="2560" t="s">
        <v>160</v>
      </c>
      <c r="C147" s="2579">
        <f>+C150+C149+C148+C151</f>
        <v>23502690.960000001</v>
      </c>
      <c r="D147" s="2580">
        <f>+D150+D149+D148+D151</f>
        <v>14510991.82</v>
      </c>
      <c r="E147" s="2581">
        <f>+E150+E149+E148+E151</f>
        <v>26517036.219999999</v>
      </c>
      <c r="F147" s="2579">
        <f>+F150+F149+F148+F151</f>
        <v>64530719</v>
      </c>
    </row>
    <row r="148" spans="1:6" ht="15.75" customHeight="1" x14ac:dyDescent="0.2">
      <c r="A148" s="7260"/>
      <c r="B148" s="1895" t="s">
        <v>11</v>
      </c>
      <c r="C148" s="1826">
        <v>7142617.3099999996</v>
      </c>
      <c r="D148" s="1827">
        <v>3457437.8599999994</v>
      </c>
      <c r="E148" s="1828">
        <v>5502417.5999999996</v>
      </c>
      <c r="F148" s="1826">
        <f>+C148+D148+E148</f>
        <v>16102472.769999998</v>
      </c>
    </row>
    <row r="149" spans="1:6" ht="15.75" customHeight="1" x14ac:dyDescent="0.2">
      <c r="A149" s="7260"/>
      <c r="B149" s="1895" t="s">
        <v>6</v>
      </c>
      <c r="C149" s="1826">
        <v>9400073.6500000004</v>
      </c>
      <c r="D149" s="1827">
        <v>1594740.79</v>
      </c>
      <c r="E149" s="1828">
        <v>13034936.359999999</v>
      </c>
      <c r="F149" s="1826">
        <f>+C149+D149+E149</f>
        <v>24029750.800000001</v>
      </c>
    </row>
    <row r="150" spans="1:6" ht="15.75" customHeight="1" x14ac:dyDescent="0.2">
      <c r="A150" s="7260"/>
      <c r="B150" s="1895" t="s">
        <v>7</v>
      </c>
      <c r="C150" s="1826">
        <v>276000</v>
      </c>
      <c r="D150" s="1827">
        <v>512000</v>
      </c>
      <c r="E150" s="1828">
        <v>5105397.3000000007</v>
      </c>
      <c r="F150" s="1826">
        <f>+C150+D150+E150</f>
        <v>5893397.3000000007</v>
      </c>
    </row>
    <row r="151" spans="1:6" ht="15.75" customHeight="1" x14ac:dyDescent="0.2">
      <c r="A151" s="7261"/>
      <c r="B151" s="1896" t="s">
        <v>676</v>
      </c>
      <c r="C151" s="1829">
        <v>6684000</v>
      </c>
      <c r="D151" s="1830">
        <v>8946813.1699999999</v>
      </c>
      <c r="E151" s="1831">
        <v>2874284.9600000004</v>
      </c>
      <c r="F151" s="1829">
        <f>+C151+D151+E151</f>
        <v>18505098.129999999</v>
      </c>
    </row>
    <row r="152" spans="1:6" ht="15.75" customHeight="1" x14ac:dyDescent="0.2">
      <c r="A152" s="2588" t="s">
        <v>671</v>
      </c>
      <c r="B152" s="2589" t="s">
        <v>160</v>
      </c>
      <c r="C152" s="2590">
        <v>1730989.5</v>
      </c>
      <c r="D152" s="2591"/>
      <c r="E152" s="2590">
        <v>156900</v>
      </c>
      <c r="F152" s="2592">
        <f>+C152+D152+E152</f>
        <v>1887889.5</v>
      </c>
    </row>
    <row r="153" spans="1:6" ht="15.75" customHeight="1" x14ac:dyDescent="0.2">
      <c r="A153" s="7254" t="s">
        <v>573</v>
      </c>
      <c r="B153" s="7255"/>
      <c r="C153" s="1687">
        <f>+C147+C152+C139+C134+C130+C144</f>
        <v>92168755.070000008</v>
      </c>
      <c r="D153" s="1688">
        <f>+D147+D152+D139+D134+D130+D144</f>
        <v>49403744.32</v>
      </c>
      <c r="E153" s="1687">
        <f>+E147+E152+E139+E134+E130+E144</f>
        <v>71709453.480000004</v>
      </c>
      <c r="F153" s="1689">
        <f>+F147+F152+F139+F134+F130+F144</f>
        <v>213281952.87</v>
      </c>
    </row>
    <row r="154" spans="1:6" ht="15.75" customHeight="1" x14ac:dyDescent="0.2">
      <c r="A154" s="261"/>
      <c r="F154" s="261"/>
    </row>
    <row r="155" spans="1:6" ht="30" x14ac:dyDescent="0.2">
      <c r="A155" s="1386" t="s">
        <v>16</v>
      </c>
      <c r="B155" s="1386" t="s">
        <v>4</v>
      </c>
      <c r="C155" s="1386" t="s">
        <v>596</v>
      </c>
      <c r="D155" s="1386" t="s">
        <v>608</v>
      </c>
      <c r="E155" s="1388" t="s">
        <v>609</v>
      </c>
      <c r="F155" s="3453" t="s">
        <v>799</v>
      </c>
    </row>
    <row r="156" spans="1:6" ht="15.75" customHeight="1" x14ac:dyDescent="0.25">
      <c r="A156" s="7506" t="s">
        <v>3</v>
      </c>
      <c r="B156" s="1819" t="s">
        <v>12</v>
      </c>
      <c r="C156" s="1820">
        <f>C159+C158+C157</f>
        <v>27417803.18</v>
      </c>
      <c r="D156" s="1820">
        <f>D159+D158+D157</f>
        <v>21349620</v>
      </c>
      <c r="E156" s="1820">
        <f>E159+E158+E157</f>
        <v>5087018.1599999992</v>
      </c>
      <c r="F156" s="1820">
        <f>F159+F158+F157</f>
        <v>53854441.340000004</v>
      </c>
    </row>
    <row r="157" spans="1:6" ht="15.75" customHeight="1" x14ac:dyDescent="0.2">
      <c r="A157" s="7507"/>
      <c r="B157" s="1834" t="s">
        <v>5</v>
      </c>
      <c r="C157" s="1835">
        <v>19936463.18</v>
      </c>
      <c r="D157" s="1836">
        <v>9838573</v>
      </c>
      <c r="E157" s="1836">
        <v>3842229.919999999</v>
      </c>
      <c r="F157" s="1837">
        <f>+C157+D157+E157</f>
        <v>33617266.100000001</v>
      </c>
    </row>
    <row r="158" spans="1:6" ht="15.75" customHeight="1" x14ac:dyDescent="0.2">
      <c r="A158" s="7507"/>
      <c r="B158" s="1834" t="s">
        <v>6</v>
      </c>
      <c r="C158" s="1835">
        <v>6938340</v>
      </c>
      <c r="D158" s="1836">
        <v>6305976</v>
      </c>
      <c r="E158" s="1836">
        <v>1244788.24</v>
      </c>
      <c r="F158" s="1837">
        <f>+C158+D158+E158</f>
        <v>14489104.24</v>
      </c>
    </row>
    <row r="159" spans="1:6" ht="15.75" customHeight="1" x14ac:dyDescent="0.2">
      <c r="A159" s="7508"/>
      <c r="B159" s="1838" t="s">
        <v>7</v>
      </c>
      <c r="C159" s="1839">
        <v>543000</v>
      </c>
      <c r="D159" s="1840">
        <v>5205071</v>
      </c>
      <c r="E159" s="1840">
        <v>0</v>
      </c>
      <c r="F159" s="1841">
        <f>+C159+D159+E159</f>
        <v>5748071</v>
      </c>
    </row>
    <row r="160" spans="1:6" ht="15.75" customHeight="1" x14ac:dyDescent="0.25">
      <c r="A160" s="7506" t="s">
        <v>8</v>
      </c>
      <c r="B160" s="1819" t="s">
        <v>12</v>
      </c>
      <c r="C160" s="1820">
        <f>+C164+C163+C162+C161</f>
        <v>14643020.629999999</v>
      </c>
      <c r="D160" s="1820">
        <f>+D164+D163+D162+D161</f>
        <v>11228688</v>
      </c>
      <c r="E160" s="1820">
        <f>+E164+E163+E162+E161</f>
        <v>665614.40999999992</v>
      </c>
      <c r="F160" s="1820">
        <f>+F164+F163+F162+F161</f>
        <v>26537323.039999999</v>
      </c>
    </row>
    <row r="161" spans="1:6" ht="15.75" customHeight="1" x14ac:dyDescent="0.2">
      <c r="A161" s="7507"/>
      <c r="B161" s="1834" t="s">
        <v>9</v>
      </c>
      <c r="C161" s="1835">
        <v>904563.19999999995</v>
      </c>
      <c r="D161" s="1836">
        <v>1583686</v>
      </c>
      <c r="E161" s="1836">
        <v>0</v>
      </c>
      <c r="F161" s="1837">
        <f>+C161+D161+E161</f>
        <v>2488249.2000000002</v>
      </c>
    </row>
    <row r="162" spans="1:6" ht="15.75" customHeight="1" x14ac:dyDescent="0.2">
      <c r="A162" s="7507"/>
      <c r="B162" s="1834" t="s">
        <v>74</v>
      </c>
      <c r="C162" s="1835">
        <v>10619229.43</v>
      </c>
      <c r="D162" s="1836">
        <v>6438796</v>
      </c>
      <c r="E162" s="1836">
        <v>665614.40999999992</v>
      </c>
      <c r="F162" s="1837">
        <f>+C162+D162+E162</f>
        <v>17723639.84</v>
      </c>
    </row>
    <row r="163" spans="1:6" ht="15.75" customHeight="1" x14ac:dyDescent="0.2">
      <c r="A163" s="7507"/>
      <c r="B163" s="1834" t="s">
        <v>6</v>
      </c>
      <c r="C163" s="1835">
        <v>2319228</v>
      </c>
      <c r="D163" s="1836">
        <v>3206206</v>
      </c>
      <c r="E163" s="1836">
        <v>0</v>
      </c>
      <c r="F163" s="1837">
        <f>+C163+D163+E163</f>
        <v>5525434</v>
      </c>
    </row>
    <row r="164" spans="1:6" ht="15.75" customHeight="1" x14ac:dyDescent="0.2">
      <c r="A164" s="7508"/>
      <c r="B164" s="1838" t="s">
        <v>611</v>
      </c>
      <c r="C164" s="1839">
        <v>800000</v>
      </c>
      <c r="D164" s="1840"/>
      <c r="E164" s="1840">
        <v>0</v>
      </c>
      <c r="F164" s="1841">
        <f>+C164+D164+E164</f>
        <v>800000</v>
      </c>
    </row>
    <row r="165" spans="1:6" ht="15.75" customHeight="1" x14ac:dyDescent="0.25">
      <c r="A165" s="7506" t="s">
        <v>75</v>
      </c>
      <c r="B165" s="1819" t="s">
        <v>12</v>
      </c>
      <c r="C165" s="1820">
        <f>+C169+C168+C167+C166</f>
        <v>112569799.26000001</v>
      </c>
      <c r="D165" s="1820">
        <f>+D169+D168+D167+D166</f>
        <v>20716545.740000002</v>
      </c>
      <c r="E165" s="1820">
        <f>+E169+E168+E167+E166</f>
        <v>157571363.01999995</v>
      </c>
      <c r="F165" s="1820">
        <f>+F169+F168+F167+F166</f>
        <v>290857708.01999998</v>
      </c>
    </row>
    <row r="166" spans="1:6" ht="15.75" customHeight="1" x14ac:dyDescent="0.2">
      <c r="A166" s="7507"/>
      <c r="B166" s="1834" t="s">
        <v>5</v>
      </c>
      <c r="C166" s="1835">
        <v>66476683.100000001</v>
      </c>
      <c r="D166" s="1836">
        <v>8632768</v>
      </c>
      <c r="E166" s="1836">
        <v>5632841.29</v>
      </c>
      <c r="F166" s="1837">
        <f>+C166+D166+E166</f>
        <v>80742292.390000001</v>
      </c>
    </row>
    <row r="167" spans="1:6" ht="15.75" customHeight="1" x14ac:dyDescent="0.2">
      <c r="A167" s="7507"/>
      <c r="B167" s="1834" t="s">
        <v>11</v>
      </c>
      <c r="C167" s="1835">
        <v>34326278.490000002</v>
      </c>
      <c r="D167" s="1836">
        <v>6370425</v>
      </c>
      <c r="E167" s="1836">
        <v>1868755.57</v>
      </c>
      <c r="F167" s="1837">
        <f>+C167+D167+E167</f>
        <v>42565459.060000002</v>
      </c>
    </row>
    <row r="168" spans="1:6" ht="15.75" customHeight="1" x14ac:dyDescent="0.2">
      <c r="A168" s="7507"/>
      <c r="B168" s="1834" t="s">
        <v>6</v>
      </c>
      <c r="C168" s="1835">
        <v>11257727.67</v>
      </c>
      <c r="D168" s="1836">
        <v>5060514</v>
      </c>
      <c r="E168" s="1836">
        <v>140523475.68999997</v>
      </c>
      <c r="F168" s="1837">
        <f>+C168+D168+E168</f>
        <v>156841717.35999995</v>
      </c>
    </row>
    <row r="169" spans="1:6" ht="15.75" customHeight="1" x14ac:dyDescent="0.2">
      <c r="A169" s="7508"/>
      <c r="B169" s="1838" t="s">
        <v>611</v>
      </c>
      <c r="C169" s="1839">
        <v>509110</v>
      </c>
      <c r="D169" s="1840">
        <v>652838.74</v>
      </c>
      <c r="E169" s="1840">
        <v>9546290.4699999988</v>
      </c>
      <c r="F169" s="1841">
        <f>+C169+D169+E169</f>
        <v>10708239.209999999</v>
      </c>
    </row>
    <row r="170" spans="1:6" ht="15.75" customHeight="1" x14ac:dyDescent="0.25">
      <c r="A170" s="7506" t="s">
        <v>325</v>
      </c>
      <c r="B170" s="1819" t="s">
        <v>12</v>
      </c>
      <c r="C170" s="1820">
        <f>+C171+C172+C173</f>
        <v>308290</v>
      </c>
      <c r="D170" s="1820">
        <f>+D171+D172+D173</f>
        <v>8692250</v>
      </c>
      <c r="E170" s="1820">
        <f>+E171+E172+E173</f>
        <v>300142.86</v>
      </c>
      <c r="F170" s="1820">
        <f>+F171+F172+F173</f>
        <v>9300682.8599999994</v>
      </c>
    </row>
    <row r="171" spans="1:6" ht="15.75" customHeight="1" x14ac:dyDescent="0.2">
      <c r="A171" s="7507"/>
      <c r="B171" s="1834" t="s">
        <v>5</v>
      </c>
      <c r="C171" s="1835">
        <v>0</v>
      </c>
      <c r="D171" s="1836">
        <v>3828750</v>
      </c>
      <c r="E171" s="1842">
        <v>0</v>
      </c>
      <c r="F171" s="1837">
        <f>+C171+D171+E171</f>
        <v>3828750</v>
      </c>
    </row>
    <row r="172" spans="1:6" ht="15.75" customHeight="1" x14ac:dyDescent="0.2">
      <c r="A172" s="7507"/>
      <c r="B172" s="1834" t="s">
        <v>11</v>
      </c>
      <c r="C172" s="1835">
        <v>308290</v>
      </c>
      <c r="D172" s="1836">
        <v>2928750</v>
      </c>
      <c r="E172" s="1842">
        <v>300142.86</v>
      </c>
      <c r="F172" s="1837">
        <f>+C172+D172+E172</f>
        <v>3537182.86</v>
      </c>
    </row>
    <row r="173" spans="1:6" ht="15.75" customHeight="1" x14ac:dyDescent="0.2">
      <c r="A173" s="7508"/>
      <c r="B173" s="1838" t="s">
        <v>6</v>
      </c>
      <c r="C173" s="1839">
        <v>0</v>
      </c>
      <c r="D173" s="1840">
        <v>1934750</v>
      </c>
      <c r="E173" s="1843">
        <v>0</v>
      </c>
      <c r="F173" s="1841">
        <f>+C173+D173+E173</f>
        <v>1934750</v>
      </c>
    </row>
    <row r="174" spans="1:6" ht="15.75" customHeight="1" x14ac:dyDescent="0.25">
      <c r="A174" s="7506" t="s">
        <v>10</v>
      </c>
      <c r="B174" s="1819" t="s">
        <v>12</v>
      </c>
      <c r="C174" s="1820">
        <f>+C177+C176+C175+C178</f>
        <v>30624889.840000004</v>
      </c>
      <c r="D174" s="1820">
        <f>+D177+D176+D175+D178</f>
        <v>15138745.460000001</v>
      </c>
      <c r="E174" s="1820">
        <f>+E177+E176+E175+E178</f>
        <v>54244373.470000006</v>
      </c>
      <c r="F174" s="1820">
        <f>+F177+F176+F175+F178</f>
        <v>100008008.77</v>
      </c>
    </row>
    <row r="175" spans="1:6" ht="15.75" customHeight="1" x14ac:dyDescent="0.2">
      <c r="A175" s="7507"/>
      <c r="B175" s="1834" t="s">
        <v>11</v>
      </c>
      <c r="C175" s="1835">
        <v>13835065.760000002</v>
      </c>
      <c r="D175" s="1836">
        <v>7153005.54</v>
      </c>
      <c r="E175" s="1836">
        <v>23899801.34</v>
      </c>
      <c r="F175" s="1837">
        <f>+C175+D175+E175</f>
        <v>44887872.640000001</v>
      </c>
    </row>
    <row r="176" spans="1:6" ht="15.75" customHeight="1" x14ac:dyDescent="0.2">
      <c r="A176" s="7507"/>
      <c r="B176" s="1834" t="s">
        <v>6</v>
      </c>
      <c r="C176" s="1835">
        <v>10720507.57</v>
      </c>
      <c r="D176" s="1836">
        <v>5494840.9199999999</v>
      </c>
      <c r="E176" s="1836">
        <v>19686251.84</v>
      </c>
      <c r="F176" s="1837">
        <f>+C176+D176+E176</f>
        <v>35901600.329999998</v>
      </c>
    </row>
    <row r="177" spans="1:6" ht="15.75" customHeight="1" x14ac:dyDescent="0.2">
      <c r="A177" s="7507"/>
      <c r="B177" s="1834" t="s">
        <v>7</v>
      </c>
      <c r="C177" s="1835">
        <v>5926316.5099999998</v>
      </c>
      <c r="D177" s="1836">
        <v>2490899</v>
      </c>
      <c r="E177" s="1836">
        <v>8251736.1600000001</v>
      </c>
      <c r="F177" s="1837">
        <f>+C177+D177+E177</f>
        <v>16668951.67</v>
      </c>
    </row>
    <row r="178" spans="1:6" ht="15.75" customHeight="1" x14ac:dyDescent="0.2">
      <c r="A178" s="7508"/>
      <c r="B178" s="1838" t="s">
        <v>611</v>
      </c>
      <c r="C178" s="1839">
        <v>143000</v>
      </c>
      <c r="D178" s="1840"/>
      <c r="E178" s="1840">
        <v>2406584.13</v>
      </c>
      <c r="F178" s="1841">
        <f>+C178+D178+E178</f>
        <v>2549584.13</v>
      </c>
    </row>
    <row r="179" spans="1:6" ht="15.75" customHeight="1" x14ac:dyDescent="0.25">
      <c r="A179" s="1389" t="s">
        <v>610</v>
      </c>
      <c r="B179" s="1819" t="s">
        <v>12</v>
      </c>
      <c r="C179" s="1820">
        <v>1604012</v>
      </c>
      <c r="D179" s="1820">
        <v>2295278</v>
      </c>
      <c r="E179" s="1820">
        <v>0</v>
      </c>
      <c r="F179" s="1820">
        <f>+C179+D179+E179</f>
        <v>3899290</v>
      </c>
    </row>
    <row r="180" spans="1:6" ht="15.75" customHeight="1" x14ac:dyDescent="0.25">
      <c r="A180" s="7509" t="s">
        <v>76</v>
      </c>
      <c r="B180" s="7510"/>
      <c r="C180" s="1387">
        <f>+C174+C179+C165+C160+C156+C170</f>
        <v>187167814.91000003</v>
      </c>
      <c r="D180" s="1387">
        <f>+D174+D179+D165+D160+D156+D170</f>
        <v>79421127.200000003</v>
      </c>
      <c r="E180" s="1387">
        <f>+E174+E179+E165+E160+E156+E170</f>
        <v>217868511.91999996</v>
      </c>
      <c r="F180" s="1387">
        <f>+F174+F179+F165+F160+F156+F170</f>
        <v>484457454.02999997</v>
      </c>
    </row>
    <row r="181" spans="1:6" ht="15.75" customHeight="1" x14ac:dyDescent="0.2">
      <c r="A181" s="1824"/>
      <c r="B181" s="1824"/>
      <c r="C181" s="1824"/>
      <c r="D181" s="1824"/>
      <c r="E181" s="1824"/>
      <c r="F181" s="1824"/>
    </row>
    <row r="182" spans="1:6" ht="15.75" customHeight="1" x14ac:dyDescent="0.25">
      <c r="A182" s="1384" t="s">
        <v>16</v>
      </c>
      <c r="B182" s="1384" t="s">
        <v>4</v>
      </c>
      <c r="C182" s="1384" t="s">
        <v>596</v>
      </c>
      <c r="D182" s="1384" t="s">
        <v>597</v>
      </c>
      <c r="E182" s="1384" t="s">
        <v>604</v>
      </c>
      <c r="F182" s="3454" t="s">
        <v>798</v>
      </c>
    </row>
    <row r="183" spans="1:6" ht="15.75" customHeight="1" x14ac:dyDescent="0.25">
      <c r="A183" s="1454" t="s">
        <v>3</v>
      </c>
      <c r="B183" s="1821" t="s">
        <v>12</v>
      </c>
      <c r="C183" s="1822">
        <v>9872554.8300000001</v>
      </c>
      <c r="D183" s="1823">
        <v>8073775.9500000002</v>
      </c>
      <c r="E183" s="1822">
        <v>39329618.890000001</v>
      </c>
      <c r="F183" s="1823">
        <v>57275949.670000002</v>
      </c>
    </row>
    <row r="184" spans="1:6" ht="15.75" customHeight="1" x14ac:dyDescent="0.2">
      <c r="A184" s="1844"/>
      <c r="B184" s="1834" t="s">
        <v>7</v>
      </c>
      <c r="C184" s="1835">
        <v>202276</v>
      </c>
      <c r="D184" s="1836">
        <v>2170234</v>
      </c>
      <c r="E184" s="1835">
        <v>3002510.21</v>
      </c>
      <c r="F184" s="1836">
        <v>5375020.21</v>
      </c>
    </row>
    <row r="185" spans="1:6" ht="15.75" customHeight="1" x14ac:dyDescent="0.2">
      <c r="A185" s="1844"/>
      <c r="B185" s="1834" t="s">
        <v>5</v>
      </c>
      <c r="C185" s="1835">
        <v>8319909.8300000001</v>
      </c>
      <c r="D185" s="1836">
        <v>4023497.95</v>
      </c>
      <c r="E185" s="1835">
        <v>4318259.3600000003</v>
      </c>
      <c r="F185" s="1836">
        <v>16661667.140000001</v>
      </c>
    </row>
    <row r="186" spans="1:6" ht="15.75" customHeight="1" x14ac:dyDescent="0.2">
      <c r="A186" s="1845"/>
      <c r="B186" s="1838" t="s">
        <v>6</v>
      </c>
      <c r="C186" s="1839">
        <v>1350369</v>
      </c>
      <c r="D186" s="1840">
        <v>1880044</v>
      </c>
      <c r="E186" s="1839">
        <v>32008849.32</v>
      </c>
      <c r="F186" s="1840">
        <v>35239262.32</v>
      </c>
    </row>
    <row r="187" spans="1:6" ht="15.75" customHeight="1" x14ac:dyDescent="0.25">
      <c r="A187" s="1385" t="s">
        <v>8</v>
      </c>
      <c r="B187" s="1821" t="s">
        <v>12</v>
      </c>
      <c r="C187" s="1822">
        <v>6647051.8200000003</v>
      </c>
      <c r="D187" s="1823">
        <v>6062661</v>
      </c>
      <c r="E187" s="1822">
        <v>972736.27</v>
      </c>
      <c r="F187" s="1823">
        <v>13682449.09</v>
      </c>
    </row>
    <row r="188" spans="1:6" ht="15.75" customHeight="1" x14ac:dyDescent="0.2">
      <c r="A188" s="1844"/>
      <c r="B188" s="1834" t="s">
        <v>9</v>
      </c>
      <c r="C188" s="1835">
        <v>69500</v>
      </c>
      <c r="D188" s="1836">
        <v>1306034</v>
      </c>
      <c r="E188" s="1835">
        <v>0</v>
      </c>
      <c r="F188" s="1836">
        <v>1375534</v>
      </c>
    </row>
    <row r="189" spans="1:6" ht="15.75" customHeight="1" x14ac:dyDescent="0.2">
      <c r="A189" s="1844"/>
      <c r="B189" s="1834" t="s">
        <v>74</v>
      </c>
      <c r="C189" s="1835">
        <v>3251378.8200000003</v>
      </c>
      <c r="D189" s="1836">
        <v>1737836</v>
      </c>
      <c r="E189" s="1835">
        <v>972736.27</v>
      </c>
      <c r="F189" s="1836">
        <v>5961951.0899999999</v>
      </c>
    </row>
    <row r="190" spans="1:6" ht="15.75" customHeight="1" x14ac:dyDescent="0.2">
      <c r="A190" s="1844"/>
      <c r="B190" s="1834" t="s">
        <v>6</v>
      </c>
      <c r="C190" s="1835">
        <v>3326173</v>
      </c>
      <c r="D190" s="1836">
        <v>2937401</v>
      </c>
      <c r="E190" s="1835">
        <v>0</v>
      </c>
      <c r="F190" s="1836">
        <v>6263574</v>
      </c>
    </row>
    <row r="191" spans="1:6" ht="15.75" customHeight="1" x14ac:dyDescent="0.2">
      <c r="A191" s="1844"/>
      <c r="B191" s="1834" t="s">
        <v>606</v>
      </c>
      <c r="C191" s="1835">
        <v>0</v>
      </c>
      <c r="D191" s="1836">
        <v>81390</v>
      </c>
      <c r="E191" s="1835">
        <v>0</v>
      </c>
      <c r="F191" s="1836">
        <v>81390</v>
      </c>
    </row>
    <row r="192" spans="1:6" ht="15.75" customHeight="1" x14ac:dyDescent="0.25">
      <c r="A192" s="1454" t="s">
        <v>75</v>
      </c>
      <c r="B192" s="1821" t="s">
        <v>12</v>
      </c>
      <c r="C192" s="1822">
        <v>37093508.290000007</v>
      </c>
      <c r="D192" s="1823">
        <v>4491230.78</v>
      </c>
      <c r="E192" s="1822">
        <v>58931438.5</v>
      </c>
      <c r="F192" s="1823">
        <v>100516177.56999999</v>
      </c>
    </row>
    <row r="193" spans="1:6" ht="15.75" customHeight="1" x14ac:dyDescent="0.2">
      <c r="A193" s="1844"/>
      <c r="B193" s="1834" t="s">
        <v>5</v>
      </c>
      <c r="C193" s="1835">
        <v>20512638.850000001</v>
      </c>
      <c r="D193" s="1836">
        <v>947668</v>
      </c>
      <c r="E193" s="1835">
        <v>6576584.4499999993</v>
      </c>
      <c r="F193" s="1836">
        <v>28036891.300000001</v>
      </c>
    </row>
    <row r="194" spans="1:6" ht="15.75" customHeight="1" x14ac:dyDescent="0.2">
      <c r="A194" s="1844"/>
      <c r="B194" s="1834" t="s">
        <v>11</v>
      </c>
      <c r="C194" s="1835">
        <v>13641842.060000001</v>
      </c>
      <c r="D194" s="1836">
        <v>2580034</v>
      </c>
      <c r="E194" s="1835">
        <v>1546483.01</v>
      </c>
      <c r="F194" s="1836">
        <v>17768359.07</v>
      </c>
    </row>
    <row r="195" spans="1:6" ht="15.75" customHeight="1" x14ac:dyDescent="0.2">
      <c r="A195" s="1844"/>
      <c r="B195" s="1834" t="s">
        <v>6</v>
      </c>
      <c r="C195" s="1835">
        <v>2818851.38</v>
      </c>
      <c r="D195" s="1836">
        <v>963528.78</v>
      </c>
      <c r="E195" s="1835">
        <v>44370307.859999999</v>
      </c>
      <c r="F195" s="1836">
        <v>48152688.019999996</v>
      </c>
    </row>
    <row r="196" spans="1:6" ht="15.75" customHeight="1" x14ac:dyDescent="0.2">
      <c r="A196" s="1845"/>
      <c r="B196" s="1838" t="s">
        <v>606</v>
      </c>
      <c r="C196" s="1839">
        <v>120176</v>
      </c>
      <c r="D196" s="1840">
        <v>0</v>
      </c>
      <c r="E196" s="1839">
        <v>6438063.1800000006</v>
      </c>
      <c r="F196" s="1840">
        <v>6558239.1800000006</v>
      </c>
    </row>
    <row r="197" spans="1:6" ht="15.75" customHeight="1" x14ac:dyDescent="0.25">
      <c r="A197" s="1385" t="s">
        <v>10</v>
      </c>
      <c r="B197" s="1821" t="s">
        <v>12</v>
      </c>
      <c r="C197" s="1822">
        <v>27099225</v>
      </c>
      <c r="D197" s="1823">
        <v>6619238.7300000004</v>
      </c>
      <c r="E197" s="1822">
        <v>43319024.119999997</v>
      </c>
      <c r="F197" s="1823">
        <v>77037487.850000009</v>
      </c>
    </row>
    <row r="198" spans="1:6" ht="15.75" customHeight="1" x14ac:dyDescent="0.2">
      <c r="A198" s="1844"/>
      <c r="B198" s="1834" t="s">
        <v>7</v>
      </c>
      <c r="C198" s="1835">
        <v>3283554.04</v>
      </c>
      <c r="D198" s="1836">
        <v>726175</v>
      </c>
      <c r="E198" s="1835">
        <v>15325840.699999999</v>
      </c>
      <c r="F198" s="1836">
        <v>19335569.739999998</v>
      </c>
    </row>
    <row r="199" spans="1:6" ht="15.75" customHeight="1" x14ac:dyDescent="0.2">
      <c r="A199" s="1844"/>
      <c r="B199" s="1834" t="s">
        <v>11</v>
      </c>
      <c r="C199" s="1835">
        <v>16724133.289999999</v>
      </c>
      <c r="D199" s="1836">
        <v>3131085.73</v>
      </c>
      <c r="E199" s="1835">
        <v>14047176.720000001</v>
      </c>
      <c r="F199" s="1836">
        <v>33902395.740000002</v>
      </c>
    </row>
    <row r="200" spans="1:6" ht="15.75" customHeight="1" x14ac:dyDescent="0.2">
      <c r="A200" s="1844"/>
      <c r="B200" s="1834" t="s">
        <v>6</v>
      </c>
      <c r="C200" s="1835">
        <v>6803537.6699999999</v>
      </c>
      <c r="D200" s="1836">
        <v>2761978</v>
      </c>
      <c r="E200" s="1835">
        <v>9509134.1600000001</v>
      </c>
      <c r="F200" s="1836">
        <v>19074649.829999998</v>
      </c>
    </row>
    <row r="201" spans="1:6" ht="15.75" customHeight="1" x14ac:dyDescent="0.2">
      <c r="A201" s="1844"/>
      <c r="B201" s="1834" t="s">
        <v>606</v>
      </c>
      <c r="C201" s="1835">
        <v>288000</v>
      </c>
      <c r="D201" s="1836">
        <v>0</v>
      </c>
      <c r="E201" s="1835">
        <v>4436872.54</v>
      </c>
      <c r="F201" s="1836">
        <v>4724872.54</v>
      </c>
    </row>
    <row r="202" spans="1:6" ht="15.75" customHeight="1" x14ac:dyDescent="0.25">
      <c r="A202" s="1454" t="s">
        <v>325</v>
      </c>
      <c r="B202" s="1821" t="s">
        <v>12</v>
      </c>
      <c r="C202" s="1822">
        <v>150000</v>
      </c>
      <c r="D202" s="1823">
        <v>0</v>
      </c>
      <c r="E202" s="1822">
        <v>0</v>
      </c>
      <c r="F202" s="1823">
        <v>150000</v>
      </c>
    </row>
    <row r="203" spans="1:6" ht="15.75" customHeight="1" x14ac:dyDescent="0.2">
      <c r="A203" s="1845"/>
      <c r="B203" s="1838" t="s">
        <v>11</v>
      </c>
      <c r="C203" s="1839">
        <v>150000</v>
      </c>
      <c r="D203" s="1840">
        <v>0</v>
      </c>
      <c r="E203" s="1846">
        <v>0</v>
      </c>
      <c r="F203" s="1840">
        <v>150000</v>
      </c>
    </row>
    <row r="204" spans="1:6" ht="15.75" customHeight="1" x14ac:dyDescent="0.25">
      <c r="A204" s="4350" t="s">
        <v>600</v>
      </c>
      <c r="B204" s="4351" t="s">
        <v>12</v>
      </c>
      <c r="C204" s="4352">
        <v>3621700.3100000005</v>
      </c>
      <c r="D204" s="4353">
        <v>0</v>
      </c>
      <c r="E204" s="4352">
        <v>60000</v>
      </c>
      <c r="F204" s="4353">
        <v>3681700.3100000005</v>
      </c>
    </row>
    <row r="205" spans="1:6" ht="15.75" customHeight="1" x14ac:dyDescent="0.25">
      <c r="A205" s="7504" t="s">
        <v>76</v>
      </c>
      <c r="B205" s="7505"/>
      <c r="C205" s="4354">
        <v>84484040.250000015</v>
      </c>
      <c r="D205" s="4354">
        <v>25246906.460000001</v>
      </c>
      <c r="E205" s="4355">
        <v>142612817.78</v>
      </c>
      <c r="F205" s="4354">
        <v>252343764.49000001</v>
      </c>
    </row>
    <row r="206" spans="1:6" ht="15.75" customHeight="1" x14ac:dyDescent="0.2">
      <c r="A206" s="1824"/>
      <c r="B206" s="1824"/>
      <c r="C206" s="1824"/>
      <c r="D206" s="1824"/>
      <c r="E206" s="1824"/>
      <c r="F206" s="1824"/>
    </row>
    <row r="207" spans="1:6" ht="15.75" customHeight="1" x14ac:dyDescent="0.2">
      <c r="A207" s="1825" t="s">
        <v>16</v>
      </c>
      <c r="B207" s="1825" t="s">
        <v>4</v>
      </c>
      <c r="C207" s="1825" t="s">
        <v>596</v>
      </c>
      <c r="D207" s="1825" t="s">
        <v>605</v>
      </c>
      <c r="E207" s="1825" t="s">
        <v>604</v>
      </c>
      <c r="F207" s="3453" t="s">
        <v>797</v>
      </c>
    </row>
    <row r="208" spans="1:6" ht="15.75" customHeight="1" x14ac:dyDescent="0.2">
      <c r="A208" s="7511" t="s">
        <v>3</v>
      </c>
      <c r="B208" s="1847" t="s">
        <v>5</v>
      </c>
      <c r="C208" s="1848">
        <v>11055328.869999999</v>
      </c>
      <c r="D208" s="1849">
        <v>1584329.97</v>
      </c>
      <c r="E208" s="1848">
        <v>2853791.4</v>
      </c>
      <c r="F208" s="1849">
        <v>15493450.24</v>
      </c>
    </row>
    <row r="209" spans="1:6" ht="15.75" customHeight="1" x14ac:dyDescent="0.2">
      <c r="A209" s="7512"/>
      <c r="B209" s="1850" t="s">
        <v>6</v>
      </c>
      <c r="C209" s="1851">
        <v>3053660.8</v>
      </c>
      <c r="D209" s="1852">
        <v>759053.12</v>
      </c>
      <c r="E209" s="1851">
        <v>12667468.51</v>
      </c>
      <c r="F209" s="1852">
        <v>16480182.43</v>
      </c>
    </row>
    <row r="210" spans="1:6" ht="15.75" customHeight="1" x14ac:dyDescent="0.2">
      <c r="A210" s="7512"/>
      <c r="B210" s="1850" t="s">
        <v>7</v>
      </c>
      <c r="C210" s="1851"/>
      <c r="D210" s="1852">
        <v>820373.94</v>
      </c>
      <c r="E210" s="1851">
        <v>192337.66</v>
      </c>
      <c r="F210" s="1852">
        <v>1012711.6</v>
      </c>
    </row>
    <row r="211" spans="1:6" ht="15.75" customHeight="1" x14ac:dyDescent="0.2">
      <c r="A211" s="7512"/>
      <c r="B211" s="1850" t="s">
        <v>606</v>
      </c>
      <c r="C211" s="1851"/>
      <c r="D211" s="1852"/>
      <c r="E211" s="1851">
        <v>42460409.419999994</v>
      </c>
      <c r="F211" s="1852">
        <v>42460409.419999994</v>
      </c>
    </row>
    <row r="212" spans="1:6" ht="15.75" customHeight="1" x14ac:dyDescent="0.2">
      <c r="A212" s="7513"/>
      <c r="B212" s="1853" t="s">
        <v>12</v>
      </c>
      <c r="C212" s="1854">
        <v>14108989.669999998</v>
      </c>
      <c r="D212" s="1855">
        <v>3163757.0300000003</v>
      </c>
      <c r="E212" s="1854">
        <v>58174006.989999987</v>
      </c>
      <c r="F212" s="1855">
        <v>75446753.689999998</v>
      </c>
    </row>
    <row r="213" spans="1:6" ht="15.75" customHeight="1" x14ac:dyDescent="0.2">
      <c r="A213" s="7511" t="s">
        <v>8</v>
      </c>
      <c r="B213" s="1847" t="s">
        <v>9</v>
      </c>
      <c r="C213" s="1848"/>
      <c r="D213" s="1849">
        <v>1699782</v>
      </c>
      <c r="E213" s="1848">
        <v>0</v>
      </c>
      <c r="F213" s="1849">
        <v>1699782</v>
      </c>
    </row>
    <row r="214" spans="1:6" ht="15.75" customHeight="1" x14ac:dyDescent="0.2">
      <c r="A214" s="7512"/>
      <c r="B214" s="1850" t="s">
        <v>74</v>
      </c>
      <c r="C214" s="1851">
        <v>4798600</v>
      </c>
      <c r="D214" s="1852">
        <v>3322544.01</v>
      </c>
      <c r="E214" s="1851">
        <v>0</v>
      </c>
      <c r="F214" s="1852">
        <v>8121144.0099999998</v>
      </c>
    </row>
    <row r="215" spans="1:6" ht="15.75" customHeight="1" x14ac:dyDescent="0.2">
      <c r="A215" s="7512"/>
      <c r="B215" s="1850" t="s">
        <v>6</v>
      </c>
      <c r="C215" s="1851">
        <v>1612000</v>
      </c>
      <c r="D215" s="1852">
        <v>1453649</v>
      </c>
      <c r="E215" s="1851">
        <v>2466009.15</v>
      </c>
      <c r="F215" s="1852">
        <v>5531658.1500000004</v>
      </c>
    </row>
    <row r="216" spans="1:6" ht="15.75" customHeight="1" x14ac:dyDescent="0.2">
      <c r="A216" s="7512"/>
      <c r="B216" s="1850" t="s">
        <v>607</v>
      </c>
      <c r="C216" s="1851"/>
      <c r="D216" s="1852">
        <v>930000</v>
      </c>
      <c r="E216" s="1851">
        <v>0</v>
      </c>
      <c r="F216" s="1852">
        <v>930000</v>
      </c>
    </row>
    <row r="217" spans="1:6" ht="15.75" customHeight="1" x14ac:dyDescent="0.2">
      <c r="A217" s="7513"/>
      <c r="B217" s="1853" t="s">
        <v>12</v>
      </c>
      <c r="C217" s="1854">
        <v>6410600</v>
      </c>
      <c r="D217" s="1855">
        <v>7405975.0099999998</v>
      </c>
      <c r="E217" s="1854">
        <v>2466009.15</v>
      </c>
      <c r="F217" s="1855">
        <v>16282584.16</v>
      </c>
    </row>
    <row r="218" spans="1:6" ht="15.75" customHeight="1" x14ac:dyDescent="0.2">
      <c r="A218" s="7511" t="s">
        <v>75</v>
      </c>
      <c r="B218" s="1847" t="s">
        <v>5</v>
      </c>
      <c r="C218" s="1848">
        <v>32969055.5</v>
      </c>
      <c r="D218" s="1849">
        <v>2915100.9</v>
      </c>
      <c r="E218" s="1848">
        <v>6731856.8399999999</v>
      </c>
      <c r="F218" s="1849">
        <v>42616013.239999995</v>
      </c>
    </row>
    <row r="219" spans="1:6" ht="15.75" customHeight="1" x14ac:dyDescent="0.2">
      <c r="A219" s="7512"/>
      <c r="B219" s="1850" t="s">
        <v>11</v>
      </c>
      <c r="C219" s="1851">
        <v>19051320</v>
      </c>
      <c r="D219" s="1852">
        <v>3137110.92</v>
      </c>
      <c r="E219" s="1851">
        <v>8254541.1900000004</v>
      </c>
      <c r="F219" s="1852">
        <v>30442972.110000003</v>
      </c>
    </row>
    <row r="220" spans="1:6" ht="15.75" customHeight="1" x14ac:dyDescent="0.2">
      <c r="A220" s="7512"/>
      <c r="B220" s="1850" t="s">
        <v>6</v>
      </c>
      <c r="C220" s="1851">
        <v>10277140.540000001</v>
      </c>
      <c r="D220" s="1852">
        <v>1856838.41</v>
      </c>
      <c r="E220" s="1851">
        <v>42021176.009999998</v>
      </c>
      <c r="F220" s="1852">
        <v>54155154.960000001</v>
      </c>
    </row>
    <row r="221" spans="1:6" ht="15.75" customHeight="1" x14ac:dyDescent="0.2">
      <c r="A221" s="7512"/>
      <c r="B221" s="1850" t="s">
        <v>606</v>
      </c>
      <c r="C221" s="1851">
        <v>300000</v>
      </c>
      <c r="D221" s="1852">
        <v>40000</v>
      </c>
      <c r="E221" s="1851">
        <v>1393936.16</v>
      </c>
      <c r="F221" s="1852">
        <v>1733936.16</v>
      </c>
    </row>
    <row r="222" spans="1:6" ht="15.75" customHeight="1" x14ac:dyDescent="0.2">
      <c r="A222" s="7513"/>
      <c r="B222" s="1853" t="s">
        <v>12</v>
      </c>
      <c r="C222" s="1854">
        <v>62597516.039999999</v>
      </c>
      <c r="D222" s="1855">
        <v>7949050.2300000004</v>
      </c>
      <c r="E222" s="1854">
        <v>58401510.199999988</v>
      </c>
      <c r="F222" s="1855">
        <v>128948076.47</v>
      </c>
    </row>
    <row r="223" spans="1:6" ht="15.75" customHeight="1" x14ac:dyDescent="0.2">
      <c r="A223" s="7511" t="s">
        <v>10</v>
      </c>
      <c r="B223" s="1847" t="s">
        <v>11</v>
      </c>
      <c r="C223" s="1848">
        <v>1741489.49</v>
      </c>
      <c r="D223" s="1849">
        <v>1069004</v>
      </c>
      <c r="E223" s="1848">
        <v>13771462.439999998</v>
      </c>
      <c r="F223" s="1849">
        <v>16581955.929999998</v>
      </c>
    </row>
    <row r="224" spans="1:6" ht="15.75" customHeight="1" x14ac:dyDescent="0.2">
      <c r="A224" s="7512"/>
      <c r="B224" s="1850" t="s">
        <v>6</v>
      </c>
      <c r="C224" s="1851">
        <v>3729817.24</v>
      </c>
      <c r="D224" s="1852">
        <v>1438585.43</v>
      </c>
      <c r="E224" s="1851">
        <v>9737869.4500000011</v>
      </c>
      <c r="F224" s="1852">
        <v>14906272.120000001</v>
      </c>
    </row>
    <row r="225" spans="1:6" ht="15.75" customHeight="1" x14ac:dyDescent="0.2">
      <c r="A225" s="7512"/>
      <c r="B225" s="1850" t="s">
        <v>7</v>
      </c>
      <c r="C225" s="1851">
        <v>1689090</v>
      </c>
      <c r="D225" s="1852">
        <v>611473.25</v>
      </c>
      <c r="E225" s="1851">
        <v>13614352.57</v>
      </c>
      <c r="F225" s="1852">
        <v>15914915.82</v>
      </c>
    </row>
    <row r="226" spans="1:6" ht="15.75" customHeight="1" x14ac:dyDescent="0.2">
      <c r="A226" s="7512"/>
      <c r="B226" s="1850" t="s">
        <v>607</v>
      </c>
      <c r="C226" s="1851"/>
      <c r="D226" s="1852"/>
      <c r="E226" s="1851"/>
      <c r="F226" s="1852">
        <v>0</v>
      </c>
    </row>
    <row r="227" spans="1:6" ht="15.75" customHeight="1" x14ac:dyDescent="0.2">
      <c r="A227" s="7513"/>
      <c r="B227" s="1853" t="s">
        <v>12</v>
      </c>
      <c r="C227" s="1854">
        <v>7160396.7300000004</v>
      </c>
      <c r="D227" s="1855">
        <v>3119062.6799999997</v>
      </c>
      <c r="E227" s="1854">
        <v>37123684.460000001</v>
      </c>
      <c r="F227" s="1855">
        <v>47403143.869999997</v>
      </c>
    </row>
    <row r="228" spans="1:6" ht="15.75" customHeight="1" x14ac:dyDescent="0.2">
      <c r="A228" s="1856" t="s">
        <v>325</v>
      </c>
      <c r="B228" s="1857"/>
      <c r="C228" s="1858"/>
      <c r="D228" s="1858"/>
      <c r="E228" s="1858"/>
      <c r="F228" s="1858">
        <v>0</v>
      </c>
    </row>
    <row r="229" spans="1:6" ht="15.75" customHeight="1" x14ac:dyDescent="0.2">
      <c r="A229" s="1856" t="s">
        <v>600</v>
      </c>
      <c r="B229" s="1859" t="s">
        <v>12</v>
      </c>
      <c r="C229" s="1860">
        <v>2234937.08</v>
      </c>
      <c r="D229" s="1860">
        <v>48940000</v>
      </c>
      <c r="E229" s="1860">
        <v>2709513.06</v>
      </c>
      <c r="F229" s="1860">
        <v>53884450.140000001</v>
      </c>
    </row>
    <row r="230" spans="1:6" ht="15.75" customHeight="1" x14ac:dyDescent="0.2">
      <c r="A230" s="7514" t="s">
        <v>76</v>
      </c>
      <c r="B230" s="7514"/>
      <c r="C230" s="1861">
        <v>92512439.519999996</v>
      </c>
      <c r="D230" s="1861">
        <v>70577844.950000003</v>
      </c>
      <c r="E230" s="1861">
        <v>158874723.85999998</v>
      </c>
      <c r="F230" s="1861">
        <v>321965008.32999998</v>
      </c>
    </row>
    <row r="231" spans="1:6" ht="15" customHeight="1" x14ac:dyDescent="0.2">
      <c r="A231" s="261"/>
      <c r="F231" s="261"/>
    </row>
    <row r="232" spans="1:6" ht="25.5" x14ac:dyDescent="0.2">
      <c r="A232" s="1862" t="s">
        <v>16</v>
      </c>
      <c r="B232" s="1863" t="s">
        <v>596</v>
      </c>
      <c r="C232" s="1864" t="s">
        <v>601</v>
      </c>
      <c r="D232" s="1864" t="s">
        <v>598</v>
      </c>
      <c r="E232" s="1865" t="s">
        <v>599</v>
      </c>
      <c r="F232" s="3455" t="s">
        <v>791</v>
      </c>
    </row>
    <row r="233" spans="1:6" ht="15" customHeight="1" x14ac:dyDescent="0.2">
      <c r="A233" s="1867" t="s">
        <v>3</v>
      </c>
      <c r="B233" s="1868"/>
      <c r="C233" s="1868">
        <v>9254426.5</v>
      </c>
      <c r="D233" s="1868">
        <v>5464969</v>
      </c>
      <c r="E233" s="1868"/>
      <c r="F233" s="1869">
        <f>SUM(B233:E233)</f>
        <v>14719395.5</v>
      </c>
    </row>
    <row r="234" spans="1:6" ht="15" customHeight="1" x14ac:dyDescent="0.2">
      <c r="A234" s="1870" t="s">
        <v>8</v>
      </c>
      <c r="B234" s="1871"/>
      <c r="C234" s="1871">
        <v>11133507.5</v>
      </c>
      <c r="D234" s="1871">
        <v>7867523</v>
      </c>
      <c r="E234" s="1871"/>
      <c r="F234" s="1872">
        <f>SUM(B234:E234)</f>
        <v>19001030.5</v>
      </c>
    </row>
    <row r="235" spans="1:6" ht="15" customHeight="1" x14ac:dyDescent="0.2">
      <c r="A235" s="1870" t="s">
        <v>75</v>
      </c>
      <c r="B235" s="1871"/>
      <c r="C235" s="1871">
        <v>11902608.5</v>
      </c>
      <c r="D235" s="1871">
        <v>10264607.279999999</v>
      </c>
      <c r="E235" s="1871"/>
      <c r="F235" s="1872">
        <f>SUM(B235:E235)</f>
        <v>22167215.780000001</v>
      </c>
    </row>
    <row r="236" spans="1:6" ht="15" customHeight="1" x14ac:dyDescent="0.2">
      <c r="A236" s="1870" t="s">
        <v>10</v>
      </c>
      <c r="B236" s="1871"/>
      <c r="C236" s="1871">
        <v>10907726.5</v>
      </c>
      <c r="D236" s="1871">
        <v>7862411.3700000001</v>
      </c>
      <c r="E236" s="1871"/>
      <c r="F236" s="1872">
        <f>SUM(B236:E236)</f>
        <v>18770137.870000001</v>
      </c>
    </row>
    <row r="237" spans="1:6" ht="15" customHeight="1" x14ac:dyDescent="0.2">
      <c r="A237" s="1870" t="s">
        <v>600</v>
      </c>
      <c r="B237" s="1871"/>
      <c r="C237" s="1873">
        <v>6435628</v>
      </c>
      <c r="D237" s="1871"/>
      <c r="E237" s="1871"/>
      <c r="F237" s="1872">
        <f>SUM(B237:E237)</f>
        <v>6435628</v>
      </c>
    </row>
    <row r="238" spans="1:6" ht="15" customHeight="1" x14ac:dyDescent="0.2">
      <c r="A238" s="1874" t="s">
        <v>76</v>
      </c>
      <c r="B238" s="1875">
        <f>SUM(B233:B237)</f>
        <v>0</v>
      </c>
      <c r="C238" s="1876">
        <f>SUM(C233:C237)</f>
        <v>49633897</v>
      </c>
      <c r="D238" s="1876">
        <f>SUM(D233:D237)</f>
        <v>31459510.650000002</v>
      </c>
      <c r="E238" s="1877">
        <f>SUM(E233:E237)</f>
        <v>0</v>
      </c>
      <c r="F238" s="1877">
        <f>SUM(F233:F237)</f>
        <v>81093407.650000006</v>
      </c>
    </row>
    <row r="239" spans="1:6" ht="15" customHeight="1" x14ac:dyDescent="0.2">
      <c r="A239" s="23"/>
      <c r="B239" s="23"/>
      <c r="C239" s="23"/>
      <c r="D239" s="23"/>
      <c r="E239" s="23"/>
      <c r="F239" s="23"/>
    </row>
    <row r="240" spans="1:6" ht="25.5" x14ac:dyDescent="0.2">
      <c r="A240" s="1866" t="s">
        <v>16</v>
      </c>
      <c r="B240" s="2598" t="s">
        <v>596</v>
      </c>
      <c r="C240" s="2599" t="s">
        <v>601</v>
      </c>
      <c r="D240" s="2599" t="s">
        <v>598</v>
      </c>
      <c r="E240" s="2600" t="s">
        <v>599</v>
      </c>
      <c r="F240" s="3455" t="s">
        <v>790</v>
      </c>
    </row>
    <row r="241" spans="1:6" ht="15" customHeight="1" x14ac:dyDescent="0.2">
      <c r="A241" s="2593" t="s">
        <v>3</v>
      </c>
      <c r="B241" s="2594">
        <v>9727056</v>
      </c>
      <c r="C241" s="2595">
        <v>8261586.5</v>
      </c>
      <c r="D241" s="2596">
        <v>6262672.3899999997</v>
      </c>
      <c r="E241" s="2597">
        <v>271144834.35000002</v>
      </c>
      <c r="F241" s="1869">
        <f>SUM(B241:E241)</f>
        <v>295396149.24000001</v>
      </c>
    </row>
    <row r="242" spans="1:6" ht="15" customHeight="1" x14ac:dyDescent="0.2">
      <c r="A242" s="1870" t="s">
        <v>8</v>
      </c>
      <c r="B242" s="1881">
        <v>5932280</v>
      </c>
      <c r="C242" s="1879">
        <v>12613481.49</v>
      </c>
      <c r="D242" s="1879">
        <v>1689340</v>
      </c>
      <c r="E242" s="1882">
        <v>21127838.989999998</v>
      </c>
      <c r="F242" s="1872">
        <f>SUM(B242:E242)</f>
        <v>41362940.480000004</v>
      </c>
    </row>
    <row r="243" spans="1:6" ht="15" customHeight="1" x14ac:dyDescent="0.2">
      <c r="A243" s="1870" t="s">
        <v>75</v>
      </c>
      <c r="B243" s="1881">
        <v>42493904</v>
      </c>
      <c r="C243" s="1879">
        <v>10524274.49</v>
      </c>
      <c r="D243" s="1879">
        <v>1901804</v>
      </c>
      <c r="E243" s="1882">
        <v>42076951.130000003</v>
      </c>
      <c r="F243" s="1872">
        <f>SUM(B243:E243)</f>
        <v>96996933.620000005</v>
      </c>
    </row>
    <row r="244" spans="1:6" ht="15" customHeight="1" x14ac:dyDescent="0.2">
      <c r="A244" s="1870" t="s">
        <v>10</v>
      </c>
      <c r="B244" s="1881">
        <v>9442000</v>
      </c>
      <c r="C244" s="1879">
        <v>9619077</v>
      </c>
      <c r="D244" s="1879">
        <v>3226235</v>
      </c>
      <c r="E244" s="1882">
        <v>63932340.630000003</v>
      </c>
      <c r="F244" s="1872">
        <f>SUM(B244:E244)</f>
        <v>86219652.629999995</v>
      </c>
    </row>
    <row r="245" spans="1:6" ht="15" customHeight="1" x14ac:dyDescent="0.2">
      <c r="A245" s="1870" t="s">
        <v>600</v>
      </c>
      <c r="B245" s="1878"/>
      <c r="C245" s="1871">
        <v>6104073</v>
      </c>
      <c r="D245" s="1879"/>
      <c r="E245" s="1882">
        <v>29753020.530000001</v>
      </c>
      <c r="F245" s="1872">
        <f>SUM(B245:E245)</f>
        <v>35857093.530000001</v>
      </c>
    </row>
    <row r="246" spans="1:6" ht="15" customHeight="1" x14ac:dyDescent="0.2">
      <c r="A246" s="1874" t="s">
        <v>76</v>
      </c>
      <c r="B246" s="1875">
        <f>SUM(B241:B244)</f>
        <v>67595240</v>
      </c>
      <c r="C246" s="1876">
        <f>SUM(C241:C245)</f>
        <v>47122492.480000004</v>
      </c>
      <c r="D246" s="1876">
        <f>SUM(D241:D245)</f>
        <v>13080051.390000001</v>
      </c>
      <c r="E246" s="1877">
        <f>SUM(E241:E245)</f>
        <v>428034985.63</v>
      </c>
      <c r="F246" s="1877">
        <f t="shared" ref="F246:F284" si="2">SUM(B246:E246)</f>
        <v>555832769.5</v>
      </c>
    </row>
    <row r="247" spans="1:6" ht="15" customHeight="1" x14ac:dyDescent="0.2">
      <c r="A247" s="23"/>
      <c r="B247" s="23"/>
      <c r="C247" s="23"/>
      <c r="D247" s="23"/>
      <c r="E247" s="23"/>
      <c r="F247" s="23"/>
    </row>
    <row r="248" spans="1:6" ht="25.5" x14ac:dyDescent="0.2">
      <c r="A248" s="1866" t="s">
        <v>16</v>
      </c>
      <c r="B248" s="2598" t="s">
        <v>596</v>
      </c>
      <c r="C248" s="2599" t="s">
        <v>601</v>
      </c>
      <c r="D248" s="2599" t="s">
        <v>598</v>
      </c>
      <c r="E248" s="2600" t="s">
        <v>599</v>
      </c>
      <c r="F248" s="3455" t="s">
        <v>792</v>
      </c>
    </row>
    <row r="249" spans="1:6" ht="15" customHeight="1" x14ac:dyDescent="0.2">
      <c r="A249" s="1870" t="s">
        <v>3</v>
      </c>
      <c r="B249" s="1878">
        <v>6302501</v>
      </c>
      <c r="C249" s="1871">
        <v>9938520</v>
      </c>
      <c r="D249" s="1871">
        <v>5098179</v>
      </c>
      <c r="E249" s="1880">
        <v>184991467</v>
      </c>
      <c r="F249" s="1872">
        <f t="shared" si="2"/>
        <v>206330667</v>
      </c>
    </row>
    <row r="250" spans="1:6" ht="15" customHeight="1" x14ac:dyDescent="0.2">
      <c r="A250" s="1870" t="s">
        <v>8</v>
      </c>
      <c r="B250" s="1881">
        <v>4410959</v>
      </c>
      <c r="C250" s="1879">
        <v>6227891.5</v>
      </c>
      <c r="D250" s="1879">
        <v>3548227.5</v>
      </c>
      <c r="E250" s="1882">
        <v>1662486</v>
      </c>
      <c r="F250" s="1872">
        <f t="shared" si="2"/>
        <v>15849564</v>
      </c>
    </row>
    <row r="251" spans="1:6" ht="15" customHeight="1" x14ac:dyDescent="0.2">
      <c r="A251" s="1870" t="s">
        <v>75</v>
      </c>
      <c r="B251" s="1881">
        <v>104076015</v>
      </c>
      <c r="C251" s="1879">
        <v>20547239.5</v>
      </c>
      <c r="D251" s="1879">
        <v>4781768.82</v>
      </c>
      <c r="E251" s="1882">
        <v>72916433</v>
      </c>
      <c r="F251" s="1872">
        <f t="shared" si="2"/>
        <v>202321456.31999999</v>
      </c>
    </row>
    <row r="252" spans="1:6" ht="15" customHeight="1" x14ac:dyDescent="0.2">
      <c r="A252" s="1870" t="s">
        <v>10</v>
      </c>
      <c r="B252" s="1881">
        <v>7327765</v>
      </c>
      <c r="C252" s="1879">
        <v>8460064.5</v>
      </c>
      <c r="D252" s="1879">
        <v>3249246.5</v>
      </c>
      <c r="E252" s="1882">
        <v>114111673.52</v>
      </c>
      <c r="F252" s="1872">
        <f t="shared" si="2"/>
        <v>133148749.52</v>
      </c>
    </row>
    <row r="253" spans="1:6" ht="15" customHeight="1" x14ac:dyDescent="0.2">
      <c r="A253" s="1874" t="s">
        <v>76</v>
      </c>
      <c r="B253" s="1875">
        <f>SUM(B249:B252)</f>
        <v>122117240</v>
      </c>
      <c r="C253" s="1876">
        <f>SUM(C249:C252)</f>
        <v>45173715.5</v>
      </c>
      <c r="D253" s="1876">
        <f>SUM(D249:D252)</f>
        <v>16677421.82</v>
      </c>
      <c r="E253" s="1877">
        <f>SUM(E249:E252)</f>
        <v>373682059.51999998</v>
      </c>
      <c r="F253" s="1877">
        <f t="shared" si="2"/>
        <v>557650436.83999991</v>
      </c>
    </row>
    <row r="254" spans="1:6" ht="15" customHeight="1" x14ac:dyDescent="0.2">
      <c r="A254" s="23"/>
      <c r="B254" s="23"/>
      <c r="C254" s="23"/>
      <c r="D254" s="23"/>
      <c r="E254" s="23"/>
      <c r="F254" s="23"/>
    </row>
    <row r="255" spans="1:6" ht="25.5" x14ac:dyDescent="0.2">
      <c r="A255" s="1866" t="s">
        <v>16</v>
      </c>
      <c r="B255" s="2598" t="s">
        <v>596</v>
      </c>
      <c r="C255" s="2599" t="s">
        <v>601</v>
      </c>
      <c r="D255" s="2599" t="s">
        <v>598</v>
      </c>
      <c r="E255" s="2600" t="s">
        <v>599</v>
      </c>
      <c r="F255" s="3455" t="s">
        <v>796</v>
      </c>
    </row>
    <row r="256" spans="1:6" ht="15" customHeight="1" x14ac:dyDescent="0.2">
      <c r="A256" s="1870" t="s">
        <v>3</v>
      </c>
      <c r="B256" s="1879">
        <v>1328274</v>
      </c>
      <c r="C256" s="1879">
        <v>9182741</v>
      </c>
      <c r="D256" s="1883">
        <v>1138406</v>
      </c>
      <c r="E256" s="1879">
        <v>166598735</v>
      </c>
      <c r="F256" s="1872">
        <f t="shared" si="2"/>
        <v>178248156</v>
      </c>
    </row>
    <row r="257" spans="1:6" ht="15" customHeight="1" x14ac:dyDescent="0.2">
      <c r="A257" s="1870" t="s">
        <v>8</v>
      </c>
      <c r="B257" s="1879">
        <v>3213709.75</v>
      </c>
      <c r="C257" s="1879">
        <v>2441999</v>
      </c>
      <c r="D257" s="1883">
        <v>0</v>
      </c>
      <c r="E257" s="1879">
        <v>0</v>
      </c>
      <c r="F257" s="1872">
        <f t="shared" si="2"/>
        <v>5655708.75</v>
      </c>
    </row>
    <row r="258" spans="1:6" ht="15" customHeight="1" x14ac:dyDescent="0.2">
      <c r="A258" s="1870" t="s">
        <v>75</v>
      </c>
      <c r="B258" s="1879">
        <v>14134764.5</v>
      </c>
      <c r="C258" s="1879">
        <v>20303835</v>
      </c>
      <c r="D258" s="1883">
        <v>534536.12000000104</v>
      </c>
      <c r="E258" s="1879">
        <v>87034635.359999999</v>
      </c>
      <c r="F258" s="1872">
        <f t="shared" si="2"/>
        <v>122007770.98</v>
      </c>
    </row>
    <row r="259" spans="1:6" ht="15" customHeight="1" x14ac:dyDescent="0.2">
      <c r="A259" s="1870" t="s">
        <v>10</v>
      </c>
      <c r="B259" s="1879">
        <v>1793539</v>
      </c>
      <c r="C259" s="1879">
        <v>14339635</v>
      </c>
      <c r="D259" s="1883">
        <v>0</v>
      </c>
      <c r="E259" s="1879">
        <v>26044889.030000001</v>
      </c>
      <c r="F259" s="1872">
        <f t="shared" si="2"/>
        <v>42178063.030000001</v>
      </c>
    </row>
    <row r="260" spans="1:6" ht="15" customHeight="1" x14ac:dyDescent="0.2">
      <c r="A260" s="1874" t="s">
        <v>76</v>
      </c>
      <c r="B260" s="1875">
        <f>SUM(B256:B259)</f>
        <v>20470287.25</v>
      </c>
      <c r="C260" s="1876">
        <f>SUM(C256:C259)</f>
        <v>46268210</v>
      </c>
      <c r="D260" s="1876">
        <f>SUM(D256:D259)</f>
        <v>1672942.120000001</v>
      </c>
      <c r="E260" s="1877">
        <f>SUM(E256:E259)</f>
        <v>279678259.38999999</v>
      </c>
      <c r="F260" s="1877">
        <f t="shared" si="2"/>
        <v>348089698.75999999</v>
      </c>
    </row>
    <row r="261" spans="1:6" ht="15" customHeight="1" x14ac:dyDescent="0.2">
      <c r="A261" s="23"/>
      <c r="B261" s="23"/>
      <c r="C261" s="23"/>
      <c r="D261" s="23"/>
      <c r="E261" s="23"/>
      <c r="F261" s="23"/>
    </row>
    <row r="262" spans="1:6" ht="25.5" x14ac:dyDescent="0.2">
      <c r="A262" s="1866" t="s">
        <v>16</v>
      </c>
      <c r="B262" s="2598" t="s">
        <v>596</v>
      </c>
      <c r="C262" s="2599" t="s">
        <v>601</v>
      </c>
      <c r="D262" s="2599" t="s">
        <v>598</v>
      </c>
      <c r="E262" s="2600" t="s">
        <v>599</v>
      </c>
      <c r="F262" s="3455" t="s">
        <v>795</v>
      </c>
    </row>
    <row r="263" spans="1:6" ht="15" customHeight="1" x14ac:dyDescent="0.2">
      <c r="A263" s="1870" t="s">
        <v>3</v>
      </c>
      <c r="B263" s="1881">
        <v>1589645</v>
      </c>
      <c r="C263" s="1879">
        <v>14508470</v>
      </c>
      <c r="D263" s="1879">
        <v>5357922</v>
      </c>
      <c r="E263" s="1882">
        <v>94658674</v>
      </c>
      <c r="F263" s="1872">
        <f t="shared" si="2"/>
        <v>116114711</v>
      </c>
    </row>
    <row r="264" spans="1:6" ht="15" customHeight="1" x14ac:dyDescent="0.2">
      <c r="A264" s="1870" t="s">
        <v>8</v>
      </c>
      <c r="B264" s="1881">
        <v>590057</v>
      </c>
      <c r="C264" s="1879">
        <v>3000000</v>
      </c>
      <c r="D264" s="1883">
        <v>0</v>
      </c>
      <c r="E264" s="1882">
        <v>0</v>
      </c>
      <c r="F264" s="1872">
        <f t="shared" si="2"/>
        <v>3590057</v>
      </c>
    </row>
    <row r="265" spans="1:6" ht="15" customHeight="1" x14ac:dyDescent="0.2">
      <c r="A265" s="1870" t="s">
        <v>75</v>
      </c>
      <c r="B265" s="1881">
        <v>38597941</v>
      </c>
      <c r="C265" s="1879">
        <v>14770800</v>
      </c>
      <c r="D265" s="1879">
        <v>4106781</v>
      </c>
      <c r="E265" s="1882">
        <v>133158463</v>
      </c>
      <c r="F265" s="1872">
        <f t="shared" si="2"/>
        <v>190633985</v>
      </c>
    </row>
    <row r="266" spans="1:6" ht="15" customHeight="1" x14ac:dyDescent="0.2">
      <c r="A266" s="1870" t="s">
        <v>10</v>
      </c>
      <c r="B266" s="1881">
        <v>4233736</v>
      </c>
      <c r="C266" s="1879">
        <v>15642200</v>
      </c>
      <c r="D266" s="1879">
        <v>979538</v>
      </c>
      <c r="E266" s="1882">
        <v>25099467.310000002</v>
      </c>
      <c r="F266" s="1872">
        <f t="shared" si="2"/>
        <v>45954941.310000002</v>
      </c>
    </row>
    <row r="267" spans="1:6" ht="15" customHeight="1" x14ac:dyDescent="0.2">
      <c r="A267" s="1870" t="s">
        <v>600</v>
      </c>
      <c r="B267" s="1881"/>
      <c r="C267" s="1879">
        <v>3282300</v>
      </c>
      <c r="D267" s="1879"/>
      <c r="E267" s="1882"/>
      <c r="F267" s="1872">
        <f t="shared" si="2"/>
        <v>3282300</v>
      </c>
    </row>
    <row r="268" spans="1:6" ht="15" customHeight="1" x14ac:dyDescent="0.2">
      <c r="A268" s="1874" t="s">
        <v>76</v>
      </c>
      <c r="B268" s="1875">
        <f>SUM(B263:B266)</f>
        <v>45011379</v>
      </c>
      <c r="C268" s="1876">
        <f>SUM(C263:C267)</f>
        <v>51203770</v>
      </c>
      <c r="D268" s="1876">
        <f>SUM(D263:D266)</f>
        <v>10444241</v>
      </c>
      <c r="E268" s="1877">
        <f>SUM(E263:E266)</f>
        <v>252916604.31</v>
      </c>
      <c r="F268" s="1877">
        <f t="shared" si="2"/>
        <v>359575994.31</v>
      </c>
    </row>
    <row r="269" spans="1:6" ht="15" customHeight="1" x14ac:dyDescent="0.2">
      <c r="A269" s="23"/>
      <c r="B269" s="23"/>
      <c r="C269" s="23"/>
      <c r="D269" s="23"/>
      <c r="E269" s="23"/>
      <c r="F269" s="23"/>
    </row>
    <row r="270" spans="1:6" ht="25.5" x14ac:dyDescent="0.2">
      <c r="A270" s="1866" t="s">
        <v>16</v>
      </c>
      <c r="B270" s="2598" t="s">
        <v>596</v>
      </c>
      <c r="C270" s="2599" t="s">
        <v>601</v>
      </c>
      <c r="D270" s="2599" t="s">
        <v>598</v>
      </c>
      <c r="E270" s="2600" t="s">
        <v>599</v>
      </c>
      <c r="F270" s="3455" t="s">
        <v>794</v>
      </c>
    </row>
    <row r="271" spans="1:6" ht="15" customHeight="1" x14ac:dyDescent="0.2">
      <c r="A271" s="1870" t="s">
        <v>3</v>
      </c>
      <c r="B271" s="1881">
        <v>7032471</v>
      </c>
      <c r="C271" s="1879">
        <v>21120000</v>
      </c>
      <c r="D271" s="1879">
        <v>13257010</v>
      </c>
      <c r="E271" s="1884">
        <v>60054495</v>
      </c>
      <c r="F271" s="1885">
        <f t="shared" si="2"/>
        <v>101463976</v>
      </c>
    </row>
    <row r="272" spans="1:6" ht="15" hidden="1" customHeight="1" x14ac:dyDescent="0.2">
      <c r="A272" s="1870" t="s">
        <v>8</v>
      </c>
      <c r="B272" s="1881"/>
      <c r="C272" s="1879"/>
      <c r="D272" s="1883">
        <v>0</v>
      </c>
      <c r="E272" s="1884"/>
      <c r="F272" s="1885">
        <f t="shared" si="2"/>
        <v>0</v>
      </c>
    </row>
    <row r="273" spans="1:6" ht="15" customHeight="1" x14ac:dyDescent="0.2">
      <c r="A273" s="1870" t="s">
        <v>75</v>
      </c>
      <c r="B273" s="1881">
        <v>44277028</v>
      </c>
      <c r="C273" s="1879">
        <v>23299500</v>
      </c>
      <c r="D273" s="1879">
        <v>21294567</v>
      </c>
      <c r="E273" s="1882">
        <v>67360925</v>
      </c>
      <c r="F273" s="1872">
        <f t="shared" si="2"/>
        <v>156232020</v>
      </c>
    </row>
    <row r="274" spans="1:6" ht="15" customHeight="1" x14ac:dyDescent="0.2">
      <c r="A274" s="1870" t="s">
        <v>10</v>
      </c>
      <c r="B274" s="1881">
        <v>13399515</v>
      </c>
      <c r="C274" s="1879">
        <v>4827560</v>
      </c>
      <c r="D274" s="1879">
        <v>10975188.600000001</v>
      </c>
      <c r="E274" s="1882">
        <v>24953540.850000001</v>
      </c>
      <c r="F274" s="1872">
        <f t="shared" si="2"/>
        <v>54155804.450000003</v>
      </c>
    </row>
    <row r="275" spans="1:6" ht="15" customHeight="1" x14ac:dyDescent="0.2">
      <c r="A275" s="1870" t="s">
        <v>600</v>
      </c>
      <c r="B275" s="1881"/>
      <c r="C275" s="1879">
        <v>1200000</v>
      </c>
      <c r="D275" s="1879">
        <v>0</v>
      </c>
      <c r="E275" s="1882"/>
      <c r="F275" s="1872">
        <f t="shared" si="2"/>
        <v>1200000</v>
      </c>
    </row>
    <row r="276" spans="1:6" ht="15" customHeight="1" x14ac:dyDescent="0.2">
      <c r="A276" s="1874" t="s">
        <v>76</v>
      </c>
      <c r="B276" s="1875">
        <f>SUM(B271:B274)</f>
        <v>64709014</v>
      </c>
      <c r="C276" s="1876">
        <f>SUM(C271:C275)</f>
        <v>50447060</v>
      </c>
      <c r="D276" s="1876">
        <f>SUM(D271:D274)</f>
        <v>45526765.600000001</v>
      </c>
      <c r="E276" s="1877">
        <f>SUM(E271:E274)</f>
        <v>152368960.84999999</v>
      </c>
      <c r="F276" s="1877">
        <f t="shared" si="2"/>
        <v>313051800.44999999</v>
      </c>
    </row>
    <row r="277" spans="1:6" ht="15" customHeight="1" x14ac:dyDescent="0.2">
      <c r="A277" s="23"/>
      <c r="B277" s="23"/>
      <c r="C277" s="23"/>
      <c r="D277" s="23"/>
      <c r="E277" s="23"/>
      <c r="F277" s="23"/>
    </row>
    <row r="278" spans="1:6" ht="25.5" x14ac:dyDescent="0.2">
      <c r="A278" s="1866" t="s">
        <v>16</v>
      </c>
      <c r="B278" s="2598" t="s">
        <v>596</v>
      </c>
      <c r="C278" s="2599" t="s">
        <v>601</v>
      </c>
      <c r="D278" s="2599" t="s">
        <v>598</v>
      </c>
      <c r="E278" s="2600" t="s">
        <v>599</v>
      </c>
      <c r="F278" s="3455" t="s">
        <v>793</v>
      </c>
    </row>
    <row r="279" spans="1:6" ht="15" customHeight="1" x14ac:dyDescent="0.2">
      <c r="A279" s="1870" t="s">
        <v>3</v>
      </c>
      <c r="B279" s="1881">
        <v>4620779</v>
      </c>
      <c r="C279" s="1879">
        <v>8323780</v>
      </c>
      <c r="D279" s="1883">
        <v>0</v>
      </c>
      <c r="E279" s="1884">
        <v>48075657</v>
      </c>
      <c r="F279" s="1885">
        <f t="shared" si="2"/>
        <v>61020216</v>
      </c>
    </row>
    <row r="280" spans="1:6" ht="15" hidden="1" customHeight="1" x14ac:dyDescent="0.2">
      <c r="A280" s="1870" t="s">
        <v>8</v>
      </c>
      <c r="B280" s="1881"/>
      <c r="C280" s="1879"/>
      <c r="D280" s="1879">
        <v>0</v>
      </c>
      <c r="E280" s="1882"/>
      <c r="F280" s="1872">
        <f t="shared" si="2"/>
        <v>0</v>
      </c>
    </row>
    <row r="281" spans="1:6" ht="15" customHeight="1" x14ac:dyDescent="0.2">
      <c r="A281" s="1870" t="s">
        <v>75</v>
      </c>
      <c r="B281" s="1881">
        <v>53075214</v>
      </c>
      <c r="C281" s="1879">
        <v>22563080</v>
      </c>
      <c r="D281" s="1883">
        <v>0</v>
      </c>
      <c r="E281" s="1882">
        <v>51907185</v>
      </c>
      <c r="F281" s="1872">
        <f t="shared" si="2"/>
        <v>127545479</v>
      </c>
    </row>
    <row r="282" spans="1:6" ht="15" customHeight="1" x14ac:dyDescent="0.2">
      <c r="A282" s="1870" t="s">
        <v>10</v>
      </c>
      <c r="B282" s="1881">
        <v>2539424</v>
      </c>
      <c r="C282" s="1879">
        <v>21162980</v>
      </c>
      <c r="D282" s="1879">
        <v>0</v>
      </c>
      <c r="E282" s="1882">
        <v>21889498</v>
      </c>
      <c r="F282" s="1872">
        <f t="shared" si="2"/>
        <v>45591902</v>
      </c>
    </row>
    <row r="283" spans="1:6" ht="15" customHeight="1" x14ac:dyDescent="0.2">
      <c r="A283" s="1886" t="s">
        <v>600</v>
      </c>
      <c r="B283" s="1887"/>
      <c r="C283" s="1888">
        <v>2200000</v>
      </c>
      <c r="D283" s="1888"/>
      <c r="E283" s="1889"/>
      <c r="F283" s="1890">
        <f t="shared" si="2"/>
        <v>2200000</v>
      </c>
    </row>
    <row r="284" spans="1:6" ht="15" customHeight="1" x14ac:dyDescent="0.2">
      <c r="A284" s="1874" t="s">
        <v>76</v>
      </c>
      <c r="B284" s="1875">
        <f>SUM(B279:B282)</f>
        <v>60235417</v>
      </c>
      <c r="C284" s="1876">
        <f>SUM(C279:C283)</f>
        <v>54249840</v>
      </c>
      <c r="D284" s="1876">
        <f>SUM(D279:D282)</f>
        <v>0</v>
      </c>
      <c r="E284" s="1877">
        <f>SUM(E279:E282)</f>
        <v>121872340</v>
      </c>
      <c r="F284" s="1877">
        <f t="shared" si="2"/>
        <v>236357597</v>
      </c>
    </row>
    <row r="285" spans="1:6" s="1381" customFormat="1" ht="15" customHeight="1" x14ac:dyDescent="0.2">
      <c r="A285" s="1891"/>
      <c r="B285" s="1892"/>
      <c r="C285" s="1892"/>
      <c r="D285" s="1892"/>
      <c r="E285" s="1892"/>
      <c r="F285" s="1892"/>
    </row>
    <row r="286" spans="1:6" x14ac:dyDescent="0.2">
      <c r="A286" s="1891"/>
    </row>
    <row r="287" spans="1:6" x14ac:dyDescent="0.2">
      <c r="A287" s="578"/>
      <c r="B287" s="578"/>
      <c r="C287" s="578"/>
      <c r="D287" s="578"/>
      <c r="E287" s="578"/>
      <c r="F287" s="578"/>
    </row>
    <row r="288" spans="1:6" x14ac:dyDescent="0.2">
      <c r="A288" s="1893"/>
      <c r="B288" s="1893"/>
      <c r="C288" s="1893"/>
      <c r="D288" s="1894"/>
      <c r="E288" s="1893"/>
      <c r="F288" s="1893"/>
    </row>
    <row r="289" spans="1:6" x14ac:dyDescent="0.2">
      <c r="A289" s="1785"/>
      <c r="B289" s="1785"/>
      <c r="C289" s="1785"/>
      <c r="D289" s="1785"/>
      <c r="E289" s="1785"/>
      <c r="F289" s="1785"/>
    </row>
    <row r="290" spans="1:6" x14ac:dyDescent="0.2">
      <c r="A290" s="1785"/>
      <c r="B290" s="1785"/>
      <c r="C290" s="1785"/>
      <c r="D290" s="1785"/>
      <c r="E290" s="1785"/>
      <c r="F290" s="1785"/>
    </row>
    <row r="291" spans="1:6" x14ac:dyDescent="0.2">
      <c r="A291" s="1785"/>
      <c r="B291" s="1785"/>
      <c r="C291" s="1785"/>
      <c r="D291" s="1785"/>
      <c r="E291" s="1785"/>
      <c r="F291" s="1785"/>
    </row>
    <row r="292" spans="1:6" x14ac:dyDescent="0.2">
      <c r="A292" s="261"/>
    </row>
  </sheetData>
  <sheetProtection algorithmName="SHA-512" hashValue="BovqQUltvk5v1+Oxm0VIV9cTtgTPP35y4IG3L+LPPUQiii2vHMWFP0G2mqnk7YaY1tAQyzJGh/LZx97r8uM+EQ==" saltValue="SjaQ9Cf7ef6V7HJJ7q8y/w==" spinCount="100000" sheet="1" objects="1" scenarios="1"/>
  <mergeCells count="42">
    <mergeCell ref="A65:B65"/>
    <mergeCell ref="A37:A41"/>
    <mergeCell ref="A42:A46"/>
    <mergeCell ref="A47:A52"/>
    <mergeCell ref="A53:A57"/>
    <mergeCell ref="A58:A63"/>
    <mergeCell ref="A213:A217"/>
    <mergeCell ref="A218:A222"/>
    <mergeCell ref="A223:A227"/>
    <mergeCell ref="A208:A212"/>
    <mergeCell ref="A230:B230"/>
    <mergeCell ref="A205:B205"/>
    <mergeCell ref="A156:A159"/>
    <mergeCell ref="A160:A164"/>
    <mergeCell ref="A165:A169"/>
    <mergeCell ref="A170:A173"/>
    <mergeCell ref="A174:A178"/>
    <mergeCell ref="A180:B180"/>
    <mergeCell ref="A144:A146"/>
    <mergeCell ref="A147:A151"/>
    <mergeCell ref="A153:B153"/>
    <mergeCell ref="A130:A133"/>
    <mergeCell ref="A134:A138"/>
    <mergeCell ref="A139:A143"/>
    <mergeCell ref="A125:B125"/>
    <mergeCell ref="A100:A103"/>
    <mergeCell ref="A104:A108"/>
    <mergeCell ref="A109:A113"/>
    <mergeCell ref="A114:A118"/>
    <mergeCell ref="A119:A123"/>
    <mergeCell ref="A95:B95"/>
    <mergeCell ref="A70:A73"/>
    <mergeCell ref="A74:A78"/>
    <mergeCell ref="A79:A83"/>
    <mergeCell ref="A84:A88"/>
    <mergeCell ref="A89:A93"/>
    <mergeCell ref="A32:B32"/>
    <mergeCell ref="A4:A8"/>
    <mergeCell ref="A9:A13"/>
    <mergeCell ref="A14:A19"/>
    <mergeCell ref="A20:A24"/>
    <mergeCell ref="A25:A30"/>
  </mergeCells>
  <printOptions horizontalCentered="1" verticalCentered="1"/>
  <pageMargins left="0.39370078740157483" right="0.39370078740157483" top="0.39370078740157483" bottom="0.39370078740157483" header="0" footer="0"/>
  <pageSetup scale="59" orientation="landscape" r:id="rId1"/>
  <headerFooter alignWithMargins="0"/>
  <rowBreaks count="4" manualBreakCount="4">
    <brk id="96" max="16383" man="1"/>
    <brk id="153" max="5" man="1"/>
    <brk id="205" max="5" man="1"/>
    <brk id="260" max="5" man="1"/>
  </rowBreaks>
  <ignoredErrors>
    <ignoredError sqref="F160:F174 F134:F151 F117 F104:F114 F119 F14:F25" formula="1"/>
    <ignoredError sqref="C42:F46 C47:E58" formulaRange="1"/>
    <ignoredError sqref="F47:F58" formula="1" formulaRange="1"/>
  </ignoredErrors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2:AL126"/>
  <sheetViews>
    <sheetView showGridLines="0" zoomScaleNormal="100" workbookViewId="0"/>
  </sheetViews>
  <sheetFormatPr baseColWidth="10" defaultRowHeight="12.75" x14ac:dyDescent="0.2"/>
  <cols>
    <col min="1" max="1" width="17" style="192" customWidth="1"/>
    <col min="2" max="2" width="11.42578125" style="192" customWidth="1"/>
    <col min="3" max="3" width="13" style="192" customWidth="1"/>
    <col min="4" max="4" width="10.7109375" style="192" customWidth="1"/>
    <col min="5" max="5" width="11.42578125" style="192"/>
    <col min="6" max="6" width="12.5703125" style="192" customWidth="1"/>
    <col min="7" max="7" width="10.7109375" style="192" customWidth="1"/>
    <col min="8" max="9" width="11.42578125" style="192"/>
    <col min="10" max="10" width="10.7109375" style="192" customWidth="1"/>
    <col min="11" max="11" width="11.42578125" style="192"/>
    <col min="12" max="12" width="20.85546875" style="192" customWidth="1"/>
    <col min="13" max="16384" width="11.42578125" style="192"/>
  </cols>
  <sheetData>
    <row r="2" spans="1:38" ht="15.75" x14ac:dyDescent="0.2">
      <c r="B2" s="5436" t="s">
        <v>602</v>
      </c>
      <c r="C2" s="5436"/>
      <c r="D2" s="5436"/>
      <c r="E2" s="5436"/>
      <c r="F2" s="5436"/>
      <c r="G2" s="5436"/>
    </row>
    <row r="3" spans="1:38" ht="18" customHeight="1" x14ac:dyDescent="0.2"/>
    <row r="4" spans="1:38" ht="18" customHeight="1" x14ac:dyDescent="0.2">
      <c r="A4" s="7533" t="s">
        <v>1664</v>
      </c>
      <c r="B4" s="7526" t="s">
        <v>1521</v>
      </c>
      <c r="C4" s="7527"/>
      <c r="D4" s="7528"/>
      <c r="E4" s="7526" t="s">
        <v>1522</v>
      </c>
      <c r="F4" s="7527"/>
      <c r="G4" s="7528"/>
      <c r="H4" s="7529">
        <v>2017</v>
      </c>
      <c r="I4" s="7530"/>
      <c r="J4" s="7531"/>
      <c r="AI4" s="208"/>
      <c r="AJ4" s="208"/>
      <c r="AK4" s="208"/>
      <c r="AL4" s="208"/>
    </row>
    <row r="5" spans="1:38" ht="18" customHeight="1" x14ac:dyDescent="0.2">
      <c r="A5" s="7534"/>
      <c r="B5" s="3383" t="s">
        <v>1523</v>
      </c>
      <c r="C5" s="3384" t="s">
        <v>1524</v>
      </c>
      <c r="D5" s="3400" t="s">
        <v>12</v>
      </c>
      <c r="E5" s="3384" t="s">
        <v>1523</v>
      </c>
      <c r="F5" s="3384" t="s">
        <v>1524</v>
      </c>
      <c r="G5" s="3400" t="s">
        <v>12</v>
      </c>
      <c r="H5" s="3384" t="s">
        <v>805</v>
      </c>
      <c r="I5" s="3384" t="s">
        <v>806</v>
      </c>
      <c r="J5" s="3400" t="s">
        <v>160</v>
      </c>
      <c r="L5" s="2684" t="s">
        <v>1230</v>
      </c>
      <c r="M5" s="564">
        <v>2003</v>
      </c>
      <c r="N5" s="564">
        <v>2004</v>
      </c>
      <c r="O5" s="564">
        <v>2005</v>
      </c>
      <c r="P5" s="564">
        <v>2006</v>
      </c>
      <c r="Q5" s="564">
        <v>2007</v>
      </c>
      <c r="R5" s="564">
        <v>2008</v>
      </c>
      <c r="S5" s="564">
        <v>2009</v>
      </c>
      <c r="T5" s="564">
        <v>2010</v>
      </c>
      <c r="U5" s="564">
        <v>2011</v>
      </c>
      <c r="V5" s="564">
        <v>2012</v>
      </c>
      <c r="W5" s="564">
        <v>2013</v>
      </c>
      <c r="X5" s="564">
        <v>2014</v>
      </c>
      <c r="Y5" s="3360">
        <v>2015</v>
      </c>
      <c r="Z5" s="3360">
        <v>2016</v>
      </c>
      <c r="AA5" s="3360">
        <v>2017</v>
      </c>
    </row>
    <row r="6" spans="1:38" ht="15" customHeight="1" x14ac:dyDescent="0.2">
      <c r="A6" s="3401" t="s">
        <v>1235</v>
      </c>
      <c r="B6" s="5437">
        <v>24</v>
      </c>
      <c r="C6" s="5437">
        <v>19</v>
      </c>
      <c r="D6" s="5437">
        <f>SUM(B6:C6)</f>
        <v>43</v>
      </c>
      <c r="E6" s="5438">
        <v>2</v>
      </c>
      <c r="F6" s="5438" t="s">
        <v>663</v>
      </c>
      <c r="G6" s="5438">
        <f>SUM(E6:F6)</f>
        <v>2</v>
      </c>
      <c r="H6" s="5438">
        <f>SUM(B6,E6)</f>
        <v>26</v>
      </c>
      <c r="I6" s="5438">
        <f>SUM(C6,F6)</f>
        <v>19</v>
      </c>
      <c r="J6" s="5439">
        <f>SUM(H6:I6)</f>
        <v>45</v>
      </c>
      <c r="L6" s="1479" t="s">
        <v>161</v>
      </c>
      <c r="M6" s="1478">
        <v>95</v>
      </c>
      <c r="N6" s="1478">
        <v>48</v>
      </c>
      <c r="O6" s="1478">
        <v>50</v>
      </c>
      <c r="P6" s="1478">
        <v>51</v>
      </c>
      <c r="Q6" s="1478">
        <v>135</v>
      </c>
      <c r="R6" s="1478">
        <v>102</v>
      </c>
      <c r="S6" s="1478">
        <v>63</v>
      </c>
      <c r="T6" s="1478">
        <v>90</v>
      </c>
      <c r="U6" s="1478">
        <v>111</v>
      </c>
      <c r="V6" s="1478">
        <v>50</v>
      </c>
      <c r="W6" s="1478">
        <v>23</v>
      </c>
      <c r="X6" s="1478">
        <v>94</v>
      </c>
      <c r="Y6" s="1478">
        <v>122</v>
      </c>
      <c r="Z6" s="1478">
        <v>138</v>
      </c>
      <c r="AA6" s="1478">
        <v>45</v>
      </c>
    </row>
    <row r="7" spans="1:38" ht="15" customHeight="1" x14ac:dyDescent="0.2">
      <c r="A7" s="3402" t="s">
        <v>1236</v>
      </c>
      <c r="B7" s="5437">
        <v>49</v>
      </c>
      <c r="C7" s="5437">
        <v>8</v>
      </c>
      <c r="D7" s="5437">
        <f t="shared" ref="D7:D11" si="0">SUM(B7:C7)</f>
        <v>57</v>
      </c>
      <c r="E7" s="5438" t="s">
        <v>663</v>
      </c>
      <c r="F7" s="5438" t="s">
        <v>663</v>
      </c>
      <c r="G7" s="5438">
        <f t="shared" ref="G7:G11" si="1">SUM(E7:F7)</f>
        <v>0</v>
      </c>
      <c r="H7" s="5438">
        <f t="shared" ref="H7:H11" si="2">SUM(B7,E7)</f>
        <v>49</v>
      </c>
      <c r="I7" s="5438">
        <f t="shared" ref="I7:I11" si="3">SUM(C7,F7)</f>
        <v>8</v>
      </c>
      <c r="J7" s="5439">
        <f t="shared" ref="J7:J11" si="4">SUM(H7:I7)</f>
        <v>57</v>
      </c>
      <c r="L7" s="1480" t="s">
        <v>407</v>
      </c>
      <c r="M7" s="1478"/>
      <c r="N7" s="1478"/>
      <c r="O7" s="1478">
        <v>1</v>
      </c>
      <c r="P7" s="1478">
        <v>2</v>
      </c>
      <c r="Q7" s="1478">
        <v>1</v>
      </c>
      <c r="R7" s="1478">
        <v>46</v>
      </c>
      <c r="S7" s="1478">
        <v>2</v>
      </c>
      <c r="T7" s="1478">
        <v>2</v>
      </c>
      <c r="U7" s="1478">
        <v>19</v>
      </c>
      <c r="V7" s="1478">
        <v>29</v>
      </c>
      <c r="W7" s="1478">
        <v>38</v>
      </c>
      <c r="X7" s="1478">
        <v>26</v>
      </c>
      <c r="Y7" s="1478">
        <v>55</v>
      </c>
      <c r="Z7" s="1478">
        <v>74</v>
      </c>
      <c r="AA7" s="1478">
        <v>57</v>
      </c>
    </row>
    <row r="8" spans="1:38" ht="15" customHeight="1" x14ac:dyDescent="0.2">
      <c r="A8" s="3403" t="s">
        <v>162</v>
      </c>
      <c r="B8" s="5437">
        <v>55</v>
      </c>
      <c r="C8" s="5437">
        <v>41</v>
      </c>
      <c r="D8" s="5437">
        <f t="shared" si="0"/>
        <v>96</v>
      </c>
      <c r="E8" s="5437">
        <v>2</v>
      </c>
      <c r="F8" s="5437">
        <v>5</v>
      </c>
      <c r="G8" s="5438">
        <f t="shared" si="1"/>
        <v>7</v>
      </c>
      <c r="H8" s="5438">
        <f t="shared" si="2"/>
        <v>57</v>
      </c>
      <c r="I8" s="5438">
        <f t="shared" si="3"/>
        <v>46</v>
      </c>
      <c r="J8" s="5439">
        <f t="shared" si="4"/>
        <v>103</v>
      </c>
      <c r="L8" s="1481" t="s">
        <v>162</v>
      </c>
      <c r="M8" s="1478">
        <v>178</v>
      </c>
      <c r="N8" s="1478">
        <v>147</v>
      </c>
      <c r="O8" s="1478">
        <v>154</v>
      </c>
      <c r="P8" s="1478">
        <v>164</v>
      </c>
      <c r="Q8" s="1478">
        <v>137</v>
      </c>
      <c r="R8" s="1478">
        <v>315</v>
      </c>
      <c r="S8" s="1478">
        <v>117</v>
      </c>
      <c r="T8" s="1478">
        <v>173</v>
      </c>
      <c r="U8" s="1478">
        <v>85</v>
      </c>
      <c r="V8" s="1478">
        <v>366</v>
      </c>
      <c r="W8" s="1478">
        <v>115</v>
      </c>
      <c r="X8" s="1478">
        <v>234</v>
      </c>
      <c r="Y8" s="1478">
        <v>286</v>
      </c>
      <c r="Z8" s="1478">
        <v>288</v>
      </c>
      <c r="AA8" s="1478">
        <v>103</v>
      </c>
    </row>
    <row r="9" spans="1:38" s="208" customFormat="1" ht="15" customHeight="1" x14ac:dyDescent="0.2">
      <c r="A9" s="3404" t="s">
        <v>408</v>
      </c>
      <c r="B9" s="5437">
        <v>11</v>
      </c>
      <c r="C9" s="5437">
        <v>12</v>
      </c>
      <c r="D9" s="5437">
        <f t="shared" si="0"/>
        <v>23</v>
      </c>
      <c r="E9" s="5437" t="s">
        <v>663</v>
      </c>
      <c r="F9" s="5437" t="s">
        <v>663</v>
      </c>
      <c r="G9" s="5438">
        <f t="shared" si="1"/>
        <v>0</v>
      </c>
      <c r="H9" s="5438">
        <f t="shared" si="2"/>
        <v>11</v>
      </c>
      <c r="I9" s="5438">
        <f t="shared" si="3"/>
        <v>12</v>
      </c>
      <c r="J9" s="5439">
        <f t="shared" si="4"/>
        <v>23</v>
      </c>
      <c r="L9" s="1482" t="s">
        <v>408</v>
      </c>
      <c r="M9" s="1478"/>
      <c r="N9" s="1478"/>
      <c r="O9" s="1478"/>
      <c r="P9" s="1478"/>
      <c r="Q9" s="1478"/>
      <c r="R9" s="1478"/>
      <c r="S9" s="1478"/>
      <c r="T9" s="1478"/>
      <c r="U9" s="1478">
        <v>4</v>
      </c>
      <c r="V9" s="1478"/>
      <c r="W9" s="1478">
        <v>10</v>
      </c>
      <c r="X9" s="1478">
        <v>19</v>
      </c>
      <c r="Y9" s="1478">
        <v>20</v>
      </c>
      <c r="Z9" s="1478">
        <v>27</v>
      </c>
      <c r="AA9" s="1478">
        <v>23</v>
      </c>
      <c r="AB9" s="192"/>
      <c r="AC9" s="192"/>
      <c r="AD9" s="192"/>
      <c r="AE9" s="192"/>
      <c r="AF9" s="192"/>
      <c r="AG9" s="192"/>
      <c r="AH9" s="192"/>
      <c r="AI9" s="192"/>
      <c r="AJ9" s="192"/>
      <c r="AK9" s="192"/>
      <c r="AL9" s="192"/>
    </row>
    <row r="10" spans="1:38" s="208" customFormat="1" ht="15" customHeight="1" x14ac:dyDescent="0.2">
      <c r="A10" s="3405" t="s">
        <v>163</v>
      </c>
      <c r="B10" s="5440">
        <v>51</v>
      </c>
      <c r="C10" s="5440">
        <v>60</v>
      </c>
      <c r="D10" s="5440">
        <f t="shared" si="0"/>
        <v>111</v>
      </c>
      <c r="E10" s="5440">
        <v>3</v>
      </c>
      <c r="F10" s="5440">
        <v>23</v>
      </c>
      <c r="G10" s="5441">
        <f t="shared" si="1"/>
        <v>26</v>
      </c>
      <c r="H10" s="5438">
        <f t="shared" si="2"/>
        <v>54</v>
      </c>
      <c r="I10" s="5438">
        <f t="shared" si="3"/>
        <v>83</v>
      </c>
      <c r="J10" s="5439">
        <f t="shared" si="4"/>
        <v>137</v>
      </c>
      <c r="L10" s="1483" t="s">
        <v>163</v>
      </c>
      <c r="M10" s="1478">
        <v>89</v>
      </c>
      <c r="N10" s="1478">
        <v>113</v>
      </c>
      <c r="O10" s="1478">
        <v>94</v>
      </c>
      <c r="P10" s="1478">
        <v>172</v>
      </c>
      <c r="Q10" s="1478">
        <v>100</v>
      </c>
      <c r="R10" s="1478">
        <v>107</v>
      </c>
      <c r="S10" s="1478">
        <v>123</v>
      </c>
      <c r="T10" s="1478">
        <v>22</v>
      </c>
      <c r="U10" s="1478">
        <v>134</v>
      </c>
      <c r="V10" s="1478">
        <v>166</v>
      </c>
      <c r="W10" s="1478">
        <v>135</v>
      </c>
      <c r="X10" s="1478">
        <v>194</v>
      </c>
      <c r="Y10" s="1478">
        <v>151</v>
      </c>
      <c r="Z10" s="1478">
        <v>226</v>
      </c>
      <c r="AA10" s="1478">
        <v>137</v>
      </c>
      <c r="AB10" s="192"/>
      <c r="AC10" s="192"/>
      <c r="AD10" s="192"/>
      <c r="AE10" s="192"/>
      <c r="AF10" s="192"/>
      <c r="AG10" s="192"/>
      <c r="AH10" s="192"/>
      <c r="AI10" s="192"/>
      <c r="AJ10" s="192"/>
      <c r="AK10" s="192"/>
      <c r="AL10" s="192"/>
    </row>
    <row r="11" spans="1:38" s="208" customFormat="1" ht="15" customHeight="1" x14ac:dyDescent="0.2">
      <c r="A11" s="1426" t="s">
        <v>671</v>
      </c>
      <c r="B11" s="5437">
        <v>3</v>
      </c>
      <c r="C11" s="5437">
        <v>37</v>
      </c>
      <c r="D11" s="5437">
        <f t="shared" si="0"/>
        <v>40</v>
      </c>
      <c r="E11" s="5437" t="s">
        <v>663</v>
      </c>
      <c r="F11" s="5437">
        <v>26</v>
      </c>
      <c r="G11" s="5438">
        <f t="shared" si="1"/>
        <v>26</v>
      </c>
      <c r="H11" s="5438">
        <f t="shared" si="2"/>
        <v>3</v>
      </c>
      <c r="I11" s="5438">
        <f t="shared" si="3"/>
        <v>63</v>
      </c>
      <c r="J11" s="5439">
        <f t="shared" si="4"/>
        <v>66</v>
      </c>
      <c r="L11" s="1478" t="s">
        <v>671</v>
      </c>
      <c r="M11" s="1478">
        <v>50</v>
      </c>
      <c r="N11" s="1478">
        <v>40</v>
      </c>
      <c r="O11" s="1478">
        <v>59</v>
      </c>
      <c r="P11" s="1478">
        <v>52</v>
      </c>
      <c r="Q11" s="1478">
        <v>60</v>
      </c>
      <c r="R11" s="1478">
        <v>66</v>
      </c>
      <c r="S11" s="1478">
        <v>61</v>
      </c>
      <c r="T11" s="1478">
        <v>54</v>
      </c>
      <c r="U11" s="1478">
        <v>121</v>
      </c>
      <c r="V11" s="1478">
        <v>202</v>
      </c>
      <c r="W11" s="1478">
        <v>76</v>
      </c>
      <c r="X11" s="1478">
        <v>88</v>
      </c>
      <c r="Y11" s="1478">
        <v>145</v>
      </c>
      <c r="Z11" s="1478">
        <v>89</v>
      </c>
      <c r="AA11" s="1478">
        <v>66</v>
      </c>
      <c r="AB11" s="192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</row>
    <row r="12" spans="1:38" s="208" customFormat="1" ht="20.100000000000001" customHeight="1" x14ac:dyDescent="0.2">
      <c r="A12" s="5442" t="s">
        <v>1665</v>
      </c>
      <c r="B12" s="5442">
        <f t="shared" ref="B12:G12" si="5">SUM(B6:B11)</f>
        <v>193</v>
      </c>
      <c r="C12" s="5442">
        <f t="shared" si="5"/>
        <v>177</v>
      </c>
      <c r="D12" s="5442">
        <f t="shared" si="5"/>
        <v>370</v>
      </c>
      <c r="E12" s="5442">
        <f t="shared" si="5"/>
        <v>7</v>
      </c>
      <c r="F12" s="5442">
        <f t="shared" si="5"/>
        <v>54</v>
      </c>
      <c r="G12" s="5442">
        <f t="shared" si="5"/>
        <v>61</v>
      </c>
      <c r="H12" s="5442">
        <f t="shared" ref="H12:J12" si="6">SUM(H6:H11)</f>
        <v>200</v>
      </c>
      <c r="I12" s="5442">
        <f t="shared" si="6"/>
        <v>231</v>
      </c>
      <c r="J12" s="5442">
        <f t="shared" si="6"/>
        <v>431</v>
      </c>
      <c r="L12" s="564" t="s">
        <v>12</v>
      </c>
      <c r="M12" s="564">
        <f>SUM(M6:M11)</f>
        <v>412</v>
      </c>
      <c r="N12" s="564">
        <f t="shared" ref="N12:W12" si="7">SUM(N6:N11)</f>
        <v>348</v>
      </c>
      <c r="O12" s="564">
        <f t="shared" si="7"/>
        <v>358</v>
      </c>
      <c r="P12" s="564">
        <f t="shared" si="7"/>
        <v>441</v>
      </c>
      <c r="Q12" s="564">
        <f t="shared" si="7"/>
        <v>433</v>
      </c>
      <c r="R12" s="564">
        <f t="shared" si="7"/>
        <v>636</v>
      </c>
      <c r="S12" s="564">
        <f t="shared" si="7"/>
        <v>366</v>
      </c>
      <c r="T12" s="564">
        <f t="shared" si="7"/>
        <v>341</v>
      </c>
      <c r="U12" s="564">
        <f t="shared" si="7"/>
        <v>474</v>
      </c>
      <c r="V12" s="564">
        <f t="shared" si="7"/>
        <v>813</v>
      </c>
      <c r="W12" s="564">
        <f t="shared" si="7"/>
        <v>397</v>
      </c>
      <c r="X12" s="3360">
        <f>SUM(X6:X11)</f>
        <v>655</v>
      </c>
      <c r="Y12" s="3360">
        <f>SUM(Y6:Y11)</f>
        <v>779</v>
      </c>
      <c r="Z12" s="3360">
        <f>SUM(Z6:Z11)</f>
        <v>842</v>
      </c>
      <c r="AA12" s="3360">
        <f>SUM(AA6:AA11)</f>
        <v>431</v>
      </c>
      <c r="AB12" s="192"/>
      <c r="AC12" s="192"/>
      <c r="AD12" s="192"/>
      <c r="AE12" s="192"/>
      <c r="AF12" s="192"/>
      <c r="AG12" s="192"/>
      <c r="AH12" s="192"/>
      <c r="AI12" s="192"/>
      <c r="AJ12" s="192"/>
      <c r="AK12" s="192"/>
      <c r="AL12" s="192"/>
    </row>
    <row r="13" spans="1:38" s="208" customFormat="1" ht="20.100000000000001" customHeight="1" x14ac:dyDescent="0.2">
      <c r="A13"/>
      <c r="B13"/>
      <c r="C13"/>
      <c r="D13"/>
      <c r="E13"/>
      <c r="F13"/>
      <c r="G13"/>
      <c r="J13" s="5461" t="s">
        <v>1678</v>
      </c>
      <c r="L13" s="1383" t="s">
        <v>603</v>
      </c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92"/>
      <c r="Y13" s="192"/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</row>
    <row r="16" spans="1:38" ht="15" customHeight="1" x14ac:dyDescent="0.2">
      <c r="A16" s="7524" t="s">
        <v>1231</v>
      </c>
      <c r="B16" s="7526" t="s">
        <v>1521</v>
      </c>
      <c r="C16" s="7527"/>
      <c r="D16" s="7528"/>
      <c r="E16" s="7526" t="s">
        <v>1522</v>
      </c>
      <c r="F16" s="7527"/>
      <c r="G16" s="7528"/>
      <c r="H16" s="7529">
        <v>2016</v>
      </c>
      <c r="I16" s="7530"/>
      <c r="J16" s="7531"/>
    </row>
    <row r="17" spans="1:11" ht="15" customHeight="1" x14ac:dyDescent="0.2">
      <c r="A17" s="7525"/>
      <c r="B17" s="3383" t="s">
        <v>1523</v>
      </c>
      <c r="C17" s="3384" t="s">
        <v>1524</v>
      </c>
      <c r="D17" s="3400" t="s">
        <v>12</v>
      </c>
      <c r="E17" s="3384" t="s">
        <v>1523</v>
      </c>
      <c r="F17" s="3384" t="s">
        <v>1524</v>
      </c>
      <c r="G17" s="3400" t="s">
        <v>12</v>
      </c>
      <c r="H17" s="3384" t="s">
        <v>805</v>
      </c>
      <c r="I17" s="3384" t="s">
        <v>806</v>
      </c>
      <c r="J17" s="3400" t="s">
        <v>160</v>
      </c>
    </row>
    <row r="18" spans="1:11" ht="15" x14ac:dyDescent="0.2">
      <c r="A18" s="3401" t="s">
        <v>1235</v>
      </c>
      <c r="B18" s="3386">
        <v>131</v>
      </c>
      <c r="C18" s="3387">
        <v>6</v>
      </c>
      <c r="D18" s="3388">
        <f t="shared" ref="D18:D23" si="8">SUM(B18:C18)</f>
        <v>137</v>
      </c>
      <c r="E18" s="3386">
        <v>1</v>
      </c>
      <c r="F18" s="3387">
        <v>0</v>
      </c>
      <c r="G18" s="3389">
        <f t="shared" ref="G18:G23" si="9">SUM(E18:F18)</f>
        <v>1</v>
      </c>
      <c r="H18" s="3386">
        <f t="shared" ref="H18:I23" si="10">SUM(B18,E18)</f>
        <v>132</v>
      </c>
      <c r="I18" s="3387">
        <f t="shared" si="10"/>
        <v>6</v>
      </c>
      <c r="J18" s="3389">
        <f t="shared" ref="J18:J23" si="11">SUM(H18:I18)</f>
        <v>138</v>
      </c>
    </row>
    <row r="19" spans="1:11" ht="15" x14ac:dyDescent="0.2">
      <c r="A19" s="3402" t="s">
        <v>1236</v>
      </c>
      <c r="B19" s="3390">
        <v>58</v>
      </c>
      <c r="C19" s="3391">
        <v>14</v>
      </c>
      <c r="D19" s="3392">
        <f t="shared" si="8"/>
        <v>72</v>
      </c>
      <c r="E19" s="3390">
        <v>0</v>
      </c>
      <c r="F19" s="3391">
        <v>2</v>
      </c>
      <c r="G19" s="3393">
        <f t="shared" si="9"/>
        <v>2</v>
      </c>
      <c r="H19" s="3390">
        <f t="shared" si="10"/>
        <v>58</v>
      </c>
      <c r="I19" s="3391">
        <f t="shared" si="10"/>
        <v>16</v>
      </c>
      <c r="J19" s="3393">
        <f t="shared" si="11"/>
        <v>74</v>
      </c>
    </row>
    <row r="20" spans="1:11" ht="15" x14ac:dyDescent="0.2">
      <c r="A20" s="3403" t="s">
        <v>162</v>
      </c>
      <c r="B20" s="3390">
        <v>256</v>
      </c>
      <c r="C20" s="3394">
        <v>23</v>
      </c>
      <c r="D20" s="3392">
        <f t="shared" si="8"/>
        <v>279</v>
      </c>
      <c r="E20" s="3390">
        <v>5</v>
      </c>
      <c r="F20" s="3394">
        <v>4</v>
      </c>
      <c r="G20" s="3393">
        <f t="shared" si="9"/>
        <v>9</v>
      </c>
      <c r="H20" s="3390">
        <f t="shared" si="10"/>
        <v>261</v>
      </c>
      <c r="I20" s="3394">
        <f t="shared" si="10"/>
        <v>27</v>
      </c>
      <c r="J20" s="3393">
        <f t="shared" si="11"/>
        <v>288</v>
      </c>
    </row>
    <row r="21" spans="1:11" ht="15" x14ac:dyDescent="0.2">
      <c r="A21" s="3404" t="s">
        <v>408</v>
      </c>
      <c r="B21" s="3390">
        <v>23</v>
      </c>
      <c r="C21" s="3391">
        <v>4</v>
      </c>
      <c r="D21" s="3392">
        <f t="shared" si="8"/>
        <v>27</v>
      </c>
      <c r="E21" s="3390">
        <v>0</v>
      </c>
      <c r="F21" s="3391">
        <v>0</v>
      </c>
      <c r="G21" s="3393">
        <f t="shared" si="9"/>
        <v>0</v>
      </c>
      <c r="H21" s="3390">
        <f t="shared" si="10"/>
        <v>23</v>
      </c>
      <c r="I21" s="3391">
        <f t="shared" si="10"/>
        <v>4</v>
      </c>
      <c r="J21" s="3393">
        <f t="shared" si="11"/>
        <v>27</v>
      </c>
    </row>
    <row r="22" spans="1:11" ht="15" x14ac:dyDescent="0.2">
      <c r="A22" s="3405" t="s">
        <v>163</v>
      </c>
      <c r="B22" s="3390">
        <v>142</v>
      </c>
      <c r="C22" s="3391">
        <v>64</v>
      </c>
      <c r="D22" s="3392">
        <f t="shared" si="8"/>
        <v>206</v>
      </c>
      <c r="E22" s="3390">
        <v>1</v>
      </c>
      <c r="F22" s="3391">
        <v>19</v>
      </c>
      <c r="G22" s="3393">
        <f t="shared" si="9"/>
        <v>20</v>
      </c>
      <c r="H22" s="3390">
        <f t="shared" si="10"/>
        <v>143</v>
      </c>
      <c r="I22" s="3391">
        <f t="shared" si="10"/>
        <v>83</v>
      </c>
      <c r="J22" s="3393">
        <f t="shared" si="11"/>
        <v>226</v>
      </c>
    </row>
    <row r="23" spans="1:11" ht="15" x14ac:dyDescent="0.2">
      <c r="A23" s="1426" t="s">
        <v>671</v>
      </c>
      <c r="B23" s="3395">
        <v>2</v>
      </c>
      <c r="C23" s="3396">
        <v>40</v>
      </c>
      <c r="D23" s="3397">
        <f t="shared" si="8"/>
        <v>42</v>
      </c>
      <c r="E23" s="3395">
        <v>0</v>
      </c>
      <c r="F23" s="3396">
        <v>47</v>
      </c>
      <c r="G23" s="3398">
        <f t="shared" si="9"/>
        <v>47</v>
      </c>
      <c r="H23" s="3395">
        <f t="shared" si="10"/>
        <v>2</v>
      </c>
      <c r="I23" s="3396">
        <f t="shared" si="10"/>
        <v>87</v>
      </c>
      <c r="J23" s="3398">
        <f t="shared" si="11"/>
        <v>89</v>
      </c>
    </row>
    <row r="24" spans="1:11" ht="15" x14ac:dyDescent="0.2">
      <c r="A24" s="3385" t="s">
        <v>1234</v>
      </c>
      <c r="B24" s="1024">
        <f t="shared" ref="B24:J24" si="12">SUM(B18:B23)</f>
        <v>612</v>
      </c>
      <c r="C24" s="1025">
        <f t="shared" si="12"/>
        <v>151</v>
      </c>
      <c r="D24" s="3399">
        <f t="shared" si="12"/>
        <v>763</v>
      </c>
      <c r="E24" s="1024">
        <f t="shared" si="12"/>
        <v>7</v>
      </c>
      <c r="F24" s="1025">
        <f t="shared" si="12"/>
        <v>72</v>
      </c>
      <c r="G24" s="3399">
        <f t="shared" si="12"/>
        <v>79</v>
      </c>
      <c r="H24" s="1024">
        <f t="shared" si="12"/>
        <v>619</v>
      </c>
      <c r="I24" s="1025">
        <f t="shared" si="12"/>
        <v>223</v>
      </c>
      <c r="J24" s="3399">
        <f t="shared" si="12"/>
        <v>842</v>
      </c>
    </row>
    <row r="25" spans="1:11" x14ac:dyDescent="0.2">
      <c r="A25"/>
      <c r="B25"/>
      <c r="C25"/>
      <c r="D25"/>
      <c r="E25"/>
      <c r="F25"/>
      <c r="G25"/>
      <c r="H25"/>
    </row>
    <row r="26" spans="1:11" x14ac:dyDescent="0.2">
      <c r="A26" s="5002" t="s">
        <v>1525</v>
      </c>
      <c r="B26" s="3745"/>
      <c r="C26" s="3745"/>
      <c r="D26" s="3745"/>
      <c r="E26" s="3745"/>
      <c r="F26" s="3745"/>
      <c r="G26" s="3745"/>
      <c r="H26" s="3745"/>
    </row>
    <row r="27" spans="1:11" ht="25.5" customHeight="1" x14ac:dyDescent="0.2">
      <c r="A27" s="7532" t="s">
        <v>1526</v>
      </c>
      <c r="B27" s="7532"/>
      <c r="C27" s="7532"/>
      <c r="D27" s="7532"/>
      <c r="E27" s="7532"/>
      <c r="F27" s="7532"/>
      <c r="G27" s="7532"/>
      <c r="H27" s="7532"/>
      <c r="I27" s="7532"/>
      <c r="J27" s="7532"/>
    </row>
    <row r="29" spans="1:11" x14ac:dyDescent="0.2">
      <c r="K29" s="3381"/>
    </row>
    <row r="30" spans="1:11" ht="15" x14ac:dyDescent="0.2">
      <c r="A30" s="7524" t="s">
        <v>51</v>
      </c>
      <c r="B30" s="7526" t="s">
        <v>1228</v>
      </c>
      <c r="C30" s="7527"/>
      <c r="D30" s="7528"/>
      <c r="E30" s="7526" t="s">
        <v>1229</v>
      </c>
      <c r="F30" s="7527"/>
      <c r="G30" s="7528"/>
      <c r="H30" s="7529">
        <v>2015</v>
      </c>
      <c r="I30" s="7530"/>
      <c r="J30" s="7531"/>
      <c r="K30" s="3381"/>
    </row>
    <row r="31" spans="1:11" ht="15" x14ac:dyDescent="0.2">
      <c r="A31" s="7525"/>
      <c r="B31" s="3383" t="s">
        <v>805</v>
      </c>
      <c r="C31" s="3384" t="s">
        <v>806</v>
      </c>
      <c r="D31" s="3400" t="s">
        <v>160</v>
      </c>
      <c r="E31" s="3384" t="s">
        <v>805</v>
      </c>
      <c r="F31" s="3384" t="s">
        <v>806</v>
      </c>
      <c r="G31" s="3400" t="s">
        <v>160</v>
      </c>
      <c r="H31" s="3384" t="s">
        <v>805</v>
      </c>
      <c r="I31" s="3384" t="s">
        <v>806</v>
      </c>
      <c r="J31" s="3400" t="s">
        <v>160</v>
      </c>
      <c r="K31" s="3381"/>
    </row>
    <row r="32" spans="1:11" ht="15" x14ac:dyDescent="0.2">
      <c r="A32" s="3401" t="s">
        <v>161</v>
      </c>
      <c r="B32" s="3386">
        <v>109</v>
      </c>
      <c r="C32" s="3387">
        <v>12</v>
      </c>
      <c r="D32" s="3388">
        <f t="shared" ref="D32:D37" si="13">SUM(B32:C32)</f>
        <v>121</v>
      </c>
      <c r="E32" s="3386">
        <v>1</v>
      </c>
      <c r="F32" s="3387">
        <v>0</v>
      </c>
      <c r="G32" s="3389">
        <f t="shared" ref="G32:G37" si="14">SUM(E32:F32)</f>
        <v>1</v>
      </c>
      <c r="H32" s="3386">
        <f t="shared" ref="H32:I37" si="15">SUM(B32,E32)</f>
        <v>110</v>
      </c>
      <c r="I32" s="3387">
        <f t="shared" si="15"/>
        <v>12</v>
      </c>
      <c r="J32" s="3389">
        <f t="shared" ref="J32:J37" si="16">SUM(H32:I32)</f>
        <v>122</v>
      </c>
      <c r="K32" s="3381"/>
    </row>
    <row r="33" spans="1:25" ht="15" x14ac:dyDescent="0.2">
      <c r="A33" s="3402" t="s">
        <v>407</v>
      </c>
      <c r="B33" s="3390">
        <v>53</v>
      </c>
      <c r="C33" s="3391">
        <v>1</v>
      </c>
      <c r="D33" s="3392">
        <f t="shared" si="13"/>
        <v>54</v>
      </c>
      <c r="E33" s="3390">
        <v>1</v>
      </c>
      <c r="F33" s="3391">
        <v>0</v>
      </c>
      <c r="G33" s="3393">
        <f t="shared" si="14"/>
        <v>1</v>
      </c>
      <c r="H33" s="3390">
        <f t="shared" si="15"/>
        <v>54</v>
      </c>
      <c r="I33" s="3391">
        <f t="shared" si="15"/>
        <v>1</v>
      </c>
      <c r="J33" s="3393">
        <f t="shared" si="16"/>
        <v>55</v>
      </c>
      <c r="K33" s="3381"/>
    </row>
    <row r="34" spans="1:25" ht="15" x14ac:dyDescent="0.2">
      <c r="A34" s="3403" t="s">
        <v>162</v>
      </c>
      <c r="B34" s="3390">
        <v>252</v>
      </c>
      <c r="C34" s="3394">
        <v>31</v>
      </c>
      <c r="D34" s="3392">
        <f t="shared" si="13"/>
        <v>283</v>
      </c>
      <c r="E34" s="3390">
        <v>2</v>
      </c>
      <c r="F34" s="3394">
        <v>1</v>
      </c>
      <c r="G34" s="3393">
        <f t="shared" si="14"/>
        <v>3</v>
      </c>
      <c r="H34" s="3390">
        <f t="shared" si="15"/>
        <v>254</v>
      </c>
      <c r="I34" s="3394">
        <f t="shared" si="15"/>
        <v>32</v>
      </c>
      <c r="J34" s="3393">
        <f t="shared" si="16"/>
        <v>286</v>
      </c>
      <c r="K34" s="3381"/>
    </row>
    <row r="35" spans="1:25" ht="15" x14ac:dyDescent="0.2">
      <c r="A35" s="3404" t="s">
        <v>408</v>
      </c>
      <c r="B35" s="3390">
        <v>12</v>
      </c>
      <c r="C35" s="3391">
        <v>7</v>
      </c>
      <c r="D35" s="3392">
        <f t="shared" si="13"/>
        <v>19</v>
      </c>
      <c r="E35" s="3390">
        <v>1</v>
      </c>
      <c r="F35" s="3391">
        <v>0</v>
      </c>
      <c r="G35" s="3393">
        <f t="shared" si="14"/>
        <v>1</v>
      </c>
      <c r="H35" s="3390">
        <f t="shared" si="15"/>
        <v>13</v>
      </c>
      <c r="I35" s="3391">
        <f t="shared" si="15"/>
        <v>7</v>
      </c>
      <c r="J35" s="3393">
        <f t="shared" si="16"/>
        <v>20</v>
      </c>
      <c r="K35" s="1002"/>
    </row>
    <row r="36" spans="1:25" ht="15" x14ac:dyDescent="0.2">
      <c r="A36" s="3405" t="s">
        <v>163</v>
      </c>
      <c r="B36" s="3390">
        <v>118</v>
      </c>
      <c r="C36" s="3391">
        <v>27</v>
      </c>
      <c r="D36" s="3392">
        <f t="shared" si="13"/>
        <v>145</v>
      </c>
      <c r="E36" s="3390">
        <v>4</v>
      </c>
      <c r="F36" s="3391">
        <v>2</v>
      </c>
      <c r="G36" s="3393">
        <f t="shared" si="14"/>
        <v>6</v>
      </c>
      <c r="H36" s="3390">
        <f t="shared" si="15"/>
        <v>122</v>
      </c>
      <c r="I36" s="3391">
        <f t="shared" si="15"/>
        <v>29</v>
      </c>
      <c r="J36" s="3393">
        <f t="shared" si="16"/>
        <v>151</v>
      </c>
    </row>
    <row r="37" spans="1:25" ht="15" x14ac:dyDescent="0.2">
      <c r="A37" s="1426" t="s">
        <v>671</v>
      </c>
      <c r="B37" s="3395">
        <v>10</v>
      </c>
      <c r="C37" s="3396">
        <v>61</v>
      </c>
      <c r="D37" s="3397">
        <f t="shared" si="13"/>
        <v>71</v>
      </c>
      <c r="E37" s="3395">
        <v>0</v>
      </c>
      <c r="F37" s="3396">
        <v>74</v>
      </c>
      <c r="G37" s="3398">
        <f t="shared" si="14"/>
        <v>74</v>
      </c>
      <c r="H37" s="3395">
        <f t="shared" si="15"/>
        <v>10</v>
      </c>
      <c r="I37" s="3396">
        <f t="shared" si="15"/>
        <v>135</v>
      </c>
      <c r="J37" s="3398">
        <f t="shared" si="16"/>
        <v>145</v>
      </c>
    </row>
    <row r="38" spans="1:25" ht="15" x14ac:dyDescent="0.2">
      <c r="A38" s="3385" t="s">
        <v>573</v>
      </c>
      <c r="B38" s="1024">
        <f t="shared" ref="B38:J38" si="17">SUM(B32:B37)</f>
        <v>554</v>
      </c>
      <c r="C38" s="1025">
        <f t="shared" si="17"/>
        <v>139</v>
      </c>
      <c r="D38" s="3399">
        <f t="shared" si="17"/>
        <v>693</v>
      </c>
      <c r="E38" s="1024">
        <f t="shared" si="17"/>
        <v>9</v>
      </c>
      <c r="F38" s="1025">
        <f t="shared" si="17"/>
        <v>77</v>
      </c>
      <c r="G38" s="3399">
        <f t="shared" si="17"/>
        <v>86</v>
      </c>
      <c r="H38" s="1024">
        <f t="shared" si="17"/>
        <v>563</v>
      </c>
      <c r="I38" s="1025">
        <f t="shared" si="17"/>
        <v>216</v>
      </c>
      <c r="J38" s="3399">
        <f t="shared" si="17"/>
        <v>779</v>
      </c>
    </row>
    <row r="41" spans="1:25" ht="15" x14ac:dyDescent="0.2">
      <c r="A41" s="7524" t="s">
        <v>51</v>
      </c>
      <c r="B41" s="7526" t="s">
        <v>1228</v>
      </c>
      <c r="C41" s="7527"/>
      <c r="D41" s="7528"/>
      <c r="E41" s="7526" t="s">
        <v>1229</v>
      </c>
      <c r="F41" s="7527"/>
      <c r="G41" s="7528"/>
      <c r="H41" s="7529">
        <v>2014</v>
      </c>
      <c r="I41" s="7530"/>
      <c r="J41" s="7531"/>
    </row>
    <row r="42" spans="1:25" ht="15" x14ac:dyDescent="0.2">
      <c r="A42" s="7525"/>
      <c r="B42" s="3383" t="s">
        <v>805</v>
      </c>
      <c r="C42" s="3384" t="s">
        <v>806</v>
      </c>
      <c r="D42" s="3400" t="s">
        <v>160</v>
      </c>
      <c r="E42" s="3384" t="s">
        <v>805</v>
      </c>
      <c r="F42" s="3384" t="s">
        <v>806</v>
      </c>
      <c r="G42" s="3400" t="s">
        <v>160</v>
      </c>
      <c r="H42" s="3384" t="s">
        <v>805</v>
      </c>
      <c r="I42" s="3384" t="s">
        <v>806</v>
      </c>
      <c r="J42" s="3400" t="s">
        <v>160</v>
      </c>
    </row>
    <row r="43" spans="1:25" ht="15" x14ac:dyDescent="0.2">
      <c r="A43" s="3401" t="s">
        <v>161</v>
      </c>
      <c r="B43" s="3386">
        <v>85</v>
      </c>
      <c r="C43" s="3387">
        <v>8</v>
      </c>
      <c r="D43" s="3388">
        <f t="shared" ref="D43:D48" si="18">SUM(B43:C43)</f>
        <v>93</v>
      </c>
      <c r="E43" s="3386">
        <v>1</v>
      </c>
      <c r="F43" s="3387"/>
      <c r="G43" s="3389">
        <f t="shared" ref="G43:G48" si="19">SUM(E43:F43)</f>
        <v>1</v>
      </c>
      <c r="H43" s="3386">
        <f t="shared" ref="H43:I48" si="20">SUM(B43,E43)</f>
        <v>86</v>
      </c>
      <c r="I43" s="3387">
        <f t="shared" si="20"/>
        <v>8</v>
      </c>
      <c r="J43" s="3389">
        <f t="shared" ref="J43:J48" si="21">SUM(H43:I43)</f>
        <v>94</v>
      </c>
    </row>
    <row r="44" spans="1:25" ht="15" x14ac:dyDescent="0.2">
      <c r="A44" s="3402" t="s">
        <v>407</v>
      </c>
      <c r="B44" s="3390">
        <v>23</v>
      </c>
      <c r="C44" s="3391">
        <v>2</v>
      </c>
      <c r="D44" s="3392">
        <f t="shared" si="18"/>
        <v>25</v>
      </c>
      <c r="E44" s="3390"/>
      <c r="F44" s="3391">
        <v>1</v>
      </c>
      <c r="G44" s="3393">
        <f t="shared" si="19"/>
        <v>1</v>
      </c>
      <c r="H44" s="3390">
        <f t="shared" si="20"/>
        <v>23</v>
      </c>
      <c r="I44" s="3391">
        <f t="shared" si="20"/>
        <v>3</v>
      </c>
      <c r="J44" s="3393">
        <f t="shared" si="21"/>
        <v>26</v>
      </c>
    </row>
    <row r="45" spans="1:25" ht="15" x14ac:dyDescent="0.2">
      <c r="A45" s="3403" t="s">
        <v>162</v>
      </c>
      <c r="B45" s="3390">
        <v>209</v>
      </c>
      <c r="C45" s="3394">
        <v>21</v>
      </c>
      <c r="D45" s="3392">
        <f t="shared" si="18"/>
        <v>230</v>
      </c>
      <c r="E45" s="3390"/>
      <c r="F45" s="3394">
        <v>4</v>
      </c>
      <c r="G45" s="3393">
        <f t="shared" si="19"/>
        <v>4</v>
      </c>
      <c r="H45" s="3390">
        <f t="shared" si="20"/>
        <v>209</v>
      </c>
      <c r="I45" s="3394">
        <f t="shared" si="20"/>
        <v>25</v>
      </c>
      <c r="J45" s="3393">
        <f t="shared" si="21"/>
        <v>234</v>
      </c>
    </row>
    <row r="46" spans="1:25" ht="15" x14ac:dyDescent="0.2">
      <c r="A46" s="3404" t="s">
        <v>408</v>
      </c>
      <c r="B46" s="3390">
        <v>18</v>
      </c>
      <c r="C46" s="3391">
        <v>1</v>
      </c>
      <c r="D46" s="3392">
        <f t="shared" si="18"/>
        <v>19</v>
      </c>
      <c r="E46" s="3390"/>
      <c r="F46" s="3391"/>
      <c r="G46" s="3393">
        <f t="shared" si="19"/>
        <v>0</v>
      </c>
      <c r="H46" s="3390">
        <f t="shared" si="20"/>
        <v>18</v>
      </c>
      <c r="I46" s="3391">
        <f t="shared" si="20"/>
        <v>1</v>
      </c>
      <c r="J46" s="3393">
        <f t="shared" si="21"/>
        <v>19</v>
      </c>
    </row>
    <row r="47" spans="1:25" ht="15" x14ac:dyDescent="0.2">
      <c r="A47" s="3405" t="s">
        <v>163</v>
      </c>
      <c r="B47" s="3390">
        <v>129</v>
      </c>
      <c r="C47" s="3391">
        <v>51</v>
      </c>
      <c r="D47" s="3392">
        <f t="shared" si="18"/>
        <v>180</v>
      </c>
      <c r="E47" s="3390">
        <v>4</v>
      </c>
      <c r="F47" s="3391">
        <v>10</v>
      </c>
      <c r="G47" s="3393">
        <f t="shared" si="19"/>
        <v>14</v>
      </c>
      <c r="H47" s="3390">
        <f t="shared" si="20"/>
        <v>133</v>
      </c>
      <c r="I47" s="3391">
        <f t="shared" si="20"/>
        <v>61</v>
      </c>
      <c r="J47" s="3393">
        <f t="shared" si="21"/>
        <v>194</v>
      </c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</row>
    <row r="48" spans="1:25" ht="15" x14ac:dyDescent="0.2">
      <c r="A48" s="1426" t="s">
        <v>671</v>
      </c>
      <c r="B48" s="3395">
        <v>12</v>
      </c>
      <c r="C48" s="3396">
        <v>35</v>
      </c>
      <c r="D48" s="3397">
        <f t="shared" si="18"/>
        <v>47</v>
      </c>
      <c r="E48" s="3395"/>
      <c r="F48" s="3396">
        <v>41</v>
      </c>
      <c r="G48" s="3398">
        <f t="shared" si="19"/>
        <v>41</v>
      </c>
      <c r="H48" s="3395">
        <f t="shared" si="20"/>
        <v>12</v>
      </c>
      <c r="I48" s="3396">
        <f t="shared" si="20"/>
        <v>76</v>
      </c>
      <c r="J48" s="3398">
        <f t="shared" si="21"/>
        <v>88</v>
      </c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</row>
    <row r="49" spans="1:38" ht="15" x14ac:dyDescent="0.2">
      <c r="A49" s="3385" t="s">
        <v>573</v>
      </c>
      <c r="B49" s="1024">
        <f>SUM(B43:B48)</f>
        <v>476</v>
      </c>
      <c r="C49" s="1025">
        <f t="shared" ref="C49:J49" si="22">SUM(C43:C48)</f>
        <v>118</v>
      </c>
      <c r="D49" s="3399">
        <f t="shared" si="22"/>
        <v>594</v>
      </c>
      <c r="E49" s="1024">
        <f t="shared" si="22"/>
        <v>5</v>
      </c>
      <c r="F49" s="1025">
        <f t="shared" si="22"/>
        <v>56</v>
      </c>
      <c r="G49" s="3399">
        <f t="shared" si="22"/>
        <v>61</v>
      </c>
      <c r="H49" s="1024">
        <f>SUM(H43:H48)</f>
        <v>481</v>
      </c>
      <c r="I49" s="1025">
        <f>SUM(I43:I48)</f>
        <v>174</v>
      </c>
      <c r="J49" s="3399">
        <f t="shared" si="22"/>
        <v>655</v>
      </c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</row>
    <row r="53" spans="1:38" ht="15" x14ac:dyDescent="0.2">
      <c r="A53" s="7524" t="s">
        <v>51</v>
      </c>
      <c r="B53" s="7526" t="s">
        <v>1228</v>
      </c>
      <c r="C53" s="7527"/>
      <c r="D53" s="7528"/>
      <c r="E53" s="7526" t="s">
        <v>1229</v>
      </c>
      <c r="F53" s="7527"/>
      <c r="G53" s="7528"/>
      <c r="H53" s="7529">
        <v>2013</v>
      </c>
      <c r="I53" s="7530"/>
      <c r="J53" s="7531"/>
    </row>
    <row r="54" spans="1:38" ht="15" x14ac:dyDescent="0.2">
      <c r="A54" s="7525"/>
      <c r="B54" s="3383" t="s">
        <v>805</v>
      </c>
      <c r="C54" s="3384" t="s">
        <v>806</v>
      </c>
      <c r="D54" s="3400" t="s">
        <v>160</v>
      </c>
      <c r="E54" s="3384" t="s">
        <v>805</v>
      </c>
      <c r="F54" s="3384" t="s">
        <v>806</v>
      </c>
      <c r="G54" s="3400" t="s">
        <v>160</v>
      </c>
      <c r="H54" s="3384" t="s">
        <v>805</v>
      </c>
      <c r="I54" s="3384" t="s">
        <v>806</v>
      </c>
      <c r="J54" s="3400" t="s">
        <v>160</v>
      </c>
    </row>
    <row r="55" spans="1:38" ht="15" x14ac:dyDescent="0.2">
      <c r="A55" s="3401" t="s">
        <v>161</v>
      </c>
      <c r="B55" s="3386">
        <v>19</v>
      </c>
      <c r="C55" s="3387">
        <v>4</v>
      </c>
      <c r="D55" s="3388">
        <f t="shared" ref="D55:D60" si="23">SUM(B55:C55)</f>
        <v>23</v>
      </c>
      <c r="E55" s="3386"/>
      <c r="F55" s="3387"/>
      <c r="G55" s="3389">
        <f t="shared" ref="G55:G60" si="24">SUM(E55:F55)</f>
        <v>0</v>
      </c>
      <c r="H55" s="3386">
        <f t="shared" ref="H55:I60" si="25">SUM(B55,E55)</f>
        <v>19</v>
      </c>
      <c r="I55" s="3387">
        <f t="shared" si="25"/>
        <v>4</v>
      </c>
      <c r="J55" s="3389">
        <f t="shared" ref="J55:J60" si="26">SUM(H55:I55)</f>
        <v>23</v>
      </c>
    </row>
    <row r="56" spans="1:38" ht="15" x14ac:dyDescent="0.2">
      <c r="A56" s="3402" t="s">
        <v>407</v>
      </c>
      <c r="B56" s="3390">
        <v>31</v>
      </c>
      <c r="C56" s="3391">
        <v>7</v>
      </c>
      <c r="D56" s="3392">
        <f t="shared" si="23"/>
        <v>38</v>
      </c>
      <c r="E56" s="3390"/>
      <c r="F56" s="3391"/>
      <c r="G56" s="3393">
        <f t="shared" si="24"/>
        <v>0</v>
      </c>
      <c r="H56" s="3390">
        <f t="shared" si="25"/>
        <v>31</v>
      </c>
      <c r="I56" s="3391">
        <f t="shared" si="25"/>
        <v>7</v>
      </c>
      <c r="J56" s="3393">
        <f t="shared" si="26"/>
        <v>38</v>
      </c>
    </row>
    <row r="57" spans="1:38" ht="15" x14ac:dyDescent="0.2">
      <c r="A57" s="3403" t="s">
        <v>162</v>
      </c>
      <c r="B57" s="3390">
        <v>76</v>
      </c>
      <c r="C57" s="3394">
        <v>34</v>
      </c>
      <c r="D57" s="3392">
        <f t="shared" si="23"/>
        <v>110</v>
      </c>
      <c r="E57" s="3390">
        <v>0</v>
      </c>
      <c r="F57" s="3394">
        <v>5</v>
      </c>
      <c r="G57" s="3393">
        <f t="shared" si="24"/>
        <v>5</v>
      </c>
      <c r="H57" s="3390">
        <f t="shared" si="25"/>
        <v>76</v>
      </c>
      <c r="I57" s="3394">
        <f t="shared" si="25"/>
        <v>39</v>
      </c>
      <c r="J57" s="3393">
        <f t="shared" si="26"/>
        <v>115</v>
      </c>
      <c r="Z57" s="208"/>
      <c r="AA57" s="208"/>
      <c r="AB57" s="208"/>
      <c r="AD57" s="208"/>
      <c r="AE57" s="208"/>
      <c r="AF57" s="208"/>
      <c r="AG57" s="208"/>
      <c r="AH57" s="208"/>
    </row>
    <row r="58" spans="1:38" ht="15" x14ac:dyDescent="0.2">
      <c r="A58" s="3404" t="s">
        <v>408</v>
      </c>
      <c r="B58" s="3390">
        <v>7</v>
      </c>
      <c r="C58" s="3391">
        <v>3</v>
      </c>
      <c r="D58" s="3392">
        <f t="shared" si="23"/>
        <v>10</v>
      </c>
      <c r="E58" s="3390"/>
      <c r="F58" s="3391"/>
      <c r="G58" s="3393">
        <f t="shared" si="24"/>
        <v>0</v>
      </c>
      <c r="H58" s="3390">
        <f t="shared" si="25"/>
        <v>7</v>
      </c>
      <c r="I58" s="3391">
        <f t="shared" si="25"/>
        <v>3</v>
      </c>
      <c r="J58" s="3393">
        <f t="shared" si="26"/>
        <v>10</v>
      </c>
      <c r="Z58" s="208"/>
      <c r="AA58" s="208"/>
      <c r="AB58" s="208"/>
      <c r="AC58" s="208"/>
      <c r="AD58" s="208"/>
      <c r="AE58" s="208"/>
      <c r="AF58" s="208"/>
      <c r="AG58" s="208"/>
      <c r="AH58" s="208"/>
    </row>
    <row r="59" spans="1:38" ht="15" x14ac:dyDescent="0.2">
      <c r="A59" s="3405" t="s">
        <v>163</v>
      </c>
      <c r="B59" s="3390">
        <v>47</v>
      </c>
      <c r="C59" s="3391">
        <v>70</v>
      </c>
      <c r="D59" s="3392">
        <f t="shared" si="23"/>
        <v>117</v>
      </c>
      <c r="E59" s="3390"/>
      <c r="F59" s="3391">
        <v>18</v>
      </c>
      <c r="G59" s="3393">
        <f t="shared" si="24"/>
        <v>18</v>
      </c>
      <c r="H59" s="3390">
        <f t="shared" si="25"/>
        <v>47</v>
      </c>
      <c r="I59" s="3391">
        <f t="shared" si="25"/>
        <v>88</v>
      </c>
      <c r="J59" s="3393">
        <f t="shared" si="26"/>
        <v>135</v>
      </c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</row>
    <row r="60" spans="1:38" ht="15" x14ac:dyDescent="0.2">
      <c r="A60" s="1426" t="s">
        <v>671</v>
      </c>
      <c r="B60" s="3395">
        <v>2</v>
      </c>
      <c r="C60" s="3396">
        <v>44</v>
      </c>
      <c r="D60" s="3397">
        <f t="shared" si="23"/>
        <v>46</v>
      </c>
      <c r="E60" s="3395"/>
      <c r="F60" s="3396">
        <v>30</v>
      </c>
      <c r="G60" s="3398">
        <f t="shared" si="24"/>
        <v>30</v>
      </c>
      <c r="H60" s="3395">
        <f t="shared" si="25"/>
        <v>2</v>
      </c>
      <c r="I60" s="3396">
        <f t="shared" si="25"/>
        <v>74</v>
      </c>
      <c r="J60" s="3398">
        <f t="shared" si="26"/>
        <v>76</v>
      </c>
      <c r="L60" s="2684" t="s">
        <v>807</v>
      </c>
      <c r="M60" s="2683">
        <v>2003</v>
      </c>
      <c r="N60" s="2683">
        <v>2004</v>
      </c>
      <c r="O60" s="2683">
        <v>2005</v>
      </c>
      <c r="P60" s="2683">
        <v>2006</v>
      </c>
      <c r="Q60" s="2683">
        <v>2007</v>
      </c>
      <c r="R60" s="2683">
        <v>2008</v>
      </c>
      <c r="S60" s="2683">
        <v>2009</v>
      </c>
      <c r="T60" s="2683">
        <v>2010</v>
      </c>
      <c r="U60" s="2683">
        <v>2011</v>
      </c>
      <c r="V60" s="2683">
        <v>2012</v>
      </c>
      <c r="W60" s="2683">
        <v>2013</v>
      </c>
      <c r="X60" s="2683">
        <v>2014</v>
      </c>
      <c r="Y60" s="4238">
        <v>2015</v>
      </c>
      <c r="Z60" s="4951">
        <v>2016</v>
      </c>
      <c r="AA60" s="5435">
        <v>2017</v>
      </c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</row>
    <row r="61" spans="1:38" ht="15" x14ac:dyDescent="0.2">
      <c r="A61" s="3385" t="s">
        <v>573</v>
      </c>
      <c r="B61" s="1024">
        <f>SUM(B55:B60)</f>
        <v>182</v>
      </c>
      <c r="C61" s="1025">
        <f>SUM(C55:C60)</f>
        <v>162</v>
      </c>
      <c r="D61" s="3399">
        <f>SUM(D55:D60)</f>
        <v>344</v>
      </c>
      <c r="E61" s="1024"/>
      <c r="F61" s="1025">
        <f>SUM(F59:F60)</f>
        <v>48</v>
      </c>
      <c r="G61" s="3399">
        <f>SUM(G55:G60)</f>
        <v>53</v>
      </c>
      <c r="H61" s="1024">
        <f>SUM(H55:H60)</f>
        <v>182</v>
      </c>
      <c r="I61" s="1025">
        <f>SUM(I55:I60)</f>
        <v>215</v>
      </c>
      <c r="J61" s="3399">
        <f>SUM(J55:J60)</f>
        <v>397</v>
      </c>
      <c r="L61" s="3440" t="s">
        <v>803</v>
      </c>
      <c r="M61" s="1478">
        <v>367</v>
      </c>
      <c r="N61" s="1478">
        <v>291</v>
      </c>
      <c r="O61" s="1478">
        <v>302</v>
      </c>
      <c r="P61" s="1478">
        <v>395</v>
      </c>
      <c r="Q61" s="1478">
        <v>377</v>
      </c>
      <c r="R61" s="1478">
        <v>606</v>
      </c>
      <c r="S61" s="1478">
        <v>320</v>
      </c>
      <c r="T61" s="1478">
        <v>304</v>
      </c>
      <c r="U61" s="1478">
        <v>405</v>
      </c>
      <c r="V61" s="1478">
        <v>698</v>
      </c>
      <c r="W61" s="1478">
        <v>344</v>
      </c>
      <c r="X61" s="1478">
        <v>594</v>
      </c>
      <c r="Y61" s="1478">
        <v>693</v>
      </c>
      <c r="Z61" s="1478">
        <v>763</v>
      </c>
      <c r="AA61" s="1478">
        <v>370</v>
      </c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</row>
    <row r="62" spans="1:38" ht="15" x14ac:dyDescent="0.2">
      <c r="L62" s="3440" t="s">
        <v>804</v>
      </c>
      <c r="M62" s="1478">
        <v>45</v>
      </c>
      <c r="N62" s="1478">
        <v>57</v>
      </c>
      <c r="O62" s="1478">
        <v>56</v>
      </c>
      <c r="P62" s="1478">
        <v>46</v>
      </c>
      <c r="Q62" s="1478">
        <v>56</v>
      </c>
      <c r="R62" s="1478">
        <v>30</v>
      </c>
      <c r="S62" s="1478">
        <v>46</v>
      </c>
      <c r="T62" s="1478">
        <v>37</v>
      </c>
      <c r="U62" s="1478">
        <v>69</v>
      </c>
      <c r="V62" s="1478">
        <v>115</v>
      </c>
      <c r="W62" s="1478">
        <v>53</v>
      </c>
      <c r="X62" s="1478">
        <v>61</v>
      </c>
      <c r="Y62" s="1478">
        <v>86</v>
      </c>
      <c r="Z62" s="1478">
        <v>79</v>
      </c>
      <c r="AA62" s="1478">
        <v>61</v>
      </c>
      <c r="AC62" s="208"/>
      <c r="AI62" s="208"/>
      <c r="AJ62" s="208"/>
      <c r="AK62" s="208"/>
      <c r="AL62" s="208"/>
    </row>
    <row r="63" spans="1:38" ht="15" customHeight="1" x14ac:dyDescent="0.2">
      <c r="L63" s="3416" t="s">
        <v>573</v>
      </c>
      <c r="M63" s="3416">
        <f>SUM(M61:M62)</f>
        <v>412</v>
      </c>
      <c r="N63" s="3416">
        <f t="shared" ref="N63:Y63" si="27">SUM(N61:N62)</f>
        <v>348</v>
      </c>
      <c r="O63" s="3416">
        <f t="shared" si="27"/>
        <v>358</v>
      </c>
      <c r="P63" s="3416">
        <f t="shared" si="27"/>
        <v>441</v>
      </c>
      <c r="Q63" s="3416">
        <f t="shared" si="27"/>
        <v>433</v>
      </c>
      <c r="R63" s="3416">
        <f t="shared" si="27"/>
        <v>636</v>
      </c>
      <c r="S63" s="3416">
        <f t="shared" si="27"/>
        <v>366</v>
      </c>
      <c r="T63" s="3416">
        <f t="shared" si="27"/>
        <v>341</v>
      </c>
      <c r="U63" s="3416">
        <f t="shared" si="27"/>
        <v>474</v>
      </c>
      <c r="V63" s="3416">
        <f t="shared" si="27"/>
        <v>813</v>
      </c>
      <c r="W63" s="3416">
        <f t="shared" si="27"/>
        <v>397</v>
      </c>
      <c r="X63" s="3416">
        <f t="shared" si="27"/>
        <v>655</v>
      </c>
      <c r="Y63" s="4239">
        <f t="shared" si="27"/>
        <v>779</v>
      </c>
      <c r="Z63" s="4949">
        <f>SUM(Z61:Z62)</f>
        <v>842</v>
      </c>
      <c r="AA63" s="5434">
        <f>SUM(AA61:AA62)</f>
        <v>431</v>
      </c>
      <c r="AI63" s="208"/>
      <c r="AJ63" s="208"/>
      <c r="AK63" s="208"/>
      <c r="AL63" s="208"/>
    </row>
    <row r="64" spans="1:38" ht="15" customHeight="1" x14ac:dyDescent="0.2"/>
    <row r="65" spans="1:38" ht="15" customHeight="1" x14ac:dyDescent="0.2"/>
    <row r="66" spans="1:38" ht="15" customHeight="1" x14ac:dyDescent="0.2"/>
    <row r="67" spans="1:38" ht="15" customHeight="1" x14ac:dyDescent="0.2">
      <c r="A67" s="7524" t="s">
        <v>51</v>
      </c>
      <c r="B67" s="7526" t="s">
        <v>1228</v>
      </c>
      <c r="C67" s="7527"/>
      <c r="D67" s="7528"/>
      <c r="E67" s="7526" t="s">
        <v>1229</v>
      </c>
      <c r="F67" s="7527"/>
      <c r="G67" s="7528"/>
      <c r="H67" s="7529">
        <v>2012</v>
      </c>
      <c r="I67" s="7530"/>
      <c r="J67" s="7531"/>
    </row>
    <row r="68" spans="1:38" s="208" customFormat="1" ht="20.100000000000001" customHeight="1" x14ac:dyDescent="0.2">
      <c r="A68" s="7525"/>
      <c r="B68" s="3383" t="s">
        <v>805</v>
      </c>
      <c r="C68" s="3384" t="s">
        <v>806</v>
      </c>
      <c r="D68" s="3400" t="s">
        <v>160</v>
      </c>
      <c r="E68" s="3384" t="s">
        <v>805</v>
      </c>
      <c r="F68" s="3384" t="s">
        <v>806</v>
      </c>
      <c r="G68" s="3400" t="s">
        <v>160</v>
      </c>
      <c r="H68" s="3384" t="s">
        <v>805</v>
      </c>
      <c r="I68" s="3384" t="s">
        <v>806</v>
      </c>
      <c r="J68" s="3400" t="s">
        <v>160</v>
      </c>
      <c r="L68" s="192"/>
      <c r="M68" s="192"/>
      <c r="N68" s="192"/>
      <c r="O68" s="192"/>
      <c r="P68" s="192"/>
      <c r="Q68" s="192"/>
      <c r="R68" s="192"/>
      <c r="S68" s="192"/>
      <c r="T68" s="192"/>
      <c r="U68" s="192"/>
      <c r="V68" s="192"/>
      <c r="W68" s="192"/>
      <c r="X68" s="192"/>
      <c r="Y68" s="192"/>
      <c r="Z68" s="192"/>
      <c r="AA68" s="192"/>
      <c r="AB68" s="192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</row>
    <row r="69" spans="1:38" s="208" customFormat="1" ht="20.100000000000001" customHeight="1" x14ac:dyDescent="0.2">
      <c r="A69" s="3401" t="s">
        <v>161</v>
      </c>
      <c r="B69" s="3386">
        <v>42</v>
      </c>
      <c r="C69" s="3387">
        <v>8</v>
      </c>
      <c r="D69" s="3388">
        <f t="shared" ref="D69:D74" si="28">SUM(B69:C69)</f>
        <v>50</v>
      </c>
      <c r="E69" s="3386"/>
      <c r="F69" s="3387"/>
      <c r="G69" s="3389">
        <f t="shared" ref="G69:G74" si="29">SUM(E69:F69)</f>
        <v>0</v>
      </c>
      <c r="H69" s="3386">
        <f t="shared" ref="H69:I74" si="30">SUM(B69,E69)</f>
        <v>42</v>
      </c>
      <c r="I69" s="3387">
        <f t="shared" si="30"/>
        <v>8</v>
      </c>
      <c r="J69" s="3389">
        <f t="shared" ref="J69:J74" si="31">SUM(H69:I69)</f>
        <v>50</v>
      </c>
      <c r="L69" s="192"/>
      <c r="M69" s="192"/>
      <c r="N69" s="192"/>
      <c r="O69" s="192"/>
      <c r="P69" s="192"/>
      <c r="Q69" s="192"/>
      <c r="R69" s="192"/>
      <c r="S69" s="192"/>
      <c r="T69" s="192"/>
      <c r="U69" s="192"/>
      <c r="V69" s="192"/>
      <c r="W69" s="192"/>
      <c r="X69" s="192"/>
      <c r="Y69" s="192"/>
      <c r="Z69" s="192"/>
      <c r="AA69" s="192"/>
      <c r="AB69" s="192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</row>
    <row r="70" spans="1:38" s="208" customFormat="1" ht="20.100000000000001" customHeight="1" x14ac:dyDescent="0.2">
      <c r="A70" s="3402" t="s">
        <v>407</v>
      </c>
      <c r="B70" s="3390">
        <v>3</v>
      </c>
      <c r="C70" s="3391">
        <v>26</v>
      </c>
      <c r="D70" s="3392">
        <f t="shared" si="28"/>
        <v>29</v>
      </c>
      <c r="E70" s="3390"/>
      <c r="F70" s="3391"/>
      <c r="G70" s="3393">
        <f t="shared" si="29"/>
        <v>0</v>
      </c>
      <c r="H70" s="3390">
        <f t="shared" si="30"/>
        <v>3</v>
      </c>
      <c r="I70" s="3391">
        <f t="shared" si="30"/>
        <v>26</v>
      </c>
      <c r="J70" s="3393">
        <f t="shared" si="31"/>
        <v>29</v>
      </c>
      <c r="L70" s="192"/>
      <c r="M70" s="192"/>
      <c r="N70" s="192"/>
      <c r="O70" s="192"/>
      <c r="P70" s="192"/>
      <c r="Q70" s="192"/>
      <c r="R70" s="192"/>
      <c r="S70" s="192"/>
      <c r="T70" s="192"/>
      <c r="U70" s="192"/>
      <c r="V70" s="192"/>
      <c r="W70" s="192"/>
      <c r="X70" s="192"/>
      <c r="Y70" s="192"/>
      <c r="Z70" s="192"/>
      <c r="AA70" s="192"/>
      <c r="AB70" s="192"/>
      <c r="AC70" s="192"/>
      <c r="AD70" s="192"/>
      <c r="AE70" s="192"/>
      <c r="AF70" s="192"/>
      <c r="AG70" s="192"/>
      <c r="AH70" s="192"/>
      <c r="AI70" s="192"/>
      <c r="AJ70" s="192"/>
      <c r="AK70" s="192"/>
      <c r="AL70" s="192"/>
    </row>
    <row r="71" spans="1:38" s="208" customFormat="1" ht="20.100000000000001" customHeight="1" x14ac:dyDescent="0.2">
      <c r="A71" s="3403" t="s">
        <v>162</v>
      </c>
      <c r="B71" s="3390">
        <v>311</v>
      </c>
      <c r="C71" s="3394">
        <v>44</v>
      </c>
      <c r="D71" s="3392">
        <f t="shared" si="28"/>
        <v>355</v>
      </c>
      <c r="E71" s="3390">
        <v>1</v>
      </c>
      <c r="F71" s="3394">
        <v>10</v>
      </c>
      <c r="G71" s="3393">
        <f t="shared" si="29"/>
        <v>11</v>
      </c>
      <c r="H71" s="3390">
        <f t="shared" si="30"/>
        <v>312</v>
      </c>
      <c r="I71" s="3394">
        <f t="shared" si="30"/>
        <v>54</v>
      </c>
      <c r="J71" s="3393">
        <f t="shared" si="31"/>
        <v>366</v>
      </c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</row>
    <row r="72" spans="1:38" s="208" customFormat="1" ht="20.100000000000001" customHeight="1" x14ac:dyDescent="0.2">
      <c r="A72" s="3404" t="s">
        <v>408</v>
      </c>
      <c r="B72" s="3390">
        <v>76</v>
      </c>
      <c r="C72" s="3391">
        <v>59</v>
      </c>
      <c r="D72" s="3392">
        <f t="shared" si="28"/>
        <v>135</v>
      </c>
      <c r="E72" s="3390">
        <v>2</v>
      </c>
      <c r="F72" s="3391">
        <v>29</v>
      </c>
      <c r="G72" s="3393">
        <f t="shared" si="29"/>
        <v>31</v>
      </c>
      <c r="H72" s="3390">
        <f t="shared" si="30"/>
        <v>78</v>
      </c>
      <c r="I72" s="3391">
        <f t="shared" si="30"/>
        <v>88</v>
      </c>
      <c r="J72" s="3393">
        <f t="shared" si="31"/>
        <v>166</v>
      </c>
      <c r="L72" s="192"/>
      <c r="M72" s="192"/>
      <c r="N72" s="192"/>
      <c r="O72" s="192"/>
      <c r="P72" s="192"/>
      <c r="Q72" s="192"/>
      <c r="R72" s="192"/>
      <c r="S72" s="192"/>
      <c r="T72" s="192"/>
      <c r="U72" s="192"/>
      <c r="V72" s="192"/>
      <c r="W72" s="192"/>
      <c r="X72" s="192"/>
      <c r="Y72" s="192"/>
      <c r="Z72" s="192"/>
      <c r="AA72" s="192"/>
      <c r="AB72" s="192"/>
      <c r="AC72" s="192"/>
      <c r="AD72" s="192"/>
      <c r="AE72" s="192"/>
      <c r="AF72" s="192"/>
      <c r="AG72" s="192"/>
      <c r="AH72" s="192"/>
      <c r="AI72" s="192"/>
      <c r="AJ72" s="192"/>
      <c r="AK72" s="192"/>
      <c r="AL72" s="192"/>
    </row>
    <row r="73" spans="1:38" ht="20.100000000000001" customHeight="1" x14ac:dyDescent="0.2">
      <c r="A73" s="3405" t="s">
        <v>163</v>
      </c>
      <c r="B73" s="3390"/>
      <c r="C73" s="3391"/>
      <c r="D73" s="3392">
        <f t="shared" si="28"/>
        <v>0</v>
      </c>
      <c r="E73" s="3390"/>
      <c r="F73" s="3391"/>
      <c r="G73" s="3393">
        <f t="shared" si="29"/>
        <v>0</v>
      </c>
      <c r="H73" s="3390">
        <f t="shared" si="30"/>
        <v>0</v>
      </c>
      <c r="I73" s="3391">
        <f t="shared" si="30"/>
        <v>0</v>
      </c>
      <c r="J73" s="3393">
        <f t="shared" si="31"/>
        <v>0</v>
      </c>
    </row>
    <row r="74" spans="1:38" ht="15" x14ac:dyDescent="0.2">
      <c r="A74" s="1426" t="s">
        <v>671</v>
      </c>
      <c r="B74" s="3395">
        <v>4</v>
      </c>
      <c r="C74" s="3396">
        <v>125</v>
      </c>
      <c r="D74" s="3397">
        <f t="shared" si="28"/>
        <v>129</v>
      </c>
      <c r="E74" s="3395">
        <v>2</v>
      </c>
      <c r="F74" s="3396">
        <v>71</v>
      </c>
      <c r="G74" s="3398">
        <f t="shared" si="29"/>
        <v>73</v>
      </c>
      <c r="H74" s="3395">
        <f t="shared" si="30"/>
        <v>6</v>
      </c>
      <c r="I74" s="3396">
        <f t="shared" si="30"/>
        <v>196</v>
      </c>
      <c r="J74" s="3398">
        <f t="shared" si="31"/>
        <v>202</v>
      </c>
    </row>
    <row r="75" spans="1:38" ht="15" x14ac:dyDescent="0.2">
      <c r="A75" s="3385" t="s">
        <v>573</v>
      </c>
      <c r="B75" s="1024">
        <f t="shared" ref="B75:J75" si="32">SUM(B69:B74)</f>
        <v>436</v>
      </c>
      <c r="C75" s="1025">
        <f t="shared" si="32"/>
        <v>262</v>
      </c>
      <c r="D75" s="3399">
        <f t="shared" si="32"/>
        <v>698</v>
      </c>
      <c r="E75" s="1024">
        <f t="shared" si="32"/>
        <v>5</v>
      </c>
      <c r="F75" s="1025">
        <f t="shared" si="32"/>
        <v>110</v>
      </c>
      <c r="G75" s="3399">
        <f t="shared" si="32"/>
        <v>115</v>
      </c>
      <c r="H75" s="1024">
        <f t="shared" si="32"/>
        <v>441</v>
      </c>
      <c r="I75" s="1025">
        <f t="shared" si="32"/>
        <v>372</v>
      </c>
      <c r="J75" s="3399">
        <f t="shared" si="32"/>
        <v>813</v>
      </c>
    </row>
    <row r="78" spans="1:38" x14ac:dyDescent="0.2">
      <c r="A78" s="7521">
        <v>2011</v>
      </c>
      <c r="B78" s="7522"/>
      <c r="C78" s="7522"/>
      <c r="D78" s="7522"/>
      <c r="E78" s="7522"/>
      <c r="F78" s="7522"/>
      <c r="G78" s="7523"/>
    </row>
    <row r="79" spans="1:38" x14ac:dyDescent="0.2">
      <c r="A79" s="3382" t="s">
        <v>1231</v>
      </c>
      <c r="B79" s="3415" t="s">
        <v>1232</v>
      </c>
      <c r="C79" s="3415" t="s">
        <v>1233</v>
      </c>
      <c r="D79" s="4249" t="s">
        <v>160</v>
      </c>
      <c r="E79" s="3383" t="s">
        <v>805</v>
      </c>
      <c r="F79" s="3384" t="s">
        <v>806</v>
      </c>
      <c r="G79" s="4249" t="s">
        <v>160</v>
      </c>
    </row>
    <row r="80" spans="1:38" x14ac:dyDescent="0.2">
      <c r="A80" s="3410" t="s">
        <v>1235</v>
      </c>
      <c r="B80" s="3406">
        <v>102</v>
      </c>
      <c r="C80" s="3407">
        <v>9</v>
      </c>
      <c r="D80" s="3408">
        <f t="shared" ref="D80:D85" si="33">SUM(B80:C80)</f>
        <v>111</v>
      </c>
      <c r="E80" s="3406">
        <v>75</v>
      </c>
      <c r="F80" s="3406">
        <v>36</v>
      </c>
      <c r="G80" s="3409">
        <f t="shared" ref="G80:G85" si="34">SUM(E80:F80)</f>
        <v>111</v>
      </c>
    </row>
    <row r="81" spans="1:7" x14ac:dyDescent="0.2">
      <c r="A81" s="3411" t="s">
        <v>1236</v>
      </c>
      <c r="B81" s="3406">
        <v>16</v>
      </c>
      <c r="C81" s="3407">
        <v>3</v>
      </c>
      <c r="D81" s="3408">
        <f t="shared" si="33"/>
        <v>19</v>
      </c>
      <c r="E81" s="3406">
        <v>5</v>
      </c>
      <c r="F81" s="3406">
        <v>14</v>
      </c>
      <c r="G81" s="3409">
        <f t="shared" si="34"/>
        <v>19</v>
      </c>
    </row>
    <row r="82" spans="1:7" x14ac:dyDescent="0.2">
      <c r="A82" s="3412" t="s">
        <v>162</v>
      </c>
      <c r="B82" s="3406">
        <v>80</v>
      </c>
      <c r="C82" s="3406">
        <v>5</v>
      </c>
      <c r="D82" s="3408">
        <f t="shared" si="33"/>
        <v>85</v>
      </c>
      <c r="E82" s="3406">
        <v>73</v>
      </c>
      <c r="F82" s="3406">
        <v>12</v>
      </c>
      <c r="G82" s="3409">
        <f t="shared" si="34"/>
        <v>85</v>
      </c>
    </row>
    <row r="83" spans="1:7" x14ac:dyDescent="0.2">
      <c r="A83" s="3413" t="s">
        <v>163</v>
      </c>
      <c r="B83" s="3406">
        <v>126</v>
      </c>
      <c r="C83" s="3406">
        <v>8</v>
      </c>
      <c r="D83" s="3408">
        <f t="shared" si="33"/>
        <v>134</v>
      </c>
      <c r="E83" s="3406">
        <v>56</v>
      </c>
      <c r="F83" s="3406">
        <v>78</v>
      </c>
      <c r="G83" s="3409">
        <f t="shared" si="34"/>
        <v>134</v>
      </c>
    </row>
    <row r="84" spans="1:7" x14ac:dyDescent="0.2">
      <c r="A84" s="3414" t="s">
        <v>408</v>
      </c>
      <c r="B84" s="3406">
        <v>4</v>
      </c>
      <c r="C84" s="3406"/>
      <c r="D84" s="3408">
        <f t="shared" si="33"/>
        <v>4</v>
      </c>
      <c r="E84" s="3406">
        <v>1</v>
      </c>
      <c r="F84" s="3406">
        <v>3</v>
      </c>
      <c r="G84" s="3409">
        <f t="shared" si="34"/>
        <v>4</v>
      </c>
    </row>
    <row r="85" spans="1:7" x14ac:dyDescent="0.2">
      <c r="A85" s="3406" t="s">
        <v>671</v>
      </c>
      <c r="B85" s="3406">
        <v>77</v>
      </c>
      <c r="C85" s="3406">
        <v>44</v>
      </c>
      <c r="D85" s="3408">
        <f t="shared" si="33"/>
        <v>121</v>
      </c>
      <c r="E85" s="3406">
        <v>8</v>
      </c>
      <c r="F85" s="3406">
        <v>113</v>
      </c>
      <c r="G85" s="3409">
        <f t="shared" si="34"/>
        <v>121</v>
      </c>
    </row>
    <row r="86" spans="1:7" x14ac:dyDescent="0.2">
      <c r="A86" s="3382" t="s">
        <v>1234</v>
      </c>
      <c r="B86" s="3382">
        <f t="shared" ref="B86:G86" si="35">SUM(B80:B85)</f>
        <v>405</v>
      </c>
      <c r="C86" s="3382">
        <f t="shared" si="35"/>
        <v>69</v>
      </c>
      <c r="D86" s="3382">
        <f t="shared" si="35"/>
        <v>474</v>
      </c>
      <c r="E86" s="3382">
        <f t="shared" si="35"/>
        <v>218</v>
      </c>
      <c r="F86" s="3382">
        <f t="shared" si="35"/>
        <v>256</v>
      </c>
      <c r="G86" s="3382">
        <f t="shared" si="35"/>
        <v>474</v>
      </c>
    </row>
    <row r="112" spans="12:27" ht="15" x14ac:dyDescent="0.2">
      <c r="L112" s="2684" t="s">
        <v>808</v>
      </c>
      <c r="M112" s="2683">
        <v>2003</v>
      </c>
      <c r="N112" s="2683">
        <v>2004</v>
      </c>
      <c r="O112" s="2683">
        <v>2005</v>
      </c>
      <c r="P112" s="2683">
        <v>2006</v>
      </c>
      <c r="Q112" s="2683">
        <v>2007</v>
      </c>
      <c r="R112" s="2683">
        <v>2008</v>
      </c>
      <c r="S112" s="2683">
        <v>2009</v>
      </c>
      <c r="T112" s="2683">
        <v>2010</v>
      </c>
      <c r="U112" s="2683">
        <v>2011</v>
      </c>
      <c r="V112" s="2683">
        <v>2012</v>
      </c>
      <c r="W112" s="2683">
        <v>2013</v>
      </c>
      <c r="X112" s="2683">
        <v>2014</v>
      </c>
      <c r="Y112" s="4238">
        <v>2015</v>
      </c>
      <c r="Z112" s="4951">
        <v>2016</v>
      </c>
      <c r="AA112" s="5435">
        <v>2017</v>
      </c>
    </row>
    <row r="113" spans="12:27" ht="15" x14ac:dyDescent="0.2">
      <c r="L113" s="3440" t="s">
        <v>805</v>
      </c>
      <c r="M113" s="1478">
        <v>125</v>
      </c>
      <c r="N113" s="1478">
        <v>107</v>
      </c>
      <c r="O113" s="1478">
        <v>129</v>
      </c>
      <c r="P113" s="1478">
        <v>166</v>
      </c>
      <c r="Q113" s="1478">
        <v>212</v>
      </c>
      <c r="R113" s="1478">
        <v>301</v>
      </c>
      <c r="S113" s="1478">
        <v>181</v>
      </c>
      <c r="T113" s="1478">
        <v>75</v>
      </c>
      <c r="U113" s="1478">
        <v>218</v>
      </c>
      <c r="V113" s="1478">
        <v>441</v>
      </c>
      <c r="W113" s="1478">
        <v>182</v>
      </c>
      <c r="X113" s="1478">
        <v>481</v>
      </c>
      <c r="Y113" s="1478">
        <v>563</v>
      </c>
      <c r="Z113" s="1478">
        <v>619</v>
      </c>
      <c r="AA113" s="1478">
        <v>200</v>
      </c>
    </row>
    <row r="114" spans="12:27" ht="15" x14ac:dyDescent="0.2">
      <c r="L114" s="3440" t="s">
        <v>806</v>
      </c>
      <c r="M114" s="1478">
        <v>287</v>
      </c>
      <c r="N114" s="1478">
        <v>241</v>
      </c>
      <c r="O114" s="1478">
        <v>229</v>
      </c>
      <c r="P114" s="1478">
        <v>275</v>
      </c>
      <c r="Q114" s="1478">
        <v>221</v>
      </c>
      <c r="R114" s="1478">
        <v>335</v>
      </c>
      <c r="S114" s="1478">
        <v>185</v>
      </c>
      <c r="T114" s="1478">
        <v>266</v>
      </c>
      <c r="U114" s="1478">
        <v>256</v>
      </c>
      <c r="V114" s="1478">
        <v>372</v>
      </c>
      <c r="W114" s="1478">
        <v>215</v>
      </c>
      <c r="X114" s="1478">
        <v>174</v>
      </c>
      <c r="Y114" s="1478">
        <v>216</v>
      </c>
      <c r="Z114" s="1478">
        <v>223</v>
      </c>
      <c r="AA114" s="1478">
        <v>231</v>
      </c>
    </row>
    <row r="115" spans="12:27" ht="15" x14ac:dyDescent="0.2">
      <c r="L115" s="3416" t="s">
        <v>573</v>
      </c>
      <c r="M115" s="3416">
        <f>SUM(M113:M114)</f>
        <v>412</v>
      </c>
      <c r="N115" s="3416">
        <f t="shared" ref="N115:Y115" si="36">SUM(N113:N114)</f>
        <v>348</v>
      </c>
      <c r="O115" s="3416">
        <f t="shared" si="36"/>
        <v>358</v>
      </c>
      <c r="P115" s="3416">
        <f t="shared" si="36"/>
        <v>441</v>
      </c>
      <c r="Q115" s="3416">
        <f t="shared" si="36"/>
        <v>433</v>
      </c>
      <c r="R115" s="3416">
        <f t="shared" si="36"/>
        <v>636</v>
      </c>
      <c r="S115" s="3416">
        <f t="shared" si="36"/>
        <v>366</v>
      </c>
      <c r="T115" s="3416">
        <f t="shared" si="36"/>
        <v>341</v>
      </c>
      <c r="U115" s="3416">
        <f t="shared" si="36"/>
        <v>474</v>
      </c>
      <c r="V115" s="3416">
        <f t="shared" si="36"/>
        <v>813</v>
      </c>
      <c r="W115" s="3416">
        <f t="shared" si="36"/>
        <v>397</v>
      </c>
      <c r="X115" s="3416">
        <f t="shared" si="36"/>
        <v>655</v>
      </c>
      <c r="Y115" s="4239">
        <f t="shared" si="36"/>
        <v>779</v>
      </c>
      <c r="Z115" s="4949">
        <f>SUM(Z113:Z114)</f>
        <v>842</v>
      </c>
      <c r="AA115" s="5434">
        <f>SUM(AA113:AA114)</f>
        <v>431</v>
      </c>
    </row>
    <row r="123" spans="12:27" ht="20.100000000000001" customHeight="1" x14ac:dyDescent="0.2"/>
    <row r="124" spans="12:27" ht="20.100000000000001" customHeight="1" x14ac:dyDescent="0.2"/>
    <row r="125" spans="12:27" ht="20.100000000000001" customHeight="1" x14ac:dyDescent="0.2"/>
    <row r="126" spans="12:27" ht="20.100000000000001" customHeight="1" x14ac:dyDescent="0.2"/>
  </sheetData>
  <sheetProtection algorithmName="SHA-512" hashValue="YRwMCvQrdm2+HCw/2WQ2n4Hqd2aOd9UONgT19Fl/r+1Y+VVBC6f7nLsN9vNUvQuHqj8XDKycNC1U0xYk/n1PTQ==" saltValue="hGduv055adBZ6S1fYi0qIw==" spinCount="100000" sheet="1" objects="1" scenarios="1"/>
  <mergeCells count="26">
    <mergeCell ref="A4:A5"/>
    <mergeCell ref="B4:D4"/>
    <mergeCell ref="E4:G4"/>
    <mergeCell ref="H4:J4"/>
    <mergeCell ref="H16:J16"/>
    <mergeCell ref="A27:J27"/>
    <mergeCell ref="B41:D41"/>
    <mergeCell ref="A16:A17"/>
    <mergeCell ref="B16:D16"/>
    <mergeCell ref="E16:G16"/>
    <mergeCell ref="A78:G78"/>
    <mergeCell ref="A30:A31"/>
    <mergeCell ref="B30:D30"/>
    <mergeCell ref="E30:G30"/>
    <mergeCell ref="H30:J30"/>
    <mergeCell ref="A67:A68"/>
    <mergeCell ref="B67:D67"/>
    <mergeCell ref="E67:G67"/>
    <mergeCell ref="H67:J67"/>
    <mergeCell ref="E41:G41"/>
    <mergeCell ref="H41:J41"/>
    <mergeCell ref="A53:A54"/>
    <mergeCell ref="B53:D53"/>
    <mergeCell ref="E53:G53"/>
    <mergeCell ref="H53:J53"/>
    <mergeCell ref="A41:A42"/>
  </mergeCells>
  <printOptions horizontalCentered="1" verticalCentered="1"/>
  <pageMargins left="0.74803149606299213" right="0.74803149606299213" top="0.39370078740157483" bottom="0.39370078740157483" header="0" footer="0"/>
  <pageSetup scale="65" orientation="landscape" r:id="rId1"/>
  <headerFooter alignWithMargins="0"/>
  <rowBreaks count="2" manualBreakCount="2">
    <brk id="66" max="16383" man="1"/>
    <brk id="117" max="16383" man="1"/>
  </rowBreaks>
  <colBreaks count="1" manualBreakCount="1">
    <brk id="11" max="1048575" man="1"/>
  </colBreaks>
  <ignoredErrors>
    <ignoredError sqref="M12:AA12" formulaRange="1"/>
  </ignoredErrors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M17"/>
  <sheetViews>
    <sheetView showGridLines="0" workbookViewId="0">
      <selection activeCell="N6" sqref="N6"/>
    </sheetView>
  </sheetViews>
  <sheetFormatPr baseColWidth="10" defaultRowHeight="15" x14ac:dyDescent="0.25"/>
  <cols>
    <col min="1" max="1" width="30.7109375" style="5444" customWidth="1"/>
    <col min="2" max="6" width="11.7109375" style="5444" customWidth="1"/>
    <col min="7" max="11" width="12.140625" style="5444" bestFit="1" customWidth="1"/>
    <col min="12" max="12" width="12.140625" style="5444" customWidth="1"/>
    <col min="13" max="16384" width="11.42578125" style="5444"/>
  </cols>
  <sheetData>
    <row r="1" spans="1:13" ht="18.75" x14ac:dyDescent="0.25">
      <c r="A1" s="5443" t="s">
        <v>1666</v>
      </c>
    </row>
    <row r="2" spans="1:13" ht="15" customHeight="1" x14ac:dyDescent="0.25">
      <c r="A2" s="5443"/>
    </row>
    <row r="3" spans="1:13" x14ac:dyDescent="0.25">
      <c r="A3" s="7535" t="s">
        <v>1667</v>
      </c>
      <c r="B3" s="7537" t="s">
        <v>1666</v>
      </c>
      <c r="C3" s="7538"/>
      <c r="D3" s="7538"/>
      <c r="E3" s="7538"/>
      <c r="F3" s="7538"/>
      <c r="G3" s="7538"/>
      <c r="H3" s="7538"/>
      <c r="I3" s="7538"/>
      <c r="J3" s="7538"/>
      <c r="K3" s="7538"/>
      <c r="L3" s="7538"/>
      <c r="M3" s="7539"/>
    </row>
    <row r="4" spans="1:13" x14ac:dyDescent="0.25">
      <c r="A4" s="7536"/>
      <c r="B4" s="5445">
        <v>2006</v>
      </c>
      <c r="C4" s="5446">
        <v>2007</v>
      </c>
      <c r="D4" s="5446">
        <v>2008</v>
      </c>
      <c r="E4" s="5446">
        <v>2009</v>
      </c>
      <c r="F4" s="5446">
        <v>2010</v>
      </c>
      <c r="G4" s="5446">
        <v>2011</v>
      </c>
      <c r="H4" s="5446">
        <v>2012</v>
      </c>
      <c r="I4" s="5446">
        <v>2013</v>
      </c>
      <c r="J4" s="5446">
        <v>2014</v>
      </c>
      <c r="K4" s="5446">
        <v>2015</v>
      </c>
      <c r="L4" s="5447">
        <v>2016</v>
      </c>
      <c r="M4" s="5447">
        <v>2017</v>
      </c>
    </row>
    <row r="5" spans="1:13" ht="30" x14ac:dyDescent="0.25">
      <c r="A5" s="5448" t="s">
        <v>1668</v>
      </c>
      <c r="B5" s="5449">
        <v>3</v>
      </c>
      <c r="C5" s="5449">
        <v>5</v>
      </c>
      <c r="D5" s="5449">
        <v>5</v>
      </c>
      <c r="E5" s="5449">
        <v>10</v>
      </c>
      <c r="F5" s="5449">
        <v>13</v>
      </c>
      <c r="G5" s="5449">
        <v>7</v>
      </c>
      <c r="H5" s="5449">
        <v>10</v>
      </c>
      <c r="I5" s="5450">
        <v>12</v>
      </c>
      <c r="J5" s="5451">
        <v>8</v>
      </c>
      <c r="K5" s="5452">
        <v>8</v>
      </c>
      <c r="L5" s="5453">
        <v>7</v>
      </c>
      <c r="M5" s="5453">
        <v>10</v>
      </c>
    </row>
    <row r="6" spans="1:13" ht="30" x14ac:dyDescent="0.25">
      <c r="A6" s="5454" t="s">
        <v>1669</v>
      </c>
      <c r="B6" s="5449">
        <v>1</v>
      </c>
      <c r="C6" s="5449">
        <v>2</v>
      </c>
      <c r="D6" s="5449">
        <v>1</v>
      </c>
      <c r="E6" s="5449">
        <v>4</v>
      </c>
      <c r="F6" s="5449">
        <v>1</v>
      </c>
      <c r="G6" s="5449">
        <v>6</v>
      </c>
      <c r="H6" s="5449">
        <v>3</v>
      </c>
      <c r="I6" s="5450">
        <v>4</v>
      </c>
      <c r="J6" s="5451">
        <v>0</v>
      </c>
      <c r="K6" s="5452">
        <v>0</v>
      </c>
      <c r="L6" s="5451">
        <v>2</v>
      </c>
      <c r="M6" s="5451">
        <v>0</v>
      </c>
    </row>
    <row r="7" spans="1:13" ht="30" x14ac:dyDescent="0.25">
      <c r="A7" s="5454" t="s">
        <v>1670</v>
      </c>
      <c r="B7" s="5449">
        <v>0</v>
      </c>
      <c r="C7" s="5449">
        <v>25</v>
      </c>
      <c r="D7" s="5449">
        <v>14</v>
      </c>
      <c r="E7" s="5449">
        <v>10</v>
      </c>
      <c r="F7" s="5449">
        <v>19</v>
      </c>
      <c r="G7" s="5449">
        <v>5</v>
      </c>
      <c r="H7" s="5449">
        <v>6</v>
      </c>
      <c r="I7" s="5450">
        <v>18</v>
      </c>
      <c r="J7" s="5451">
        <v>19</v>
      </c>
      <c r="K7" s="5452">
        <v>6</v>
      </c>
      <c r="L7" s="5451">
        <v>11</v>
      </c>
      <c r="M7" s="5451">
        <v>19</v>
      </c>
    </row>
    <row r="8" spans="1:13" ht="20.25" customHeight="1" x14ac:dyDescent="0.25">
      <c r="A8" s="5454" t="s">
        <v>1671</v>
      </c>
      <c r="B8" s="5449">
        <v>0</v>
      </c>
      <c r="C8" s="5449">
        <v>0</v>
      </c>
      <c r="D8" s="5449">
        <v>0</v>
      </c>
      <c r="E8" s="5449">
        <v>5</v>
      </c>
      <c r="F8" s="5449">
        <v>13</v>
      </c>
      <c r="G8" s="5449">
        <v>11</v>
      </c>
      <c r="H8" s="5449">
        <v>11</v>
      </c>
      <c r="I8" s="5450">
        <v>14</v>
      </c>
      <c r="J8" s="5451">
        <v>13</v>
      </c>
      <c r="K8" s="5452">
        <v>7</v>
      </c>
      <c r="L8" s="5453">
        <v>8</v>
      </c>
      <c r="M8" s="5453">
        <v>12</v>
      </c>
    </row>
    <row r="9" spans="1:13" ht="30" x14ac:dyDescent="0.25">
      <c r="A9" s="5454" t="s">
        <v>1672</v>
      </c>
      <c r="B9" s="5449">
        <v>0</v>
      </c>
      <c r="C9" s="5449">
        <v>3</v>
      </c>
      <c r="D9" s="5449">
        <v>3</v>
      </c>
      <c r="E9" s="5449">
        <v>6</v>
      </c>
      <c r="F9" s="5449">
        <v>7</v>
      </c>
      <c r="G9" s="5449">
        <v>4</v>
      </c>
      <c r="H9" s="5449">
        <v>3</v>
      </c>
      <c r="I9" s="5450">
        <v>4</v>
      </c>
      <c r="J9" s="5451">
        <v>13</v>
      </c>
      <c r="K9" s="5452">
        <v>6</v>
      </c>
      <c r="L9" s="5451">
        <v>6</v>
      </c>
      <c r="M9" s="5451">
        <v>5</v>
      </c>
    </row>
    <row r="10" spans="1:13" ht="30" x14ac:dyDescent="0.25">
      <c r="A10" s="5454" t="s">
        <v>1673</v>
      </c>
      <c r="B10" s="5451">
        <v>0</v>
      </c>
      <c r="C10" s="5451">
        <v>6</v>
      </c>
      <c r="D10" s="5451">
        <v>10</v>
      </c>
      <c r="E10" s="5451">
        <v>8</v>
      </c>
      <c r="F10" s="5451">
        <v>0</v>
      </c>
      <c r="G10" s="5451">
        <v>1</v>
      </c>
      <c r="H10" s="5451">
        <v>6</v>
      </c>
      <c r="I10" s="5455">
        <v>6</v>
      </c>
      <c r="J10" s="5451">
        <v>10</v>
      </c>
      <c r="K10" s="5452">
        <v>6</v>
      </c>
      <c r="L10" s="5451">
        <v>5</v>
      </c>
      <c r="M10" s="5451">
        <v>2</v>
      </c>
    </row>
    <row r="11" spans="1:13" ht="24.95" customHeight="1" x14ac:dyDescent="0.25">
      <c r="A11" s="5454" t="s">
        <v>1674</v>
      </c>
      <c r="B11" s="5449">
        <v>25</v>
      </c>
      <c r="C11" s="5449">
        <v>107</v>
      </c>
      <c r="D11" s="5449">
        <v>90</v>
      </c>
      <c r="E11" s="5449">
        <v>63</v>
      </c>
      <c r="F11" s="5449">
        <v>117</v>
      </c>
      <c r="G11" s="5449">
        <v>89</v>
      </c>
      <c r="H11" s="5449">
        <v>147</v>
      </c>
      <c r="I11" s="5450">
        <f>73</f>
        <v>73</v>
      </c>
      <c r="J11" s="5451">
        <v>169</v>
      </c>
      <c r="K11" s="5452">
        <v>214</v>
      </c>
      <c r="L11" s="5451">
        <v>96</v>
      </c>
      <c r="M11" s="5451">
        <v>275</v>
      </c>
    </row>
    <row r="12" spans="1:13" ht="24.95" customHeight="1" x14ac:dyDescent="0.25">
      <c r="A12" s="5454" t="s">
        <v>1675</v>
      </c>
      <c r="B12" s="5456">
        <v>89374.3</v>
      </c>
      <c r="C12" s="5456">
        <v>295329.39</v>
      </c>
      <c r="D12" s="5456">
        <v>506434.43</v>
      </c>
      <c r="E12" s="5456">
        <v>641066.19999999995</v>
      </c>
      <c r="F12" s="5456">
        <v>342941.94</v>
      </c>
      <c r="G12" s="5456">
        <v>1479253.5</v>
      </c>
      <c r="H12" s="5456">
        <v>1460138</v>
      </c>
      <c r="I12" s="5457">
        <v>1413535.9</v>
      </c>
      <c r="J12" s="5458">
        <v>1410409.4</v>
      </c>
      <c r="K12" s="5458">
        <v>1419708.74</v>
      </c>
      <c r="L12" s="5459">
        <v>933722</v>
      </c>
      <c r="M12" s="5459">
        <v>591365</v>
      </c>
    </row>
    <row r="13" spans="1:13" x14ac:dyDescent="0.25">
      <c r="M13" s="5460" t="s">
        <v>1677</v>
      </c>
    </row>
    <row r="17" ht="14.25" customHeight="1" x14ac:dyDescent="0.25"/>
  </sheetData>
  <sheetProtection algorithmName="SHA-512" hashValue="jZUl173/Bbw6JiV+kCpKGdPe9OWwLC0NZeHxeg6oo4kYaRl00ty3VxpDpE+tvn6+x/7sxDPWI4BWV/gmizcfwA==" saltValue="cb7ITIdxx/NUbmQrV8Jxtw==" spinCount="100000" sheet="1" objects="1" scenarios="1"/>
  <mergeCells count="2">
    <mergeCell ref="A3:A4"/>
    <mergeCell ref="B3:M3"/>
  </mergeCells>
  <pageMargins left="0.7" right="0.7" top="0.75" bottom="0.75" header="0.3" footer="0.3"/>
  <pageSetup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2:AE31"/>
  <sheetViews>
    <sheetView showGridLines="0" zoomScaleNormal="100" workbookViewId="0">
      <pane xSplit="2" topLeftCell="Z1" activePane="topRight" state="frozen"/>
      <selection sqref="A1:E1"/>
      <selection pane="topRight" activeCell="AD9" sqref="AD9"/>
    </sheetView>
  </sheetViews>
  <sheetFormatPr baseColWidth="10" defaultRowHeight="15" x14ac:dyDescent="0.25"/>
  <cols>
    <col min="1" max="1" width="4.140625" style="4269" customWidth="1"/>
    <col min="2" max="2" width="69.140625" style="4269" customWidth="1"/>
    <col min="3" max="3" width="11.7109375" style="4269" customWidth="1"/>
    <col min="4" max="4" width="5.7109375" style="4269" customWidth="1"/>
    <col min="5" max="5" width="11.7109375" style="4269" customWidth="1"/>
    <col min="6" max="6" width="5.7109375" style="4269" customWidth="1"/>
    <col min="7" max="8" width="11.7109375" style="4269" customWidth="1"/>
    <col min="9" max="9" width="5.7109375" style="4269" customWidth="1"/>
    <col min="10" max="10" width="11.7109375" style="4269" customWidth="1"/>
    <col min="11" max="11" width="11.42578125" style="4269" customWidth="1"/>
    <col min="12" max="12" width="5.7109375" style="4269" customWidth="1"/>
    <col min="13" max="13" width="11.7109375" style="4269" customWidth="1"/>
    <col min="14" max="14" width="11.42578125" style="4269"/>
    <col min="15" max="15" width="5.7109375" style="4269" customWidth="1"/>
    <col min="16" max="16" width="11.7109375" style="4269" customWidth="1"/>
    <col min="17" max="17" width="11.42578125" style="4269"/>
    <col min="18" max="18" width="5.7109375" style="4269" customWidth="1"/>
    <col min="19" max="19" width="11.7109375" style="4269" customWidth="1"/>
    <col min="20" max="20" width="11.42578125" style="4269"/>
    <col min="21" max="21" width="5.7109375" style="4269" customWidth="1"/>
    <col min="22" max="23" width="11.42578125" style="4269"/>
    <col min="24" max="24" width="5.7109375" style="4269" customWidth="1"/>
    <col min="25" max="26" width="11.42578125" style="4269"/>
    <col min="27" max="27" width="5.7109375" style="4269" customWidth="1"/>
    <col min="28" max="29" width="11.42578125" style="4269"/>
    <col min="30" max="30" width="7.5703125" style="4269" customWidth="1"/>
    <col min="31" max="16384" width="11.42578125" style="4269"/>
  </cols>
  <sheetData>
    <row r="2" spans="1:31" x14ac:dyDescent="0.25">
      <c r="B2" s="7543" t="s">
        <v>1400</v>
      </c>
      <c r="C2" s="4270"/>
      <c r="D2" s="4270"/>
      <c r="E2" s="4270"/>
      <c r="F2" s="4270"/>
      <c r="G2" s="4270"/>
      <c r="H2" s="4270"/>
      <c r="I2" s="4270"/>
      <c r="J2" s="4270"/>
      <c r="K2" s="4270"/>
      <c r="L2" s="4270"/>
      <c r="M2" s="4271"/>
    </row>
    <row r="3" spans="1:31" x14ac:dyDescent="0.25">
      <c r="B3" s="7543"/>
      <c r="K3" s="4272"/>
    </row>
    <row r="4" spans="1:31" x14ac:dyDescent="0.25">
      <c r="A4" s="4273"/>
      <c r="B4" s="5108" t="s">
        <v>1401</v>
      </c>
      <c r="C4" s="7546">
        <v>2008</v>
      </c>
      <c r="D4" s="7547"/>
      <c r="E4" s="7546">
        <v>2009</v>
      </c>
      <c r="F4" s="7548"/>
      <c r="G4" s="7547"/>
      <c r="H4" s="7546">
        <v>2010</v>
      </c>
      <c r="I4" s="7548"/>
      <c r="J4" s="7547"/>
      <c r="K4" s="7540">
        <v>2011</v>
      </c>
      <c r="L4" s="7541"/>
      <c r="M4" s="7542"/>
      <c r="N4" s="7540">
        <v>2012</v>
      </c>
      <c r="O4" s="7541"/>
      <c r="P4" s="7542"/>
      <c r="Q4" s="7540">
        <v>2013</v>
      </c>
      <c r="R4" s="7541"/>
      <c r="S4" s="7542"/>
      <c r="T4" s="7540">
        <v>2014</v>
      </c>
      <c r="U4" s="7541"/>
      <c r="V4" s="7542"/>
      <c r="W4" s="7540">
        <v>2015</v>
      </c>
      <c r="X4" s="7541"/>
      <c r="Y4" s="7542"/>
      <c r="Z4" s="7540">
        <v>2016</v>
      </c>
      <c r="AA4" s="7541"/>
      <c r="AB4" s="7542"/>
      <c r="AC4" s="7540">
        <v>2017</v>
      </c>
      <c r="AD4" s="7541"/>
      <c r="AE4" s="7542"/>
    </row>
    <row r="5" spans="1:31" ht="45" x14ac:dyDescent="0.25">
      <c r="A5" s="4274" t="s">
        <v>1209</v>
      </c>
      <c r="B5" s="4274" t="s">
        <v>1402</v>
      </c>
      <c r="C5" s="4275" t="s">
        <v>1403</v>
      </c>
      <c r="D5" s="4276" t="s">
        <v>1083</v>
      </c>
      <c r="E5" s="4275" t="s">
        <v>1403</v>
      </c>
      <c r="F5" s="4276" t="s">
        <v>1083</v>
      </c>
      <c r="G5" s="4277" t="s">
        <v>1404</v>
      </c>
      <c r="H5" s="4275" t="s">
        <v>1403</v>
      </c>
      <c r="I5" s="4276" t="s">
        <v>1083</v>
      </c>
      <c r="J5" s="4277" t="s">
        <v>1404</v>
      </c>
      <c r="K5" s="4278" t="s">
        <v>1403</v>
      </c>
      <c r="L5" s="4279" t="s">
        <v>1083</v>
      </c>
      <c r="M5" s="4277" t="s">
        <v>1404</v>
      </c>
      <c r="N5" s="4277" t="s">
        <v>1403</v>
      </c>
      <c r="O5" s="4279" t="s">
        <v>1083</v>
      </c>
      <c r="P5" s="4277" t="s">
        <v>1404</v>
      </c>
      <c r="Q5" s="4277" t="s">
        <v>1403</v>
      </c>
      <c r="R5" s="4279" t="s">
        <v>1083</v>
      </c>
      <c r="S5" s="4277" t="s">
        <v>1404</v>
      </c>
      <c r="T5" s="4277" t="s">
        <v>1403</v>
      </c>
      <c r="U5" s="4279" t="s">
        <v>1083</v>
      </c>
      <c r="V5" s="4277" t="s">
        <v>1404</v>
      </c>
      <c r="W5" s="4277" t="s">
        <v>1403</v>
      </c>
      <c r="X5" s="4279" t="s">
        <v>1083</v>
      </c>
      <c r="Y5" s="4277" t="s">
        <v>1404</v>
      </c>
      <c r="Z5" s="4277" t="s">
        <v>1403</v>
      </c>
      <c r="AA5" s="4279" t="s">
        <v>1083</v>
      </c>
      <c r="AB5" s="4277" t="s">
        <v>1404</v>
      </c>
      <c r="AC5" s="4277" t="s">
        <v>1403</v>
      </c>
      <c r="AD5" s="4279" t="s">
        <v>1083</v>
      </c>
      <c r="AE5" s="4277" t="s">
        <v>1404</v>
      </c>
    </row>
    <row r="6" spans="1:31" x14ac:dyDescent="0.25">
      <c r="A6" s="4280">
        <v>1</v>
      </c>
      <c r="B6" s="4281" t="s">
        <v>1405</v>
      </c>
      <c r="C6" s="5098">
        <v>141335</v>
      </c>
      <c r="D6" s="5102">
        <v>0.39586198397338046</v>
      </c>
      <c r="E6" s="4282">
        <v>186400</v>
      </c>
      <c r="F6" s="4283">
        <v>48.81</v>
      </c>
      <c r="G6" s="5103">
        <f>E6/C6-1</f>
        <v>0.31885237202391492</v>
      </c>
      <c r="H6" s="4284">
        <v>251362</v>
      </c>
      <c r="I6" s="4285">
        <f>(H6/H29)*100</f>
        <v>49.867278231646104</v>
      </c>
      <c r="J6" s="5103">
        <f>H6/E6-1</f>
        <v>0.34850858369098714</v>
      </c>
      <c r="K6" s="4284">
        <v>417719</v>
      </c>
      <c r="L6" s="4285">
        <f>K6/$K$29*100</f>
        <v>61.610290235132048</v>
      </c>
      <c r="M6" s="5103">
        <f>K6/H6-1</f>
        <v>0.66182239161050593</v>
      </c>
      <c r="N6" s="4284">
        <v>314421</v>
      </c>
      <c r="O6" s="4285">
        <f t="shared" ref="O6:O26" si="0">N6/$N$29*100</f>
        <v>76.021837893774801</v>
      </c>
      <c r="P6" s="5103">
        <f>N6/K6-1</f>
        <v>-0.24729064275266388</v>
      </c>
      <c r="Q6" s="4284">
        <v>382020</v>
      </c>
      <c r="R6" s="4285">
        <f>Q6/$Q$29*100</f>
        <v>45.367690632299869</v>
      </c>
      <c r="S6" s="5103">
        <f>Q6/N6-1</f>
        <v>0.21499518161954834</v>
      </c>
      <c r="T6" s="4284">
        <v>445896</v>
      </c>
      <c r="U6" s="4285">
        <f>T6/$T$29*100</f>
        <v>38.773093197126293</v>
      </c>
      <c r="V6" s="5103">
        <f>T6/Q6-1</f>
        <v>0.16720590544997638</v>
      </c>
      <c r="W6" s="4284">
        <v>372734</v>
      </c>
      <c r="X6" s="4285">
        <f>W6/$W$29*100</f>
        <v>46.669162473252506</v>
      </c>
      <c r="Y6" s="5103">
        <f>W6/T6-1</f>
        <v>-0.1640786192295961</v>
      </c>
      <c r="Z6" s="4284">
        <v>211973</v>
      </c>
      <c r="AA6" s="4285">
        <f>Z6/$Z$29*100</f>
        <v>31.899671782801782</v>
      </c>
      <c r="AB6" s="5103">
        <f>Z6/W6-1</f>
        <v>-0.43130221552098813</v>
      </c>
      <c r="AC6" s="4284">
        <v>144836</v>
      </c>
      <c r="AD6" s="4285">
        <f>AC6/$AC$29*100</f>
        <v>26.968911531185295</v>
      </c>
      <c r="AE6" s="5103">
        <f>AC6/Z6-1</f>
        <v>-0.31672429979289818</v>
      </c>
    </row>
    <row r="7" spans="1:31" x14ac:dyDescent="0.25">
      <c r="A7" s="4280">
        <v>2</v>
      </c>
      <c r="B7" s="4281" t="s">
        <v>1406</v>
      </c>
      <c r="C7" s="5098">
        <v>33416</v>
      </c>
      <c r="D7" s="5102">
        <v>9.3594113676403454E-2</v>
      </c>
      <c r="E7" s="4282">
        <v>43192</v>
      </c>
      <c r="F7" s="4283">
        <v>11.31</v>
      </c>
      <c r="G7" s="5103">
        <f>E7/C7-1</f>
        <v>0.29255446492698112</v>
      </c>
      <c r="H7" s="4284">
        <v>59571</v>
      </c>
      <c r="I7" s="4285">
        <f>(H7/H29)*100</f>
        <v>11.818189032301582</v>
      </c>
      <c r="J7" s="5103">
        <f t="shared" ref="J7:J29" si="1">H7/E7-1</f>
        <v>0.3792137432857936</v>
      </c>
      <c r="K7" s="4284">
        <v>73937</v>
      </c>
      <c r="L7" s="4285">
        <f>K7/$K$29*100</f>
        <v>10.905130073362615</v>
      </c>
      <c r="M7" s="5103">
        <f t="shared" ref="M7:M29" si="2">K7/H7-1</f>
        <v>0.24115761024659643</v>
      </c>
      <c r="N7" s="4284">
        <v>30888</v>
      </c>
      <c r="O7" s="4285">
        <f t="shared" si="0"/>
        <v>7.4682115026124718</v>
      </c>
      <c r="P7" s="5103">
        <f t="shared" ref="P7:P26" si="3">N7/K7-1</f>
        <v>-0.58223893314578623</v>
      </c>
      <c r="Q7" s="4284">
        <v>61997</v>
      </c>
      <c r="R7" s="4285">
        <f t="shared" ref="R7:R27" si="4">Q7/$Q$29*100</f>
        <v>7.3626006914054107</v>
      </c>
      <c r="S7" s="5103">
        <f t="shared" ref="S7:S12" si="5">Q7/N7-1</f>
        <v>1.0071548821548824</v>
      </c>
      <c r="T7" s="4284">
        <v>68309</v>
      </c>
      <c r="U7" s="4285">
        <f t="shared" ref="U7:U27" si="6">T7/$T$29*100</f>
        <v>5.9398407323736926</v>
      </c>
      <c r="V7" s="5103">
        <f>T7/Q7-1</f>
        <v>0.1018113779699017</v>
      </c>
      <c r="W7" s="4284">
        <v>52398</v>
      </c>
      <c r="X7" s="4285">
        <f t="shared" ref="X7:X27" si="7">W7/$W$29*100</f>
        <v>6.5606324490749035</v>
      </c>
      <c r="Y7" s="5103">
        <f>W7/T7-1</f>
        <v>-0.23292684712116996</v>
      </c>
      <c r="Z7" s="4284">
        <v>66874</v>
      </c>
      <c r="AA7" s="4285">
        <f t="shared" ref="AA7:AA27" si="8">Z7/$Z$29*100</f>
        <v>10.063822518920269</v>
      </c>
      <c r="AB7" s="5103">
        <f>Z7/W7-1</f>
        <v>0.27627008664452846</v>
      </c>
      <c r="AC7" s="4284">
        <v>95979</v>
      </c>
      <c r="AD7" s="4285">
        <f t="shared" ref="AD7:AD28" si="9">AC7/$AC$29*100</f>
        <v>17.871586897260581</v>
      </c>
      <c r="AE7" s="5103">
        <f>AC7/Z7-1</f>
        <v>0.43522146125549543</v>
      </c>
    </row>
    <row r="8" spans="1:31" ht="30" x14ac:dyDescent="0.25">
      <c r="A8" s="4280">
        <v>3</v>
      </c>
      <c r="B8" s="4281" t="s">
        <v>1407</v>
      </c>
      <c r="C8" s="5098">
        <v>20880</v>
      </c>
      <c r="D8" s="5102">
        <v>5.848231666157841E-2</v>
      </c>
      <c r="E8" s="4282">
        <v>15020</v>
      </c>
      <c r="F8" s="4283">
        <v>3.93</v>
      </c>
      <c r="G8" s="5103">
        <f>E8/C8-1</f>
        <v>-0.28065134099616862</v>
      </c>
      <c r="H8" s="4284">
        <v>16997</v>
      </c>
      <c r="I8" s="4285">
        <f>(H8/H29)*100</f>
        <v>3.3720058246802971</v>
      </c>
      <c r="J8" s="5103">
        <f>H8/E8-1</f>
        <v>0.13162450066577902</v>
      </c>
      <c r="K8" s="4284">
        <v>65478</v>
      </c>
      <c r="L8" s="4285">
        <f>K8/$K$29*100</f>
        <v>9.6574936357119885</v>
      </c>
      <c r="M8" s="5103">
        <f>K8/H8-1</f>
        <v>2.8523268812143319</v>
      </c>
      <c r="N8" s="4284">
        <v>12816</v>
      </c>
      <c r="O8" s="4285">
        <f t="shared" si="0"/>
        <v>3.0986984789394407</v>
      </c>
      <c r="P8" s="5103">
        <f>N8/K8-1</f>
        <v>-0.80427013653440849</v>
      </c>
      <c r="Q8" s="4284">
        <v>115153</v>
      </c>
      <c r="R8" s="4285">
        <f t="shared" si="4"/>
        <v>13.675267471287436</v>
      </c>
      <c r="S8" s="5103">
        <f>Q8/N8-1</f>
        <v>7.9850967540574285</v>
      </c>
      <c r="T8" s="4284">
        <v>83690</v>
      </c>
      <c r="U8" s="4285">
        <f t="shared" si="6"/>
        <v>7.2773027110974304</v>
      </c>
      <c r="V8" s="5103">
        <f>T8/Q8-1</f>
        <v>-0.27322779258899033</v>
      </c>
      <c r="W8" s="4284">
        <v>68235</v>
      </c>
      <c r="X8" s="4285">
        <f t="shared" si="7"/>
        <v>8.5435466079359124</v>
      </c>
      <c r="Y8" s="5103">
        <f>W8/T8-1</f>
        <v>-0.184669614051858</v>
      </c>
      <c r="Z8" s="4284">
        <v>80346</v>
      </c>
      <c r="AA8" s="4285">
        <f t="shared" si="8"/>
        <v>12.091214584220593</v>
      </c>
      <c r="AB8" s="5103">
        <f>Z8/W8-1</f>
        <v>0.17748955814464717</v>
      </c>
      <c r="AC8" s="4284">
        <v>50124</v>
      </c>
      <c r="AD8" s="4285">
        <f t="shared" si="9"/>
        <v>9.3332439558475215</v>
      </c>
      <c r="AE8" s="5103">
        <f>AC8/Z8-1</f>
        <v>-0.37614815921141065</v>
      </c>
    </row>
    <row r="9" spans="1:31" x14ac:dyDescent="0.25">
      <c r="A9" s="4280"/>
      <c r="B9" s="4286" t="s">
        <v>1428</v>
      </c>
      <c r="C9" s="4287"/>
      <c r="D9" s="4288"/>
      <c r="E9" s="4282">
        <v>4749</v>
      </c>
      <c r="F9" s="4283">
        <v>1.24</v>
      </c>
      <c r="G9" s="5103"/>
      <c r="H9" s="4284">
        <v>12349</v>
      </c>
      <c r="I9" s="4285">
        <f>(H9/H29)*100</f>
        <v>2.4498970364756718</v>
      </c>
      <c r="J9" s="5103">
        <f>H9/E9-1</f>
        <v>1.6003369130343228</v>
      </c>
      <c r="K9" s="4284"/>
      <c r="L9" s="4285"/>
      <c r="M9" s="5103"/>
      <c r="N9" s="4284"/>
      <c r="O9" s="4285"/>
      <c r="P9" s="5103"/>
      <c r="Q9" s="4284"/>
      <c r="R9" s="4285"/>
      <c r="S9" s="5103"/>
      <c r="T9" s="4284"/>
      <c r="U9" s="4285"/>
      <c r="V9" s="5103"/>
      <c r="W9" s="4284"/>
      <c r="X9" s="4285"/>
      <c r="Y9" s="5103"/>
      <c r="Z9" s="4284"/>
      <c r="AA9" s="4285"/>
      <c r="AB9" s="5103"/>
      <c r="AC9" s="4284"/>
      <c r="AD9" s="4285"/>
      <c r="AE9" s="5103"/>
    </row>
    <row r="10" spans="1:31" x14ac:dyDescent="0.25">
      <c r="A10" s="4280">
        <v>4</v>
      </c>
      <c r="B10" s="4281" t="s">
        <v>1408</v>
      </c>
      <c r="C10" s="5098">
        <v>27220</v>
      </c>
      <c r="D10" s="5102">
        <v>7.6239878329892916E-2</v>
      </c>
      <c r="E10" s="4282">
        <v>28820</v>
      </c>
      <c r="F10" s="4283">
        <v>7.55</v>
      </c>
      <c r="G10" s="5103">
        <f>E10/C10-1</f>
        <v>5.878030859662009E-2</v>
      </c>
      <c r="H10" s="4284">
        <v>46252</v>
      </c>
      <c r="I10" s="4285">
        <f>(H10/H29)*100</f>
        <v>9.1758553511274403</v>
      </c>
      <c r="J10" s="5103">
        <f t="shared" si="1"/>
        <v>0.60485773768216511</v>
      </c>
      <c r="K10" s="4284">
        <v>30824</v>
      </c>
      <c r="L10" s="4285">
        <f t="shared" ref="L10:L26" si="10">K10/$K$29*100</f>
        <v>4.5462992734534708</v>
      </c>
      <c r="M10" s="5103">
        <f t="shared" si="2"/>
        <v>-0.33356395399117877</v>
      </c>
      <c r="N10" s="4284">
        <v>20776</v>
      </c>
      <c r="O10" s="4285">
        <f t="shared" si="0"/>
        <v>5.0232958488175568</v>
      </c>
      <c r="P10" s="5103">
        <f t="shared" si="3"/>
        <v>-0.32597975603425899</v>
      </c>
      <c r="Q10" s="4284">
        <v>166030</v>
      </c>
      <c r="R10" s="4285">
        <f t="shared" si="4"/>
        <v>19.717286204075041</v>
      </c>
      <c r="S10" s="5103">
        <f t="shared" si="5"/>
        <v>6.9914324220254143</v>
      </c>
      <c r="T10" s="4284">
        <v>328614</v>
      </c>
      <c r="U10" s="4285">
        <f t="shared" si="6"/>
        <v>28.574782567864393</v>
      </c>
      <c r="V10" s="5103">
        <f t="shared" ref="V10:V22" si="11">T10/Q10-1</f>
        <v>0.97924471481057651</v>
      </c>
      <c r="W10" s="4284">
        <v>186308</v>
      </c>
      <c r="X10" s="4285">
        <f t="shared" si="7"/>
        <v>23.327193983019335</v>
      </c>
      <c r="Y10" s="5103">
        <f t="shared" ref="Y10:Y22" si="12">W10/T10-1</f>
        <v>-0.43304910928931817</v>
      </c>
      <c r="Z10" s="4284">
        <v>86316</v>
      </c>
      <c r="AA10" s="4285">
        <f t="shared" si="8"/>
        <v>12.989635800806321</v>
      </c>
      <c r="AB10" s="5103">
        <f t="shared" ref="AB10:AB22" si="13">Z10/W10-1</f>
        <v>-0.53670266440517844</v>
      </c>
      <c r="AC10" s="4284">
        <v>71249</v>
      </c>
      <c r="AD10" s="4285">
        <f t="shared" si="9"/>
        <v>13.266784347022986</v>
      </c>
      <c r="AE10" s="5103">
        <f t="shared" ref="AE10:AE29" si="14">AC10/Z10-1</f>
        <v>-0.17455628157004499</v>
      </c>
    </row>
    <row r="11" spans="1:31" x14ac:dyDescent="0.25">
      <c r="A11" s="4280">
        <v>5</v>
      </c>
      <c r="B11" s="4281" t="s">
        <v>1409</v>
      </c>
      <c r="C11" s="4287"/>
      <c r="D11" s="4288"/>
      <c r="E11" s="4282">
        <v>20565</v>
      </c>
      <c r="F11" s="4283">
        <v>5.39</v>
      </c>
      <c r="G11" s="5103"/>
      <c r="H11" s="4284">
        <v>24319</v>
      </c>
      <c r="I11" s="4285">
        <f>(H11/H29)*100</f>
        <v>4.8246049097134875</v>
      </c>
      <c r="J11" s="5103">
        <f t="shared" si="1"/>
        <v>0.1825431558473134</v>
      </c>
      <c r="K11" s="4284">
        <v>20982</v>
      </c>
      <c r="L11" s="4285">
        <f t="shared" si="10"/>
        <v>3.0946811366338154</v>
      </c>
      <c r="M11" s="5103">
        <f t="shared" si="2"/>
        <v>-0.13721781323245197</v>
      </c>
      <c r="N11" s="4284">
        <v>9805</v>
      </c>
      <c r="O11" s="4285">
        <f t="shared" si="0"/>
        <v>2.3706880919164495</v>
      </c>
      <c r="P11" s="5103">
        <f t="shared" si="3"/>
        <v>-0.53269469068725572</v>
      </c>
      <c r="Q11" s="4284">
        <v>34045</v>
      </c>
      <c r="R11" s="4285">
        <f t="shared" si="4"/>
        <v>4.0430946745632399</v>
      </c>
      <c r="S11" s="5103">
        <f t="shared" si="5"/>
        <v>2.4722080571137175</v>
      </c>
      <c r="T11" s="4284">
        <v>27193</v>
      </c>
      <c r="U11" s="4285">
        <f t="shared" si="6"/>
        <v>2.3645799094619715</v>
      </c>
      <c r="V11" s="5103">
        <f t="shared" si="11"/>
        <v>-0.20126303421941549</v>
      </c>
      <c r="W11" s="4284">
        <v>29308</v>
      </c>
      <c r="X11" s="4285">
        <f t="shared" si="7"/>
        <v>3.6695869273156849</v>
      </c>
      <c r="Y11" s="5103">
        <f t="shared" si="12"/>
        <v>7.7777369175890954E-2</v>
      </c>
      <c r="Z11" s="4284">
        <v>38302</v>
      </c>
      <c r="AA11" s="4285">
        <f t="shared" si="8"/>
        <v>5.7640417818536971</v>
      </c>
      <c r="AB11" s="5103">
        <f t="shared" si="13"/>
        <v>0.30687866794049401</v>
      </c>
      <c r="AC11" s="4284">
        <v>34136</v>
      </c>
      <c r="AD11" s="4285">
        <f t="shared" si="9"/>
        <v>6.3562288659486681</v>
      </c>
      <c r="AE11" s="5103">
        <f t="shared" si="14"/>
        <v>-0.10876716620542004</v>
      </c>
    </row>
    <row r="12" spans="1:31" x14ac:dyDescent="0.25">
      <c r="A12" s="4280">
        <v>6</v>
      </c>
      <c r="B12" s="4281" t="s">
        <v>1410</v>
      </c>
      <c r="C12" s="5098">
        <v>18995</v>
      </c>
      <c r="D12" s="5102">
        <v>5.3202663074074799E-2</v>
      </c>
      <c r="E12" s="4282">
        <v>17255</v>
      </c>
      <c r="F12" s="4283">
        <v>4.5199999999999996</v>
      </c>
      <c r="G12" s="5103">
        <f>E12/C12-1</f>
        <v>-9.1603053435114545E-2</v>
      </c>
      <c r="H12" s="4284">
        <v>22165</v>
      </c>
      <c r="I12" s="4285">
        <f>(H12/H29)*100</f>
        <v>4.3972765255067836</v>
      </c>
      <c r="J12" s="5103">
        <f t="shared" si="1"/>
        <v>0.28455520139090118</v>
      </c>
      <c r="K12" s="4284">
        <v>19876</v>
      </c>
      <c r="L12" s="4285">
        <f t="shared" si="10"/>
        <v>2.9315547741747072</v>
      </c>
      <c r="M12" s="5103">
        <f t="shared" si="2"/>
        <v>-0.10327092262576132</v>
      </c>
      <c r="N12" s="4284">
        <v>3670</v>
      </c>
      <c r="O12" s="4285">
        <f t="shared" si="0"/>
        <v>0.88734577229305134</v>
      </c>
      <c r="P12" s="5103">
        <f t="shared" si="3"/>
        <v>-0.81535520225397462</v>
      </c>
      <c r="Q12" s="4284">
        <v>18529</v>
      </c>
      <c r="R12" s="4285">
        <f t="shared" si="4"/>
        <v>2.2004553157580342</v>
      </c>
      <c r="S12" s="5103">
        <f t="shared" si="5"/>
        <v>4.0487738419618529</v>
      </c>
      <c r="T12" s="4284">
        <v>8754</v>
      </c>
      <c r="U12" s="4285">
        <f t="shared" si="6"/>
        <v>0.76120812442283303</v>
      </c>
      <c r="V12" s="5103">
        <f t="shared" si="11"/>
        <v>-0.5275514059042582</v>
      </c>
      <c r="W12" s="4284">
        <v>3135</v>
      </c>
      <c r="X12" s="4285">
        <f t="shared" si="7"/>
        <v>0.39252610267280852</v>
      </c>
      <c r="Y12" s="5103">
        <f t="shared" si="12"/>
        <v>-0.64187799862919803</v>
      </c>
      <c r="Z12" s="4284">
        <v>14341</v>
      </c>
      <c r="AA12" s="4285">
        <f t="shared" si="8"/>
        <v>2.1581672809138914</v>
      </c>
      <c r="AB12" s="5103">
        <f t="shared" si="13"/>
        <v>3.5744816586921848</v>
      </c>
      <c r="AC12" s="4284">
        <v>18840</v>
      </c>
      <c r="AD12" s="4285">
        <f t="shared" si="9"/>
        <v>3.5080663180944724</v>
      </c>
      <c r="AE12" s="5103">
        <f t="shared" si="14"/>
        <v>0.3137159193919532</v>
      </c>
    </row>
    <row r="13" spans="1:31" x14ac:dyDescent="0.25">
      <c r="A13" s="4280">
        <v>7</v>
      </c>
      <c r="B13" s="4281" t="s">
        <v>1411</v>
      </c>
      <c r="C13" s="5098">
        <v>13349</v>
      </c>
      <c r="D13" s="5102">
        <v>3.7388910206676729E-2</v>
      </c>
      <c r="E13" s="4282">
        <v>22023</v>
      </c>
      <c r="F13" s="4283">
        <v>5.77</v>
      </c>
      <c r="G13" s="5103">
        <f>E13/C13-1</f>
        <v>0.64978650086148781</v>
      </c>
      <c r="H13" s="4284">
        <v>27875</v>
      </c>
      <c r="I13" s="4285">
        <f>(H13/H29)*100</f>
        <v>5.5300736814122073</v>
      </c>
      <c r="J13" s="5103">
        <f>H13/E13-1</f>
        <v>0.26572219951868492</v>
      </c>
      <c r="K13" s="4284">
        <v>15677</v>
      </c>
      <c r="L13" s="4285">
        <f t="shared" si="10"/>
        <v>2.3122350671531939</v>
      </c>
      <c r="M13" s="5103">
        <f>K13/H13-1</f>
        <v>-0.43759641255605386</v>
      </c>
      <c r="N13" s="4284">
        <v>3388</v>
      </c>
      <c r="O13" s="4285">
        <f t="shared" si="0"/>
        <v>0.81916280014410303</v>
      </c>
      <c r="P13" s="5103">
        <f>N13/K13-1</f>
        <v>-0.78388722332078842</v>
      </c>
      <c r="Q13" s="4284">
        <v>3337</v>
      </c>
      <c r="R13" s="4285">
        <f t="shared" si="4"/>
        <v>0.39629334495572127</v>
      </c>
      <c r="S13" s="5103">
        <f>Q13/N13-1</f>
        <v>-1.5053128689492379E-2</v>
      </c>
      <c r="T13" s="4284">
        <v>3726</v>
      </c>
      <c r="U13" s="4285">
        <f t="shared" si="6"/>
        <v>0.32399605570019147</v>
      </c>
      <c r="V13" s="5103">
        <f t="shared" si="11"/>
        <v>0.11657177105184302</v>
      </c>
      <c r="W13" s="4284">
        <v>2203</v>
      </c>
      <c r="X13" s="4285">
        <f t="shared" si="7"/>
        <v>0.27583253722111556</v>
      </c>
      <c r="Y13" s="5103">
        <f t="shared" si="12"/>
        <v>-0.40874932903918415</v>
      </c>
      <c r="Z13" s="4284">
        <v>9645</v>
      </c>
      <c r="AA13" s="4285">
        <f t="shared" si="8"/>
        <v>1.4514694529261896</v>
      </c>
      <c r="AB13" s="5103">
        <f t="shared" si="13"/>
        <v>3.3781207444394008</v>
      </c>
      <c r="AC13" s="4284">
        <v>14126</v>
      </c>
      <c r="AD13" s="4285">
        <f t="shared" si="9"/>
        <v>2.6303049261890932</v>
      </c>
      <c r="AE13" s="5103">
        <f t="shared" si="14"/>
        <v>0.4645930533955418</v>
      </c>
    </row>
    <row r="14" spans="1:31" x14ac:dyDescent="0.25">
      <c r="A14" s="4280">
        <v>8</v>
      </c>
      <c r="B14" s="4281" t="s">
        <v>1412</v>
      </c>
      <c r="C14" s="5098">
        <v>24509</v>
      </c>
      <c r="D14" s="5102">
        <v>6.8646700146485884E-2</v>
      </c>
      <c r="E14" s="4282">
        <v>16911</v>
      </c>
      <c r="F14" s="4283">
        <v>4.43</v>
      </c>
      <c r="G14" s="5103">
        <f>E14/C14-1</f>
        <v>-0.31000856828103962</v>
      </c>
      <c r="H14" s="4284">
        <v>19255</v>
      </c>
      <c r="I14" s="4285">
        <f>(H14/H29)*100</f>
        <v>3.8199665914113736</v>
      </c>
      <c r="J14" s="5103">
        <f>H14/E14-1</f>
        <v>0.13860800662290806</v>
      </c>
      <c r="K14" s="4284">
        <v>9533</v>
      </c>
      <c r="L14" s="4285">
        <f t="shared" si="10"/>
        <v>1.4060430500205012</v>
      </c>
      <c r="M14" s="5103">
        <f>K14/H14-1</f>
        <v>-0.50490781615164892</v>
      </c>
      <c r="N14" s="4284">
        <v>5138</v>
      </c>
      <c r="O14" s="4285">
        <f t="shared" si="0"/>
        <v>1.242284081210272</v>
      </c>
      <c r="P14" s="5103">
        <f>N14/K14-1</f>
        <v>-0.46103010594776039</v>
      </c>
      <c r="Q14" s="4284">
        <v>39569</v>
      </c>
      <c r="R14" s="4285">
        <f t="shared" si="4"/>
        <v>4.6991103885384886</v>
      </c>
      <c r="S14" s="5103">
        <f>Q14/N14-1</f>
        <v>6.7012456208641495</v>
      </c>
      <c r="T14" s="4284">
        <v>144836</v>
      </c>
      <c r="U14" s="4285">
        <f t="shared" si="6"/>
        <v>12.594281460921344</v>
      </c>
      <c r="V14" s="5103">
        <f t="shared" si="11"/>
        <v>2.6603401652809016</v>
      </c>
      <c r="W14" s="4284">
        <v>29418</v>
      </c>
      <c r="X14" s="4285">
        <f t="shared" si="7"/>
        <v>3.6833597730235028</v>
      </c>
      <c r="Y14" s="5103">
        <f t="shared" si="12"/>
        <v>-0.79688751415393966</v>
      </c>
      <c r="Z14" s="4284">
        <v>32308</v>
      </c>
      <c r="AA14" s="4285">
        <f t="shared" si="8"/>
        <v>4.8620088216837045</v>
      </c>
      <c r="AB14" s="5103">
        <f t="shared" si="13"/>
        <v>9.8239173295261439E-2</v>
      </c>
      <c r="AC14" s="4284">
        <v>12980</v>
      </c>
      <c r="AD14" s="4285">
        <f t="shared" si="9"/>
        <v>2.4169161788145566</v>
      </c>
      <c r="AE14" s="5103">
        <f t="shared" si="14"/>
        <v>-0.59824192150550948</v>
      </c>
    </row>
    <row r="15" spans="1:31" x14ac:dyDescent="0.25">
      <c r="A15" s="4280">
        <v>9</v>
      </c>
      <c r="B15" s="4281" t="s">
        <v>1413</v>
      </c>
      <c r="C15" s="4287"/>
      <c r="D15" s="4288"/>
      <c r="E15" s="4282">
        <v>2247</v>
      </c>
      <c r="F15" s="4283">
        <v>0.59</v>
      </c>
      <c r="G15" s="5103"/>
      <c r="H15" s="4284">
        <v>1967</v>
      </c>
      <c r="I15" s="4285">
        <f>(H15/H29)*100</f>
        <v>0.39022977332153586</v>
      </c>
      <c r="J15" s="5103">
        <f>H15/E15-1</f>
        <v>-0.12461059190031154</v>
      </c>
      <c r="K15" s="4284">
        <v>4379</v>
      </c>
      <c r="L15" s="4285">
        <f t="shared" si="10"/>
        <v>0.64586830127344752</v>
      </c>
      <c r="M15" s="5103">
        <f>K15/H15-1</f>
        <v>1.2262328418912047</v>
      </c>
      <c r="N15" s="4284">
        <v>3658</v>
      </c>
      <c r="O15" s="4285">
        <f t="shared" si="0"/>
        <v>0.88444436922288339</v>
      </c>
      <c r="P15" s="5103">
        <f>N15/K15-1</f>
        <v>-0.16464946334779629</v>
      </c>
      <c r="Q15" s="4284">
        <v>3983</v>
      </c>
      <c r="R15" s="4285">
        <f t="shared" si="4"/>
        <v>0.47301060622074859</v>
      </c>
      <c r="S15" s="5103">
        <f>Q15/N15-1</f>
        <v>8.8846364133406297E-2</v>
      </c>
      <c r="T15" s="4284">
        <v>6146</v>
      </c>
      <c r="U15" s="4285">
        <f t="shared" si="6"/>
        <v>0.53442827652532932</v>
      </c>
      <c r="V15" s="5103">
        <f t="shared" si="11"/>
        <v>0.54305799648506148</v>
      </c>
      <c r="W15" s="4284">
        <v>10501</v>
      </c>
      <c r="X15" s="4285">
        <f t="shared" si="7"/>
        <v>1.3148059343435925</v>
      </c>
      <c r="Y15" s="5103">
        <f t="shared" si="12"/>
        <v>0.70859095346566869</v>
      </c>
      <c r="Z15" s="4284">
        <v>5967</v>
      </c>
      <c r="AA15" s="4285">
        <f t="shared" si="8"/>
        <v>0.89796974863769541</v>
      </c>
      <c r="AB15" s="5103">
        <f t="shared" si="13"/>
        <v>-0.43176840300923724</v>
      </c>
      <c r="AC15" s="4284">
        <v>6630</v>
      </c>
      <c r="AD15" s="4285">
        <f t="shared" si="9"/>
        <v>1.2345265227689144</v>
      </c>
      <c r="AE15" s="5103">
        <f t="shared" si="14"/>
        <v>0.11111111111111116</v>
      </c>
    </row>
    <row r="16" spans="1:31" x14ac:dyDescent="0.25">
      <c r="A16" s="4280">
        <v>10</v>
      </c>
      <c r="B16" s="4281" t="s">
        <v>1414</v>
      </c>
      <c r="C16" s="4287"/>
      <c r="D16" s="4288"/>
      <c r="E16" s="4282">
        <v>2691</v>
      </c>
      <c r="F16" s="4283">
        <v>0.7</v>
      </c>
      <c r="G16" s="5103"/>
      <c r="H16" s="4284">
        <v>2552</v>
      </c>
      <c r="I16" s="4285">
        <f>(H16/H29)*100</f>
        <v>0.50628692502112838</v>
      </c>
      <c r="J16" s="5103">
        <f>H16/E16-1</f>
        <v>-5.1653660349312513E-2</v>
      </c>
      <c r="K16" s="4284">
        <v>3355</v>
      </c>
      <c r="L16" s="4285">
        <f t="shared" si="10"/>
        <v>0.49483629841799881</v>
      </c>
      <c r="M16" s="5103">
        <f>K16/H16-1</f>
        <v>0.31465517241379315</v>
      </c>
      <c r="N16" s="4284">
        <v>1078</v>
      </c>
      <c r="O16" s="4285">
        <f t="shared" si="0"/>
        <v>0.26064270913676008</v>
      </c>
      <c r="P16" s="5103">
        <f>N16/K16-1</f>
        <v>-0.67868852459016393</v>
      </c>
      <c r="Q16" s="4284">
        <v>847</v>
      </c>
      <c r="R16" s="4285">
        <f t="shared" si="4"/>
        <v>0.10058749271126639</v>
      </c>
      <c r="S16" s="5103">
        <f>Q16/N16-1</f>
        <v>-0.2142857142857143</v>
      </c>
      <c r="T16" s="4284">
        <v>1514</v>
      </c>
      <c r="U16" s="4285">
        <f t="shared" si="6"/>
        <v>0.13165057121043744</v>
      </c>
      <c r="V16" s="5103">
        <f t="shared" si="11"/>
        <v>0.78748524203069659</v>
      </c>
      <c r="W16" s="4284">
        <v>1620</v>
      </c>
      <c r="X16" s="4285">
        <f t="shared" si="7"/>
        <v>0.20283645496968097</v>
      </c>
      <c r="Y16" s="5103">
        <f t="shared" si="12"/>
        <v>7.0013210039630014E-2</v>
      </c>
      <c r="Z16" s="4284">
        <v>2697</v>
      </c>
      <c r="AA16" s="4285">
        <f t="shared" si="8"/>
        <v>0.40586968528169337</v>
      </c>
      <c r="AB16" s="5103">
        <f t="shared" si="13"/>
        <v>0.66481481481481475</v>
      </c>
      <c r="AC16" s="4284">
        <v>1660</v>
      </c>
      <c r="AD16" s="4285">
        <f t="shared" si="9"/>
        <v>0.30909713843082925</v>
      </c>
      <c r="AE16" s="5103">
        <f t="shared" si="14"/>
        <v>-0.38450129773822761</v>
      </c>
    </row>
    <row r="17" spans="1:31" ht="30" x14ac:dyDescent="0.25">
      <c r="A17" s="4280">
        <v>11</v>
      </c>
      <c r="B17" s="4281" t="s">
        <v>1415</v>
      </c>
      <c r="C17" s="4287"/>
      <c r="D17" s="4288"/>
      <c r="E17" s="4282">
        <v>3975</v>
      </c>
      <c r="F17" s="4283">
        <v>1.04</v>
      </c>
      <c r="G17" s="5103"/>
      <c r="H17" s="4284">
        <v>4353</v>
      </c>
      <c r="I17" s="4285">
        <f>(H17/H29)*100</f>
        <v>0.86358424162107039</v>
      </c>
      <c r="J17" s="5103">
        <f t="shared" si="1"/>
        <v>9.5094339622641577E-2</v>
      </c>
      <c r="K17" s="4284">
        <v>3097</v>
      </c>
      <c r="L17" s="4285">
        <f t="shared" si="10"/>
        <v>0.45678331332355948</v>
      </c>
      <c r="M17" s="5103">
        <f t="shared" si="2"/>
        <v>-0.28853664139673785</v>
      </c>
      <c r="N17" s="4284">
        <v>1245</v>
      </c>
      <c r="O17" s="4285">
        <f t="shared" si="0"/>
        <v>0.30102056852993164</v>
      </c>
      <c r="P17" s="5103">
        <f t="shared" si="3"/>
        <v>-0.59799806264126576</v>
      </c>
      <c r="Q17" s="4284">
        <v>7679</v>
      </c>
      <c r="R17" s="4285">
        <f t="shared" si="4"/>
        <v>0.91193784714263837</v>
      </c>
      <c r="S17" s="5103">
        <f t="shared" ref="S17:S29" si="15">Q17/N17-1</f>
        <v>5.1678714859437749</v>
      </c>
      <c r="T17" s="4284">
        <v>17816</v>
      </c>
      <c r="U17" s="4285">
        <f t="shared" si="6"/>
        <v>1.5491985314961383</v>
      </c>
      <c r="V17" s="5103">
        <f t="shared" si="11"/>
        <v>1.3200937622086211</v>
      </c>
      <c r="W17" s="4284">
        <v>29270</v>
      </c>
      <c r="X17" s="4285">
        <f t="shared" si="7"/>
        <v>3.6648290351620751</v>
      </c>
      <c r="Y17" s="5103">
        <f t="shared" si="12"/>
        <v>0.64290525370453522</v>
      </c>
      <c r="Z17" s="4284">
        <v>87833</v>
      </c>
      <c r="AA17" s="4285">
        <f t="shared" si="8"/>
        <v>13.217928093195026</v>
      </c>
      <c r="AB17" s="5103">
        <f t="shared" si="13"/>
        <v>2.0007857874957296</v>
      </c>
      <c r="AC17" s="4284">
        <v>18038</v>
      </c>
      <c r="AD17" s="4285">
        <f t="shared" si="9"/>
        <v>3.3587314355513849</v>
      </c>
      <c r="AE17" s="5103">
        <f t="shared" si="14"/>
        <v>-0.79463299670966492</v>
      </c>
    </row>
    <row r="18" spans="1:31" x14ac:dyDescent="0.25">
      <c r="A18" s="4280">
        <v>12</v>
      </c>
      <c r="B18" s="4281" t="s">
        <v>1416</v>
      </c>
      <c r="C18" s="4287"/>
      <c r="D18" s="4288"/>
      <c r="E18" s="4282">
        <v>3523</v>
      </c>
      <c r="F18" s="4283">
        <v>0.92</v>
      </c>
      <c r="G18" s="5103"/>
      <c r="H18" s="4284">
        <v>3640</v>
      </c>
      <c r="I18" s="4285">
        <f>(H18/H29)*100</f>
        <v>0.72213338835301999</v>
      </c>
      <c r="J18" s="5103">
        <f t="shared" si="1"/>
        <v>3.3210332103321027E-2</v>
      </c>
      <c r="K18" s="4284">
        <v>2384</v>
      </c>
      <c r="L18" s="4285">
        <f t="shared" si="10"/>
        <v>0.35162138164784179</v>
      </c>
      <c r="M18" s="5103">
        <f t="shared" si="2"/>
        <v>-0.34505494505494505</v>
      </c>
      <c r="N18" s="4284">
        <v>1047</v>
      </c>
      <c r="O18" s="4285">
        <f t="shared" si="0"/>
        <v>0.25314741787215939</v>
      </c>
      <c r="P18" s="5103">
        <f t="shared" si="3"/>
        <v>-0.56082214765100669</v>
      </c>
      <c r="Q18" s="4284">
        <v>1481</v>
      </c>
      <c r="R18" s="4285">
        <f t="shared" si="4"/>
        <v>0.17587966553174209</v>
      </c>
      <c r="S18" s="5103">
        <f t="shared" si="15"/>
        <v>0.41451766953199609</v>
      </c>
      <c r="T18" s="4284">
        <v>733</v>
      </c>
      <c r="U18" s="4285">
        <f t="shared" si="6"/>
        <v>6.3738354489597512E-2</v>
      </c>
      <c r="V18" s="5103">
        <f t="shared" si="11"/>
        <v>-0.50506414584740034</v>
      </c>
      <c r="W18" s="4284">
        <v>1601</v>
      </c>
      <c r="X18" s="4285">
        <f t="shared" si="7"/>
        <v>0.20045750889287603</v>
      </c>
      <c r="Y18" s="5103">
        <f t="shared" si="12"/>
        <v>1.1841746248294678</v>
      </c>
      <c r="Z18" s="4284">
        <v>2474</v>
      </c>
      <c r="AA18" s="4285">
        <f t="shared" si="8"/>
        <v>0.37231056781123822</v>
      </c>
      <c r="AB18" s="5103">
        <f t="shared" si="13"/>
        <v>0.54528419737663958</v>
      </c>
      <c r="AC18" s="4284">
        <v>2700</v>
      </c>
      <c r="AD18" s="4285">
        <f t="shared" si="9"/>
        <v>0.50274835768869819</v>
      </c>
      <c r="AE18" s="5103">
        <f t="shared" si="14"/>
        <v>9.1350040420371759E-2</v>
      </c>
    </row>
    <row r="19" spans="1:31" x14ac:dyDescent="0.25">
      <c r="A19" s="4280">
        <v>13</v>
      </c>
      <c r="B19" s="4281" t="s">
        <v>1417</v>
      </c>
      <c r="C19" s="4287"/>
      <c r="D19" s="4288"/>
      <c r="E19" s="4282">
        <v>3419</v>
      </c>
      <c r="F19" s="4283">
        <v>0.9</v>
      </c>
      <c r="G19" s="5103"/>
      <c r="H19" s="4284">
        <v>3313</v>
      </c>
      <c r="I19" s="4285">
        <f>(H19/H29)*100</f>
        <v>0.65726041637735044</v>
      </c>
      <c r="J19" s="5103">
        <f t="shared" si="1"/>
        <v>-3.1003217315004439E-2</v>
      </c>
      <c r="K19" s="4284">
        <v>2323</v>
      </c>
      <c r="L19" s="4285">
        <f t="shared" si="10"/>
        <v>0.34262435804024177</v>
      </c>
      <c r="M19" s="5103">
        <f t="shared" si="2"/>
        <v>-0.2988228191971023</v>
      </c>
      <c r="N19" s="4284">
        <v>759</v>
      </c>
      <c r="O19" s="4285">
        <f t="shared" si="0"/>
        <v>0.18351374418812696</v>
      </c>
      <c r="P19" s="5103">
        <f t="shared" si="3"/>
        <v>-0.6732673267326732</v>
      </c>
      <c r="Q19" s="4284">
        <v>402</v>
      </c>
      <c r="R19" s="4285">
        <f t="shared" si="4"/>
        <v>4.7740462892478262E-2</v>
      </c>
      <c r="S19" s="5103">
        <f t="shared" si="15"/>
        <v>-0.47035573122529639</v>
      </c>
      <c r="T19" s="4284">
        <v>3096</v>
      </c>
      <c r="U19" s="4285">
        <f t="shared" si="6"/>
        <v>0.26921411391513494</v>
      </c>
      <c r="V19" s="5103">
        <f t="shared" si="11"/>
        <v>6.7014925373134329</v>
      </c>
      <c r="W19" s="4284">
        <v>937</v>
      </c>
      <c r="X19" s="4285">
        <f t="shared" si="7"/>
        <v>0.11731960389295745</v>
      </c>
      <c r="Y19" s="5103">
        <f t="shared" si="12"/>
        <v>-0.69735142118863047</v>
      </c>
      <c r="Z19" s="4284">
        <v>1159</v>
      </c>
      <c r="AA19" s="4285">
        <f t="shared" si="8"/>
        <v>0.17441711725676035</v>
      </c>
      <c r="AB19" s="5103">
        <f t="shared" si="13"/>
        <v>0.23692636072572038</v>
      </c>
      <c r="AC19" s="4284">
        <v>1044</v>
      </c>
      <c r="AD19" s="4285">
        <f t="shared" si="9"/>
        <v>0.19439603163962998</v>
      </c>
      <c r="AE19" s="5103">
        <f t="shared" si="14"/>
        <v>-9.9223468507333878E-2</v>
      </c>
    </row>
    <row r="20" spans="1:31" x14ac:dyDescent="0.25">
      <c r="A20" s="4280">
        <v>14</v>
      </c>
      <c r="B20" s="4281" t="s">
        <v>1418</v>
      </c>
      <c r="C20" s="5098">
        <v>71847</v>
      </c>
      <c r="D20" s="5104">
        <v>0.20123462668507777</v>
      </c>
      <c r="E20" s="4282"/>
      <c r="F20" s="4283"/>
      <c r="G20" s="5103">
        <f>E20/C20-1</f>
        <v>-1</v>
      </c>
      <c r="H20" s="4284"/>
      <c r="I20" s="4285"/>
      <c r="J20" s="5103"/>
      <c r="K20" s="4284">
        <v>2411</v>
      </c>
      <c r="L20" s="4285">
        <f t="shared" si="10"/>
        <v>0.35560367078563188</v>
      </c>
      <c r="M20" s="5103"/>
      <c r="N20" s="4284">
        <v>1059</v>
      </c>
      <c r="O20" s="4285">
        <f t="shared" si="0"/>
        <v>0.25604882094232734</v>
      </c>
      <c r="P20" s="5103">
        <f>N20/K20-1</f>
        <v>-0.56076316880962263</v>
      </c>
      <c r="Q20" s="4284">
        <v>737</v>
      </c>
      <c r="R20" s="4285">
        <f t="shared" si="4"/>
        <v>8.752418196954348E-2</v>
      </c>
      <c r="S20" s="5103">
        <f>Q20/N20-1</f>
        <v>-0.3040604343720491</v>
      </c>
      <c r="T20" s="4284">
        <v>1105</v>
      </c>
      <c r="U20" s="4285">
        <f t="shared" si="6"/>
        <v>9.6085786781726135E-2</v>
      </c>
      <c r="V20" s="5103">
        <f t="shared" si="11"/>
        <v>0.49932157394843957</v>
      </c>
      <c r="W20" s="4284">
        <v>933</v>
      </c>
      <c r="X20" s="4285">
        <f t="shared" si="7"/>
        <v>0.11681877313994588</v>
      </c>
      <c r="Y20" s="5103">
        <f t="shared" si="12"/>
        <v>-0.15565610859728507</v>
      </c>
      <c r="Z20" s="4284">
        <v>1115</v>
      </c>
      <c r="AA20" s="4285">
        <f t="shared" si="8"/>
        <v>0.16779558735227593</v>
      </c>
      <c r="AB20" s="5103">
        <f t="shared" si="13"/>
        <v>0.195069667738478</v>
      </c>
      <c r="AC20" s="4284">
        <v>1274</v>
      </c>
      <c r="AD20" s="4285">
        <f t="shared" si="9"/>
        <v>0.23722274359088946</v>
      </c>
      <c r="AE20" s="5103">
        <f t="shared" si="14"/>
        <v>0.14260089686098665</v>
      </c>
    </row>
    <row r="21" spans="1:31" x14ac:dyDescent="0.25">
      <c r="A21" s="4280">
        <v>15</v>
      </c>
      <c r="B21" s="4281" t="s">
        <v>1419</v>
      </c>
      <c r="C21" s="5098">
        <v>5480</v>
      </c>
      <c r="D21" s="5102">
        <v>1.5348807246429582E-2</v>
      </c>
      <c r="E21" s="4282">
        <v>2446</v>
      </c>
      <c r="F21" s="4283">
        <v>0.64</v>
      </c>
      <c r="G21" s="5103">
        <f>E21/C21-1</f>
        <v>-0.55364963503649633</v>
      </c>
      <c r="H21" s="4284">
        <v>2297</v>
      </c>
      <c r="I21" s="4285">
        <f>(H21/H29)*100</f>
        <v>0.45569791017771621</v>
      </c>
      <c r="J21" s="5103">
        <f t="shared" si="1"/>
        <v>-6.0915780866721225E-2</v>
      </c>
      <c r="K21" s="4284">
        <v>1981</v>
      </c>
      <c r="L21" s="4285">
        <f t="shared" si="10"/>
        <v>0.29218202896156648</v>
      </c>
      <c r="M21" s="5103">
        <f t="shared" si="2"/>
        <v>-0.13757074444928163</v>
      </c>
      <c r="N21" s="4284">
        <v>1009</v>
      </c>
      <c r="O21" s="4285">
        <f t="shared" si="0"/>
        <v>0.24395964148329397</v>
      </c>
      <c r="P21" s="5103">
        <f t="shared" si="3"/>
        <v>-0.49066128218071681</v>
      </c>
      <c r="Q21" s="4284">
        <v>972</v>
      </c>
      <c r="R21" s="4285">
        <f t="shared" si="4"/>
        <v>0.11543216400867878</v>
      </c>
      <c r="S21" s="5103">
        <f t="shared" si="15"/>
        <v>-3.6669970267591667E-2</v>
      </c>
      <c r="T21" s="4284">
        <v>1939</v>
      </c>
      <c r="U21" s="4285">
        <f t="shared" si="6"/>
        <v>0.16860664304956285</v>
      </c>
      <c r="V21" s="5103">
        <f t="shared" si="11"/>
        <v>0.99485596707818935</v>
      </c>
      <c r="W21" s="4284">
        <v>2677</v>
      </c>
      <c r="X21" s="4285">
        <f t="shared" si="7"/>
        <v>0.33518098145298514</v>
      </c>
      <c r="Y21" s="5103">
        <f t="shared" si="12"/>
        <v>0.38060856111397623</v>
      </c>
      <c r="Z21" s="4284">
        <v>2545</v>
      </c>
      <c r="AA21" s="4285">
        <f t="shared" si="8"/>
        <v>0.38299530924801994</v>
      </c>
      <c r="AB21" s="5103">
        <f t="shared" si="13"/>
        <v>-4.9308927904370581E-2</v>
      </c>
      <c r="AC21" s="4284">
        <v>2697</v>
      </c>
      <c r="AD21" s="4285">
        <f t="shared" si="9"/>
        <v>0.5021897484023774</v>
      </c>
      <c r="AE21" s="5103">
        <f t="shared" si="14"/>
        <v>5.972495088408647E-2</v>
      </c>
    </row>
    <row r="22" spans="1:31" x14ac:dyDescent="0.25">
      <c r="A22" s="4280">
        <v>16</v>
      </c>
      <c r="B22" s="4281" t="s">
        <v>1420</v>
      </c>
      <c r="C22" s="5099"/>
      <c r="D22" s="5100"/>
      <c r="E22" s="4282">
        <v>2005</v>
      </c>
      <c r="F22" s="4283">
        <v>0.53</v>
      </c>
      <c r="G22" s="5103"/>
      <c r="H22" s="4284">
        <v>1132</v>
      </c>
      <c r="I22" s="4285">
        <f>(H22/H29)*100</f>
        <v>0.22457554824604911</v>
      </c>
      <c r="J22" s="5103">
        <f>H22/E22-1</f>
        <v>-0.43541147132169578</v>
      </c>
      <c r="K22" s="4284">
        <v>1236</v>
      </c>
      <c r="L22" s="4285">
        <f t="shared" si="10"/>
        <v>0.18230034719661595</v>
      </c>
      <c r="M22" s="5103">
        <f>K22/H22-1</f>
        <v>9.1872791519434616E-2</v>
      </c>
      <c r="N22" s="4284">
        <v>1195</v>
      </c>
      <c r="O22" s="4285">
        <f t="shared" si="0"/>
        <v>0.28893138907089821</v>
      </c>
      <c r="P22" s="5103">
        <f>N22/K22-1</f>
        <v>-3.3171521035598728E-2</v>
      </c>
      <c r="Q22" s="4284">
        <v>1397</v>
      </c>
      <c r="R22" s="4285">
        <f t="shared" si="4"/>
        <v>0.16590404641988094</v>
      </c>
      <c r="S22" s="5103">
        <f>Q22/N22-1</f>
        <v>0.16903765690376571</v>
      </c>
      <c r="T22" s="4284">
        <v>1996</v>
      </c>
      <c r="U22" s="4285">
        <f t="shared" si="6"/>
        <v>0.17356310444916323</v>
      </c>
      <c r="V22" s="5103">
        <f t="shared" si="11"/>
        <v>0.42877594846098788</v>
      </c>
      <c r="W22" s="4284">
        <v>2185</v>
      </c>
      <c r="X22" s="4285">
        <f t="shared" si="7"/>
        <v>0.27357879883256353</v>
      </c>
      <c r="Y22" s="5103">
        <f t="shared" si="12"/>
        <v>9.468937875751493E-2</v>
      </c>
      <c r="Z22" s="4284">
        <v>3005</v>
      </c>
      <c r="AA22" s="4285">
        <f t="shared" si="8"/>
        <v>0.45222039461308444</v>
      </c>
      <c r="AB22" s="5103">
        <f t="shared" si="13"/>
        <v>0.37528604118993125</v>
      </c>
      <c r="AC22" s="4284">
        <v>2055</v>
      </c>
      <c r="AD22" s="4285">
        <f t="shared" si="9"/>
        <v>0.38264736112973141</v>
      </c>
      <c r="AE22" s="5103">
        <f t="shared" si="14"/>
        <v>-0.31613976705490854</v>
      </c>
    </row>
    <row r="23" spans="1:31" x14ac:dyDescent="0.25">
      <c r="A23" s="4280">
        <v>17</v>
      </c>
      <c r="B23" s="4281" t="s">
        <v>1421</v>
      </c>
      <c r="C23" s="4287"/>
      <c r="D23" s="4288"/>
      <c r="E23" s="4282">
        <v>2205</v>
      </c>
      <c r="F23" s="4283">
        <v>0.57999999999999996</v>
      </c>
      <c r="G23" s="5103"/>
      <c r="H23" s="4284">
        <v>2486</v>
      </c>
      <c r="I23" s="4285">
        <f>(H23/H29)*100</f>
        <v>0.49319329764989223</v>
      </c>
      <c r="J23" s="5103">
        <f t="shared" si="1"/>
        <v>0.12743764172335603</v>
      </c>
      <c r="K23" s="4284">
        <v>953</v>
      </c>
      <c r="L23" s="4285">
        <f t="shared" si="10"/>
        <v>0.14056005734496357</v>
      </c>
      <c r="M23" s="5103">
        <f t="shared" si="2"/>
        <v>-0.61665325824617856</v>
      </c>
      <c r="N23" s="4284">
        <v>564</v>
      </c>
      <c r="O23" s="4285">
        <f t="shared" si="0"/>
        <v>0.13636594429789672</v>
      </c>
      <c r="P23" s="5103">
        <f t="shared" si="3"/>
        <v>-0.40818467995802732</v>
      </c>
      <c r="Q23" s="4284">
        <v>588</v>
      </c>
      <c r="R23" s="4285">
        <f t="shared" si="4"/>
        <v>6.98293337830279E-2</v>
      </c>
      <c r="S23" s="5103">
        <f t="shared" si="15"/>
        <v>4.2553191489361764E-2</v>
      </c>
      <c r="T23" s="4284">
        <v>1146</v>
      </c>
      <c r="U23" s="4285">
        <f t="shared" si="6"/>
        <v>9.9650960770912345E-2</v>
      </c>
      <c r="V23" s="5103">
        <f t="shared" ref="V23:V29" si="16">T23/Q23-1</f>
        <v>0.94897959183673475</v>
      </c>
      <c r="W23" s="4284">
        <v>1152</v>
      </c>
      <c r="X23" s="4285">
        <f t="shared" si="7"/>
        <v>0.14423925686732869</v>
      </c>
      <c r="Y23" s="5103">
        <f t="shared" ref="Y23:Y29" si="17">W23/T23-1</f>
        <v>5.2356020942407877E-3</v>
      </c>
      <c r="Z23" s="4284">
        <v>2773</v>
      </c>
      <c r="AA23" s="4285">
        <f t="shared" si="8"/>
        <v>0.41730687329853022</v>
      </c>
      <c r="AB23" s="5103">
        <f t="shared" ref="AB23:AB29" si="18">Z23/W23-1</f>
        <v>1.4071180555555554</v>
      </c>
      <c r="AC23" s="4284">
        <v>4026</v>
      </c>
      <c r="AD23" s="4285">
        <f t="shared" si="9"/>
        <v>0.74965366224248109</v>
      </c>
      <c r="AE23" s="5103">
        <f t="shared" si="14"/>
        <v>0.45185719437432392</v>
      </c>
    </row>
    <row r="24" spans="1:31" x14ac:dyDescent="0.25">
      <c r="A24" s="4280">
        <v>18</v>
      </c>
      <c r="B24" s="4281" t="s">
        <v>1422</v>
      </c>
      <c r="C24" s="4287"/>
      <c r="D24" s="4288"/>
      <c r="E24" s="4282">
        <v>1721</v>
      </c>
      <c r="F24" s="4283">
        <v>0.45</v>
      </c>
      <c r="G24" s="5103"/>
      <c r="H24" s="4284">
        <v>968</v>
      </c>
      <c r="I24" s="4285">
        <f>(H24/H29)*100</f>
        <v>0.19203986811146248</v>
      </c>
      <c r="J24" s="5103">
        <f t="shared" si="1"/>
        <v>-0.43753631609529342</v>
      </c>
      <c r="K24" s="4284">
        <v>777</v>
      </c>
      <c r="L24" s="4285">
        <f t="shared" si="10"/>
        <v>0.11460143185418332</v>
      </c>
      <c r="M24" s="5103">
        <f t="shared" si="2"/>
        <v>-0.1973140495867769</v>
      </c>
      <c r="N24" s="4284">
        <v>353</v>
      </c>
      <c r="O24" s="4285">
        <f t="shared" si="0"/>
        <v>8.5349606980775788E-2</v>
      </c>
      <c r="P24" s="5103">
        <f t="shared" si="3"/>
        <v>-0.54568854568854563</v>
      </c>
      <c r="Q24" s="4284">
        <v>294</v>
      </c>
      <c r="R24" s="4285">
        <f t="shared" si="4"/>
        <v>3.491466689151395E-2</v>
      </c>
      <c r="S24" s="5103">
        <f t="shared" si="15"/>
        <v>-0.16713881019830024</v>
      </c>
      <c r="T24" s="4284">
        <v>522</v>
      </c>
      <c r="U24" s="4285">
        <f t="shared" si="6"/>
        <v>4.5390751764761122E-2</v>
      </c>
      <c r="V24" s="5103">
        <f t="shared" si="16"/>
        <v>0.77551020408163263</v>
      </c>
      <c r="W24" s="4284">
        <v>780</v>
      </c>
      <c r="X24" s="4285">
        <f t="shared" si="7"/>
        <v>9.7661996837253795E-2</v>
      </c>
      <c r="Y24" s="5103">
        <f t="shared" si="17"/>
        <v>0.49425287356321834</v>
      </c>
      <c r="Z24" s="4284">
        <v>1194</v>
      </c>
      <c r="AA24" s="4285">
        <f t="shared" si="8"/>
        <v>0.17968424331714569</v>
      </c>
      <c r="AB24" s="5103">
        <f t="shared" si="18"/>
        <v>0.53076923076923066</v>
      </c>
      <c r="AC24" s="4284">
        <v>1087</v>
      </c>
      <c r="AD24" s="4285">
        <f t="shared" si="9"/>
        <v>0.20240276474356111</v>
      </c>
      <c r="AE24" s="5103">
        <f t="shared" si="14"/>
        <v>-8.9614740368509249E-2</v>
      </c>
    </row>
    <row r="25" spans="1:31" x14ac:dyDescent="0.25">
      <c r="A25" s="4280">
        <v>19</v>
      </c>
      <c r="B25" s="4281" t="s">
        <v>1423</v>
      </c>
      <c r="C25" s="4287"/>
      <c r="D25" s="4288"/>
      <c r="E25" s="4282">
        <v>1582</v>
      </c>
      <c r="F25" s="4283">
        <v>0.41</v>
      </c>
      <c r="G25" s="5103"/>
      <c r="H25" s="4284">
        <v>757</v>
      </c>
      <c r="I25" s="4285">
        <f>(H25/H29)*100</f>
        <v>0.15017993818220776</v>
      </c>
      <c r="J25" s="5103">
        <f t="shared" si="1"/>
        <v>-0.52149178255372952</v>
      </c>
      <c r="K25" s="4284">
        <v>725</v>
      </c>
      <c r="L25" s="4285">
        <f t="shared" si="10"/>
        <v>0.10693183795918006</v>
      </c>
      <c r="M25" s="5103">
        <f t="shared" si="2"/>
        <v>-4.2272126816380484E-2</v>
      </c>
      <c r="N25" s="4284">
        <v>283</v>
      </c>
      <c r="O25" s="4285">
        <f t="shared" si="0"/>
        <v>6.8424755738129034E-2</v>
      </c>
      <c r="P25" s="5103">
        <f t="shared" si="3"/>
        <v>-0.60965517241379308</v>
      </c>
      <c r="Q25" s="4284">
        <v>2048</v>
      </c>
      <c r="R25" s="4285">
        <f t="shared" si="4"/>
        <v>0.2432150945368047</v>
      </c>
      <c r="S25" s="5103">
        <f t="shared" si="15"/>
        <v>6.2367491166077738</v>
      </c>
      <c r="T25" s="4284">
        <v>1379</v>
      </c>
      <c r="U25" s="4285">
        <f t="shared" si="6"/>
        <v>0.11991158368506818</v>
      </c>
      <c r="V25" s="5103">
        <f t="shared" si="16"/>
        <v>-0.32666015625</v>
      </c>
      <c r="W25" s="4284">
        <v>1561</v>
      </c>
      <c r="X25" s="4285">
        <f t="shared" si="7"/>
        <v>0.19544920136276045</v>
      </c>
      <c r="Y25" s="5103">
        <f t="shared" si="17"/>
        <v>0.13197969543147203</v>
      </c>
      <c r="Z25" s="4284">
        <v>5972</v>
      </c>
      <c r="AA25" s="4285">
        <f t="shared" si="8"/>
        <v>0.89872219521775054</v>
      </c>
      <c r="AB25" s="5103">
        <f t="shared" si="18"/>
        <v>2.8257527226137094</v>
      </c>
      <c r="AC25" s="4284">
        <v>4506</v>
      </c>
      <c r="AD25" s="4285">
        <f t="shared" si="9"/>
        <v>0.8390311480538053</v>
      </c>
      <c r="AE25" s="5103">
        <f t="shared" si="14"/>
        <v>-0.24547890154052243</v>
      </c>
    </row>
    <row r="26" spans="1:31" x14ac:dyDescent="0.25">
      <c r="A26" s="4280">
        <v>20</v>
      </c>
      <c r="B26" s="4281" t="s">
        <v>1424</v>
      </c>
      <c r="C26" s="4287"/>
      <c r="D26" s="4288"/>
      <c r="E26" s="4282">
        <v>1141</v>
      </c>
      <c r="F26" s="4283">
        <v>0.3</v>
      </c>
      <c r="G26" s="5103"/>
      <c r="H26" s="4284">
        <v>452</v>
      </c>
      <c r="I26" s="4285">
        <f>(H26/H29)*100</f>
        <v>8.9671508663616784E-2</v>
      </c>
      <c r="J26" s="5103">
        <f t="shared" si="1"/>
        <v>-0.60385626643295354</v>
      </c>
      <c r="K26" s="4284">
        <v>355</v>
      </c>
      <c r="L26" s="4285">
        <f t="shared" si="10"/>
        <v>5.2359727552426093E-2</v>
      </c>
      <c r="M26" s="5103">
        <f t="shared" si="2"/>
        <v>-0.21460176991150437</v>
      </c>
      <c r="N26" s="4284">
        <v>441</v>
      </c>
      <c r="O26" s="4285">
        <f t="shared" si="0"/>
        <v>0.10662656282867455</v>
      </c>
      <c r="P26" s="5103">
        <f t="shared" si="3"/>
        <v>0.24225352112676046</v>
      </c>
      <c r="Q26" s="4284">
        <v>776</v>
      </c>
      <c r="R26" s="4285">
        <f t="shared" si="4"/>
        <v>9.2155719414336146E-2</v>
      </c>
      <c r="S26" s="5103">
        <f t="shared" si="15"/>
        <v>0.75963718820861681</v>
      </c>
      <c r="T26" s="4284">
        <v>1023</v>
      </c>
      <c r="U26" s="4285">
        <f t="shared" si="6"/>
        <v>8.8955438803353701E-2</v>
      </c>
      <c r="V26" s="5103">
        <f t="shared" si="16"/>
        <v>0.31829896907216493</v>
      </c>
      <c r="W26" s="4284">
        <v>1146</v>
      </c>
      <c r="X26" s="4285">
        <f t="shared" si="7"/>
        <v>0.14348801073781134</v>
      </c>
      <c r="Y26" s="5103">
        <f t="shared" si="17"/>
        <v>0.12023460410557174</v>
      </c>
      <c r="Z26" s="4284">
        <v>3037</v>
      </c>
      <c r="AA26" s="4285">
        <f t="shared" si="8"/>
        <v>0.45703605272543679</v>
      </c>
      <c r="AB26" s="5103">
        <f t="shared" si="18"/>
        <v>1.6500872600349039</v>
      </c>
      <c r="AC26" s="4284">
        <v>4798</v>
      </c>
      <c r="AD26" s="4285">
        <f t="shared" si="9"/>
        <v>0.89340245192236067</v>
      </c>
      <c r="AE26" s="5103">
        <f t="shared" si="14"/>
        <v>0.5798485347382285</v>
      </c>
    </row>
    <row r="27" spans="1:31" x14ac:dyDescent="0.25">
      <c r="A27" s="4280">
        <v>21</v>
      </c>
      <c r="B27" s="4289" t="s">
        <v>1425</v>
      </c>
      <c r="C27" s="5613"/>
      <c r="D27" s="5104"/>
      <c r="E27" s="4282"/>
      <c r="F27" s="4283"/>
      <c r="G27" s="5103"/>
      <c r="H27" s="4284"/>
      <c r="I27" s="4285"/>
      <c r="J27" s="5103"/>
      <c r="K27" s="4284"/>
      <c r="L27" s="4285"/>
      <c r="M27" s="5103"/>
      <c r="N27" s="4284"/>
      <c r="O27" s="4285"/>
      <c r="P27" s="5103"/>
      <c r="Q27" s="4284">
        <v>169</v>
      </c>
      <c r="R27" s="4285">
        <f t="shared" si="4"/>
        <v>2.006999559410156E-2</v>
      </c>
      <c r="S27" s="5103"/>
      <c r="T27" s="4284">
        <v>581</v>
      </c>
      <c r="U27" s="4285">
        <f t="shared" si="6"/>
        <v>5.0521124090663241E-2</v>
      </c>
      <c r="V27" s="5103">
        <f t="shared" si="16"/>
        <v>2.4378698224852071</v>
      </c>
      <c r="W27" s="4284">
        <v>571</v>
      </c>
      <c r="X27" s="4285">
        <f t="shared" si="7"/>
        <v>7.1493589992399895E-2</v>
      </c>
      <c r="Y27" s="5103">
        <f t="shared" si="17"/>
        <v>-1.7211703958691871E-2</v>
      </c>
      <c r="Z27" s="4284">
        <v>4623</v>
      </c>
      <c r="AA27" s="4285">
        <f t="shared" si="8"/>
        <v>0.69571210791889826</v>
      </c>
      <c r="AB27" s="5103">
        <f t="shared" si="18"/>
        <v>7.0963222416812606</v>
      </c>
      <c r="AC27" s="4284">
        <v>2955</v>
      </c>
      <c r="AD27" s="4285">
        <f t="shared" si="9"/>
        <v>0.55023014702596418</v>
      </c>
      <c r="AE27" s="5103">
        <f t="shared" si="14"/>
        <v>-0.36080467229072033</v>
      </c>
    </row>
    <row r="28" spans="1:31" ht="27" x14ac:dyDescent="0.25">
      <c r="A28" s="4280">
        <v>22</v>
      </c>
      <c r="B28" s="5539" t="s">
        <v>1704</v>
      </c>
      <c r="C28" s="5101"/>
      <c r="D28" s="5540"/>
      <c r="E28" s="4282"/>
      <c r="F28" s="5541"/>
      <c r="G28" s="5542"/>
      <c r="H28" s="4284"/>
      <c r="I28" s="5543"/>
      <c r="J28" s="5542"/>
      <c r="K28" s="4284"/>
      <c r="L28" s="5543"/>
      <c r="M28" s="5542"/>
      <c r="N28" s="4284"/>
      <c r="O28" s="5543"/>
      <c r="P28" s="5542"/>
      <c r="Q28" s="4284"/>
      <c r="R28" s="5543"/>
      <c r="S28" s="5542"/>
      <c r="T28" s="4284"/>
      <c r="U28" s="5543"/>
      <c r="V28" s="5542"/>
      <c r="W28" s="4284"/>
      <c r="X28" s="5543"/>
      <c r="Y28" s="5542"/>
      <c r="Z28" s="4284"/>
      <c r="AA28" s="5543"/>
      <c r="AB28" s="5542"/>
      <c r="AC28" s="4284">
        <v>41308</v>
      </c>
      <c r="AD28" s="4285">
        <f t="shared" si="9"/>
        <v>7.691677466446202</v>
      </c>
      <c r="AE28" s="5103"/>
    </row>
    <row r="29" spans="1:31" x14ac:dyDescent="0.25">
      <c r="A29" s="7544" t="s">
        <v>160</v>
      </c>
      <c r="B29" s="7545"/>
      <c r="C29" s="4290">
        <f>SUM(C6:C27)</f>
        <v>357031</v>
      </c>
      <c r="D29" s="4291">
        <f>SUM(D6:D27)</f>
        <v>1</v>
      </c>
      <c r="E29" s="4292">
        <f>SUM(E6:E27)</f>
        <v>381890</v>
      </c>
      <c r="F29" s="4293">
        <f>SUM(F6:F27)</f>
        <v>100.01</v>
      </c>
      <c r="G29" s="4294">
        <f>E29/C29-1</f>
        <v>6.9627007178648448E-2</v>
      </c>
      <c r="H29" s="4290">
        <f>SUM(H6:H26)</f>
        <v>504062</v>
      </c>
      <c r="I29" s="4295">
        <f>(H29/H29)*100</f>
        <v>100</v>
      </c>
      <c r="J29" s="4294">
        <f t="shared" si="1"/>
        <v>0.31991411139333326</v>
      </c>
      <c r="K29" s="4290">
        <f>SUM(K6:K27)</f>
        <v>678002</v>
      </c>
      <c r="L29" s="4295">
        <f>K29/$K$29*100</f>
        <v>100</v>
      </c>
      <c r="M29" s="4294">
        <f t="shared" si="2"/>
        <v>0.34507659772012178</v>
      </c>
      <c r="N29" s="4290">
        <f>SUM(N6:N27)</f>
        <v>413593</v>
      </c>
      <c r="O29" s="4290">
        <f>SUM(O6:O26)</f>
        <v>100</v>
      </c>
      <c r="P29" s="4294">
        <f>N29/K29-1</f>
        <v>-0.38998262541998396</v>
      </c>
      <c r="Q29" s="4290">
        <f>SUM(Q6:Q27)</f>
        <v>842053</v>
      </c>
      <c r="R29" s="4290">
        <f>SUM(R6:R27)</f>
        <v>100</v>
      </c>
      <c r="S29" s="4294">
        <f t="shared" si="15"/>
        <v>1.03594596620349</v>
      </c>
      <c r="T29" s="4290">
        <f>SUM(T6:T27)</f>
        <v>1150014</v>
      </c>
      <c r="U29" s="4290">
        <f>SUM(U6:U27)</f>
        <v>100</v>
      </c>
      <c r="V29" s="4294">
        <f t="shared" si="16"/>
        <v>0.36572638539379354</v>
      </c>
      <c r="W29" s="4290">
        <f>SUM(W6:W27)</f>
        <v>798673</v>
      </c>
      <c r="X29" s="4290">
        <f>SUM(X6:X27)</f>
        <v>100</v>
      </c>
      <c r="Y29" s="4294">
        <f t="shared" si="17"/>
        <v>-0.30551019378894517</v>
      </c>
      <c r="Z29" s="4290">
        <f>SUM(Z6:Z27)</f>
        <v>664499</v>
      </c>
      <c r="AA29" s="4290">
        <f>SUM(AA6:AA27)</f>
        <v>99.999999999999972</v>
      </c>
      <c r="AB29" s="4294">
        <f t="shared" si="18"/>
        <v>-0.16799616363643188</v>
      </c>
      <c r="AC29" s="4290">
        <f>SUM(AC6:AC28)</f>
        <v>537048</v>
      </c>
      <c r="AD29" s="4290">
        <f>SUM(AD6:AD28)</f>
        <v>100.00000000000003</v>
      </c>
      <c r="AE29" s="4296">
        <f t="shared" si="14"/>
        <v>-0.19180013814919206</v>
      </c>
    </row>
    <row r="30" spans="1:31" x14ac:dyDescent="0.25">
      <c r="A30" s="4273"/>
      <c r="B30" s="4297" t="s">
        <v>1426</v>
      </c>
      <c r="C30" s="4298"/>
      <c r="D30" s="4298"/>
      <c r="E30" s="4298"/>
      <c r="F30" s="4298"/>
      <c r="G30" s="4298"/>
      <c r="H30" s="4299"/>
      <c r="I30" s="4300"/>
      <c r="J30" s="4300"/>
      <c r="K30" s="4273"/>
      <c r="L30" s="4273"/>
      <c r="M30" s="4273"/>
      <c r="N30" s="4273"/>
      <c r="O30" s="4273"/>
      <c r="P30" s="4273"/>
      <c r="Q30" s="4273"/>
      <c r="R30" s="4273"/>
      <c r="S30" s="4273"/>
    </row>
    <row r="31" spans="1:31" x14ac:dyDescent="0.25">
      <c r="A31" s="4273"/>
      <c r="B31" s="4273" t="s">
        <v>1427</v>
      </c>
      <c r="C31" s="4273"/>
      <c r="D31" s="4273"/>
      <c r="E31" s="4273"/>
      <c r="F31" s="4273"/>
      <c r="G31" s="4273"/>
      <c r="H31" s="4273"/>
      <c r="I31" s="4273"/>
      <c r="J31" s="4273"/>
      <c r="K31" s="4273"/>
      <c r="L31" s="4273"/>
      <c r="M31" s="4273"/>
      <c r="N31" s="4273"/>
      <c r="O31" s="4273"/>
      <c r="P31" s="4273"/>
      <c r="Q31" s="4273"/>
      <c r="R31" s="4273"/>
      <c r="S31" s="4273"/>
    </row>
  </sheetData>
  <sheetProtection algorithmName="SHA-512" hashValue="GOS3dcU4XSMEwZ5meEi//WKn+nrt8KOplTiQsqUTeMBX8mGZfe1AdavNyyEXqg7pqmviB/0+rEKwi3o3qiQ9EQ==" saltValue="nLSj1yWOeUOocvK3U9hpVQ==" spinCount="100000" sheet="1" objects="1" scenarios="1"/>
  <mergeCells count="12">
    <mergeCell ref="AC4:AE4"/>
    <mergeCell ref="B2:B3"/>
    <mergeCell ref="Z4:AB4"/>
    <mergeCell ref="T4:V4"/>
    <mergeCell ref="A29:B29"/>
    <mergeCell ref="W4:Y4"/>
    <mergeCell ref="C4:D4"/>
    <mergeCell ref="E4:G4"/>
    <mergeCell ref="H4:J4"/>
    <mergeCell ref="K4:M4"/>
    <mergeCell ref="N4:P4"/>
    <mergeCell ref="Q4:S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colBreaks count="2" manualBreakCount="2">
    <brk id="10" max="1048575" man="1"/>
    <brk id="19" max="1048575" man="1"/>
  </colBreaks>
  <ignoredErrors>
    <ignoredError sqref="S29:V29 Y29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U83"/>
  <sheetViews>
    <sheetView showGridLines="0" zoomScaleNormal="100" zoomScaleSheetLayoutView="80" workbookViewId="0">
      <pane xSplit="2" ySplit="5" topLeftCell="Y30" activePane="bottomRight" state="frozen"/>
      <selection sqref="A1:E1"/>
      <selection pane="topRight" sqref="A1:E1"/>
      <selection pane="bottomLeft" sqref="A1:E1"/>
      <selection pane="bottomRight" activeCell="AS37" sqref="AS37:AT37"/>
    </sheetView>
  </sheetViews>
  <sheetFormatPr baseColWidth="10" defaultRowHeight="15" x14ac:dyDescent="0.2"/>
  <cols>
    <col min="1" max="1" width="15.7109375" style="194" customWidth="1"/>
    <col min="2" max="2" width="10.85546875" style="200" customWidth="1"/>
    <col min="3" max="47" width="8.7109375" style="200" customWidth="1"/>
    <col min="48" max="255" width="11.42578125" style="200"/>
    <col min="256" max="256" width="2" style="200" customWidth="1"/>
    <col min="257" max="257" width="20.5703125" style="200" customWidth="1"/>
    <col min="258" max="258" width="15" style="200" customWidth="1"/>
    <col min="259" max="260" width="9.140625" style="200" bestFit="1" customWidth="1"/>
    <col min="261" max="261" width="10.7109375" style="200" customWidth="1"/>
    <col min="262" max="263" width="9.140625" style="200" bestFit="1" customWidth="1"/>
    <col min="264" max="264" width="10.7109375" style="200" customWidth="1"/>
    <col min="265" max="266" width="8.7109375" style="200" bestFit="1" customWidth="1"/>
    <col min="267" max="267" width="10.7109375" style="200" customWidth="1"/>
    <col min="268" max="269" width="8.7109375" style="200" bestFit="1" customWidth="1"/>
    <col min="270" max="270" width="10.7109375" style="200" customWidth="1"/>
    <col min="271" max="272" width="8.7109375" style="200" bestFit="1" customWidth="1"/>
    <col min="273" max="273" width="10.7109375" style="200" customWidth="1"/>
    <col min="274" max="275" width="9.140625" style="200" bestFit="1" customWidth="1"/>
    <col min="276" max="276" width="10.7109375" style="200" customWidth="1"/>
    <col min="277" max="278" width="7.85546875" style="200" bestFit="1" customWidth="1"/>
    <col min="279" max="279" width="9" style="200" bestFit="1" customWidth="1"/>
    <col min="280" max="280" width="7.85546875" style="200" bestFit="1" customWidth="1"/>
    <col min="281" max="281" width="6.28515625" style="200" bestFit="1" customWidth="1"/>
    <col min="282" max="282" width="10.7109375" style="200" customWidth="1"/>
    <col min="283" max="511" width="11.42578125" style="200"/>
    <col min="512" max="512" width="2" style="200" customWidth="1"/>
    <col min="513" max="513" width="20.5703125" style="200" customWidth="1"/>
    <col min="514" max="514" width="15" style="200" customWidth="1"/>
    <col min="515" max="516" width="9.140625" style="200" bestFit="1" customWidth="1"/>
    <col min="517" max="517" width="10.7109375" style="200" customWidth="1"/>
    <col min="518" max="519" width="9.140625" style="200" bestFit="1" customWidth="1"/>
    <col min="520" max="520" width="10.7109375" style="200" customWidth="1"/>
    <col min="521" max="522" width="8.7109375" style="200" bestFit="1" customWidth="1"/>
    <col min="523" max="523" width="10.7109375" style="200" customWidth="1"/>
    <col min="524" max="525" width="8.7109375" style="200" bestFit="1" customWidth="1"/>
    <col min="526" max="526" width="10.7109375" style="200" customWidth="1"/>
    <col min="527" max="528" width="8.7109375" style="200" bestFit="1" customWidth="1"/>
    <col min="529" max="529" width="10.7109375" style="200" customWidth="1"/>
    <col min="530" max="531" width="9.140625" style="200" bestFit="1" customWidth="1"/>
    <col min="532" max="532" width="10.7109375" style="200" customWidth="1"/>
    <col min="533" max="534" width="7.85546875" style="200" bestFit="1" customWidth="1"/>
    <col min="535" max="535" width="9" style="200" bestFit="1" customWidth="1"/>
    <col min="536" max="536" width="7.85546875" style="200" bestFit="1" customWidth="1"/>
    <col min="537" max="537" width="6.28515625" style="200" bestFit="1" customWidth="1"/>
    <col min="538" max="538" width="10.7109375" style="200" customWidth="1"/>
    <col min="539" max="767" width="11.42578125" style="200"/>
    <col min="768" max="768" width="2" style="200" customWidth="1"/>
    <col min="769" max="769" width="20.5703125" style="200" customWidth="1"/>
    <col min="770" max="770" width="15" style="200" customWidth="1"/>
    <col min="771" max="772" width="9.140625" style="200" bestFit="1" customWidth="1"/>
    <col min="773" max="773" width="10.7109375" style="200" customWidth="1"/>
    <col min="774" max="775" width="9.140625" style="200" bestFit="1" customWidth="1"/>
    <col min="776" max="776" width="10.7109375" style="200" customWidth="1"/>
    <col min="777" max="778" width="8.7109375" style="200" bestFit="1" customWidth="1"/>
    <col min="779" max="779" width="10.7109375" style="200" customWidth="1"/>
    <col min="780" max="781" width="8.7109375" style="200" bestFit="1" customWidth="1"/>
    <col min="782" max="782" width="10.7109375" style="200" customWidth="1"/>
    <col min="783" max="784" width="8.7109375" style="200" bestFit="1" customWidth="1"/>
    <col min="785" max="785" width="10.7109375" style="200" customWidth="1"/>
    <col min="786" max="787" width="9.140625" style="200" bestFit="1" customWidth="1"/>
    <col min="788" max="788" width="10.7109375" style="200" customWidth="1"/>
    <col min="789" max="790" width="7.85546875" style="200" bestFit="1" customWidth="1"/>
    <col min="791" max="791" width="9" style="200" bestFit="1" customWidth="1"/>
    <col min="792" max="792" width="7.85546875" style="200" bestFit="1" customWidth="1"/>
    <col min="793" max="793" width="6.28515625" style="200" bestFit="1" customWidth="1"/>
    <col min="794" max="794" width="10.7109375" style="200" customWidth="1"/>
    <col min="795" max="1023" width="11.42578125" style="200"/>
    <col min="1024" max="1024" width="2" style="200" customWidth="1"/>
    <col min="1025" max="1025" width="20.5703125" style="200" customWidth="1"/>
    <col min="1026" max="1026" width="15" style="200" customWidth="1"/>
    <col min="1027" max="1028" width="9.140625" style="200" bestFit="1" customWidth="1"/>
    <col min="1029" max="1029" width="10.7109375" style="200" customWidth="1"/>
    <col min="1030" max="1031" width="9.140625" style="200" bestFit="1" customWidth="1"/>
    <col min="1032" max="1032" width="10.7109375" style="200" customWidth="1"/>
    <col min="1033" max="1034" width="8.7109375" style="200" bestFit="1" customWidth="1"/>
    <col min="1035" max="1035" width="10.7109375" style="200" customWidth="1"/>
    <col min="1036" max="1037" width="8.7109375" style="200" bestFit="1" customWidth="1"/>
    <col min="1038" max="1038" width="10.7109375" style="200" customWidth="1"/>
    <col min="1039" max="1040" width="8.7109375" style="200" bestFit="1" customWidth="1"/>
    <col min="1041" max="1041" width="10.7109375" style="200" customWidth="1"/>
    <col min="1042" max="1043" width="9.140625" style="200" bestFit="1" customWidth="1"/>
    <col min="1044" max="1044" width="10.7109375" style="200" customWidth="1"/>
    <col min="1045" max="1046" width="7.85546875" style="200" bestFit="1" customWidth="1"/>
    <col min="1047" max="1047" width="9" style="200" bestFit="1" customWidth="1"/>
    <col min="1048" max="1048" width="7.85546875" style="200" bestFit="1" customWidth="1"/>
    <col min="1049" max="1049" width="6.28515625" style="200" bestFit="1" customWidth="1"/>
    <col min="1050" max="1050" width="10.7109375" style="200" customWidth="1"/>
    <col min="1051" max="1279" width="11.42578125" style="200"/>
    <col min="1280" max="1280" width="2" style="200" customWidth="1"/>
    <col min="1281" max="1281" width="20.5703125" style="200" customWidth="1"/>
    <col min="1282" max="1282" width="15" style="200" customWidth="1"/>
    <col min="1283" max="1284" width="9.140625" style="200" bestFit="1" customWidth="1"/>
    <col min="1285" max="1285" width="10.7109375" style="200" customWidth="1"/>
    <col min="1286" max="1287" width="9.140625" style="200" bestFit="1" customWidth="1"/>
    <col min="1288" max="1288" width="10.7109375" style="200" customWidth="1"/>
    <col min="1289" max="1290" width="8.7109375" style="200" bestFit="1" customWidth="1"/>
    <col min="1291" max="1291" width="10.7109375" style="200" customWidth="1"/>
    <col min="1292" max="1293" width="8.7109375" style="200" bestFit="1" customWidth="1"/>
    <col min="1294" max="1294" width="10.7109375" style="200" customWidth="1"/>
    <col min="1295" max="1296" width="8.7109375" style="200" bestFit="1" customWidth="1"/>
    <col min="1297" max="1297" width="10.7109375" style="200" customWidth="1"/>
    <col min="1298" max="1299" width="9.140625" style="200" bestFit="1" customWidth="1"/>
    <col min="1300" max="1300" width="10.7109375" style="200" customWidth="1"/>
    <col min="1301" max="1302" width="7.85546875" style="200" bestFit="1" customWidth="1"/>
    <col min="1303" max="1303" width="9" style="200" bestFit="1" customWidth="1"/>
    <col min="1304" max="1304" width="7.85546875" style="200" bestFit="1" customWidth="1"/>
    <col min="1305" max="1305" width="6.28515625" style="200" bestFit="1" customWidth="1"/>
    <col min="1306" max="1306" width="10.7109375" style="200" customWidth="1"/>
    <col min="1307" max="1535" width="11.42578125" style="200"/>
    <col min="1536" max="1536" width="2" style="200" customWidth="1"/>
    <col min="1537" max="1537" width="20.5703125" style="200" customWidth="1"/>
    <col min="1538" max="1538" width="15" style="200" customWidth="1"/>
    <col min="1539" max="1540" width="9.140625" style="200" bestFit="1" customWidth="1"/>
    <col min="1541" max="1541" width="10.7109375" style="200" customWidth="1"/>
    <col min="1542" max="1543" width="9.140625" style="200" bestFit="1" customWidth="1"/>
    <col min="1544" max="1544" width="10.7109375" style="200" customWidth="1"/>
    <col min="1545" max="1546" width="8.7109375" style="200" bestFit="1" customWidth="1"/>
    <col min="1547" max="1547" width="10.7109375" style="200" customWidth="1"/>
    <col min="1548" max="1549" width="8.7109375" style="200" bestFit="1" customWidth="1"/>
    <col min="1550" max="1550" width="10.7109375" style="200" customWidth="1"/>
    <col min="1551" max="1552" width="8.7109375" style="200" bestFit="1" customWidth="1"/>
    <col min="1553" max="1553" width="10.7109375" style="200" customWidth="1"/>
    <col min="1554" max="1555" width="9.140625" style="200" bestFit="1" customWidth="1"/>
    <col min="1556" max="1556" width="10.7109375" style="200" customWidth="1"/>
    <col min="1557" max="1558" width="7.85546875" style="200" bestFit="1" customWidth="1"/>
    <col min="1559" max="1559" width="9" style="200" bestFit="1" customWidth="1"/>
    <col min="1560" max="1560" width="7.85546875" style="200" bestFit="1" customWidth="1"/>
    <col min="1561" max="1561" width="6.28515625" style="200" bestFit="1" customWidth="1"/>
    <col min="1562" max="1562" width="10.7109375" style="200" customWidth="1"/>
    <col min="1563" max="1791" width="11.42578125" style="200"/>
    <col min="1792" max="1792" width="2" style="200" customWidth="1"/>
    <col min="1793" max="1793" width="20.5703125" style="200" customWidth="1"/>
    <col min="1794" max="1794" width="15" style="200" customWidth="1"/>
    <col min="1795" max="1796" width="9.140625" style="200" bestFit="1" customWidth="1"/>
    <col min="1797" max="1797" width="10.7109375" style="200" customWidth="1"/>
    <col min="1798" max="1799" width="9.140625" style="200" bestFit="1" customWidth="1"/>
    <col min="1800" max="1800" width="10.7109375" style="200" customWidth="1"/>
    <col min="1801" max="1802" width="8.7109375" style="200" bestFit="1" customWidth="1"/>
    <col min="1803" max="1803" width="10.7109375" style="200" customWidth="1"/>
    <col min="1804" max="1805" width="8.7109375" style="200" bestFit="1" customWidth="1"/>
    <col min="1806" max="1806" width="10.7109375" style="200" customWidth="1"/>
    <col min="1807" max="1808" width="8.7109375" style="200" bestFit="1" customWidth="1"/>
    <col min="1809" max="1809" width="10.7109375" style="200" customWidth="1"/>
    <col min="1810" max="1811" width="9.140625" style="200" bestFit="1" customWidth="1"/>
    <col min="1812" max="1812" width="10.7109375" style="200" customWidth="1"/>
    <col min="1813" max="1814" width="7.85546875" style="200" bestFit="1" customWidth="1"/>
    <col min="1815" max="1815" width="9" style="200" bestFit="1" customWidth="1"/>
    <col min="1816" max="1816" width="7.85546875" style="200" bestFit="1" customWidth="1"/>
    <col min="1817" max="1817" width="6.28515625" style="200" bestFit="1" customWidth="1"/>
    <col min="1818" max="1818" width="10.7109375" style="200" customWidth="1"/>
    <col min="1819" max="2047" width="11.42578125" style="200"/>
    <col min="2048" max="2048" width="2" style="200" customWidth="1"/>
    <col min="2049" max="2049" width="20.5703125" style="200" customWidth="1"/>
    <col min="2050" max="2050" width="15" style="200" customWidth="1"/>
    <col min="2051" max="2052" width="9.140625" style="200" bestFit="1" customWidth="1"/>
    <col min="2053" max="2053" width="10.7109375" style="200" customWidth="1"/>
    <col min="2054" max="2055" width="9.140625" style="200" bestFit="1" customWidth="1"/>
    <col min="2056" max="2056" width="10.7109375" style="200" customWidth="1"/>
    <col min="2057" max="2058" width="8.7109375" style="200" bestFit="1" customWidth="1"/>
    <col min="2059" max="2059" width="10.7109375" style="200" customWidth="1"/>
    <col min="2060" max="2061" width="8.7109375" style="200" bestFit="1" customWidth="1"/>
    <col min="2062" max="2062" width="10.7109375" style="200" customWidth="1"/>
    <col min="2063" max="2064" width="8.7109375" style="200" bestFit="1" customWidth="1"/>
    <col min="2065" max="2065" width="10.7109375" style="200" customWidth="1"/>
    <col min="2066" max="2067" width="9.140625" style="200" bestFit="1" customWidth="1"/>
    <col min="2068" max="2068" width="10.7109375" style="200" customWidth="1"/>
    <col min="2069" max="2070" width="7.85546875" style="200" bestFit="1" customWidth="1"/>
    <col min="2071" max="2071" width="9" style="200" bestFit="1" customWidth="1"/>
    <col min="2072" max="2072" width="7.85546875" style="200" bestFit="1" customWidth="1"/>
    <col min="2073" max="2073" width="6.28515625" style="200" bestFit="1" customWidth="1"/>
    <col min="2074" max="2074" width="10.7109375" style="200" customWidth="1"/>
    <col min="2075" max="2303" width="11.42578125" style="200"/>
    <col min="2304" max="2304" width="2" style="200" customWidth="1"/>
    <col min="2305" max="2305" width="20.5703125" style="200" customWidth="1"/>
    <col min="2306" max="2306" width="15" style="200" customWidth="1"/>
    <col min="2307" max="2308" width="9.140625" style="200" bestFit="1" customWidth="1"/>
    <col min="2309" max="2309" width="10.7109375" style="200" customWidth="1"/>
    <col min="2310" max="2311" width="9.140625" style="200" bestFit="1" customWidth="1"/>
    <col min="2312" max="2312" width="10.7109375" style="200" customWidth="1"/>
    <col min="2313" max="2314" width="8.7109375" style="200" bestFit="1" customWidth="1"/>
    <col min="2315" max="2315" width="10.7109375" style="200" customWidth="1"/>
    <col min="2316" max="2317" width="8.7109375" style="200" bestFit="1" customWidth="1"/>
    <col min="2318" max="2318" width="10.7109375" style="200" customWidth="1"/>
    <col min="2319" max="2320" width="8.7109375" style="200" bestFit="1" customWidth="1"/>
    <col min="2321" max="2321" width="10.7109375" style="200" customWidth="1"/>
    <col min="2322" max="2323" width="9.140625" style="200" bestFit="1" customWidth="1"/>
    <col min="2324" max="2324" width="10.7109375" style="200" customWidth="1"/>
    <col min="2325" max="2326" width="7.85546875" style="200" bestFit="1" customWidth="1"/>
    <col min="2327" max="2327" width="9" style="200" bestFit="1" customWidth="1"/>
    <col min="2328" max="2328" width="7.85546875" style="200" bestFit="1" customWidth="1"/>
    <col min="2329" max="2329" width="6.28515625" style="200" bestFit="1" customWidth="1"/>
    <col min="2330" max="2330" width="10.7109375" style="200" customWidth="1"/>
    <col min="2331" max="2559" width="11.42578125" style="200"/>
    <col min="2560" max="2560" width="2" style="200" customWidth="1"/>
    <col min="2561" max="2561" width="20.5703125" style="200" customWidth="1"/>
    <col min="2562" max="2562" width="15" style="200" customWidth="1"/>
    <col min="2563" max="2564" width="9.140625" style="200" bestFit="1" customWidth="1"/>
    <col min="2565" max="2565" width="10.7109375" style="200" customWidth="1"/>
    <col min="2566" max="2567" width="9.140625" style="200" bestFit="1" customWidth="1"/>
    <col min="2568" max="2568" width="10.7109375" style="200" customWidth="1"/>
    <col min="2569" max="2570" width="8.7109375" style="200" bestFit="1" customWidth="1"/>
    <col min="2571" max="2571" width="10.7109375" style="200" customWidth="1"/>
    <col min="2572" max="2573" width="8.7109375" style="200" bestFit="1" customWidth="1"/>
    <col min="2574" max="2574" width="10.7109375" style="200" customWidth="1"/>
    <col min="2575" max="2576" width="8.7109375" style="200" bestFit="1" customWidth="1"/>
    <col min="2577" max="2577" width="10.7109375" style="200" customWidth="1"/>
    <col min="2578" max="2579" width="9.140625" style="200" bestFit="1" customWidth="1"/>
    <col min="2580" max="2580" width="10.7109375" style="200" customWidth="1"/>
    <col min="2581" max="2582" width="7.85546875" style="200" bestFit="1" customWidth="1"/>
    <col min="2583" max="2583" width="9" style="200" bestFit="1" customWidth="1"/>
    <col min="2584" max="2584" width="7.85546875" style="200" bestFit="1" customWidth="1"/>
    <col min="2585" max="2585" width="6.28515625" style="200" bestFit="1" customWidth="1"/>
    <col min="2586" max="2586" width="10.7109375" style="200" customWidth="1"/>
    <col min="2587" max="2815" width="11.42578125" style="200"/>
    <col min="2816" max="2816" width="2" style="200" customWidth="1"/>
    <col min="2817" max="2817" width="20.5703125" style="200" customWidth="1"/>
    <col min="2818" max="2818" width="15" style="200" customWidth="1"/>
    <col min="2819" max="2820" width="9.140625" style="200" bestFit="1" customWidth="1"/>
    <col min="2821" max="2821" width="10.7109375" style="200" customWidth="1"/>
    <col min="2822" max="2823" width="9.140625" style="200" bestFit="1" customWidth="1"/>
    <col min="2824" max="2824" width="10.7109375" style="200" customWidth="1"/>
    <col min="2825" max="2826" width="8.7109375" style="200" bestFit="1" customWidth="1"/>
    <col min="2827" max="2827" width="10.7109375" style="200" customWidth="1"/>
    <col min="2828" max="2829" width="8.7109375" style="200" bestFit="1" customWidth="1"/>
    <col min="2830" max="2830" width="10.7109375" style="200" customWidth="1"/>
    <col min="2831" max="2832" width="8.7109375" style="200" bestFit="1" customWidth="1"/>
    <col min="2833" max="2833" width="10.7109375" style="200" customWidth="1"/>
    <col min="2834" max="2835" width="9.140625" style="200" bestFit="1" customWidth="1"/>
    <col min="2836" max="2836" width="10.7109375" style="200" customWidth="1"/>
    <col min="2837" max="2838" width="7.85546875" style="200" bestFit="1" customWidth="1"/>
    <col min="2839" max="2839" width="9" style="200" bestFit="1" customWidth="1"/>
    <col min="2840" max="2840" width="7.85546875" style="200" bestFit="1" customWidth="1"/>
    <col min="2841" max="2841" width="6.28515625" style="200" bestFit="1" customWidth="1"/>
    <col min="2842" max="2842" width="10.7109375" style="200" customWidth="1"/>
    <col min="2843" max="3071" width="11.42578125" style="200"/>
    <col min="3072" max="3072" width="2" style="200" customWidth="1"/>
    <col min="3073" max="3073" width="20.5703125" style="200" customWidth="1"/>
    <col min="3074" max="3074" width="15" style="200" customWidth="1"/>
    <col min="3075" max="3076" width="9.140625" style="200" bestFit="1" customWidth="1"/>
    <col min="3077" max="3077" width="10.7109375" style="200" customWidth="1"/>
    <col min="3078" max="3079" width="9.140625" style="200" bestFit="1" customWidth="1"/>
    <col min="3080" max="3080" width="10.7109375" style="200" customWidth="1"/>
    <col min="3081" max="3082" width="8.7109375" style="200" bestFit="1" customWidth="1"/>
    <col min="3083" max="3083" width="10.7109375" style="200" customWidth="1"/>
    <col min="3084" max="3085" width="8.7109375" style="200" bestFit="1" customWidth="1"/>
    <col min="3086" max="3086" width="10.7109375" style="200" customWidth="1"/>
    <col min="3087" max="3088" width="8.7109375" style="200" bestFit="1" customWidth="1"/>
    <col min="3089" max="3089" width="10.7109375" style="200" customWidth="1"/>
    <col min="3090" max="3091" width="9.140625" style="200" bestFit="1" customWidth="1"/>
    <col min="3092" max="3092" width="10.7109375" style="200" customWidth="1"/>
    <col min="3093" max="3094" width="7.85546875" style="200" bestFit="1" customWidth="1"/>
    <col min="3095" max="3095" width="9" style="200" bestFit="1" customWidth="1"/>
    <col min="3096" max="3096" width="7.85546875" style="200" bestFit="1" customWidth="1"/>
    <col min="3097" max="3097" width="6.28515625" style="200" bestFit="1" customWidth="1"/>
    <col min="3098" max="3098" width="10.7109375" style="200" customWidth="1"/>
    <col min="3099" max="3327" width="11.42578125" style="200"/>
    <col min="3328" max="3328" width="2" style="200" customWidth="1"/>
    <col min="3329" max="3329" width="20.5703125" style="200" customWidth="1"/>
    <col min="3330" max="3330" width="15" style="200" customWidth="1"/>
    <col min="3331" max="3332" width="9.140625" style="200" bestFit="1" customWidth="1"/>
    <col min="3333" max="3333" width="10.7109375" style="200" customWidth="1"/>
    <col min="3334" max="3335" width="9.140625" style="200" bestFit="1" customWidth="1"/>
    <col min="3336" max="3336" width="10.7109375" style="200" customWidth="1"/>
    <col min="3337" max="3338" width="8.7109375" style="200" bestFit="1" customWidth="1"/>
    <col min="3339" max="3339" width="10.7109375" style="200" customWidth="1"/>
    <col min="3340" max="3341" width="8.7109375" style="200" bestFit="1" customWidth="1"/>
    <col min="3342" max="3342" width="10.7109375" style="200" customWidth="1"/>
    <col min="3343" max="3344" width="8.7109375" style="200" bestFit="1" customWidth="1"/>
    <col min="3345" max="3345" width="10.7109375" style="200" customWidth="1"/>
    <col min="3346" max="3347" width="9.140625" style="200" bestFit="1" customWidth="1"/>
    <col min="3348" max="3348" width="10.7109375" style="200" customWidth="1"/>
    <col min="3349" max="3350" width="7.85546875" style="200" bestFit="1" customWidth="1"/>
    <col min="3351" max="3351" width="9" style="200" bestFit="1" customWidth="1"/>
    <col min="3352" max="3352" width="7.85546875" style="200" bestFit="1" customWidth="1"/>
    <col min="3353" max="3353" width="6.28515625" style="200" bestFit="1" customWidth="1"/>
    <col min="3354" max="3354" width="10.7109375" style="200" customWidth="1"/>
    <col min="3355" max="3583" width="11.42578125" style="200"/>
    <col min="3584" max="3584" width="2" style="200" customWidth="1"/>
    <col min="3585" max="3585" width="20.5703125" style="200" customWidth="1"/>
    <col min="3586" max="3586" width="15" style="200" customWidth="1"/>
    <col min="3587" max="3588" width="9.140625" style="200" bestFit="1" customWidth="1"/>
    <col min="3589" max="3589" width="10.7109375" style="200" customWidth="1"/>
    <col min="3590" max="3591" width="9.140625" style="200" bestFit="1" customWidth="1"/>
    <col min="3592" max="3592" width="10.7109375" style="200" customWidth="1"/>
    <col min="3593" max="3594" width="8.7109375" style="200" bestFit="1" customWidth="1"/>
    <col min="3595" max="3595" width="10.7109375" style="200" customWidth="1"/>
    <col min="3596" max="3597" width="8.7109375" style="200" bestFit="1" customWidth="1"/>
    <col min="3598" max="3598" width="10.7109375" style="200" customWidth="1"/>
    <col min="3599" max="3600" width="8.7109375" style="200" bestFit="1" customWidth="1"/>
    <col min="3601" max="3601" width="10.7109375" style="200" customWidth="1"/>
    <col min="3602" max="3603" width="9.140625" style="200" bestFit="1" customWidth="1"/>
    <col min="3604" max="3604" width="10.7109375" style="200" customWidth="1"/>
    <col min="3605" max="3606" width="7.85546875" style="200" bestFit="1" customWidth="1"/>
    <col min="3607" max="3607" width="9" style="200" bestFit="1" customWidth="1"/>
    <col min="3608" max="3608" width="7.85546875" style="200" bestFit="1" customWidth="1"/>
    <col min="3609" max="3609" width="6.28515625" style="200" bestFit="1" customWidth="1"/>
    <col min="3610" max="3610" width="10.7109375" style="200" customWidth="1"/>
    <col min="3611" max="3839" width="11.42578125" style="200"/>
    <col min="3840" max="3840" width="2" style="200" customWidth="1"/>
    <col min="3841" max="3841" width="20.5703125" style="200" customWidth="1"/>
    <col min="3842" max="3842" width="15" style="200" customWidth="1"/>
    <col min="3843" max="3844" width="9.140625" style="200" bestFit="1" customWidth="1"/>
    <col min="3845" max="3845" width="10.7109375" style="200" customWidth="1"/>
    <col min="3846" max="3847" width="9.140625" style="200" bestFit="1" customWidth="1"/>
    <col min="3848" max="3848" width="10.7109375" style="200" customWidth="1"/>
    <col min="3849" max="3850" width="8.7109375" style="200" bestFit="1" customWidth="1"/>
    <col min="3851" max="3851" width="10.7109375" style="200" customWidth="1"/>
    <col min="3852" max="3853" width="8.7109375" style="200" bestFit="1" customWidth="1"/>
    <col min="3854" max="3854" width="10.7109375" style="200" customWidth="1"/>
    <col min="3855" max="3856" width="8.7109375" style="200" bestFit="1" customWidth="1"/>
    <col min="3857" max="3857" width="10.7109375" style="200" customWidth="1"/>
    <col min="3858" max="3859" width="9.140625" style="200" bestFit="1" customWidth="1"/>
    <col min="3860" max="3860" width="10.7109375" style="200" customWidth="1"/>
    <col min="3861" max="3862" width="7.85546875" style="200" bestFit="1" customWidth="1"/>
    <col min="3863" max="3863" width="9" style="200" bestFit="1" customWidth="1"/>
    <col min="3864" max="3864" width="7.85546875" style="200" bestFit="1" customWidth="1"/>
    <col min="3865" max="3865" width="6.28515625" style="200" bestFit="1" customWidth="1"/>
    <col min="3866" max="3866" width="10.7109375" style="200" customWidth="1"/>
    <col min="3867" max="4095" width="11.42578125" style="200"/>
    <col min="4096" max="4096" width="2" style="200" customWidth="1"/>
    <col min="4097" max="4097" width="20.5703125" style="200" customWidth="1"/>
    <col min="4098" max="4098" width="15" style="200" customWidth="1"/>
    <col min="4099" max="4100" width="9.140625" style="200" bestFit="1" customWidth="1"/>
    <col min="4101" max="4101" width="10.7109375" style="200" customWidth="1"/>
    <col min="4102" max="4103" width="9.140625" style="200" bestFit="1" customWidth="1"/>
    <col min="4104" max="4104" width="10.7109375" style="200" customWidth="1"/>
    <col min="4105" max="4106" width="8.7109375" style="200" bestFit="1" customWidth="1"/>
    <col min="4107" max="4107" width="10.7109375" style="200" customWidth="1"/>
    <col min="4108" max="4109" width="8.7109375" style="200" bestFit="1" customWidth="1"/>
    <col min="4110" max="4110" width="10.7109375" style="200" customWidth="1"/>
    <col min="4111" max="4112" width="8.7109375" style="200" bestFit="1" customWidth="1"/>
    <col min="4113" max="4113" width="10.7109375" style="200" customWidth="1"/>
    <col min="4114" max="4115" width="9.140625" style="200" bestFit="1" customWidth="1"/>
    <col min="4116" max="4116" width="10.7109375" style="200" customWidth="1"/>
    <col min="4117" max="4118" width="7.85546875" style="200" bestFit="1" customWidth="1"/>
    <col min="4119" max="4119" width="9" style="200" bestFit="1" customWidth="1"/>
    <col min="4120" max="4120" width="7.85546875" style="200" bestFit="1" customWidth="1"/>
    <col min="4121" max="4121" width="6.28515625" style="200" bestFit="1" customWidth="1"/>
    <col min="4122" max="4122" width="10.7109375" style="200" customWidth="1"/>
    <col min="4123" max="4351" width="11.42578125" style="200"/>
    <col min="4352" max="4352" width="2" style="200" customWidth="1"/>
    <col min="4353" max="4353" width="20.5703125" style="200" customWidth="1"/>
    <col min="4354" max="4354" width="15" style="200" customWidth="1"/>
    <col min="4355" max="4356" width="9.140625" style="200" bestFit="1" customWidth="1"/>
    <col min="4357" max="4357" width="10.7109375" style="200" customWidth="1"/>
    <col min="4358" max="4359" width="9.140625" style="200" bestFit="1" customWidth="1"/>
    <col min="4360" max="4360" width="10.7109375" style="200" customWidth="1"/>
    <col min="4361" max="4362" width="8.7109375" style="200" bestFit="1" customWidth="1"/>
    <col min="4363" max="4363" width="10.7109375" style="200" customWidth="1"/>
    <col min="4364" max="4365" width="8.7109375" style="200" bestFit="1" customWidth="1"/>
    <col min="4366" max="4366" width="10.7109375" style="200" customWidth="1"/>
    <col min="4367" max="4368" width="8.7109375" style="200" bestFit="1" customWidth="1"/>
    <col min="4369" max="4369" width="10.7109375" style="200" customWidth="1"/>
    <col min="4370" max="4371" width="9.140625" style="200" bestFit="1" customWidth="1"/>
    <col min="4372" max="4372" width="10.7109375" style="200" customWidth="1"/>
    <col min="4373" max="4374" width="7.85546875" style="200" bestFit="1" customWidth="1"/>
    <col min="4375" max="4375" width="9" style="200" bestFit="1" customWidth="1"/>
    <col min="4376" max="4376" width="7.85546875" style="200" bestFit="1" customWidth="1"/>
    <col min="4377" max="4377" width="6.28515625" style="200" bestFit="1" customWidth="1"/>
    <col min="4378" max="4378" width="10.7109375" style="200" customWidth="1"/>
    <col min="4379" max="4607" width="11.42578125" style="200"/>
    <col min="4608" max="4608" width="2" style="200" customWidth="1"/>
    <col min="4609" max="4609" width="20.5703125" style="200" customWidth="1"/>
    <col min="4610" max="4610" width="15" style="200" customWidth="1"/>
    <col min="4611" max="4612" width="9.140625" style="200" bestFit="1" customWidth="1"/>
    <col min="4613" max="4613" width="10.7109375" style="200" customWidth="1"/>
    <col min="4614" max="4615" width="9.140625" style="200" bestFit="1" customWidth="1"/>
    <col min="4616" max="4616" width="10.7109375" style="200" customWidth="1"/>
    <col min="4617" max="4618" width="8.7109375" style="200" bestFit="1" customWidth="1"/>
    <col min="4619" max="4619" width="10.7109375" style="200" customWidth="1"/>
    <col min="4620" max="4621" width="8.7109375" style="200" bestFit="1" customWidth="1"/>
    <col min="4622" max="4622" width="10.7109375" style="200" customWidth="1"/>
    <col min="4623" max="4624" width="8.7109375" style="200" bestFit="1" customWidth="1"/>
    <col min="4625" max="4625" width="10.7109375" style="200" customWidth="1"/>
    <col min="4626" max="4627" width="9.140625" style="200" bestFit="1" customWidth="1"/>
    <col min="4628" max="4628" width="10.7109375" style="200" customWidth="1"/>
    <col min="4629" max="4630" width="7.85546875" style="200" bestFit="1" customWidth="1"/>
    <col min="4631" max="4631" width="9" style="200" bestFit="1" customWidth="1"/>
    <col min="4632" max="4632" width="7.85546875" style="200" bestFit="1" customWidth="1"/>
    <col min="4633" max="4633" width="6.28515625" style="200" bestFit="1" customWidth="1"/>
    <col min="4634" max="4634" width="10.7109375" style="200" customWidth="1"/>
    <col min="4635" max="4863" width="11.42578125" style="200"/>
    <col min="4864" max="4864" width="2" style="200" customWidth="1"/>
    <col min="4865" max="4865" width="20.5703125" style="200" customWidth="1"/>
    <col min="4866" max="4866" width="15" style="200" customWidth="1"/>
    <col min="4867" max="4868" width="9.140625" style="200" bestFit="1" customWidth="1"/>
    <col min="4869" max="4869" width="10.7109375" style="200" customWidth="1"/>
    <col min="4870" max="4871" width="9.140625" style="200" bestFit="1" customWidth="1"/>
    <col min="4872" max="4872" width="10.7109375" style="200" customWidth="1"/>
    <col min="4873" max="4874" width="8.7109375" style="200" bestFit="1" customWidth="1"/>
    <col min="4875" max="4875" width="10.7109375" style="200" customWidth="1"/>
    <col min="4876" max="4877" width="8.7109375" style="200" bestFit="1" customWidth="1"/>
    <col min="4878" max="4878" width="10.7109375" style="200" customWidth="1"/>
    <col min="4879" max="4880" width="8.7109375" style="200" bestFit="1" customWidth="1"/>
    <col min="4881" max="4881" width="10.7109375" style="200" customWidth="1"/>
    <col min="4882" max="4883" width="9.140625" style="200" bestFit="1" customWidth="1"/>
    <col min="4884" max="4884" width="10.7109375" style="200" customWidth="1"/>
    <col min="4885" max="4886" width="7.85546875" style="200" bestFit="1" customWidth="1"/>
    <col min="4887" max="4887" width="9" style="200" bestFit="1" customWidth="1"/>
    <col min="4888" max="4888" width="7.85546875" style="200" bestFit="1" customWidth="1"/>
    <col min="4889" max="4889" width="6.28515625" style="200" bestFit="1" customWidth="1"/>
    <col min="4890" max="4890" width="10.7109375" style="200" customWidth="1"/>
    <col min="4891" max="5119" width="11.42578125" style="200"/>
    <col min="5120" max="5120" width="2" style="200" customWidth="1"/>
    <col min="5121" max="5121" width="20.5703125" style="200" customWidth="1"/>
    <col min="5122" max="5122" width="15" style="200" customWidth="1"/>
    <col min="5123" max="5124" width="9.140625" style="200" bestFit="1" customWidth="1"/>
    <col min="5125" max="5125" width="10.7109375" style="200" customWidth="1"/>
    <col min="5126" max="5127" width="9.140625" style="200" bestFit="1" customWidth="1"/>
    <col min="5128" max="5128" width="10.7109375" style="200" customWidth="1"/>
    <col min="5129" max="5130" width="8.7109375" style="200" bestFit="1" customWidth="1"/>
    <col min="5131" max="5131" width="10.7109375" style="200" customWidth="1"/>
    <col min="5132" max="5133" width="8.7109375" style="200" bestFit="1" customWidth="1"/>
    <col min="5134" max="5134" width="10.7109375" style="200" customWidth="1"/>
    <col min="5135" max="5136" width="8.7109375" style="200" bestFit="1" customWidth="1"/>
    <col min="5137" max="5137" width="10.7109375" style="200" customWidth="1"/>
    <col min="5138" max="5139" width="9.140625" style="200" bestFit="1" customWidth="1"/>
    <col min="5140" max="5140" width="10.7109375" style="200" customWidth="1"/>
    <col min="5141" max="5142" width="7.85546875" style="200" bestFit="1" customWidth="1"/>
    <col min="5143" max="5143" width="9" style="200" bestFit="1" customWidth="1"/>
    <col min="5144" max="5144" width="7.85546875" style="200" bestFit="1" customWidth="1"/>
    <col min="5145" max="5145" width="6.28515625" style="200" bestFit="1" customWidth="1"/>
    <col min="5146" max="5146" width="10.7109375" style="200" customWidth="1"/>
    <col min="5147" max="5375" width="11.42578125" style="200"/>
    <col min="5376" max="5376" width="2" style="200" customWidth="1"/>
    <col min="5377" max="5377" width="20.5703125" style="200" customWidth="1"/>
    <col min="5378" max="5378" width="15" style="200" customWidth="1"/>
    <col min="5379" max="5380" width="9.140625" style="200" bestFit="1" customWidth="1"/>
    <col min="5381" max="5381" width="10.7109375" style="200" customWidth="1"/>
    <col min="5382" max="5383" width="9.140625" style="200" bestFit="1" customWidth="1"/>
    <col min="5384" max="5384" width="10.7109375" style="200" customWidth="1"/>
    <col min="5385" max="5386" width="8.7109375" style="200" bestFit="1" customWidth="1"/>
    <col min="5387" max="5387" width="10.7109375" style="200" customWidth="1"/>
    <col min="5388" max="5389" width="8.7109375" style="200" bestFit="1" customWidth="1"/>
    <col min="5390" max="5390" width="10.7109375" style="200" customWidth="1"/>
    <col min="5391" max="5392" width="8.7109375" style="200" bestFit="1" customWidth="1"/>
    <col min="5393" max="5393" width="10.7109375" style="200" customWidth="1"/>
    <col min="5394" max="5395" width="9.140625" style="200" bestFit="1" customWidth="1"/>
    <col min="5396" max="5396" width="10.7109375" style="200" customWidth="1"/>
    <col min="5397" max="5398" width="7.85546875" style="200" bestFit="1" customWidth="1"/>
    <col min="5399" max="5399" width="9" style="200" bestFit="1" customWidth="1"/>
    <col min="5400" max="5400" width="7.85546875" style="200" bestFit="1" customWidth="1"/>
    <col min="5401" max="5401" width="6.28515625" style="200" bestFit="1" customWidth="1"/>
    <col min="5402" max="5402" width="10.7109375" style="200" customWidth="1"/>
    <col min="5403" max="5631" width="11.42578125" style="200"/>
    <col min="5632" max="5632" width="2" style="200" customWidth="1"/>
    <col min="5633" max="5633" width="20.5703125" style="200" customWidth="1"/>
    <col min="5634" max="5634" width="15" style="200" customWidth="1"/>
    <col min="5635" max="5636" width="9.140625" style="200" bestFit="1" customWidth="1"/>
    <col min="5637" max="5637" width="10.7109375" style="200" customWidth="1"/>
    <col min="5638" max="5639" width="9.140625" style="200" bestFit="1" customWidth="1"/>
    <col min="5640" max="5640" width="10.7109375" style="200" customWidth="1"/>
    <col min="5641" max="5642" width="8.7109375" style="200" bestFit="1" customWidth="1"/>
    <col min="5643" max="5643" width="10.7109375" style="200" customWidth="1"/>
    <col min="5644" max="5645" width="8.7109375" style="200" bestFit="1" customWidth="1"/>
    <col min="5646" max="5646" width="10.7109375" style="200" customWidth="1"/>
    <col min="5647" max="5648" width="8.7109375" style="200" bestFit="1" customWidth="1"/>
    <col min="5649" max="5649" width="10.7109375" style="200" customWidth="1"/>
    <col min="5650" max="5651" width="9.140625" style="200" bestFit="1" customWidth="1"/>
    <col min="5652" max="5652" width="10.7109375" style="200" customWidth="1"/>
    <col min="5653" max="5654" width="7.85546875" style="200" bestFit="1" customWidth="1"/>
    <col min="5655" max="5655" width="9" style="200" bestFit="1" customWidth="1"/>
    <col min="5656" max="5656" width="7.85546875" style="200" bestFit="1" customWidth="1"/>
    <col min="5657" max="5657" width="6.28515625" style="200" bestFit="1" customWidth="1"/>
    <col min="5658" max="5658" width="10.7109375" style="200" customWidth="1"/>
    <col min="5659" max="5887" width="11.42578125" style="200"/>
    <col min="5888" max="5888" width="2" style="200" customWidth="1"/>
    <col min="5889" max="5889" width="20.5703125" style="200" customWidth="1"/>
    <col min="5890" max="5890" width="15" style="200" customWidth="1"/>
    <col min="5891" max="5892" width="9.140625" style="200" bestFit="1" customWidth="1"/>
    <col min="5893" max="5893" width="10.7109375" style="200" customWidth="1"/>
    <col min="5894" max="5895" width="9.140625" style="200" bestFit="1" customWidth="1"/>
    <col min="5896" max="5896" width="10.7109375" style="200" customWidth="1"/>
    <col min="5897" max="5898" width="8.7109375" style="200" bestFit="1" customWidth="1"/>
    <col min="5899" max="5899" width="10.7109375" style="200" customWidth="1"/>
    <col min="5900" max="5901" width="8.7109375" style="200" bestFit="1" customWidth="1"/>
    <col min="5902" max="5902" width="10.7109375" style="200" customWidth="1"/>
    <col min="5903" max="5904" width="8.7109375" style="200" bestFit="1" customWidth="1"/>
    <col min="5905" max="5905" width="10.7109375" style="200" customWidth="1"/>
    <col min="5906" max="5907" width="9.140625" style="200" bestFit="1" customWidth="1"/>
    <col min="5908" max="5908" width="10.7109375" style="200" customWidth="1"/>
    <col min="5909" max="5910" width="7.85546875" style="200" bestFit="1" customWidth="1"/>
    <col min="5911" max="5911" width="9" style="200" bestFit="1" customWidth="1"/>
    <col min="5912" max="5912" width="7.85546875" style="200" bestFit="1" customWidth="1"/>
    <col min="5913" max="5913" width="6.28515625" style="200" bestFit="1" customWidth="1"/>
    <col min="5914" max="5914" width="10.7109375" style="200" customWidth="1"/>
    <col min="5915" max="6143" width="11.42578125" style="200"/>
    <col min="6144" max="6144" width="2" style="200" customWidth="1"/>
    <col min="6145" max="6145" width="20.5703125" style="200" customWidth="1"/>
    <col min="6146" max="6146" width="15" style="200" customWidth="1"/>
    <col min="6147" max="6148" width="9.140625" style="200" bestFit="1" customWidth="1"/>
    <col min="6149" max="6149" width="10.7109375" style="200" customWidth="1"/>
    <col min="6150" max="6151" width="9.140625" style="200" bestFit="1" customWidth="1"/>
    <col min="6152" max="6152" width="10.7109375" style="200" customWidth="1"/>
    <col min="6153" max="6154" width="8.7109375" style="200" bestFit="1" customWidth="1"/>
    <col min="6155" max="6155" width="10.7109375" style="200" customWidth="1"/>
    <col min="6156" max="6157" width="8.7109375" style="200" bestFit="1" customWidth="1"/>
    <col min="6158" max="6158" width="10.7109375" style="200" customWidth="1"/>
    <col min="6159" max="6160" width="8.7109375" style="200" bestFit="1" customWidth="1"/>
    <col min="6161" max="6161" width="10.7109375" style="200" customWidth="1"/>
    <col min="6162" max="6163" width="9.140625" style="200" bestFit="1" customWidth="1"/>
    <col min="6164" max="6164" width="10.7109375" style="200" customWidth="1"/>
    <col min="6165" max="6166" width="7.85546875" style="200" bestFit="1" customWidth="1"/>
    <col min="6167" max="6167" width="9" style="200" bestFit="1" customWidth="1"/>
    <col min="6168" max="6168" width="7.85546875" style="200" bestFit="1" customWidth="1"/>
    <col min="6169" max="6169" width="6.28515625" style="200" bestFit="1" customWidth="1"/>
    <col min="6170" max="6170" width="10.7109375" style="200" customWidth="1"/>
    <col min="6171" max="6399" width="11.42578125" style="200"/>
    <col min="6400" max="6400" width="2" style="200" customWidth="1"/>
    <col min="6401" max="6401" width="20.5703125" style="200" customWidth="1"/>
    <col min="6402" max="6402" width="15" style="200" customWidth="1"/>
    <col min="6403" max="6404" width="9.140625" style="200" bestFit="1" customWidth="1"/>
    <col min="6405" max="6405" width="10.7109375" style="200" customWidth="1"/>
    <col min="6406" max="6407" width="9.140625" style="200" bestFit="1" customWidth="1"/>
    <col min="6408" max="6408" width="10.7109375" style="200" customWidth="1"/>
    <col min="6409" max="6410" width="8.7109375" style="200" bestFit="1" customWidth="1"/>
    <col min="6411" max="6411" width="10.7109375" style="200" customWidth="1"/>
    <col min="6412" max="6413" width="8.7109375" style="200" bestFit="1" customWidth="1"/>
    <col min="6414" max="6414" width="10.7109375" style="200" customWidth="1"/>
    <col min="6415" max="6416" width="8.7109375" style="200" bestFit="1" customWidth="1"/>
    <col min="6417" max="6417" width="10.7109375" style="200" customWidth="1"/>
    <col min="6418" max="6419" width="9.140625" style="200" bestFit="1" customWidth="1"/>
    <col min="6420" max="6420" width="10.7109375" style="200" customWidth="1"/>
    <col min="6421" max="6422" width="7.85546875" style="200" bestFit="1" customWidth="1"/>
    <col min="6423" max="6423" width="9" style="200" bestFit="1" customWidth="1"/>
    <col min="6424" max="6424" width="7.85546875" style="200" bestFit="1" customWidth="1"/>
    <col min="6425" max="6425" width="6.28515625" style="200" bestFit="1" customWidth="1"/>
    <col min="6426" max="6426" width="10.7109375" style="200" customWidth="1"/>
    <col min="6427" max="6655" width="11.42578125" style="200"/>
    <col min="6656" max="6656" width="2" style="200" customWidth="1"/>
    <col min="6657" max="6657" width="20.5703125" style="200" customWidth="1"/>
    <col min="6658" max="6658" width="15" style="200" customWidth="1"/>
    <col min="6659" max="6660" width="9.140625" style="200" bestFit="1" customWidth="1"/>
    <col min="6661" max="6661" width="10.7109375" style="200" customWidth="1"/>
    <col min="6662" max="6663" width="9.140625" style="200" bestFit="1" customWidth="1"/>
    <col min="6664" max="6664" width="10.7109375" style="200" customWidth="1"/>
    <col min="6665" max="6666" width="8.7109375" style="200" bestFit="1" customWidth="1"/>
    <col min="6667" max="6667" width="10.7109375" style="200" customWidth="1"/>
    <col min="6668" max="6669" width="8.7109375" style="200" bestFit="1" customWidth="1"/>
    <col min="6670" max="6670" width="10.7109375" style="200" customWidth="1"/>
    <col min="6671" max="6672" width="8.7109375" style="200" bestFit="1" customWidth="1"/>
    <col min="6673" max="6673" width="10.7109375" style="200" customWidth="1"/>
    <col min="6674" max="6675" width="9.140625" style="200" bestFit="1" customWidth="1"/>
    <col min="6676" max="6676" width="10.7109375" style="200" customWidth="1"/>
    <col min="6677" max="6678" width="7.85546875" style="200" bestFit="1" customWidth="1"/>
    <col min="6679" max="6679" width="9" style="200" bestFit="1" customWidth="1"/>
    <col min="6680" max="6680" width="7.85546875" style="200" bestFit="1" customWidth="1"/>
    <col min="6681" max="6681" width="6.28515625" style="200" bestFit="1" customWidth="1"/>
    <col min="6682" max="6682" width="10.7109375" style="200" customWidth="1"/>
    <col min="6683" max="6911" width="11.42578125" style="200"/>
    <col min="6912" max="6912" width="2" style="200" customWidth="1"/>
    <col min="6913" max="6913" width="20.5703125" style="200" customWidth="1"/>
    <col min="6914" max="6914" width="15" style="200" customWidth="1"/>
    <col min="6915" max="6916" width="9.140625" style="200" bestFit="1" customWidth="1"/>
    <col min="6917" max="6917" width="10.7109375" style="200" customWidth="1"/>
    <col min="6918" max="6919" width="9.140625" style="200" bestFit="1" customWidth="1"/>
    <col min="6920" max="6920" width="10.7109375" style="200" customWidth="1"/>
    <col min="6921" max="6922" width="8.7109375" style="200" bestFit="1" customWidth="1"/>
    <col min="6923" max="6923" width="10.7109375" style="200" customWidth="1"/>
    <col min="6924" max="6925" width="8.7109375" style="200" bestFit="1" customWidth="1"/>
    <col min="6926" max="6926" width="10.7109375" style="200" customWidth="1"/>
    <col min="6927" max="6928" width="8.7109375" style="200" bestFit="1" customWidth="1"/>
    <col min="6929" max="6929" width="10.7109375" style="200" customWidth="1"/>
    <col min="6930" max="6931" width="9.140625" style="200" bestFit="1" customWidth="1"/>
    <col min="6932" max="6932" width="10.7109375" style="200" customWidth="1"/>
    <col min="6933" max="6934" width="7.85546875" style="200" bestFit="1" customWidth="1"/>
    <col min="6935" max="6935" width="9" style="200" bestFit="1" customWidth="1"/>
    <col min="6936" max="6936" width="7.85546875" style="200" bestFit="1" customWidth="1"/>
    <col min="6937" max="6937" width="6.28515625" style="200" bestFit="1" customWidth="1"/>
    <col min="6938" max="6938" width="10.7109375" style="200" customWidth="1"/>
    <col min="6939" max="7167" width="11.42578125" style="200"/>
    <col min="7168" max="7168" width="2" style="200" customWidth="1"/>
    <col min="7169" max="7169" width="20.5703125" style="200" customWidth="1"/>
    <col min="7170" max="7170" width="15" style="200" customWidth="1"/>
    <col min="7171" max="7172" width="9.140625" style="200" bestFit="1" customWidth="1"/>
    <col min="7173" max="7173" width="10.7109375" style="200" customWidth="1"/>
    <col min="7174" max="7175" width="9.140625" style="200" bestFit="1" customWidth="1"/>
    <col min="7176" max="7176" width="10.7109375" style="200" customWidth="1"/>
    <col min="7177" max="7178" width="8.7109375" style="200" bestFit="1" customWidth="1"/>
    <col min="7179" max="7179" width="10.7109375" style="200" customWidth="1"/>
    <col min="7180" max="7181" width="8.7109375" style="200" bestFit="1" customWidth="1"/>
    <col min="7182" max="7182" width="10.7109375" style="200" customWidth="1"/>
    <col min="7183" max="7184" width="8.7109375" style="200" bestFit="1" customWidth="1"/>
    <col min="7185" max="7185" width="10.7109375" style="200" customWidth="1"/>
    <col min="7186" max="7187" width="9.140625" style="200" bestFit="1" customWidth="1"/>
    <col min="7188" max="7188" width="10.7109375" style="200" customWidth="1"/>
    <col min="7189" max="7190" width="7.85546875" style="200" bestFit="1" customWidth="1"/>
    <col min="7191" max="7191" width="9" style="200" bestFit="1" customWidth="1"/>
    <col min="7192" max="7192" width="7.85546875" style="200" bestFit="1" customWidth="1"/>
    <col min="7193" max="7193" width="6.28515625" style="200" bestFit="1" customWidth="1"/>
    <col min="7194" max="7194" width="10.7109375" style="200" customWidth="1"/>
    <col min="7195" max="7423" width="11.42578125" style="200"/>
    <col min="7424" max="7424" width="2" style="200" customWidth="1"/>
    <col min="7425" max="7425" width="20.5703125" style="200" customWidth="1"/>
    <col min="7426" max="7426" width="15" style="200" customWidth="1"/>
    <col min="7427" max="7428" width="9.140625" style="200" bestFit="1" customWidth="1"/>
    <col min="7429" max="7429" width="10.7109375" style="200" customWidth="1"/>
    <col min="7430" max="7431" width="9.140625" style="200" bestFit="1" customWidth="1"/>
    <col min="7432" max="7432" width="10.7109375" style="200" customWidth="1"/>
    <col min="7433" max="7434" width="8.7109375" style="200" bestFit="1" customWidth="1"/>
    <col min="7435" max="7435" width="10.7109375" style="200" customWidth="1"/>
    <col min="7436" max="7437" width="8.7109375" style="200" bestFit="1" customWidth="1"/>
    <col min="7438" max="7438" width="10.7109375" style="200" customWidth="1"/>
    <col min="7439" max="7440" width="8.7109375" style="200" bestFit="1" customWidth="1"/>
    <col min="7441" max="7441" width="10.7109375" style="200" customWidth="1"/>
    <col min="7442" max="7443" width="9.140625" style="200" bestFit="1" customWidth="1"/>
    <col min="7444" max="7444" width="10.7109375" style="200" customWidth="1"/>
    <col min="7445" max="7446" width="7.85546875" style="200" bestFit="1" customWidth="1"/>
    <col min="7447" max="7447" width="9" style="200" bestFit="1" customWidth="1"/>
    <col min="7448" max="7448" width="7.85546875" style="200" bestFit="1" customWidth="1"/>
    <col min="7449" max="7449" width="6.28515625" style="200" bestFit="1" customWidth="1"/>
    <col min="7450" max="7450" width="10.7109375" style="200" customWidth="1"/>
    <col min="7451" max="7679" width="11.42578125" style="200"/>
    <col min="7680" max="7680" width="2" style="200" customWidth="1"/>
    <col min="7681" max="7681" width="20.5703125" style="200" customWidth="1"/>
    <col min="7682" max="7682" width="15" style="200" customWidth="1"/>
    <col min="7683" max="7684" width="9.140625" style="200" bestFit="1" customWidth="1"/>
    <col min="7685" max="7685" width="10.7109375" style="200" customWidth="1"/>
    <col min="7686" max="7687" width="9.140625" style="200" bestFit="1" customWidth="1"/>
    <col min="7688" max="7688" width="10.7109375" style="200" customWidth="1"/>
    <col min="7689" max="7690" width="8.7109375" style="200" bestFit="1" customWidth="1"/>
    <col min="7691" max="7691" width="10.7109375" style="200" customWidth="1"/>
    <col min="7692" max="7693" width="8.7109375" style="200" bestFit="1" customWidth="1"/>
    <col min="7694" max="7694" width="10.7109375" style="200" customWidth="1"/>
    <col min="7695" max="7696" width="8.7109375" style="200" bestFit="1" customWidth="1"/>
    <col min="7697" max="7697" width="10.7109375" style="200" customWidth="1"/>
    <col min="7698" max="7699" width="9.140625" style="200" bestFit="1" customWidth="1"/>
    <col min="7700" max="7700" width="10.7109375" style="200" customWidth="1"/>
    <col min="7701" max="7702" width="7.85546875" style="200" bestFit="1" customWidth="1"/>
    <col min="7703" max="7703" width="9" style="200" bestFit="1" customWidth="1"/>
    <col min="7704" max="7704" width="7.85546875" style="200" bestFit="1" customWidth="1"/>
    <col min="7705" max="7705" width="6.28515625" style="200" bestFit="1" customWidth="1"/>
    <col min="7706" max="7706" width="10.7109375" style="200" customWidth="1"/>
    <col min="7707" max="7935" width="11.42578125" style="200"/>
    <col min="7936" max="7936" width="2" style="200" customWidth="1"/>
    <col min="7937" max="7937" width="20.5703125" style="200" customWidth="1"/>
    <col min="7938" max="7938" width="15" style="200" customWidth="1"/>
    <col min="7939" max="7940" width="9.140625" style="200" bestFit="1" customWidth="1"/>
    <col min="7941" max="7941" width="10.7109375" style="200" customWidth="1"/>
    <col min="7942" max="7943" width="9.140625" style="200" bestFit="1" customWidth="1"/>
    <col min="7944" max="7944" width="10.7109375" style="200" customWidth="1"/>
    <col min="7945" max="7946" width="8.7109375" style="200" bestFit="1" customWidth="1"/>
    <col min="7947" max="7947" width="10.7109375" style="200" customWidth="1"/>
    <col min="7948" max="7949" width="8.7109375" style="200" bestFit="1" customWidth="1"/>
    <col min="7950" max="7950" width="10.7109375" style="200" customWidth="1"/>
    <col min="7951" max="7952" width="8.7109375" style="200" bestFit="1" customWidth="1"/>
    <col min="7953" max="7953" width="10.7109375" style="200" customWidth="1"/>
    <col min="7954" max="7955" width="9.140625" style="200" bestFit="1" customWidth="1"/>
    <col min="7956" max="7956" width="10.7109375" style="200" customWidth="1"/>
    <col min="7957" max="7958" width="7.85546875" style="200" bestFit="1" customWidth="1"/>
    <col min="7959" max="7959" width="9" style="200" bestFit="1" customWidth="1"/>
    <col min="7960" max="7960" width="7.85546875" style="200" bestFit="1" customWidth="1"/>
    <col min="7961" max="7961" width="6.28515625" style="200" bestFit="1" customWidth="1"/>
    <col min="7962" max="7962" width="10.7109375" style="200" customWidth="1"/>
    <col min="7963" max="8191" width="11.42578125" style="200"/>
    <col min="8192" max="8192" width="2" style="200" customWidth="1"/>
    <col min="8193" max="8193" width="20.5703125" style="200" customWidth="1"/>
    <col min="8194" max="8194" width="15" style="200" customWidth="1"/>
    <col min="8195" max="8196" width="9.140625" style="200" bestFit="1" customWidth="1"/>
    <col min="8197" max="8197" width="10.7109375" style="200" customWidth="1"/>
    <col min="8198" max="8199" width="9.140625" style="200" bestFit="1" customWidth="1"/>
    <col min="8200" max="8200" width="10.7109375" style="200" customWidth="1"/>
    <col min="8201" max="8202" width="8.7109375" style="200" bestFit="1" customWidth="1"/>
    <col min="8203" max="8203" width="10.7109375" style="200" customWidth="1"/>
    <col min="8204" max="8205" width="8.7109375" style="200" bestFit="1" customWidth="1"/>
    <col min="8206" max="8206" width="10.7109375" style="200" customWidth="1"/>
    <col min="8207" max="8208" width="8.7109375" style="200" bestFit="1" customWidth="1"/>
    <col min="8209" max="8209" width="10.7109375" style="200" customWidth="1"/>
    <col min="8210" max="8211" width="9.140625" style="200" bestFit="1" customWidth="1"/>
    <col min="8212" max="8212" width="10.7109375" style="200" customWidth="1"/>
    <col min="8213" max="8214" width="7.85546875" style="200" bestFit="1" customWidth="1"/>
    <col min="8215" max="8215" width="9" style="200" bestFit="1" customWidth="1"/>
    <col min="8216" max="8216" width="7.85546875" style="200" bestFit="1" customWidth="1"/>
    <col min="8217" max="8217" width="6.28515625" style="200" bestFit="1" customWidth="1"/>
    <col min="8218" max="8218" width="10.7109375" style="200" customWidth="1"/>
    <col min="8219" max="8447" width="11.42578125" style="200"/>
    <col min="8448" max="8448" width="2" style="200" customWidth="1"/>
    <col min="8449" max="8449" width="20.5703125" style="200" customWidth="1"/>
    <col min="8450" max="8450" width="15" style="200" customWidth="1"/>
    <col min="8451" max="8452" width="9.140625" style="200" bestFit="1" customWidth="1"/>
    <col min="8453" max="8453" width="10.7109375" style="200" customWidth="1"/>
    <col min="8454" max="8455" width="9.140625" style="200" bestFit="1" customWidth="1"/>
    <col min="8456" max="8456" width="10.7109375" style="200" customWidth="1"/>
    <col min="8457" max="8458" width="8.7109375" style="200" bestFit="1" customWidth="1"/>
    <col min="8459" max="8459" width="10.7109375" style="200" customWidth="1"/>
    <col min="8460" max="8461" width="8.7109375" style="200" bestFit="1" customWidth="1"/>
    <col min="8462" max="8462" width="10.7109375" style="200" customWidth="1"/>
    <col min="8463" max="8464" width="8.7109375" style="200" bestFit="1" customWidth="1"/>
    <col min="8465" max="8465" width="10.7109375" style="200" customWidth="1"/>
    <col min="8466" max="8467" width="9.140625" style="200" bestFit="1" customWidth="1"/>
    <col min="8468" max="8468" width="10.7109375" style="200" customWidth="1"/>
    <col min="8469" max="8470" width="7.85546875" style="200" bestFit="1" customWidth="1"/>
    <col min="8471" max="8471" width="9" style="200" bestFit="1" customWidth="1"/>
    <col min="8472" max="8472" width="7.85546875" style="200" bestFit="1" customWidth="1"/>
    <col min="8473" max="8473" width="6.28515625" style="200" bestFit="1" customWidth="1"/>
    <col min="8474" max="8474" width="10.7109375" style="200" customWidth="1"/>
    <col min="8475" max="8703" width="11.42578125" style="200"/>
    <col min="8704" max="8704" width="2" style="200" customWidth="1"/>
    <col min="8705" max="8705" width="20.5703125" style="200" customWidth="1"/>
    <col min="8706" max="8706" width="15" style="200" customWidth="1"/>
    <col min="8707" max="8708" width="9.140625" style="200" bestFit="1" customWidth="1"/>
    <col min="8709" max="8709" width="10.7109375" style="200" customWidth="1"/>
    <col min="8710" max="8711" width="9.140625" style="200" bestFit="1" customWidth="1"/>
    <col min="8712" max="8712" width="10.7109375" style="200" customWidth="1"/>
    <col min="8713" max="8714" width="8.7109375" style="200" bestFit="1" customWidth="1"/>
    <col min="8715" max="8715" width="10.7109375" style="200" customWidth="1"/>
    <col min="8716" max="8717" width="8.7109375" style="200" bestFit="1" customWidth="1"/>
    <col min="8718" max="8718" width="10.7109375" style="200" customWidth="1"/>
    <col min="8719" max="8720" width="8.7109375" style="200" bestFit="1" customWidth="1"/>
    <col min="8721" max="8721" width="10.7109375" style="200" customWidth="1"/>
    <col min="8722" max="8723" width="9.140625" style="200" bestFit="1" customWidth="1"/>
    <col min="8724" max="8724" width="10.7109375" style="200" customWidth="1"/>
    <col min="8725" max="8726" width="7.85546875" style="200" bestFit="1" customWidth="1"/>
    <col min="8727" max="8727" width="9" style="200" bestFit="1" customWidth="1"/>
    <col min="8728" max="8728" width="7.85546875" style="200" bestFit="1" customWidth="1"/>
    <col min="8729" max="8729" width="6.28515625" style="200" bestFit="1" customWidth="1"/>
    <col min="8730" max="8730" width="10.7109375" style="200" customWidth="1"/>
    <col min="8731" max="8959" width="11.42578125" style="200"/>
    <col min="8960" max="8960" width="2" style="200" customWidth="1"/>
    <col min="8961" max="8961" width="20.5703125" style="200" customWidth="1"/>
    <col min="8962" max="8962" width="15" style="200" customWidth="1"/>
    <col min="8963" max="8964" width="9.140625" style="200" bestFit="1" customWidth="1"/>
    <col min="8965" max="8965" width="10.7109375" style="200" customWidth="1"/>
    <col min="8966" max="8967" width="9.140625" style="200" bestFit="1" customWidth="1"/>
    <col min="8968" max="8968" width="10.7109375" style="200" customWidth="1"/>
    <col min="8969" max="8970" width="8.7109375" style="200" bestFit="1" customWidth="1"/>
    <col min="8971" max="8971" width="10.7109375" style="200" customWidth="1"/>
    <col min="8972" max="8973" width="8.7109375" style="200" bestFit="1" customWidth="1"/>
    <col min="8974" max="8974" width="10.7109375" style="200" customWidth="1"/>
    <col min="8975" max="8976" width="8.7109375" style="200" bestFit="1" customWidth="1"/>
    <col min="8977" max="8977" width="10.7109375" style="200" customWidth="1"/>
    <col min="8978" max="8979" width="9.140625" style="200" bestFit="1" customWidth="1"/>
    <col min="8980" max="8980" width="10.7109375" style="200" customWidth="1"/>
    <col min="8981" max="8982" width="7.85546875" style="200" bestFit="1" customWidth="1"/>
    <col min="8983" max="8983" width="9" style="200" bestFit="1" customWidth="1"/>
    <col min="8984" max="8984" width="7.85546875" style="200" bestFit="1" customWidth="1"/>
    <col min="8985" max="8985" width="6.28515625" style="200" bestFit="1" customWidth="1"/>
    <col min="8986" max="8986" width="10.7109375" style="200" customWidth="1"/>
    <col min="8987" max="9215" width="11.42578125" style="200"/>
    <col min="9216" max="9216" width="2" style="200" customWidth="1"/>
    <col min="9217" max="9217" width="20.5703125" style="200" customWidth="1"/>
    <col min="9218" max="9218" width="15" style="200" customWidth="1"/>
    <col min="9219" max="9220" width="9.140625" style="200" bestFit="1" customWidth="1"/>
    <col min="9221" max="9221" width="10.7109375" style="200" customWidth="1"/>
    <col min="9222" max="9223" width="9.140625" style="200" bestFit="1" customWidth="1"/>
    <col min="9224" max="9224" width="10.7109375" style="200" customWidth="1"/>
    <col min="9225" max="9226" width="8.7109375" style="200" bestFit="1" customWidth="1"/>
    <col min="9227" max="9227" width="10.7109375" style="200" customWidth="1"/>
    <col min="9228" max="9229" width="8.7109375" style="200" bestFit="1" customWidth="1"/>
    <col min="9230" max="9230" width="10.7109375" style="200" customWidth="1"/>
    <col min="9231" max="9232" width="8.7109375" style="200" bestFit="1" customWidth="1"/>
    <col min="9233" max="9233" width="10.7109375" style="200" customWidth="1"/>
    <col min="9234" max="9235" width="9.140625" style="200" bestFit="1" customWidth="1"/>
    <col min="9236" max="9236" width="10.7109375" style="200" customWidth="1"/>
    <col min="9237" max="9238" width="7.85546875" style="200" bestFit="1" customWidth="1"/>
    <col min="9239" max="9239" width="9" style="200" bestFit="1" customWidth="1"/>
    <col min="9240" max="9240" width="7.85546875" style="200" bestFit="1" customWidth="1"/>
    <col min="9241" max="9241" width="6.28515625" style="200" bestFit="1" customWidth="1"/>
    <col min="9242" max="9242" width="10.7109375" style="200" customWidth="1"/>
    <col min="9243" max="9471" width="11.42578125" style="200"/>
    <col min="9472" max="9472" width="2" style="200" customWidth="1"/>
    <col min="9473" max="9473" width="20.5703125" style="200" customWidth="1"/>
    <col min="9474" max="9474" width="15" style="200" customWidth="1"/>
    <col min="9475" max="9476" width="9.140625" style="200" bestFit="1" customWidth="1"/>
    <col min="9477" max="9477" width="10.7109375" style="200" customWidth="1"/>
    <col min="9478" max="9479" width="9.140625" style="200" bestFit="1" customWidth="1"/>
    <col min="9480" max="9480" width="10.7109375" style="200" customWidth="1"/>
    <col min="9481" max="9482" width="8.7109375" style="200" bestFit="1" customWidth="1"/>
    <col min="9483" max="9483" width="10.7109375" style="200" customWidth="1"/>
    <col min="9484" max="9485" width="8.7109375" style="200" bestFit="1" customWidth="1"/>
    <col min="9486" max="9486" width="10.7109375" style="200" customWidth="1"/>
    <col min="9487" max="9488" width="8.7109375" style="200" bestFit="1" customWidth="1"/>
    <col min="9489" max="9489" width="10.7109375" style="200" customWidth="1"/>
    <col min="9490" max="9491" width="9.140625" style="200" bestFit="1" customWidth="1"/>
    <col min="9492" max="9492" width="10.7109375" style="200" customWidth="1"/>
    <col min="9493" max="9494" width="7.85546875" style="200" bestFit="1" customWidth="1"/>
    <col min="9495" max="9495" width="9" style="200" bestFit="1" customWidth="1"/>
    <col min="9496" max="9496" width="7.85546875" style="200" bestFit="1" customWidth="1"/>
    <col min="9497" max="9497" width="6.28515625" style="200" bestFit="1" customWidth="1"/>
    <col min="9498" max="9498" width="10.7109375" style="200" customWidth="1"/>
    <col min="9499" max="9727" width="11.42578125" style="200"/>
    <col min="9728" max="9728" width="2" style="200" customWidth="1"/>
    <col min="9729" max="9729" width="20.5703125" style="200" customWidth="1"/>
    <col min="9730" max="9730" width="15" style="200" customWidth="1"/>
    <col min="9731" max="9732" width="9.140625" style="200" bestFit="1" customWidth="1"/>
    <col min="9733" max="9733" width="10.7109375" style="200" customWidth="1"/>
    <col min="9734" max="9735" width="9.140625" style="200" bestFit="1" customWidth="1"/>
    <col min="9736" max="9736" width="10.7109375" style="200" customWidth="1"/>
    <col min="9737" max="9738" width="8.7109375" style="200" bestFit="1" customWidth="1"/>
    <col min="9739" max="9739" width="10.7109375" style="200" customWidth="1"/>
    <col min="9740" max="9741" width="8.7109375" style="200" bestFit="1" customWidth="1"/>
    <col min="9742" max="9742" width="10.7109375" style="200" customWidth="1"/>
    <col min="9743" max="9744" width="8.7109375" style="200" bestFit="1" customWidth="1"/>
    <col min="9745" max="9745" width="10.7109375" style="200" customWidth="1"/>
    <col min="9746" max="9747" width="9.140625" style="200" bestFit="1" customWidth="1"/>
    <col min="9748" max="9748" width="10.7109375" style="200" customWidth="1"/>
    <col min="9749" max="9750" width="7.85546875" style="200" bestFit="1" customWidth="1"/>
    <col min="9751" max="9751" width="9" style="200" bestFit="1" customWidth="1"/>
    <col min="9752" max="9752" width="7.85546875" style="200" bestFit="1" customWidth="1"/>
    <col min="9753" max="9753" width="6.28515625" style="200" bestFit="1" customWidth="1"/>
    <col min="9754" max="9754" width="10.7109375" style="200" customWidth="1"/>
    <col min="9755" max="9983" width="11.42578125" style="200"/>
    <col min="9984" max="9984" width="2" style="200" customWidth="1"/>
    <col min="9985" max="9985" width="20.5703125" style="200" customWidth="1"/>
    <col min="9986" max="9986" width="15" style="200" customWidth="1"/>
    <col min="9987" max="9988" width="9.140625" style="200" bestFit="1" customWidth="1"/>
    <col min="9989" max="9989" width="10.7109375" style="200" customWidth="1"/>
    <col min="9990" max="9991" width="9.140625" style="200" bestFit="1" customWidth="1"/>
    <col min="9992" max="9992" width="10.7109375" style="200" customWidth="1"/>
    <col min="9993" max="9994" width="8.7109375" style="200" bestFit="1" customWidth="1"/>
    <col min="9995" max="9995" width="10.7109375" style="200" customWidth="1"/>
    <col min="9996" max="9997" width="8.7109375" style="200" bestFit="1" customWidth="1"/>
    <col min="9998" max="9998" width="10.7109375" style="200" customWidth="1"/>
    <col min="9999" max="10000" width="8.7109375" style="200" bestFit="1" customWidth="1"/>
    <col min="10001" max="10001" width="10.7109375" style="200" customWidth="1"/>
    <col min="10002" max="10003" width="9.140625" style="200" bestFit="1" customWidth="1"/>
    <col min="10004" max="10004" width="10.7109375" style="200" customWidth="1"/>
    <col min="10005" max="10006" width="7.85546875" style="200" bestFit="1" customWidth="1"/>
    <col min="10007" max="10007" width="9" style="200" bestFit="1" customWidth="1"/>
    <col min="10008" max="10008" width="7.85546875" style="200" bestFit="1" customWidth="1"/>
    <col min="10009" max="10009" width="6.28515625" style="200" bestFit="1" customWidth="1"/>
    <col min="10010" max="10010" width="10.7109375" style="200" customWidth="1"/>
    <col min="10011" max="10239" width="11.42578125" style="200"/>
    <col min="10240" max="10240" width="2" style="200" customWidth="1"/>
    <col min="10241" max="10241" width="20.5703125" style="200" customWidth="1"/>
    <col min="10242" max="10242" width="15" style="200" customWidth="1"/>
    <col min="10243" max="10244" width="9.140625" style="200" bestFit="1" customWidth="1"/>
    <col min="10245" max="10245" width="10.7109375" style="200" customWidth="1"/>
    <col min="10246" max="10247" width="9.140625" style="200" bestFit="1" customWidth="1"/>
    <col min="10248" max="10248" width="10.7109375" style="200" customWidth="1"/>
    <col min="10249" max="10250" width="8.7109375" style="200" bestFit="1" customWidth="1"/>
    <col min="10251" max="10251" width="10.7109375" style="200" customWidth="1"/>
    <col min="10252" max="10253" width="8.7109375" style="200" bestFit="1" customWidth="1"/>
    <col min="10254" max="10254" width="10.7109375" style="200" customWidth="1"/>
    <col min="10255" max="10256" width="8.7109375" style="200" bestFit="1" customWidth="1"/>
    <col min="10257" max="10257" width="10.7109375" style="200" customWidth="1"/>
    <col min="10258" max="10259" width="9.140625" style="200" bestFit="1" customWidth="1"/>
    <col min="10260" max="10260" width="10.7109375" style="200" customWidth="1"/>
    <col min="10261" max="10262" width="7.85546875" style="200" bestFit="1" customWidth="1"/>
    <col min="10263" max="10263" width="9" style="200" bestFit="1" customWidth="1"/>
    <col min="10264" max="10264" width="7.85546875" style="200" bestFit="1" customWidth="1"/>
    <col min="10265" max="10265" width="6.28515625" style="200" bestFit="1" customWidth="1"/>
    <col min="10266" max="10266" width="10.7109375" style="200" customWidth="1"/>
    <col min="10267" max="10495" width="11.42578125" style="200"/>
    <col min="10496" max="10496" width="2" style="200" customWidth="1"/>
    <col min="10497" max="10497" width="20.5703125" style="200" customWidth="1"/>
    <col min="10498" max="10498" width="15" style="200" customWidth="1"/>
    <col min="10499" max="10500" width="9.140625" style="200" bestFit="1" customWidth="1"/>
    <col min="10501" max="10501" width="10.7109375" style="200" customWidth="1"/>
    <col min="10502" max="10503" width="9.140625" style="200" bestFit="1" customWidth="1"/>
    <col min="10504" max="10504" width="10.7109375" style="200" customWidth="1"/>
    <col min="10505" max="10506" width="8.7109375" style="200" bestFit="1" customWidth="1"/>
    <col min="10507" max="10507" width="10.7109375" style="200" customWidth="1"/>
    <col min="10508" max="10509" width="8.7109375" style="200" bestFit="1" customWidth="1"/>
    <col min="10510" max="10510" width="10.7109375" style="200" customWidth="1"/>
    <col min="10511" max="10512" width="8.7109375" style="200" bestFit="1" customWidth="1"/>
    <col min="10513" max="10513" width="10.7109375" style="200" customWidth="1"/>
    <col min="10514" max="10515" width="9.140625" style="200" bestFit="1" customWidth="1"/>
    <col min="10516" max="10516" width="10.7109375" style="200" customWidth="1"/>
    <col min="10517" max="10518" width="7.85546875" style="200" bestFit="1" customWidth="1"/>
    <col min="10519" max="10519" width="9" style="200" bestFit="1" customWidth="1"/>
    <col min="10520" max="10520" width="7.85546875" style="200" bestFit="1" customWidth="1"/>
    <col min="10521" max="10521" width="6.28515625" style="200" bestFit="1" customWidth="1"/>
    <col min="10522" max="10522" width="10.7109375" style="200" customWidth="1"/>
    <col min="10523" max="10751" width="11.42578125" style="200"/>
    <col min="10752" max="10752" width="2" style="200" customWidth="1"/>
    <col min="10753" max="10753" width="20.5703125" style="200" customWidth="1"/>
    <col min="10754" max="10754" width="15" style="200" customWidth="1"/>
    <col min="10755" max="10756" width="9.140625" style="200" bestFit="1" customWidth="1"/>
    <col min="10757" max="10757" width="10.7109375" style="200" customWidth="1"/>
    <col min="10758" max="10759" width="9.140625" style="200" bestFit="1" customWidth="1"/>
    <col min="10760" max="10760" width="10.7109375" style="200" customWidth="1"/>
    <col min="10761" max="10762" width="8.7109375" style="200" bestFit="1" customWidth="1"/>
    <col min="10763" max="10763" width="10.7109375" style="200" customWidth="1"/>
    <col min="10764" max="10765" width="8.7109375" style="200" bestFit="1" customWidth="1"/>
    <col min="10766" max="10766" width="10.7109375" style="200" customWidth="1"/>
    <col min="10767" max="10768" width="8.7109375" style="200" bestFit="1" customWidth="1"/>
    <col min="10769" max="10769" width="10.7109375" style="200" customWidth="1"/>
    <col min="10770" max="10771" width="9.140625" style="200" bestFit="1" customWidth="1"/>
    <col min="10772" max="10772" width="10.7109375" style="200" customWidth="1"/>
    <col min="10773" max="10774" width="7.85546875" style="200" bestFit="1" customWidth="1"/>
    <col min="10775" max="10775" width="9" style="200" bestFit="1" customWidth="1"/>
    <col min="10776" max="10776" width="7.85546875" style="200" bestFit="1" customWidth="1"/>
    <col min="10777" max="10777" width="6.28515625" style="200" bestFit="1" customWidth="1"/>
    <col min="10778" max="10778" width="10.7109375" style="200" customWidth="1"/>
    <col min="10779" max="11007" width="11.42578125" style="200"/>
    <col min="11008" max="11008" width="2" style="200" customWidth="1"/>
    <col min="11009" max="11009" width="20.5703125" style="200" customWidth="1"/>
    <col min="11010" max="11010" width="15" style="200" customWidth="1"/>
    <col min="11011" max="11012" width="9.140625" style="200" bestFit="1" customWidth="1"/>
    <col min="11013" max="11013" width="10.7109375" style="200" customWidth="1"/>
    <col min="11014" max="11015" width="9.140625" style="200" bestFit="1" customWidth="1"/>
    <col min="11016" max="11016" width="10.7109375" style="200" customWidth="1"/>
    <col min="11017" max="11018" width="8.7109375" style="200" bestFit="1" customWidth="1"/>
    <col min="11019" max="11019" width="10.7109375" style="200" customWidth="1"/>
    <col min="11020" max="11021" width="8.7109375" style="200" bestFit="1" customWidth="1"/>
    <col min="11022" max="11022" width="10.7109375" style="200" customWidth="1"/>
    <col min="11023" max="11024" width="8.7109375" style="200" bestFit="1" customWidth="1"/>
    <col min="11025" max="11025" width="10.7109375" style="200" customWidth="1"/>
    <col min="11026" max="11027" width="9.140625" style="200" bestFit="1" customWidth="1"/>
    <col min="11028" max="11028" width="10.7109375" style="200" customWidth="1"/>
    <col min="11029" max="11030" width="7.85546875" style="200" bestFit="1" customWidth="1"/>
    <col min="11031" max="11031" width="9" style="200" bestFit="1" customWidth="1"/>
    <col min="11032" max="11032" width="7.85546875" style="200" bestFit="1" customWidth="1"/>
    <col min="11033" max="11033" width="6.28515625" style="200" bestFit="1" customWidth="1"/>
    <col min="11034" max="11034" width="10.7109375" style="200" customWidth="1"/>
    <col min="11035" max="11263" width="11.42578125" style="200"/>
    <col min="11264" max="11264" width="2" style="200" customWidth="1"/>
    <col min="11265" max="11265" width="20.5703125" style="200" customWidth="1"/>
    <col min="11266" max="11266" width="15" style="200" customWidth="1"/>
    <col min="11267" max="11268" width="9.140625" style="200" bestFit="1" customWidth="1"/>
    <col min="11269" max="11269" width="10.7109375" style="200" customWidth="1"/>
    <col min="11270" max="11271" width="9.140625" style="200" bestFit="1" customWidth="1"/>
    <col min="11272" max="11272" width="10.7109375" style="200" customWidth="1"/>
    <col min="11273" max="11274" width="8.7109375" style="200" bestFit="1" customWidth="1"/>
    <col min="11275" max="11275" width="10.7109375" style="200" customWidth="1"/>
    <col min="11276" max="11277" width="8.7109375" style="200" bestFit="1" customWidth="1"/>
    <col min="11278" max="11278" width="10.7109375" style="200" customWidth="1"/>
    <col min="11279" max="11280" width="8.7109375" style="200" bestFit="1" customWidth="1"/>
    <col min="11281" max="11281" width="10.7109375" style="200" customWidth="1"/>
    <col min="11282" max="11283" width="9.140625" style="200" bestFit="1" customWidth="1"/>
    <col min="11284" max="11284" width="10.7109375" style="200" customWidth="1"/>
    <col min="11285" max="11286" width="7.85546875" style="200" bestFit="1" customWidth="1"/>
    <col min="11287" max="11287" width="9" style="200" bestFit="1" customWidth="1"/>
    <col min="11288" max="11288" width="7.85546875" style="200" bestFit="1" customWidth="1"/>
    <col min="11289" max="11289" width="6.28515625" style="200" bestFit="1" customWidth="1"/>
    <col min="11290" max="11290" width="10.7109375" style="200" customWidth="1"/>
    <col min="11291" max="11519" width="11.42578125" style="200"/>
    <col min="11520" max="11520" width="2" style="200" customWidth="1"/>
    <col min="11521" max="11521" width="20.5703125" style="200" customWidth="1"/>
    <col min="11522" max="11522" width="15" style="200" customWidth="1"/>
    <col min="11523" max="11524" width="9.140625" style="200" bestFit="1" customWidth="1"/>
    <col min="11525" max="11525" width="10.7109375" style="200" customWidth="1"/>
    <col min="11526" max="11527" width="9.140625" style="200" bestFit="1" customWidth="1"/>
    <col min="11528" max="11528" width="10.7109375" style="200" customWidth="1"/>
    <col min="11529" max="11530" width="8.7109375" style="200" bestFit="1" customWidth="1"/>
    <col min="11531" max="11531" width="10.7109375" style="200" customWidth="1"/>
    <col min="11532" max="11533" width="8.7109375" style="200" bestFit="1" customWidth="1"/>
    <col min="11534" max="11534" width="10.7109375" style="200" customWidth="1"/>
    <col min="11535" max="11536" width="8.7109375" style="200" bestFit="1" customWidth="1"/>
    <col min="11537" max="11537" width="10.7109375" style="200" customWidth="1"/>
    <col min="11538" max="11539" width="9.140625" style="200" bestFit="1" customWidth="1"/>
    <col min="11540" max="11540" width="10.7109375" style="200" customWidth="1"/>
    <col min="11541" max="11542" width="7.85546875" style="200" bestFit="1" customWidth="1"/>
    <col min="11543" max="11543" width="9" style="200" bestFit="1" customWidth="1"/>
    <col min="11544" max="11544" width="7.85546875" style="200" bestFit="1" customWidth="1"/>
    <col min="11545" max="11545" width="6.28515625" style="200" bestFit="1" customWidth="1"/>
    <col min="11546" max="11546" width="10.7109375" style="200" customWidth="1"/>
    <col min="11547" max="11775" width="11.42578125" style="200"/>
    <col min="11776" max="11776" width="2" style="200" customWidth="1"/>
    <col min="11777" max="11777" width="20.5703125" style="200" customWidth="1"/>
    <col min="11778" max="11778" width="15" style="200" customWidth="1"/>
    <col min="11779" max="11780" width="9.140625" style="200" bestFit="1" customWidth="1"/>
    <col min="11781" max="11781" width="10.7109375" style="200" customWidth="1"/>
    <col min="11782" max="11783" width="9.140625" style="200" bestFit="1" customWidth="1"/>
    <col min="11784" max="11784" width="10.7109375" style="200" customWidth="1"/>
    <col min="11785" max="11786" width="8.7109375" style="200" bestFit="1" customWidth="1"/>
    <col min="11787" max="11787" width="10.7109375" style="200" customWidth="1"/>
    <col min="11788" max="11789" width="8.7109375" style="200" bestFit="1" customWidth="1"/>
    <col min="11790" max="11790" width="10.7109375" style="200" customWidth="1"/>
    <col min="11791" max="11792" width="8.7109375" style="200" bestFit="1" customWidth="1"/>
    <col min="11793" max="11793" width="10.7109375" style="200" customWidth="1"/>
    <col min="11794" max="11795" width="9.140625" style="200" bestFit="1" customWidth="1"/>
    <col min="11796" max="11796" width="10.7109375" style="200" customWidth="1"/>
    <col min="11797" max="11798" width="7.85546875" style="200" bestFit="1" customWidth="1"/>
    <col min="11799" max="11799" width="9" style="200" bestFit="1" customWidth="1"/>
    <col min="11800" max="11800" width="7.85546875" style="200" bestFit="1" customWidth="1"/>
    <col min="11801" max="11801" width="6.28515625" style="200" bestFit="1" customWidth="1"/>
    <col min="11802" max="11802" width="10.7109375" style="200" customWidth="1"/>
    <col min="11803" max="12031" width="11.42578125" style="200"/>
    <col min="12032" max="12032" width="2" style="200" customWidth="1"/>
    <col min="12033" max="12033" width="20.5703125" style="200" customWidth="1"/>
    <col min="12034" max="12034" width="15" style="200" customWidth="1"/>
    <col min="12035" max="12036" width="9.140625" style="200" bestFit="1" customWidth="1"/>
    <col min="12037" max="12037" width="10.7109375" style="200" customWidth="1"/>
    <col min="12038" max="12039" width="9.140625" style="200" bestFit="1" customWidth="1"/>
    <col min="12040" max="12040" width="10.7109375" style="200" customWidth="1"/>
    <col min="12041" max="12042" width="8.7109375" style="200" bestFit="1" customWidth="1"/>
    <col min="12043" max="12043" width="10.7109375" style="200" customWidth="1"/>
    <col min="12044" max="12045" width="8.7109375" style="200" bestFit="1" customWidth="1"/>
    <col min="12046" max="12046" width="10.7109375" style="200" customWidth="1"/>
    <col min="12047" max="12048" width="8.7109375" style="200" bestFit="1" customWidth="1"/>
    <col min="12049" max="12049" width="10.7109375" style="200" customWidth="1"/>
    <col min="12050" max="12051" width="9.140625" style="200" bestFit="1" customWidth="1"/>
    <col min="12052" max="12052" width="10.7109375" style="200" customWidth="1"/>
    <col min="12053" max="12054" width="7.85546875" style="200" bestFit="1" customWidth="1"/>
    <col min="12055" max="12055" width="9" style="200" bestFit="1" customWidth="1"/>
    <col min="12056" max="12056" width="7.85546875" style="200" bestFit="1" customWidth="1"/>
    <col min="12057" max="12057" width="6.28515625" style="200" bestFit="1" customWidth="1"/>
    <col min="12058" max="12058" width="10.7109375" style="200" customWidth="1"/>
    <col min="12059" max="12287" width="11.42578125" style="200"/>
    <col min="12288" max="12288" width="2" style="200" customWidth="1"/>
    <col min="12289" max="12289" width="20.5703125" style="200" customWidth="1"/>
    <col min="12290" max="12290" width="15" style="200" customWidth="1"/>
    <col min="12291" max="12292" width="9.140625" style="200" bestFit="1" customWidth="1"/>
    <col min="12293" max="12293" width="10.7109375" style="200" customWidth="1"/>
    <col min="12294" max="12295" width="9.140625" style="200" bestFit="1" customWidth="1"/>
    <col min="12296" max="12296" width="10.7109375" style="200" customWidth="1"/>
    <col min="12297" max="12298" width="8.7109375" style="200" bestFit="1" customWidth="1"/>
    <col min="12299" max="12299" width="10.7109375" style="200" customWidth="1"/>
    <col min="12300" max="12301" width="8.7109375" style="200" bestFit="1" customWidth="1"/>
    <col min="12302" max="12302" width="10.7109375" style="200" customWidth="1"/>
    <col min="12303" max="12304" width="8.7109375" style="200" bestFit="1" customWidth="1"/>
    <col min="12305" max="12305" width="10.7109375" style="200" customWidth="1"/>
    <col min="12306" max="12307" width="9.140625" style="200" bestFit="1" customWidth="1"/>
    <col min="12308" max="12308" width="10.7109375" style="200" customWidth="1"/>
    <col min="12309" max="12310" width="7.85546875" style="200" bestFit="1" customWidth="1"/>
    <col min="12311" max="12311" width="9" style="200" bestFit="1" customWidth="1"/>
    <col min="12312" max="12312" width="7.85546875" style="200" bestFit="1" customWidth="1"/>
    <col min="12313" max="12313" width="6.28515625" style="200" bestFit="1" customWidth="1"/>
    <col min="12314" max="12314" width="10.7109375" style="200" customWidth="1"/>
    <col min="12315" max="12543" width="11.42578125" style="200"/>
    <col min="12544" max="12544" width="2" style="200" customWidth="1"/>
    <col min="12545" max="12545" width="20.5703125" style="200" customWidth="1"/>
    <col min="12546" max="12546" width="15" style="200" customWidth="1"/>
    <col min="12547" max="12548" width="9.140625" style="200" bestFit="1" customWidth="1"/>
    <col min="12549" max="12549" width="10.7109375" style="200" customWidth="1"/>
    <col min="12550" max="12551" width="9.140625" style="200" bestFit="1" customWidth="1"/>
    <col min="12552" max="12552" width="10.7109375" style="200" customWidth="1"/>
    <col min="12553" max="12554" width="8.7109375" style="200" bestFit="1" customWidth="1"/>
    <col min="12555" max="12555" width="10.7109375" style="200" customWidth="1"/>
    <col min="12556" max="12557" width="8.7109375" style="200" bestFit="1" customWidth="1"/>
    <col min="12558" max="12558" width="10.7109375" style="200" customWidth="1"/>
    <col min="12559" max="12560" width="8.7109375" style="200" bestFit="1" customWidth="1"/>
    <col min="12561" max="12561" width="10.7109375" style="200" customWidth="1"/>
    <col min="12562" max="12563" width="9.140625" style="200" bestFit="1" customWidth="1"/>
    <col min="12564" max="12564" width="10.7109375" style="200" customWidth="1"/>
    <col min="12565" max="12566" width="7.85546875" style="200" bestFit="1" customWidth="1"/>
    <col min="12567" max="12567" width="9" style="200" bestFit="1" customWidth="1"/>
    <col min="12568" max="12568" width="7.85546875" style="200" bestFit="1" customWidth="1"/>
    <col min="12569" max="12569" width="6.28515625" style="200" bestFit="1" customWidth="1"/>
    <col min="12570" max="12570" width="10.7109375" style="200" customWidth="1"/>
    <col min="12571" max="12799" width="11.42578125" style="200"/>
    <col min="12800" max="12800" width="2" style="200" customWidth="1"/>
    <col min="12801" max="12801" width="20.5703125" style="200" customWidth="1"/>
    <col min="12802" max="12802" width="15" style="200" customWidth="1"/>
    <col min="12803" max="12804" width="9.140625" style="200" bestFit="1" customWidth="1"/>
    <col min="12805" max="12805" width="10.7109375" style="200" customWidth="1"/>
    <col min="12806" max="12807" width="9.140625" style="200" bestFit="1" customWidth="1"/>
    <col min="12808" max="12808" width="10.7109375" style="200" customWidth="1"/>
    <col min="12809" max="12810" width="8.7109375" style="200" bestFit="1" customWidth="1"/>
    <col min="12811" max="12811" width="10.7109375" style="200" customWidth="1"/>
    <col min="12812" max="12813" width="8.7109375" style="200" bestFit="1" customWidth="1"/>
    <col min="12814" max="12814" width="10.7109375" style="200" customWidth="1"/>
    <col min="12815" max="12816" width="8.7109375" style="200" bestFit="1" customWidth="1"/>
    <col min="12817" max="12817" width="10.7109375" style="200" customWidth="1"/>
    <col min="12818" max="12819" width="9.140625" style="200" bestFit="1" customWidth="1"/>
    <col min="12820" max="12820" width="10.7109375" style="200" customWidth="1"/>
    <col min="12821" max="12822" width="7.85546875" style="200" bestFit="1" customWidth="1"/>
    <col min="12823" max="12823" width="9" style="200" bestFit="1" customWidth="1"/>
    <col min="12824" max="12824" width="7.85546875" style="200" bestFit="1" customWidth="1"/>
    <col min="12825" max="12825" width="6.28515625" style="200" bestFit="1" customWidth="1"/>
    <col min="12826" max="12826" width="10.7109375" style="200" customWidth="1"/>
    <col min="12827" max="13055" width="11.42578125" style="200"/>
    <col min="13056" max="13056" width="2" style="200" customWidth="1"/>
    <col min="13057" max="13057" width="20.5703125" style="200" customWidth="1"/>
    <col min="13058" max="13058" width="15" style="200" customWidth="1"/>
    <col min="13059" max="13060" width="9.140625" style="200" bestFit="1" customWidth="1"/>
    <col min="13061" max="13061" width="10.7109375" style="200" customWidth="1"/>
    <col min="13062" max="13063" width="9.140625" style="200" bestFit="1" customWidth="1"/>
    <col min="13064" max="13064" width="10.7109375" style="200" customWidth="1"/>
    <col min="13065" max="13066" width="8.7109375" style="200" bestFit="1" customWidth="1"/>
    <col min="13067" max="13067" width="10.7109375" style="200" customWidth="1"/>
    <col min="13068" max="13069" width="8.7109375" style="200" bestFit="1" customWidth="1"/>
    <col min="13070" max="13070" width="10.7109375" style="200" customWidth="1"/>
    <col min="13071" max="13072" width="8.7109375" style="200" bestFit="1" customWidth="1"/>
    <col min="13073" max="13073" width="10.7109375" style="200" customWidth="1"/>
    <col min="13074" max="13075" width="9.140625" style="200" bestFit="1" customWidth="1"/>
    <col min="13076" max="13076" width="10.7109375" style="200" customWidth="1"/>
    <col min="13077" max="13078" width="7.85546875" style="200" bestFit="1" customWidth="1"/>
    <col min="13079" max="13079" width="9" style="200" bestFit="1" customWidth="1"/>
    <col min="13080" max="13080" width="7.85546875" style="200" bestFit="1" customWidth="1"/>
    <col min="13081" max="13081" width="6.28515625" style="200" bestFit="1" customWidth="1"/>
    <col min="13082" max="13082" width="10.7109375" style="200" customWidth="1"/>
    <col min="13083" max="13311" width="11.42578125" style="200"/>
    <col min="13312" max="13312" width="2" style="200" customWidth="1"/>
    <col min="13313" max="13313" width="20.5703125" style="200" customWidth="1"/>
    <col min="13314" max="13314" width="15" style="200" customWidth="1"/>
    <col min="13315" max="13316" width="9.140625" style="200" bestFit="1" customWidth="1"/>
    <col min="13317" max="13317" width="10.7109375" style="200" customWidth="1"/>
    <col min="13318" max="13319" width="9.140625" style="200" bestFit="1" customWidth="1"/>
    <col min="13320" max="13320" width="10.7109375" style="200" customWidth="1"/>
    <col min="13321" max="13322" width="8.7109375" style="200" bestFit="1" customWidth="1"/>
    <col min="13323" max="13323" width="10.7109375" style="200" customWidth="1"/>
    <col min="13324" max="13325" width="8.7109375" style="200" bestFit="1" customWidth="1"/>
    <col min="13326" max="13326" width="10.7109375" style="200" customWidth="1"/>
    <col min="13327" max="13328" width="8.7109375" style="200" bestFit="1" customWidth="1"/>
    <col min="13329" max="13329" width="10.7109375" style="200" customWidth="1"/>
    <col min="13330" max="13331" width="9.140625" style="200" bestFit="1" customWidth="1"/>
    <col min="13332" max="13332" width="10.7109375" style="200" customWidth="1"/>
    <col min="13333" max="13334" width="7.85546875" style="200" bestFit="1" customWidth="1"/>
    <col min="13335" max="13335" width="9" style="200" bestFit="1" customWidth="1"/>
    <col min="13336" max="13336" width="7.85546875" style="200" bestFit="1" customWidth="1"/>
    <col min="13337" max="13337" width="6.28515625" style="200" bestFit="1" customWidth="1"/>
    <col min="13338" max="13338" width="10.7109375" style="200" customWidth="1"/>
    <col min="13339" max="13567" width="11.42578125" style="200"/>
    <col min="13568" max="13568" width="2" style="200" customWidth="1"/>
    <col min="13569" max="13569" width="20.5703125" style="200" customWidth="1"/>
    <col min="13570" max="13570" width="15" style="200" customWidth="1"/>
    <col min="13571" max="13572" width="9.140625" style="200" bestFit="1" customWidth="1"/>
    <col min="13573" max="13573" width="10.7109375" style="200" customWidth="1"/>
    <col min="13574" max="13575" width="9.140625" style="200" bestFit="1" customWidth="1"/>
    <col min="13576" max="13576" width="10.7109375" style="200" customWidth="1"/>
    <col min="13577" max="13578" width="8.7109375" style="200" bestFit="1" customWidth="1"/>
    <col min="13579" max="13579" width="10.7109375" style="200" customWidth="1"/>
    <col min="13580" max="13581" width="8.7109375" style="200" bestFit="1" customWidth="1"/>
    <col min="13582" max="13582" width="10.7109375" style="200" customWidth="1"/>
    <col min="13583" max="13584" width="8.7109375" style="200" bestFit="1" customWidth="1"/>
    <col min="13585" max="13585" width="10.7109375" style="200" customWidth="1"/>
    <col min="13586" max="13587" width="9.140625" style="200" bestFit="1" customWidth="1"/>
    <col min="13588" max="13588" width="10.7109375" style="200" customWidth="1"/>
    <col min="13589" max="13590" width="7.85546875" style="200" bestFit="1" customWidth="1"/>
    <col min="13591" max="13591" width="9" style="200" bestFit="1" customWidth="1"/>
    <col min="13592" max="13592" width="7.85546875" style="200" bestFit="1" customWidth="1"/>
    <col min="13593" max="13593" width="6.28515625" style="200" bestFit="1" customWidth="1"/>
    <col min="13594" max="13594" width="10.7109375" style="200" customWidth="1"/>
    <col min="13595" max="13823" width="11.42578125" style="200"/>
    <col min="13824" max="13824" width="2" style="200" customWidth="1"/>
    <col min="13825" max="13825" width="20.5703125" style="200" customWidth="1"/>
    <col min="13826" max="13826" width="15" style="200" customWidth="1"/>
    <col min="13827" max="13828" width="9.140625" style="200" bestFit="1" customWidth="1"/>
    <col min="13829" max="13829" width="10.7109375" style="200" customWidth="1"/>
    <col min="13830" max="13831" width="9.140625" style="200" bestFit="1" customWidth="1"/>
    <col min="13832" max="13832" width="10.7109375" style="200" customWidth="1"/>
    <col min="13833" max="13834" width="8.7109375" style="200" bestFit="1" customWidth="1"/>
    <col min="13835" max="13835" width="10.7109375" style="200" customWidth="1"/>
    <col min="13836" max="13837" width="8.7109375" style="200" bestFit="1" customWidth="1"/>
    <col min="13838" max="13838" width="10.7109375" style="200" customWidth="1"/>
    <col min="13839" max="13840" width="8.7109375" style="200" bestFit="1" customWidth="1"/>
    <col min="13841" max="13841" width="10.7109375" style="200" customWidth="1"/>
    <col min="13842" max="13843" width="9.140625" style="200" bestFit="1" customWidth="1"/>
    <col min="13844" max="13844" width="10.7109375" style="200" customWidth="1"/>
    <col min="13845" max="13846" width="7.85546875" style="200" bestFit="1" customWidth="1"/>
    <col min="13847" max="13847" width="9" style="200" bestFit="1" customWidth="1"/>
    <col min="13848" max="13848" width="7.85546875" style="200" bestFit="1" customWidth="1"/>
    <col min="13849" max="13849" width="6.28515625" style="200" bestFit="1" customWidth="1"/>
    <col min="13850" max="13850" width="10.7109375" style="200" customWidth="1"/>
    <col min="13851" max="14079" width="11.42578125" style="200"/>
    <col min="14080" max="14080" width="2" style="200" customWidth="1"/>
    <col min="14081" max="14081" width="20.5703125" style="200" customWidth="1"/>
    <col min="14082" max="14082" width="15" style="200" customWidth="1"/>
    <col min="14083" max="14084" width="9.140625" style="200" bestFit="1" customWidth="1"/>
    <col min="14085" max="14085" width="10.7109375" style="200" customWidth="1"/>
    <col min="14086" max="14087" width="9.140625" style="200" bestFit="1" customWidth="1"/>
    <col min="14088" max="14088" width="10.7109375" style="200" customWidth="1"/>
    <col min="14089" max="14090" width="8.7109375" style="200" bestFit="1" customWidth="1"/>
    <col min="14091" max="14091" width="10.7109375" style="200" customWidth="1"/>
    <col min="14092" max="14093" width="8.7109375" style="200" bestFit="1" customWidth="1"/>
    <col min="14094" max="14094" width="10.7109375" style="200" customWidth="1"/>
    <col min="14095" max="14096" width="8.7109375" style="200" bestFit="1" customWidth="1"/>
    <col min="14097" max="14097" width="10.7109375" style="200" customWidth="1"/>
    <col min="14098" max="14099" width="9.140625" style="200" bestFit="1" customWidth="1"/>
    <col min="14100" max="14100" width="10.7109375" style="200" customWidth="1"/>
    <col min="14101" max="14102" width="7.85546875" style="200" bestFit="1" customWidth="1"/>
    <col min="14103" max="14103" width="9" style="200" bestFit="1" customWidth="1"/>
    <col min="14104" max="14104" width="7.85546875" style="200" bestFit="1" customWidth="1"/>
    <col min="14105" max="14105" width="6.28515625" style="200" bestFit="1" customWidth="1"/>
    <col min="14106" max="14106" width="10.7109375" style="200" customWidth="1"/>
    <col min="14107" max="14335" width="11.42578125" style="200"/>
    <col min="14336" max="14336" width="2" style="200" customWidth="1"/>
    <col min="14337" max="14337" width="20.5703125" style="200" customWidth="1"/>
    <col min="14338" max="14338" width="15" style="200" customWidth="1"/>
    <col min="14339" max="14340" width="9.140625" style="200" bestFit="1" customWidth="1"/>
    <col min="14341" max="14341" width="10.7109375" style="200" customWidth="1"/>
    <col min="14342" max="14343" width="9.140625" style="200" bestFit="1" customWidth="1"/>
    <col min="14344" max="14344" width="10.7109375" style="200" customWidth="1"/>
    <col min="14345" max="14346" width="8.7109375" style="200" bestFit="1" customWidth="1"/>
    <col min="14347" max="14347" width="10.7109375" style="200" customWidth="1"/>
    <col min="14348" max="14349" width="8.7109375" style="200" bestFit="1" customWidth="1"/>
    <col min="14350" max="14350" width="10.7109375" style="200" customWidth="1"/>
    <col min="14351" max="14352" width="8.7109375" style="200" bestFit="1" customWidth="1"/>
    <col min="14353" max="14353" width="10.7109375" style="200" customWidth="1"/>
    <col min="14354" max="14355" width="9.140625" style="200" bestFit="1" customWidth="1"/>
    <col min="14356" max="14356" width="10.7109375" style="200" customWidth="1"/>
    <col min="14357" max="14358" width="7.85546875" style="200" bestFit="1" customWidth="1"/>
    <col min="14359" max="14359" width="9" style="200" bestFit="1" customWidth="1"/>
    <col min="14360" max="14360" width="7.85546875" style="200" bestFit="1" customWidth="1"/>
    <col min="14361" max="14361" width="6.28515625" style="200" bestFit="1" customWidth="1"/>
    <col min="14362" max="14362" width="10.7109375" style="200" customWidth="1"/>
    <col min="14363" max="14591" width="11.42578125" style="200"/>
    <col min="14592" max="14592" width="2" style="200" customWidth="1"/>
    <col min="14593" max="14593" width="20.5703125" style="200" customWidth="1"/>
    <col min="14594" max="14594" width="15" style="200" customWidth="1"/>
    <col min="14595" max="14596" width="9.140625" style="200" bestFit="1" customWidth="1"/>
    <col min="14597" max="14597" width="10.7109375" style="200" customWidth="1"/>
    <col min="14598" max="14599" width="9.140625" style="200" bestFit="1" customWidth="1"/>
    <col min="14600" max="14600" width="10.7109375" style="200" customWidth="1"/>
    <col min="14601" max="14602" width="8.7109375" style="200" bestFit="1" customWidth="1"/>
    <col min="14603" max="14603" width="10.7109375" style="200" customWidth="1"/>
    <col min="14604" max="14605" width="8.7109375" style="200" bestFit="1" customWidth="1"/>
    <col min="14606" max="14606" width="10.7109375" style="200" customWidth="1"/>
    <col min="14607" max="14608" width="8.7109375" style="200" bestFit="1" customWidth="1"/>
    <col min="14609" max="14609" width="10.7109375" style="200" customWidth="1"/>
    <col min="14610" max="14611" width="9.140625" style="200" bestFit="1" customWidth="1"/>
    <col min="14612" max="14612" width="10.7109375" style="200" customWidth="1"/>
    <col min="14613" max="14614" width="7.85546875" style="200" bestFit="1" customWidth="1"/>
    <col min="14615" max="14615" width="9" style="200" bestFit="1" customWidth="1"/>
    <col min="14616" max="14616" width="7.85546875" style="200" bestFit="1" customWidth="1"/>
    <col min="14617" max="14617" width="6.28515625" style="200" bestFit="1" customWidth="1"/>
    <col min="14618" max="14618" width="10.7109375" style="200" customWidth="1"/>
    <col min="14619" max="14847" width="11.42578125" style="200"/>
    <col min="14848" max="14848" width="2" style="200" customWidth="1"/>
    <col min="14849" max="14849" width="20.5703125" style="200" customWidth="1"/>
    <col min="14850" max="14850" width="15" style="200" customWidth="1"/>
    <col min="14851" max="14852" width="9.140625" style="200" bestFit="1" customWidth="1"/>
    <col min="14853" max="14853" width="10.7109375" style="200" customWidth="1"/>
    <col min="14854" max="14855" width="9.140625" style="200" bestFit="1" customWidth="1"/>
    <col min="14856" max="14856" width="10.7109375" style="200" customWidth="1"/>
    <col min="14857" max="14858" width="8.7109375" style="200" bestFit="1" customWidth="1"/>
    <col min="14859" max="14859" width="10.7109375" style="200" customWidth="1"/>
    <col min="14860" max="14861" width="8.7109375" style="200" bestFit="1" customWidth="1"/>
    <col min="14862" max="14862" width="10.7109375" style="200" customWidth="1"/>
    <col min="14863" max="14864" width="8.7109375" style="200" bestFit="1" customWidth="1"/>
    <col min="14865" max="14865" width="10.7109375" style="200" customWidth="1"/>
    <col min="14866" max="14867" width="9.140625" style="200" bestFit="1" customWidth="1"/>
    <col min="14868" max="14868" width="10.7109375" style="200" customWidth="1"/>
    <col min="14869" max="14870" width="7.85546875" style="200" bestFit="1" customWidth="1"/>
    <col min="14871" max="14871" width="9" style="200" bestFit="1" customWidth="1"/>
    <col min="14872" max="14872" width="7.85546875" style="200" bestFit="1" customWidth="1"/>
    <col min="14873" max="14873" width="6.28515625" style="200" bestFit="1" customWidth="1"/>
    <col min="14874" max="14874" width="10.7109375" style="200" customWidth="1"/>
    <col min="14875" max="15103" width="11.42578125" style="200"/>
    <col min="15104" max="15104" width="2" style="200" customWidth="1"/>
    <col min="15105" max="15105" width="20.5703125" style="200" customWidth="1"/>
    <col min="15106" max="15106" width="15" style="200" customWidth="1"/>
    <col min="15107" max="15108" width="9.140625" style="200" bestFit="1" customWidth="1"/>
    <col min="15109" max="15109" width="10.7109375" style="200" customWidth="1"/>
    <col min="15110" max="15111" width="9.140625" style="200" bestFit="1" customWidth="1"/>
    <col min="15112" max="15112" width="10.7109375" style="200" customWidth="1"/>
    <col min="15113" max="15114" width="8.7109375" style="200" bestFit="1" customWidth="1"/>
    <col min="15115" max="15115" width="10.7109375" style="200" customWidth="1"/>
    <col min="15116" max="15117" width="8.7109375" style="200" bestFit="1" customWidth="1"/>
    <col min="15118" max="15118" width="10.7109375" style="200" customWidth="1"/>
    <col min="15119" max="15120" width="8.7109375" style="200" bestFit="1" customWidth="1"/>
    <col min="15121" max="15121" width="10.7109375" style="200" customWidth="1"/>
    <col min="15122" max="15123" width="9.140625" style="200" bestFit="1" customWidth="1"/>
    <col min="15124" max="15124" width="10.7109375" style="200" customWidth="1"/>
    <col min="15125" max="15126" width="7.85546875" style="200" bestFit="1" customWidth="1"/>
    <col min="15127" max="15127" width="9" style="200" bestFit="1" customWidth="1"/>
    <col min="15128" max="15128" width="7.85546875" style="200" bestFit="1" customWidth="1"/>
    <col min="15129" max="15129" width="6.28515625" style="200" bestFit="1" customWidth="1"/>
    <col min="15130" max="15130" width="10.7109375" style="200" customWidth="1"/>
    <col min="15131" max="15359" width="11.42578125" style="200"/>
    <col min="15360" max="15360" width="2" style="200" customWidth="1"/>
    <col min="15361" max="15361" width="20.5703125" style="200" customWidth="1"/>
    <col min="15362" max="15362" width="15" style="200" customWidth="1"/>
    <col min="15363" max="15364" width="9.140625" style="200" bestFit="1" customWidth="1"/>
    <col min="15365" max="15365" width="10.7109375" style="200" customWidth="1"/>
    <col min="15366" max="15367" width="9.140625" style="200" bestFit="1" customWidth="1"/>
    <col min="15368" max="15368" width="10.7109375" style="200" customWidth="1"/>
    <col min="15369" max="15370" width="8.7109375" style="200" bestFit="1" customWidth="1"/>
    <col min="15371" max="15371" width="10.7109375" style="200" customWidth="1"/>
    <col min="15372" max="15373" width="8.7109375" style="200" bestFit="1" customWidth="1"/>
    <col min="15374" max="15374" width="10.7109375" style="200" customWidth="1"/>
    <col min="15375" max="15376" width="8.7109375" style="200" bestFit="1" customWidth="1"/>
    <col min="15377" max="15377" width="10.7109375" style="200" customWidth="1"/>
    <col min="15378" max="15379" width="9.140625" style="200" bestFit="1" customWidth="1"/>
    <col min="15380" max="15380" width="10.7109375" style="200" customWidth="1"/>
    <col min="15381" max="15382" width="7.85546875" style="200" bestFit="1" customWidth="1"/>
    <col min="15383" max="15383" width="9" style="200" bestFit="1" customWidth="1"/>
    <col min="15384" max="15384" width="7.85546875" style="200" bestFit="1" customWidth="1"/>
    <col min="15385" max="15385" width="6.28515625" style="200" bestFit="1" customWidth="1"/>
    <col min="15386" max="15386" width="10.7109375" style="200" customWidth="1"/>
    <col min="15387" max="15615" width="11.42578125" style="200"/>
    <col min="15616" max="15616" width="2" style="200" customWidth="1"/>
    <col min="15617" max="15617" width="20.5703125" style="200" customWidth="1"/>
    <col min="15618" max="15618" width="15" style="200" customWidth="1"/>
    <col min="15619" max="15620" width="9.140625" style="200" bestFit="1" customWidth="1"/>
    <col min="15621" max="15621" width="10.7109375" style="200" customWidth="1"/>
    <col min="15622" max="15623" width="9.140625" style="200" bestFit="1" customWidth="1"/>
    <col min="15624" max="15624" width="10.7109375" style="200" customWidth="1"/>
    <col min="15625" max="15626" width="8.7109375" style="200" bestFit="1" customWidth="1"/>
    <col min="15627" max="15627" width="10.7109375" style="200" customWidth="1"/>
    <col min="15628" max="15629" width="8.7109375" style="200" bestFit="1" customWidth="1"/>
    <col min="15630" max="15630" width="10.7109375" style="200" customWidth="1"/>
    <col min="15631" max="15632" width="8.7109375" style="200" bestFit="1" customWidth="1"/>
    <col min="15633" max="15633" width="10.7109375" style="200" customWidth="1"/>
    <col min="15634" max="15635" width="9.140625" style="200" bestFit="1" customWidth="1"/>
    <col min="15636" max="15636" width="10.7109375" style="200" customWidth="1"/>
    <col min="15637" max="15638" width="7.85546875" style="200" bestFit="1" customWidth="1"/>
    <col min="15639" max="15639" width="9" style="200" bestFit="1" customWidth="1"/>
    <col min="15640" max="15640" width="7.85546875" style="200" bestFit="1" customWidth="1"/>
    <col min="15641" max="15641" width="6.28515625" style="200" bestFit="1" customWidth="1"/>
    <col min="15642" max="15642" width="10.7109375" style="200" customWidth="1"/>
    <col min="15643" max="15871" width="11.42578125" style="200"/>
    <col min="15872" max="15872" width="2" style="200" customWidth="1"/>
    <col min="15873" max="15873" width="20.5703125" style="200" customWidth="1"/>
    <col min="15874" max="15874" width="15" style="200" customWidth="1"/>
    <col min="15875" max="15876" width="9.140625" style="200" bestFit="1" customWidth="1"/>
    <col min="15877" max="15877" width="10.7109375" style="200" customWidth="1"/>
    <col min="15878" max="15879" width="9.140625" style="200" bestFit="1" customWidth="1"/>
    <col min="15880" max="15880" width="10.7109375" style="200" customWidth="1"/>
    <col min="15881" max="15882" width="8.7109375" style="200" bestFit="1" customWidth="1"/>
    <col min="15883" max="15883" width="10.7109375" style="200" customWidth="1"/>
    <col min="15884" max="15885" width="8.7109375" style="200" bestFit="1" customWidth="1"/>
    <col min="15886" max="15886" width="10.7109375" style="200" customWidth="1"/>
    <col min="15887" max="15888" width="8.7109375" style="200" bestFit="1" customWidth="1"/>
    <col min="15889" max="15889" width="10.7109375" style="200" customWidth="1"/>
    <col min="15890" max="15891" width="9.140625" style="200" bestFit="1" customWidth="1"/>
    <col min="15892" max="15892" width="10.7109375" style="200" customWidth="1"/>
    <col min="15893" max="15894" width="7.85546875" style="200" bestFit="1" customWidth="1"/>
    <col min="15895" max="15895" width="9" style="200" bestFit="1" customWidth="1"/>
    <col min="15896" max="15896" width="7.85546875" style="200" bestFit="1" customWidth="1"/>
    <col min="15897" max="15897" width="6.28515625" style="200" bestFit="1" customWidth="1"/>
    <col min="15898" max="15898" width="10.7109375" style="200" customWidth="1"/>
    <col min="15899" max="16127" width="11.42578125" style="200"/>
    <col min="16128" max="16128" width="2" style="200" customWidth="1"/>
    <col min="16129" max="16129" width="20.5703125" style="200" customWidth="1"/>
    <col min="16130" max="16130" width="15" style="200" customWidth="1"/>
    <col min="16131" max="16132" width="9.140625" style="200" bestFit="1" customWidth="1"/>
    <col min="16133" max="16133" width="10.7109375" style="200" customWidth="1"/>
    <col min="16134" max="16135" width="9.140625" style="200" bestFit="1" customWidth="1"/>
    <col min="16136" max="16136" width="10.7109375" style="200" customWidth="1"/>
    <col min="16137" max="16138" width="8.7109375" style="200" bestFit="1" customWidth="1"/>
    <col min="16139" max="16139" width="10.7109375" style="200" customWidth="1"/>
    <col min="16140" max="16141" width="8.7109375" style="200" bestFit="1" customWidth="1"/>
    <col min="16142" max="16142" width="10.7109375" style="200" customWidth="1"/>
    <col min="16143" max="16144" width="8.7109375" style="200" bestFit="1" customWidth="1"/>
    <col min="16145" max="16145" width="10.7109375" style="200" customWidth="1"/>
    <col min="16146" max="16147" width="9.140625" style="200" bestFit="1" customWidth="1"/>
    <col min="16148" max="16148" width="10.7109375" style="200" customWidth="1"/>
    <col min="16149" max="16150" width="7.85546875" style="200" bestFit="1" customWidth="1"/>
    <col min="16151" max="16151" width="9" style="200" bestFit="1" customWidth="1"/>
    <col min="16152" max="16152" width="7.85546875" style="200" bestFit="1" customWidth="1"/>
    <col min="16153" max="16153" width="6.28515625" style="200" bestFit="1" customWidth="1"/>
    <col min="16154" max="16154" width="10.7109375" style="200" customWidth="1"/>
    <col min="16155" max="16384" width="11.42578125" style="200"/>
  </cols>
  <sheetData>
    <row r="1" spans="1:47" s="186" customFormat="1" ht="82.5" customHeight="1" x14ac:dyDescent="0.2">
      <c r="A1" s="5761" t="s">
        <v>1220</v>
      </c>
      <c r="B1" s="576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1"/>
      <c r="Z1" s="201"/>
    </row>
    <row r="2" spans="1:47" s="186" customFormat="1" ht="15.75" x14ac:dyDescent="0.2">
      <c r="A2" s="201"/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  <c r="N2" s="201"/>
      <c r="O2" s="201"/>
      <c r="P2" s="201"/>
      <c r="Q2" s="201"/>
      <c r="R2" s="201"/>
      <c r="S2" s="201"/>
      <c r="T2" s="201"/>
      <c r="U2" s="201"/>
      <c r="V2" s="201"/>
      <c r="W2" s="201"/>
      <c r="X2" s="201"/>
      <c r="Y2" s="201"/>
      <c r="Z2" s="201"/>
    </row>
    <row r="3" spans="1:47" s="186" customFormat="1" x14ac:dyDescent="0.2">
      <c r="A3" s="5723" t="s">
        <v>16</v>
      </c>
      <c r="B3" s="5723" t="s">
        <v>4</v>
      </c>
      <c r="C3" s="5641">
        <v>2003</v>
      </c>
      <c r="D3" s="5642"/>
      <c r="E3" s="5643"/>
      <c r="F3" s="5641">
        <v>2004</v>
      </c>
      <c r="G3" s="5642"/>
      <c r="H3" s="5643"/>
      <c r="I3" s="5641">
        <v>2005</v>
      </c>
      <c r="J3" s="5642"/>
      <c r="K3" s="5643"/>
      <c r="L3" s="5641">
        <v>2006</v>
      </c>
      <c r="M3" s="5642"/>
      <c r="N3" s="5643"/>
      <c r="O3" s="5641">
        <v>2007</v>
      </c>
      <c r="P3" s="5642"/>
      <c r="Q3" s="5643"/>
      <c r="R3" s="5641">
        <v>2008</v>
      </c>
      <c r="S3" s="5642"/>
      <c r="T3" s="5643"/>
      <c r="U3" s="5641">
        <v>2009</v>
      </c>
      <c r="V3" s="5642"/>
      <c r="W3" s="5643"/>
      <c r="X3" s="5641">
        <v>2010</v>
      </c>
      <c r="Y3" s="5642"/>
      <c r="Z3" s="5643"/>
      <c r="AA3" s="5641">
        <v>2011</v>
      </c>
      <c r="AB3" s="5642"/>
      <c r="AC3" s="5643"/>
      <c r="AD3" s="5641">
        <v>2012</v>
      </c>
      <c r="AE3" s="5642"/>
      <c r="AF3" s="5643"/>
      <c r="AG3" s="5641">
        <v>2013</v>
      </c>
      <c r="AH3" s="5642"/>
      <c r="AI3" s="5643"/>
      <c r="AJ3" s="5641">
        <v>2014</v>
      </c>
      <c r="AK3" s="5642"/>
      <c r="AL3" s="5643"/>
      <c r="AM3" s="5641">
        <v>2015</v>
      </c>
      <c r="AN3" s="5642"/>
      <c r="AO3" s="5643"/>
      <c r="AP3" s="5641">
        <v>2016</v>
      </c>
      <c r="AQ3" s="5642"/>
      <c r="AR3" s="5643"/>
      <c r="AS3" s="5641">
        <v>2017</v>
      </c>
      <c r="AT3" s="5642"/>
      <c r="AU3" s="5643"/>
    </row>
    <row r="4" spans="1:47" s="189" customFormat="1" ht="15.75" x14ac:dyDescent="0.2">
      <c r="A4" s="5723"/>
      <c r="B4" s="5723"/>
      <c r="C4" s="557" t="s">
        <v>651</v>
      </c>
      <c r="D4" s="558" t="s">
        <v>652</v>
      </c>
      <c r="E4" s="996" t="s">
        <v>160</v>
      </c>
      <c r="F4" s="557" t="s">
        <v>651</v>
      </c>
      <c r="G4" s="558" t="s">
        <v>652</v>
      </c>
      <c r="H4" s="996" t="s">
        <v>160</v>
      </c>
      <c r="I4" s="557" t="s">
        <v>651</v>
      </c>
      <c r="J4" s="558" t="s">
        <v>652</v>
      </c>
      <c r="K4" s="996" t="s">
        <v>160</v>
      </c>
      <c r="L4" s="557" t="s">
        <v>651</v>
      </c>
      <c r="M4" s="558" t="s">
        <v>652</v>
      </c>
      <c r="N4" s="996" t="s">
        <v>160</v>
      </c>
      <c r="O4" s="557" t="s">
        <v>651</v>
      </c>
      <c r="P4" s="558" t="s">
        <v>652</v>
      </c>
      <c r="Q4" s="996" t="s">
        <v>160</v>
      </c>
      <c r="R4" s="557" t="s">
        <v>651</v>
      </c>
      <c r="S4" s="558" t="s">
        <v>652</v>
      </c>
      <c r="T4" s="996" t="s">
        <v>160</v>
      </c>
      <c r="U4" s="557" t="s">
        <v>651</v>
      </c>
      <c r="V4" s="558" t="s">
        <v>652</v>
      </c>
      <c r="W4" s="996" t="s">
        <v>160</v>
      </c>
      <c r="X4" s="557" t="s">
        <v>651</v>
      </c>
      <c r="Y4" s="558" t="s">
        <v>652</v>
      </c>
      <c r="Z4" s="996" t="s">
        <v>160</v>
      </c>
      <c r="AA4" s="557" t="s">
        <v>651</v>
      </c>
      <c r="AB4" s="558" t="s">
        <v>652</v>
      </c>
      <c r="AC4" s="996" t="s">
        <v>160</v>
      </c>
      <c r="AD4" s="557" t="s">
        <v>651</v>
      </c>
      <c r="AE4" s="558" t="s">
        <v>652</v>
      </c>
      <c r="AF4" s="996" t="s">
        <v>160</v>
      </c>
      <c r="AG4" s="557" t="s">
        <v>651</v>
      </c>
      <c r="AH4" s="558" t="s">
        <v>652</v>
      </c>
      <c r="AI4" s="996" t="s">
        <v>160</v>
      </c>
      <c r="AJ4" s="557" t="s">
        <v>651</v>
      </c>
      <c r="AK4" s="558" t="s">
        <v>652</v>
      </c>
      <c r="AL4" s="996" t="s">
        <v>160</v>
      </c>
      <c r="AM4" s="557" t="s">
        <v>651</v>
      </c>
      <c r="AN4" s="558" t="s">
        <v>652</v>
      </c>
      <c r="AO4" s="996" t="s">
        <v>160</v>
      </c>
      <c r="AP4" s="557" t="s">
        <v>651</v>
      </c>
      <c r="AQ4" s="558" t="s">
        <v>652</v>
      </c>
      <c r="AR4" s="996" t="s">
        <v>160</v>
      </c>
      <c r="AS4" s="557" t="s">
        <v>651</v>
      </c>
      <c r="AT4" s="558" t="s">
        <v>652</v>
      </c>
      <c r="AU4" s="996" t="s">
        <v>160</v>
      </c>
    </row>
    <row r="5" spans="1:47" s="186" customFormat="1" x14ac:dyDescent="0.2">
      <c r="A5" s="491"/>
      <c r="B5" s="491"/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1"/>
      <c r="P5" s="491"/>
      <c r="Q5" s="491"/>
      <c r="R5" s="491"/>
      <c r="S5" s="491"/>
      <c r="T5" s="491"/>
      <c r="U5" s="491"/>
      <c r="V5" s="491"/>
      <c r="W5" s="491"/>
      <c r="X5" s="491"/>
      <c r="Y5" s="491"/>
      <c r="Z5" s="491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</row>
    <row r="6" spans="1:47" s="186" customFormat="1" x14ac:dyDescent="0.2">
      <c r="A6" s="5778" t="s">
        <v>161</v>
      </c>
      <c r="B6" s="492" t="s">
        <v>5</v>
      </c>
      <c r="C6" s="465">
        <v>397</v>
      </c>
      <c r="D6" s="464">
        <v>706</v>
      </c>
      <c r="E6" s="493">
        <v>1103</v>
      </c>
      <c r="F6" s="465">
        <v>697</v>
      </c>
      <c r="G6" s="464">
        <v>912</v>
      </c>
      <c r="H6" s="493">
        <v>1609</v>
      </c>
      <c r="I6" s="465">
        <v>663</v>
      </c>
      <c r="J6" s="464">
        <v>780</v>
      </c>
      <c r="K6" s="494">
        <v>1443</v>
      </c>
      <c r="L6" s="464">
        <v>721</v>
      </c>
      <c r="M6" s="464">
        <v>822</v>
      </c>
      <c r="N6" s="494">
        <v>1543</v>
      </c>
      <c r="O6" s="464">
        <v>654</v>
      </c>
      <c r="P6" s="464">
        <v>819</v>
      </c>
      <c r="Q6" s="494">
        <v>1473</v>
      </c>
      <c r="R6" s="464">
        <v>652</v>
      </c>
      <c r="S6" s="464">
        <v>908</v>
      </c>
      <c r="T6" s="494">
        <v>1560</v>
      </c>
      <c r="U6" s="495">
        <v>699</v>
      </c>
      <c r="V6" s="496">
        <v>766</v>
      </c>
      <c r="W6" s="497">
        <v>1465</v>
      </c>
      <c r="X6" s="495">
        <v>853</v>
      </c>
      <c r="Y6" s="496">
        <v>904</v>
      </c>
      <c r="Z6" s="494">
        <f>SUM(X6:Y6)</f>
        <v>1757</v>
      </c>
      <c r="AA6" s="465">
        <v>908</v>
      </c>
      <c r="AB6" s="464">
        <v>537</v>
      </c>
      <c r="AC6" s="494">
        <f>SUM(AA6:AB6)</f>
        <v>1445</v>
      </c>
      <c r="AD6" s="465">
        <f>SUM('Inscritos plan'!AE5:AE14)</f>
        <v>453</v>
      </c>
      <c r="AE6" s="464">
        <f>SUM('Inscritos plan'!AF5:AF14)</f>
        <v>507</v>
      </c>
      <c r="AF6" s="494">
        <f>SUM(AD6:AE6)</f>
        <v>960</v>
      </c>
      <c r="AG6" s="465">
        <f>SUM('Inscritos plan'!AH5:AH14)</f>
        <v>546</v>
      </c>
      <c r="AH6" s="464">
        <f>SUM('Inscritos plan'!AI5:AI14)</f>
        <v>531</v>
      </c>
      <c r="AI6" s="494">
        <f>SUM(AG6:AH6)</f>
        <v>1077</v>
      </c>
      <c r="AJ6" s="465">
        <f>SUM('Inscritos plan'!AK5:AK14)</f>
        <v>437</v>
      </c>
      <c r="AK6" s="464">
        <f>SUM('Inscritos plan'!AL5:AL14)</f>
        <v>624</v>
      </c>
      <c r="AL6" s="494">
        <f>SUM(AJ6:AK6)</f>
        <v>1061</v>
      </c>
      <c r="AM6" s="465">
        <f>SUM('Inscritos plan'!AN5:AN14)</f>
        <v>350</v>
      </c>
      <c r="AN6" s="464">
        <f>SUM('Inscritos plan'!AO5:AO14)</f>
        <v>610</v>
      </c>
      <c r="AO6" s="494">
        <f>SUM(AM6:AN6)</f>
        <v>960</v>
      </c>
      <c r="AP6" s="465">
        <f>SUM('Inscritos plan'!AQ5:AQ14)</f>
        <v>539</v>
      </c>
      <c r="AQ6" s="464">
        <f>SUM('Inscritos plan'!AR5:AR14)</f>
        <v>563</v>
      </c>
      <c r="AR6" s="494">
        <f>SUM(AP6:AQ6)</f>
        <v>1102</v>
      </c>
      <c r="AS6" s="465">
        <f>SUM('Inscritos plan'!AT5:AT14)</f>
        <v>526</v>
      </c>
      <c r="AT6" s="464">
        <f>SUM('Inscritos plan'!AU5:AU14)</f>
        <v>532</v>
      </c>
      <c r="AU6" s="494">
        <f>SUM(AS6:AT6)</f>
        <v>1058</v>
      </c>
    </row>
    <row r="7" spans="1:47" s="186" customFormat="1" x14ac:dyDescent="0.2">
      <c r="A7" s="5779"/>
      <c r="B7" s="498" t="s">
        <v>6</v>
      </c>
      <c r="C7" s="468">
        <v>467</v>
      </c>
      <c r="D7" s="467">
        <v>526</v>
      </c>
      <c r="E7" s="499">
        <v>993</v>
      </c>
      <c r="F7" s="468">
        <v>417</v>
      </c>
      <c r="G7" s="467">
        <v>617</v>
      </c>
      <c r="H7" s="499">
        <v>1034</v>
      </c>
      <c r="I7" s="468">
        <v>446</v>
      </c>
      <c r="J7" s="467">
        <v>476</v>
      </c>
      <c r="K7" s="500">
        <v>922</v>
      </c>
      <c r="L7" s="467">
        <v>383</v>
      </c>
      <c r="M7" s="467">
        <v>530</v>
      </c>
      <c r="N7" s="500">
        <v>913</v>
      </c>
      <c r="O7" s="467">
        <v>523</v>
      </c>
      <c r="P7" s="467">
        <v>421</v>
      </c>
      <c r="Q7" s="500">
        <v>944</v>
      </c>
      <c r="R7" s="467">
        <v>654</v>
      </c>
      <c r="S7" s="467">
        <v>556</v>
      </c>
      <c r="T7" s="500">
        <v>1210</v>
      </c>
      <c r="U7" s="501">
        <v>549</v>
      </c>
      <c r="V7" s="502">
        <v>576</v>
      </c>
      <c r="W7" s="503">
        <v>1125</v>
      </c>
      <c r="X7" s="501">
        <v>539</v>
      </c>
      <c r="Y7" s="502">
        <v>500</v>
      </c>
      <c r="Z7" s="500">
        <f>SUM(X7:Y7)</f>
        <v>1039</v>
      </c>
      <c r="AA7" s="468">
        <v>542</v>
      </c>
      <c r="AB7" s="467">
        <v>506</v>
      </c>
      <c r="AC7" s="500">
        <f>SUM(AA7:AB7)</f>
        <v>1048</v>
      </c>
      <c r="AD7" s="468">
        <f>SUM('Inscritos plan'!AE16:AE19)</f>
        <v>605</v>
      </c>
      <c r="AE7" s="467">
        <f>SUM('Inscritos plan'!AF16:AF19)</f>
        <v>600</v>
      </c>
      <c r="AF7" s="500">
        <f>SUM(AD7:AE7)</f>
        <v>1205</v>
      </c>
      <c r="AG7" s="468">
        <f>SUM('Inscritos plan'!AH16:AH19)</f>
        <v>611</v>
      </c>
      <c r="AH7" s="467">
        <f>SUM('Inscritos plan'!AI16:AI19)</f>
        <v>590</v>
      </c>
      <c r="AI7" s="500">
        <f>SUM(AG7:AH7)</f>
        <v>1201</v>
      </c>
      <c r="AJ7" s="468">
        <f>SUM('Inscritos plan'!AK16:AK19)</f>
        <v>611</v>
      </c>
      <c r="AK7" s="467">
        <f>SUM('Inscritos plan'!AL16:AL19)</f>
        <v>608</v>
      </c>
      <c r="AL7" s="500">
        <f>SUM(AJ7:AK7)</f>
        <v>1219</v>
      </c>
      <c r="AM7" s="468">
        <f>SUM('Inscritos plan'!AN16:AN19)</f>
        <v>600</v>
      </c>
      <c r="AN7" s="467">
        <f>SUM('Inscritos plan'!AO16:AO19)</f>
        <v>635</v>
      </c>
      <c r="AO7" s="500">
        <f>SUM(AM7:AN7)</f>
        <v>1235</v>
      </c>
      <c r="AP7" s="468">
        <f>SUM('Inscritos plan'!AQ16:AQ19)</f>
        <v>567</v>
      </c>
      <c r="AQ7" s="467">
        <f>SUM('Inscritos plan'!AR16:AR19)</f>
        <v>674</v>
      </c>
      <c r="AR7" s="500">
        <f>SUM(AP7:AQ7)</f>
        <v>1241</v>
      </c>
      <c r="AS7" s="468">
        <f>SUM('Inscritos plan'!AT16:AT19)</f>
        <v>572</v>
      </c>
      <c r="AT7" s="467">
        <f>SUM('Inscritos plan'!AU16:AU19)</f>
        <v>662</v>
      </c>
      <c r="AU7" s="500">
        <f>SUM(AS7:AT7)</f>
        <v>1234</v>
      </c>
    </row>
    <row r="8" spans="1:47" s="186" customFormat="1" x14ac:dyDescent="0.2">
      <c r="A8" s="5779"/>
      <c r="B8" s="498" t="s">
        <v>7</v>
      </c>
      <c r="C8" s="468">
        <v>329</v>
      </c>
      <c r="D8" s="467">
        <v>356</v>
      </c>
      <c r="E8" s="499">
        <v>685</v>
      </c>
      <c r="F8" s="468">
        <v>312</v>
      </c>
      <c r="G8" s="467">
        <v>324</v>
      </c>
      <c r="H8" s="499">
        <v>636</v>
      </c>
      <c r="I8" s="468">
        <v>298</v>
      </c>
      <c r="J8" s="467">
        <v>269</v>
      </c>
      <c r="K8" s="500">
        <v>567</v>
      </c>
      <c r="L8" s="467">
        <v>253</v>
      </c>
      <c r="M8" s="467">
        <v>247</v>
      </c>
      <c r="N8" s="500">
        <v>500</v>
      </c>
      <c r="O8" s="467">
        <v>267</v>
      </c>
      <c r="P8" s="467">
        <v>246</v>
      </c>
      <c r="Q8" s="500">
        <v>513</v>
      </c>
      <c r="R8" s="467">
        <v>274</v>
      </c>
      <c r="S8" s="467">
        <v>274</v>
      </c>
      <c r="T8" s="500">
        <v>548</v>
      </c>
      <c r="U8" s="501">
        <v>269</v>
      </c>
      <c r="V8" s="502">
        <v>256</v>
      </c>
      <c r="W8" s="503">
        <v>525</v>
      </c>
      <c r="X8" s="501">
        <v>267</v>
      </c>
      <c r="Y8" s="502">
        <v>266</v>
      </c>
      <c r="Z8" s="500">
        <f>SUM(X8:Y8)</f>
        <v>533</v>
      </c>
      <c r="AA8" s="468">
        <v>272</v>
      </c>
      <c r="AB8" s="467">
        <v>261</v>
      </c>
      <c r="AC8" s="500">
        <f>SUM(AA8:AB8)</f>
        <v>533</v>
      </c>
      <c r="AD8" s="468">
        <f>SUM('Inscritos plan'!AE21:AE23)</f>
        <v>273</v>
      </c>
      <c r="AE8" s="467">
        <f>SUM('Inscritos plan'!AF21:AF23)</f>
        <v>274</v>
      </c>
      <c r="AF8" s="500">
        <f>SUM(AD8:AE8)</f>
        <v>547</v>
      </c>
      <c r="AG8" s="468">
        <f>SUM('Inscritos plan'!AH21:AH23)</f>
        <v>300</v>
      </c>
      <c r="AH8" s="467">
        <f>SUM('Inscritos plan'!AI21:AI23)</f>
        <v>287</v>
      </c>
      <c r="AI8" s="500">
        <f>SUM(AG8:AH8)</f>
        <v>587</v>
      </c>
      <c r="AJ8" s="468">
        <f>SUM('Inscritos plan'!AK21:AK23)</f>
        <v>304</v>
      </c>
      <c r="AK8" s="467">
        <f>SUM('Inscritos plan'!AL21:AL23)</f>
        <v>292</v>
      </c>
      <c r="AL8" s="500">
        <f>SUM(AJ8:AK8)</f>
        <v>596</v>
      </c>
      <c r="AM8" s="468">
        <f>SUM('Inscritos plan'!AN21:AN23)</f>
        <v>299</v>
      </c>
      <c r="AN8" s="467">
        <f>SUM('Inscritos plan'!AO21:AO23)</f>
        <v>346</v>
      </c>
      <c r="AO8" s="500">
        <f>SUM(AM8:AN8)</f>
        <v>645</v>
      </c>
      <c r="AP8" s="468">
        <f>SUM('Inscritos plan'!AQ21:AQ23)</f>
        <v>280</v>
      </c>
      <c r="AQ8" s="467">
        <f>SUM('Inscritos plan'!AR21:AR23)</f>
        <v>344</v>
      </c>
      <c r="AR8" s="500">
        <f>SUM(AP8:AQ8)</f>
        <v>624</v>
      </c>
      <c r="AS8" s="468">
        <f>SUM('Inscritos plan'!AT21:AT23)</f>
        <v>359</v>
      </c>
      <c r="AT8" s="467">
        <f>SUM('Inscritos plan'!AU21:AU23)</f>
        <v>350</v>
      </c>
      <c r="AU8" s="500">
        <f>SUM(AS8:AT8)</f>
        <v>709</v>
      </c>
    </row>
    <row r="9" spans="1:47" s="188" customFormat="1" x14ac:dyDescent="0.2">
      <c r="A9" s="5780"/>
      <c r="B9" s="2284" t="s">
        <v>12</v>
      </c>
      <c r="C9" s="2285">
        <v>1193</v>
      </c>
      <c r="D9" s="2286">
        <v>1588</v>
      </c>
      <c r="E9" s="2286">
        <v>2781</v>
      </c>
      <c r="F9" s="2285">
        <v>1426</v>
      </c>
      <c r="G9" s="2286">
        <v>1853</v>
      </c>
      <c r="H9" s="2286">
        <v>3279</v>
      </c>
      <c r="I9" s="2285">
        <v>1407</v>
      </c>
      <c r="J9" s="2286">
        <v>1525</v>
      </c>
      <c r="K9" s="2287">
        <v>2932</v>
      </c>
      <c r="L9" s="2286">
        <v>1357</v>
      </c>
      <c r="M9" s="2286">
        <v>1599</v>
      </c>
      <c r="N9" s="2287">
        <v>2956</v>
      </c>
      <c r="O9" s="2286">
        <v>1444</v>
      </c>
      <c r="P9" s="2286">
        <v>1486</v>
      </c>
      <c r="Q9" s="2287">
        <v>2930</v>
      </c>
      <c r="R9" s="2286">
        <v>1580</v>
      </c>
      <c r="S9" s="2286">
        <v>1738</v>
      </c>
      <c r="T9" s="2287">
        <v>3318</v>
      </c>
      <c r="U9" s="2288">
        <v>1517</v>
      </c>
      <c r="V9" s="2289">
        <v>1598</v>
      </c>
      <c r="W9" s="2290">
        <v>3115</v>
      </c>
      <c r="X9" s="2288">
        <f>SUM(X6:X8)</f>
        <v>1659</v>
      </c>
      <c r="Y9" s="2289">
        <v>1670</v>
      </c>
      <c r="Z9" s="2287">
        <f>SUM(X9:Y9)</f>
        <v>3329</v>
      </c>
      <c r="AA9" s="2285">
        <f>SUM(AA6:AA8)</f>
        <v>1722</v>
      </c>
      <c r="AB9" s="2286">
        <f>SUM(AB6:AB8)</f>
        <v>1304</v>
      </c>
      <c r="AC9" s="2287">
        <f>SUM(AA9:AB9)</f>
        <v>3026</v>
      </c>
      <c r="AD9" s="2285">
        <f>SUM(AD6:AD8)</f>
        <v>1331</v>
      </c>
      <c r="AE9" s="2286">
        <f>SUM(AE6:AE8)</f>
        <v>1381</v>
      </c>
      <c r="AF9" s="2287">
        <f>SUM(AD9:AE9)</f>
        <v>2712</v>
      </c>
      <c r="AG9" s="2285">
        <f>SUM(AG6:AG8)</f>
        <v>1457</v>
      </c>
      <c r="AH9" s="2286">
        <f>SUM(AH6:AH8)</f>
        <v>1408</v>
      </c>
      <c r="AI9" s="2287">
        <f>SUM(AG9:AH9)</f>
        <v>2865</v>
      </c>
      <c r="AJ9" s="2285">
        <f>SUM(AJ6:AJ8)</f>
        <v>1352</v>
      </c>
      <c r="AK9" s="2286">
        <f>SUM(AK6:AK8)</f>
        <v>1524</v>
      </c>
      <c r="AL9" s="2287">
        <f>SUM(AJ9:AK9)</f>
        <v>2876</v>
      </c>
      <c r="AM9" s="2285">
        <f>SUM(AM6:AM8)</f>
        <v>1249</v>
      </c>
      <c r="AN9" s="2286">
        <f>SUM(AN6:AN8)</f>
        <v>1591</v>
      </c>
      <c r="AO9" s="2287">
        <f>SUM(AM9:AN9)</f>
        <v>2840</v>
      </c>
      <c r="AP9" s="2285">
        <f>SUM(AP6:AP8)</f>
        <v>1386</v>
      </c>
      <c r="AQ9" s="2286">
        <f>SUM(AQ6:AQ8)</f>
        <v>1581</v>
      </c>
      <c r="AR9" s="2287">
        <f>SUM(AP9:AQ9)</f>
        <v>2967</v>
      </c>
      <c r="AS9" s="2285">
        <f>SUM(AS6:AS8)</f>
        <v>1457</v>
      </c>
      <c r="AT9" s="2286">
        <f>SUM(AT6:AT8)</f>
        <v>1544</v>
      </c>
      <c r="AU9" s="2287">
        <f>SUM(AS9:AT9)</f>
        <v>3001</v>
      </c>
    </row>
    <row r="10" spans="1:47" s="188" customFormat="1" ht="15.75" x14ac:dyDescent="0.25">
      <c r="A10" s="1781"/>
      <c r="B10" s="757"/>
      <c r="C10" s="757"/>
      <c r="D10" s="757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</row>
    <row r="11" spans="1:47" s="188" customFormat="1" x14ac:dyDescent="0.2">
      <c r="A11" s="5781" t="s">
        <v>407</v>
      </c>
      <c r="B11" s="492" t="s">
        <v>6</v>
      </c>
      <c r="C11" s="465"/>
      <c r="D11" s="464"/>
      <c r="E11" s="493"/>
      <c r="F11" s="465"/>
      <c r="G11" s="464"/>
      <c r="H11" s="493"/>
      <c r="I11" s="465"/>
      <c r="J11" s="464">
        <v>111</v>
      </c>
      <c r="K11" s="494">
        <v>111</v>
      </c>
      <c r="L11" s="464"/>
      <c r="M11" s="464">
        <v>43</v>
      </c>
      <c r="N11" s="494">
        <v>43</v>
      </c>
      <c r="O11" s="464"/>
      <c r="P11" s="464">
        <v>121</v>
      </c>
      <c r="Q11" s="494">
        <v>121</v>
      </c>
      <c r="R11" s="464"/>
      <c r="S11" s="464">
        <v>116</v>
      </c>
      <c r="T11" s="494">
        <v>116</v>
      </c>
      <c r="U11" s="495"/>
      <c r="V11" s="496">
        <v>81</v>
      </c>
      <c r="W11" s="497">
        <v>81</v>
      </c>
      <c r="X11" s="495"/>
      <c r="Y11" s="496">
        <v>94</v>
      </c>
      <c r="Z11" s="494">
        <f>SUM(X11:Y11)</f>
        <v>94</v>
      </c>
      <c r="AA11" s="465"/>
      <c r="AB11" s="464">
        <v>87</v>
      </c>
      <c r="AC11" s="494">
        <f>SUM(AA11:AB11)</f>
        <v>87</v>
      </c>
      <c r="AD11" s="464"/>
      <c r="AE11" s="464">
        <f>SUM('Inscritos plan'!AF79:AF82)</f>
        <v>86</v>
      </c>
      <c r="AF11" s="494">
        <f>SUM(AD11:AE11)</f>
        <v>86</v>
      </c>
      <c r="AG11" s="464"/>
      <c r="AH11" s="464">
        <f>SUM('Inscritos plan'!AI79:AI82)</f>
        <v>94</v>
      </c>
      <c r="AI11" s="494">
        <f>SUM(AG11:AH11)</f>
        <v>94</v>
      </c>
      <c r="AJ11" s="464">
        <f>SUM('Inscritos plan'!AK83)</f>
        <v>97</v>
      </c>
      <c r="AK11" s="464">
        <f>SUM('Inscritos plan'!AL79:AL82)</f>
        <v>99</v>
      </c>
      <c r="AL11" s="494">
        <f>SUM(AJ11:AK11)</f>
        <v>196</v>
      </c>
      <c r="AM11" s="464">
        <f>SUM('Inscritos plan'!AN83)</f>
        <v>97</v>
      </c>
      <c r="AN11" s="464">
        <f>SUM('Inscritos plan'!AO79:AO82)</f>
        <v>129</v>
      </c>
      <c r="AO11" s="494">
        <f>SUM(AM11:AN11)</f>
        <v>226</v>
      </c>
      <c r="AP11" s="464">
        <f>SUM('Inscritos plan'!AQ83)</f>
        <v>97</v>
      </c>
      <c r="AQ11" s="464">
        <f>SUM('Inscritos plan'!AR79:AR82)</f>
        <v>135</v>
      </c>
      <c r="AR11" s="494">
        <f>SUM(AP11:AQ11)</f>
        <v>232</v>
      </c>
      <c r="AS11" s="464">
        <f>SUM('Inscritos plan'!AT83)</f>
        <v>98</v>
      </c>
      <c r="AT11" s="464">
        <f>SUM('Inscritos plan'!AU79:AU82)</f>
        <v>126</v>
      </c>
      <c r="AU11" s="494">
        <f>SUM(AS11:AT11)</f>
        <v>224</v>
      </c>
    </row>
    <row r="12" spans="1:47" s="188" customFormat="1" x14ac:dyDescent="0.2">
      <c r="A12" s="5782"/>
      <c r="B12" s="498" t="s">
        <v>9</v>
      </c>
      <c r="C12" s="468"/>
      <c r="D12" s="467"/>
      <c r="E12" s="499"/>
      <c r="F12" s="468"/>
      <c r="G12" s="467"/>
      <c r="H12" s="499"/>
      <c r="I12" s="468"/>
      <c r="J12" s="467">
        <v>34</v>
      </c>
      <c r="K12" s="500">
        <v>34</v>
      </c>
      <c r="L12" s="467"/>
      <c r="M12" s="467">
        <v>30</v>
      </c>
      <c r="N12" s="500">
        <v>30</v>
      </c>
      <c r="O12" s="467"/>
      <c r="P12" s="467">
        <v>131</v>
      </c>
      <c r="Q12" s="500">
        <v>131</v>
      </c>
      <c r="R12" s="467"/>
      <c r="S12" s="467">
        <v>129</v>
      </c>
      <c r="T12" s="500">
        <v>129</v>
      </c>
      <c r="U12" s="501"/>
      <c r="V12" s="502">
        <v>96</v>
      </c>
      <c r="W12" s="503">
        <v>96</v>
      </c>
      <c r="X12" s="501"/>
      <c r="Y12" s="502">
        <v>117</v>
      </c>
      <c r="Z12" s="500">
        <f>SUM(X12:Y12)</f>
        <v>117</v>
      </c>
      <c r="AA12" s="468"/>
      <c r="AB12" s="467">
        <v>125</v>
      </c>
      <c r="AC12" s="500">
        <f>SUM(AA12:AB12)</f>
        <v>125</v>
      </c>
      <c r="AD12" s="467"/>
      <c r="AE12" s="467">
        <f>SUM('Inscritos plan'!AF84:AF86)</f>
        <v>134</v>
      </c>
      <c r="AF12" s="500">
        <f>SUM(AD12:AE12)</f>
        <v>134</v>
      </c>
      <c r="AG12" s="467"/>
      <c r="AH12" s="467">
        <f>SUM('Inscritos plan'!AI84:AI86)</f>
        <v>122</v>
      </c>
      <c r="AI12" s="500">
        <f>SUM(AG12:AH12)</f>
        <v>122</v>
      </c>
      <c r="AJ12" s="467"/>
      <c r="AK12" s="467">
        <f>SUM('Inscritos plan'!AL84:AL86)</f>
        <v>155</v>
      </c>
      <c r="AL12" s="500">
        <f>SUM(AJ12:AK12)</f>
        <v>155</v>
      </c>
      <c r="AM12" s="467"/>
      <c r="AN12" s="467">
        <f>SUM('Inscritos plan'!AO84:AO86)</f>
        <v>189</v>
      </c>
      <c r="AO12" s="500">
        <f>SUM(AM12:AN12)</f>
        <v>189</v>
      </c>
      <c r="AP12" s="467"/>
      <c r="AQ12" s="467">
        <f>SUM('Inscritos plan'!AR84:AR86)</f>
        <v>226</v>
      </c>
      <c r="AR12" s="500">
        <f>SUM(AP12:AQ12)</f>
        <v>226</v>
      </c>
      <c r="AS12" s="467"/>
      <c r="AT12" s="467">
        <f>SUM('Inscritos plan'!AU84:AU86)</f>
        <v>219</v>
      </c>
      <c r="AU12" s="500">
        <f>SUM(AS12:AT12)</f>
        <v>219</v>
      </c>
    </row>
    <row r="13" spans="1:47" s="188" customFormat="1" x14ac:dyDescent="0.2">
      <c r="A13" s="5782"/>
      <c r="B13" s="498" t="s">
        <v>74</v>
      </c>
      <c r="C13" s="468"/>
      <c r="D13" s="467"/>
      <c r="E13" s="499"/>
      <c r="F13" s="468"/>
      <c r="G13" s="467"/>
      <c r="H13" s="499"/>
      <c r="I13" s="468"/>
      <c r="J13" s="467">
        <v>58</v>
      </c>
      <c r="K13" s="500">
        <v>58</v>
      </c>
      <c r="L13" s="467"/>
      <c r="M13" s="467">
        <v>28</v>
      </c>
      <c r="N13" s="500">
        <v>28</v>
      </c>
      <c r="O13" s="467"/>
      <c r="P13" s="467">
        <v>64</v>
      </c>
      <c r="Q13" s="500">
        <v>64</v>
      </c>
      <c r="R13" s="467"/>
      <c r="S13" s="467">
        <v>110</v>
      </c>
      <c r="T13" s="500">
        <v>110</v>
      </c>
      <c r="U13" s="501"/>
      <c r="V13" s="502">
        <v>83</v>
      </c>
      <c r="W13" s="503">
        <v>83</v>
      </c>
      <c r="X13" s="501"/>
      <c r="Y13" s="502">
        <v>107</v>
      </c>
      <c r="Z13" s="500">
        <f>SUM(X13:Y13)</f>
        <v>107</v>
      </c>
      <c r="AA13" s="468"/>
      <c r="AB13" s="467">
        <v>110</v>
      </c>
      <c r="AC13" s="500">
        <f>SUM(AA13:AB13)</f>
        <v>110</v>
      </c>
      <c r="AD13" s="467"/>
      <c r="AE13" s="467">
        <f>SUM('Inscritos plan'!AF88:AF91)</f>
        <v>136</v>
      </c>
      <c r="AF13" s="500">
        <f>SUM(AD13:AE13)</f>
        <v>136</v>
      </c>
      <c r="AG13" s="467"/>
      <c r="AH13" s="467">
        <f>SUM('Inscritos plan'!AI88:AI91)</f>
        <v>145</v>
      </c>
      <c r="AI13" s="500">
        <f>SUM(AG13:AH13)</f>
        <v>145</v>
      </c>
      <c r="AJ13" s="467"/>
      <c r="AK13" s="467">
        <f>SUM('Inscritos plan'!AL88:AL91)</f>
        <v>229</v>
      </c>
      <c r="AL13" s="500">
        <f>SUM(AJ13:AK13)</f>
        <v>229</v>
      </c>
      <c r="AM13" s="467"/>
      <c r="AN13" s="467">
        <f>SUM('Inscritos plan'!AO88:AO91)</f>
        <v>193</v>
      </c>
      <c r="AO13" s="500">
        <f>SUM(AM13:AN13)</f>
        <v>193</v>
      </c>
      <c r="AP13" s="467"/>
      <c r="AQ13" s="467">
        <f>SUM('Inscritos plan'!AR88:AR91)</f>
        <v>236</v>
      </c>
      <c r="AR13" s="500">
        <f>SUM(AP13:AQ13)</f>
        <v>236</v>
      </c>
      <c r="AS13" s="467"/>
      <c r="AT13" s="467">
        <f>SUM('Inscritos plan'!AU88:AU91)</f>
        <v>216</v>
      </c>
      <c r="AU13" s="500">
        <f>SUM(AS13:AT13)</f>
        <v>216</v>
      </c>
    </row>
    <row r="14" spans="1:47" s="188" customFormat="1" x14ac:dyDescent="0.2">
      <c r="A14" s="5783"/>
      <c r="B14" s="2277" t="s">
        <v>12</v>
      </c>
      <c r="C14" s="2278"/>
      <c r="D14" s="2279"/>
      <c r="E14" s="2279"/>
      <c r="F14" s="2278"/>
      <c r="G14" s="2279"/>
      <c r="H14" s="2279"/>
      <c r="I14" s="2278"/>
      <c r="J14" s="2279">
        <v>203</v>
      </c>
      <c r="K14" s="2280">
        <v>203</v>
      </c>
      <c r="L14" s="2279"/>
      <c r="M14" s="2279">
        <v>101</v>
      </c>
      <c r="N14" s="2280">
        <v>101</v>
      </c>
      <c r="O14" s="2279"/>
      <c r="P14" s="2279">
        <v>316</v>
      </c>
      <c r="Q14" s="2280">
        <v>316</v>
      </c>
      <c r="R14" s="2279"/>
      <c r="S14" s="2279">
        <v>355</v>
      </c>
      <c r="T14" s="2280">
        <v>355</v>
      </c>
      <c r="U14" s="2281"/>
      <c r="V14" s="2282">
        <v>260</v>
      </c>
      <c r="W14" s="2283">
        <v>260</v>
      </c>
      <c r="X14" s="2281"/>
      <c r="Y14" s="2282">
        <f>SUM(Y11:Y13)</f>
        <v>318</v>
      </c>
      <c r="Z14" s="2280">
        <f>SUM(X14:Y14)</f>
        <v>318</v>
      </c>
      <c r="AA14" s="2278"/>
      <c r="AB14" s="2279">
        <f>SUM(AB11:AB13)</f>
        <v>322</v>
      </c>
      <c r="AC14" s="2280">
        <f>SUM(AA14:AB14)</f>
        <v>322</v>
      </c>
      <c r="AD14" s="2278"/>
      <c r="AE14" s="2279">
        <f>SUM(AE11:AE13)</f>
        <v>356</v>
      </c>
      <c r="AF14" s="2280">
        <f>SUM(AD14:AE14)</f>
        <v>356</v>
      </c>
      <c r="AG14" s="2278"/>
      <c r="AH14" s="2279">
        <f>SUM(AH11:AH13)</f>
        <v>361</v>
      </c>
      <c r="AI14" s="2280">
        <f>SUM(AG14:AH14)</f>
        <v>361</v>
      </c>
      <c r="AJ14" s="2278">
        <f>SUM(AJ11:AJ13)</f>
        <v>97</v>
      </c>
      <c r="AK14" s="2279">
        <f>SUM(AK11:AK13)</f>
        <v>483</v>
      </c>
      <c r="AL14" s="2280">
        <f>SUM(AJ14:AK14)</f>
        <v>580</v>
      </c>
      <c r="AM14" s="2278">
        <f>SUM(AM11:AM13)</f>
        <v>97</v>
      </c>
      <c r="AN14" s="2279">
        <f>SUM(AN11:AN13)</f>
        <v>511</v>
      </c>
      <c r="AO14" s="2280">
        <f>SUM(AM14:AN14)</f>
        <v>608</v>
      </c>
      <c r="AP14" s="2278">
        <f>SUM(AP11:AP13)</f>
        <v>97</v>
      </c>
      <c r="AQ14" s="2279">
        <f>SUM(AQ11:AQ13)</f>
        <v>597</v>
      </c>
      <c r="AR14" s="2280">
        <f>SUM(AP14:AQ14)</f>
        <v>694</v>
      </c>
      <c r="AS14" s="2278">
        <f>SUM(AS11:AS13)</f>
        <v>98</v>
      </c>
      <c r="AT14" s="2279">
        <f>SUM(AT11:AT13)</f>
        <v>561</v>
      </c>
      <c r="AU14" s="2280">
        <f>SUM(AS14:AT14)</f>
        <v>659</v>
      </c>
    </row>
    <row r="15" spans="1:47" s="186" customFormat="1" ht="15.75" x14ac:dyDescent="0.25">
      <c r="A15" s="1781"/>
      <c r="B15" s="491"/>
      <c r="C15" s="491"/>
      <c r="D15" s="491"/>
      <c r="E15" s="491"/>
      <c r="F15" s="491"/>
      <c r="G15" s="491"/>
      <c r="H15" s="491"/>
      <c r="I15" s="491"/>
      <c r="J15" s="491"/>
      <c r="K15" s="491"/>
      <c r="L15" s="491"/>
      <c r="M15" s="491"/>
      <c r="N15" s="491"/>
      <c r="O15" s="491"/>
      <c r="P15" s="491"/>
      <c r="Q15" s="491"/>
      <c r="R15" s="491"/>
      <c r="S15" s="491"/>
      <c r="T15" s="491"/>
      <c r="U15" s="491"/>
      <c r="V15" s="491"/>
      <c r="W15" s="491"/>
      <c r="X15" s="491"/>
      <c r="Y15" s="491"/>
      <c r="Z15" s="491"/>
      <c r="AA15" s="262"/>
      <c r="AB15" s="262"/>
      <c r="AC15" s="262"/>
      <c r="AD15" s="765"/>
      <c r="AE15" s="765"/>
      <c r="AF15" s="262"/>
      <c r="AG15" s="765"/>
      <c r="AH15" s="765"/>
      <c r="AI15" s="262"/>
      <c r="AJ15" s="765"/>
      <c r="AK15" s="765"/>
      <c r="AL15" s="262"/>
      <c r="AM15" s="765"/>
      <c r="AN15" s="765"/>
      <c r="AO15" s="262"/>
      <c r="AP15" s="765"/>
      <c r="AQ15" s="765"/>
      <c r="AR15" s="262"/>
      <c r="AS15" s="765"/>
      <c r="AT15" s="765"/>
      <c r="AU15" s="262"/>
    </row>
    <row r="16" spans="1:47" s="186" customFormat="1" x14ac:dyDescent="0.2">
      <c r="A16" s="5772" t="s">
        <v>162</v>
      </c>
      <c r="B16" s="492" t="s">
        <v>5</v>
      </c>
      <c r="C16" s="465">
        <v>295</v>
      </c>
      <c r="D16" s="464">
        <v>362</v>
      </c>
      <c r="E16" s="493">
        <v>657</v>
      </c>
      <c r="F16" s="465">
        <v>264</v>
      </c>
      <c r="G16" s="464">
        <v>417</v>
      </c>
      <c r="H16" s="493">
        <v>681</v>
      </c>
      <c r="I16" s="465">
        <v>290</v>
      </c>
      <c r="J16" s="464">
        <v>437</v>
      </c>
      <c r="K16" s="494">
        <v>727</v>
      </c>
      <c r="L16" s="464">
        <v>357</v>
      </c>
      <c r="M16" s="464">
        <v>386</v>
      </c>
      <c r="N16" s="494">
        <v>743</v>
      </c>
      <c r="O16" s="464">
        <v>268</v>
      </c>
      <c r="P16" s="464">
        <v>355</v>
      </c>
      <c r="Q16" s="494">
        <v>623</v>
      </c>
      <c r="R16" s="464">
        <v>281</v>
      </c>
      <c r="S16" s="464">
        <v>499</v>
      </c>
      <c r="T16" s="494">
        <v>780</v>
      </c>
      <c r="U16" s="495">
        <v>220</v>
      </c>
      <c r="V16" s="496">
        <v>428</v>
      </c>
      <c r="W16" s="497">
        <v>648</v>
      </c>
      <c r="X16" s="495">
        <v>116</v>
      </c>
      <c r="Y16" s="496">
        <v>654</v>
      </c>
      <c r="Z16" s="494">
        <f>SUM(X16:Y16)</f>
        <v>770</v>
      </c>
      <c r="AA16" s="465">
        <v>186</v>
      </c>
      <c r="AB16" s="464">
        <v>622</v>
      </c>
      <c r="AC16" s="494">
        <f>SUM(AA16:AB16)</f>
        <v>808</v>
      </c>
      <c r="AD16" s="465">
        <f>SUM('Inscritos plan'!AE26:AE34)</f>
        <v>184</v>
      </c>
      <c r="AE16" s="464">
        <f>SUM('Inscritos plan'!AF26:AF34)</f>
        <v>654</v>
      </c>
      <c r="AF16" s="494">
        <f>SUM(AD16:AE16)</f>
        <v>838</v>
      </c>
      <c r="AG16" s="465">
        <f>SUM('Inscritos plan'!AH26:AH34)</f>
        <v>227</v>
      </c>
      <c r="AH16" s="464">
        <f>SUM('Inscritos plan'!AI26:AI34)</f>
        <v>754</v>
      </c>
      <c r="AI16" s="494">
        <f>SUM(AG16:AH16)</f>
        <v>981</v>
      </c>
      <c r="AJ16" s="465">
        <f>SUM('Inscritos plan'!AK26:AK34)</f>
        <v>180</v>
      </c>
      <c r="AK16" s="464">
        <f>SUM('Inscritos plan'!AL26:AL34)</f>
        <v>632</v>
      </c>
      <c r="AL16" s="494">
        <f>SUM(AJ16:AK16)</f>
        <v>812</v>
      </c>
      <c r="AM16" s="465">
        <f>SUM('Inscritos plan'!AN26:AN34)</f>
        <v>176</v>
      </c>
      <c r="AN16" s="464">
        <f>SUM('Inscritos plan'!AO26:AO34)</f>
        <v>626</v>
      </c>
      <c r="AO16" s="494">
        <f>SUM(AM16:AN16)</f>
        <v>802</v>
      </c>
      <c r="AP16" s="465">
        <f>SUM('Inscritos plan'!AQ26:AQ34)</f>
        <v>139</v>
      </c>
      <c r="AQ16" s="464">
        <f>SUM('Inscritos plan'!AR26:AR35)</f>
        <v>688</v>
      </c>
      <c r="AR16" s="494">
        <f>SUM(AP16:AQ16)</f>
        <v>827</v>
      </c>
      <c r="AS16" s="465">
        <f>SUM('Inscritos plan'!AT26:AT34)</f>
        <v>0</v>
      </c>
      <c r="AT16" s="464">
        <f>SUM('Inscritos plan'!AU26:AU35)</f>
        <v>626</v>
      </c>
      <c r="AU16" s="494">
        <f>SUM(AS16:AT16)</f>
        <v>626</v>
      </c>
    </row>
    <row r="17" spans="1:47" s="186" customFormat="1" x14ac:dyDescent="0.2">
      <c r="A17" s="5773"/>
      <c r="B17" s="498" t="s">
        <v>6</v>
      </c>
      <c r="C17" s="468">
        <v>159</v>
      </c>
      <c r="D17" s="467">
        <v>708</v>
      </c>
      <c r="E17" s="499">
        <v>867</v>
      </c>
      <c r="F17" s="468">
        <v>185</v>
      </c>
      <c r="G17" s="467">
        <v>805</v>
      </c>
      <c r="H17" s="499">
        <v>990</v>
      </c>
      <c r="I17" s="468">
        <v>161</v>
      </c>
      <c r="J17" s="467">
        <v>861</v>
      </c>
      <c r="K17" s="500">
        <v>1022</v>
      </c>
      <c r="L17" s="467">
        <v>183</v>
      </c>
      <c r="M17" s="467">
        <v>852</v>
      </c>
      <c r="N17" s="500">
        <v>1035</v>
      </c>
      <c r="O17" s="467">
        <v>212</v>
      </c>
      <c r="P17" s="467">
        <v>957</v>
      </c>
      <c r="Q17" s="500">
        <v>1169</v>
      </c>
      <c r="R17" s="467">
        <v>201</v>
      </c>
      <c r="S17" s="467">
        <v>930</v>
      </c>
      <c r="T17" s="500">
        <v>1131</v>
      </c>
      <c r="U17" s="501">
        <v>182</v>
      </c>
      <c r="V17" s="502">
        <v>896</v>
      </c>
      <c r="W17" s="503">
        <v>1078</v>
      </c>
      <c r="X17" s="501">
        <v>163</v>
      </c>
      <c r="Y17" s="502">
        <v>940</v>
      </c>
      <c r="Z17" s="500">
        <f>SUM(X17:Y17)</f>
        <v>1103</v>
      </c>
      <c r="AA17" s="468">
        <v>158</v>
      </c>
      <c r="AB17" s="467">
        <v>917</v>
      </c>
      <c r="AC17" s="500">
        <f>SUM(AA17:AB17)</f>
        <v>1075</v>
      </c>
      <c r="AD17" s="468">
        <f>SUM('Inscritos plan'!AE37:AE47)</f>
        <v>171</v>
      </c>
      <c r="AE17" s="467">
        <f>SUM('Inscritos plan'!AF37:AF47)</f>
        <v>921</v>
      </c>
      <c r="AF17" s="500">
        <f>SUM(AD17:AE17)</f>
        <v>1092</v>
      </c>
      <c r="AG17" s="468">
        <f>SUM('Inscritos plan'!AH37:AH47)</f>
        <v>154</v>
      </c>
      <c r="AH17" s="467">
        <f>SUM('Inscritos plan'!AI37:AI47)</f>
        <v>941</v>
      </c>
      <c r="AI17" s="500">
        <f>SUM(AG17:AH17)</f>
        <v>1095</v>
      </c>
      <c r="AJ17" s="468">
        <f>SUM('Inscritos plan'!AK37:AK47)</f>
        <v>153</v>
      </c>
      <c r="AK17" s="467">
        <f>SUM('Inscritos plan'!AL37:AL47)</f>
        <v>917</v>
      </c>
      <c r="AL17" s="500">
        <f>SUM(AJ17:AK17)</f>
        <v>1070</v>
      </c>
      <c r="AM17" s="468">
        <f>SUM('Inscritos plan'!AN37:AN47)</f>
        <v>134</v>
      </c>
      <c r="AN17" s="467">
        <f>SUM('Inscritos plan'!AO37:AO47)</f>
        <v>932</v>
      </c>
      <c r="AO17" s="500">
        <f>SUM(AM17:AN17)</f>
        <v>1066</v>
      </c>
      <c r="AP17" s="468">
        <f>SUM('Inscritos plan'!AQ37:AQ47)</f>
        <v>141</v>
      </c>
      <c r="AQ17" s="467">
        <f>SUM('Inscritos plan'!AR37:AR47)</f>
        <v>987</v>
      </c>
      <c r="AR17" s="500">
        <f>SUM(AP17:AQ17)</f>
        <v>1128</v>
      </c>
      <c r="AS17" s="468">
        <f>SUM('Inscritos plan'!AT37:AT47)</f>
        <v>145</v>
      </c>
      <c r="AT17" s="467">
        <f>SUM('Inscritos plan'!AU37:AU47)</f>
        <v>966</v>
      </c>
      <c r="AU17" s="500">
        <f>SUM(AS17:AT17)</f>
        <v>1111</v>
      </c>
    </row>
    <row r="18" spans="1:47" s="186" customFormat="1" x14ac:dyDescent="0.2">
      <c r="A18" s="5773"/>
      <c r="B18" s="498" t="s">
        <v>11</v>
      </c>
      <c r="C18" s="468">
        <v>158</v>
      </c>
      <c r="D18" s="467">
        <v>296</v>
      </c>
      <c r="E18" s="499">
        <v>454</v>
      </c>
      <c r="F18" s="468">
        <v>167</v>
      </c>
      <c r="G18" s="467">
        <v>354</v>
      </c>
      <c r="H18" s="499">
        <v>521</v>
      </c>
      <c r="I18" s="468">
        <v>178</v>
      </c>
      <c r="J18" s="467">
        <v>327</v>
      </c>
      <c r="K18" s="500">
        <v>505</v>
      </c>
      <c r="L18" s="467">
        <v>242</v>
      </c>
      <c r="M18" s="467">
        <v>366</v>
      </c>
      <c r="N18" s="500">
        <v>608</v>
      </c>
      <c r="O18" s="467">
        <v>201</v>
      </c>
      <c r="P18" s="467">
        <v>392</v>
      </c>
      <c r="Q18" s="500">
        <v>593</v>
      </c>
      <c r="R18" s="467">
        <v>255</v>
      </c>
      <c r="S18" s="467">
        <v>401</v>
      </c>
      <c r="T18" s="500">
        <v>656</v>
      </c>
      <c r="U18" s="501">
        <v>346</v>
      </c>
      <c r="V18" s="502">
        <v>407</v>
      </c>
      <c r="W18" s="503">
        <v>753</v>
      </c>
      <c r="X18" s="501">
        <v>373</v>
      </c>
      <c r="Y18" s="502">
        <v>430</v>
      </c>
      <c r="Z18" s="500">
        <f>SUM(X18:Y18)</f>
        <v>803</v>
      </c>
      <c r="AA18" s="468">
        <v>391</v>
      </c>
      <c r="AB18" s="467">
        <v>415</v>
      </c>
      <c r="AC18" s="500">
        <f>SUM(AA18:AB18)</f>
        <v>806</v>
      </c>
      <c r="AD18" s="468">
        <f>SUM('Inscritos plan'!AE49:AE54)</f>
        <v>399</v>
      </c>
      <c r="AE18" s="467">
        <f>SUM('Inscritos plan'!AF49:AF54)</f>
        <v>405</v>
      </c>
      <c r="AF18" s="500">
        <f>SUM(AD18:AE18)</f>
        <v>804</v>
      </c>
      <c r="AG18" s="468">
        <f>SUM('Inscritos plan'!AH49:AH54)</f>
        <v>382</v>
      </c>
      <c r="AH18" s="467">
        <f>SUM('Inscritos plan'!AI49:AI54)</f>
        <v>424</v>
      </c>
      <c r="AI18" s="500">
        <f>SUM(AG18:AH18)</f>
        <v>806</v>
      </c>
      <c r="AJ18" s="468">
        <f>SUM('Inscritos plan'!AK49:AK54)</f>
        <v>350</v>
      </c>
      <c r="AK18" s="467">
        <f>SUM('Inscritos plan'!AL49:AL54)</f>
        <v>385</v>
      </c>
      <c r="AL18" s="500">
        <f>SUM(AJ18:AK18)</f>
        <v>735</v>
      </c>
      <c r="AM18" s="468">
        <f>SUM('Inscritos plan'!AN49:AN54)</f>
        <v>298</v>
      </c>
      <c r="AN18" s="467">
        <f>SUM('Inscritos plan'!AO49:AO54)</f>
        <v>377</v>
      </c>
      <c r="AO18" s="500">
        <f>SUM(AM18:AN18)</f>
        <v>675</v>
      </c>
      <c r="AP18" s="468">
        <f>SUM('Inscritos plan'!AQ49:AQ54)</f>
        <v>279</v>
      </c>
      <c r="AQ18" s="467">
        <f>SUM('Inscritos plan'!AR49:AR54)</f>
        <v>384</v>
      </c>
      <c r="AR18" s="500">
        <f>SUM(AP18:AQ18)</f>
        <v>663</v>
      </c>
      <c r="AS18" s="468">
        <f>SUM('Inscritos plan'!AT49:AT54)</f>
        <v>286</v>
      </c>
      <c r="AT18" s="467">
        <f>SUM('Inscritos plan'!AU49:AU54)</f>
        <v>368</v>
      </c>
      <c r="AU18" s="500">
        <f>SUM(AS18:AT18)</f>
        <v>654</v>
      </c>
    </row>
    <row r="19" spans="1:47" s="188" customFormat="1" x14ac:dyDescent="0.2">
      <c r="A19" s="5774"/>
      <c r="B19" s="2291" t="s">
        <v>12</v>
      </c>
      <c r="C19" s="2292">
        <v>612</v>
      </c>
      <c r="D19" s="2293">
        <v>1366</v>
      </c>
      <c r="E19" s="2293">
        <v>1978</v>
      </c>
      <c r="F19" s="2292">
        <v>616</v>
      </c>
      <c r="G19" s="2293">
        <v>1576</v>
      </c>
      <c r="H19" s="2293">
        <v>2192</v>
      </c>
      <c r="I19" s="2292">
        <v>629</v>
      </c>
      <c r="J19" s="2293">
        <v>1625</v>
      </c>
      <c r="K19" s="2294">
        <v>2254</v>
      </c>
      <c r="L19" s="2293">
        <v>782</v>
      </c>
      <c r="M19" s="2293">
        <v>1604</v>
      </c>
      <c r="N19" s="2294">
        <v>2386</v>
      </c>
      <c r="O19" s="2293">
        <v>681</v>
      </c>
      <c r="P19" s="2293">
        <v>1704</v>
      </c>
      <c r="Q19" s="2294">
        <v>2385</v>
      </c>
      <c r="R19" s="2293">
        <v>737</v>
      </c>
      <c r="S19" s="2293">
        <v>1830</v>
      </c>
      <c r="T19" s="2294">
        <v>2567</v>
      </c>
      <c r="U19" s="2295">
        <v>748</v>
      </c>
      <c r="V19" s="2296">
        <v>1731</v>
      </c>
      <c r="W19" s="2297">
        <v>2479</v>
      </c>
      <c r="X19" s="2295">
        <f>SUM(X16:X18)</f>
        <v>652</v>
      </c>
      <c r="Y19" s="2296">
        <f>SUM(Y16:Y18)</f>
        <v>2024</v>
      </c>
      <c r="Z19" s="2294">
        <f>SUM(Z16:Z18)</f>
        <v>2676</v>
      </c>
      <c r="AA19" s="2292">
        <f>SUM(AA16:AA18)</f>
        <v>735</v>
      </c>
      <c r="AB19" s="2293">
        <f>SUM(AB16:AB18)</f>
        <v>1954</v>
      </c>
      <c r="AC19" s="2294">
        <f>SUM(AA19:AB19)</f>
        <v>2689</v>
      </c>
      <c r="AD19" s="2292">
        <f>SUM(AD16:AD18)</f>
        <v>754</v>
      </c>
      <c r="AE19" s="2293">
        <f>SUM(AE16:AE18)</f>
        <v>1980</v>
      </c>
      <c r="AF19" s="2294">
        <f>SUM(AD19:AE19)</f>
        <v>2734</v>
      </c>
      <c r="AG19" s="2292">
        <f>SUM(AG16:AG18)</f>
        <v>763</v>
      </c>
      <c r="AH19" s="2293">
        <f>SUM(AH16:AH18)</f>
        <v>2119</v>
      </c>
      <c r="AI19" s="2294">
        <f>SUM(AG19:AH19)</f>
        <v>2882</v>
      </c>
      <c r="AJ19" s="2292">
        <f>SUM(AJ16:AJ18)</f>
        <v>683</v>
      </c>
      <c r="AK19" s="2293">
        <f>SUM(AK16:AK18)</f>
        <v>1934</v>
      </c>
      <c r="AL19" s="2294">
        <f>SUM(AJ19:AK19)</f>
        <v>2617</v>
      </c>
      <c r="AM19" s="2292">
        <f>SUM(AM16:AM18)</f>
        <v>608</v>
      </c>
      <c r="AN19" s="2293">
        <f>SUM(AN16:AN18)</f>
        <v>1935</v>
      </c>
      <c r="AO19" s="2294">
        <f>SUM(AM19:AN19)</f>
        <v>2543</v>
      </c>
      <c r="AP19" s="2292">
        <f>SUM(AP16:AP18)</f>
        <v>559</v>
      </c>
      <c r="AQ19" s="2293">
        <f>SUM(AQ16:AQ18)</f>
        <v>2059</v>
      </c>
      <c r="AR19" s="2294">
        <f>SUM(AP19:AQ19)</f>
        <v>2618</v>
      </c>
      <c r="AS19" s="2292">
        <f>SUM(AS16:AS18)</f>
        <v>431</v>
      </c>
      <c r="AT19" s="2293">
        <f>SUM(AT16:AT18)</f>
        <v>1960</v>
      </c>
      <c r="AU19" s="2294">
        <f>SUM(AS19:AT19)</f>
        <v>2391</v>
      </c>
    </row>
    <row r="20" spans="1:47" s="186" customFormat="1" x14ac:dyDescent="0.2">
      <c r="A20" s="195"/>
      <c r="B20" s="491"/>
      <c r="C20" s="491"/>
      <c r="D20" s="491"/>
      <c r="E20" s="491"/>
      <c r="F20" s="491"/>
      <c r="G20" s="491"/>
      <c r="H20" s="491"/>
      <c r="I20" s="491"/>
      <c r="J20" s="491"/>
      <c r="K20" s="491"/>
      <c r="L20" s="491"/>
      <c r="M20" s="491"/>
      <c r="N20" s="491"/>
      <c r="O20" s="491"/>
      <c r="P20" s="491"/>
      <c r="Q20" s="491"/>
      <c r="R20" s="491"/>
      <c r="S20" s="491"/>
      <c r="T20" s="491"/>
      <c r="U20" s="491"/>
      <c r="V20" s="491"/>
      <c r="W20" s="491"/>
      <c r="X20" s="491"/>
      <c r="Y20" s="491"/>
      <c r="Z20" s="491"/>
      <c r="AA20" s="262"/>
      <c r="AB20" s="262"/>
      <c r="AC20" s="262"/>
      <c r="AD20" s="765"/>
      <c r="AE20" s="765"/>
      <c r="AF20" s="262"/>
      <c r="AG20" s="765"/>
      <c r="AH20" s="765"/>
      <c r="AI20" s="262"/>
      <c r="AJ20" s="765"/>
      <c r="AK20" s="765"/>
      <c r="AL20" s="262"/>
      <c r="AM20" s="765"/>
      <c r="AN20" s="765"/>
      <c r="AO20" s="262"/>
      <c r="AP20" s="765"/>
      <c r="AQ20" s="765"/>
      <c r="AR20" s="262"/>
      <c r="AS20" s="765"/>
      <c r="AT20" s="765"/>
      <c r="AU20" s="262"/>
    </row>
    <row r="21" spans="1:47" s="186" customFormat="1" x14ac:dyDescent="0.2">
      <c r="A21" s="5775" t="s">
        <v>408</v>
      </c>
      <c r="B21" s="492" t="s">
        <v>5</v>
      </c>
      <c r="C21" s="699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4"/>
      <c r="AA21" s="465">
        <v>26</v>
      </c>
      <c r="AB21" s="464">
        <v>33</v>
      </c>
      <c r="AC21" s="494">
        <f>SUM(AA21:AB21)</f>
        <v>59</v>
      </c>
      <c r="AD21" s="465"/>
      <c r="AE21" s="464">
        <f>SUM('Inscritos plan'!AF94)</f>
        <v>30</v>
      </c>
      <c r="AF21" s="494">
        <f>SUM(AD21:AE21)</f>
        <v>30</v>
      </c>
      <c r="AG21" s="465">
        <f>SUM('Inscritos plan'!AH94)</f>
        <v>26</v>
      </c>
      <c r="AH21" s="464">
        <f>SUM('Inscritos plan'!AI94)</f>
        <v>26</v>
      </c>
      <c r="AI21" s="494">
        <f>SUM(AG21:AH21)</f>
        <v>52</v>
      </c>
      <c r="AJ21" s="465">
        <f>SUM('Inscritos plan'!AK94)</f>
        <v>21</v>
      </c>
      <c r="AK21" s="464">
        <f>SUM('Inscritos plan'!AL94)</f>
        <v>28</v>
      </c>
      <c r="AL21" s="494">
        <f>SUM(AJ21:AK21)</f>
        <v>49</v>
      </c>
      <c r="AM21" s="465">
        <f>SUM('Inscritos plan'!AN94)</f>
        <v>22</v>
      </c>
      <c r="AN21" s="464">
        <f>SUM('Inscritos plan'!AO94)</f>
        <v>46</v>
      </c>
      <c r="AO21" s="494">
        <f>SUM(AM21:AN21)</f>
        <v>68</v>
      </c>
      <c r="AP21" s="465">
        <f>SUM('Inscritos plan'!AQ94)</f>
        <v>18</v>
      </c>
      <c r="AQ21" s="464">
        <f>SUM('Inscritos plan'!AR94)</f>
        <v>34</v>
      </c>
      <c r="AR21" s="494">
        <f>SUM(AP21:AQ21)</f>
        <v>52</v>
      </c>
      <c r="AS21" s="465">
        <f>SUM('Inscritos plan'!AT94:AT95)</f>
        <v>53</v>
      </c>
      <c r="AT21" s="464">
        <f>SUM('Inscritos plan'!AU94:AU95)</f>
        <v>58</v>
      </c>
      <c r="AU21" s="494">
        <f>SUM(AS21:AT21)</f>
        <v>111</v>
      </c>
    </row>
    <row r="22" spans="1:47" s="186" customFormat="1" x14ac:dyDescent="0.2">
      <c r="A22" s="5776"/>
      <c r="B22" s="498" t="s">
        <v>6</v>
      </c>
      <c r="C22" s="700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500"/>
      <c r="AA22" s="468">
        <v>29</v>
      </c>
      <c r="AB22" s="467">
        <v>29</v>
      </c>
      <c r="AC22" s="500">
        <f>SUM(AA22:AB22)</f>
        <v>58</v>
      </c>
      <c r="AD22" s="468"/>
      <c r="AE22" s="467">
        <f>SUM('Inscritos plan'!AF97)</f>
        <v>33</v>
      </c>
      <c r="AF22" s="500">
        <f>SUM(AD22:AE22)</f>
        <v>33</v>
      </c>
      <c r="AG22" s="468">
        <f>SUM('Inscritos plan'!AH97)</f>
        <v>22</v>
      </c>
      <c r="AH22" s="467">
        <f>SUM('Inscritos plan'!AI97:AI98)</f>
        <v>47</v>
      </c>
      <c r="AI22" s="500">
        <f>SUM(AG22:AH22)</f>
        <v>69</v>
      </c>
      <c r="AJ22" s="468">
        <f>SUM('Inscritos plan'!AK97)</f>
        <v>0</v>
      </c>
      <c r="AK22" s="467">
        <f>SUM('Inscritos plan'!AL97:AL98)</f>
        <v>48</v>
      </c>
      <c r="AL22" s="500">
        <f>SUM(AJ22:AK22)</f>
        <v>48</v>
      </c>
      <c r="AM22" s="468">
        <f>SUM('Inscritos plan'!AN97)</f>
        <v>0</v>
      </c>
      <c r="AN22" s="467">
        <f>SUM('Inscritos plan'!AO97:AO98)</f>
        <v>55</v>
      </c>
      <c r="AO22" s="500">
        <f>SUM(AM22:AN22)</f>
        <v>55</v>
      </c>
      <c r="AP22" s="468">
        <f>SUM('Inscritos plan'!AQ97)</f>
        <v>31</v>
      </c>
      <c r="AQ22" s="467">
        <f>SUM('Inscritos plan'!AR97:AR98)</f>
        <v>58</v>
      </c>
      <c r="AR22" s="500">
        <f>SUM(AP22:AQ22)</f>
        <v>89</v>
      </c>
      <c r="AS22" s="468">
        <f>SUM('Inscritos plan'!AT97)</f>
        <v>27</v>
      </c>
      <c r="AT22" s="467">
        <f>SUM('Inscritos plan'!AU97:AU98)</f>
        <v>69</v>
      </c>
      <c r="AU22" s="500">
        <f>SUM(AS22:AT22)</f>
        <v>96</v>
      </c>
    </row>
    <row r="23" spans="1:47" s="186" customFormat="1" x14ac:dyDescent="0.2">
      <c r="A23" s="5776"/>
      <c r="B23" s="274" t="s">
        <v>11</v>
      </c>
      <c r="C23" s="700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500"/>
      <c r="AA23" s="468">
        <v>30</v>
      </c>
      <c r="AB23" s="467">
        <v>26</v>
      </c>
      <c r="AC23" s="500">
        <f>SUM(AA23:AB23)</f>
        <v>56</v>
      </c>
      <c r="AD23" s="468"/>
      <c r="AE23" s="467">
        <f>SUM('Inscritos plan'!AF100)</f>
        <v>26</v>
      </c>
      <c r="AF23" s="500">
        <f>SUM(AD23:AE23)</f>
        <v>26</v>
      </c>
      <c r="AG23" s="468">
        <f>SUM('Inscritos plan'!AH100)</f>
        <v>19</v>
      </c>
      <c r="AH23" s="467">
        <f>SUM('Inscritos plan'!AI100)</f>
        <v>36</v>
      </c>
      <c r="AI23" s="500">
        <f>SUM(AG23:AH23)</f>
        <v>55</v>
      </c>
      <c r="AJ23" s="468">
        <f>SUM('Inscritos plan'!AK100)</f>
        <v>30</v>
      </c>
      <c r="AK23" s="467">
        <f>SUM('Inscritos plan'!AL100)</f>
        <v>17</v>
      </c>
      <c r="AL23" s="500">
        <f>SUM(AJ23:AK23)</f>
        <v>47</v>
      </c>
      <c r="AM23" s="468">
        <f>SUM('Inscritos plan'!AN100)</f>
        <v>37</v>
      </c>
      <c r="AN23" s="467">
        <f>SUM('Inscritos plan'!AO100)</f>
        <v>41</v>
      </c>
      <c r="AO23" s="500">
        <f>SUM(AM23:AN23)</f>
        <v>78</v>
      </c>
      <c r="AP23" s="468">
        <f>SUM('Inscritos plan'!AQ100)</f>
        <v>31</v>
      </c>
      <c r="AQ23" s="467">
        <f>SUM('Inscritos plan'!AR100)</f>
        <v>50</v>
      </c>
      <c r="AR23" s="500">
        <f>SUM(AP23:AQ23)</f>
        <v>81</v>
      </c>
      <c r="AS23" s="468">
        <f>SUM('Inscritos plan'!AT100:AT101)</f>
        <v>34</v>
      </c>
      <c r="AT23" s="467">
        <f>SUM('Inscritos plan'!AU100:AU101)</f>
        <v>61</v>
      </c>
      <c r="AU23" s="500">
        <f>SUM(AS23:AT23)</f>
        <v>95</v>
      </c>
    </row>
    <row r="24" spans="1:47" s="188" customFormat="1" x14ac:dyDescent="0.2">
      <c r="A24" s="5777"/>
      <c r="B24" s="2223" t="s">
        <v>12</v>
      </c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2"/>
      <c r="V24" s="2302"/>
      <c r="W24" s="2302"/>
      <c r="X24" s="2302"/>
      <c r="Y24" s="2302"/>
      <c r="Z24" s="2303"/>
      <c r="AA24" s="2304">
        <f>SUM(AA21:AA23)</f>
        <v>85</v>
      </c>
      <c r="AB24" s="2305">
        <f>SUM(AB21:AB23)</f>
        <v>88</v>
      </c>
      <c r="AC24" s="2306">
        <f>SUM(AA24:AB24)</f>
        <v>173</v>
      </c>
      <c r="AD24" s="2304"/>
      <c r="AE24" s="2305">
        <f>SUM(AE21:AE23)</f>
        <v>89</v>
      </c>
      <c r="AF24" s="2306">
        <f>SUM(AD24:AE24)</f>
        <v>89</v>
      </c>
      <c r="AG24" s="2304">
        <f>SUM(AG21:AG23)</f>
        <v>67</v>
      </c>
      <c r="AH24" s="2305">
        <f>SUM(AH21:AH23)</f>
        <v>109</v>
      </c>
      <c r="AI24" s="2306">
        <f>SUM(AG24:AH24)</f>
        <v>176</v>
      </c>
      <c r="AJ24" s="2304">
        <f>SUM(AJ21:AJ23)</f>
        <v>51</v>
      </c>
      <c r="AK24" s="2305">
        <f>SUM(AK21:AK23)</f>
        <v>93</v>
      </c>
      <c r="AL24" s="2306">
        <f>SUM(AJ24:AK24)</f>
        <v>144</v>
      </c>
      <c r="AM24" s="2304">
        <f>SUM(AM21:AM23)</f>
        <v>59</v>
      </c>
      <c r="AN24" s="2305">
        <f>SUM(AN21:AN23)</f>
        <v>142</v>
      </c>
      <c r="AO24" s="2306">
        <f>SUM(AM24:AN24)</f>
        <v>201</v>
      </c>
      <c r="AP24" s="2304">
        <f>SUM(AP21:AP23)</f>
        <v>80</v>
      </c>
      <c r="AQ24" s="2305">
        <f>SUM(AQ21:AQ23)</f>
        <v>142</v>
      </c>
      <c r="AR24" s="2306">
        <f>SUM(AP24:AQ24)</f>
        <v>222</v>
      </c>
      <c r="AS24" s="2304">
        <f>SUM(AS21:AS23)</f>
        <v>114</v>
      </c>
      <c r="AT24" s="2305">
        <f>SUM(AT21:AT23)</f>
        <v>188</v>
      </c>
      <c r="AU24" s="2306">
        <f>SUM(AS24:AT24)</f>
        <v>302</v>
      </c>
    </row>
    <row r="25" spans="1:47" s="188" customFormat="1" ht="15.75" x14ac:dyDescent="0.25">
      <c r="A25" s="1781"/>
    </row>
    <row r="26" spans="1:47" s="188" customFormat="1" x14ac:dyDescent="0.2">
      <c r="A26" s="5784" t="s">
        <v>163</v>
      </c>
      <c r="B26" s="492" t="s">
        <v>6</v>
      </c>
      <c r="C26" s="465">
        <v>631</v>
      </c>
      <c r="D26" s="464">
        <v>675</v>
      </c>
      <c r="E26" s="493">
        <v>1306</v>
      </c>
      <c r="F26" s="465">
        <v>839</v>
      </c>
      <c r="G26" s="464">
        <v>734</v>
      </c>
      <c r="H26" s="493">
        <v>1573</v>
      </c>
      <c r="I26" s="465">
        <v>768</v>
      </c>
      <c r="J26" s="464">
        <v>684</v>
      </c>
      <c r="K26" s="494">
        <v>1452</v>
      </c>
      <c r="L26" s="464">
        <v>631</v>
      </c>
      <c r="M26" s="464">
        <v>647</v>
      </c>
      <c r="N26" s="494">
        <v>1278</v>
      </c>
      <c r="O26" s="464">
        <v>702</v>
      </c>
      <c r="P26" s="464">
        <v>653</v>
      </c>
      <c r="Q26" s="494">
        <v>1355</v>
      </c>
      <c r="R26" s="464">
        <v>695</v>
      </c>
      <c r="S26" s="464">
        <v>655</v>
      </c>
      <c r="T26" s="494">
        <v>1350</v>
      </c>
      <c r="U26" s="495">
        <v>643</v>
      </c>
      <c r="V26" s="496">
        <v>603</v>
      </c>
      <c r="W26" s="497">
        <v>1246</v>
      </c>
      <c r="X26" s="495">
        <v>654</v>
      </c>
      <c r="Y26" s="496">
        <v>652</v>
      </c>
      <c r="Z26" s="494">
        <f>SUM(X26:Y26)</f>
        <v>1306</v>
      </c>
      <c r="AA26" s="465">
        <v>650</v>
      </c>
      <c r="AB26" s="464">
        <v>612</v>
      </c>
      <c r="AC26" s="494">
        <f>SUM(AA26:AB26)</f>
        <v>1262</v>
      </c>
      <c r="AD26" s="465">
        <f>SUM('Inscritos plan'!AE57:AE62)</f>
        <v>646</v>
      </c>
      <c r="AE26" s="464">
        <f>SUM('Inscritos plan'!AF57:AF62)</f>
        <v>659</v>
      </c>
      <c r="AF26" s="494">
        <f>SUM(AD26:AE26)</f>
        <v>1305</v>
      </c>
      <c r="AG26" s="465">
        <f>SUM('Inscritos plan'!AH57:AH62)</f>
        <v>630</v>
      </c>
      <c r="AH26" s="464">
        <f>SUM('Inscritos plan'!AI57:AI62)</f>
        <v>649</v>
      </c>
      <c r="AI26" s="494">
        <f>SUM(AG26:AH26)</f>
        <v>1279</v>
      </c>
      <c r="AJ26" s="465">
        <f>SUM('Inscritos plan'!AK57:AK62)</f>
        <v>708</v>
      </c>
      <c r="AK26" s="464">
        <f>SUM('Inscritos plan'!AL57:AL62)</f>
        <v>649</v>
      </c>
      <c r="AL26" s="494">
        <f>SUM(AJ26:AK26)</f>
        <v>1357</v>
      </c>
      <c r="AM26" s="465">
        <f>SUM('Inscritos plan'!AN57:AN62)</f>
        <v>671</v>
      </c>
      <c r="AN26" s="464">
        <f>SUM('Inscritos plan'!AO57:AO62)</f>
        <v>649</v>
      </c>
      <c r="AO26" s="494">
        <f>SUM(AM26:AN26)</f>
        <v>1320</v>
      </c>
      <c r="AP26" s="465">
        <f>SUM('Inscritos plan'!AQ57:AQ62)</f>
        <v>660</v>
      </c>
      <c r="AQ26" s="464">
        <f>SUM('Inscritos plan'!AR57:AR62)</f>
        <v>728</v>
      </c>
      <c r="AR26" s="494">
        <f>SUM(AP26:AQ26)</f>
        <v>1388</v>
      </c>
      <c r="AS26" s="465">
        <f>SUM('Inscritos plan'!AT57:AT62)</f>
        <v>708</v>
      </c>
      <c r="AT26" s="464">
        <f>SUM('Inscritos plan'!AU57:AU62)</f>
        <v>679</v>
      </c>
      <c r="AU26" s="494">
        <f>SUM(AS26:AT26)</f>
        <v>1387</v>
      </c>
    </row>
    <row r="27" spans="1:47" s="188" customFormat="1" x14ac:dyDescent="0.2">
      <c r="A27" s="5785"/>
      <c r="B27" s="498" t="s">
        <v>11</v>
      </c>
      <c r="C27" s="468">
        <v>769</v>
      </c>
      <c r="D27" s="467">
        <v>776</v>
      </c>
      <c r="E27" s="499">
        <v>1545</v>
      </c>
      <c r="F27" s="468">
        <v>975</v>
      </c>
      <c r="G27" s="467">
        <v>943</v>
      </c>
      <c r="H27" s="499">
        <v>1918</v>
      </c>
      <c r="I27" s="468">
        <v>960</v>
      </c>
      <c r="J27" s="467">
        <v>912</v>
      </c>
      <c r="K27" s="500">
        <v>1872</v>
      </c>
      <c r="L27" s="467">
        <v>915</v>
      </c>
      <c r="M27" s="467">
        <v>880</v>
      </c>
      <c r="N27" s="500">
        <v>1795</v>
      </c>
      <c r="O27" s="467">
        <v>836</v>
      </c>
      <c r="P27" s="467">
        <v>747</v>
      </c>
      <c r="Q27" s="500">
        <v>1583</v>
      </c>
      <c r="R27" s="467">
        <v>859</v>
      </c>
      <c r="S27" s="467">
        <v>783</v>
      </c>
      <c r="T27" s="500">
        <v>1642</v>
      </c>
      <c r="U27" s="501">
        <v>790</v>
      </c>
      <c r="V27" s="502">
        <v>749</v>
      </c>
      <c r="W27" s="503">
        <v>1539</v>
      </c>
      <c r="X27" s="501">
        <v>813</v>
      </c>
      <c r="Y27" s="502">
        <v>823</v>
      </c>
      <c r="Z27" s="500">
        <f>SUM(X27:Y27)</f>
        <v>1636</v>
      </c>
      <c r="AA27" s="468">
        <v>815</v>
      </c>
      <c r="AB27" s="467">
        <v>764</v>
      </c>
      <c r="AC27" s="500">
        <f>SUM(AA27:AB27)</f>
        <v>1579</v>
      </c>
      <c r="AD27" s="468">
        <f>SUM('Inscritos plan'!AE64:AE71)</f>
        <v>795</v>
      </c>
      <c r="AE27" s="467">
        <f>SUM('Inscritos plan'!AF64:AF71)</f>
        <v>781</v>
      </c>
      <c r="AF27" s="500">
        <f>SUM(AD27:AE27)</f>
        <v>1576</v>
      </c>
      <c r="AG27" s="468">
        <f>SUM('Inscritos plan'!AH64:AH71)</f>
        <v>846</v>
      </c>
      <c r="AH27" s="467">
        <f>SUM('Inscritos plan'!AI64:AI71)</f>
        <v>814</v>
      </c>
      <c r="AI27" s="500">
        <f>SUM(AG27:AH27)</f>
        <v>1660</v>
      </c>
      <c r="AJ27" s="468">
        <f>SUM('Inscritos plan'!AK64:AK71)</f>
        <v>864</v>
      </c>
      <c r="AK27" s="467">
        <f>SUM('Inscritos plan'!AL64:AL71)</f>
        <v>810</v>
      </c>
      <c r="AL27" s="500">
        <f>SUM(AJ27:AK27)</f>
        <v>1674</v>
      </c>
      <c r="AM27" s="468">
        <f>SUM('Inscritos plan'!AN64:AN71)</f>
        <v>851</v>
      </c>
      <c r="AN27" s="467">
        <f>SUM('Inscritos plan'!AO64:AO71)</f>
        <v>833</v>
      </c>
      <c r="AO27" s="500">
        <f>SUM(AM27:AN27)</f>
        <v>1684</v>
      </c>
      <c r="AP27" s="468">
        <f>SUM('Inscritos plan'!AQ64:AQ71)</f>
        <v>864</v>
      </c>
      <c r="AQ27" s="467">
        <f>SUM('Inscritos plan'!AR64:AR71)</f>
        <v>896</v>
      </c>
      <c r="AR27" s="500">
        <f>SUM(AP27:AQ27)</f>
        <v>1760</v>
      </c>
      <c r="AS27" s="468">
        <f>SUM('Inscritos plan'!AT64:AT71)</f>
        <v>894</v>
      </c>
      <c r="AT27" s="467">
        <f>SUM('Inscritos plan'!AU64:AU71)</f>
        <v>866</v>
      </c>
      <c r="AU27" s="500">
        <f>SUM(AS27:AT27)</f>
        <v>1760</v>
      </c>
    </row>
    <row r="28" spans="1:47" s="188" customFormat="1" x14ac:dyDescent="0.2">
      <c r="A28" s="5785"/>
      <c r="B28" s="498" t="s">
        <v>7</v>
      </c>
      <c r="C28" s="468">
        <v>350</v>
      </c>
      <c r="D28" s="467">
        <v>357</v>
      </c>
      <c r="E28" s="499">
        <v>707</v>
      </c>
      <c r="F28" s="468">
        <v>366</v>
      </c>
      <c r="G28" s="467">
        <v>384</v>
      </c>
      <c r="H28" s="499">
        <v>750</v>
      </c>
      <c r="I28" s="468">
        <v>373</v>
      </c>
      <c r="J28" s="467">
        <v>367</v>
      </c>
      <c r="K28" s="500">
        <v>740</v>
      </c>
      <c r="L28" s="467">
        <v>334</v>
      </c>
      <c r="M28" s="467">
        <v>332</v>
      </c>
      <c r="N28" s="500">
        <v>666</v>
      </c>
      <c r="O28" s="467">
        <v>350</v>
      </c>
      <c r="P28" s="467">
        <v>345</v>
      </c>
      <c r="Q28" s="500">
        <v>695</v>
      </c>
      <c r="R28" s="467">
        <v>356</v>
      </c>
      <c r="S28" s="467">
        <v>347</v>
      </c>
      <c r="T28" s="500">
        <v>703</v>
      </c>
      <c r="U28" s="501">
        <v>306</v>
      </c>
      <c r="V28" s="502">
        <v>308</v>
      </c>
      <c r="W28" s="503">
        <v>614</v>
      </c>
      <c r="X28" s="501">
        <v>313</v>
      </c>
      <c r="Y28" s="502">
        <v>308</v>
      </c>
      <c r="Z28" s="500">
        <f>SUM(X28:Y28)</f>
        <v>621</v>
      </c>
      <c r="AA28" s="468">
        <v>329</v>
      </c>
      <c r="AB28" s="467">
        <v>312</v>
      </c>
      <c r="AC28" s="500">
        <f>SUM(AA28:AB28)</f>
        <v>641</v>
      </c>
      <c r="AD28" s="468">
        <f>SUM('Inscritos plan'!AE73:AE76)</f>
        <v>313</v>
      </c>
      <c r="AE28" s="467">
        <f>SUM('Inscritos plan'!AF73:AF76)</f>
        <v>318</v>
      </c>
      <c r="AF28" s="500">
        <f>SUM(AD28:AE28)</f>
        <v>631</v>
      </c>
      <c r="AG28" s="468">
        <f>SUM('Inscritos plan'!AH73:AH76)</f>
        <v>316</v>
      </c>
      <c r="AH28" s="467">
        <f>SUM('Inscritos plan'!AI73:AI76)</f>
        <v>319</v>
      </c>
      <c r="AI28" s="500">
        <f>SUM(AG28:AH28)</f>
        <v>635</v>
      </c>
      <c r="AJ28" s="468">
        <f>SUM('Inscritos plan'!AK73:AK76)</f>
        <v>320</v>
      </c>
      <c r="AK28" s="467">
        <f>SUM('Inscritos plan'!AL73:AL76)</f>
        <v>305</v>
      </c>
      <c r="AL28" s="500">
        <f>SUM(AJ28:AK28)</f>
        <v>625</v>
      </c>
      <c r="AM28" s="468">
        <f>SUM('Inscritos plan'!AN73:AN76)</f>
        <v>330</v>
      </c>
      <c r="AN28" s="467">
        <f>SUM('Inscritos plan'!AO73:AO76)</f>
        <v>323</v>
      </c>
      <c r="AO28" s="500">
        <f>SUM(AM28:AN28)</f>
        <v>653</v>
      </c>
      <c r="AP28" s="468">
        <f>SUM('Inscritos plan'!AQ73:AQ76)</f>
        <v>323</v>
      </c>
      <c r="AQ28" s="467">
        <f>SUM('Inscritos plan'!AR73:AR76)</f>
        <v>344</v>
      </c>
      <c r="AR28" s="500">
        <f>SUM(AP28:AQ28)</f>
        <v>667</v>
      </c>
      <c r="AS28" s="468">
        <f>SUM('Inscritos plan'!AT73:AT76)</f>
        <v>322</v>
      </c>
      <c r="AT28" s="467">
        <f>SUM('Inscritos plan'!AU73:AU76)</f>
        <v>339</v>
      </c>
      <c r="AU28" s="500">
        <f>SUM(AS28:AT28)</f>
        <v>661</v>
      </c>
    </row>
    <row r="29" spans="1:47" s="188" customFormat="1" x14ac:dyDescent="0.2">
      <c r="A29" s="5786"/>
      <c r="B29" s="2307" t="s">
        <v>12</v>
      </c>
      <c r="C29" s="2298">
        <v>1750</v>
      </c>
      <c r="D29" s="2299">
        <v>1808</v>
      </c>
      <c r="E29" s="2299">
        <v>3558</v>
      </c>
      <c r="F29" s="2298">
        <v>2180</v>
      </c>
      <c r="G29" s="2299">
        <v>2061</v>
      </c>
      <c r="H29" s="2299">
        <v>4241</v>
      </c>
      <c r="I29" s="2298">
        <v>2101</v>
      </c>
      <c r="J29" s="2299">
        <v>1963</v>
      </c>
      <c r="K29" s="2300">
        <v>4064</v>
      </c>
      <c r="L29" s="2299">
        <v>1880</v>
      </c>
      <c r="M29" s="2299">
        <v>1859</v>
      </c>
      <c r="N29" s="2300">
        <v>3739</v>
      </c>
      <c r="O29" s="2299">
        <v>1888</v>
      </c>
      <c r="P29" s="2299">
        <v>1745</v>
      </c>
      <c r="Q29" s="2300">
        <v>3633</v>
      </c>
      <c r="R29" s="2299">
        <v>1910</v>
      </c>
      <c r="S29" s="2299">
        <v>1785</v>
      </c>
      <c r="T29" s="2300">
        <v>3695</v>
      </c>
      <c r="U29" s="2308">
        <v>1739</v>
      </c>
      <c r="V29" s="2309">
        <v>1660</v>
      </c>
      <c r="W29" s="2310">
        <v>3399</v>
      </c>
      <c r="X29" s="2308">
        <f>SUM(X26:X28)</f>
        <v>1780</v>
      </c>
      <c r="Y29" s="2309">
        <v>1783</v>
      </c>
      <c r="Z29" s="2300">
        <f>SUM(X29:Y29)</f>
        <v>3563</v>
      </c>
      <c r="AA29" s="2298">
        <f>SUM(AA26:AA28)</f>
        <v>1794</v>
      </c>
      <c r="AB29" s="2299">
        <f>SUM(AB26:AB28)</f>
        <v>1688</v>
      </c>
      <c r="AC29" s="2300">
        <f>SUM(AA29:AB29)</f>
        <v>3482</v>
      </c>
      <c r="AD29" s="2298">
        <f>SUM(AD26:AD28)</f>
        <v>1754</v>
      </c>
      <c r="AE29" s="2299">
        <f>SUM(AE26:AE28)</f>
        <v>1758</v>
      </c>
      <c r="AF29" s="2300">
        <f>SUM(AD29:AE29)</f>
        <v>3512</v>
      </c>
      <c r="AG29" s="2298">
        <f>SUM(AG26:AG28)</f>
        <v>1792</v>
      </c>
      <c r="AH29" s="2299">
        <f>SUM(AH26:AH28)</f>
        <v>1782</v>
      </c>
      <c r="AI29" s="2300">
        <f>SUM(AG29:AH29)</f>
        <v>3574</v>
      </c>
      <c r="AJ29" s="2298">
        <f>SUM(AJ26:AJ28)</f>
        <v>1892</v>
      </c>
      <c r="AK29" s="2299">
        <f>SUM(AK26:AK28)</f>
        <v>1764</v>
      </c>
      <c r="AL29" s="2300">
        <f>SUM(AJ29:AK29)</f>
        <v>3656</v>
      </c>
      <c r="AM29" s="2298">
        <f>SUM(AM26:AM28)</f>
        <v>1852</v>
      </c>
      <c r="AN29" s="2299">
        <f>SUM(AN26:AN28)</f>
        <v>1805</v>
      </c>
      <c r="AO29" s="2300">
        <f>SUM(AM29:AN29)</f>
        <v>3657</v>
      </c>
      <c r="AP29" s="2298">
        <f>SUM(AP26:AP28)</f>
        <v>1847</v>
      </c>
      <c r="AQ29" s="2299">
        <f>SUM(AQ26:AQ28)</f>
        <v>1968</v>
      </c>
      <c r="AR29" s="2300">
        <f>SUM(AP29:AQ29)</f>
        <v>3815</v>
      </c>
      <c r="AS29" s="2298">
        <f>SUM(AS26:AS28)</f>
        <v>1924</v>
      </c>
      <c r="AT29" s="2299">
        <f>SUM(AT26:AT28)</f>
        <v>1884</v>
      </c>
      <c r="AU29" s="2300">
        <f>SUM(AS29:AT29)</f>
        <v>3808</v>
      </c>
    </row>
    <row r="30" spans="1:47" s="186" customFormat="1" x14ac:dyDescent="0.2">
      <c r="A30" s="491"/>
      <c r="B30" s="491"/>
      <c r="C30" s="491"/>
      <c r="D30" s="491"/>
      <c r="E30" s="491"/>
      <c r="F30" s="491"/>
      <c r="G30" s="491"/>
      <c r="H30" s="491"/>
      <c r="I30" s="491"/>
      <c r="J30" s="491"/>
      <c r="K30" s="491"/>
      <c r="L30" s="491"/>
      <c r="M30" s="491"/>
      <c r="N30" s="491"/>
      <c r="O30" s="491"/>
      <c r="P30" s="491"/>
      <c r="Q30" s="491"/>
      <c r="R30" s="491"/>
      <c r="S30" s="491"/>
      <c r="T30" s="491"/>
      <c r="U30" s="491"/>
      <c r="V30" s="491"/>
      <c r="W30" s="491"/>
      <c r="X30" s="491"/>
      <c r="Y30" s="491"/>
      <c r="Z30" s="491"/>
      <c r="AA30" s="262"/>
      <c r="AB30" s="262"/>
      <c r="AC30" s="262"/>
      <c r="AD30" s="765"/>
      <c r="AE30" s="765"/>
      <c r="AF30" s="262"/>
      <c r="AG30" s="765"/>
      <c r="AH30" s="765"/>
      <c r="AI30" s="262"/>
      <c r="AJ30" s="765"/>
      <c r="AK30" s="765"/>
      <c r="AL30" s="262"/>
      <c r="AM30" s="765"/>
      <c r="AN30" s="765"/>
      <c r="AO30" s="262"/>
      <c r="AP30" s="765"/>
      <c r="AQ30" s="765"/>
      <c r="AR30" s="262"/>
      <c r="AS30" s="765"/>
      <c r="AT30" s="765"/>
      <c r="AU30" s="262"/>
    </row>
    <row r="31" spans="1:47" s="186" customFormat="1" x14ac:dyDescent="0.2">
      <c r="A31" s="5683" t="s">
        <v>60</v>
      </c>
      <c r="B31" s="492" t="s">
        <v>5</v>
      </c>
      <c r="C31" s="465">
        <v>692</v>
      </c>
      <c r="D31" s="464">
        <v>1068</v>
      </c>
      <c r="E31" s="493">
        <v>1760</v>
      </c>
      <c r="F31" s="465">
        <v>961</v>
      </c>
      <c r="G31" s="464">
        <v>1329</v>
      </c>
      <c r="H31" s="493">
        <v>2290</v>
      </c>
      <c r="I31" s="465">
        <v>953</v>
      </c>
      <c r="J31" s="464">
        <v>1217</v>
      </c>
      <c r="K31" s="494">
        <v>2170</v>
      </c>
      <c r="L31" s="464">
        <v>1078</v>
      </c>
      <c r="M31" s="464">
        <v>1208</v>
      </c>
      <c r="N31" s="494">
        <v>2286</v>
      </c>
      <c r="O31" s="464">
        <v>922</v>
      </c>
      <c r="P31" s="464">
        <v>1174</v>
      </c>
      <c r="Q31" s="494">
        <v>2096</v>
      </c>
      <c r="R31" s="464">
        <v>933</v>
      </c>
      <c r="S31" s="464">
        <v>1407</v>
      </c>
      <c r="T31" s="494">
        <v>2340</v>
      </c>
      <c r="U31" s="495">
        <v>919</v>
      </c>
      <c r="V31" s="496">
        <v>1194</v>
      </c>
      <c r="W31" s="497">
        <v>2113</v>
      </c>
      <c r="X31" s="495">
        <f>X6+X16</f>
        <v>969</v>
      </c>
      <c r="Y31" s="496">
        <v>1557</v>
      </c>
      <c r="Z31" s="494">
        <f t="shared" ref="Z31:Z37" si="0">SUM(X31:Y31)</f>
        <v>2526</v>
      </c>
      <c r="AA31" s="465">
        <f>SUM(AA6,AA16,AA21)</f>
        <v>1120</v>
      </c>
      <c r="AB31" s="464">
        <f>SUM(AB6,AB16,AB21)</f>
        <v>1192</v>
      </c>
      <c r="AC31" s="466">
        <f t="shared" ref="AC31:AC36" si="1">SUM(AA31:AB31)</f>
        <v>2312</v>
      </c>
      <c r="AD31" s="465">
        <f>SUM(AD6,AD16,AD21)</f>
        <v>637</v>
      </c>
      <c r="AE31" s="464">
        <f>SUM(AE6,AE16,AE21)</f>
        <v>1191</v>
      </c>
      <c r="AF31" s="494">
        <f t="shared" ref="AF31:AF36" si="2">SUM(AD31:AE31)</f>
        <v>1828</v>
      </c>
      <c r="AG31" s="465">
        <f>SUM(AG6,AG16,AG21)</f>
        <v>799</v>
      </c>
      <c r="AH31" s="464">
        <f>SUM(AH6,AH16,AH21)</f>
        <v>1311</v>
      </c>
      <c r="AI31" s="494">
        <f t="shared" ref="AI31:AI36" si="3">SUM(AG31:AH31)</f>
        <v>2110</v>
      </c>
      <c r="AJ31" s="465">
        <f>SUM(AJ6,AJ16,AJ21)</f>
        <v>638</v>
      </c>
      <c r="AK31" s="464">
        <f>SUM(AK6,AK16,AK21)</f>
        <v>1284</v>
      </c>
      <c r="AL31" s="494">
        <f t="shared" ref="AL31:AL36" si="4">SUM(AJ31:AK31)</f>
        <v>1922</v>
      </c>
      <c r="AM31" s="465">
        <f>SUM(AM6,AM16,AM21)</f>
        <v>548</v>
      </c>
      <c r="AN31" s="464">
        <f>SUM(AN6,AN16,AN21)</f>
        <v>1282</v>
      </c>
      <c r="AO31" s="494">
        <f t="shared" ref="AO31:AO36" si="5">SUM(AM31:AN31)</f>
        <v>1830</v>
      </c>
      <c r="AP31" s="465">
        <f>SUM(AP6,AP16,AP21)</f>
        <v>696</v>
      </c>
      <c r="AQ31" s="464">
        <f>SUM(AQ6,AQ16,AQ21)</f>
        <v>1285</v>
      </c>
      <c r="AR31" s="494">
        <f t="shared" ref="AR31:AR36" si="6">SUM(AP31:AQ31)</f>
        <v>1981</v>
      </c>
      <c r="AS31" s="465">
        <f>SUM(AS6,AS16,AS21)</f>
        <v>579</v>
      </c>
      <c r="AT31" s="464">
        <f>SUM(AT6,AT16,AT21)</f>
        <v>1216</v>
      </c>
      <c r="AU31" s="494">
        <f t="shared" ref="AU31:AU36" si="7">SUM(AS31:AT31)</f>
        <v>1795</v>
      </c>
    </row>
    <row r="32" spans="1:47" s="186" customFormat="1" x14ac:dyDescent="0.2">
      <c r="A32" s="5684"/>
      <c r="B32" s="498" t="s">
        <v>6</v>
      </c>
      <c r="C32" s="468">
        <v>1257</v>
      </c>
      <c r="D32" s="467">
        <v>1909</v>
      </c>
      <c r="E32" s="499">
        <v>3166</v>
      </c>
      <c r="F32" s="468">
        <v>1441</v>
      </c>
      <c r="G32" s="467">
        <v>2156</v>
      </c>
      <c r="H32" s="499">
        <v>3597</v>
      </c>
      <c r="I32" s="468">
        <v>1375</v>
      </c>
      <c r="J32" s="467">
        <v>2132</v>
      </c>
      <c r="K32" s="500">
        <v>3507</v>
      </c>
      <c r="L32" s="467">
        <v>1197</v>
      </c>
      <c r="M32" s="467">
        <v>2072</v>
      </c>
      <c r="N32" s="500">
        <v>3269</v>
      </c>
      <c r="O32" s="467">
        <v>1437</v>
      </c>
      <c r="P32" s="467">
        <v>2152</v>
      </c>
      <c r="Q32" s="500">
        <v>3589</v>
      </c>
      <c r="R32" s="467">
        <v>1550</v>
      </c>
      <c r="S32" s="467">
        <v>2257</v>
      </c>
      <c r="T32" s="500">
        <v>3807</v>
      </c>
      <c r="U32" s="501">
        <v>1374</v>
      </c>
      <c r="V32" s="502">
        <v>2156</v>
      </c>
      <c r="W32" s="503">
        <v>3530</v>
      </c>
      <c r="X32" s="501">
        <f>X7+X11+X17+X26</f>
        <v>1356</v>
      </c>
      <c r="Y32" s="502">
        <v>2186</v>
      </c>
      <c r="Z32" s="500">
        <f t="shared" si="0"/>
        <v>3542</v>
      </c>
      <c r="AA32" s="468">
        <f>SUM(AA7,AA11,AA17,AA26,AA22)</f>
        <v>1379</v>
      </c>
      <c r="AB32" s="467">
        <f>SUM(AB7,AB11,AB17,AB26,AB22)</f>
        <v>2151</v>
      </c>
      <c r="AC32" s="469">
        <f t="shared" si="1"/>
        <v>3530</v>
      </c>
      <c r="AD32" s="468">
        <f>SUM(AD7,AD11,AD17,AD26,AD22)</f>
        <v>1422</v>
      </c>
      <c r="AE32" s="467">
        <f>SUM(AE7,AE11,AE17,AE26,AE22)</f>
        <v>2299</v>
      </c>
      <c r="AF32" s="500">
        <f t="shared" si="2"/>
        <v>3721</v>
      </c>
      <c r="AG32" s="468">
        <f>SUM(AG7,AG11,AG17,AG26,AG22)</f>
        <v>1417</v>
      </c>
      <c r="AH32" s="467">
        <f>SUM(AH7,AH11,AH17,AH26,AH22)</f>
        <v>2321</v>
      </c>
      <c r="AI32" s="500">
        <f t="shared" si="3"/>
        <v>3738</v>
      </c>
      <c r="AJ32" s="468">
        <f>SUM(AJ7,AJ11,AJ17,AJ26,AJ22)</f>
        <v>1569</v>
      </c>
      <c r="AK32" s="467">
        <f>SUM(AK7,AK11,AK17,AK26,AK22)</f>
        <v>2321</v>
      </c>
      <c r="AL32" s="500">
        <f t="shared" si="4"/>
        <v>3890</v>
      </c>
      <c r="AM32" s="468">
        <f>SUM(AM7,AM11,AM17,AM26,AM22)</f>
        <v>1502</v>
      </c>
      <c r="AN32" s="467">
        <f>SUM(AN7,AN11,AN17,AN26,AN22)</f>
        <v>2400</v>
      </c>
      <c r="AO32" s="500">
        <f t="shared" si="5"/>
        <v>3902</v>
      </c>
      <c r="AP32" s="468">
        <f>SUM(AP7,AP11,AP17,AP26,AP22)</f>
        <v>1496</v>
      </c>
      <c r="AQ32" s="467">
        <f>SUM(AQ7,AQ11,AQ17,AQ26,AQ22)</f>
        <v>2582</v>
      </c>
      <c r="AR32" s="500">
        <f t="shared" si="6"/>
        <v>4078</v>
      </c>
      <c r="AS32" s="468">
        <f>SUM(AS7,AS11,AS17,AS26,AS22)</f>
        <v>1550</v>
      </c>
      <c r="AT32" s="467">
        <f>SUM(AT7,AT11,AT17,AT26,AT22)</f>
        <v>2502</v>
      </c>
      <c r="AU32" s="500">
        <f t="shared" si="7"/>
        <v>4052</v>
      </c>
    </row>
    <row r="33" spans="1:47" s="186" customFormat="1" x14ac:dyDescent="0.2">
      <c r="A33" s="5684"/>
      <c r="B33" s="498" t="s">
        <v>11</v>
      </c>
      <c r="C33" s="468">
        <v>927</v>
      </c>
      <c r="D33" s="467">
        <v>1072</v>
      </c>
      <c r="E33" s="499">
        <v>1999</v>
      </c>
      <c r="F33" s="468">
        <v>1142</v>
      </c>
      <c r="G33" s="467">
        <v>1297</v>
      </c>
      <c r="H33" s="499">
        <v>2439</v>
      </c>
      <c r="I33" s="468">
        <v>1138</v>
      </c>
      <c r="J33" s="467">
        <v>1239</v>
      </c>
      <c r="K33" s="500">
        <v>2377</v>
      </c>
      <c r="L33" s="467">
        <v>1157</v>
      </c>
      <c r="M33" s="467">
        <v>1246</v>
      </c>
      <c r="N33" s="500">
        <v>2403</v>
      </c>
      <c r="O33" s="467">
        <v>1037</v>
      </c>
      <c r="P33" s="467">
        <v>1139</v>
      </c>
      <c r="Q33" s="500">
        <v>2176</v>
      </c>
      <c r="R33" s="467">
        <v>1114</v>
      </c>
      <c r="S33" s="467">
        <v>1184</v>
      </c>
      <c r="T33" s="500">
        <v>2298</v>
      </c>
      <c r="U33" s="501">
        <v>1136</v>
      </c>
      <c r="V33" s="502">
        <v>1156</v>
      </c>
      <c r="W33" s="503">
        <v>2292</v>
      </c>
      <c r="X33" s="501">
        <f>X18+X27</f>
        <v>1186</v>
      </c>
      <c r="Y33" s="502">
        <v>1253</v>
      </c>
      <c r="Z33" s="500">
        <f t="shared" si="0"/>
        <v>2439</v>
      </c>
      <c r="AA33" s="468">
        <f>SUM(AA18,AA27,AA23)</f>
        <v>1236</v>
      </c>
      <c r="AB33" s="467">
        <f>SUM(AB18,AB27,AB23)</f>
        <v>1205</v>
      </c>
      <c r="AC33" s="469">
        <f t="shared" si="1"/>
        <v>2441</v>
      </c>
      <c r="AD33" s="468">
        <f>SUM(AD18,AD27,AD23)</f>
        <v>1194</v>
      </c>
      <c r="AE33" s="467">
        <f>SUM(AE18,AE27,AE23)</f>
        <v>1212</v>
      </c>
      <c r="AF33" s="500">
        <f t="shared" si="2"/>
        <v>2406</v>
      </c>
      <c r="AG33" s="468">
        <f>SUM(AG18,AG27,AG23)</f>
        <v>1247</v>
      </c>
      <c r="AH33" s="467">
        <f>SUM(AH18,AH27,AH23)</f>
        <v>1274</v>
      </c>
      <c r="AI33" s="500">
        <f t="shared" si="3"/>
        <v>2521</v>
      </c>
      <c r="AJ33" s="468">
        <f>SUM(AJ18,AJ27,AJ23)</f>
        <v>1244</v>
      </c>
      <c r="AK33" s="467">
        <f>SUM(AK18,AK27,AK23)</f>
        <v>1212</v>
      </c>
      <c r="AL33" s="500">
        <f t="shared" si="4"/>
        <v>2456</v>
      </c>
      <c r="AM33" s="468">
        <f>SUM(AM18,AM27,AM23)</f>
        <v>1186</v>
      </c>
      <c r="AN33" s="467">
        <f>SUM(AN18,AN27,AN23)</f>
        <v>1251</v>
      </c>
      <c r="AO33" s="500">
        <f t="shared" si="5"/>
        <v>2437</v>
      </c>
      <c r="AP33" s="468">
        <f>SUM(AP18,AP27,AP23)</f>
        <v>1174</v>
      </c>
      <c r="AQ33" s="467">
        <f>SUM(AQ18,AQ27,AQ23)</f>
        <v>1330</v>
      </c>
      <c r="AR33" s="500">
        <f t="shared" si="6"/>
        <v>2504</v>
      </c>
      <c r="AS33" s="468">
        <f>SUM(AS18,AS27,AS23)</f>
        <v>1214</v>
      </c>
      <c r="AT33" s="467">
        <f>SUM(AT18,AT27,AT23)</f>
        <v>1295</v>
      </c>
      <c r="AU33" s="500">
        <f t="shared" si="7"/>
        <v>2509</v>
      </c>
    </row>
    <row r="34" spans="1:47" s="186" customFormat="1" x14ac:dyDescent="0.2">
      <c r="A34" s="5684"/>
      <c r="B34" s="498" t="s">
        <v>7</v>
      </c>
      <c r="C34" s="468">
        <v>679</v>
      </c>
      <c r="D34" s="467">
        <v>713</v>
      </c>
      <c r="E34" s="499">
        <v>1392</v>
      </c>
      <c r="F34" s="468">
        <v>678</v>
      </c>
      <c r="G34" s="467">
        <v>708</v>
      </c>
      <c r="H34" s="499">
        <v>1386</v>
      </c>
      <c r="I34" s="468">
        <v>671</v>
      </c>
      <c r="J34" s="467">
        <v>636</v>
      </c>
      <c r="K34" s="500">
        <v>1307</v>
      </c>
      <c r="L34" s="467">
        <v>587</v>
      </c>
      <c r="M34" s="467">
        <v>579</v>
      </c>
      <c r="N34" s="500">
        <v>1166</v>
      </c>
      <c r="O34" s="467">
        <v>617</v>
      </c>
      <c r="P34" s="467">
        <v>591</v>
      </c>
      <c r="Q34" s="500">
        <v>1208</v>
      </c>
      <c r="R34" s="467">
        <v>630</v>
      </c>
      <c r="S34" s="467">
        <v>621</v>
      </c>
      <c r="T34" s="500">
        <v>1251</v>
      </c>
      <c r="U34" s="501">
        <v>575</v>
      </c>
      <c r="V34" s="502">
        <v>564</v>
      </c>
      <c r="W34" s="503">
        <v>1139</v>
      </c>
      <c r="X34" s="501">
        <f>X8+X28</f>
        <v>580</v>
      </c>
      <c r="Y34" s="502">
        <v>574</v>
      </c>
      <c r="Z34" s="500">
        <f t="shared" si="0"/>
        <v>1154</v>
      </c>
      <c r="AA34" s="468">
        <f>SUM(AA8,AA28)</f>
        <v>601</v>
      </c>
      <c r="AB34" s="467">
        <f>SUM(AB8,AB28)</f>
        <v>573</v>
      </c>
      <c r="AC34" s="469">
        <f t="shared" si="1"/>
        <v>1174</v>
      </c>
      <c r="AD34" s="468">
        <f>SUM(AD8,AD28)</f>
        <v>586</v>
      </c>
      <c r="AE34" s="467">
        <f>SUM(AE8,AE28)</f>
        <v>592</v>
      </c>
      <c r="AF34" s="500">
        <f t="shared" si="2"/>
        <v>1178</v>
      </c>
      <c r="AG34" s="468">
        <f>SUM(AG8,AG28)</f>
        <v>616</v>
      </c>
      <c r="AH34" s="467">
        <f>SUM(AH8,AH28)</f>
        <v>606</v>
      </c>
      <c r="AI34" s="500">
        <f t="shared" si="3"/>
        <v>1222</v>
      </c>
      <c r="AJ34" s="468">
        <f>SUM(AJ8,AJ28)</f>
        <v>624</v>
      </c>
      <c r="AK34" s="467">
        <f>SUM(AK8,AK28)</f>
        <v>597</v>
      </c>
      <c r="AL34" s="500">
        <f t="shared" si="4"/>
        <v>1221</v>
      </c>
      <c r="AM34" s="468">
        <f>SUM(AM8,AM28)</f>
        <v>629</v>
      </c>
      <c r="AN34" s="467">
        <f>SUM(AN8,AN28)</f>
        <v>669</v>
      </c>
      <c r="AO34" s="500">
        <f t="shared" si="5"/>
        <v>1298</v>
      </c>
      <c r="AP34" s="468">
        <f>SUM(AP8,AP28)</f>
        <v>603</v>
      </c>
      <c r="AQ34" s="467">
        <f>SUM(AQ8,AQ28)</f>
        <v>688</v>
      </c>
      <c r="AR34" s="500">
        <f t="shared" si="6"/>
        <v>1291</v>
      </c>
      <c r="AS34" s="468">
        <f>SUM(AS8,AS28)</f>
        <v>681</v>
      </c>
      <c r="AT34" s="467">
        <f>SUM(AT8,AT28)</f>
        <v>689</v>
      </c>
      <c r="AU34" s="500">
        <f t="shared" si="7"/>
        <v>1370</v>
      </c>
    </row>
    <row r="35" spans="1:47" s="186" customFormat="1" x14ac:dyDescent="0.2">
      <c r="A35" s="5684"/>
      <c r="B35" s="498" t="s">
        <v>9</v>
      </c>
      <c r="C35" s="468"/>
      <c r="D35" s="467"/>
      <c r="E35" s="499"/>
      <c r="F35" s="468"/>
      <c r="G35" s="467"/>
      <c r="H35" s="499"/>
      <c r="I35" s="468"/>
      <c r="J35" s="467">
        <v>34</v>
      </c>
      <c r="K35" s="500">
        <v>34</v>
      </c>
      <c r="L35" s="467"/>
      <c r="M35" s="467">
        <v>30</v>
      </c>
      <c r="N35" s="500">
        <v>30</v>
      </c>
      <c r="O35" s="467"/>
      <c r="P35" s="467">
        <v>131</v>
      </c>
      <c r="Q35" s="500">
        <v>131</v>
      </c>
      <c r="R35" s="467"/>
      <c r="S35" s="467">
        <v>129</v>
      </c>
      <c r="T35" s="500">
        <v>129</v>
      </c>
      <c r="U35" s="501"/>
      <c r="V35" s="502">
        <v>96</v>
      </c>
      <c r="W35" s="503">
        <v>96</v>
      </c>
      <c r="X35" s="501"/>
      <c r="Y35" s="502">
        <v>118</v>
      </c>
      <c r="Z35" s="500">
        <f t="shared" si="0"/>
        <v>118</v>
      </c>
      <c r="AA35" s="468"/>
      <c r="AB35" s="467">
        <f>SUM(AB12)</f>
        <v>125</v>
      </c>
      <c r="AC35" s="469">
        <f t="shared" si="1"/>
        <v>125</v>
      </c>
      <c r="AD35" s="467"/>
      <c r="AE35" s="467">
        <f>SUM(AE12)</f>
        <v>134</v>
      </c>
      <c r="AF35" s="500">
        <f t="shared" si="2"/>
        <v>134</v>
      </c>
      <c r="AG35" s="467"/>
      <c r="AH35" s="467">
        <f>SUM(AH12)</f>
        <v>122</v>
      </c>
      <c r="AI35" s="500">
        <f t="shared" si="3"/>
        <v>122</v>
      </c>
      <c r="AJ35" s="467"/>
      <c r="AK35" s="467">
        <f>SUM(AK12)</f>
        <v>155</v>
      </c>
      <c r="AL35" s="500">
        <f t="shared" si="4"/>
        <v>155</v>
      </c>
      <c r="AM35" s="467"/>
      <c r="AN35" s="467">
        <f>SUM(AN12)</f>
        <v>189</v>
      </c>
      <c r="AO35" s="500">
        <f t="shared" si="5"/>
        <v>189</v>
      </c>
      <c r="AP35" s="467"/>
      <c r="AQ35" s="467">
        <f>SUM(AQ12)</f>
        <v>226</v>
      </c>
      <c r="AR35" s="500">
        <f t="shared" si="6"/>
        <v>226</v>
      </c>
      <c r="AS35" s="467"/>
      <c r="AT35" s="467">
        <f>SUM(AT12)</f>
        <v>219</v>
      </c>
      <c r="AU35" s="500">
        <f t="shared" si="7"/>
        <v>219</v>
      </c>
    </row>
    <row r="36" spans="1:47" s="186" customFormat="1" x14ac:dyDescent="0.2">
      <c r="A36" s="5685"/>
      <c r="B36" s="504" t="s">
        <v>74</v>
      </c>
      <c r="C36" s="471"/>
      <c r="D36" s="470"/>
      <c r="E36" s="505"/>
      <c r="F36" s="471"/>
      <c r="G36" s="470"/>
      <c r="H36" s="505"/>
      <c r="I36" s="471"/>
      <c r="J36" s="470">
        <v>58</v>
      </c>
      <c r="K36" s="506">
        <v>58</v>
      </c>
      <c r="L36" s="470"/>
      <c r="M36" s="470">
        <v>28</v>
      </c>
      <c r="N36" s="506">
        <v>28</v>
      </c>
      <c r="O36" s="470"/>
      <c r="P36" s="470">
        <v>64</v>
      </c>
      <c r="Q36" s="506">
        <v>64</v>
      </c>
      <c r="R36" s="470"/>
      <c r="S36" s="470">
        <v>110</v>
      </c>
      <c r="T36" s="506">
        <v>110</v>
      </c>
      <c r="U36" s="507"/>
      <c r="V36" s="508">
        <v>83</v>
      </c>
      <c r="W36" s="509">
        <v>83</v>
      </c>
      <c r="X36" s="507"/>
      <c r="Y36" s="508">
        <v>107</v>
      </c>
      <c r="Z36" s="506">
        <f t="shared" si="0"/>
        <v>107</v>
      </c>
      <c r="AA36" s="471"/>
      <c r="AB36" s="470">
        <f>SUM(AB13)</f>
        <v>110</v>
      </c>
      <c r="AC36" s="469">
        <f t="shared" si="1"/>
        <v>110</v>
      </c>
      <c r="AD36" s="470"/>
      <c r="AE36" s="470">
        <f>SUM(AE13)</f>
        <v>136</v>
      </c>
      <c r="AF36" s="500">
        <f t="shared" si="2"/>
        <v>136</v>
      </c>
      <c r="AG36" s="470"/>
      <c r="AH36" s="470">
        <f>SUM(AH13)</f>
        <v>145</v>
      </c>
      <c r="AI36" s="500">
        <f t="shared" si="3"/>
        <v>145</v>
      </c>
      <c r="AJ36" s="470"/>
      <c r="AK36" s="470">
        <f>SUM(AK13)</f>
        <v>229</v>
      </c>
      <c r="AL36" s="500">
        <f t="shared" si="4"/>
        <v>229</v>
      </c>
      <c r="AM36" s="470"/>
      <c r="AN36" s="470">
        <f>SUM(AN13)</f>
        <v>193</v>
      </c>
      <c r="AO36" s="500">
        <f t="shared" si="5"/>
        <v>193</v>
      </c>
      <c r="AP36" s="470"/>
      <c r="AQ36" s="470">
        <f>SUM(AQ13)</f>
        <v>236</v>
      </c>
      <c r="AR36" s="500">
        <f t="shared" si="6"/>
        <v>236</v>
      </c>
      <c r="AS36" s="470"/>
      <c r="AT36" s="470">
        <f>SUM(AT13)</f>
        <v>216</v>
      </c>
      <c r="AU36" s="500">
        <f t="shared" si="7"/>
        <v>216</v>
      </c>
    </row>
    <row r="37" spans="1:47" s="201" customFormat="1" ht="15.75" x14ac:dyDescent="0.2">
      <c r="A37" s="5655" t="s">
        <v>12</v>
      </c>
      <c r="B37" s="5657"/>
      <c r="C37" s="565">
        <v>3555</v>
      </c>
      <c r="D37" s="566">
        <v>4762</v>
      </c>
      <c r="E37" s="566">
        <v>8317</v>
      </c>
      <c r="F37" s="565">
        <v>4222</v>
      </c>
      <c r="G37" s="566">
        <v>5490</v>
      </c>
      <c r="H37" s="566">
        <v>9712</v>
      </c>
      <c r="I37" s="565">
        <v>4137</v>
      </c>
      <c r="J37" s="566">
        <v>5316</v>
      </c>
      <c r="K37" s="567">
        <v>9453</v>
      </c>
      <c r="L37" s="566">
        <v>4019</v>
      </c>
      <c r="M37" s="566">
        <v>5163</v>
      </c>
      <c r="N37" s="567">
        <v>9182</v>
      </c>
      <c r="O37" s="566">
        <v>4013</v>
      </c>
      <c r="P37" s="566">
        <v>5251</v>
      </c>
      <c r="Q37" s="567">
        <v>9264</v>
      </c>
      <c r="R37" s="566">
        <v>4227</v>
      </c>
      <c r="S37" s="566">
        <v>5708</v>
      </c>
      <c r="T37" s="567">
        <v>9935</v>
      </c>
      <c r="U37" s="582">
        <v>4004</v>
      </c>
      <c r="V37" s="583">
        <v>5249</v>
      </c>
      <c r="W37" s="584">
        <v>9253</v>
      </c>
      <c r="X37" s="582">
        <f>SUM(X31:X36)</f>
        <v>4091</v>
      </c>
      <c r="Y37" s="583">
        <v>5795</v>
      </c>
      <c r="Z37" s="567">
        <f t="shared" si="0"/>
        <v>9886</v>
      </c>
      <c r="AA37" s="565">
        <f t="shared" ref="AA37:AF37" si="8">SUM(AA31:AA36)</f>
        <v>4336</v>
      </c>
      <c r="AB37" s="566">
        <f t="shared" si="8"/>
        <v>5356</v>
      </c>
      <c r="AC37" s="567">
        <f t="shared" si="8"/>
        <v>9692</v>
      </c>
      <c r="AD37" s="565">
        <f t="shared" si="8"/>
        <v>3839</v>
      </c>
      <c r="AE37" s="566">
        <f t="shared" si="8"/>
        <v>5564</v>
      </c>
      <c r="AF37" s="567">
        <f t="shared" si="8"/>
        <v>9403</v>
      </c>
      <c r="AG37" s="565">
        <f t="shared" ref="AG37:AL37" si="9">SUM(AG31:AG36)</f>
        <v>4079</v>
      </c>
      <c r="AH37" s="566">
        <f t="shared" si="9"/>
        <v>5779</v>
      </c>
      <c r="AI37" s="567">
        <f t="shared" si="9"/>
        <v>9858</v>
      </c>
      <c r="AJ37" s="565">
        <f t="shared" si="9"/>
        <v>4075</v>
      </c>
      <c r="AK37" s="566">
        <f t="shared" si="9"/>
        <v>5798</v>
      </c>
      <c r="AL37" s="567">
        <f t="shared" si="9"/>
        <v>9873</v>
      </c>
      <c r="AM37" s="565">
        <f t="shared" ref="AM37:AU37" si="10">SUM(AM31:AM36)</f>
        <v>3865</v>
      </c>
      <c r="AN37" s="566">
        <f t="shared" si="10"/>
        <v>5984</v>
      </c>
      <c r="AO37" s="567">
        <f t="shared" si="10"/>
        <v>9849</v>
      </c>
      <c r="AP37" s="565">
        <f t="shared" si="10"/>
        <v>3969</v>
      </c>
      <c r="AQ37" s="566">
        <f t="shared" si="10"/>
        <v>6347</v>
      </c>
      <c r="AR37" s="567">
        <f t="shared" si="10"/>
        <v>10316</v>
      </c>
      <c r="AS37" s="565">
        <f t="shared" si="10"/>
        <v>4024</v>
      </c>
      <c r="AT37" s="566">
        <f t="shared" si="10"/>
        <v>6137</v>
      </c>
      <c r="AU37" s="567">
        <f t="shared" si="10"/>
        <v>10161</v>
      </c>
    </row>
    <row r="38" spans="1:47" x14ac:dyDescent="0.2">
      <c r="A38" s="553"/>
      <c r="B38" s="400"/>
      <c r="C38" s="401"/>
      <c r="D38" s="401"/>
      <c r="E38" s="401"/>
      <c r="X38" s="402"/>
    </row>
    <row r="39" spans="1:47" x14ac:dyDescent="0.2">
      <c r="A39" s="240" t="s">
        <v>648</v>
      </c>
      <c r="B39" s="555"/>
      <c r="C39" s="555"/>
      <c r="D39" s="555"/>
      <c r="E39" s="555"/>
      <c r="T39" s="402"/>
      <c r="W39" s="402"/>
      <c r="X39" s="402"/>
      <c r="AF39" s="402"/>
    </row>
    <row r="40" spans="1:47" x14ac:dyDescent="0.2">
      <c r="A40" s="5771"/>
      <c r="B40" s="5771"/>
      <c r="AE40" s="402"/>
    </row>
    <row r="42" spans="1:47" x14ac:dyDescent="0.2">
      <c r="AO42" s="3903">
        <v>2003</v>
      </c>
    </row>
    <row r="43" spans="1:47" x14ac:dyDescent="0.2">
      <c r="AO43" s="3903">
        <v>2004</v>
      </c>
    </row>
    <row r="44" spans="1:47" x14ac:dyDescent="0.2">
      <c r="AO44" s="3903">
        <v>2005</v>
      </c>
    </row>
    <row r="45" spans="1:47" x14ac:dyDescent="0.2">
      <c r="AO45" s="3903">
        <v>2006</v>
      </c>
    </row>
    <row r="46" spans="1:47" x14ac:dyDescent="0.2">
      <c r="AO46" s="3903">
        <v>2007</v>
      </c>
    </row>
    <row r="47" spans="1:47" x14ac:dyDescent="0.2">
      <c r="AO47" s="3903">
        <v>2008</v>
      </c>
    </row>
    <row r="48" spans="1:47" x14ac:dyDescent="0.2">
      <c r="AO48" s="3903">
        <v>2009</v>
      </c>
    </row>
    <row r="49" spans="31:41" x14ac:dyDescent="0.2">
      <c r="AE49" s="402"/>
      <c r="AO49" s="3903">
        <v>2010</v>
      </c>
    </row>
    <row r="50" spans="31:41" x14ac:dyDescent="0.2">
      <c r="AO50" s="3903">
        <v>2011</v>
      </c>
    </row>
    <row r="51" spans="31:41" x14ac:dyDescent="0.2">
      <c r="AO51" s="3903">
        <v>2012</v>
      </c>
    </row>
    <row r="52" spans="31:41" x14ac:dyDescent="0.2">
      <c r="AO52" s="3903">
        <v>2013</v>
      </c>
    </row>
    <row r="53" spans="31:41" x14ac:dyDescent="0.2">
      <c r="AO53" s="3903">
        <v>2014</v>
      </c>
    </row>
    <row r="54" spans="31:41" x14ac:dyDescent="0.2">
      <c r="AO54" s="3903">
        <v>2015</v>
      </c>
    </row>
    <row r="55" spans="31:41" x14ac:dyDescent="0.2">
      <c r="AO55" s="3903">
        <v>2016</v>
      </c>
    </row>
    <row r="56" spans="31:41" x14ac:dyDescent="0.2">
      <c r="AO56" s="3903">
        <v>2017</v>
      </c>
    </row>
    <row r="61" spans="31:41" x14ac:dyDescent="0.2">
      <c r="AO61" s="3903" t="s">
        <v>161</v>
      </c>
    </row>
    <row r="62" spans="31:41" x14ac:dyDescent="0.2">
      <c r="AO62" s="3903" t="s">
        <v>407</v>
      </c>
    </row>
    <row r="63" spans="31:41" x14ac:dyDescent="0.2">
      <c r="AO63" s="3903" t="s">
        <v>162</v>
      </c>
    </row>
    <row r="64" spans="31:41" x14ac:dyDescent="0.2">
      <c r="AO64" s="3903" t="s">
        <v>408</v>
      </c>
    </row>
    <row r="65" spans="41:41" x14ac:dyDescent="0.2">
      <c r="AO65" s="3903" t="s">
        <v>163</v>
      </c>
    </row>
    <row r="68" spans="41:41" hidden="1" x14ac:dyDescent="0.2"/>
    <row r="69" spans="41:41" hidden="1" x14ac:dyDescent="0.2"/>
    <row r="70" spans="41:41" hidden="1" x14ac:dyDescent="0.2"/>
    <row r="71" spans="41:41" hidden="1" x14ac:dyDescent="0.2"/>
    <row r="72" spans="41:41" hidden="1" x14ac:dyDescent="0.2"/>
    <row r="73" spans="41:41" hidden="1" x14ac:dyDescent="0.2"/>
    <row r="74" spans="41:41" hidden="1" x14ac:dyDescent="0.2"/>
    <row r="75" spans="41:41" hidden="1" x14ac:dyDescent="0.2"/>
    <row r="76" spans="41:41" hidden="1" x14ac:dyDescent="0.2"/>
    <row r="77" spans="41:41" hidden="1" x14ac:dyDescent="0.2"/>
    <row r="78" spans="41:41" hidden="1" x14ac:dyDescent="0.2"/>
    <row r="79" spans="41:41" hidden="1" x14ac:dyDescent="0.2"/>
    <row r="80" spans="41:41" hidden="1" x14ac:dyDescent="0.2"/>
    <row r="81" hidden="1" x14ac:dyDescent="0.2"/>
    <row r="82" hidden="1" x14ac:dyDescent="0.2"/>
    <row r="83" hidden="1" x14ac:dyDescent="0.2"/>
  </sheetData>
  <sheetProtection algorithmName="SHA-512" hashValue="1tVaup1SOJOmccSAP1zTVzR0PiXPWv4QHGqwVqKfJzDbhUqKRfMvGsOGfKvJbHd4ileAqIfRhCWsDSMPpykp0g==" saltValue="QYfBokLaI91fBxwL4i6H1g==" spinCount="100000" sheet="1" objects="1" scenarios="1"/>
  <mergeCells count="26">
    <mergeCell ref="C3:E3"/>
    <mergeCell ref="F3:H3"/>
    <mergeCell ref="AJ3:AL3"/>
    <mergeCell ref="A1:B1"/>
    <mergeCell ref="A40:B40"/>
    <mergeCell ref="A16:A19"/>
    <mergeCell ref="A21:A24"/>
    <mergeCell ref="A6:A9"/>
    <mergeCell ref="A11:A14"/>
    <mergeCell ref="A26:A29"/>
    <mergeCell ref="A31:A36"/>
    <mergeCell ref="A37:B37"/>
    <mergeCell ref="A3:A4"/>
    <mergeCell ref="B3:B4"/>
    <mergeCell ref="I3:K3"/>
    <mergeCell ref="R3:T3"/>
    <mergeCell ref="U3:W3"/>
    <mergeCell ref="L3:N3"/>
    <mergeCell ref="O3:Q3"/>
    <mergeCell ref="AS3:AU3"/>
    <mergeCell ref="AG3:AI3"/>
    <mergeCell ref="X3:Z3"/>
    <mergeCell ref="AA3:AC3"/>
    <mergeCell ref="AD3:AF3"/>
    <mergeCell ref="AP3:AR3"/>
    <mergeCell ref="AM3:AO3"/>
  </mergeCells>
  <printOptions horizontalCentered="1" verticalCentered="1"/>
  <pageMargins left="0.35433070866141736" right="0.27559055118110237" top="0.31496062992125984" bottom="0.19685039370078741" header="0" footer="0.31496062992125984"/>
  <pageSetup scale="65" pageOrder="overThenDown" orientation="landscape" horizontalDpi="1200" verticalDpi="1200" r:id="rId1"/>
  <headerFooter alignWithMargins="0">
    <oddFooter xml:space="preserve">&amp;R
</oddFooter>
  </headerFooter>
  <rowBreaks count="1" manualBreakCount="1">
    <brk id="39" max="16383" man="1"/>
  </rowBreaks>
  <colBreaks count="2" manualBreakCount="2">
    <brk id="20" max="38" man="1"/>
    <brk id="38" max="38" man="1"/>
  </colBreaks>
  <ignoredErrors>
    <ignoredError sqref="Z6:Z9 Z31:Z37 Z16:Z18 Z11:Z13 Z26:Z28 AD6:AE10 AD15:AE20 AE12:AE13 AE11 AD25:AE28 AE21:AE24 AH22 AK22 AN22" formulaRange="1"/>
    <ignoredError sqref="AC19:AC34 AC35:AC36 AC9 AF19:AF34 AF9 AI9:AI36 AL9:AL36 AO9:AO34 AR31:AR34 AR14:AR29 AR9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B39"/>
  <sheetViews>
    <sheetView zoomScaleNormal="100" zoomScaleSheetLayoutView="50" workbookViewId="0">
      <selection activeCell="AD13" sqref="AD13"/>
    </sheetView>
  </sheetViews>
  <sheetFormatPr baseColWidth="10" defaultRowHeight="15" x14ac:dyDescent="0.25"/>
  <cols>
    <col min="1" max="1" width="22.7109375" style="2009" customWidth="1"/>
    <col min="2" max="2" width="17.7109375" style="2009" customWidth="1"/>
    <col min="3" max="4" width="10.7109375" style="2009" hidden="1" customWidth="1"/>
    <col min="5" max="15" width="10.7109375" style="2009" customWidth="1"/>
    <col min="16" max="16" width="11.42578125" style="2009"/>
    <col min="17" max="26" width="6.7109375" style="2009" hidden="1" customWidth="1"/>
    <col min="27" max="16384" width="11.42578125" style="2009"/>
  </cols>
  <sheetData>
    <row r="1" spans="1:28" ht="39.75" customHeight="1" x14ac:dyDescent="0.35">
      <c r="A1" s="5787" t="s">
        <v>1269</v>
      </c>
      <c r="B1" s="5787"/>
      <c r="C1" s="2064" t="s">
        <v>1219</v>
      </c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</row>
    <row r="2" spans="1:28" x14ac:dyDescent="0.25">
      <c r="B2" s="2062"/>
      <c r="E2" s="2065"/>
      <c r="F2" s="2065"/>
      <c r="G2" s="2065"/>
      <c r="H2" s="2065"/>
      <c r="I2" s="2065"/>
      <c r="J2" s="2065"/>
      <c r="K2" s="2065"/>
      <c r="L2" s="2065"/>
      <c r="M2" s="2065"/>
      <c r="N2" s="2065"/>
      <c r="O2" s="2065"/>
    </row>
    <row r="3" spans="1:28" ht="31.5" x14ac:dyDescent="0.25">
      <c r="A3" s="2066" t="s">
        <v>733</v>
      </c>
      <c r="B3" s="2067" t="s">
        <v>710</v>
      </c>
      <c r="C3" s="2067">
        <v>2002</v>
      </c>
      <c r="D3" s="2067">
        <v>2003</v>
      </c>
      <c r="E3" s="2010">
        <v>2004</v>
      </c>
      <c r="F3" s="2010">
        <v>2005</v>
      </c>
      <c r="G3" s="2010">
        <v>2006</v>
      </c>
      <c r="H3" s="2010">
        <v>2007</v>
      </c>
      <c r="I3" s="2010">
        <v>2008</v>
      </c>
      <c r="J3" s="2010">
        <v>2009</v>
      </c>
      <c r="K3" s="2010">
        <v>2010</v>
      </c>
      <c r="L3" s="2010">
        <v>2011</v>
      </c>
      <c r="M3" s="2010">
        <v>2012</v>
      </c>
      <c r="N3" s="2010">
        <v>2013</v>
      </c>
      <c r="O3" s="2010">
        <v>2014</v>
      </c>
      <c r="P3" s="2010">
        <v>2015</v>
      </c>
      <c r="Q3" s="2068">
        <v>2004</v>
      </c>
      <c r="R3" s="2068">
        <v>2005</v>
      </c>
      <c r="S3" s="2068">
        <v>2006</v>
      </c>
      <c r="T3" s="2068">
        <v>2007</v>
      </c>
      <c r="U3" s="2068">
        <v>2008</v>
      </c>
      <c r="V3" s="2068">
        <v>2009</v>
      </c>
      <c r="W3" s="2068">
        <v>2010</v>
      </c>
      <c r="X3" s="2068">
        <v>2011</v>
      </c>
      <c r="Y3" s="2068">
        <v>2012</v>
      </c>
      <c r="Z3" s="2068">
        <v>2013</v>
      </c>
      <c r="AA3" s="2010">
        <v>2016</v>
      </c>
      <c r="AB3" s="5143" t="s">
        <v>1583</v>
      </c>
    </row>
    <row r="4" spans="1:28" x14ac:dyDescent="0.25">
      <c r="A4" s="5791" t="s">
        <v>711</v>
      </c>
      <c r="B4" s="2069" t="s">
        <v>712</v>
      </c>
      <c r="C4" s="2070"/>
      <c r="D4" s="2071"/>
      <c r="E4" s="2071">
        <f t="shared" ref="E4:N4" si="0">Q4/Q6</f>
        <v>0.63124806760795626</v>
      </c>
      <c r="F4" s="2071">
        <f t="shared" si="0"/>
        <v>0.61490420239229382</v>
      </c>
      <c r="G4" s="2071">
        <f t="shared" si="0"/>
        <v>0.62113289760348589</v>
      </c>
      <c r="H4" s="2071">
        <f t="shared" si="0"/>
        <v>0.59876810028095961</v>
      </c>
      <c r="I4" s="2071">
        <f t="shared" si="0"/>
        <v>0.63076278290025145</v>
      </c>
      <c r="J4" s="2071">
        <f t="shared" si="0"/>
        <v>0.64</v>
      </c>
      <c r="K4" s="2071">
        <f t="shared" si="0"/>
        <v>0.64</v>
      </c>
      <c r="L4" s="2071">
        <f t="shared" si="0"/>
        <v>0.64</v>
      </c>
      <c r="M4" s="2071">
        <f t="shared" si="0"/>
        <v>0.64400000000000002</v>
      </c>
      <c r="N4" s="2072">
        <f t="shared" si="0"/>
        <v>0.65800000000000003</v>
      </c>
      <c r="O4" s="2072">
        <v>0.67300000000000004</v>
      </c>
      <c r="P4" s="2072">
        <v>0.67300000000000004</v>
      </c>
      <c r="Q4" s="2073">
        <v>6125</v>
      </c>
      <c r="R4" s="2074">
        <v>5809</v>
      </c>
      <c r="S4" s="2075">
        <v>5702</v>
      </c>
      <c r="T4" s="2075">
        <v>5541</v>
      </c>
      <c r="U4" s="2075">
        <v>6020</v>
      </c>
      <c r="V4" s="2075">
        <v>5921.92</v>
      </c>
      <c r="W4" s="2075">
        <v>6327.04</v>
      </c>
      <c r="X4" s="2075">
        <v>6202.88</v>
      </c>
      <c r="Y4" s="2075">
        <v>6055.5320000000002</v>
      </c>
      <c r="Z4" s="2076">
        <v>6486.5640000000003</v>
      </c>
      <c r="AA4" s="2072">
        <v>0.66</v>
      </c>
    </row>
    <row r="5" spans="1:28" x14ac:dyDescent="0.25">
      <c r="A5" s="5792"/>
      <c r="B5" s="2077" t="s">
        <v>713</v>
      </c>
      <c r="C5" s="2078"/>
      <c r="D5" s="2079"/>
      <c r="E5" s="2079">
        <f t="shared" ref="E5:N5" si="1">Q5/Q6</f>
        <v>0.36875193239204368</v>
      </c>
      <c r="F5" s="2079">
        <f t="shared" si="1"/>
        <v>0.38509579760770613</v>
      </c>
      <c r="G5" s="2079">
        <f t="shared" si="1"/>
        <v>0.37886710239651417</v>
      </c>
      <c r="H5" s="2079">
        <f t="shared" si="1"/>
        <v>0.40123189971904044</v>
      </c>
      <c r="I5" s="2079">
        <f t="shared" si="1"/>
        <v>0.36923721709974855</v>
      </c>
      <c r="J5" s="2079">
        <f t="shared" si="1"/>
        <v>0.36</v>
      </c>
      <c r="K5" s="2079">
        <f t="shared" si="1"/>
        <v>0.36</v>
      </c>
      <c r="L5" s="2079">
        <f t="shared" si="1"/>
        <v>0.36</v>
      </c>
      <c r="M5" s="2079">
        <f t="shared" si="1"/>
        <v>0.35599999999999998</v>
      </c>
      <c r="N5" s="2080">
        <f t="shared" si="1"/>
        <v>0.34200000000000003</v>
      </c>
      <c r="O5" s="2080">
        <v>0.32700000000000001</v>
      </c>
      <c r="P5" s="2080">
        <v>0.32700000000000001</v>
      </c>
      <c r="Q5" s="2046">
        <v>3578</v>
      </c>
      <c r="R5" s="2041">
        <v>3638</v>
      </c>
      <c r="S5" s="2041">
        <v>3478</v>
      </c>
      <c r="T5" s="2041">
        <v>3713</v>
      </c>
      <c r="U5" s="2041">
        <v>3524</v>
      </c>
      <c r="V5" s="2041">
        <v>3331.08</v>
      </c>
      <c r="W5" s="2041">
        <v>3558.96</v>
      </c>
      <c r="X5" s="2041">
        <v>3489.12</v>
      </c>
      <c r="Y5" s="2041">
        <v>3347.4679999999998</v>
      </c>
      <c r="Z5" s="2042">
        <v>3371.4360000000001</v>
      </c>
      <c r="AA5" s="2080">
        <v>0.34</v>
      </c>
    </row>
    <row r="6" spans="1:28" x14ac:dyDescent="0.25">
      <c r="A6" s="5793"/>
      <c r="B6" s="2081" t="s">
        <v>160</v>
      </c>
      <c r="C6" s="2078"/>
      <c r="D6" s="2082"/>
      <c r="E6" s="2083">
        <f>SUM(E4:E5)</f>
        <v>1</v>
      </c>
      <c r="F6" s="2083">
        <f t="shared" ref="F6:N6" si="2">SUM(F4:F5)</f>
        <v>1</v>
      </c>
      <c r="G6" s="2083">
        <f t="shared" si="2"/>
        <v>1</v>
      </c>
      <c r="H6" s="2083">
        <f t="shared" si="2"/>
        <v>1</v>
      </c>
      <c r="I6" s="2083">
        <f t="shared" si="2"/>
        <v>1</v>
      </c>
      <c r="J6" s="2083">
        <f t="shared" si="2"/>
        <v>1</v>
      </c>
      <c r="K6" s="2083">
        <f t="shared" si="2"/>
        <v>1</v>
      </c>
      <c r="L6" s="2083">
        <f t="shared" si="2"/>
        <v>1</v>
      </c>
      <c r="M6" s="2083">
        <f t="shared" si="2"/>
        <v>1</v>
      </c>
      <c r="N6" s="2084">
        <f t="shared" si="2"/>
        <v>1</v>
      </c>
      <c r="O6" s="2084">
        <f>SUM(O4:O5)</f>
        <v>1</v>
      </c>
      <c r="P6" s="2084">
        <f>SUM(P4:P5)</f>
        <v>1</v>
      </c>
      <c r="Q6" s="2085">
        <f>SUM(Q4:Q5)</f>
        <v>9703</v>
      </c>
      <c r="R6" s="2086">
        <f t="shared" ref="R6:Z6" si="3">SUM(R4:R5)</f>
        <v>9447</v>
      </c>
      <c r="S6" s="2086">
        <f t="shared" si="3"/>
        <v>9180</v>
      </c>
      <c r="T6" s="2086">
        <f t="shared" si="3"/>
        <v>9254</v>
      </c>
      <c r="U6" s="2086">
        <f t="shared" si="3"/>
        <v>9544</v>
      </c>
      <c r="V6" s="2086">
        <f t="shared" si="3"/>
        <v>9253</v>
      </c>
      <c r="W6" s="2086">
        <f t="shared" si="3"/>
        <v>9886</v>
      </c>
      <c r="X6" s="2086">
        <f t="shared" si="3"/>
        <v>9692</v>
      </c>
      <c r="Y6" s="2086">
        <f t="shared" si="3"/>
        <v>9403</v>
      </c>
      <c r="Z6" s="2087">
        <f t="shared" si="3"/>
        <v>9858</v>
      </c>
      <c r="AA6" s="2084">
        <f>SUM(AA4:AA5)</f>
        <v>1</v>
      </c>
    </row>
    <row r="7" spans="1:28" x14ac:dyDescent="0.25">
      <c r="A7" s="5794" t="s">
        <v>714</v>
      </c>
      <c r="B7" s="2088" t="s">
        <v>718</v>
      </c>
      <c r="C7" s="2089"/>
      <c r="D7" s="2090"/>
      <c r="E7" s="2090">
        <f t="shared" ref="E7:M7" si="4">Q7/Q5</f>
        <v>0.38680827277808832</v>
      </c>
      <c r="F7" s="2090">
        <f t="shared" si="4"/>
        <v>0.38812534359538209</v>
      </c>
      <c r="G7" s="2090">
        <f t="shared" si="4"/>
        <v>0.36831512363427255</v>
      </c>
      <c r="H7" s="2090">
        <f t="shared" si="4"/>
        <v>0.37678427147858873</v>
      </c>
      <c r="I7" s="2090">
        <f t="shared" si="4"/>
        <v>0.36152099886492622</v>
      </c>
      <c r="J7" s="2090">
        <f t="shared" si="4"/>
        <v>0.33333333333333331</v>
      </c>
      <c r="K7" s="2090">
        <f t="shared" si="4"/>
        <v>0.33333333333333331</v>
      </c>
      <c r="L7" s="2090">
        <f t="shared" si="4"/>
        <v>0.33333333333333331</v>
      </c>
      <c r="M7" s="2090">
        <f t="shared" si="4"/>
        <v>0.32303370786516855</v>
      </c>
      <c r="N7" s="2091">
        <f>Z7/Z5</f>
        <v>0.30701754385964908</v>
      </c>
      <c r="O7" s="2091">
        <v>0.31</v>
      </c>
      <c r="P7" s="2091">
        <v>0.28999999999999998</v>
      </c>
      <c r="Q7" s="2092">
        <v>1384</v>
      </c>
      <c r="R7" s="2093">
        <v>1412</v>
      </c>
      <c r="S7" s="2093">
        <v>1281</v>
      </c>
      <c r="T7" s="2093">
        <v>1399</v>
      </c>
      <c r="U7" s="2093">
        <v>1274</v>
      </c>
      <c r="V7" s="2093">
        <v>1110.3599999999999</v>
      </c>
      <c r="W7" s="2093">
        <v>1186.32</v>
      </c>
      <c r="X7" s="2093">
        <v>1163.04</v>
      </c>
      <c r="Y7" s="2093">
        <v>1081.345</v>
      </c>
      <c r="Z7" s="2094">
        <v>1035.0899999999999</v>
      </c>
      <c r="AA7" s="2091">
        <v>0.28999999999999998</v>
      </c>
    </row>
    <row r="8" spans="1:28" x14ac:dyDescent="0.25">
      <c r="A8" s="5792"/>
      <c r="B8" s="2095" t="s">
        <v>715</v>
      </c>
      <c r="C8" s="2078"/>
      <c r="D8" s="2079"/>
      <c r="E8" s="2079">
        <f t="shared" ref="E8:N8" si="5">Q8/Q7</f>
        <v>0.18280346820809248</v>
      </c>
      <c r="F8" s="2079">
        <f t="shared" si="5"/>
        <v>0.20538243626062322</v>
      </c>
      <c r="G8" s="2079">
        <f t="shared" si="5"/>
        <v>0.20374707259953162</v>
      </c>
      <c r="H8" s="2079">
        <f t="shared" si="5"/>
        <v>0.2008577555396712</v>
      </c>
      <c r="I8" s="2079">
        <f t="shared" si="5"/>
        <v>0.18</v>
      </c>
      <c r="J8" s="2079">
        <f t="shared" si="5"/>
        <v>0.17</v>
      </c>
      <c r="K8" s="2079">
        <f t="shared" si="5"/>
        <v>0.2</v>
      </c>
      <c r="L8" s="2079">
        <f t="shared" si="5"/>
        <v>0.19</v>
      </c>
      <c r="M8" s="2079">
        <f t="shared" si="5"/>
        <v>0.19600000000000001</v>
      </c>
      <c r="N8" s="2080">
        <f t="shared" si="5"/>
        <v>0.19</v>
      </c>
      <c r="O8" s="2080">
        <v>0.2</v>
      </c>
      <c r="P8" s="2080">
        <v>0.19</v>
      </c>
      <c r="Q8" s="2046">
        <v>253</v>
      </c>
      <c r="R8" s="2041">
        <v>290</v>
      </c>
      <c r="S8" s="2041">
        <v>261</v>
      </c>
      <c r="T8" s="2041">
        <v>281</v>
      </c>
      <c r="U8" s="2041">
        <v>229.32</v>
      </c>
      <c r="V8" s="2041">
        <v>188.7612</v>
      </c>
      <c r="W8" s="2041">
        <v>237.26400000000001</v>
      </c>
      <c r="X8" s="2041">
        <v>220.9776</v>
      </c>
      <c r="Y8" s="2041">
        <v>211.94362000000001</v>
      </c>
      <c r="Z8" s="2042">
        <v>196.66709999999998</v>
      </c>
      <c r="AA8" s="2080">
        <v>0.19</v>
      </c>
    </row>
    <row r="9" spans="1:28" x14ac:dyDescent="0.25">
      <c r="A9" s="5792"/>
      <c r="B9" s="2095" t="s">
        <v>716</v>
      </c>
      <c r="C9" s="2078"/>
      <c r="D9" s="2079"/>
      <c r="E9" s="2079">
        <f t="shared" ref="E9:N9" si="6">Q9/Q7</f>
        <v>0.5802023121387283</v>
      </c>
      <c r="F9" s="2079">
        <f t="shared" si="6"/>
        <v>0.57436260623229463</v>
      </c>
      <c r="G9" s="2079">
        <f t="shared" si="6"/>
        <v>0.53395784543325531</v>
      </c>
      <c r="H9" s="2079">
        <f t="shared" si="6"/>
        <v>0.5282344531808435</v>
      </c>
      <c r="I9" s="2079">
        <f t="shared" si="6"/>
        <v>0.54</v>
      </c>
      <c r="J9" s="2079">
        <f t="shared" si="6"/>
        <v>0.55000000000000004</v>
      </c>
      <c r="K9" s="2079">
        <f t="shared" si="6"/>
        <v>0.52</v>
      </c>
      <c r="L9" s="2079">
        <f t="shared" si="6"/>
        <v>0.5</v>
      </c>
      <c r="M9" s="2079">
        <f t="shared" si="6"/>
        <v>0.51800000000000002</v>
      </c>
      <c r="N9" s="2080">
        <f t="shared" si="6"/>
        <v>0.53</v>
      </c>
      <c r="O9" s="2080">
        <v>0.49</v>
      </c>
      <c r="P9" s="2080">
        <v>0.52</v>
      </c>
      <c r="Q9" s="2046">
        <v>803</v>
      </c>
      <c r="R9" s="2041">
        <v>811</v>
      </c>
      <c r="S9" s="2041">
        <v>684</v>
      </c>
      <c r="T9" s="2041">
        <v>739</v>
      </c>
      <c r="U9" s="2041">
        <v>687.96</v>
      </c>
      <c r="V9" s="2041">
        <v>610.69799999999998</v>
      </c>
      <c r="W9" s="2041">
        <v>616.88639999999998</v>
      </c>
      <c r="X9" s="2041">
        <v>581.52</v>
      </c>
      <c r="Y9" s="2041">
        <v>560.13670999999999</v>
      </c>
      <c r="Z9" s="2042">
        <v>548.59770000000003</v>
      </c>
      <c r="AA9" s="2080">
        <v>0.48</v>
      </c>
    </row>
    <row r="10" spans="1:28" x14ac:dyDescent="0.25">
      <c r="A10" s="5793"/>
      <c r="B10" s="2095" t="s">
        <v>717</v>
      </c>
      <c r="C10" s="2078"/>
      <c r="D10" s="2079"/>
      <c r="E10" s="2079">
        <f t="shared" ref="E10:N10" si="7">Q10/Q7</f>
        <v>0.23699421965317918</v>
      </c>
      <c r="F10" s="2079">
        <f t="shared" si="7"/>
        <v>0.22025495750708216</v>
      </c>
      <c r="G10" s="2079">
        <f t="shared" si="7"/>
        <v>0.26229508196721313</v>
      </c>
      <c r="H10" s="2079">
        <f t="shared" si="7"/>
        <v>0.27090779127948533</v>
      </c>
      <c r="I10" s="2079">
        <f t="shared" si="7"/>
        <v>0.28000000000000003</v>
      </c>
      <c r="J10" s="2079">
        <f t="shared" si="7"/>
        <v>0.28000000000000003</v>
      </c>
      <c r="K10" s="2079">
        <f t="shared" si="7"/>
        <v>0.28000000000000003</v>
      </c>
      <c r="L10" s="2079">
        <f t="shared" si="7"/>
        <v>0.31</v>
      </c>
      <c r="M10" s="2079">
        <f t="shared" si="7"/>
        <v>0.28599999999999998</v>
      </c>
      <c r="N10" s="2080">
        <f t="shared" si="7"/>
        <v>0.28000000000000003</v>
      </c>
      <c r="O10" s="2080">
        <v>0.31</v>
      </c>
      <c r="P10" s="2080">
        <v>0.28999999999999998</v>
      </c>
      <c r="Q10" s="2046">
        <v>328</v>
      </c>
      <c r="R10" s="2041">
        <v>311</v>
      </c>
      <c r="S10" s="2041">
        <v>336</v>
      </c>
      <c r="T10" s="2041">
        <v>379</v>
      </c>
      <c r="U10" s="2041">
        <v>356.72</v>
      </c>
      <c r="V10" s="2041">
        <v>310.9008</v>
      </c>
      <c r="W10" s="2041">
        <v>332.1696</v>
      </c>
      <c r="X10" s="2041">
        <v>360.54239999999999</v>
      </c>
      <c r="Y10" s="2041">
        <v>309.26466999999997</v>
      </c>
      <c r="Z10" s="2042">
        <v>289.8252</v>
      </c>
      <c r="AA10" s="2080">
        <v>0.33</v>
      </c>
    </row>
    <row r="11" spans="1:28" x14ac:dyDescent="0.25">
      <c r="A11" s="5794" t="s">
        <v>714</v>
      </c>
      <c r="B11" s="2096" t="s">
        <v>719</v>
      </c>
      <c r="C11" s="2097"/>
      <c r="D11" s="2090"/>
      <c r="E11" s="2090">
        <f t="shared" ref="E11:M11" si="8">Q11/Q5</f>
        <v>0.61319172722191173</v>
      </c>
      <c r="F11" s="2090">
        <f t="shared" si="8"/>
        <v>0.61187465640461791</v>
      </c>
      <c r="G11" s="2090">
        <f t="shared" si="8"/>
        <v>0.63168487636572745</v>
      </c>
      <c r="H11" s="2090">
        <f t="shared" si="8"/>
        <v>0.62321572852141127</v>
      </c>
      <c r="I11" s="2090">
        <f t="shared" si="8"/>
        <v>0.63847900113507383</v>
      </c>
      <c r="J11" s="2090">
        <f t="shared" si="8"/>
        <v>0.66666666666666663</v>
      </c>
      <c r="K11" s="2090">
        <f t="shared" si="8"/>
        <v>0.66666666666666663</v>
      </c>
      <c r="L11" s="2090">
        <f t="shared" si="8"/>
        <v>0.66666666666666663</v>
      </c>
      <c r="M11" s="2090">
        <f t="shared" si="8"/>
        <v>0.6769662921348315</v>
      </c>
      <c r="N11" s="2091">
        <f>Z11/Z5</f>
        <v>0.69298245614035081</v>
      </c>
      <c r="O11" s="2091">
        <v>0.69</v>
      </c>
      <c r="P11" s="2091">
        <v>0.71</v>
      </c>
      <c r="Q11" s="2098">
        <v>2194</v>
      </c>
      <c r="R11" s="2099">
        <v>2226</v>
      </c>
      <c r="S11" s="2099">
        <v>2197</v>
      </c>
      <c r="T11" s="2099">
        <v>2314</v>
      </c>
      <c r="U11" s="2099">
        <v>2250</v>
      </c>
      <c r="V11" s="2099">
        <v>2220.7199999999998</v>
      </c>
      <c r="W11" s="2099">
        <v>2372.64</v>
      </c>
      <c r="X11" s="2099">
        <v>2326.08</v>
      </c>
      <c r="Y11" s="2099">
        <v>2266.123</v>
      </c>
      <c r="Z11" s="2100">
        <v>2336.346</v>
      </c>
      <c r="AA11" s="2091">
        <v>0.71</v>
      </c>
    </row>
    <row r="12" spans="1:28" x14ac:dyDescent="0.25">
      <c r="A12" s="5792"/>
      <c r="B12" s="2095" t="s">
        <v>715</v>
      </c>
      <c r="C12" s="2101"/>
      <c r="D12" s="2079"/>
      <c r="E12" s="2079">
        <f t="shared" ref="E12:N12" si="9">Q12/Q11</f>
        <v>0.47857793983591612</v>
      </c>
      <c r="F12" s="2079">
        <f t="shared" si="9"/>
        <v>0.4802336028751123</v>
      </c>
      <c r="G12" s="2079">
        <f t="shared" si="9"/>
        <v>0.47246244879380972</v>
      </c>
      <c r="H12" s="2079">
        <f t="shared" si="9"/>
        <v>0.48444252376836644</v>
      </c>
      <c r="I12" s="2079">
        <f t="shared" si="9"/>
        <v>0.48</v>
      </c>
      <c r="J12" s="2079">
        <f t="shared" si="9"/>
        <v>0.47999999999999993</v>
      </c>
      <c r="K12" s="2079">
        <f t="shared" si="9"/>
        <v>0.5</v>
      </c>
      <c r="L12" s="2079">
        <f t="shared" si="9"/>
        <v>0.48</v>
      </c>
      <c r="M12" s="2079">
        <f t="shared" si="9"/>
        <v>0.50800000000000001</v>
      </c>
      <c r="N12" s="2080">
        <f t="shared" si="9"/>
        <v>0.5</v>
      </c>
      <c r="O12" s="2080">
        <v>0.51</v>
      </c>
      <c r="P12" s="2080">
        <v>0.52</v>
      </c>
      <c r="Q12" s="2046">
        <v>1050</v>
      </c>
      <c r="R12" s="2041">
        <v>1069</v>
      </c>
      <c r="S12" s="2041">
        <v>1038</v>
      </c>
      <c r="T12" s="2041">
        <v>1121</v>
      </c>
      <c r="U12" s="2041">
        <v>1080</v>
      </c>
      <c r="V12" s="2041">
        <v>1065.9455999999998</v>
      </c>
      <c r="W12" s="2041">
        <v>1186.32</v>
      </c>
      <c r="X12" s="2041">
        <v>1116.5183999999999</v>
      </c>
      <c r="Y12" s="2041">
        <v>1151.190484</v>
      </c>
      <c r="Z12" s="2042">
        <v>1168.173</v>
      </c>
      <c r="AA12" s="2080">
        <v>0.52</v>
      </c>
    </row>
    <row r="13" spans="1:28" x14ac:dyDescent="0.25">
      <c r="A13" s="5792"/>
      <c r="B13" s="2095" t="s">
        <v>716</v>
      </c>
      <c r="C13" s="2101"/>
      <c r="D13" s="2079"/>
      <c r="E13" s="2079">
        <f t="shared" ref="E13:N13" si="10">Q13/Q11</f>
        <v>0.39653600729261623</v>
      </c>
      <c r="F13" s="2079">
        <f t="shared" si="10"/>
        <v>0.39802336028751123</v>
      </c>
      <c r="G13" s="2079">
        <f t="shared" si="10"/>
        <v>0.39144287664997723</v>
      </c>
      <c r="H13" s="2079">
        <f t="shared" si="10"/>
        <v>0.39498703543647362</v>
      </c>
      <c r="I13" s="2079">
        <f t="shared" si="10"/>
        <v>0.39</v>
      </c>
      <c r="J13" s="2079">
        <f t="shared" si="10"/>
        <v>0.38</v>
      </c>
      <c r="K13" s="2079">
        <f t="shared" si="10"/>
        <v>0.37</v>
      </c>
      <c r="L13" s="2079">
        <f t="shared" si="10"/>
        <v>0.39</v>
      </c>
      <c r="M13" s="2079">
        <f t="shared" si="10"/>
        <v>0.36099999999999999</v>
      </c>
      <c r="N13" s="2080">
        <f t="shared" si="10"/>
        <v>0.36</v>
      </c>
      <c r="O13" s="2080">
        <v>0.35</v>
      </c>
      <c r="P13" s="2080">
        <v>0.35</v>
      </c>
      <c r="Q13" s="2046">
        <v>870</v>
      </c>
      <c r="R13" s="2041">
        <v>886</v>
      </c>
      <c r="S13" s="2041">
        <v>860</v>
      </c>
      <c r="T13" s="2041">
        <v>914</v>
      </c>
      <c r="U13" s="2041">
        <v>877.5</v>
      </c>
      <c r="V13" s="2041">
        <v>843.8735999999999</v>
      </c>
      <c r="W13" s="2041">
        <v>877.87679999999989</v>
      </c>
      <c r="X13" s="2041">
        <v>907.1712</v>
      </c>
      <c r="Y13" s="2041">
        <v>818.07040299999994</v>
      </c>
      <c r="Z13" s="2042">
        <v>841.08456000000001</v>
      </c>
      <c r="AA13" s="2080">
        <v>0.35</v>
      </c>
    </row>
    <row r="14" spans="1:28" x14ac:dyDescent="0.25">
      <c r="A14" s="5795"/>
      <c r="B14" s="2102" t="s">
        <v>717</v>
      </c>
      <c r="C14" s="2103"/>
      <c r="D14" s="2104"/>
      <c r="E14" s="2104">
        <f t="shared" ref="E14:N14" si="11">Q14/Q11</f>
        <v>0.12488605287146765</v>
      </c>
      <c r="F14" s="2104">
        <f t="shared" si="11"/>
        <v>0.12174303683737646</v>
      </c>
      <c r="G14" s="2104">
        <f t="shared" si="11"/>
        <v>0.13609467455621302</v>
      </c>
      <c r="H14" s="2104">
        <f t="shared" si="11"/>
        <v>0.1205704407951599</v>
      </c>
      <c r="I14" s="2104">
        <f t="shared" si="11"/>
        <v>0.13</v>
      </c>
      <c r="J14" s="2104">
        <f t="shared" si="11"/>
        <v>0.14000000000000001</v>
      </c>
      <c r="K14" s="2104">
        <f t="shared" si="11"/>
        <v>0.13</v>
      </c>
      <c r="L14" s="2104">
        <f t="shared" si="11"/>
        <v>0.13</v>
      </c>
      <c r="M14" s="2104">
        <f t="shared" si="11"/>
        <v>0.13100000000000001</v>
      </c>
      <c r="N14" s="2105">
        <f t="shared" si="11"/>
        <v>0.14000000000000001</v>
      </c>
      <c r="O14" s="2105">
        <v>0.14000000000000001</v>
      </c>
      <c r="P14" s="2105">
        <v>0.13</v>
      </c>
      <c r="Q14" s="2049">
        <v>274</v>
      </c>
      <c r="R14" s="2050">
        <v>271</v>
      </c>
      <c r="S14" s="2050">
        <v>299</v>
      </c>
      <c r="T14" s="2050">
        <v>279</v>
      </c>
      <c r="U14" s="2050">
        <v>292.5</v>
      </c>
      <c r="V14" s="2050">
        <v>310.9008</v>
      </c>
      <c r="W14" s="2050">
        <v>308.44319999999999</v>
      </c>
      <c r="X14" s="2050">
        <v>302.3904</v>
      </c>
      <c r="Y14" s="2050">
        <v>296.86211300000002</v>
      </c>
      <c r="Z14" s="2051">
        <v>327.08844000000005</v>
      </c>
      <c r="AA14" s="2105">
        <v>0.13</v>
      </c>
    </row>
    <row r="15" spans="1:28" x14ac:dyDescent="0.25">
      <c r="A15" s="5796" t="s">
        <v>720</v>
      </c>
      <c r="B15" s="2686" t="s">
        <v>721</v>
      </c>
      <c r="C15" s="2106"/>
      <c r="D15" s="2107"/>
      <c r="E15" s="2107">
        <f t="shared" ref="E15:N15" si="12">Q15/Q6</f>
        <v>1.2676491806657735E-2</v>
      </c>
      <c r="F15" s="2107">
        <f t="shared" si="12"/>
        <v>1.365512861225786E-2</v>
      </c>
      <c r="G15" s="2107">
        <f t="shared" si="12"/>
        <v>1.241830065359477E-2</v>
      </c>
      <c r="H15" s="2107">
        <f t="shared" si="12"/>
        <v>1.0157769613140263E-2</v>
      </c>
      <c r="I15" s="2107">
        <f t="shared" si="12"/>
        <v>1.3411567476948869E-2</v>
      </c>
      <c r="J15" s="2107">
        <f t="shared" si="12"/>
        <v>1.4697935804603912E-2</v>
      </c>
      <c r="K15" s="2107">
        <f t="shared" si="12"/>
        <v>0.01</v>
      </c>
      <c r="L15" s="2107">
        <f t="shared" si="12"/>
        <v>0.01</v>
      </c>
      <c r="M15" s="2107">
        <f t="shared" si="12"/>
        <v>0.01</v>
      </c>
      <c r="N15" s="2108">
        <f t="shared" si="12"/>
        <v>0.01</v>
      </c>
      <c r="O15" s="2108">
        <v>0.01</v>
      </c>
      <c r="P15" s="2108">
        <v>0.01</v>
      </c>
      <c r="Q15" s="2016">
        <v>123</v>
      </c>
      <c r="R15" s="2017">
        <v>129</v>
      </c>
      <c r="S15" s="2017">
        <v>114</v>
      </c>
      <c r="T15" s="2017">
        <v>94</v>
      </c>
      <c r="U15" s="2017">
        <v>128</v>
      </c>
      <c r="V15" s="2017">
        <v>136</v>
      </c>
      <c r="W15" s="2017">
        <v>98.86</v>
      </c>
      <c r="X15" s="2017">
        <v>96.92</v>
      </c>
      <c r="Y15" s="2017">
        <v>94.03</v>
      </c>
      <c r="Z15" s="2018">
        <v>98.58</v>
      </c>
      <c r="AA15" s="2108">
        <v>0.01</v>
      </c>
    </row>
    <row r="16" spans="1:28" x14ac:dyDescent="0.25">
      <c r="A16" s="5797"/>
      <c r="B16" s="3357" t="s">
        <v>722</v>
      </c>
      <c r="C16" s="2109"/>
      <c r="D16" s="2079"/>
      <c r="E16" s="2079">
        <f t="shared" ref="E16:N16" si="13">Q16/Q6</f>
        <v>0.17510048438627229</v>
      </c>
      <c r="F16" s="2079">
        <f t="shared" si="13"/>
        <v>0.1760347200169366</v>
      </c>
      <c r="G16" s="2079">
        <f t="shared" si="13"/>
        <v>0.15740740740740741</v>
      </c>
      <c r="H16" s="2079">
        <f t="shared" si="13"/>
        <v>0.12934947049924356</v>
      </c>
      <c r="I16" s="2079">
        <f t="shared" si="13"/>
        <v>0.13181056160938809</v>
      </c>
      <c r="J16" s="2079">
        <f t="shared" si="13"/>
        <v>0.14762779639035989</v>
      </c>
      <c r="K16" s="2079">
        <f t="shared" si="13"/>
        <v>0.15</v>
      </c>
      <c r="L16" s="2079">
        <f t="shared" si="13"/>
        <v>0.14000000000000001</v>
      </c>
      <c r="M16" s="2079">
        <f t="shared" si="13"/>
        <v>0.122</v>
      </c>
      <c r="N16" s="2080">
        <f t="shared" si="13"/>
        <v>0.12000000000000001</v>
      </c>
      <c r="O16" s="2080">
        <v>0.11</v>
      </c>
      <c r="P16" s="2080">
        <v>0.11</v>
      </c>
      <c r="Q16" s="2022">
        <v>1699</v>
      </c>
      <c r="R16" s="2023">
        <v>1663</v>
      </c>
      <c r="S16" s="2023">
        <v>1445</v>
      </c>
      <c r="T16" s="2023">
        <v>1197</v>
      </c>
      <c r="U16" s="2023">
        <v>1258</v>
      </c>
      <c r="V16" s="2023">
        <v>1366</v>
      </c>
      <c r="W16" s="2110">
        <v>1482.8999999999999</v>
      </c>
      <c r="X16" s="2023">
        <v>1356.88</v>
      </c>
      <c r="Y16" s="2023">
        <v>1147.1659999999999</v>
      </c>
      <c r="Z16" s="2024">
        <v>1182.96</v>
      </c>
      <c r="AA16" s="2080">
        <v>0.1</v>
      </c>
    </row>
    <row r="17" spans="1:27" x14ac:dyDescent="0.25">
      <c r="A17" s="5797"/>
      <c r="B17" s="3357" t="s">
        <v>723</v>
      </c>
      <c r="C17" s="2109"/>
      <c r="D17" s="2079"/>
      <c r="E17" s="2079">
        <f t="shared" ref="E17:N17" si="14">Q17/Q6</f>
        <v>0.36988560239101309</v>
      </c>
      <c r="F17" s="2079">
        <f t="shared" si="14"/>
        <v>0.3612787128188843</v>
      </c>
      <c r="G17" s="2079">
        <f t="shared" si="14"/>
        <v>0.35152505446623095</v>
      </c>
      <c r="H17" s="2079">
        <f t="shared" si="14"/>
        <v>0.30992003457964123</v>
      </c>
      <c r="I17" s="2079">
        <f t="shared" si="14"/>
        <v>0.31779128248113997</v>
      </c>
      <c r="J17" s="2079">
        <f t="shared" si="14"/>
        <v>0.32443531827515398</v>
      </c>
      <c r="K17" s="2079">
        <f t="shared" si="14"/>
        <v>0.31</v>
      </c>
      <c r="L17" s="2079">
        <f t="shared" si="14"/>
        <v>0.31</v>
      </c>
      <c r="M17" s="2079">
        <f t="shared" si="14"/>
        <v>0.318</v>
      </c>
      <c r="N17" s="2080">
        <f t="shared" si="14"/>
        <v>0.32</v>
      </c>
      <c r="O17" s="2080">
        <v>0.31</v>
      </c>
      <c r="P17" s="2080">
        <v>0.32</v>
      </c>
      <c r="Q17" s="2022">
        <v>3589</v>
      </c>
      <c r="R17" s="2023">
        <v>3413</v>
      </c>
      <c r="S17" s="2023">
        <v>3227</v>
      </c>
      <c r="T17" s="2023">
        <v>2868</v>
      </c>
      <c r="U17" s="2023">
        <v>3033</v>
      </c>
      <c r="V17" s="2023">
        <v>3002</v>
      </c>
      <c r="W17" s="2110">
        <v>3064.66</v>
      </c>
      <c r="X17" s="2023">
        <v>3004.52</v>
      </c>
      <c r="Y17" s="2023">
        <v>2990.154</v>
      </c>
      <c r="Z17" s="2024">
        <v>3154.56</v>
      </c>
      <c r="AA17" s="2080">
        <v>0.31</v>
      </c>
    </row>
    <row r="18" spans="1:27" x14ac:dyDescent="0.25">
      <c r="A18" s="5797"/>
      <c r="B18" s="3366" t="s">
        <v>734</v>
      </c>
      <c r="C18" s="2109"/>
      <c r="D18" s="2079"/>
      <c r="E18" s="2079">
        <f t="shared" ref="E18:N18" si="15">Q18/Q6</f>
        <v>0.20838915799237348</v>
      </c>
      <c r="F18" s="2079">
        <f t="shared" si="15"/>
        <v>0.21668254472319254</v>
      </c>
      <c r="G18" s="2079">
        <f t="shared" si="15"/>
        <v>0.20980392156862746</v>
      </c>
      <c r="H18" s="2079">
        <f t="shared" si="15"/>
        <v>0.16944024205748864</v>
      </c>
      <c r="I18" s="2079">
        <f t="shared" si="15"/>
        <v>0.15360435875943002</v>
      </c>
      <c r="J18" s="2079">
        <f t="shared" si="15"/>
        <v>0.15757051766994487</v>
      </c>
      <c r="K18" s="2079">
        <f t="shared" si="15"/>
        <v>0.16</v>
      </c>
      <c r="L18" s="2079">
        <f t="shared" si="15"/>
        <v>0.16</v>
      </c>
      <c r="M18" s="2079">
        <f t="shared" si="15"/>
        <v>0.16</v>
      </c>
      <c r="N18" s="2080">
        <f t="shared" si="15"/>
        <v>0.15</v>
      </c>
      <c r="O18" s="2080">
        <v>0.16</v>
      </c>
      <c r="P18" s="2080">
        <v>0.15</v>
      </c>
      <c r="Q18" s="2022">
        <v>2022</v>
      </c>
      <c r="R18" s="2023">
        <v>2047</v>
      </c>
      <c r="S18" s="2023">
        <v>1926</v>
      </c>
      <c r="T18" s="2023">
        <v>1568</v>
      </c>
      <c r="U18" s="2023">
        <v>1466</v>
      </c>
      <c r="V18" s="2023">
        <v>1458</v>
      </c>
      <c r="W18" s="2110">
        <v>1581.76</v>
      </c>
      <c r="X18" s="2023">
        <v>1550.72</v>
      </c>
      <c r="Y18" s="2023">
        <v>1504.48</v>
      </c>
      <c r="Z18" s="2024">
        <v>1478.7</v>
      </c>
      <c r="AA18" s="2080">
        <v>0.15</v>
      </c>
    </row>
    <row r="19" spans="1:27" x14ac:dyDescent="0.25">
      <c r="A19" s="5797"/>
      <c r="B19" s="3364" t="s">
        <v>1226</v>
      </c>
      <c r="C19" s="2111"/>
      <c r="D19" s="2079"/>
      <c r="E19" s="2079">
        <f t="shared" ref="E19:N19" si="16">Q19/Q6</f>
        <v>0.23394826342368338</v>
      </c>
      <c r="F19" s="2079">
        <f t="shared" si="16"/>
        <v>0.23245474753890125</v>
      </c>
      <c r="G19" s="2079">
        <f t="shared" si="16"/>
        <v>0.26884531590413946</v>
      </c>
      <c r="H19" s="2079">
        <f t="shared" si="16"/>
        <v>0.38113248325048626</v>
      </c>
      <c r="I19" s="2079">
        <f t="shared" si="16"/>
        <v>0.38338222967309304</v>
      </c>
      <c r="J19" s="2079">
        <f t="shared" si="16"/>
        <v>0.3556684318599373</v>
      </c>
      <c r="K19" s="2079">
        <f t="shared" si="16"/>
        <v>0.37</v>
      </c>
      <c r="L19" s="2079">
        <f t="shared" si="16"/>
        <v>0.38</v>
      </c>
      <c r="M19" s="2079">
        <f t="shared" si="16"/>
        <v>0.39</v>
      </c>
      <c r="N19" s="2080">
        <f t="shared" si="16"/>
        <v>0.19</v>
      </c>
      <c r="O19" s="2080">
        <v>0.19</v>
      </c>
      <c r="P19" s="2080">
        <v>0.19</v>
      </c>
      <c r="Q19" s="2112">
        <v>2270</v>
      </c>
      <c r="R19" s="2113">
        <v>2196</v>
      </c>
      <c r="S19" s="2113">
        <v>2468</v>
      </c>
      <c r="T19" s="2113">
        <v>3527</v>
      </c>
      <c r="U19" s="2113">
        <v>3659</v>
      </c>
      <c r="V19" s="2113">
        <v>3291</v>
      </c>
      <c r="W19" s="2110">
        <v>3657.82</v>
      </c>
      <c r="X19" s="2113">
        <v>3682.96</v>
      </c>
      <c r="Y19" s="2113">
        <v>3667.17</v>
      </c>
      <c r="Z19" s="2114">
        <v>1873.02</v>
      </c>
      <c r="AA19" s="2080">
        <v>0.2</v>
      </c>
    </row>
    <row r="20" spans="1:27" x14ac:dyDescent="0.25">
      <c r="A20" s="5797"/>
      <c r="B20" s="3445" t="s">
        <v>1239</v>
      </c>
      <c r="C20" s="2111"/>
      <c r="D20" s="2079"/>
      <c r="E20" s="2079"/>
      <c r="F20" s="2079"/>
      <c r="G20" s="2079"/>
      <c r="H20" s="2079"/>
      <c r="I20" s="2079"/>
      <c r="J20" s="2079"/>
      <c r="K20" s="2079"/>
      <c r="L20" s="2079"/>
      <c r="M20" s="2079"/>
      <c r="N20" s="2080">
        <f>Z20/Z6</f>
        <v>0.13</v>
      </c>
      <c r="O20" s="2080">
        <v>0.14000000000000001</v>
      </c>
      <c r="P20" s="2080">
        <v>0.14000000000000001</v>
      </c>
      <c r="Q20" s="2115"/>
      <c r="R20" s="2116"/>
      <c r="S20" s="2113"/>
      <c r="T20" s="2113"/>
      <c r="U20" s="2113"/>
      <c r="V20" s="2113"/>
      <c r="W20" s="2110"/>
      <c r="X20" s="2113"/>
      <c r="Y20" s="2113"/>
      <c r="Z20" s="2114">
        <v>1281.54</v>
      </c>
      <c r="AA20" s="2080">
        <v>0.14000000000000001</v>
      </c>
    </row>
    <row r="21" spans="1:27" x14ac:dyDescent="0.25">
      <c r="A21" s="5798"/>
      <c r="B21" s="3446" t="s">
        <v>1240</v>
      </c>
      <c r="C21" s="2117"/>
      <c r="D21" s="2104"/>
      <c r="E21" s="2104"/>
      <c r="F21" s="2104"/>
      <c r="G21" s="2104"/>
      <c r="H21" s="2104"/>
      <c r="I21" s="2104"/>
      <c r="J21" s="2104"/>
      <c r="K21" s="2104"/>
      <c r="L21" s="2104"/>
      <c r="M21" s="2104"/>
      <c r="N21" s="2105">
        <f>Z21/Z6</f>
        <v>0.08</v>
      </c>
      <c r="O21" s="2105">
        <v>0.08</v>
      </c>
      <c r="P21" s="2105">
        <v>0.08</v>
      </c>
      <c r="Q21" s="2118"/>
      <c r="R21" s="2119"/>
      <c r="S21" s="2120"/>
      <c r="T21" s="2120"/>
      <c r="U21" s="2120"/>
      <c r="V21" s="2120"/>
      <c r="W21" s="2121"/>
      <c r="X21" s="2120"/>
      <c r="Y21" s="2120"/>
      <c r="Z21" s="2122">
        <v>788.64</v>
      </c>
      <c r="AA21" s="2105">
        <v>0.09</v>
      </c>
    </row>
    <row r="22" spans="1:27" x14ac:dyDescent="0.25">
      <c r="A22" s="5788" t="s">
        <v>724</v>
      </c>
      <c r="B22" s="2123" t="s">
        <v>725</v>
      </c>
      <c r="C22" s="2124"/>
      <c r="D22" s="2058"/>
      <c r="E22" s="2058">
        <v>2.1999999999999999E-2</v>
      </c>
      <c r="F22" s="2058">
        <v>2.4E-2</v>
      </c>
      <c r="G22" s="2058">
        <v>2.4E-2</v>
      </c>
      <c r="H22" s="2058">
        <v>0.03</v>
      </c>
      <c r="I22" s="2058">
        <v>0.03</v>
      </c>
      <c r="J22" s="2058">
        <v>0.03</v>
      </c>
      <c r="K22" s="2058">
        <v>0.03</v>
      </c>
      <c r="L22" s="2058">
        <v>0.03</v>
      </c>
      <c r="M22" s="2058">
        <v>3.7999999999999999E-2</v>
      </c>
      <c r="N22" s="2059">
        <v>0.03</v>
      </c>
      <c r="O22" s="2059">
        <v>0.03</v>
      </c>
      <c r="P22" s="2059">
        <v>0.03</v>
      </c>
      <c r="AA22" s="2059">
        <v>0.04</v>
      </c>
    </row>
    <row r="23" spans="1:27" x14ac:dyDescent="0.25">
      <c r="A23" s="5789"/>
      <c r="B23" s="2125" t="s">
        <v>726</v>
      </c>
      <c r="C23" s="2126"/>
      <c r="D23" s="2038"/>
      <c r="E23" s="2038">
        <v>0.20499999999999999</v>
      </c>
      <c r="F23" s="2038">
        <v>0.20300000000000001</v>
      </c>
      <c r="G23" s="2038">
        <v>0.19500000000000001</v>
      </c>
      <c r="H23" s="2038">
        <v>0.18</v>
      </c>
      <c r="I23" s="2038">
        <v>0.17</v>
      </c>
      <c r="J23" s="2038">
        <v>0.17</v>
      </c>
      <c r="K23" s="2038">
        <v>0.16</v>
      </c>
      <c r="L23" s="2038">
        <v>0.15</v>
      </c>
      <c r="M23" s="2038">
        <v>0.13600000000000001</v>
      </c>
      <c r="N23" s="2039">
        <v>0.13</v>
      </c>
      <c r="O23" s="2039">
        <v>0.12</v>
      </c>
      <c r="P23" s="2039">
        <v>0.11</v>
      </c>
      <c r="AA23" s="2039">
        <v>0.11</v>
      </c>
    </row>
    <row r="24" spans="1:27" x14ac:dyDescent="0.25">
      <c r="A24" s="5789"/>
      <c r="B24" s="2125" t="s">
        <v>727</v>
      </c>
      <c r="C24" s="2126"/>
      <c r="D24" s="2038"/>
      <c r="E24" s="2038">
        <v>0.20100000000000001</v>
      </c>
      <c r="F24" s="2038">
        <v>0.19500000000000001</v>
      </c>
      <c r="G24" s="2038">
        <v>0.2</v>
      </c>
      <c r="H24" s="2038">
        <v>0.21</v>
      </c>
      <c r="I24" s="2038">
        <v>0.21</v>
      </c>
      <c r="J24" s="2038">
        <v>0.22</v>
      </c>
      <c r="K24" s="2038">
        <v>0.22</v>
      </c>
      <c r="L24" s="2038">
        <v>0.24</v>
      </c>
      <c r="M24" s="2038">
        <v>0.222</v>
      </c>
      <c r="N24" s="2039">
        <v>0.23</v>
      </c>
      <c r="O24" s="2039">
        <v>0.23</v>
      </c>
      <c r="P24" s="2039">
        <v>0.23</v>
      </c>
      <c r="AA24" s="2039">
        <v>0.23</v>
      </c>
    </row>
    <row r="25" spans="1:27" x14ac:dyDescent="0.25">
      <c r="A25" s="5789"/>
      <c r="B25" s="2125" t="s">
        <v>728</v>
      </c>
      <c r="C25" s="2126"/>
      <c r="D25" s="2038"/>
      <c r="E25" s="2038">
        <v>0.1</v>
      </c>
      <c r="F25" s="2038">
        <v>0.10199999999999999</v>
      </c>
      <c r="G25" s="2038">
        <v>9.7000000000000003E-2</v>
      </c>
      <c r="H25" s="2038">
        <v>0.09</v>
      </c>
      <c r="I25" s="2038">
        <v>0.09</v>
      </c>
      <c r="J25" s="2038">
        <v>0.1</v>
      </c>
      <c r="K25" s="2038">
        <v>0.09</v>
      </c>
      <c r="L25" s="2038">
        <v>0.09</v>
      </c>
      <c r="M25" s="2038">
        <v>9.1999999999999998E-2</v>
      </c>
      <c r="N25" s="2039">
        <v>0.09</v>
      </c>
      <c r="O25" s="2039">
        <v>0.08</v>
      </c>
      <c r="P25" s="2039">
        <v>0.1</v>
      </c>
      <c r="AA25" s="2039">
        <v>0.09</v>
      </c>
    </row>
    <row r="26" spans="1:27" x14ac:dyDescent="0.25">
      <c r="A26" s="5789"/>
      <c r="B26" s="2125" t="s">
        <v>729</v>
      </c>
      <c r="C26" s="2126"/>
      <c r="D26" s="2038"/>
      <c r="E26" s="2038">
        <v>0.14799999999999999</v>
      </c>
      <c r="F26" s="2038">
        <v>0.152</v>
      </c>
      <c r="G26" s="2038">
        <v>0.159</v>
      </c>
      <c r="H26" s="2038">
        <v>0.16</v>
      </c>
      <c r="I26" s="2038">
        <v>0.17</v>
      </c>
      <c r="J26" s="2038">
        <v>0.17</v>
      </c>
      <c r="K26" s="2038">
        <v>0.18</v>
      </c>
      <c r="L26" s="2038">
        <v>0.18</v>
      </c>
      <c r="M26" s="2038">
        <v>0.189</v>
      </c>
      <c r="N26" s="2039">
        <v>0.2</v>
      </c>
      <c r="O26" s="2039">
        <v>0.2</v>
      </c>
      <c r="P26" s="2039">
        <v>0.2</v>
      </c>
      <c r="AA26" s="2039">
        <v>0.22</v>
      </c>
    </row>
    <row r="27" spans="1:27" x14ac:dyDescent="0.25">
      <c r="A27" s="5789"/>
      <c r="B27" s="2125" t="s">
        <v>730</v>
      </c>
      <c r="C27" s="2126"/>
      <c r="D27" s="2038"/>
      <c r="E27" s="2038">
        <v>0.28299999999999997</v>
      </c>
      <c r="F27" s="2038">
        <v>0.28000000000000003</v>
      </c>
      <c r="G27" s="2038">
        <v>0.28000000000000003</v>
      </c>
      <c r="H27" s="2038">
        <v>0.28000000000000003</v>
      </c>
      <c r="I27" s="2038">
        <v>0.28999999999999998</v>
      </c>
      <c r="J27" s="2038">
        <v>0.27</v>
      </c>
      <c r="K27" s="2038">
        <v>0.28000000000000003</v>
      </c>
      <c r="L27" s="2038">
        <v>0.27</v>
      </c>
      <c r="M27" s="2038">
        <v>0.28499999999999998</v>
      </c>
      <c r="N27" s="2039">
        <v>0.28000000000000003</v>
      </c>
      <c r="O27" s="2039">
        <v>0.28999999999999998</v>
      </c>
      <c r="P27" s="2039">
        <v>0.28999999999999998</v>
      </c>
      <c r="AA27" s="2039">
        <v>0.27</v>
      </c>
    </row>
    <row r="28" spans="1:27" x14ac:dyDescent="0.25">
      <c r="A28" s="5790"/>
      <c r="B28" s="2127" t="s">
        <v>731</v>
      </c>
      <c r="C28" s="2128"/>
      <c r="D28" s="2047"/>
      <c r="E28" s="2047">
        <v>4.2000000000000003E-2</v>
      </c>
      <c r="F28" s="2047">
        <v>4.3999999999999997E-2</v>
      </c>
      <c r="G28" s="2047">
        <v>4.5999999999999999E-2</v>
      </c>
      <c r="H28" s="2047">
        <v>0.05</v>
      </c>
      <c r="I28" s="2047">
        <v>0.04</v>
      </c>
      <c r="J28" s="2047">
        <v>0.04</v>
      </c>
      <c r="K28" s="2047">
        <v>0.04</v>
      </c>
      <c r="L28" s="2047">
        <v>0.04</v>
      </c>
      <c r="M28" s="2047">
        <v>3.9E-2</v>
      </c>
      <c r="N28" s="2048">
        <v>0.04</v>
      </c>
      <c r="O28" s="2048">
        <v>0.05</v>
      </c>
      <c r="P28" s="2048">
        <v>0.04</v>
      </c>
      <c r="AA28" s="2048">
        <v>0.04</v>
      </c>
    </row>
    <row r="29" spans="1:27" x14ac:dyDescent="0.25">
      <c r="A29" s="5788" t="s">
        <v>732</v>
      </c>
      <c r="B29" s="2123" t="s">
        <v>725</v>
      </c>
      <c r="C29" s="2124"/>
      <c r="D29" s="2058"/>
      <c r="E29" s="2058">
        <v>1.7000000000000001E-2</v>
      </c>
      <c r="F29" s="2058">
        <v>1.4999999999999999E-2</v>
      </c>
      <c r="G29" s="2058">
        <v>1.6E-2</v>
      </c>
      <c r="H29" s="2058">
        <v>0.02</v>
      </c>
      <c r="I29" s="2058">
        <v>0.02</v>
      </c>
      <c r="J29" s="2058">
        <v>0.02</v>
      </c>
      <c r="K29" s="2058">
        <v>0.02</v>
      </c>
      <c r="L29" s="2058">
        <v>0.01</v>
      </c>
      <c r="M29" s="2058">
        <v>1.2999999999999999E-2</v>
      </c>
      <c r="N29" s="2059">
        <v>0.01</v>
      </c>
      <c r="O29" s="2059">
        <v>0.01</v>
      </c>
      <c r="P29" s="2059">
        <v>0.01</v>
      </c>
      <c r="AA29" s="2059">
        <v>0.01</v>
      </c>
    </row>
    <row r="30" spans="1:27" x14ac:dyDescent="0.25">
      <c r="A30" s="5789"/>
      <c r="B30" s="2125" t="s">
        <v>726</v>
      </c>
      <c r="C30" s="2126"/>
      <c r="D30" s="2038"/>
      <c r="E30" s="2038">
        <v>0.29199999999999998</v>
      </c>
      <c r="F30" s="2038">
        <v>0.25900000000000001</v>
      </c>
      <c r="G30" s="2038">
        <v>0.26100000000000001</v>
      </c>
      <c r="H30" s="2038">
        <v>0.25</v>
      </c>
      <c r="I30" s="2038">
        <v>0.23</v>
      </c>
      <c r="J30" s="2038">
        <v>0.23</v>
      </c>
      <c r="K30" s="2038">
        <v>0.22</v>
      </c>
      <c r="L30" s="2038">
        <v>0.21</v>
      </c>
      <c r="M30" s="2038">
        <v>0.192</v>
      </c>
      <c r="N30" s="2039">
        <v>0.17</v>
      </c>
      <c r="O30" s="2039">
        <v>0.16</v>
      </c>
      <c r="P30" s="2039">
        <v>0.15</v>
      </c>
      <c r="AA30" s="2039">
        <v>0.14000000000000001</v>
      </c>
    </row>
    <row r="31" spans="1:27" x14ac:dyDescent="0.25">
      <c r="A31" s="5789"/>
      <c r="B31" s="2125" t="s">
        <v>727</v>
      </c>
      <c r="C31" s="2126"/>
      <c r="D31" s="2038"/>
      <c r="E31" s="2038">
        <v>0.21299999999999999</v>
      </c>
      <c r="F31" s="2038">
        <v>0.20699999999999999</v>
      </c>
      <c r="G31" s="2038">
        <v>0.22</v>
      </c>
      <c r="H31" s="2038">
        <v>0.23</v>
      </c>
      <c r="I31" s="2038">
        <v>0.23</v>
      </c>
      <c r="J31" s="2038">
        <v>0.24</v>
      </c>
      <c r="K31" s="2038">
        <v>0.24</v>
      </c>
      <c r="L31" s="2038">
        <v>0.25</v>
      </c>
      <c r="M31" s="2038">
        <v>0.23699999999999999</v>
      </c>
      <c r="N31" s="2039">
        <v>0.24</v>
      </c>
      <c r="O31" s="2039">
        <v>0.25</v>
      </c>
      <c r="P31" s="2039">
        <v>0.25</v>
      </c>
      <c r="AA31" s="2039">
        <v>0.25</v>
      </c>
    </row>
    <row r="32" spans="1:27" x14ac:dyDescent="0.25">
      <c r="A32" s="5789"/>
      <c r="B32" s="2125" t="s">
        <v>728</v>
      </c>
      <c r="C32" s="2126"/>
      <c r="D32" s="2038"/>
      <c r="E32" s="2038">
        <v>0.192</v>
      </c>
      <c r="F32" s="2038">
        <v>0.187</v>
      </c>
      <c r="G32" s="2038">
        <v>0.188</v>
      </c>
      <c r="H32" s="2038">
        <v>0.18</v>
      </c>
      <c r="I32" s="2038">
        <v>0.19</v>
      </c>
      <c r="J32" s="2038">
        <v>0.18</v>
      </c>
      <c r="K32" s="2038">
        <v>0.18</v>
      </c>
      <c r="L32" s="2038">
        <v>0.18</v>
      </c>
      <c r="M32" s="2038">
        <v>0.183</v>
      </c>
      <c r="N32" s="2039">
        <v>0.18</v>
      </c>
      <c r="O32" s="2039">
        <v>0.17</v>
      </c>
      <c r="P32" s="2039">
        <v>0.17</v>
      </c>
      <c r="AA32" s="2039">
        <v>0.18</v>
      </c>
    </row>
    <row r="33" spans="1:27" x14ac:dyDescent="0.25">
      <c r="A33" s="5789"/>
      <c r="B33" s="2125" t="s">
        <v>729</v>
      </c>
      <c r="C33" s="2126"/>
      <c r="D33" s="2038"/>
      <c r="E33" s="2038">
        <v>0.112</v>
      </c>
      <c r="F33" s="2038">
        <v>0.121</v>
      </c>
      <c r="G33" s="2038">
        <v>0.125</v>
      </c>
      <c r="H33" s="2038">
        <v>0.13</v>
      </c>
      <c r="I33" s="2038">
        <v>0.13</v>
      </c>
      <c r="J33" s="2038">
        <v>0.13</v>
      </c>
      <c r="K33" s="2038">
        <v>0.14000000000000001</v>
      </c>
      <c r="L33" s="2038">
        <v>0.15</v>
      </c>
      <c r="M33" s="2038">
        <v>0.154</v>
      </c>
      <c r="N33" s="2039">
        <v>0.17</v>
      </c>
      <c r="O33" s="2039">
        <v>0.17</v>
      </c>
      <c r="P33" s="2039">
        <v>0.17</v>
      </c>
      <c r="AA33" s="2039">
        <v>0.19</v>
      </c>
    </row>
    <row r="34" spans="1:27" x14ac:dyDescent="0.25">
      <c r="A34" s="5789"/>
      <c r="B34" s="2125" t="s">
        <v>730</v>
      </c>
      <c r="C34" s="2126"/>
      <c r="D34" s="2038"/>
      <c r="E34" s="2038">
        <v>0.155</v>
      </c>
      <c r="F34" s="2038">
        <v>0.185</v>
      </c>
      <c r="G34" s="2038">
        <v>0.16700000000000001</v>
      </c>
      <c r="H34" s="2038">
        <v>0.17</v>
      </c>
      <c r="I34" s="2038">
        <v>0.18</v>
      </c>
      <c r="J34" s="2038">
        <v>0.18</v>
      </c>
      <c r="K34" s="2038">
        <v>0.18</v>
      </c>
      <c r="L34" s="2038">
        <v>0.18</v>
      </c>
      <c r="M34" s="2038">
        <v>0.19400000000000001</v>
      </c>
      <c r="N34" s="2039">
        <v>0.2</v>
      </c>
      <c r="O34" s="2039">
        <v>0.21</v>
      </c>
      <c r="P34" s="2039">
        <v>0.22</v>
      </c>
      <c r="AA34" s="2039">
        <v>0.2</v>
      </c>
    </row>
    <row r="35" spans="1:27" x14ac:dyDescent="0.25">
      <c r="A35" s="5790"/>
      <c r="B35" s="2127" t="s">
        <v>731</v>
      </c>
      <c r="C35" s="2128"/>
      <c r="D35" s="2047"/>
      <c r="E35" s="2047">
        <v>1.9E-2</v>
      </c>
      <c r="F35" s="2047">
        <v>2.7E-2</v>
      </c>
      <c r="G35" s="2047">
        <v>2.4E-2</v>
      </c>
      <c r="H35" s="2047">
        <v>0.02</v>
      </c>
      <c r="I35" s="2047">
        <v>0.02</v>
      </c>
      <c r="J35" s="2047">
        <v>0.02</v>
      </c>
      <c r="K35" s="2047">
        <v>0.02</v>
      </c>
      <c r="L35" s="2047">
        <v>0.02</v>
      </c>
      <c r="M35" s="2047">
        <v>2.7E-2</v>
      </c>
      <c r="N35" s="2048">
        <v>0.03</v>
      </c>
      <c r="O35" s="2048">
        <v>0.03</v>
      </c>
      <c r="P35" s="2048">
        <v>0.03</v>
      </c>
      <c r="AA35" s="2048">
        <v>0.03</v>
      </c>
    </row>
    <row r="36" spans="1:27" x14ac:dyDescent="0.25">
      <c r="A36" s="240" t="s">
        <v>648</v>
      </c>
      <c r="B36" s="2062"/>
      <c r="C36" s="2063"/>
      <c r="D36" s="2063"/>
      <c r="E36" s="2063"/>
      <c r="F36" s="2063"/>
      <c r="G36" s="2063"/>
      <c r="H36" s="2063"/>
      <c r="I36" s="2063"/>
      <c r="J36" s="2063"/>
      <c r="K36" s="2063"/>
      <c r="L36" s="2063"/>
      <c r="M36" s="2063"/>
      <c r="N36" s="2063"/>
      <c r="O36" s="2063"/>
    </row>
    <row r="39" spans="1:27" x14ac:dyDescent="0.25">
      <c r="K39" s="2129"/>
    </row>
  </sheetData>
  <mergeCells count="7">
    <mergeCell ref="A1:B1"/>
    <mergeCell ref="A29:A35"/>
    <mergeCell ref="A4:A6"/>
    <mergeCell ref="A7:A10"/>
    <mergeCell ref="A11:A14"/>
    <mergeCell ref="A15:A21"/>
    <mergeCell ref="A22:A2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6" orientation="landscape" r:id="rId1"/>
  <rowBreaks count="2" manualBreakCount="2">
    <brk id="36" max="26" man="1"/>
    <brk id="91" max="26" man="1"/>
  </rowBreaks>
  <colBreaks count="1" manualBreakCount="1">
    <brk id="27" max="1048575" man="1"/>
  </colBreaks>
  <ignoredErrors>
    <ignoredError sqref="E8:N8" formula="1"/>
    <ignoredError sqref="O6:P6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V110"/>
  <sheetViews>
    <sheetView showGridLines="0" zoomScaleNormal="100" workbookViewId="0">
      <pane xSplit="3" ySplit="4" topLeftCell="AE5" activePane="bottomRight" state="frozen"/>
      <selection sqref="A1:E1"/>
      <selection pane="topRight" sqref="A1:E1"/>
      <selection pane="bottomLeft" sqref="A1:E1"/>
      <selection pane="bottomRight" activeCell="A26" sqref="A26:A40"/>
    </sheetView>
  </sheetViews>
  <sheetFormatPr baseColWidth="10" defaultRowHeight="12.75" x14ac:dyDescent="0.2"/>
  <cols>
    <col min="1" max="1" width="9.42578125" customWidth="1"/>
    <col min="2" max="2" width="9.7109375" customWidth="1"/>
    <col min="3" max="3" width="45.42578125" bestFit="1" customWidth="1"/>
    <col min="4" max="5" width="9.7109375" customWidth="1"/>
    <col min="6" max="6" width="9.7109375" style="144" customWidth="1"/>
    <col min="7" max="8" width="9.7109375" customWidth="1"/>
    <col min="9" max="9" width="9.7109375" style="144" customWidth="1"/>
    <col min="10" max="11" width="9.7109375" customWidth="1"/>
    <col min="12" max="12" width="9.7109375" style="144" customWidth="1"/>
    <col min="13" max="14" width="9.7109375" customWidth="1"/>
    <col min="15" max="15" width="9.7109375" style="144" customWidth="1"/>
    <col min="16" max="17" width="9.7109375" customWidth="1"/>
    <col min="18" max="18" width="9.7109375" style="144" customWidth="1"/>
    <col min="19" max="48" width="9.7109375" customWidth="1"/>
    <col min="256" max="256" width="1.7109375" customWidth="1"/>
    <col min="257" max="257" width="17.7109375" bestFit="1" customWidth="1"/>
    <col min="258" max="258" width="5.7109375" bestFit="1" customWidth="1"/>
    <col min="259" max="259" width="36.7109375" bestFit="1" customWidth="1"/>
    <col min="260" max="274" width="9.7109375" customWidth="1"/>
    <col min="275" max="280" width="11.42578125" customWidth="1"/>
    <col min="512" max="512" width="1.7109375" customWidth="1"/>
    <col min="513" max="513" width="17.7109375" bestFit="1" customWidth="1"/>
    <col min="514" max="514" width="5.7109375" bestFit="1" customWidth="1"/>
    <col min="515" max="515" width="36.7109375" bestFit="1" customWidth="1"/>
    <col min="516" max="530" width="9.7109375" customWidth="1"/>
    <col min="531" max="536" width="11.42578125" customWidth="1"/>
    <col min="768" max="768" width="1.7109375" customWidth="1"/>
    <col min="769" max="769" width="17.7109375" bestFit="1" customWidth="1"/>
    <col min="770" max="770" width="5.7109375" bestFit="1" customWidth="1"/>
    <col min="771" max="771" width="36.7109375" bestFit="1" customWidth="1"/>
    <col min="772" max="786" width="9.7109375" customWidth="1"/>
    <col min="787" max="792" width="11.42578125" customWidth="1"/>
    <col min="1024" max="1024" width="1.7109375" customWidth="1"/>
    <col min="1025" max="1025" width="17.7109375" bestFit="1" customWidth="1"/>
    <col min="1026" max="1026" width="5.7109375" bestFit="1" customWidth="1"/>
    <col min="1027" max="1027" width="36.7109375" bestFit="1" customWidth="1"/>
    <col min="1028" max="1042" width="9.7109375" customWidth="1"/>
    <col min="1043" max="1048" width="11.42578125" customWidth="1"/>
    <col min="1280" max="1280" width="1.7109375" customWidth="1"/>
    <col min="1281" max="1281" width="17.7109375" bestFit="1" customWidth="1"/>
    <col min="1282" max="1282" width="5.7109375" bestFit="1" customWidth="1"/>
    <col min="1283" max="1283" width="36.7109375" bestFit="1" customWidth="1"/>
    <col min="1284" max="1298" width="9.7109375" customWidth="1"/>
    <col min="1299" max="1304" width="11.42578125" customWidth="1"/>
    <col min="1536" max="1536" width="1.7109375" customWidth="1"/>
    <col min="1537" max="1537" width="17.7109375" bestFit="1" customWidth="1"/>
    <col min="1538" max="1538" width="5.7109375" bestFit="1" customWidth="1"/>
    <col min="1539" max="1539" width="36.7109375" bestFit="1" customWidth="1"/>
    <col min="1540" max="1554" width="9.7109375" customWidth="1"/>
    <col min="1555" max="1560" width="11.42578125" customWidth="1"/>
    <col min="1792" max="1792" width="1.7109375" customWidth="1"/>
    <col min="1793" max="1793" width="17.7109375" bestFit="1" customWidth="1"/>
    <col min="1794" max="1794" width="5.7109375" bestFit="1" customWidth="1"/>
    <col min="1795" max="1795" width="36.7109375" bestFit="1" customWidth="1"/>
    <col min="1796" max="1810" width="9.7109375" customWidth="1"/>
    <col min="1811" max="1816" width="11.42578125" customWidth="1"/>
    <col min="2048" max="2048" width="1.7109375" customWidth="1"/>
    <col min="2049" max="2049" width="17.7109375" bestFit="1" customWidth="1"/>
    <col min="2050" max="2050" width="5.7109375" bestFit="1" customWidth="1"/>
    <col min="2051" max="2051" width="36.7109375" bestFit="1" customWidth="1"/>
    <col min="2052" max="2066" width="9.7109375" customWidth="1"/>
    <col min="2067" max="2072" width="11.42578125" customWidth="1"/>
    <col min="2304" max="2304" width="1.7109375" customWidth="1"/>
    <col min="2305" max="2305" width="17.7109375" bestFit="1" customWidth="1"/>
    <col min="2306" max="2306" width="5.7109375" bestFit="1" customWidth="1"/>
    <col min="2307" max="2307" width="36.7109375" bestFit="1" customWidth="1"/>
    <col min="2308" max="2322" width="9.7109375" customWidth="1"/>
    <col min="2323" max="2328" width="11.42578125" customWidth="1"/>
    <col min="2560" max="2560" width="1.7109375" customWidth="1"/>
    <col min="2561" max="2561" width="17.7109375" bestFit="1" customWidth="1"/>
    <col min="2562" max="2562" width="5.7109375" bestFit="1" customWidth="1"/>
    <col min="2563" max="2563" width="36.7109375" bestFit="1" customWidth="1"/>
    <col min="2564" max="2578" width="9.7109375" customWidth="1"/>
    <col min="2579" max="2584" width="11.42578125" customWidth="1"/>
    <col min="2816" max="2816" width="1.7109375" customWidth="1"/>
    <col min="2817" max="2817" width="17.7109375" bestFit="1" customWidth="1"/>
    <col min="2818" max="2818" width="5.7109375" bestFit="1" customWidth="1"/>
    <col min="2819" max="2819" width="36.7109375" bestFit="1" customWidth="1"/>
    <col min="2820" max="2834" width="9.7109375" customWidth="1"/>
    <col min="2835" max="2840" width="11.42578125" customWidth="1"/>
    <col min="3072" max="3072" width="1.7109375" customWidth="1"/>
    <col min="3073" max="3073" width="17.7109375" bestFit="1" customWidth="1"/>
    <col min="3074" max="3074" width="5.7109375" bestFit="1" customWidth="1"/>
    <col min="3075" max="3075" width="36.7109375" bestFit="1" customWidth="1"/>
    <col min="3076" max="3090" width="9.7109375" customWidth="1"/>
    <col min="3091" max="3096" width="11.42578125" customWidth="1"/>
    <col min="3328" max="3328" width="1.7109375" customWidth="1"/>
    <col min="3329" max="3329" width="17.7109375" bestFit="1" customWidth="1"/>
    <col min="3330" max="3330" width="5.7109375" bestFit="1" customWidth="1"/>
    <col min="3331" max="3331" width="36.7109375" bestFit="1" customWidth="1"/>
    <col min="3332" max="3346" width="9.7109375" customWidth="1"/>
    <col min="3347" max="3352" width="11.42578125" customWidth="1"/>
    <col min="3584" max="3584" width="1.7109375" customWidth="1"/>
    <col min="3585" max="3585" width="17.7109375" bestFit="1" customWidth="1"/>
    <col min="3586" max="3586" width="5.7109375" bestFit="1" customWidth="1"/>
    <col min="3587" max="3587" width="36.7109375" bestFit="1" customWidth="1"/>
    <col min="3588" max="3602" width="9.7109375" customWidth="1"/>
    <col min="3603" max="3608" width="11.42578125" customWidth="1"/>
    <col min="3840" max="3840" width="1.7109375" customWidth="1"/>
    <col min="3841" max="3841" width="17.7109375" bestFit="1" customWidth="1"/>
    <col min="3842" max="3842" width="5.7109375" bestFit="1" customWidth="1"/>
    <col min="3843" max="3843" width="36.7109375" bestFit="1" customWidth="1"/>
    <col min="3844" max="3858" width="9.7109375" customWidth="1"/>
    <col min="3859" max="3864" width="11.42578125" customWidth="1"/>
    <col min="4096" max="4096" width="1.7109375" customWidth="1"/>
    <col min="4097" max="4097" width="17.7109375" bestFit="1" customWidth="1"/>
    <col min="4098" max="4098" width="5.7109375" bestFit="1" customWidth="1"/>
    <col min="4099" max="4099" width="36.7109375" bestFit="1" customWidth="1"/>
    <col min="4100" max="4114" width="9.7109375" customWidth="1"/>
    <col min="4115" max="4120" width="11.42578125" customWidth="1"/>
    <col min="4352" max="4352" width="1.7109375" customWidth="1"/>
    <col min="4353" max="4353" width="17.7109375" bestFit="1" customWidth="1"/>
    <col min="4354" max="4354" width="5.7109375" bestFit="1" customWidth="1"/>
    <col min="4355" max="4355" width="36.7109375" bestFit="1" customWidth="1"/>
    <col min="4356" max="4370" width="9.7109375" customWidth="1"/>
    <col min="4371" max="4376" width="11.42578125" customWidth="1"/>
    <col min="4608" max="4608" width="1.7109375" customWidth="1"/>
    <col min="4609" max="4609" width="17.7109375" bestFit="1" customWidth="1"/>
    <col min="4610" max="4610" width="5.7109375" bestFit="1" customWidth="1"/>
    <col min="4611" max="4611" width="36.7109375" bestFit="1" customWidth="1"/>
    <col min="4612" max="4626" width="9.7109375" customWidth="1"/>
    <col min="4627" max="4632" width="11.42578125" customWidth="1"/>
    <col min="4864" max="4864" width="1.7109375" customWidth="1"/>
    <col min="4865" max="4865" width="17.7109375" bestFit="1" customWidth="1"/>
    <col min="4866" max="4866" width="5.7109375" bestFit="1" customWidth="1"/>
    <col min="4867" max="4867" width="36.7109375" bestFit="1" customWidth="1"/>
    <col min="4868" max="4882" width="9.7109375" customWidth="1"/>
    <col min="4883" max="4888" width="11.42578125" customWidth="1"/>
    <col min="5120" max="5120" width="1.7109375" customWidth="1"/>
    <col min="5121" max="5121" width="17.7109375" bestFit="1" customWidth="1"/>
    <col min="5122" max="5122" width="5.7109375" bestFit="1" customWidth="1"/>
    <col min="5123" max="5123" width="36.7109375" bestFit="1" customWidth="1"/>
    <col min="5124" max="5138" width="9.7109375" customWidth="1"/>
    <col min="5139" max="5144" width="11.42578125" customWidth="1"/>
    <col min="5376" max="5376" width="1.7109375" customWidth="1"/>
    <col min="5377" max="5377" width="17.7109375" bestFit="1" customWidth="1"/>
    <col min="5378" max="5378" width="5.7109375" bestFit="1" customWidth="1"/>
    <col min="5379" max="5379" width="36.7109375" bestFit="1" customWidth="1"/>
    <col min="5380" max="5394" width="9.7109375" customWidth="1"/>
    <col min="5395" max="5400" width="11.42578125" customWidth="1"/>
    <col min="5632" max="5632" width="1.7109375" customWidth="1"/>
    <col min="5633" max="5633" width="17.7109375" bestFit="1" customWidth="1"/>
    <col min="5634" max="5634" width="5.7109375" bestFit="1" customWidth="1"/>
    <col min="5635" max="5635" width="36.7109375" bestFit="1" customWidth="1"/>
    <col min="5636" max="5650" width="9.7109375" customWidth="1"/>
    <col min="5651" max="5656" width="11.42578125" customWidth="1"/>
    <col min="5888" max="5888" width="1.7109375" customWidth="1"/>
    <col min="5889" max="5889" width="17.7109375" bestFit="1" customWidth="1"/>
    <col min="5890" max="5890" width="5.7109375" bestFit="1" customWidth="1"/>
    <col min="5891" max="5891" width="36.7109375" bestFit="1" customWidth="1"/>
    <col min="5892" max="5906" width="9.7109375" customWidth="1"/>
    <col min="5907" max="5912" width="11.42578125" customWidth="1"/>
    <col min="6144" max="6144" width="1.7109375" customWidth="1"/>
    <col min="6145" max="6145" width="17.7109375" bestFit="1" customWidth="1"/>
    <col min="6146" max="6146" width="5.7109375" bestFit="1" customWidth="1"/>
    <col min="6147" max="6147" width="36.7109375" bestFit="1" customWidth="1"/>
    <col min="6148" max="6162" width="9.7109375" customWidth="1"/>
    <col min="6163" max="6168" width="11.42578125" customWidth="1"/>
    <col min="6400" max="6400" width="1.7109375" customWidth="1"/>
    <col min="6401" max="6401" width="17.7109375" bestFit="1" customWidth="1"/>
    <col min="6402" max="6402" width="5.7109375" bestFit="1" customWidth="1"/>
    <col min="6403" max="6403" width="36.7109375" bestFit="1" customWidth="1"/>
    <col min="6404" max="6418" width="9.7109375" customWidth="1"/>
    <col min="6419" max="6424" width="11.42578125" customWidth="1"/>
    <col min="6656" max="6656" width="1.7109375" customWidth="1"/>
    <col min="6657" max="6657" width="17.7109375" bestFit="1" customWidth="1"/>
    <col min="6658" max="6658" width="5.7109375" bestFit="1" customWidth="1"/>
    <col min="6659" max="6659" width="36.7109375" bestFit="1" customWidth="1"/>
    <col min="6660" max="6674" width="9.7109375" customWidth="1"/>
    <col min="6675" max="6680" width="11.42578125" customWidth="1"/>
    <col min="6912" max="6912" width="1.7109375" customWidth="1"/>
    <col min="6913" max="6913" width="17.7109375" bestFit="1" customWidth="1"/>
    <col min="6914" max="6914" width="5.7109375" bestFit="1" customWidth="1"/>
    <col min="6915" max="6915" width="36.7109375" bestFit="1" customWidth="1"/>
    <col min="6916" max="6930" width="9.7109375" customWidth="1"/>
    <col min="6931" max="6936" width="11.42578125" customWidth="1"/>
    <col min="7168" max="7168" width="1.7109375" customWidth="1"/>
    <col min="7169" max="7169" width="17.7109375" bestFit="1" customWidth="1"/>
    <col min="7170" max="7170" width="5.7109375" bestFit="1" customWidth="1"/>
    <col min="7171" max="7171" width="36.7109375" bestFit="1" customWidth="1"/>
    <col min="7172" max="7186" width="9.7109375" customWidth="1"/>
    <col min="7187" max="7192" width="11.42578125" customWidth="1"/>
    <col min="7424" max="7424" width="1.7109375" customWidth="1"/>
    <col min="7425" max="7425" width="17.7109375" bestFit="1" customWidth="1"/>
    <col min="7426" max="7426" width="5.7109375" bestFit="1" customWidth="1"/>
    <col min="7427" max="7427" width="36.7109375" bestFit="1" customWidth="1"/>
    <col min="7428" max="7442" width="9.7109375" customWidth="1"/>
    <col min="7443" max="7448" width="11.42578125" customWidth="1"/>
    <col min="7680" max="7680" width="1.7109375" customWidth="1"/>
    <col min="7681" max="7681" width="17.7109375" bestFit="1" customWidth="1"/>
    <col min="7682" max="7682" width="5.7109375" bestFit="1" customWidth="1"/>
    <col min="7683" max="7683" width="36.7109375" bestFit="1" customWidth="1"/>
    <col min="7684" max="7698" width="9.7109375" customWidth="1"/>
    <col min="7699" max="7704" width="11.42578125" customWidth="1"/>
    <col min="7936" max="7936" width="1.7109375" customWidth="1"/>
    <col min="7937" max="7937" width="17.7109375" bestFit="1" customWidth="1"/>
    <col min="7938" max="7938" width="5.7109375" bestFit="1" customWidth="1"/>
    <col min="7939" max="7939" width="36.7109375" bestFit="1" customWidth="1"/>
    <col min="7940" max="7954" width="9.7109375" customWidth="1"/>
    <col min="7955" max="7960" width="11.42578125" customWidth="1"/>
    <col min="8192" max="8192" width="1.7109375" customWidth="1"/>
    <col min="8193" max="8193" width="17.7109375" bestFit="1" customWidth="1"/>
    <col min="8194" max="8194" width="5.7109375" bestFit="1" customWidth="1"/>
    <col min="8195" max="8195" width="36.7109375" bestFit="1" customWidth="1"/>
    <col min="8196" max="8210" width="9.7109375" customWidth="1"/>
    <col min="8211" max="8216" width="11.42578125" customWidth="1"/>
    <col min="8448" max="8448" width="1.7109375" customWidth="1"/>
    <col min="8449" max="8449" width="17.7109375" bestFit="1" customWidth="1"/>
    <col min="8450" max="8450" width="5.7109375" bestFit="1" customWidth="1"/>
    <col min="8451" max="8451" width="36.7109375" bestFit="1" customWidth="1"/>
    <col min="8452" max="8466" width="9.7109375" customWidth="1"/>
    <col min="8467" max="8472" width="11.42578125" customWidth="1"/>
    <col min="8704" max="8704" width="1.7109375" customWidth="1"/>
    <col min="8705" max="8705" width="17.7109375" bestFit="1" customWidth="1"/>
    <col min="8706" max="8706" width="5.7109375" bestFit="1" customWidth="1"/>
    <col min="8707" max="8707" width="36.7109375" bestFit="1" customWidth="1"/>
    <col min="8708" max="8722" width="9.7109375" customWidth="1"/>
    <col min="8723" max="8728" width="11.42578125" customWidth="1"/>
    <col min="8960" max="8960" width="1.7109375" customWidth="1"/>
    <col min="8961" max="8961" width="17.7109375" bestFit="1" customWidth="1"/>
    <col min="8962" max="8962" width="5.7109375" bestFit="1" customWidth="1"/>
    <col min="8963" max="8963" width="36.7109375" bestFit="1" customWidth="1"/>
    <col min="8964" max="8978" width="9.7109375" customWidth="1"/>
    <col min="8979" max="8984" width="11.42578125" customWidth="1"/>
    <col min="9216" max="9216" width="1.7109375" customWidth="1"/>
    <col min="9217" max="9217" width="17.7109375" bestFit="1" customWidth="1"/>
    <col min="9218" max="9218" width="5.7109375" bestFit="1" customWidth="1"/>
    <col min="9219" max="9219" width="36.7109375" bestFit="1" customWidth="1"/>
    <col min="9220" max="9234" width="9.7109375" customWidth="1"/>
    <col min="9235" max="9240" width="11.42578125" customWidth="1"/>
    <col min="9472" max="9472" width="1.7109375" customWidth="1"/>
    <col min="9473" max="9473" width="17.7109375" bestFit="1" customWidth="1"/>
    <col min="9474" max="9474" width="5.7109375" bestFit="1" customWidth="1"/>
    <col min="9475" max="9475" width="36.7109375" bestFit="1" customWidth="1"/>
    <col min="9476" max="9490" width="9.7109375" customWidth="1"/>
    <col min="9491" max="9496" width="11.42578125" customWidth="1"/>
    <col min="9728" max="9728" width="1.7109375" customWidth="1"/>
    <col min="9729" max="9729" width="17.7109375" bestFit="1" customWidth="1"/>
    <col min="9730" max="9730" width="5.7109375" bestFit="1" customWidth="1"/>
    <col min="9731" max="9731" width="36.7109375" bestFit="1" customWidth="1"/>
    <col min="9732" max="9746" width="9.7109375" customWidth="1"/>
    <col min="9747" max="9752" width="11.42578125" customWidth="1"/>
    <col min="9984" max="9984" width="1.7109375" customWidth="1"/>
    <col min="9985" max="9985" width="17.7109375" bestFit="1" customWidth="1"/>
    <col min="9986" max="9986" width="5.7109375" bestFit="1" customWidth="1"/>
    <col min="9987" max="9987" width="36.7109375" bestFit="1" customWidth="1"/>
    <col min="9988" max="10002" width="9.7109375" customWidth="1"/>
    <col min="10003" max="10008" width="11.42578125" customWidth="1"/>
    <col min="10240" max="10240" width="1.7109375" customWidth="1"/>
    <col min="10241" max="10241" width="17.7109375" bestFit="1" customWidth="1"/>
    <col min="10242" max="10242" width="5.7109375" bestFit="1" customWidth="1"/>
    <col min="10243" max="10243" width="36.7109375" bestFit="1" customWidth="1"/>
    <col min="10244" max="10258" width="9.7109375" customWidth="1"/>
    <col min="10259" max="10264" width="11.42578125" customWidth="1"/>
    <col min="10496" max="10496" width="1.7109375" customWidth="1"/>
    <col min="10497" max="10497" width="17.7109375" bestFit="1" customWidth="1"/>
    <col min="10498" max="10498" width="5.7109375" bestFit="1" customWidth="1"/>
    <col min="10499" max="10499" width="36.7109375" bestFit="1" customWidth="1"/>
    <col min="10500" max="10514" width="9.7109375" customWidth="1"/>
    <col min="10515" max="10520" width="11.42578125" customWidth="1"/>
    <col min="10752" max="10752" width="1.7109375" customWidth="1"/>
    <col min="10753" max="10753" width="17.7109375" bestFit="1" customWidth="1"/>
    <col min="10754" max="10754" width="5.7109375" bestFit="1" customWidth="1"/>
    <col min="10755" max="10755" width="36.7109375" bestFit="1" customWidth="1"/>
    <col min="10756" max="10770" width="9.7109375" customWidth="1"/>
    <col min="10771" max="10776" width="11.42578125" customWidth="1"/>
    <col min="11008" max="11008" width="1.7109375" customWidth="1"/>
    <col min="11009" max="11009" width="17.7109375" bestFit="1" customWidth="1"/>
    <col min="11010" max="11010" width="5.7109375" bestFit="1" customWidth="1"/>
    <col min="11011" max="11011" width="36.7109375" bestFit="1" customWidth="1"/>
    <col min="11012" max="11026" width="9.7109375" customWidth="1"/>
    <col min="11027" max="11032" width="11.42578125" customWidth="1"/>
    <col min="11264" max="11264" width="1.7109375" customWidth="1"/>
    <col min="11265" max="11265" width="17.7109375" bestFit="1" customWidth="1"/>
    <col min="11266" max="11266" width="5.7109375" bestFit="1" customWidth="1"/>
    <col min="11267" max="11267" width="36.7109375" bestFit="1" customWidth="1"/>
    <col min="11268" max="11282" width="9.7109375" customWidth="1"/>
    <col min="11283" max="11288" width="11.42578125" customWidth="1"/>
    <col min="11520" max="11520" width="1.7109375" customWidth="1"/>
    <col min="11521" max="11521" width="17.7109375" bestFit="1" customWidth="1"/>
    <col min="11522" max="11522" width="5.7109375" bestFit="1" customWidth="1"/>
    <col min="11523" max="11523" width="36.7109375" bestFit="1" customWidth="1"/>
    <col min="11524" max="11538" width="9.7109375" customWidth="1"/>
    <col min="11539" max="11544" width="11.42578125" customWidth="1"/>
    <col min="11776" max="11776" width="1.7109375" customWidth="1"/>
    <col min="11777" max="11777" width="17.7109375" bestFit="1" customWidth="1"/>
    <col min="11778" max="11778" width="5.7109375" bestFit="1" customWidth="1"/>
    <col min="11779" max="11779" width="36.7109375" bestFit="1" customWidth="1"/>
    <col min="11780" max="11794" width="9.7109375" customWidth="1"/>
    <col min="11795" max="11800" width="11.42578125" customWidth="1"/>
    <col min="12032" max="12032" width="1.7109375" customWidth="1"/>
    <col min="12033" max="12033" width="17.7109375" bestFit="1" customWidth="1"/>
    <col min="12034" max="12034" width="5.7109375" bestFit="1" customWidth="1"/>
    <col min="12035" max="12035" width="36.7109375" bestFit="1" customWidth="1"/>
    <col min="12036" max="12050" width="9.7109375" customWidth="1"/>
    <col min="12051" max="12056" width="11.42578125" customWidth="1"/>
    <col min="12288" max="12288" width="1.7109375" customWidth="1"/>
    <col min="12289" max="12289" width="17.7109375" bestFit="1" customWidth="1"/>
    <col min="12290" max="12290" width="5.7109375" bestFit="1" customWidth="1"/>
    <col min="12291" max="12291" width="36.7109375" bestFit="1" customWidth="1"/>
    <col min="12292" max="12306" width="9.7109375" customWidth="1"/>
    <col min="12307" max="12312" width="11.42578125" customWidth="1"/>
    <col min="12544" max="12544" width="1.7109375" customWidth="1"/>
    <col min="12545" max="12545" width="17.7109375" bestFit="1" customWidth="1"/>
    <col min="12546" max="12546" width="5.7109375" bestFit="1" customWidth="1"/>
    <col min="12547" max="12547" width="36.7109375" bestFit="1" customWidth="1"/>
    <col min="12548" max="12562" width="9.7109375" customWidth="1"/>
    <col min="12563" max="12568" width="11.42578125" customWidth="1"/>
    <col min="12800" max="12800" width="1.7109375" customWidth="1"/>
    <col min="12801" max="12801" width="17.7109375" bestFit="1" customWidth="1"/>
    <col min="12802" max="12802" width="5.7109375" bestFit="1" customWidth="1"/>
    <col min="12803" max="12803" width="36.7109375" bestFit="1" customWidth="1"/>
    <col min="12804" max="12818" width="9.7109375" customWidth="1"/>
    <col min="12819" max="12824" width="11.42578125" customWidth="1"/>
    <col min="13056" max="13056" width="1.7109375" customWidth="1"/>
    <col min="13057" max="13057" width="17.7109375" bestFit="1" customWidth="1"/>
    <col min="13058" max="13058" width="5.7109375" bestFit="1" customWidth="1"/>
    <col min="13059" max="13059" width="36.7109375" bestFit="1" customWidth="1"/>
    <col min="13060" max="13074" width="9.7109375" customWidth="1"/>
    <col min="13075" max="13080" width="11.42578125" customWidth="1"/>
    <col min="13312" max="13312" width="1.7109375" customWidth="1"/>
    <col min="13313" max="13313" width="17.7109375" bestFit="1" customWidth="1"/>
    <col min="13314" max="13314" width="5.7109375" bestFit="1" customWidth="1"/>
    <col min="13315" max="13315" width="36.7109375" bestFit="1" customWidth="1"/>
    <col min="13316" max="13330" width="9.7109375" customWidth="1"/>
    <col min="13331" max="13336" width="11.42578125" customWidth="1"/>
    <col min="13568" max="13568" width="1.7109375" customWidth="1"/>
    <col min="13569" max="13569" width="17.7109375" bestFit="1" customWidth="1"/>
    <col min="13570" max="13570" width="5.7109375" bestFit="1" customWidth="1"/>
    <col min="13571" max="13571" width="36.7109375" bestFit="1" customWidth="1"/>
    <col min="13572" max="13586" width="9.7109375" customWidth="1"/>
    <col min="13587" max="13592" width="11.42578125" customWidth="1"/>
    <col min="13824" max="13824" width="1.7109375" customWidth="1"/>
    <col min="13825" max="13825" width="17.7109375" bestFit="1" customWidth="1"/>
    <col min="13826" max="13826" width="5.7109375" bestFit="1" customWidth="1"/>
    <col min="13827" max="13827" width="36.7109375" bestFit="1" customWidth="1"/>
    <col min="13828" max="13842" width="9.7109375" customWidth="1"/>
    <col min="13843" max="13848" width="11.42578125" customWidth="1"/>
    <col min="14080" max="14080" width="1.7109375" customWidth="1"/>
    <col min="14081" max="14081" width="17.7109375" bestFit="1" customWidth="1"/>
    <col min="14082" max="14082" width="5.7109375" bestFit="1" customWidth="1"/>
    <col min="14083" max="14083" width="36.7109375" bestFit="1" customWidth="1"/>
    <col min="14084" max="14098" width="9.7109375" customWidth="1"/>
    <col min="14099" max="14104" width="11.42578125" customWidth="1"/>
    <col min="14336" max="14336" width="1.7109375" customWidth="1"/>
    <col min="14337" max="14337" width="17.7109375" bestFit="1" customWidth="1"/>
    <col min="14338" max="14338" width="5.7109375" bestFit="1" customWidth="1"/>
    <col min="14339" max="14339" width="36.7109375" bestFit="1" customWidth="1"/>
    <col min="14340" max="14354" width="9.7109375" customWidth="1"/>
    <col min="14355" max="14360" width="11.42578125" customWidth="1"/>
    <col min="14592" max="14592" width="1.7109375" customWidth="1"/>
    <col min="14593" max="14593" width="17.7109375" bestFit="1" customWidth="1"/>
    <col min="14594" max="14594" width="5.7109375" bestFit="1" customWidth="1"/>
    <col min="14595" max="14595" width="36.7109375" bestFit="1" customWidth="1"/>
    <col min="14596" max="14610" width="9.7109375" customWidth="1"/>
    <col min="14611" max="14616" width="11.42578125" customWidth="1"/>
    <col min="14848" max="14848" width="1.7109375" customWidth="1"/>
    <col min="14849" max="14849" width="17.7109375" bestFit="1" customWidth="1"/>
    <col min="14850" max="14850" width="5.7109375" bestFit="1" customWidth="1"/>
    <col min="14851" max="14851" width="36.7109375" bestFit="1" customWidth="1"/>
    <col min="14852" max="14866" width="9.7109375" customWidth="1"/>
    <col min="14867" max="14872" width="11.42578125" customWidth="1"/>
    <col min="15104" max="15104" width="1.7109375" customWidth="1"/>
    <col min="15105" max="15105" width="17.7109375" bestFit="1" customWidth="1"/>
    <col min="15106" max="15106" width="5.7109375" bestFit="1" customWidth="1"/>
    <col min="15107" max="15107" width="36.7109375" bestFit="1" customWidth="1"/>
    <col min="15108" max="15122" width="9.7109375" customWidth="1"/>
    <col min="15123" max="15128" width="11.42578125" customWidth="1"/>
    <col min="15360" max="15360" width="1.7109375" customWidth="1"/>
    <col min="15361" max="15361" width="17.7109375" bestFit="1" customWidth="1"/>
    <col min="15362" max="15362" width="5.7109375" bestFit="1" customWidth="1"/>
    <col min="15363" max="15363" width="36.7109375" bestFit="1" customWidth="1"/>
    <col min="15364" max="15378" width="9.7109375" customWidth="1"/>
    <col min="15379" max="15384" width="11.42578125" customWidth="1"/>
    <col min="15616" max="15616" width="1.7109375" customWidth="1"/>
    <col min="15617" max="15617" width="17.7109375" bestFit="1" customWidth="1"/>
    <col min="15618" max="15618" width="5.7109375" bestFit="1" customWidth="1"/>
    <col min="15619" max="15619" width="36.7109375" bestFit="1" customWidth="1"/>
    <col min="15620" max="15634" width="9.7109375" customWidth="1"/>
    <col min="15635" max="15640" width="11.42578125" customWidth="1"/>
    <col min="15872" max="15872" width="1.7109375" customWidth="1"/>
    <col min="15873" max="15873" width="17.7109375" bestFit="1" customWidth="1"/>
    <col min="15874" max="15874" width="5.7109375" bestFit="1" customWidth="1"/>
    <col min="15875" max="15875" width="36.7109375" bestFit="1" customWidth="1"/>
    <col min="15876" max="15890" width="9.7109375" customWidth="1"/>
    <col min="15891" max="15896" width="11.42578125" customWidth="1"/>
    <col min="16128" max="16128" width="1.7109375" customWidth="1"/>
    <col min="16129" max="16129" width="17.7109375" bestFit="1" customWidth="1"/>
    <col min="16130" max="16130" width="5.7109375" bestFit="1" customWidth="1"/>
    <col min="16131" max="16131" width="36.7109375" bestFit="1" customWidth="1"/>
    <col min="16132" max="16146" width="9.7109375" customWidth="1"/>
    <col min="16147" max="16152" width="11.42578125" customWidth="1"/>
  </cols>
  <sheetData>
    <row r="1" spans="1:48" s="9" customFormat="1" ht="31.5" customHeight="1" x14ac:dyDescent="0.25">
      <c r="A1" s="5817" t="s">
        <v>1463</v>
      </c>
      <c r="B1" s="5817"/>
      <c r="C1" s="5817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  <c r="X1" s="143"/>
    </row>
    <row r="2" spans="1:48" s="9" customFormat="1" ht="15" customHeight="1" x14ac:dyDescent="0.25">
      <c r="A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</row>
    <row r="3" spans="1:48" s="9" customFormat="1" ht="15" customHeight="1" x14ac:dyDescent="0.2">
      <c r="A3" s="5723" t="s">
        <v>16</v>
      </c>
      <c r="B3" s="5723" t="s">
        <v>4</v>
      </c>
      <c r="C3" s="5723" t="s">
        <v>349</v>
      </c>
      <c r="D3" s="5799">
        <v>2003</v>
      </c>
      <c r="E3" s="5799"/>
      <c r="F3" s="5799"/>
      <c r="G3" s="5799">
        <v>2004</v>
      </c>
      <c r="H3" s="5799"/>
      <c r="I3" s="5799"/>
      <c r="J3" s="5799">
        <v>2005</v>
      </c>
      <c r="K3" s="5799"/>
      <c r="L3" s="5799"/>
      <c r="M3" s="5799">
        <v>2006</v>
      </c>
      <c r="N3" s="5799"/>
      <c r="O3" s="5799"/>
      <c r="P3" s="5799">
        <v>2007</v>
      </c>
      <c r="Q3" s="5799"/>
      <c r="R3" s="5799"/>
      <c r="S3" s="5799">
        <v>2008</v>
      </c>
      <c r="T3" s="5799"/>
      <c r="U3" s="5799"/>
      <c r="V3" s="5799">
        <v>2009</v>
      </c>
      <c r="W3" s="5799"/>
      <c r="X3" s="5799"/>
      <c r="Y3" s="5799">
        <v>2010</v>
      </c>
      <c r="Z3" s="5799"/>
      <c r="AA3" s="5799"/>
      <c r="AB3" s="5799">
        <v>2011</v>
      </c>
      <c r="AC3" s="5799"/>
      <c r="AD3" s="5799"/>
      <c r="AE3" s="5799">
        <v>2012</v>
      </c>
      <c r="AF3" s="5799"/>
      <c r="AG3" s="5799"/>
      <c r="AH3" s="5799">
        <v>2013</v>
      </c>
      <c r="AI3" s="5799"/>
      <c r="AJ3" s="5799"/>
      <c r="AK3" s="5799">
        <v>2014</v>
      </c>
      <c r="AL3" s="5799"/>
      <c r="AM3" s="5799"/>
      <c r="AN3" s="5799">
        <v>2015</v>
      </c>
      <c r="AO3" s="5799"/>
      <c r="AP3" s="5799"/>
      <c r="AQ3" s="5799">
        <v>2016</v>
      </c>
      <c r="AR3" s="5799"/>
      <c r="AS3" s="5799"/>
      <c r="AT3" s="5799">
        <v>2017</v>
      </c>
      <c r="AU3" s="5799"/>
      <c r="AV3" s="5799"/>
    </row>
    <row r="4" spans="1:48" s="5" customFormat="1" ht="15.75" x14ac:dyDescent="0.25">
      <c r="A4" s="5723"/>
      <c r="B4" s="5723"/>
      <c r="C4" s="5723"/>
      <c r="D4" s="1153" t="s">
        <v>653</v>
      </c>
      <c r="E4" s="1154" t="s">
        <v>651</v>
      </c>
      <c r="F4" s="1154" t="s">
        <v>652</v>
      </c>
      <c r="G4" s="1153" t="s">
        <v>653</v>
      </c>
      <c r="H4" s="1154" t="s">
        <v>651</v>
      </c>
      <c r="I4" s="1154" t="s">
        <v>652</v>
      </c>
      <c r="J4" s="1153" t="s">
        <v>653</v>
      </c>
      <c r="K4" s="1154" t="s">
        <v>651</v>
      </c>
      <c r="L4" s="1154" t="s">
        <v>652</v>
      </c>
      <c r="M4" s="1153" t="s">
        <v>653</v>
      </c>
      <c r="N4" s="1154" t="s">
        <v>651</v>
      </c>
      <c r="O4" s="1154" t="s">
        <v>652</v>
      </c>
      <c r="P4" s="1153" t="s">
        <v>653</v>
      </c>
      <c r="Q4" s="1154" t="s">
        <v>651</v>
      </c>
      <c r="R4" s="1154" t="s">
        <v>652</v>
      </c>
      <c r="S4" s="1153" t="s">
        <v>653</v>
      </c>
      <c r="T4" s="1154" t="s">
        <v>651</v>
      </c>
      <c r="U4" s="1154" t="s">
        <v>652</v>
      </c>
      <c r="V4" s="1153" t="s">
        <v>653</v>
      </c>
      <c r="W4" s="1154" t="s">
        <v>651</v>
      </c>
      <c r="X4" s="1154" t="s">
        <v>652</v>
      </c>
      <c r="Y4" s="1153" t="s">
        <v>653</v>
      </c>
      <c r="Z4" s="1154" t="s">
        <v>651</v>
      </c>
      <c r="AA4" s="1154" t="s">
        <v>652</v>
      </c>
      <c r="AB4" s="1153" t="s">
        <v>653</v>
      </c>
      <c r="AC4" s="1154" t="s">
        <v>651</v>
      </c>
      <c r="AD4" s="1154" t="s">
        <v>652</v>
      </c>
      <c r="AE4" s="1153" t="s">
        <v>653</v>
      </c>
      <c r="AF4" s="1154" t="s">
        <v>651</v>
      </c>
      <c r="AG4" s="1154" t="s">
        <v>652</v>
      </c>
      <c r="AH4" s="1153" t="s">
        <v>653</v>
      </c>
      <c r="AI4" s="1154" t="s">
        <v>651</v>
      </c>
      <c r="AJ4" s="1154" t="s">
        <v>652</v>
      </c>
      <c r="AK4" s="4472" t="s">
        <v>653</v>
      </c>
      <c r="AL4" s="4473" t="s">
        <v>651</v>
      </c>
      <c r="AM4" s="4474" t="s">
        <v>652</v>
      </c>
      <c r="AN4" s="4472" t="s">
        <v>653</v>
      </c>
      <c r="AO4" s="4473" t="s">
        <v>651</v>
      </c>
      <c r="AP4" s="4474" t="s">
        <v>652</v>
      </c>
      <c r="AQ4" s="4472" t="s">
        <v>653</v>
      </c>
      <c r="AR4" s="4473" t="s">
        <v>651</v>
      </c>
      <c r="AS4" s="4474" t="s">
        <v>652</v>
      </c>
      <c r="AT4" s="5111" t="s">
        <v>653</v>
      </c>
      <c r="AU4" s="5112" t="s">
        <v>651</v>
      </c>
      <c r="AV4" s="5113" t="s">
        <v>652</v>
      </c>
    </row>
    <row r="5" spans="1:48" s="6" customFormat="1" ht="15" customHeight="1" x14ac:dyDescent="0.25">
      <c r="A5" s="5821" t="s">
        <v>161</v>
      </c>
      <c r="B5" s="5674" t="s">
        <v>5</v>
      </c>
      <c r="C5" s="826" t="s">
        <v>446</v>
      </c>
      <c r="D5" s="864">
        <v>264</v>
      </c>
      <c r="E5" s="865">
        <v>283</v>
      </c>
      <c r="F5" s="866">
        <v>307</v>
      </c>
      <c r="G5" s="864">
        <v>279</v>
      </c>
      <c r="H5" s="865">
        <v>285</v>
      </c>
      <c r="I5" s="867">
        <v>327</v>
      </c>
      <c r="J5" s="868">
        <v>299</v>
      </c>
      <c r="K5" s="869">
        <v>293</v>
      </c>
      <c r="L5" s="867">
        <v>317</v>
      </c>
      <c r="M5" s="868">
        <v>292</v>
      </c>
      <c r="N5" s="865">
        <v>314</v>
      </c>
      <c r="O5" s="866">
        <v>339</v>
      </c>
      <c r="P5" s="868">
        <v>315</v>
      </c>
      <c r="Q5" s="870">
        <v>336</v>
      </c>
      <c r="R5" s="866">
        <v>381</v>
      </c>
      <c r="S5" s="868">
        <v>362</v>
      </c>
      <c r="T5" s="870">
        <v>398</v>
      </c>
      <c r="U5" s="866">
        <v>468</v>
      </c>
      <c r="V5" s="868">
        <v>457</v>
      </c>
      <c r="W5" s="870">
        <v>501</v>
      </c>
      <c r="X5" s="866">
        <v>559</v>
      </c>
      <c r="Y5" s="871">
        <v>542</v>
      </c>
      <c r="Z5" s="872">
        <v>602</v>
      </c>
      <c r="AA5" s="873">
        <v>688</v>
      </c>
      <c r="AB5" s="871">
        <v>644</v>
      </c>
      <c r="AC5" s="872">
        <v>724</v>
      </c>
      <c r="AD5" s="873">
        <v>727</v>
      </c>
      <c r="AE5" s="871">
        <v>700</v>
      </c>
      <c r="AF5" s="872">
        <v>732</v>
      </c>
      <c r="AG5" s="873">
        <v>761</v>
      </c>
      <c r="AH5" s="871">
        <v>696</v>
      </c>
      <c r="AI5" s="872">
        <v>718</v>
      </c>
      <c r="AJ5" s="873">
        <v>734</v>
      </c>
      <c r="AK5" s="871">
        <v>670</v>
      </c>
      <c r="AL5" s="872">
        <v>688</v>
      </c>
      <c r="AM5" s="873">
        <v>724</v>
      </c>
      <c r="AN5" s="871">
        <v>683</v>
      </c>
      <c r="AO5" s="872">
        <v>685</v>
      </c>
      <c r="AP5" s="873">
        <v>710</v>
      </c>
      <c r="AQ5" s="871">
        <v>638</v>
      </c>
      <c r="AR5" s="872">
        <v>642</v>
      </c>
      <c r="AS5" s="873">
        <v>664</v>
      </c>
      <c r="AT5" s="871">
        <v>601</v>
      </c>
      <c r="AU5" s="872">
        <v>604</v>
      </c>
      <c r="AV5" s="873">
        <v>614</v>
      </c>
    </row>
    <row r="6" spans="1:48" s="6" customFormat="1" ht="15" customHeight="1" x14ac:dyDescent="0.25">
      <c r="A6" s="5822"/>
      <c r="B6" s="5675"/>
      <c r="C6" s="828" t="s">
        <v>447</v>
      </c>
      <c r="D6" s="874">
        <v>485</v>
      </c>
      <c r="E6" s="875">
        <v>475</v>
      </c>
      <c r="F6" s="876">
        <v>508</v>
      </c>
      <c r="G6" s="874">
        <v>450</v>
      </c>
      <c r="H6" s="875">
        <v>447</v>
      </c>
      <c r="I6" s="877">
        <v>479</v>
      </c>
      <c r="J6" s="878">
        <v>440</v>
      </c>
      <c r="K6" s="879">
        <v>458</v>
      </c>
      <c r="L6" s="877">
        <v>466</v>
      </c>
      <c r="M6" s="878">
        <v>432</v>
      </c>
      <c r="N6" s="875">
        <v>449</v>
      </c>
      <c r="O6" s="876">
        <v>480</v>
      </c>
      <c r="P6" s="878">
        <v>440</v>
      </c>
      <c r="Q6" s="880">
        <v>463</v>
      </c>
      <c r="R6" s="876">
        <v>494</v>
      </c>
      <c r="S6" s="878">
        <v>457</v>
      </c>
      <c r="T6" s="880">
        <v>493</v>
      </c>
      <c r="U6" s="876">
        <v>552</v>
      </c>
      <c r="V6" s="878">
        <v>525</v>
      </c>
      <c r="W6" s="880">
        <v>592</v>
      </c>
      <c r="X6" s="876">
        <v>626</v>
      </c>
      <c r="Y6" s="881">
        <v>599</v>
      </c>
      <c r="Z6" s="882">
        <v>677</v>
      </c>
      <c r="AA6" s="883">
        <v>756</v>
      </c>
      <c r="AB6" s="881">
        <v>719</v>
      </c>
      <c r="AC6" s="882">
        <v>800</v>
      </c>
      <c r="AD6" s="883">
        <v>771</v>
      </c>
      <c r="AE6" s="881">
        <v>747</v>
      </c>
      <c r="AF6" s="882">
        <v>785</v>
      </c>
      <c r="AG6" s="883">
        <v>774</v>
      </c>
      <c r="AH6" s="881">
        <v>756</v>
      </c>
      <c r="AI6" s="882">
        <v>786</v>
      </c>
      <c r="AJ6" s="883">
        <v>799</v>
      </c>
      <c r="AK6" s="881">
        <v>745</v>
      </c>
      <c r="AL6" s="882">
        <v>778</v>
      </c>
      <c r="AM6" s="883">
        <v>800</v>
      </c>
      <c r="AN6" s="881">
        <v>725</v>
      </c>
      <c r="AO6" s="882">
        <v>741</v>
      </c>
      <c r="AP6" s="883">
        <v>746</v>
      </c>
      <c r="AQ6" s="881">
        <v>676</v>
      </c>
      <c r="AR6" s="882">
        <v>711</v>
      </c>
      <c r="AS6" s="883">
        <v>718</v>
      </c>
      <c r="AT6" s="881">
        <v>633</v>
      </c>
      <c r="AU6" s="882">
        <v>653</v>
      </c>
      <c r="AV6" s="883">
        <v>664</v>
      </c>
    </row>
    <row r="7" spans="1:48" s="6" customFormat="1" ht="15" customHeight="1" x14ac:dyDescent="0.25">
      <c r="A7" s="5822"/>
      <c r="B7" s="5675"/>
      <c r="C7" s="828" t="s">
        <v>448</v>
      </c>
      <c r="D7" s="874">
        <v>320</v>
      </c>
      <c r="E7" s="875">
        <v>312</v>
      </c>
      <c r="F7" s="876">
        <v>334</v>
      </c>
      <c r="G7" s="874">
        <v>305</v>
      </c>
      <c r="H7" s="875">
        <v>317</v>
      </c>
      <c r="I7" s="877">
        <v>332</v>
      </c>
      <c r="J7" s="878">
        <v>304</v>
      </c>
      <c r="K7" s="879">
        <v>301</v>
      </c>
      <c r="L7" s="877">
        <v>300</v>
      </c>
      <c r="M7" s="878">
        <v>275</v>
      </c>
      <c r="N7" s="875">
        <v>269</v>
      </c>
      <c r="O7" s="876">
        <v>281</v>
      </c>
      <c r="P7" s="878">
        <v>265</v>
      </c>
      <c r="Q7" s="880">
        <v>271</v>
      </c>
      <c r="R7" s="876">
        <v>293</v>
      </c>
      <c r="S7" s="878">
        <v>259</v>
      </c>
      <c r="T7" s="880">
        <v>255</v>
      </c>
      <c r="U7" s="876">
        <v>298</v>
      </c>
      <c r="V7" s="878">
        <v>277</v>
      </c>
      <c r="W7" s="880">
        <v>305</v>
      </c>
      <c r="X7" s="876">
        <v>329</v>
      </c>
      <c r="Y7" s="881">
        <v>312</v>
      </c>
      <c r="Z7" s="882">
        <v>321</v>
      </c>
      <c r="AA7" s="883">
        <v>342</v>
      </c>
      <c r="AB7" s="881">
        <v>315</v>
      </c>
      <c r="AC7" s="882">
        <v>393</v>
      </c>
      <c r="AD7" s="883">
        <v>415</v>
      </c>
      <c r="AE7" s="881">
        <v>397</v>
      </c>
      <c r="AF7" s="882">
        <v>436</v>
      </c>
      <c r="AG7" s="883">
        <v>459</v>
      </c>
      <c r="AH7" s="881">
        <v>433</v>
      </c>
      <c r="AI7" s="882">
        <v>464</v>
      </c>
      <c r="AJ7" s="883">
        <v>480</v>
      </c>
      <c r="AK7" s="881">
        <v>445</v>
      </c>
      <c r="AL7" s="882">
        <v>450</v>
      </c>
      <c r="AM7" s="883">
        <v>497</v>
      </c>
      <c r="AN7" s="881">
        <v>448</v>
      </c>
      <c r="AO7" s="882">
        <v>470</v>
      </c>
      <c r="AP7" s="883">
        <v>490</v>
      </c>
      <c r="AQ7" s="881">
        <v>447</v>
      </c>
      <c r="AR7" s="882">
        <v>447</v>
      </c>
      <c r="AS7" s="883">
        <v>446</v>
      </c>
      <c r="AT7" s="881">
        <v>412</v>
      </c>
      <c r="AU7" s="882">
        <v>422</v>
      </c>
      <c r="AV7" s="883">
        <v>434</v>
      </c>
    </row>
    <row r="8" spans="1:48" s="6" customFormat="1" ht="15" customHeight="1" x14ac:dyDescent="0.25">
      <c r="A8" s="5822"/>
      <c r="B8" s="5675"/>
      <c r="C8" s="828" t="s">
        <v>449</v>
      </c>
      <c r="D8" s="874">
        <v>198</v>
      </c>
      <c r="E8" s="875">
        <v>206</v>
      </c>
      <c r="F8" s="876">
        <v>224</v>
      </c>
      <c r="G8" s="874">
        <v>204</v>
      </c>
      <c r="H8" s="875">
        <v>199</v>
      </c>
      <c r="I8" s="877">
        <v>221</v>
      </c>
      <c r="J8" s="878">
        <v>205</v>
      </c>
      <c r="K8" s="879">
        <v>219</v>
      </c>
      <c r="L8" s="877">
        <v>239</v>
      </c>
      <c r="M8" s="878">
        <v>216</v>
      </c>
      <c r="N8" s="875">
        <v>213</v>
      </c>
      <c r="O8" s="876">
        <v>224</v>
      </c>
      <c r="P8" s="878">
        <v>213</v>
      </c>
      <c r="Q8" s="880">
        <v>207</v>
      </c>
      <c r="R8" s="876">
        <v>230</v>
      </c>
      <c r="S8" s="878">
        <v>216</v>
      </c>
      <c r="T8" s="880">
        <v>224</v>
      </c>
      <c r="U8" s="876">
        <v>249</v>
      </c>
      <c r="V8" s="878">
        <v>239</v>
      </c>
      <c r="W8" s="880">
        <v>259</v>
      </c>
      <c r="X8" s="876">
        <v>283</v>
      </c>
      <c r="Y8" s="881">
        <v>266</v>
      </c>
      <c r="Z8" s="882">
        <v>284</v>
      </c>
      <c r="AA8" s="883">
        <v>317</v>
      </c>
      <c r="AB8" s="881">
        <v>291</v>
      </c>
      <c r="AC8" s="882">
        <v>367</v>
      </c>
      <c r="AD8" s="883">
        <v>376</v>
      </c>
      <c r="AE8" s="881">
        <v>370</v>
      </c>
      <c r="AF8" s="882">
        <v>401</v>
      </c>
      <c r="AG8" s="883">
        <v>415</v>
      </c>
      <c r="AH8" s="881">
        <v>372</v>
      </c>
      <c r="AI8" s="882">
        <v>434</v>
      </c>
      <c r="AJ8" s="883">
        <v>442</v>
      </c>
      <c r="AK8" s="881">
        <v>407</v>
      </c>
      <c r="AL8" s="882">
        <v>442</v>
      </c>
      <c r="AM8" s="883">
        <v>458</v>
      </c>
      <c r="AN8" s="881">
        <v>417</v>
      </c>
      <c r="AO8" s="882">
        <v>433</v>
      </c>
      <c r="AP8" s="883">
        <v>489</v>
      </c>
      <c r="AQ8" s="881">
        <v>438</v>
      </c>
      <c r="AR8" s="882">
        <v>457</v>
      </c>
      <c r="AS8" s="883">
        <v>492</v>
      </c>
      <c r="AT8" s="881">
        <v>450</v>
      </c>
      <c r="AU8" s="882">
        <v>486</v>
      </c>
      <c r="AV8" s="883">
        <v>514</v>
      </c>
    </row>
    <row r="9" spans="1:48" s="6" customFormat="1" ht="15" customHeight="1" x14ac:dyDescent="0.25">
      <c r="A9" s="5822"/>
      <c r="B9" s="5675"/>
      <c r="C9" s="828" t="s">
        <v>450</v>
      </c>
      <c r="D9" s="874">
        <v>920</v>
      </c>
      <c r="E9" s="875">
        <v>917</v>
      </c>
      <c r="F9" s="876">
        <v>978</v>
      </c>
      <c r="G9" s="874">
        <v>898</v>
      </c>
      <c r="H9" s="875">
        <v>942</v>
      </c>
      <c r="I9" s="877">
        <v>1024</v>
      </c>
      <c r="J9" s="878">
        <v>934</v>
      </c>
      <c r="K9" s="879">
        <v>978</v>
      </c>
      <c r="L9" s="877">
        <v>1022</v>
      </c>
      <c r="M9" s="878">
        <v>922</v>
      </c>
      <c r="N9" s="875">
        <v>948</v>
      </c>
      <c r="O9" s="876">
        <v>1048</v>
      </c>
      <c r="P9" s="878">
        <v>975</v>
      </c>
      <c r="Q9" s="880">
        <v>1009</v>
      </c>
      <c r="R9" s="876">
        <v>1060</v>
      </c>
      <c r="S9" s="878">
        <v>1002</v>
      </c>
      <c r="T9" s="880">
        <v>974</v>
      </c>
      <c r="U9" s="876">
        <v>1017</v>
      </c>
      <c r="V9" s="878">
        <v>972</v>
      </c>
      <c r="W9" s="880">
        <v>978</v>
      </c>
      <c r="X9" s="876">
        <v>989</v>
      </c>
      <c r="Y9" s="881">
        <v>924</v>
      </c>
      <c r="Z9" s="882">
        <v>969</v>
      </c>
      <c r="AA9" s="883">
        <v>991</v>
      </c>
      <c r="AB9" s="881">
        <v>911</v>
      </c>
      <c r="AC9" s="882">
        <v>985</v>
      </c>
      <c r="AD9" s="883">
        <v>948</v>
      </c>
      <c r="AE9" s="881">
        <v>887</v>
      </c>
      <c r="AF9" s="882">
        <v>926</v>
      </c>
      <c r="AG9" s="883">
        <v>894</v>
      </c>
      <c r="AH9" s="881">
        <v>840</v>
      </c>
      <c r="AI9" s="882">
        <v>853</v>
      </c>
      <c r="AJ9" s="883">
        <v>826</v>
      </c>
      <c r="AK9" s="881">
        <v>750</v>
      </c>
      <c r="AL9" s="882">
        <v>750</v>
      </c>
      <c r="AM9" s="883">
        <v>776</v>
      </c>
      <c r="AN9" s="881">
        <v>708</v>
      </c>
      <c r="AO9" s="882">
        <v>722</v>
      </c>
      <c r="AP9" s="883">
        <v>721</v>
      </c>
      <c r="AQ9" s="881">
        <v>658</v>
      </c>
      <c r="AR9" s="882">
        <v>658</v>
      </c>
      <c r="AS9" s="883">
        <v>656</v>
      </c>
      <c r="AT9" s="881">
        <v>565</v>
      </c>
      <c r="AU9" s="882">
        <v>595</v>
      </c>
      <c r="AV9" s="883">
        <v>601</v>
      </c>
    </row>
    <row r="10" spans="1:48" s="6" customFormat="1" ht="15" customHeight="1" x14ac:dyDescent="0.25">
      <c r="A10" s="5822"/>
      <c r="B10" s="5675"/>
      <c r="C10" s="828" t="s">
        <v>451</v>
      </c>
      <c r="D10" s="874">
        <v>663</v>
      </c>
      <c r="E10" s="875">
        <v>666</v>
      </c>
      <c r="F10" s="876">
        <v>699</v>
      </c>
      <c r="G10" s="874">
        <v>631</v>
      </c>
      <c r="H10" s="875">
        <v>640</v>
      </c>
      <c r="I10" s="877">
        <v>686</v>
      </c>
      <c r="J10" s="878">
        <v>630</v>
      </c>
      <c r="K10" s="879">
        <v>661</v>
      </c>
      <c r="L10" s="877">
        <v>698</v>
      </c>
      <c r="M10" s="878">
        <v>645</v>
      </c>
      <c r="N10" s="875">
        <v>681</v>
      </c>
      <c r="O10" s="876">
        <v>698</v>
      </c>
      <c r="P10" s="878">
        <v>645</v>
      </c>
      <c r="Q10" s="880">
        <v>631</v>
      </c>
      <c r="R10" s="876">
        <v>678</v>
      </c>
      <c r="S10" s="878">
        <v>624</v>
      </c>
      <c r="T10" s="880">
        <v>627</v>
      </c>
      <c r="U10" s="876">
        <v>663</v>
      </c>
      <c r="V10" s="878">
        <v>613</v>
      </c>
      <c r="W10" s="880">
        <v>672</v>
      </c>
      <c r="X10" s="876">
        <v>692</v>
      </c>
      <c r="Y10" s="881">
        <v>636</v>
      </c>
      <c r="Z10" s="882">
        <v>707</v>
      </c>
      <c r="AA10" s="883">
        <v>766</v>
      </c>
      <c r="AB10" s="881">
        <v>709</v>
      </c>
      <c r="AC10" s="882">
        <v>773</v>
      </c>
      <c r="AD10" s="883">
        <v>745</v>
      </c>
      <c r="AE10" s="881">
        <v>731</v>
      </c>
      <c r="AF10" s="882">
        <v>756</v>
      </c>
      <c r="AG10" s="883">
        <v>714</v>
      </c>
      <c r="AH10" s="881">
        <v>685</v>
      </c>
      <c r="AI10" s="882">
        <v>727</v>
      </c>
      <c r="AJ10" s="883">
        <v>722</v>
      </c>
      <c r="AK10" s="881">
        <v>656</v>
      </c>
      <c r="AL10" s="882">
        <v>670</v>
      </c>
      <c r="AM10" s="883">
        <v>704</v>
      </c>
      <c r="AN10" s="881">
        <v>643</v>
      </c>
      <c r="AO10" s="882">
        <v>654</v>
      </c>
      <c r="AP10" s="883">
        <v>675</v>
      </c>
      <c r="AQ10" s="881">
        <v>593</v>
      </c>
      <c r="AR10" s="882">
        <v>639</v>
      </c>
      <c r="AS10" s="883">
        <v>626</v>
      </c>
      <c r="AT10" s="881">
        <v>537</v>
      </c>
      <c r="AU10" s="882">
        <v>595</v>
      </c>
      <c r="AV10" s="883">
        <v>604</v>
      </c>
    </row>
    <row r="11" spans="1:48" s="6" customFormat="1" ht="15" customHeight="1" x14ac:dyDescent="0.25">
      <c r="A11" s="5822"/>
      <c r="B11" s="5675"/>
      <c r="C11" s="828" t="s">
        <v>452</v>
      </c>
      <c r="D11" s="874">
        <v>85</v>
      </c>
      <c r="E11" s="875">
        <v>79</v>
      </c>
      <c r="F11" s="876">
        <v>79</v>
      </c>
      <c r="G11" s="874">
        <v>73</v>
      </c>
      <c r="H11" s="875">
        <v>69</v>
      </c>
      <c r="I11" s="877">
        <v>81</v>
      </c>
      <c r="J11" s="878">
        <v>71</v>
      </c>
      <c r="K11" s="879">
        <v>74</v>
      </c>
      <c r="L11" s="877">
        <v>83</v>
      </c>
      <c r="M11" s="878">
        <v>75</v>
      </c>
      <c r="N11" s="875">
        <v>69</v>
      </c>
      <c r="O11" s="876">
        <v>97</v>
      </c>
      <c r="P11" s="878">
        <v>87</v>
      </c>
      <c r="Q11" s="880">
        <v>97</v>
      </c>
      <c r="R11" s="876">
        <v>104</v>
      </c>
      <c r="S11" s="878">
        <v>102</v>
      </c>
      <c r="T11" s="880">
        <v>104</v>
      </c>
      <c r="U11" s="876">
        <v>130</v>
      </c>
      <c r="V11" s="878">
        <v>124</v>
      </c>
      <c r="W11" s="880">
        <v>128</v>
      </c>
      <c r="X11" s="876">
        <v>157</v>
      </c>
      <c r="Y11" s="881">
        <v>147</v>
      </c>
      <c r="Z11" s="882">
        <v>151</v>
      </c>
      <c r="AA11" s="883">
        <v>190</v>
      </c>
      <c r="AB11" s="881">
        <v>180</v>
      </c>
      <c r="AC11" s="882">
        <v>238</v>
      </c>
      <c r="AD11" s="883">
        <v>242</v>
      </c>
      <c r="AE11" s="881">
        <v>237</v>
      </c>
      <c r="AF11" s="882">
        <v>286</v>
      </c>
      <c r="AG11" s="883">
        <v>302</v>
      </c>
      <c r="AH11" s="881">
        <v>303</v>
      </c>
      <c r="AI11" s="882">
        <v>349</v>
      </c>
      <c r="AJ11" s="883">
        <v>367</v>
      </c>
      <c r="AK11" s="881">
        <v>342</v>
      </c>
      <c r="AL11" s="882">
        <v>366</v>
      </c>
      <c r="AM11" s="883">
        <v>414</v>
      </c>
      <c r="AN11" s="881">
        <v>385</v>
      </c>
      <c r="AO11" s="882">
        <v>402</v>
      </c>
      <c r="AP11" s="883">
        <v>456</v>
      </c>
      <c r="AQ11" s="881">
        <v>405</v>
      </c>
      <c r="AR11" s="882">
        <v>433</v>
      </c>
      <c r="AS11" s="883">
        <v>428</v>
      </c>
      <c r="AT11" s="881">
        <v>392</v>
      </c>
      <c r="AU11" s="882">
        <v>404</v>
      </c>
      <c r="AV11" s="883">
        <v>409</v>
      </c>
    </row>
    <row r="12" spans="1:48" s="6" customFormat="1" ht="15" customHeight="1" x14ac:dyDescent="0.25">
      <c r="A12" s="5822"/>
      <c r="B12" s="5675"/>
      <c r="C12" s="828" t="s">
        <v>453</v>
      </c>
      <c r="D12" s="874">
        <v>560</v>
      </c>
      <c r="E12" s="875">
        <v>545</v>
      </c>
      <c r="F12" s="876">
        <v>598</v>
      </c>
      <c r="G12" s="874">
        <v>550</v>
      </c>
      <c r="H12" s="875">
        <v>545</v>
      </c>
      <c r="I12" s="877">
        <v>601</v>
      </c>
      <c r="J12" s="878">
        <v>544</v>
      </c>
      <c r="K12" s="879">
        <v>557</v>
      </c>
      <c r="L12" s="877">
        <v>583</v>
      </c>
      <c r="M12" s="878">
        <v>537</v>
      </c>
      <c r="N12" s="875">
        <v>568</v>
      </c>
      <c r="O12" s="876">
        <v>582</v>
      </c>
      <c r="P12" s="878">
        <v>554</v>
      </c>
      <c r="Q12" s="880">
        <v>554</v>
      </c>
      <c r="R12" s="876">
        <v>611</v>
      </c>
      <c r="S12" s="878">
        <v>564</v>
      </c>
      <c r="T12" s="880">
        <v>586</v>
      </c>
      <c r="U12" s="876">
        <v>635</v>
      </c>
      <c r="V12" s="878">
        <v>585</v>
      </c>
      <c r="W12" s="880">
        <v>628</v>
      </c>
      <c r="X12" s="876">
        <v>643</v>
      </c>
      <c r="Y12" s="881">
        <v>614</v>
      </c>
      <c r="Z12" s="882">
        <v>698</v>
      </c>
      <c r="AA12" s="883">
        <v>733</v>
      </c>
      <c r="AB12" s="881">
        <v>671</v>
      </c>
      <c r="AC12" s="882">
        <v>749</v>
      </c>
      <c r="AD12" s="883">
        <v>715</v>
      </c>
      <c r="AE12" s="881">
        <v>706</v>
      </c>
      <c r="AF12" s="882">
        <v>747</v>
      </c>
      <c r="AG12" s="883">
        <v>734</v>
      </c>
      <c r="AH12" s="881">
        <v>708</v>
      </c>
      <c r="AI12" s="882">
        <v>740</v>
      </c>
      <c r="AJ12" s="883">
        <v>760</v>
      </c>
      <c r="AK12" s="881">
        <v>694</v>
      </c>
      <c r="AL12" s="882">
        <v>688</v>
      </c>
      <c r="AM12" s="883">
        <v>693</v>
      </c>
      <c r="AN12" s="881">
        <v>645</v>
      </c>
      <c r="AO12" s="882">
        <v>651</v>
      </c>
      <c r="AP12" s="883">
        <v>654</v>
      </c>
      <c r="AQ12" s="881">
        <v>587</v>
      </c>
      <c r="AR12" s="882">
        <v>618</v>
      </c>
      <c r="AS12" s="883">
        <v>660</v>
      </c>
      <c r="AT12" s="881">
        <v>590</v>
      </c>
      <c r="AU12" s="882">
        <v>609</v>
      </c>
      <c r="AV12" s="883">
        <v>631</v>
      </c>
    </row>
    <row r="13" spans="1:48" s="6" customFormat="1" ht="15" customHeight="1" x14ac:dyDescent="0.25">
      <c r="A13" s="5822"/>
      <c r="B13" s="5675"/>
      <c r="C13" s="828" t="s">
        <v>454</v>
      </c>
      <c r="D13" s="874">
        <v>1267</v>
      </c>
      <c r="E13" s="875">
        <v>1290</v>
      </c>
      <c r="F13" s="876">
        <v>1335</v>
      </c>
      <c r="G13" s="874">
        <v>1227</v>
      </c>
      <c r="H13" s="875">
        <v>1259</v>
      </c>
      <c r="I13" s="877">
        <v>1361</v>
      </c>
      <c r="J13" s="878">
        <v>1253</v>
      </c>
      <c r="K13" s="879">
        <v>1314</v>
      </c>
      <c r="L13" s="877">
        <v>1351</v>
      </c>
      <c r="M13" s="878">
        <v>1199</v>
      </c>
      <c r="N13" s="875">
        <v>1271</v>
      </c>
      <c r="O13" s="876">
        <v>1296</v>
      </c>
      <c r="P13" s="878">
        <v>1195</v>
      </c>
      <c r="Q13" s="880">
        <v>1227</v>
      </c>
      <c r="R13" s="876">
        <v>1246</v>
      </c>
      <c r="S13" s="878">
        <v>1172</v>
      </c>
      <c r="T13" s="880">
        <v>1093</v>
      </c>
      <c r="U13" s="876">
        <v>1107</v>
      </c>
      <c r="V13" s="878">
        <v>1044</v>
      </c>
      <c r="W13" s="880">
        <v>1048</v>
      </c>
      <c r="X13" s="876">
        <v>1052</v>
      </c>
      <c r="Y13" s="881">
        <v>1015</v>
      </c>
      <c r="Z13" s="882">
        <v>1060</v>
      </c>
      <c r="AA13" s="883">
        <v>1096</v>
      </c>
      <c r="AB13" s="881">
        <v>1030</v>
      </c>
      <c r="AC13" s="882">
        <v>1114</v>
      </c>
      <c r="AD13" s="883">
        <v>1049</v>
      </c>
      <c r="AE13" s="881">
        <v>1019</v>
      </c>
      <c r="AF13" s="882">
        <v>1018</v>
      </c>
      <c r="AG13" s="883">
        <v>967</v>
      </c>
      <c r="AH13" s="881">
        <v>927</v>
      </c>
      <c r="AI13" s="882">
        <v>945</v>
      </c>
      <c r="AJ13" s="883">
        <v>931</v>
      </c>
      <c r="AK13" s="881">
        <v>863</v>
      </c>
      <c r="AL13" s="882">
        <v>842</v>
      </c>
      <c r="AM13" s="883">
        <v>867</v>
      </c>
      <c r="AN13" s="881">
        <v>781</v>
      </c>
      <c r="AO13" s="882">
        <v>790</v>
      </c>
      <c r="AP13" s="883">
        <v>825</v>
      </c>
      <c r="AQ13" s="881">
        <v>730</v>
      </c>
      <c r="AR13" s="882">
        <v>729</v>
      </c>
      <c r="AS13" s="883">
        <v>737</v>
      </c>
      <c r="AT13" s="881">
        <v>659</v>
      </c>
      <c r="AU13" s="882">
        <v>678</v>
      </c>
      <c r="AV13" s="883">
        <v>681</v>
      </c>
    </row>
    <row r="14" spans="1:48" s="6" customFormat="1" ht="15" customHeight="1" x14ac:dyDescent="0.25">
      <c r="A14" s="5822"/>
      <c r="B14" s="5675"/>
      <c r="C14" s="799" t="s">
        <v>506</v>
      </c>
      <c r="D14" s="800"/>
      <c r="E14" s="836"/>
      <c r="F14" s="884">
        <v>98</v>
      </c>
      <c r="G14" s="835">
        <v>86</v>
      </c>
      <c r="H14" s="836">
        <v>296</v>
      </c>
      <c r="I14" s="884">
        <v>466</v>
      </c>
      <c r="J14" s="800">
        <v>429</v>
      </c>
      <c r="K14" s="801">
        <v>605</v>
      </c>
      <c r="L14" s="884">
        <v>744</v>
      </c>
      <c r="M14" s="800">
        <v>701</v>
      </c>
      <c r="N14" s="801">
        <v>873</v>
      </c>
      <c r="O14" s="884">
        <v>1044</v>
      </c>
      <c r="P14" s="800">
        <v>965</v>
      </c>
      <c r="Q14" s="801">
        <v>1073</v>
      </c>
      <c r="R14" s="884">
        <v>1170</v>
      </c>
      <c r="S14" s="800">
        <v>1100</v>
      </c>
      <c r="T14" s="801">
        <v>1178</v>
      </c>
      <c r="U14" s="884">
        <v>1276</v>
      </c>
      <c r="V14" s="800">
        <v>1233</v>
      </c>
      <c r="W14" s="801">
        <v>1321</v>
      </c>
      <c r="X14" s="884">
        <v>1350</v>
      </c>
      <c r="Y14" s="800">
        <v>1265</v>
      </c>
      <c r="Z14" s="801">
        <v>1354</v>
      </c>
      <c r="AA14" s="884">
        <v>1393</v>
      </c>
      <c r="AB14" s="803">
        <v>1281</v>
      </c>
      <c r="AC14" s="801">
        <v>1330</v>
      </c>
      <c r="AD14" s="884">
        <v>1273</v>
      </c>
      <c r="AE14" s="803">
        <v>1205</v>
      </c>
      <c r="AF14" s="801">
        <v>1232</v>
      </c>
      <c r="AG14" s="884">
        <v>1180</v>
      </c>
      <c r="AH14" s="803">
        <v>1101</v>
      </c>
      <c r="AI14" s="801">
        <v>1116</v>
      </c>
      <c r="AJ14" s="884">
        <v>1097</v>
      </c>
      <c r="AK14" s="803">
        <v>1028</v>
      </c>
      <c r="AL14" s="801">
        <v>974</v>
      </c>
      <c r="AM14" s="884">
        <v>985</v>
      </c>
      <c r="AN14" s="803">
        <v>879</v>
      </c>
      <c r="AO14" s="801">
        <v>866</v>
      </c>
      <c r="AP14" s="884">
        <v>877</v>
      </c>
      <c r="AQ14" s="803">
        <v>787</v>
      </c>
      <c r="AR14" s="801">
        <v>778</v>
      </c>
      <c r="AS14" s="884">
        <v>807</v>
      </c>
      <c r="AT14" s="803">
        <v>704</v>
      </c>
      <c r="AU14" s="801">
        <v>734</v>
      </c>
      <c r="AV14" s="884">
        <v>719</v>
      </c>
    </row>
    <row r="15" spans="1:48" s="6" customFormat="1" ht="15" customHeight="1" x14ac:dyDescent="0.2">
      <c r="A15" s="5822"/>
      <c r="B15" s="5676"/>
      <c r="C15" s="854" t="s">
        <v>160</v>
      </c>
      <c r="D15" s="899">
        <f>SUM(D5:D14)</f>
        <v>4762</v>
      </c>
      <c r="E15" s="900">
        <f t="shared" ref="E15:AG15" si="0">SUM(E5:E14)</f>
        <v>4773</v>
      </c>
      <c r="F15" s="901">
        <f t="shared" si="0"/>
        <v>5160</v>
      </c>
      <c r="G15" s="899">
        <f t="shared" si="0"/>
        <v>4703</v>
      </c>
      <c r="H15" s="900">
        <f t="shared" si="0"/>
        <v>4999</v>
      </c>
      <c r="I15" s="901">
        <f t="shared" si="0"/>
        <v>5578</v>
      </c>
      <c r="J15" s="899">
        <f t="shared" si="0"/>
        <v>5109</v>
      </c>
      <c r="K15" s="900">
        <f t="shared" si="0"/>
        <v>5460</v>
      </c>
      <c r="L15" s="901">
        <f t="shared" si="0"/>
        <v>5803</v>
      </c>
      <c r="M15" s="899">
        <f t="shared" si="0"/>
        <v>5294</v>
      </c>
      <c r="N15" s="900">
        <f t="shared" si="0"/>
        <v>5655</v>
      </c>
      <c r="O15" s="901">
        <f t="shared" si="0"/>
        <v>6089</v>
      </c>
      <c r="P15" s="899">
        <f t="shared" si="0"/>
        <v>5654</v>
      </c>
      <c r="Q15" s="900">
        <f t="shared" si="0"/>
        <v>5868</v>
      </c>
      <c r="R15" s="901">
        <f t="shared" si="0"/>
        <v>6267</v>
      </c>
      <c r="S15" s="899">
        <f t="shared" si="0"/>
        <v>5858</v>
      </c>
      <c r="T15" s="900">
        <f t="shared" si="0"/>
        <v>5932</v>
      </c>
      <c r="U15" s="901">
        <f t="shared" si="0"/>
        <v>6395</v>
      </c>
      <c r="V15" s="899">
        <f t="shared" si="0"/>
        <v>6069</v>
      </c>
      <c r="W15" s="900">
        <f t="shared" si="0"/>
        <v>6432</v>
      </c>
      <c r="X15" s="901">
        <f t="shared" si="0"/>
        <v>6680</v>
      </c>
      <c r="Y15" s="899">
        <f t="shared" si="0"/>
        <v>6320</v>
      </c>
      <c r="Z15" s="900">
        <f t="shared" si="0"/>
        <v>6823</v>
      </c>
      <c r="AA15" s="901">
        <f t="shared" si="0"/>
        <v>7272</v>
      </c>
      <c r="AB15" s="899">
        <f t="shared" si="0"/>
        <v>6751</v>
      </c>
      <c r="AC15" s="900">
        <f t="shared" si="0"/>
        <v>7473</v>
      </c>
      <c r="AD15" s="901">
        <f t="shared" si="0"/>
        <v>7261</v>
      </c>
      <c r="AE15" s="899">
        <f t="shared" si="0"/>
        <v>6999</v>
      </c>
      <c r="AF15" s="900">
        <f t="shared" si="0"/>
        <v>7319</v>
      </c>
      <c r="AG15" s="901">
        <f t="shared" si="0"/>
        <v>7200</v>
      </c>
      <c r="AH15" s="899">
        <f t="shared" ref="AH15:AM15" si="1">SUM(AH5:AH14)</f>
        <v>6821</v>
      </c>
      <c r="AI15" s="900">
        <f t="shared" si="1"/>
        <v>7132</v>
      </c>
      <c r="AJ15" s="901">
        <f t="shared" si="1"/>
        <v>7158</v>
      </c>
      <c r="AK15" s="899">
        <f t="shared" si="1"/>
        <v>6600</v>
      </c>
      <c r="AL15" s="900">
        <f t="shared" si="1"/>
        <v>6648</v>
      </c>
      <c r="AM15" s="901">
        <f t="shared" si="1"/>
        <v>6918</v>
      </c>
      <c r="AN15" s="899">
        <f t="shared" ref="AN15:AV15" si="2">SUM(AN5:AN14)</f>
        <v>6314</v>
      </c>
      <c r="AO15" s="900">
        <f t="shared" si="2"/>
        <v>6414</v>
      </c>
      <c r="AP15" s="901">
        <f t="shared" si="2"/>
        <v>6643</v>
      </c>
      <c r="AQ15" s="899">
        <f t="shared" si="2"/>
        <v>5959</v>
      </c>
      <c r="AR15" s="900">
        <f t="shared" si="2"/>
        <v>6112</v>
      </c>
      <c r="AS15" s="901">
        <f t="shared" si="2"/>
        <v>6234</v>
      </c>
      <c r="AT15" s="899">
        <f t="shared" si="2"/>
        <v>5543</v>
      </c>
      <c r="AU15" s="900">
        <f t="shared" si="2"/>
        <v>5780</v>
      </c>
      <c r="AV15" s="901">
        <f t="shared" si="2"/>
        <v>5871</v>
      </c>
    </row>
    <row r="16" spans="1:48" s="6" customFormat="1" ht="15" customHeight="1" x14ac:dyDescent="0.25">
      <c r="A16" s="5822"/>
      <c r="B16" s="5674" t="s">
        <v>6</v>
      </c>
      <c r="C16" s="888" t="s">
        <v>456</v>
      </c>
      <c r="D16" s="889">
        <v>1064</v>
      </c>
      <c r="E16" s="890">
        <v>1082</v>
      </c>
      <c r="F16" s="891">
        <v>1124</v>
      </c>
      <c r="G16" s="889">
        <v>1038</v>
      </c>
      <c r="H16" s="890">
        <v>1036</v>
      </c>
      <c r="I16" s="892">
        <v>1123</v>
      </c>
      <c r="J16" s="893">
        <v>1035</v>
      </c>
      <c r="K16" s="894">
        <v>1045</v>
      </c>
      <c r="L16" s="892">
        <v>1120</v>
      </c>
      <c r="M16" s="893">
        <v>1025</v>
      </c>
      <c r="N16" s="890">
        <v>1043</v>
      </c>
      <c r="O16" s="891">
        <v>1113</v>
      </c>
      <c r="P16" s="893">
        <v>1052</v>
      </c>
      <c r="Q16" s="895">
        <v>1152</v>
      </c>
      <c r="R16" s="891">
        <v>1145</v>
      </c>
      <c r="S16" s="893">
        <v>1050</v>
      </c>
      <c r="T16" s="895">
        <v>1077</v>
      </c>
      <c r="U16" s="891">
        <v>1119</v>
      </c>
      <c r="V16" s="893">
        <v>1062</v>
      </c>
      <c r="W16" s="895">
        <v>1102</v>
      </c>
      <c r="X16" s="891">
        <v>1146</v>
      </c>
      <c r="Y16" s="896">
        <v>1088</v>
      </c>
      <c r="Z16" s="897">
        <v>1141</v>
      </c>
      <c r="AA16" s="898">
        <v>1178</v>
      </c>
      <c r="AB16" s="896">
        <v>1098</v>
      </c>
      <c r="AC16" s="897">
        <v>1161</v>
      </c>
      <c r="AD16" s="898">
        <v>1161</v>
      </c>
      <c r="AE16" s="896">
        <v>1107</v>
      </c>
      <c r="AF16" s="897">
        <v>1182</v>
      </c>
      <c r="AG16" s="898">
        <v>1202</v>
      </c>
      <c r="AH16" s="896">
        <v>1106</v>
      </c>
      <c r="AI16" s="897">
        <v>1199</v>
      </c>
      <c r="AJ16" s="898">
        <v>1229</v>
      </c>
      <c r="AK16" s="896">
        <v>1110</v>
      </c>
      <c r="AL16" s="897">
        <v>1188</v>
      </c>
      <c r="AM16" s="898">
        <v>1246</v>
      </c>
      <c r="AN16" s="896">
        <v>1135</v>
      </c>
      <c r="AO16" s="897">
        <v>1217</v>
      </c>
      <c r="AP16" s="898">
        <v>1251</v>
      </c>
      <c r="AQ16" s="896">
        <v>1144</v>
      </c>
      <c r="AR16" s="897">
        <v>1219</v>
      </c>
      <c r="AS16" s="898">
        <v>1295</v>
      </c>
      <c r="AT16" s="896">
        <v>742</v>
      </c>
      <c r="AU16" s="897">
        <v>1225</v>
      </c>
      <c r="AV16" s="898">
        <v>1275</v>
      </c>
    </row>
    <row r="17" spans="1:48" s="6" customFormat="1" ht="15" customHeight="1" x14ac:dyDescent="0.25">
      <c r="A17" s="5822"/>
      <c r="B17" s="5675"/>
      <c r="C17" s="828" t="s">
        <v>457</v>
      </c>
      <c r="D17" s="874">
        <v>1581</v>
      </c>
      <c r="E17" s="875">
        <v>1631</v>
      </c>
      <c r="F17" s="876">
        <v>1701</v>
      </c>
      <c r="G17" s="874">
        <v>1572</v>
      </c>
      <c r="H17" s="875">
        <v>1595</v>
      </c>
      <c r="I17" s="877">
        <v>1664</v>
      </c>
      <c r="J17" s="878">
        <v>1554</v>
      </c>
      <c r="K17" s="879">
        <v>1572</v>
      </c>
      <c r="L17" s="877">
        <v>1656</v>
      </c>
      <c r="M17" s="878">
        <v>1505</v>
      </c>
      <c r="N17" s="875">
        <v>1521</v>
      </c>
      <c r="O17" s="876">
        <v>1641</v>
      </c>
      <c r="P17" s="878">
        <v>1530</v>
      </c>
      <c r="Q17" s="880">
        <v>1582</v>
      </c>
      <c r="R17" s="876">
        <v>1624</v>
      </c>
      <c r="S17" s="878">
        <v>1497</v>
      </c>
      <c r="T17" s="880">
        <v>1552</v>
      </c>
      <c r="U17" s="876">
        <v>1635</v>
      </c>
      <c r="V17" s="878">
        <v>1544</v>
      </c>
      <c r="W17" s="880">
        <v>1634</v>
      </c>
      <c r="X17" s="876">
        <v>1664</v>
      </c>
      <c r="Y17" s="881">
        <v>1568</v>
      </c>
      <c r="Z17" s="882">
        <v>1704</v>
      </c>
      <c r="AA17" s="883">
        <v>1753</v>
      </c>
      <c r="AB17" s="881">
        <v>1639</v>
      </c>
      <c r="AC17" s="882">
        <v>1797</v>
      </c>
      <c r="AD17" s="883">
        <v>1835</v>
      </c>
      <c r="AE17" s="881">
        <v>1758</v>
      </c>
      <c r="AF17" s="882">
        <v>1917</v>
      </c>
      <c r="AG17" s="883">
        <v>1995</v>
      </c>
      <c r="AH17" s="881">
        <v>1860</v>
      </c>
      <c r="AI17" s="882">
        <v>1976</v>
      </c>
      <c r="AJ17" s="883">
        <v>2020</v>
      </c>
      <c r="AK17" s="881">
        <v>1851</v>
      </c>
      <c r="AL17" s="882">
        <v>1956</v>
      </c>
      <c r="AM17" s="883">
        <v>2077</v>
      </c>
      <c r="AN17" s="881">
        <v>1905</v>
      </c>
      <c r="AO17" s="882">
        <v>2065</v>
      </c>
      <c r="AP17" s="883">
        <v>2152</v>
      </c>
      <c r="AQ17" s="881">
        <v>1994</v>
      </c>
      <c r="AR17" s="882">
        <v>2086</v>
      </c>
      <c r="AS17" s="883">
        <v>2204</v>
      </c>
      <c r="AT17" s="881">
        <v>1496</v>
      </c>
      <c r="AU17" s="882">
        <v>2114</v>
      </c>
      <c r="AV17" s="883">
        <v>2179</v>
      </c>
    </row>
    <row r="18" spans="1:48" s="6" customFormat="1" ht="15" customHeight="1" x14ac:dyDescent="0.25">
      <c r="A18" s="5822"/>
      <c r="B18" s="5675"/>
      <c r="C18" s="828" t="s">
        <v>458</v>
      </c>
      <c r="D18" s="874">
        <v>767</v>
      </c>
      <c r="E18" s="875">
        <v>809</v>
      </c>
      <c r="F18" s="876">
        <v>812</v>
      </c>
      <c r="G18" s="874">
        <v>718</v>
      </c>
      <c r="H18" s="875">
        <v>737</v>
      </c>
      <c r="I18" s="877">
        <v>788</v>
      </c>
      <c r="J18" s="878">
        <v>730</v>
      </c>
      <c r="K18" s="879">
        <v>759</v>
      </c>
      <c r="L18" s="877">
        <v>761</v>
      </c>
      <c r="M18" s="878">
        <v>684</v>
      </c>
      <c r="N18" s="875">
        <v>724</v>
      </c>
      <c r="O18" s="876">
        <v>769</v>
      </c>
      <c r="P18" s="878">
        <v>702</v>
      </c>
      <c r="Q18" s="880">
        <v>718</v>
      </c>
      <c r="R18" s="876">
        <v>751</v>
      </c>
      <c r="S18" s="878">
        <v>694</v>
      </c>
      <c r="T18" s="880">
        <v>756</v>
      </c>
      <c r="U18" s="876">
        <v>791</v>
      </c>
      <c r="V18" s="878">
        <v>768</v>
      </c>
      <c r="W18" s="880">
        <v>822</v>
      </c>
      <c r="X18" s="876">
        <v>842</v>
      </c>
      <c r="Y18" s="881">
        <v>807</v>
      </c>
      <c r="Z18" s="882">
        <v>868</v>
      </c>
      <c r="AA18" s="883">
        <v>892</v>
      </c>
      <c r="AB18" s="881">
        <v>822</v>
      </c>
      <c r="AC18" s="882">
        <v>887</v>
      </c>
      <c r="AD18" s="883">
        <v>917</v>
      </c>
      <c r="AE18" s="881">
        <v>851</v>
      </c>
      <c r="AF18" s="882">
        <v>930</v>
      </c>
      <c r="AG18" s="883">
        <v>965</v>
      </c>
      <c r="AH18" s="881">
        <v>890</v>
      </c>
      <c r="AI18" s="882">
        <v>974</v>
      </c>
      <c r="AJ18" s="883">
        <v>997</v>
      </c>
      <c r="AK18" s="881">
        <v>882</v>
      </c>
      <c r="AL18" s="882">
        <v>954</v>
      </c>
      <c r="AM18" s="883">
        <v>1027</v>
      </c>
      <c r="AN18" s="881">
        <v>926</v>
      </c>
      <c r="AO18" s="882">
        <v>1000</v>
      </c>
      <c r="AP18" s="883">
        <v>1026</v>
      </c>
      <c r="AQ18" s="881">
        <v>929</v>
      </c>
      <c r="AR18" s="882">
        <v>1008</v>
      </c>
      <c r="AS18" s="883">
        <v>1098</v>
      </c>
      <c r="AT18" s="881">
        <v>778</v>
      </c>
      <c r="AU18" s="882">
        <v>1091</v>
      </c>
      <c r="AV18" s="883">
        <v>1175</v>
      </c>
    </row>
    <row r="19" spans="1:48" s="6" customFormat="1" ht="15" customHeight="1" x14ac:dyDescent="0.25">
      <c r="A19" s="5822"/>
      <c r="B19" s="5675"/>
      <c r="C19" s="799" t="s">
        <v>459</v>
      </c>
      <c r="D19" s="800">
        <v>736</v>
      </c>
      <c r="E19" s="836">
        <v>778</v>
      </c>
      <c r="F19" s="884">
        <v>834</v>
      </c>
      <c r="G19" s="835">
        <v>754</v>
      </c>
      <c r="H19" s="836">
        <v>774</v>
      </c>
      <c r="I19" s="884">
        <v>828</v>
      </c>
      <c r="J19" s="800">
        <v>780</v>
      </c>
      <c r="K19" s="801">
        <v>847</v>
      </c>
      <c r="L19" s="884">
        <v>861</v>
      </c>
      <c r="M19" s="800">
        <v>762</v>
      </c>
      <c r="N19" s="801">
        <v>788</v>
      </c>
      <c r="O19" s="884">
        <v>859</v>
      </c>
      <c r="P19" s="800">
        <v>790</v>
      </c>
      <c r="Q19" s="801">
        <v>805</v>
      </c>
      <c r="R19" s="884">
        <v>842</v>
      </c>
      <c r="S19" s="800">
        <v>809</v>
      </c>
      <c r="T19" s="801">
        <v>845</v>
      </c>
      <c r="U19" s="884">
        <v>898</v>
      </c>
      <c r="V19" s="800">
        <v>851</v>
      </c>
      <c r="W19" s="801">
        <v>876</v>
      </c>
      <c r="X19" s="884">
        <v>917</v>
      </c>
      <c r="Y19" s="800">
        <v>873</v>
      </c>
      <c r="Z19" s="801">
        <v>936</v>
      </c>
      <c r="AA19" s="884">
        <v>962</v>
      </c>
      <c r="AB19" s="803">
        <v>890</v>
      </c>
      <c r="AC19" s="801">
        <v>923</v>
      </c>
      <c r="AD19" s="884">
        <v>927</v>
      </c>
      <c r="AE19" s="803">
        <v>908</v>
      </c>
      <c r="AF19" s="801">
        <v>986</v>
      </c>
      <c r="AG19" s="884">
        <v>1039</v>
      </c>
      <c r="AH19" s="803">
        <v>950</v>
      </c>
      <c r="AI19" s="801">
        <v>1008</v>
      </c>
      <c r="AJ19" s="884">
        <v>1051</v>
      </c>
      <c r="AK19" s="803">
        <v>972</v>
      </c>
      <c r="AL19" s="801">
        <v>1023</v>
      </c>
      <c r="AM19" s="884">
        <v>1102</v>
      </c>
      <c r="AN19" s="803">
        <v>1004</v>
      </c>
      <c r="AO19" s="801">
        <v>1064</v>
      </c>
      <c r="AP19" s="884">
        <v>1117</v>
      </c>
      <c r="AQ19" s="803">
        <v>1046</v>
      </c>
      <c r="AR19" s="801">
        <v>1044</v>
      </c>
      <c r="AS19" s="884">
        <v>1130</v>
      </c>
      <c r="AT19" s="803">
        <v>827</v>
      </c>
      <c r="AU19" s="801">
        <v>1056</v>
      </c>
      <c r="AV19" s="884">
        <v>1103</v>
      </c>
    </row>
    <row r="20" spans="1:48" s="6" customFormat="1" ht="15" customHeight="1" x14ac:dyDescent="0.2">
      <c r="A20" s="5822"/>
      <c r="B20" s="5676"/>
      <c r="C20" s="854" t="s">
        <v>160</v>
      </c>
      <c r="D20" s="899">
        <f>SUM(D16:D19)</f>
        <v>4148</v>
      </c>
      <c r="E20" s="900">
        <f t="shared" ref="E20:AG20" si="3">SUM(E16:E19)</f>
        <v>4300</v>
      </c>
      <c r="F20" s="901">
        <f t="shared" si="3"/>
        <v>4471</v>
      </c>
      <c r="G20" s="899">
        <f t="shared" si="3"/>
        <v>4082</v>
      </c>
      <c r="H20" s="900">
        <f t="shared" si="3"/>
        <v>4142</v>
      </c>
      <c r="I20" s="901">
        <f t="shared" si="3"/>
        <v>4403</v>
      </c>
      <c r="J20" s="899">
        <f t="shared" si="3"/>
        <v>4099</v>
      </c>
      <c r="K20" s="900">
        <f t="shared" si="3"/>
        <v>4223</v>
      </c>
      <c r="L20" s="901">
        <f t="shared" si="3"/>
        <v>4398</v>
      </c>
      <c r="M20" s="899">
        <f t="shared" si="3"/>
        <v>3976</v>
      </c>
      <c r="N20" s="900">
        <f t="shared" si="3"/>
        <v>4076</v>
      </c>
      <c r="O20" s="901">
        <f t="shared" si="3"/>
        <v>4382</v>
      </c>
      <c r="P20" s="899">
        <f t="shared" si="3"/>
        <v>4074</v>
      </c>
      <c r="Q20" s="900">
        <f t="shared" si="3"/>
        <v>4257</v>
      </c>
      <c r="R20" s="901">
        <f t="shared" si="3"/>
        <v>4362</v>
      </c>
      <c r="S20" s="899">
        <f t="shared" si="3"/>
        <v>4050</v>
      </c>
      <c r="T20" s="900">
        <f t="shared" si="3"/>
        <v>4230</v>
      </c>
      <c r="U20" s="901">
        <f t="shared" si="3"/>
        <v>4443</v>
      </c>
      <c r="V20" s="899">
        <f t="shared" si="3"/>
        <v>4225</v>
      </c>
      <c r="W20" s="900">
        <f t="shared" si="3"/>
        <v>4434</v>
      </c>
      <c r="X20" s="901">
        <f t="shared" si="3"/>
        <v>4569</v>
      </c>
      <c r="Y20" s="899">
        <f t="shared" si="3"/>
        <v>4336</v>
      </c>
      <c r="Z20" s="900">
        <f t="shared" si="3"/>
        <v>4649</v>
      </c>
      <c r="AA20" s="901">
        <f t="shared" si="3"/>
        <v>4785</v>
      </c>
      <c r="AB20" s="899">
        <f t="shared" si="3"/>
        <v>4449</v>
      </c>
      <c r="AC20" s="900">
        <f t="shared" si="3"/>
        <v>4768</v>
      </c>
      <c r="AD20" s="901">
        <f t="shared" si="3"/>
        <v>4840</v>
      </c>
      <c r="AE20" s="899">
        <f t="shared" si="3"/>
        <v>4624</v>
      </c>
      <c r="AF20" s="900">
        <f t="shared" si="3"/>
        <v>5015</v>
      </c>
      <c r="AG20" s="901">
        <f t="shared" si="3"/>
        <v>5201</v>
      </c>
      <c r="AH20" s="899">
        <f t="shared" ref="AH20:AM20" si="4">SUM(AH16:AH19)</f>
        <v>4806</v>
      </c>
      <c r="AI20" s="900">
        <f t="shared" si="4"/>
        <v>5157</v>
      </c>
      <c r="AJ20" s="901">
        <f t="shared" si="4"/>
        <v>5297</v>
      </c>
      <c r="AK20" s="899">
        <f t="shared" si="4"/>
        <v>4815</v>
      </c>
      <c r="AL20" s="900">
        <f t="shared" si="4"/>
        <v>5121</v>
      </c>
      <c r="AM20" s="901">
        <f t="shared" si="4"/>
        <v>5452</v>
      </c>
      <c r="AN20" s="899">
        <f t="shared" ref="AN20:AV20" si="5">SUM(AN16:AN19)</f>
        <v>4970</v>
      </c>
      <c r="AO20" s="900">
        <f t="shared" si="5"/>
        <v>5346</v>
      </c>
      <c r="AP20" s="901">
        <f t="shared" si="5"/>
        <v>5546</v>
      </c>
      <c r="AQ20" s="899">
        <f t="shared" si="5"/>
        <v>5113</v>
      </c>
      <c r="AR20" s="900">
        <f t="shared" si="5"/>
        <v>5357</v>
      </c>
      <c r="AS20" s="901">
        <f t="shared" si="5"/>
        <v>5727</v>
      </c>
      <c r="AT20" s="899">
        <f t="shared" si="5"/>
        <v>3843</v>
      </c>
      <c r="AU20" s="900">
        <f t="shared" si="5"/>
        <v>5486</v>
      </c>
      <c r="AV20" s="901">
        <f t="shared" si="5"/>
        <v>5732</v>
      </c>
    </row>
    <row r="21" spans="1:48" s="6" customFormat="1" ht="15" customHeight="1" x14ac:dyDescent="0.25">
      <c r="A21" s="5822"/>
      <c r="B21" s="5674" t="s">
        <v>7</v>
      </c>
      <c r="C21" s="828" t="s">
        <v>460</v>
      </c>
      <c r="D21" s="874">
        <v>1014</v>
      </c>
      <c r="E21" s="875">
        <v>1082</v>
      </c>
      <c r="F21" s="876">
        <v>1134</v>
      </c>
      <c r="G21" s="874">
        <v>1023</v>
      </c>
      <c r="H21" s="875">
        <v>1072</v>
      </c>
      <c r="I21" s="877">
        <v>1160</v>
      </c>
      <c r="J21" s="878">
        <v>1074</v>
      </c>
      <c r="K21" s="879">
        <v>1145</v>
      </c>
      <c r="L21" s="877">
        <v>1145</v>
      </c>
      <c r="M21" s="878">
        <v>1074</v>
      </c>
      <c r="N21" s="875">
        <v>1113</v>
      </c>
      <c r="O21" s="876">
        <v>1175</v>
      </c>
      <c r="P21" s="878">
        <v>1077</v>
      </c>
      <c r="Q21" s="880">
        <v>1114</v>
      </c>
      <c r="R21" s="876">
        <v>1155</v>
      </c>
      <c r="S21" s="878">
        <v>1049</v>
      </c>
      <c r="T21" s="880">
        <v>1104</v>
      </c>
      <c r="U21" s="876">
        <v>1136</v>
      </c>
      <c r="V21" s="878">
        <v>1067</v>
      </c>
      <c r="W21" s="880">
        <v>1085</v>
      </c>
      <c r="X21" s="876">
        <v>1074</v>
      </c>
      <c r="Y21" s="881">
        <v>1006</v>
      </c>
      <c r="Z21" s="882">
        <v>1062</v>
      </c>
      <c r="AA21" s="883">
        <v>1119</v>
      </c>
      <c r="AB21" s="881">
        <v>1023</v>
      </c>
      <c r="AC21" s="882">
        <v>1088</v>
      </c>
      <c r="AD21" s="883">
        <v>1051</v>
      </c>
      <c r="AE21" s="881">
        <v>1026</v>
      </c>
      <c r="AF21" s="882">
        <v>1094</v>
      </c>
      <c r="AG21" s="883">
        <v>1076</v>
      </c>
      <c r="AH21" s="881">
        <v>1049</v>
      </c>
      <c r="AI21" s="882">
        <v>1102</v>
      </c>
      <c r="AJ21" s="883">
        <v>1079</v>
      </c>
      <c r="AK21" s="881">
        <v>1013</v>
      </c>
      <c r="AL21" s="882">
        <v>1056</v>
      </c>
      <c r="AM21" s="883">
        <v>1056</v>
      </c>
      <c r="AN21" s="881">
        <v>977</v>
      </c>
      <c r="AO21" s="882">
        <v>1017</v>
      </c>
      <c r="AP21" s="883">
        <v>1045</v>
      </c>
      <c r="AQ21" s="881">
        <v>949</v>
      </c>
      <c r="AR21" s="882">
        <v>972</v>
      </c>
      <c r="AS21" s="883">
        <v>975</v>
      </c>
      <c r="AT21" s="881">
        <v>878</v>
      </c>
      <c r="AU21" s="882">
        <v>984</v>
      </c>
      <c r="AV21" s="883">
        <v>1026</v>
      </c>
    </row>
    <row r="22" spans="1:48" s="6" customFormat="1" ht="15" customHeight="1" x14ac:dyDescent="0.25">
      <c r="A22" s="5822"/>
      <c r="B22" s="5675"/>
      <c r="C22" s="828" t="s">
        <v>461</v>
      </c>
      <c r="D22" s="874">
        <v>889</v>
      </c>
      <c r="E22" s="875">
        <v>945</v>
      </c>
      <c r="F22" s="876">
        <v>997</v>
      </c>
      <c r="G22" s="874">
        <v>898</v>
      </c>
      <c r="H22" s="875">
        <v>951</v>
      </c>
      <c r="I22" s="877">
        <v>995</v>
      </c>
      <c r="J22" s="878">
        <v>935</v>
      </c>
      <c r="K22" s="879">
        <v>969</v>
      </c>
      <c r="L22" s="877">
        <v>1031</v>
      </c>
      <c r="M22" s="878">
        <v>959</v>
      </c>
      <c r="N22" s="875">
        <v>954</v>
      </c>
      <c r="O22" s="876">
        <v>962</v>
      </c>
      <c r="P22" s="878">
        <v>888</v>
      </c>
      <c r="Q22" s="880">
        <v>878</v>
      </c>
      <c r="R22" s="876">
        <v>866</v>
      </c>
      <c r="S22" s="878">
        <v>813</v>
      </c>
      <c r="T22" s="880">
        <v>813</v>
      </c>
      <c r="U22" s="876">
        <v>835</v>
      </c>
      <c r="V22" s="878">
        <v>802</v>
      </c>
      <c r="W22" s="880">
        <v>800</v>
      </c>
      <c r="X22" s="876">
        <v>786</v>
      </c>
      <c r="Y22" s="881">
        <v>753</v>
      </c>
      <c r="Z22" s="882">
        <v>771</v>
      </c>
      <c r="AA22" s="883">
        <v>807</v>
      </c>
      <c r="AB22" s="881">
        <v>754</v>
      </c>
      <c r="AC22" s="882">
        <v>820</v>
      </c>
      <c r="AD22" s="883">
        <v>824</v>
      </c>
      <c r="AE22" s="881">
        <v>792</v>
      </c>
      <c r="AF22" s="882">
        <v>854</v>
      </c>
      <c r="AG22" s="883">
        <v>861</v>
      </c>
      <c r="AH22" s="881">
        <v>848</v>
      </c>
      <c r="AI22" s="882">
        <v>927</v>
      </c>
      <c r="AJ22" s="883">
        <v>966</v>
      </c>
      <c r="AK22" s="881">
        <v>939</v>
      </c>
      <c r="AL22" s="882">
        <v>973</v>
      </c>
      <c r="AM22" s="883">
        <v>1011</v>
      </c>
      <c r="AN22" s="881">
        <v>934</v>
      </c>
      <c r="AO22" s="882">
        <v>1020</v>
      </c>
      <c r="AP22" s="883">
        <v>1099</v>
      </c>
      <c r="AQ22" s="881">
        <v>1036</v>
      </c>
      <c r="AR22" s="882">
        <v>1082</v>
      </c>
      <c r="AS22" s="883">
        <v>1158</v>
      </c>
      <c r="AT22" s="881">
        <v>1065</v>
      </c>
      <c r="AU22" s="882">
        <v>1111</v>
      </c>
      <c r="AV22" s="883">
        <v>1111</v>
      </c>
    </row>
    <row r="23" spans="1:48" s="6" customFormat="1" ht="15" customHeight="1" x14ac:dyDescent="0.25">
      <c r="A23" s="5822"/>
      <c r="B23" s="5675"/>
      <c r="C23" s="799" t="s">
        <v>462</v>
      </c>
      <c r="D23" s="800">
        <v>541</v>
      </c>
      <c r="E23" s="836">
        <v>536</v>
      </c>
      <c r="F23" s="884">
        <v>567</v>
      </c>
      <c r="G23" s="835">
        <v>513</v>
      </c>
      <c r="H23" s="836">
        <v>530</v>
      </c>
      <c r="I23" s="884">
        <v>554</v>
      </c>
      <c r="J23" s="800">
        <v>520</v>
      </c>
      <c r="K23" s="801">
        <v>547</v>
      </c>
      <c r="L23" s="884">
        <v>579</v>
      </c>
      <c r="M23" s="800">
        <v>552</v>
      </c>
      <c r="N23" s="801">
        <v>561</v>
      </c>
      <c r="O23" s="884">
        <v>606</v>
      </c>
      <c r="P23" s="800">
        <v>564</v>
      </c>
      <c r="Q23" s="801">
        <v>596</v>
      </c>
      <c r="R23" s="884">
        <v>621</v>
      </c>
      <c r="S23" s="800">
        <v>595</v>
      </c>
      <c r="T23" s="801">
        <v>619</v>
      </c>
      <c r="U23" s="884">
        <v>617</v>
      </c>
      <c r="V23" s="800">
        <v>589</v>
      </c>
      <c r="W23" s="801">
        <v>626</v>
      </c>
      <c r="X23" s="884">
        <v>656</v>
      </c>
      <c r="Y23" s="800">
        <v>626</v>
      </c>
      <c r="Z23" s="801">
        <v>685</v>
      </c>
      <c r="AA23" s="884">
        <v>721</v>
      </c>
      <c r="AB23" s="803">
        <v>635</v>
      </c>
      <c r="AC23" s="801">
        <v>686</v>
      </c>
      <c r="AD23" s="884">
        <v>672</v>
      </c>
      <c r="AE23" s="803">
        <v>672</v>
      </c>
      <c r="AF23" s="801">
        <v>724</v>
      </c>
      <c r="AG23" s="884">
        <v>737</v>
      </c>
      <c r="AH23" s="803">
        <v>717</v>
      </c>
      <c r="AI23" s="801">
        <v>748</v>
      </c>
      <c r="AJ23" s="884">
        <v>757</v>
      </c>
      <c r="AK23" s="803">
        <v>731</v>
      </c>
      <c r="AL23" s="801">
        <v>756</v>
      </c>
      <c r="AM23" s="884">
        <v>771</v>
      </c>
      <c r="AN23" s="803">
        <v>711</v>
      </c>
      <c r="AO23" s="801">
        <v>756</v>
      </c>
      <c r="AP23" s="884">
        <v>787</v>
      </c>
      <c r="AQ23" s="803">
        <v>731</v>
      </c>
      <c r="AR23" s="801">
        <v>761</v>
      </c>
      <c r="AS23" s="884">
        <v>829</v>
      </c>
      <c r="AT23" s="803">
        <v>730</v>
      </c>
      <c r="AU23" s="801">
        <v>780</v>
      </c>
      <c r="AV23" s="884">
        <v>785</v>
      </c>
    </row>
    <row r="24" spans="1:48" s="6" customFormat="1" ht="15" customHeight="1" x14ac:dyDescent="0.2">
      <c r="A24" s="5822"/>
      <c r="B24" s="5676"/>
      <c r="C24" s="854" t="s">
        <v>160</v>
      </c>
      <c r="D24" s="899">
        <f>SUM(D21:D23)</f>
        <v>2444</v>
      </c>
      <c r="E24" s="900">
        <f t="shared" ref="E24:AG24" si="6">SUM(E21:E23)</f>
        <v>2563</v>
      </c>
      <c r="F24" s="901">
        <f t="shared" si="6"/>
        <v>2698</v>
      </c>
      <c r="G24" s="899">
        <f t="shared" si="6"/>
        <v>2434</v>
      </c>
      <c r="H24" s="900">
        <f t="shared" si="6"/>
        <v>2553</v>
      </c>
      <c r="I24" s="901">
        <f t="shared" si="6"/>
        <v>2709</v>
      </c>
      <c r="J24" s="899">
        <f t="shared" si="6"/>
        <v>2529</v>
      </c>
      <c r="K24" s="900">
        <f t="shared" si="6"/>
        <v>2661</v>
      </c>
      <c r="L24" s="901">
        <f t="shared" si="6"/>
        <v>2755</v>
      </c>
      <c r="M24" s="899">
        <f t="shared" si="6"/>
        <v>2585</v>
      </c>
      <c r="N24" s="900">
        <f t="shared" si="6"/>
        <v>2628</v>
      </c>
      <c r="O24" s="901">
        <f t="shared" si="6"/>
        <v>2743</v>
      </c>
      <c r="P24" s="899">
        <f t="shared" si="6"/>
        <v>2529</v>
      </c>
      <c r="Q24" s="900">
        <f t="shared" si="6"/>
        <v>2588</v>
      </c>
      <c r="R24" s="901">
        <f t="shared" si="6"/>
        <v>2642</v>
      </c>
      <c r="S24" s="899">
        <f t="shared" si="6"/>
        <v>2457</v>
      </c>
      <c r="T24" s="900">
        <f t="shared" si="6"/>
        <v>2536</v>
      </c>
      <c r="U24" s="901">
        <f t="shared" si="6"/>
        <v>2588</v>
      </c>
      <c r="V24" s="899">
        <f t="shared" si="6"/>
        <v>2458</v>
      </c>
      <c r="W24" s="900">
        <f t="shared" si="6"/>
        <v>2511</v>
      </c>
      <c r="X24" s="901">
        <f t="shared" si="6"/>
        <v>2516</v>
      </c>
      <c r="Y24" s="899">
        <f t="shared" si="6"/>
        <v>2385</v>
      </c>
      <c r="Z24" s="900">
        <f t="shared" si="6"/>
        <v>2518</v>
      </c>
      <c r="AA24" s="901">
        <f t="shared" si="6"/>
        <v>2647</v>
      </c>
      <c r="AB24" s="899">
        <f t="shared" si="6"/>
        <v>2412</v>
      </c>
      <c r="AC24" s="900">
        <f t="shared" si="6"/>
        <v>2594</v>
      </c>
      <c r="AD24" s="901">
        <f t="shared" si="6"/>
        <v>2547</v>
      </c>
      <c r="AE24" s="899">
        <f t="shared" si="6"/>
        <v>2490</v>
      </c>
      <c r="AF24" s="900">
        <f t="shared" si="6"/>
        <v>2672</v>
      </c>
      <c r="AG24" s="901">
        <f t="shared" si="6"/>
        <v>2674</v>
      </c>
      <c r="AH24" s="899">
        <f t="shared" ref="AH24:AM24" si="7">SUM(AH21:AH23)</f>
        <v>2614</v>
      </c>
      <c r="AI24" s="900">
        <f t="shared" si="7"/>
        <v>2777</v>
      </c>
      <c r="AJ24" s="901">
        <f t="shared" si="7"/>
        <v>2802</v>
      </c>
      <c r="AK24" s="899">
        <f t="shared" si="7"/>
        <v>2683</v>
      </c>
      <c r="AL24" s="900">
        <f t="shared" si="7"/>
        <v>2785</v>
      </c>
      <c r="AM24" s="901">
        <f t="shared" si="7"/>
        <v>2838</v>
      </c>
      <c r="AN24" s="899">
        <f t="shared" ref="AN24:AV24" si="8">SUM(AN21:AN23)</f>
        <v>2622</v>
      </c>
      <c r="AO24" s="900">
        <f t="shared" si="8"/>
        <v>2793</v>
      </c>
      <c r="AP24" s="901">
        <f t="shared" si="8"/>
        <v>2931</v>
      </c>
      <c r="AQ24" s="899">
        <f t="shared" si="8"/>
        <v>2716</v>
      </c>
      <c r="AR24" s="900">
        <f t="shared" si="8"/>
        <v>2815</v>
      </c>
      <c r="AS24" s="901">
        <f t="shared" si="8"/>
        <v>2962</v>
      </c>
      <c r="AT24" s="899">
        <f t="shared" si="8"/>
        <v>2673</v>
      </c>
      <c r="AU24" s="900">
        <f t="shared" si="8"/>
        <v>2875</v>
      </c>
      <c r="AV24" s="901">
        <f t="shared" si="8"/>
        <v>2922</v>
      </c>
    </row>
    <row r="25" spans="1:48" s="6" customFormat="1" ht="15" customHeight="1" x14ac:dyDescent="0.25">
      <c r="A25" s="5823"/>
      <c r="B25" s="3550"/>
      <c r="C25" s="3551" t="s">
        <v>444</v>
      </c>
      <c r="D25" s="3552">
        <f>SUM(D24,D20,D15)</f>
        <v>11354</v>
      </c>
      <c r="E25" s="3553">
        <f t="shared" ref="E25:AG25" si="9">SUM(E24,E20,E15)</f>
        <v>11636</v>
      </c>
      <c r="F25" s="3554">
        <f t="shared" si="9"/>
        <v>12329</v>
      </c>
      <c r="G25" s="3552">
        <f t="shared" si="9"/>
        <v>11219</v>
      </c>
      <c r="H25" s="3553">
        <f t="shared" si="9"/>
        <v>11694</v>
      </c>
      <c r="I25" s="3554">
        <f t="shared" si="9"/>
        <v>12690</v>
      </c>
      <c r="J25" s="3552">
        <f t="shared" si="9"/>
        <v>11737</v>
      </c>
      <c r="K25" s="3553">
        <f t="shared" si="9"/>
        <v>12344</v>
      </c>
      <c r="L25" s="3554">
        <f t="shared" si="9"/>
        <v>12956</v>
      </c>
      <c r="M25" s="3552">
        <f t="shared" si="9"/>
        <v>11855</v>
      </c>
      <c r="N25" s="3553">
        <f t="shared" si="9"/>
        <v>12359</v>
      </c>
      <c r="O25" s="3554">
        <f t="shared" si="9"/>
        <v>13214</v>
      </c>
      <c r="P25" s="3552">
        <f t="shared" si="9"/>
        <v>12257</v>
      </c>
      <c r="Q25" s="3553">
        <f t="shared" si="9"/>
        <v>12713</v>
      </c>
      <c r="R25" s="3554">
        <f t="shared" si="9"/>
        <v>13271</v>
      </c>
      <c r="S25" s="3552">
        <f t="shared" si="9"/>
        <v>12365</v>
      </c>
      <c r="T25" s="3553">
        <f t="shared" si="9"/>
        <v>12698</v>
      </c>
      <c r="U25" s="3554">
        <f t="shared" si="9"/>
        <v>13426</v>
      </c>
      <c r="V25" s="3552">
        <f t="shared" si="9"/>
        <v>12752</v>
      </c>
      <c r="W25" s="3553">
        <f t="shared" si="9"/>
        <v>13377</v>
      </c>
      <c r="X25" s="3554">
        <f t="shared" si="9"/>
        <v>13765</v>
      </c>
      <c r="Y25" s="3552">
        <f t="shared" si="9"/>
        <v>13041</v>
      </c>
      <c r="Z25" s="3553">
        <f t="shared" si="9"/>
        <v>13990</v>
      </c>
      <c r="AA25" s="3554">
        <f t="shared" si="9"/>
        <v>14704</v>
      </c>
      <c r="AB25" s="3552">
        <f t="shared" si="9"/>
        <v>13612</v>
      </c>
      <c r="AC25" s="3553">
        <f t="shared" si="9"/>
        <v>14835</v>
      </c>
      <c r="AD25" s="3554">
        <f t="shared" si="9"/>
        <v>14648</v>
      </c>
      <c r="AE25" s="3552">
        <f t="shared" si="9"/>
        <v>14113</v>
      </c>
      <c r="AF25" s="3553">
        <f t="shared" si="9"/>
        <v>15006</v>
      </c>
      <c r="AG25" s="3554">
        <f t="shared" si="9"/>
        <v>15075</v>
      </c>
      <c r="AH25" s="3552">
        <f t="shared" ref="AH25:AM25" si="10">SUM(AH24,AH20,AH15)</f>
        <v>14241</v>
      </c>
      <c r="AI25" s="3553">
        <f t="shared" si="10"/>
        <v>15066</v>
      </c>
      <c r="AJ25" s="3554">
        <f t="shared" si="10"/>
        <v>15257</v>
      </c>
      <c r="AK25" s="3552">
        <f t="shared" si="10"/>
        <v>14098</v>
      </c>
      <c r="AL25" s="3553">
        <f t="shared" si="10"/>
        <v>14554</v>
      </c>
      <c r="AM25" s="3554">
        <f t="shared" si="10"/>
        <v>15208</v>
      </c>
      <c r="AN25" s="3552">
        <f t="shared" ref="AN25:AV25" si="11">SUM(AN24,AN20,AN15)</f>
        <v>13906</v>
      </c>
      <c r="AO25" s="3553">
        <f t="shared" si="11"/>
        <v>14553</v>
      </c>
      <c r="AP25" s="3554">
        <f t="shared" si="11"/>
        <v>15120</v>
      </c>
      <c r="AQ25" s="3552">
        <f t="shared" si="11"/>
        <v>13788</v>
      </c>
      <c r="AR25" s="3553">
        <f t="shared" si="11"/>
        <v>14284</v>
      </c>
      <c r="AS25" s="3554">
        <f t="shared" si="11"/>
        <v>14923</v>
      </c>
      <c r="AT25" s="3552">
        <f t="shared" si="11"/>
        <v>12059</v>
      </c>
      <c r="AU25" s="3553">
        <f t="shared" si="11"/>
        <v>14141</v>
      </c>
      <c r="AV25" s="3554">
        <f t="shared" si="11"/>
        <v>14525</v>
      </c>
    </row>
    <row r="26" spans="1:48" s="6" customFormat="1" ht="15" customHeight="1" x14ac:dyDescent="0.25">
      <c r="A26" s="5824" t="s">
        <v>407</v>
      </c>
      <c r="B26" s="5647" t="s">
        <v>6</v>
      </c>
      <c r="C26" s="828" t="s">
        <v>456</v>
      </c>
      <c r="D26" s="803"/>
      <c r="E26" s="885"/>
      <c r="F26" s="830"/>
      <c r="G26" s="803"/>
      <c r="H26" s="804"/>
      <c r="I26" s="830"/>
      <c r="J26" s="803"/>
      <c r="K26" s="804"/>
      <c r="L26" s="877">
        <v>57</v>
      </c>
      <c r="M26" s="878">
        <v>52</v>
      </c>
      <c r="N26" s="875">
        <v>48</v>
      </c>
      <c r="O26" s="876">
        <v>90</v>
      </c>
      <c r="P26" s="878">
        <v>87</v>
      </c>
      <c r="Q26" s="880">
        <v>87</v>
      </c>
      <c r="R26" s="876">
        <v>155</v>
      </c>
      <c r="S26" s="878">
        <v>149</v>
      </c>
      <c r="T26" s="880">
        <v>144</v>
      </c>
      <c r="U26" s="876">
        <v>204</v>
      </c>
      <c r="V26" s="878">
        <v>198</v>
      </c>
      <c r="W26" s="880">
        <v>195</v>
      </c>
      <c r="X26" s="876">
        <v>225</v>
      </c>
      <c r="Y26" s="881">
        <v>186</v>
      </c>
      <c r="Z26" s="882">
        <v>190</v>
      </c>
      <c r="AA26" s="883">
        <v>212</v>
      </c>
      <c r="AB26" s="881">
        <v>183</v>
      </c>
      <c r="AC26" s="882">
        <v>178</v>
      </c>
      <c r="AD26" s="883">
        <v>171</v>
      </c>
      <c r="AE26" s="881">
        <v>163</v>
      </c>
      <c r="AF26" s="882">
        <v>156</v>
      </c>
      <c r="AG26" s="883">
        <v>166</v>
      </c>
      <c r="AH26" s="881">
        <v>155</v>
      </c>
      <c r="AI26" s="882">
        <v>143</v>
      </c>
      <c r="AJ26" s="883">
        <v>156</v>
      </c>
      <c r="AK26" s="881">
        <v>148</v>
      </c>
      <c r="AL26" s="882">
        <v>170</v>
      </c>
      <c r="AM26" s="883">
        <v>175</v>
      </c>
      <c r="AN26" s="881">
        <v>169</v>
      </c>
      <c r="AO26" s="882">
        <v>196</v>
      </c>
      <c r="AP26" s="883">
        <v>210</v>
      </c>
      <c r="AQ26" s="881">
        <v>187</v>
      </c>
      <c r="AR26" s="882">
        <v>229</v>
      </c>
      <c r="AS26" s="883">
        <v>225</v>
      </c>
      <c r="AT26" s="881">
        <v>213</v>
      </c>
      <c r="AU26" s="882">
        <v>243</v>
      </c>
      <c r="AV26" s="883">
        <v>251</v>
      </c>
    </row>
    <row r="27" spans="1:48" s="6" customFormat="1" ht="15" customHeight="1" x14ac:dyDescent="0.25">
      <c r="A27" s="5825"/>
      <c r="B27" s="5648"/>
      <c r="C27" s="828" t="s">
        <v>457</v>
      </c>
      <c r="D27" s="803"/>
      <c r="E27" s="885"/>
      <c r="F27" s="830"/>
      <c r="G27" s="803"/>
      <c r="H27" s="804"/>
      <c r="I27" s="830"/>
      <c r="J27" s="803"/>
      <c r="K27" s="804"/>
      <c r="L27" s="877">
        <v>54</v>
      </c>
      <c r="M27" s="878">
        <v>51</v>
      </c>
      <c r="N27" s="875">
        <v>47</v>
      </c>
      <c r="O27" s="876">
        <v>46</v>
      </c>
      <c r="P27" s="878">
        <v>30</v>
      </c>
      <c r="Q27" s="880">
        <v>29</v>
      </c>
      <c r="R27" s="876">
        <v>30</v>
      </c>
      <c r="S27" s="878">
        <v>30</v>
      </c>
      <c r="T27" s="880">
        <v>27</v>
      </c>
      <c r="U27" s="876">
        <v>27</v>
      </c>
      <c r="V27" s="878">
        <v>27</v>
      </c>
      <c r="W27" s="880">
        <v>26</v>
      </c>
      <c r="X27" s="876">
        <v>10</v>
      </c>
      <c r="Y27" s="881">
        <v>5</v>
      </c>
      <c r="Z27" s="882">
        <v>6</v>
      </c>
      <c r="AA27" s="883">
        <v>6</v>
      </c>
      <c r="AB27" s="881">
        <v>3</v>
      </c>
      <c r="AC27" s="882">
        <v>2</v>
      </c>
      <c r="AD27" s="883">
        <v>1</v>
      </c>
      <c r="AE27" s="881"/>
      <c r="AF27" s="882"/>
      <c r="AG27" s="883"/>
      <c r="AH27" s="881"/>
      <c r="AI27" s="882"/>
      <c r="AJ27" s="883"/>
      <c r="AK27" s="881"/>
      <c r="AL27" s="882"/>
      <c r="AM27" s="883"/>
      <c r="AN27" s="881"/>
      <c r="AO27" s="882"/>
      <c r="AP27" s="883">
        <v>36</v>
      </c>
      <c r="AQ27" s="881">
        <v>36</v>
      </c>
      <c r="AR27" s="882">
        <v>35</v>
      </c>
      <c r="AS27" s="883">
        <v>68</v>
      </c>
      <c r="AT27" s="881">
        <v>68</v>
      </c>
      <c r="AU27" s="882">
        <v>65</v>
      </c>
      <c r="AV27" s="883">
        <v>96</v>
      </c>
    </row>
    <row r="28" spans="1:48" s="6" customFormat="1" ht="15" customHeight="1" x14ac:dyDescent="0.25">
      <c r="A28" s="5825"/>
      <c r="B28" s="5648"/>
      <c r="C28" s="828" t="s">
        <v>495</v>
      </c>
      <c r="D28" s="886"/>
      <c r="E28" s="885"/>
      <c r="F28" s="830"/>
      <c r="G28" s="886"/>
      <c r="H28" s="885"/>
      <c r="I28" s="887"/>
      <c r="J28" s="886"/>
      <c r="K28" s="885"/>
      <c r="L28" s="877"/>
      <c r="M28" s="878"/>
      <c r="N28" s="875"/>
      <c r="O28" s="876"/>
      <c r="P28" s="878"/>
      <c r="Q28" s="804"/>
      <c r="R28" s="876">
        <v>22</v>
      </c>
      <c r="S28" s="878">
        <v>22</v>
      </c>
      <c r="T28" s="804">
        <v>22</v>
      </c>
      <c r="U28" s="876">
        <v>42</v>
      </c>
      <c r="V28" s="878">
        <v>37</v>
      </c>
      <c r="W28" s="804">
        <v>38</v>
      </c>
      <c r="X28" s="876">
        <v>60</v>
      </c>
      <c r="Y28" s="881">
        <v>52</v>
      </c>
      <c r="Z28" s="882">
        <v>49</v>
      </c>
      <c r="AA28" s="883">
        <v>88</v>
      </c>
      <c r="AB28" s="881">
        <v>74</v>
      </c>
      <c r="AC28" s="882">
        <v>69</v>
      </c>
      <c r="AD28" s="883">
        <v>85</v>
      </c>
      <c r="AE28" s="881">
        <v>79</v>
      </c>
      <c r="AF28" s="882">
        <v>72</v>
      </c>
      <c r="AG28" s="883">
        <v>86</v>
      </c>
      <c r="AH28" s="881">
        <v>80</v>
      </c>
      <c r="AI28" s="882">
        <v>72</v>
      </c>
      <c r="AJ28" s="883">
        <v>100</v>
      </c>
      <c r="AK28" s="881">
        <v>92</v>
      </c>
      <c r="AL28" s="882">
        <v>116</v>
      </c>
      <c r="AM28" s="883">
        <v>141</v>
      </c>
      <c r="AN28" s="881">
        <v>125</v>
      </c>
      <c r="AO28" s="882">
        <v>153</v>
      </c>
      <c r="AP28" s="883">
        <v>181</v>
      </c>
      <c r="AQ28" s="881">
        <v>159</v>
      </c>
      <c r="AR28" s="882">
        <v>193</v>
      </c>
      <c r="AS28" s="883">
        <v>214</v>
      </c>
      <c r="AT28" s="881">
        <v>205</v>
      </c>
      <c r="AU28" s="882">
        <v>232</v>
      </c>
      <c r="AV28" s="883">
        <v>249</v>
      </c>
    </row>
    <row r="29" spans="1:48" s="6" customFormat="1" ht="15" customHeight="1" x14ac:dyDescent="0.25">
      <c r="A29" s="5825"/>
      <c r="B29" s="5648"/>
      <c r="C29" s="799" t="s">
        <v>496</v>
      </c>
      <c r="D29" s="800"/>
      <c r="E29" s="836"/>
      <c r="F29" s="802"/>
      <c r="G29" s="835"/>
      <c r="H29" s="836"/>
      <c r="I29" s="802"/>
      <c r="J29" s="800"/>
      <c r="K29" s="801"/>
      <c r="L29" s="802"/>
      <c r="M29" s="800"/>
      <c r="N29" s="801"/>
      <c r="O29" s="802"/>
      <c r="P29" s="800"/>
      <c r="Q29" s="801"/>
      <c r="R29" s="802">
        <v>32</v>
      </c>
      <c r="S29" s="800">
        <v>29</v>
      </c>
      <c r="T29" s="801">
        <v>24</v>
      </c>
      <c r="U29" s="802">
        <v>55</v>
      </c>
      <c r="V29" s="800">
        <v>49</v>
      </c>
      <c r="W29" s="801">
        <v>47</v>
      </c>
      <c r="X29" s="802">
        <v>76</v>
      </c>
      <c r="Y29" s="800">
        <v>70</v>
      </c>
      <c r="Z29" s="801">
        <v>68</v>
      </c>
      <c r="AA29" s="802">
        <v>99</v>
      </c>
      <c r="AB29" s="803">
        <v>95</v>
      </c>
      <c r="AC29" s="801">
        <v>86</v>
      </c>
      <c r="AD29" s="802">
        <v>116</v>
      </c>
      <c r="AE29" s="803">
        <v>108</v>
      </c>
      <c r="AF29" s="801">
        <v>103</v>
      </c>
      <c r="AG29" s="884">
        <v>126</v>
      </c>
      <c r="AH29" s="803">
        <v>118</v>
      </c>
      <c r="AI29" s="801">
        <v>111</v>
      </c>
      <c r="AJ29" s="884">
        <v>133</v>
      </c>
      <c r="AK29" s="803">
        <v>121</v>
      </c>
      <c r="AL29" s="801">
        <v>145</v>
      </c>
      <c r="AM29" s="884">
        <v>172</v>
      </c>
      <c r="AN29" s="803">
        <v>160</v>
      </c>
      <c r="AO29" s="801">
        <v>182</v>
      </c>
      <c r="AP29" s="884">
        <v>198</v>
      </c>
      <c r="AQ29" s="803">
        <v>161</v>
      </c>
      <c r="AR29" s="801">
        <v>202</v>
      </c>
      <c r="AS29" s="884">
        <v>210</v>
      </c>
      <c r="AT29" s="803">
        <v>212</v>
      </c>
      <c r="AU29" s="801">
        <v>237</v>
      </c>
      <c r="AV29" s="884">
        <v>260</v>
      </c>
    </row>
    <row r="30" spans="1:48" s="6" customFormat="1" ht="15" customHeight="1" x14ac:dyDescent="0.2">
      <c r="A30" s="5825"/>
      <c r="B30" s="5649"/>
      <c r="C30" s="854" t="s">
        <v>160</v>
      </c>
      <c r="D30" s="899"/>
      <c r="E30" s="900"/>
      <c r="F30" s="901"/>
      <c r="G30" s="899"/>
      <c r="H30" s="900"/>
      <c r="I30" s="901"/>
      <c r="J30" s="899"/>
      <c r="K30" s="900"/>
      <c r="L30" s="901">
        <f>SUM(L26:L29)</f>
        <v>111</v>
      </c>
      <c r="M30" s="899">
        <f t="shared" ref="M30:AG30" si="12">SUM(M26:M29)</f>
        <v>103</v>
      </c>
      <c r="N30" s="900">
        <f t="shared" si="12"/>
        <v>95</v>
      </c>
      <c r="O30" s="901">
        <f t="shared" si="12"/>
        <v>136</v>
      </c>
      <c r="P30" s="899">
        <f t="shared" si="12"/>
        <v>117</v>
      </c>
      <c r="Q30" s="900">
        <f t="shared" si="12"/>
        <v>116</v>
      </c>
      <c r="R30" s="901">
        <f t="shared" si="12"/>
        <v>239</v>
      </c>
      <c r="S30" s="899">
        <f t="shared" si="12"/>
        <v>230</v>
      </c>
      <c r="T30" s="900">
        <f t="shared" si="12"/>
        <v>217</v>
      </c>
      <c r="U30" s="901">
        <f t="shared" si="12"/>
        <v>328</v>
      </c>
      <c r="V30" s="899">
        <f t="shared" si="12"/>
        <v>311</v>
      </c>
      <c r="W30" s="900">
        <f t="shared" si="12"/>
        <v>306</v>
      </c>
      <c r="X30" s="901">
        <f t="shared" si="12"/>
        <v>371</v>
      </c>
      <c r="Y30" s="899">
        <f t="shared" si="12"/>
        <v>313</v>
      </c>
      <c r="Z30" s="900">
        <f t="shared" si="12"/>
        <v>313</v>
      </c>
      <c r="AA30" s="901">
        <f t="shared" si="12"/>
        <v>405</v>
      </c>
      <c r="AB30" s="899">
        <f t="shared" si="12"/>
        <v>355</v>
      </c>
      <c r="AC30" s="900">
        <f t="shared" si="12"/>
        <v>335</v>
      </c>
      <c r="AD30" s="901">
        <f t="shared" si="12"/>
        <v>373</v>
      </c>
      <c r="AE30" s="899">
        <f t="shared" si="12"/>
        <v>350</v>
      </c>
      <c r="AF30" s="900">
        <f t="shared" si="12"/>
        <v>331</v>
      </c>
      <c r="AG30" s="901">
        <f t="shared" si="12"/>
        <v>378</v>
      </c>
      <c r="AH30" s="899">
        <f t="shared" ref="AH30:AM30" si="13">SUM(AH26:AH29)</f>
        <v>353</v>
      </c>
      <c r="AI30" s="900">
        <f t="shared" si="13"/>
        <v>326</v>
      </c>
      <c r="AJ30" s="901">
        <f t="shared" si="13"/>
        <v>389</v>
      </c>
      <c r="AK30" s="899">
        <f t="shared" si="13"/>
        <v>361</v>
      </c>
      <c r="AL30" s="900">
        <f t="shared" si="13"/>
        <v>431</v>
      </c>
      <c r="AM30" s="901">
        <f t="shared" si="13"/>
        <v>488</v>
      </c>
      <c r="AN30" s="899">
        <f t="shared" ref="AN30:AV30" si="14">SUM(AN26:AN29)</f>
        <v>454</v>
      </c>
      <c r="AO30" s="900">
        <f t="shared" si="14"/>
        <v>531</v>
      </c>
      <c r="AP30" s="901">
        <f t="shared" si="14"/>
        <v>625</v>
      </c>
      <c r="AQ30" s="899">
        <f t="shared" si="14"/>
        <v>543</v>
      </c>
      <c r="AR30" s="900">
        <f t="shared" si="14"/>
        <v>659</v>
      </c>
      <c r="AS30" s="901">
        <f t="shared" si="14"/>
        <v>717</v>
      </c>
      <c r="AT30" s="899">
        <f t="shared" si="14"/>
        <v>698</v>
      </c>
      <c r="AU30" s="900">
        <f t="shared" si="14"/>
        <v>777</v>
      </c>
      <c r="AV30" s="901">
        <f t="shared" si="14"/>
        <v>856</v>
      </c>
    </row>
    <row r="31" spans="1:48" s="6" customFormat="1" ht="15" customHeight="1" x14ac:dyDescent="0.25">
      <c r="A31" s="5825"/>
      <c r="B31" s="5647" t="s">
        <v>9</v>
      </c>
      <c r="C31" s="828" t="s">
        <v>497</v>
      </c>
      <c r="D31" s="886"/>
      <c r="E31" s="885"/>
      <c r="F31" s="830"/>
      <c r="G31" s="803"/>
      <c r="H31" s="804"/>
      <c r="I31" s="830"/>
      <c r="J31" s="803"/>
      <c r="K31" s="804"/>
      <c r="L31" s="877">
        <v>34</v>
      </c>
      <c r="M31" s="878">
        <v>29</v>
      </c>
      <c r="N31" s="875">
        <v>29</v>
      </c>
      <c r="O31" s="876">
        <v>61</v>
      </c>
      <c r="P31" s="878">
        <v>60</v>
      </c>
      <c r="Q31" s="880">
        <v>59</v>
      </c>
      <c r="R31" s="876">
        <v>113</v>
      </c>
      <c r="S31" s="878">
        <v>108</v>
      </c>
      <c r="T31" s="880">
        <v>100</v>
      </c>
      <c r="U31" s="876">
        <v>154</v>
      </c>
      <c r="V31" s="878">
        <v>149</v>
      </c>
      <c r="W31" s="880">
        <v>146</v>
      </c>
      <c r="X31" s="876">
        <v>175</v>
      </c>
      <c r="Y31" s="881">
        <v>159</v>
      </c>
      <c r="Z31" s="882">
        <v>145</v>
      </c>
      <c r="AA31" s="883">
        <v>180</v>
      </c>
      <c r="AB31" s="881">
        <v>151</v>
      </c>
      <c r="AC31" s="882">
        <v>147</v>
      </c>
      <c r="AD31" s="883">
        <v>182</v>
      </c>
      <c r="AE31" s="881">
        <v>156</v>
      </c>
      <c r="AF31" s="882">
        <v>152</v>
      </c>
      <c r="AG31" s="883">
        <v>183</v>
      </c>
      <c r="AH31" s="881">
        <v>170</v>
      </c>
      <c r="AI31" s="882">
        <v>163</v>
      </c>
      <c r="AJ31" s="883">
        <v>197</v>
      </c>
      <c r="AK31" s="881">
        <v>183</v>
      </c>
      <c r="AL31" s="882">
        <v>178</v>
      </c>
      <c r="AM31" s="883">
        <v>232</v>
      </c>
      <c r="AN31" s="881">
        <v>208</v>
      </c>
      <c r="AO31" s="882">
        <v>201</v>
      </c>
      <c r="AP31" s="883">
        <v>248</v>
      </c>
      <c r="AQ31" s="881">
        <v>219</v>
      </c>
      <c r="AR31" s="882">
        <v>217</v>
      </c>
      <c r="AS31" s="883">
        <v>269</v>
      </c>
      <c r="AT31" s="881">
        <v>257</v>
      </c>
      <c r="AU31" s="882">
        <v>239</v>
      </c>
      <c r="AV31" s="883">
        <v>309</v>
      </c>
    </row>
    <row r="32" spans="1:48" s="6" customFormat="1" ht="15" customHeight="1" x14ac:dyDescent="0.25">
      <c r="A32" s="5825"/>
      <c r="B32" s="5648"/>
      <c r="C32" s="828" t="s">
        <v>498</v>
      </c>
      <c r="D32" s="886"/>
      <c r="E32" s="885"/>
      <c r="F32" s="887"/>
      <c r="G32" s="886"/>
      <c r="H32" s="885"/>
      <c r="I32" s="887"/>
      <c r="J32" s="886"/>
      <c r="K32" s="885"/>
      <c r="L32" s="830"/>
      <c r="M32" s="803"/>
      <c r="N32" s="804"/>
      <c r="O32" s="830"/>
      <c r="P32" s="803"/>
      <c r="Q32" s="880"/>
      <c r="R32" s="876">
        <v>25</v>
      </c>
      <c r="S32" s="803">
        <v>21</v>
      </c>
      <c r="T32" s="880">
        <v>20</v>
      </c>
      <c r="U32" s="876">
        <v>46</v>
      </c>
      <c r="V32" s="803">
        <v>35</v>
      </c>
      <c r="W32" s="880">
        <v>33</v>
      </c>
      <c r="X32" s="876">
        <v>75</v>
      </c>
      <c r="Y32" s="881">
        <v>63</v>
      </c>
      <c r="Z32" s="882">
        <v>63</v>
      </c>
      <c r="AA32" s="883">
        <v>101</v>
      </c>
      <c r="AB32" s="881">
        <v>95</v>
      </c>
      <c r="AC32" s="882">
        <v>86</v>
      </c>
      <c r="AD32" s="883">
        <v>128</v>
      </c>
      <c r="AE32" s="881">
        <v>120</v>
      </c>
      <c r="AF32" s="882">
        <v>107</v>
      </c>
      <c r="AG32" s="883">
        <v>143</v>
      </c>
      <c r="AH32" s="881">
        <v>134</v>
      </c>
      <c r="AI32" s="882">
        <v>121</v>
      </c>
      <c r="AJ32" s="883">
        <v>156</v>
      </c>
      <c r="AK32" s="881">
        <v>144</v>
      </c>
      <c r="AL32" s="882">
        <v>137</v>
      </c>
      <c r="AM32" s="883">
        <v>170</v>
      </c>
      <c r="AN32" s="881">
        <v>158</v>
      </c>
      <c r="AO32" s="882">
        <v>145</v>
      </c>
      <c r="AP32" s="883">
        <v>189</v>
      </c>
      <c r="AQ32" s="881">
        <v>163</v>
      </c>
      <c r="AR32" s="882">
        <v>171</v>
      </c>
      <c r="AS32" s="883">
        <v>207</v>
      </c>
      <c r="AT32" s="881">
        <v>209</v>
      </c>
      <c r="AU32" s="882">
        <v>197</v>
      </c>
      <c r="AV32" s="883">
        <v>249</v>
      </c>
    </row>
    <row r="33" spans="1:48" s="6" customFormat="1" ht="15" customHeight="1" x14ac:dyDescent="0.25">
      <c r="A33" s="5825"/>
      <c r="B33" s="5648"/>
      <c r="C33" s="799" t="s">
        <v>499</v>
      </c>
      <c r="D33" s="800"/>
      <c r="E33" s="836"/>
      <c r="F33" s="802"/>
      <c r="G33" s="835"/>
      <c r="H33" s="836"/>
      <c r="I33" s="802"/>
      <c r="J33" s="800"/>
      <c r="K33" s="801"/>
      <c r="L33" s="802"/>
      <c r="M33" s="800"/>
      <c r="N33" s="801"/>
      <c r="O33" s="802"/>
      <c r="P33" s="800"/>
      <c r="Q33" s="801"/>
      <c r="R33" s="802">
        <v>49</v>
      </c>
      <c r="S33" s="800">
        <v>45</v>
      </c>
      <c r="T33" s="801">
        <v>47</v>
      </c>
      <c r="U33" s="802">
        <v>92</v>
      </c>
      <c r="V33" s="800">
        <v>88</v>
      </c>
      <c r="W33" s="801">
        <v>84</v>
      </c>
      <c r="X33" s="802">
        <v>110</v>
      </c>
      <c r="Y33" s="800">
        <v>106</v>
      </c>
      <c r="Z33" s="801">
        <v>105</v>
      </c>
      <c r="AA33" s="802">
        <v>142</v>
      </c>
      <c r="AB33" s="803">
        <v>150</v>
      </c>
      <c r="AC33" s="801">
        <v>152</v>
      </c>
      <c r="AD33" s="802">
        <v>188</v>
      </c>
      <c r="AE33" s="803">
        <v>176</v>
      </c>
      <c r="AF33" s="801">
        <v>170</v>
      </c>
      <c r="AG33" s="884">
        <v>194</v>
      </c>
      <c r="AH33" s="803">
        <v>185</v>
      </c>
      <c r="AI33" s="801">
        <v>187</v>
      </c>
      <c r="AJ33" s="884">
        <v>223</v>
      </c>
      <c r="AK33" s="803">
        <v>201</v>
      </c>
      <c r="AL33" s="801">
        <v>200</v>
      </c>
      <c r="AM33" s="884">
        <v>242</v>
      </c>
      <c r="AN33" s="803">
        <v>223</v>
      </c>
      <c r="AO33" s="801">
        <v>219</v>
      </c>
      <c r="AP33" s="884">
        <v>289</v>
      </c>
      <c r="AQ33" s="803">
        <v>265</v>
      </c>
      <c r="AR33" s="801">
        <v>263</v>
      </c>
      <c r="AS33" s="884">
        <v>307</v>
      </c>
      <c r="AT33" s="803">
        <v>321</v>
      </c>
      <c r="AU33" s="801">
        <v>304</v>
      </c>
      <c r="AV33" s="884">
        <v>368</v>
      </c>
    </row>
    <row r="34" spans="1:48" s="6" customFormat="1" ht="15" customHeight="1" x14ac:dyDescent="0.2">
      <c r="A34" s="5825"/>
      <c r="B34" s="5649"/>
      <c r="C34" s="854" t="s">
        <v>160</v>
      </c>
      <c r="D34" s="899"/>
      <c r="E34" s="900"/>
      <c r="F34" s="901"/>
      <c r="G34" s="899"/>
      <c r="H34" s="900"/>
      <c r="I34" s="901"/>
      <c r="J34" s="899"/>
      <c r="K34" s="900"/>
      <c r="L34" s="901">
        <f>SUM(L31:L33)</f>
        <v>34</v>
      </c>
      <c r="M34" s="899">
        <f t="shared" ref="M34:AG34" si="15">SUM(M31:M33)</f>
        <v>29</v>
      </c>
      <c r="N34" s="900">
        <f t="shared" si="15"/>
        <v>29</v>
      </c>
      <c r="O34" s="901">
        <f t="shared" si="15"/>
        <v>61</v>
      </c>
      <c r="P34" s="899">
        <f t="shared" si="15"/>
        <v>60</v>
      </c>
      <c r="Q34" s="900">
        <f t="shared" si="15"/>
        <v>59</v>
      </c>
      <c r="R34" s="901">
        <f t="shared" si="15"/>
        <v>187</v>
      </c>
      <c r="S34" s="899">
        <f t="shared" si="15"/>
        <v>174</v>
      </c>
      <c r="T34" s="900">
        <f t="shared" si="15"/>
        <v>167</v>
      </c>
      <c r="U34" s="901">
        <f t="shared" si="15"/>
        <v>292</v>
      </c>
      <c r="V34" s="899">
        <f t="shared" si="15"/>
        <v>272</v>
      </c>
      <c r="W34" s="900">
        <f t="shared" si="15"/>
        <v>263</v>
      </c>
      <c r="X34" s="901">
        <f t="shared" si="15"/>
        <v>360</v>
      </c>
      <c r="Y34" s="899">
        <f t="shared" si="15"/>
        <v>328</v>
      </c>
      <c r="Z34" s="900">
        <f t="shared" si="15"/>
        <v>313</v>
      </c>
      <c r="AA34" s="901">
        <f t="shared" si="15"/>
        <v>423</v>
      </c>
      <c r="AB34" s="899">
        <f t="shared" si="15"/>
        <v>396</v>
      </c>
      <c r="AC34" s="900">
        <f t="shared" si="15"/>
        <v>385</v>
      </c>
      <c r="AD34" s="901">
        <f t="shared" si="15"/>
        <v>498</v>
      </c>
      <c r="AE34" s="899">
        <f t="shared" si="15"/>
        <v>452</v>
      </c>
      <c r="AF34" s="900">
        <f t="shared" si="15"/>
        <v>429</v>
      </c>
      <c r="AG34" s="901">
        <f t="shared" si="15"/>
        <v>520</v>
      </c>
      <c r="AH34" s="899">
        <f t="shared" ref="AH34:AM34" si="16">SUM(AH31:AH33)</f>
        <v>489</v>
      </c>
      <c r="AI34" s="900">
        <f t="shared" si="16"/>
        <v>471</v>
      </c>
      <c r="AJ34" s="901">
        <f t="shared" si="16"/>
        <v>576</v>
      </c>
      <c r="AK34" s="899">
        <f t="shared" si="16"/>
        <v>528</v>
      </c>
      <c r="AL34" s="900">
        <f t="shared" si="16"/>
        <v>515</v>
      </c>
      <c r="AM34" s="901">
        <f t="shared" si="16"/>
        <v>644</v>
      </c>
      <c r="AN34" s="899">
        <f t="shared" ref="AN34:AV34" si="17">SUM(AN31:AN33)</f>
        <v>589</v>
      </c>
      <c r="AO34" s="900">
        <f t="shared" si="17"/>
        <v>565</v>
      </c>
      <c r="AP34" s="901">
        <f t="shared" si="17"/>
        <v>726</v>
      </c>
      <c r="AQ34" s="899">
        <f t="shared" si="17"/>
        <v>647</v>
      </c>
      <c r="AR34" s="900">
        <f t="shared" si="17"/>
        <v>651</v>
      </c>
      <c r="AS34" s="901">
        <f t="shared" si="17"/>
        <v>783</v>
      </c>
      <c r="AT34" s="899">
        <f t="shared" si="17"/>
        <v>787</v>
      </c>
      <c r="AU34" s="900">
        <f t="shared" si="17"/>
        <v>740</v>
      </c>
      <c r="AV34" s="901">
        <f t="shared" si="17"/>
        <v>926</v>
      </c>
    </row>
    <row r="35" spans="1:48" s="6" customFormat="1" ht="15" customHeight="1" x14ac:dyDescent="0.25">
      <c r="A35" s="5825"/>
      <c r="B35" s="5647" t="s">
        <v>74</v>
      </c>
      <c r="C35" s="799" t="s">
        <v>455</v>
      </c>
      <c r="D35" s="886"/>
      <c r="E35" s="885"/>
      <c r="F35" s="830"/>
      <c r="G35" s="886"/>
      <c r="H35" s="885"/>
      <c r="I35" s="887"/>
      <c r="J35" s="803"/>
      <c r="K35" s="885"/>
      <c r="L35" s="877">
        <v>46</v>
      </c>
      <c r="M35" s="878">
        <v>40</v>
      </c>
      <c r="N35" s="875">
        <v>36</v>
      </c>
      <c r="O35" s="876">
        <v>58</v>
      </c>
      <c r="P35" s="878">
        <v>53</v>
      </c>
      <c r="Q35" s="880">
        <v>50</v>
      </c>
      <c r="R35" s="876">
        <v>91</v>
      </c>
      <c r="S35" s="878">
        <v>80</v>
      </c>
      <c r="T35" s="880">
        <v>75</v>
      </c>
      <c r="U35" s="876">
        <v>135</v>
      </c>
      <c r="V35" s="878">
        <v>127</v>
      </c>
      <c r="W35" s="880">
        <v>110</v>
      </c>
      <c r="X35" s="876">
        <v>133</v>
      </c>
      <c r="Y35" s="881">
        <v>117</v>
      </c>
      <c r="Z35" s="882">
        <v>113</v>
      </c>
      <c r="AA35" s="883">
        <v>135</v>
      </c>
      <c r="AB35" s="881">
        <v>126</v>
      </c>
      <c r="AC35" s="882">
        <v>114</v>
      </c>
      <c r="AD35" s="883">
        <v>129</v>
      </c>
      <c r="AE35" s="881">
        <v>123</v>
      </c>
      <c r="AF35" s="882">
        <v>120</v>
      </c>
      <c r="AG35" s="883">
        <v>151</v>
      </c>
      <c r="AH35" s="881">
        <v>133</v>
      </c>
      <c r="AI35" s="882">
        <v>124</v>
      </c>
      <c r="AJ35" s="883">
        <v>161</v>
      </c>
      <c r="AK35" s="881">
        <v>145</v>
      </c>
      <c r="AL35" s="882">
        <v>139</v>
      </c>
      <c r="AM35" s="883">
        <v>202</v>
      </c>
      <c r="AN35" s="881">
        <v>172</v>
      </c>
      <c r="AO35" s="882">
        <v>169</v>
      </c>
      <c r="AP35" s="883">
        <v>211</v>
      </c>
      <c r="AQ35" s="881">
        <v>181</v>
      </c>
      <c r="AR35" s="882">
        <v>176</v>
      </c>
      <c r="AS35" s="883">
        <v>232</v>
      </c>
      <c r="AT35" s="881">
        <v>222</v>
      </c>
      <c r="AU35" s="882">
        <v>218</v>
      </c>
      <c r="AV35" s="883">
        <v>272</v>
      </c>
    </row>
    <row r="36" spans="1:48" s="6" customFormat="1" ht="15" customHeight="1" x14ac:dyDescent="0.25">
      <c r="A36" s="5825"/>
      <c r="B36" s="5648"/>
      <c r="C36" s="799" t="s">
        <v>500</v>
      </c>
      <c r="D36" s="886"/>
      <c r="E36" s="885"/>
      <c r="F36" s="830"/>
      <c r="G36" s="886"/>
      <c r="H36" s="885"/>
      <c r="I36" s="887"/>
      <c r="J36" s="886"/>
      <c r="K36" s="885"/>
      <c r="L36" s="877">
        <v>12</v>
      </c>
      <c r="M36" s="878">
        <v>10</v>
      </c>
      <c r="N36" s="875">
        <v>8</v>
      </c>
      <c r="O36" s="876">
        <v>10</v>
      </c>
      <c r="P36" s="878">
        <v>10</v>
      </c>
      <c r="Q36" s="880">
        <v>6</v>
      </c>
      <c r="R36" s="876">
        <v>29</v>
      </c>
      <c r="S36" s="878">
        <v>24</v>
      </c>
      <c r="T36" s="880">
        <v>20</v>
      </c>
      <c r="U36" s="876">
        <v>51</v>
      </c>
      <c r="V36" s="878">
        <v>43</v>
      </c>
      <c r="W36" s="880">
        <v>42</v>
      </c>
      <c r="X36" s="876">
        <v>65</v>
      </c>
      <c r="Y36" s="881">
        <v>53</v>
      </c>
      <c r="Z36" s="882">
        <v>49</v>
      </c>
      <c r="AA36" s="883">
        <v>70</v>
      </c>
      <c r="AB36" s="881">
        <v>66</v>
      </c>
      <c r="AC36" s="882">
        <v>63</v>
      </c>
      <c r="AD36" s="883">
        <v>90</v>
      </c>
      <c r="AE36" s="881">
        <v>87</v>
      </c>
      <c r="AF36" s="882">
        <v>81</v>
      </c>
      <c r="AG36" s="883">
        <v>103</v>
      </c>
      <c r="AH36" s="881">
        <v>100</v>
      </c>
      <c r="AI36" s="882">
        <v>86</v>
      </c>
      <c r="AJ36" s="883">
        <v>112</v>
      </c>
      <c r="AK36" s="881">
        <v>104</v>
      </c>
      <c r="AL36" s="882">
        <v>93</v>
      </c>
      <c r="AM36" s="883">
        <v>118</v>
      </c>
      <c r="AN36" s="881">
        <v>109</v>
      </c>
      <c r="AO36" s="882">
        <v>102</v>
      </c>
      <c r="AP36" s="883">
        <v>131</v>
      </c>
      <c r="AQ36" s="881">
        <v>99</v>
      </c>
      <c r="AR36" s="882">
        <v>103</v>
      </c>
      <c r="AS36" s="883">
        <v>117</v>
      </c>
      <c r="AT36" s="881">
        <v>111</v>
      </c>
      <c r="AU36" s="882">
        <v>104</v>
      </c>
      <c r="AV36" s="883">
        <v>129</v>
      </c>
    </row>
    <row r="37" spans="1:48" s="6" customFormat="1" ht="15" customHeight="1" x14ac:dyDescent="0.25">
      <c r="A37" s="5825"/>
      <c r="B37" s="5648"/>
      <c r="C37" s="799" t="s">
        <v>501</v>
      </c>
      <c r="D37" s="886"/>
      <c r="E37" s="885"/>
      <c r="F37" s="830"/>
      <c r="G37" s="886"/>
      <c r="H37" s="885"/>
      <c r="I37" s="887"/>
      <c r="J37" s="886"/>
      <c r="K37" s="885"/>
      <c r="L37" s="877"/>
      <c r="M37" s="878"/>
      <c r="N37" s="875"/>
      <c r="O37" s="876"/>
      <c r="P37" s="878"/>
      <c r="Q37" s="880"/>
      <c r="R37" s="876"/>
      <c r="S37" s="878" t="s">
        <v>227</v>
      </c>
      <c r="T37" s="880" t="s">
        <v>227</v>
      </c>
      <c r="U37" s="876">
        <v>19</v>
      </c>
      <c r="V37" s="878">
        <v>19</v>
      </c>
      <c r="W37" s="880">
        <v>17</v>
      </c>
      <c r="X37" s="876">
        <v>40</v>
      </c>
      <c r="Y37" s="881">
        <v>39</v>
      </c>
      <c r="Z37" s="882">
        <v>39</v>
      </c>
      <c r="AA37" s="883">
        <v>64</v>
      </c>
      <c r="AB37" s="881">
        <v>61</v>
      </c>
      <c r="AC37" s="882">
        <v>60</v>
      </c>
      <c r="AD37" s="883">
        <v>70</v>
      </c>
      <c r="AE37" s="881">
        <v>68</v>
      </c>
      <c r="AF37" s="882">
        <v>63</v>
      </c>
      <c r="AG37" s="883">
        <v>79</v>
      </c>
      <c r="AH37" s="881">
        <v>72</v>
      </c>
      <c r="AI37" s="882">
        <v>67</v>
      </c>
      <c r="AJ37" s="883">
        <v>99</v>
      </c>
      <c r="AK37" s="881">
        <v>89</v>
      </c>
      <c r="AL37" s="882">
        <v>80</v>
      </c>
      <c r="AM37" s="883">
        <v>134</v>
      </c>
      <c r="AN37" s="881">
        <v>124</v>
      </c>
      <c r="AO37" s="882">
        <v>117</v>
      </c>
      <c r="AP37" s="883">
        <v>165</v>
      </c>
      <c r="AQ37" s="881">
        <v>145</v>
      </c>
      <c r="AR37" s="882">
        <v>142</v>
      </c>
      <c r="AS37" s="883">
        <v>192</v>
      </c>
      <c r="AT37" s="881">
        <v>179</v>
      </c>
      <c r="AU37" s="882">
        <v>180</v>
      </c>
      <c r="AV37" s="883">
        <v>234</v>
      </c>
    </row>
    <row r="38" spans="1:48" s="6" customFormat="1" ht="15" customHeight="1" x14ac:dyDescent="0.25">
      <c r="A38" s="5825"/>
      <c r="B38" s="5648"/>
      <c r="C38" s="799" t="s">
        <v>502</v>
      </c>
      <c r="D38" s="800"/>
      <c r="E38" s="836"/>
      <c r="F38" s="802"/>
      <c r="G38" s="835"/>
      <c r="H38" s="836"/>
      <c r="I38" s="802"/>
      <c r="J38" s="800"/>
      <c r="K38" s="801"/>
      <c r="L38" s="802"/>
      <c r="M38" s="800"/>
      <c r="N38" s="801"/>
      <c r="O38" s="802"/>
      <c r="P38" s="800"/>
      <c r="Q38" s="801"/>
      <c r="R38" s="802"/>
      <c r="S38" s="800"/>
      <c r="T38" s="801"/>
      <c r="U38" s="802"/>
      <c r="V38" s="800"/>
      <c r="W38" s="801"/>
      <c r="X38" s="802"/>
      <c r="Y38" s="800">
        <v>0</v>
      </c>
      <c r="Z38" s="801">
        <v>0</v>
      </c>
      <c r="AA38" s="802">
        <v>27</v>
      </c>
      <c r="AB38" s="803">
        <v>23</v>
      </c>
      <c r="AC38" s="801">
        <v>24</v>
      </c>
      <c r="AD38" s="802">
        <v>67</v>
      </c>
      <c r="AE38" s="803">
        <v>63</v>
      </c>
      <c r="AF38" s="801">
        <v>57</v>
      </c>
      <c r="AG38" s="884">
        <v>116</v>
      </c>
      <c r="AH38" s="803">
        <v>108</v>
      </c>
      <c r="AI38" s="801">
        <v>105</v>
      </c>
      <c r="AJ38" s="884">
        <v>153</v>
      </c>
      <c r="AK38" s="803">
        <v>144</v>
      </c>
      <c r="AL38" s="801">
        <v>138</v>
      </c>
      <c r="AM38" s="884">
        <v>196</v>
      </c>
      <c r="AN38" s="803">
        <v>185</v>
      </c>
      <c r="AO38" s="801">
        <v>172</v>
      </c>
      <c r="AP38" s="884">
        <v>231</v>
      </c>
      <c r="AQ38" s="803">
        <v>209</v>
      </c>
      <c r="AR38" s="801">
        <v>209</v>
      </c>
      <c r="AS38" s="884">
        <v>260</v>
      </c>
      <c r="AT38" s="803">
        <v>236</v>
      </c>
      <c r="AU38" s="801">
        <v>230</v>
      </c>
      <c r="AV38" s="884">
        <v>274</v>
      </c>
    </row>
    <row r="39" spans="1:48" s="6" customFormat="1" ht="15" customHeight="1" x14ac:dyDescent="0.2">
      <c r="A39" s="5825"/>
      <c r="B39" s="5649"/>
      <c r="C39" s="854" t="s">
        <v>160</v>
      </c>
      <c r="D39" s="899"/>
      <c r="E39" s="900"/>
      <c r="F39" s="901"/>
      <c r="G39" s="899"/>
      <c r="H39" s="900"/>
      <c r="I39" s="901"/>
      <c r="J39" s="899"/>
      <c r="K39" s="900"/>
      <c r="L39" s="901">
        <f>SUM(L35:L38)</f>
        <v>58</v>
      </c>
      <c r="M39" s="899">
        <f t="shared" ref="M39:AG39" si="18">SUM(M35:M38)</f>
        <v>50</v>
      </c>
      <c r="N39" s="900">
        <f t="shared" si="18"/>
        <v>44</v>
      </c>
      <c r="O39" s="901">
        <f t="shared" si="18"/>
        <v>68</v>
      </c>
      <c r="P39" s="899">
        <f t="shared" si="18"/>
        <v>63</v>
      </c>
      <c r="Q39" s="900">
        <f t="shared" si="18"/>
        <v>56</v>
      </c>
      <c r="R39" s="901">
        <f t="shared" si="18"/>
        <v>120</v>
      </c>
      <c r="S39" s="899">
        <f t="shared" si="18"/>
        <v>104</v>
      </c>
      <c r="T39" s="900">
        <f t="shared" si="18"/>
        <v>95</v>
      </c>
      <c r="U39" s="901">
        <f t="shared" si="18"/>
        <v>205</v>
      </c>
      <c r="V39" s="899">
        <f t="shared" si="18"/>
        <v>189</v>
      </c>
      <c r="W39" s="900">
        <f t="shared" si="18"/>
        <v>169</v>
      </c>
      <c r="X39" s="901">
        <f t="shared" si="18"/>
        <v>238</v>
      </c>
      <c r="Y39" s="899">
        <f t="shared" si="18"/>
        <v>209</v>
      </c>
      <c r="Z39" s="900">
        <f t="shared" si="18"/>
        <v>201</v>
      </c>
      <c r="AA39" s="901">
        <f t="shared" si="18"/>
        <v>296</v>
      </c>
      <c r="AB39" s="899">
        <f t="shared" si="18"/>
        <v>276</v>
      </c>
      <c r="AC39" s="900">
        <f t="shared" si="18"/>
        <v>261</v>
      </c>
      <c r="AD39" s="901">
        <f t="shared" si="18"/>
        <v>356</v>
      </c>
      <c r="AE39" s="899">
        <f t="shared" si="18"/>
        <v>341</v>
      </c>
      <c r="AF39" s="900">
        <f t="shared" si="18"/>
        <v>321</v>
      </c>
      <c r="AG39" s="901">
        <f t="shared" si="18"/>
        <v>449</v>
      </c>
      <c r="AH39" s="899">
        <f t="shared" ref="AH39:AM39" si="19">SUM(AH35:AH38)</f>
        <v>413</v>
      </c>
      <c r="AI39" s="900">
        <f t="shared" si="19"/>
        <v>382</v>
      </c>
      <c r="AJ39" s="901">
        <f t="shared" si="19"/>
        <v>525</v>
      </c>
      <c r="AK39" s="899">
        <f t="shared" si="19"/>
        <v>482</v>
      </c>
      <c r="AL39" s="900">
        <f t="shared" si="19"/>
        <v>450</v>
      </c>
      <c r="AM39" s="901">
        <f t="shared" si="19"/>
        <v>650</v>
      </c>
      <c r="AN39" s="899">
        <f t="shared" ref="AN39:AV39" si="20">SUM(AN35:AN38)</f>
        <v>590</v>
      </c>
      <c r="AO39" s="900">
        <f t="shared" si="20"/>
        <v>560</v>
      </c>
      <c r="AP39" s="901">
        <f t="shared" si="20"/>
        <v>738</v>
      </c>
      <c r="AQ39" s="899">
        <f t="shared" si="20"/>
        <v>634</v>
      </c>
      <c r="AR39" s="900">
        <f t="shared" si="20"/>
        <v>630</v>
      </c>
      <c r="AS39" s="901">
        <f t="shared" si="20"/>
        <v>801</v>
      </c>
      <c r="AT39" s="899">
        <f t="shared" si="20"/>
        <v>748</v>
      </c>
      <c r="AU39" s="900">
        <f t="shared" si="20"/>
        <v>732</v>
      </c>
      <c r="AV39" s="901">
        <f t="shared" si="20"/>
        <v>909</v>
      </c>
    </row>
    <row r="40" spans="1:48" s="6" customFormat="1" ht="15" customHeight="1" x14ac:dyDescent="0.25">
      <c r="A40" s="5826"/>
      <c r="B40" s="3555"/>
      <c r="C40" s="3556" t="s">
        <v>444</v>
      </c>
      <c r="D40" s="3557"/>
      <c r="E40" s="3558"/>
      <c r="F40" s="3559"/>
      <c r="G40" s="3557"/>
      <c r="H40" s="3558"/>
      <c r="I40" s="3559"/>
      <c r="J40" s="3557"/>
      <c r="K40" s="3558"/>
      <c r="L40" s="3559">
        <f>SUM(L39,L34,L30)</f>
        <v>203</v>
      </c>
      <c r="M40" s="3557">
        <f t="shared" ref="M40:AG40" si="21">SUM(M39,M34,M30)</f>
        <v>182</v>
      </c>
      <c r="N40" s="3558">
        <f t="shared" si="21"/>
        <v>168</v>
      </c>
      <c r="O40" s="3559">
        <f t="shared" si="21"/>
        <v>265</v>
      </c>
      <c r="P40" s="3557">
        <f t="shared" si="21"/>
        <v>240</v>
      </c>
      <c r="Q40" s="3558">
        <f t="shared" si="21"/>
        <v>231</v>
      </c>
      <c r="R40" s="3559">
        <f t="shared" si="21"/>
        <v>546</v>
      </c>
      <c r="S40" s="3557">
        <f t="shared" si="21"/>
        <v>508</v>
      </c>
      <c r="T40" s="3558">
        <f t="shared" si="21"/>
        <v>479</v>
      </c>
      <c r="U40" s="3559">
        <f t="shared" si="21"/>
        <v>825</v>
      </c>
      <c r="V40" s="3557">
        <f t="shared" si="21"/>
        <v>772</v>
      </c>
      <c r="W40" s="3558">
        <f t="shared" si="21"/>
        <v>738</v>
      </c>
      <c r="X40" s="3559">
        <f t="shared" si="21"/>
        <v>969</v>
      </c>
      <c r="Y40" s="3557">
        <f t="shared" si="21"/>
        <v>850</v>
      </c>
      <c r="Z40" s="3558">
        <f t="shared" si="21"/>
        <v>827</v>
      </c>
      <c r="AA40" s="3559">
        <f t="shared" si="21"/>
        <v>1124</v>
      </c>
      <c r="AB40" s="3557">
        <f t="shared" si="21"/>
        <v>1027</v>
      </c>
      <c r="AC40" s="3558">
        <f t="shared" si="21"/>
        <v>981</v>
      </c>
      <c r="AD40" s="3559">
        <f t="shared" si="21"/>
        <v>1227</v>
      </c>
      <c r="AE40" s="3557">
        <f t="shared" si="21"/>
        <v>1143</v>
      </c>
      <c r="AF40" s="3558">
        <f t="shared" si="21"/>
        <v>1081</v>
      </c>
      <c r="AG40" s="3559">
        <f t="shared" si="21"/>
        <v>1347</v>
      </c>
      <c r="AH40" s="3557">
        <f t="shared" ref="AH40:AM40" si="22">SUM(AH39,AH34,AH30)</f>
        <v>1255</v>
      </c>
      <c r="AI40" s="3558">
        <f t="shared" si="22"/>
        <v>1179</v>
      </c>
      <c r="AJ40" s="3559">
        <f t="shared" si="22"/>
        <v>1490</v>
      </c>
      <c r="AK40" s="3557">
        <f t="shared" si="22"/>
        <v>1371</v>
      </c>
      <c r="AL40" s="3558">
        <f t="shared" si="22"/>
        <v>1396</v>
      </c>
      <c r="AM40" s="3559">
        <f t="shared" si="22"/>
        <v>1782</v>
      </c>
      <c r="AN40" s="3557">
        <f t="shared" ref="AN40:AV40" si="23">SUM(AN39,AN34,AN30)</f>
        <v>1633</v>
      </c>
      <c r="AO40" s="3558">
        <f t="shared" si="23"/>
        <v>1656</v>
      </c>
      <c r="AP40" s="3559">
        <f t="shared" si="23"/>
        <v>2089</v>
      </c>
      <c r="AQ40" s="3557">
        <f t="shared" si="23"/>
        <v>1824</v>
      </c>
      <c r="AR40" s="3558">
        <f t="shared" si="23"/>
        <v>1940</v>
      </c>
      <c r="AS40" s="3559">
        <f t="shared" si="23"/>
        <v>2301</v>
      </c>
      <c r="AT40" s="3557">
        <f t="shared" si="23"/>
        <v>2233</v>
      </c>
      <c r="AU40" s="3558">
        <f t="shared" si="23"/>
        <v>2249</v>
      </c>
      <c r="AV40" s="3559">
        <f t="shared" si="23"/>
        <v>2691</v>
      </c>
    </row>
    <row r="41" spans="1:48" s="6" customFormat="1" ht="15" customHeight="1" x14ac:dyDescent="0.25">
      <c r="A41" s="5818" t="s">
        <v>162</v>
      </c>
      <c r="B41" s="5678" t="s">
        <v>5</v>
      </c>
      <c r="C41" s="828" t="s">
        <v>463</v>
      </c>
      <c r="D41" s="874">
        <v>374</v>
      </c>
      <c r="E41" s="875">
        <v>387</v>
      </c>
      <c r="F41" s="876">
        <v>424</v>
      </c>
      <c r="G41" s="874">
        <v>393</v>
      </c>
      <c r="H41" s="875">
        <v>375</v>
      </c>
      <c r="I41" s="877">
        <v>410</v>
      </c>
      <c r="J41" s="878">
        <v>389</v>
      </c>
      <c r="K41" s="879">
        <v>408</v>
      </c>
      <c r="L41" s="877">
        <v>436</v>
      </c>
      <c r="M41" s="878">
        <v>416</v>
      </c>
      <c r="N41" s="875">
        <v>444</v>
      </c>
      <c r="O41" s="876">
        <v>452</v>
      </c>
      <c r="P41" s="878">
        <v>420</v>
      </c>
      <c r="Q41" s="880">
        <v>426</v>
      </c>
      <c r="R41" s="876">
        <v>431</v>
      </c>
      <c r="S41" s="878">
        <v>406</v>
      </c>
      <c r="T41" s="880">
        <v>393</v>
      </c>
      <c r="U41" s="876">
        <v>429</v>
      </c>
      <c r="V41" s="878">
        <v>403</v>
      </c>
      <c r="W41" s="880">
        <v>400</v>
      </c>
      <c r="X41" s="876">
        <v>445</v>
      </c>
      <c r="Y41" s="881">
        <v>431</v>
      </c>
      <c r="Z41" s="882">
        <v>382</v>
      </c>
      <c r="AA41" s="883">
        <v>456</v>
      </c>
      <c r="AB41" s="881">
        <v>402</v>
      </c>
      <c r="AC41" s="882">
        <v>380</v>
      </c>
      <c r="AD41" s="883">
        <v>450</v>
      </c>
      <c r="AE41" s="881">
        <v>407</v>
      </c>
      <c r="AF41" s="882">
        <v>388</v>
      </c>
      <c r="AG41" s="883">
        <v>461</v>
      </c>
      <c r="AH41" s="881">
        <v>444</v>
      </c>
      <c r="AI41" s="882">
        <v>415</v>
      </c>
      <c r="AJ41" s="883">
        <v>535</v>
      </c>
      <c r="AK41" s="881">
        <v>476</v>
      </c>
      <c r="AL41" s="882">
        <v>451</v>
      </c>
      <c r="AM41" s="883">
        <v>542</v>
      </c>
      <c r="AN41" s="881">
        <v>499</v>
      </c>
      <c r="AO41" s="882">
        <v>463</v>
      </c>
      <c r="AP41" s="883">
        <v>585</v>
      </c>
      <c r="AQ41" s="881">
        <v>532</v>
      </c>
      <c r="AR41" s="882">
        <v>514</v>
      </c>
      <c r="AS41" s="883">
        <v>593</v>
      </c>
      <c r="AT41" s="881">
        <v>547</v>
      </c>
      <c r="AU41" s="882">
        <v>519</v>
      </c>
      <c r="AV41" s="883">
        <v>577</v>
      </c>
    </row>
    <row r="42" spans="1:48" s="6" customFormat="1" ht="15" customHeight="1" x14ac:dyDescent="0.25">
      <c r="A42" s="5819"/>
      <c r="B42" s="5678"/>
      <c r="C42" s="828" t="s">
        <v>464</v>
      </c>
      <c r="D42" s="874">
        <v>53</v>
      </c>
      <c r="E42" s="875">
        <v>61</v>
      </c>
      <c r="F42" s="876">
        <v>59</v>
      </c>
      <c r="G42" s="874">
        <v>53</v>
      </c>
      <c r="H42" s="875">
        <v>53</v>
      </c>
      <c r="I42" s="877">
        <v>56</v>
      </c>
      <c r="J42" s="878">
        <v>53</v>
      </c>
      <c r="K42" s="879">
        <v>57</v>
      </c>
      <c r="L42" s="877">
        <v>64</v>
      </c>
      <c r="M42" s="878">
        <v>54</v>
      </c>
      <c r="N42" s="875">
        <v>55</v>
      </c>
      <c r="O42" s="876">
        <v>53</v>
      </c>
      <c r="P42" s="878">
        <v>43</v>
      </c>
      <c r="Q42" s="880">
        <v>53</v>
      </c>
      <c r="R42" s="876">
        <v>66</v>
      </c>
      <c r="S42" s="878">
        <v>61</v>
      </c>
      <c r="T42" s="880">
        <v>58</v>
      </c>
      <c r="U42" s="876">
        <v>82</v>
      </c>
      <c r="V42" s="878">
        <v>76</v>
      </c>
      <c r="W42" s="880">
        <v>70</v>
      </c>
      <c r="X42" s="876">
        <v>79</v>
      </c>
      <c r="Y42" s="881">
        <v>74</v>
      </c>
      <c r="Z42" s="882">
        <v>68</v>
      </c>
      <c r="AA42" s="883">
        <v>80</v>
      </c>
      <c r="AB42" s="881">
        <v>71</v>
      </c>
      <c r="AC42" s="882">
        <v>64</v>
      </c>
      <c r="AD42" s="883">
        <v>93</v>
      </c>
      <c r="AE42" s="881">
        <v>85</v>
      </c>
      <c r="AF42" s="882">
        <v>79</v>
      </c>
      <c r="AG42" s="883">
        <v>109</v>
      </c>
      <c r="AH42" s="881">
        <v>99</v>
      </c>
      <c r="AI42" s="882">
        <v>99</v>
      </c>
      <c r="AJ42" s="883">
        <v>133</v>
      </c>
      <c r="AK42" s="881">
        <v>122</v>
      </c>
      <c r="AL42" s="882">
        <v>120</v>
      </c>
      <c r="AM42" s="883">
        <v>133</v>
      </c>
      <c r="AN42" s="881">
        <v>127</v>
      </c>
      <c r="AO42" s="882">
        <v>112</v>
      </c>
      <c r="AP42" s="883">
        <v>137</v>
      </c>
      <c r="AQ42" s="881">
        <v>124</v>
      </c>
      <c r="AR42" s="882">
        <v>111</v>
      </c>
      <c r="AS42" s="883">
        <v>130</v>
      </c>
      <c r="AT42" s="881">
        <v>115</v>
      </c>
      <c r="AU42" s="882">
        <v>111</v>
      </c>
      <c r="AV42" s="883">
        <v>123</v>
      </c>
    </row>
    <row r="43" spans="1:48" s="6" customFormat="1" ht="15" customHeight="1" x14ac:dyDescent="0.25">
      <c r="A43" s="5819"/>
      <c r="B43" s="5678"/>
      <c r="C43" s="828" t="s">
        <v>453</v>
      </c>
      <c r="D43" s="874">
        <v>265</v>
      </c>
      <c r="E43" s="875">
        <v>263</v>
      </c>
      <c r="F43" s="876">
        <v>266</v>
      </c>
      <c r="G43" s="874">
        <v>239</v>
      </c>
      <c r="H43" s="875">
        <v>247</v>
      </c>
      <c r="I43" s="877">
        <v>255</v>
      </c>
      <c r="J43" s="878">
        <v>223</v>
      </c>
      <c r="K43" s="879">
        <v>217</v>
      </c>
      <c r="L43" s="877">
        <v>245</v>
      </c>
      <c r="M43" s="878">
        <v>220</v>
      </c>
      <c r="N43" s="875">
        <v>237</v>
      </c>
      <c r="O43" s="876">
        <v>263</v>
      </c>
      <c r="P43" s="878">
        <v>235</v>
      </c>
      <c r="Q43" s="880">
        <v>240</v>
      </c>
      <c r="R43" s="876">
        <v>249</v>
      </c>
      <c r="S43" s="878">
        <v>233</v>
      </c>
      <c r="T43" s="880">
        <v>220</v>
      </c>
      <c r="U43" s="876">
        <v>244</v>
      </c>
      <c r="V43" s="878">
        <v>242</v>
      </c>
      <c r="W43" s="880">
        <v>247</v>
      </c>
      <c r="X43" s="876">
        <v>260</v>
      </c>
      <c r="Y43" s="881">
        <v>241</v>
      </c>
      <c r="Z43" s="882">
        <v>275</v>
      </c>
      <c r="AA43" s="883">
        <v>318</v>
      </c>
      <c r="AB43" s="881">
        <v>302</v>
      </c>
      <c r="AC43" s="882">
        <v>315</v>
      </c>
      <c r="AD43" s="883">
        <v>359</v>
      </c>
      <c r="AE43" s="881">
        <v>329</v>
      </c>
      <c r="AF43" s="882">
        <v>365</v>
      </c>
      <c r="AG43" s="883">
        <v>402</v>
      </c>
      <c r="AH43" s="881">
        <v>366</v>
      </c>
      <c r="AI43" s="882">
        <v>418</v>
      </c>
      <c r="AJ43" s="883">
        <v>480</v>
      </c>
      <c r="AK43" s="881">
        <v>437</v>
      </c>
      <c r="AL43" s="882">
        <v>476</v>
      </c>
      <c r="AM43" s="883">
        <v>508</v>
      </c>
      <c r="AN43" s="881">
        <v>474</v>
      </c>
      <c r="AO43" s="882">
        <v>494</v>
      </c>
      <c r="AP43" s="883">
        <v>522</v>
      </c>
      <c r="AQ43" s="881">
        <v>487</v>
      </c>
      <c r="AR43" s="882">
        <v>514</v>
      </c>
      <c r="AS43" s="883">
        <v>543</v>
      </c>
      <c r="AT43" s="881">
        <v>502</v>
      </c>
      <c r="AU43" s="882">
        <v>473</v>
      </c>
      <c r="AV43" s="883">
        <v>525</v>
      </c>
    </row>
    <row r="44" spans="1:48" s="6" customFormat="1" ht="15" customHeight="1" x14ac:dyDescent="0.25">
      <c r="A44" s="5819"/>
      <c r="B44" s="5678"/>
      <c r="C44" s="828" t="s">
        <v>465</v>
      </c>
      <c r="D44" s="874">
        <v>165</v>
      </c>
      <c r="E44" s="875">
        <v>176</v>
      </c>
      <c r="F44" s="876">
        <v>195</v>
      </c>
      <c r="G44" s="874">
        <v>175</v>
      </c>
      <c r="H44" s="875">
        <v>173</v>
      </c>
      <c r="I44" s="877">
        <v>180</v>
      </c>
      <c r="J44" s="878">
        <v>166</v>
      </c>
      <c r="K44" s="879">
        <v>187</v>
      </c>
      <c r="L44" s="877">
        <v>204</v>
      </c>
      <c r="M44" s="878">
        <v>173</v>
      </c>
      <c r="N44" s="875">
        <v>184</v>
      </c>
      <c r="O44" s="876">
        <v>180</v>
      </c>
      <c r="P44" s="878">
        <v>163</v>
      </c>
      <c r="Q44" s="880">
        <v>157</v>
      </c>
      <c r="R44" s="876">
        <v>182</v>
      </c>
      <c r="S44" s="878">
        <v>168</v>
      </c>
      <c r="T44" s="880">
        <v>173</v>
      </c>
      <c r="U44" s="876">
        <v>209</v>
      </c>
      <c r="V44" s="878">
        <v>188</v>
      </c>
      <c r="W44" s="880">
        <v>203</v>
      </c>
      <c r="X44" s="876">
        <v>226</v>
      </c>
      <c r="Y44" s="881">
        <v>213</v>
      </c>
      <c r="Z44" s="882">
        <v>232</v>
      </c>
      <c r="AA44" s="883">
        <v>275</v>
      </c>
      <c r="AB44" s="881">
        <v>244</v>
      </c>
      <c r="AC44" s="882">
        <v>303</v>
      </c>
      <c r="AD44" s="883">
        <v>319</v>
      </c>
      <c r="AE44" s="881">
        <v>290</v>
      </c>
      <c r="AF44" s="882">
        <v>321</v>
      </c>
      <c r="AG44" s="883">
        <v>327</v>
      </c>
      <c r="AH44" s="881">
        <v>321</v>
      </c>
      <c r="AI44" s="882">
        <v>389</v>
      </c>
      <c r="AJ44" s="883">
        <v>414</v>
      </c>
      <c r="AK44" s="881">
        <v>377</v>
      </c>
      <c r="AL44" s="882">
        <v>401</v>
      </c>
      <c r="AM44" s="883">
        <v>454</v>
      </c>
      <c r="AN44" s="881">
        <v>423</v>
      </c>
      <c r="AO44" s="882">
        <v>458</v>
      </c>
      <c r="AP44" s="883">
        <v>470</v>
      </c>
      <c r="AQ44" s="881">
        <v>432</v>
      </c>
      <c r="AR44" s="882">
        <v>452</v>
      </c>
      <c r="AS44" s="883">
        <v>479</v>
      </c>
      <c r="AT44" s="881">
        <v>429</v>
      </c>
      <c r="AU44" s="882">
        <v>409</v>
      </c>
      <c r="AV44" s="883">
        <v>442</v>
      </c>
    </row>
    <row r="45" spans="1:48" s="6" customFormat="1" ht="15" customHeight="1" x14ac:dyDescent="0.25">
      <c r="A45" s="5819"/>
      <c r="B45" s="5678"/>
      <c r="C45" s="828" t="s">
        <v>466</v>
      </c>
      <c r="D45" s="874">
        <v>148</v>
      </c>
      <c r="E45" s="875">
        <v>142</v>
      </c>
      <c r="F45" s="876">
        <v>152</v>
      </c>
      <c r="G45" s="874">
        <v>147</v>
      </c>
      <c r="H45" s="875">
        <v>136</v>
      </c>
      <c r="I45" s="877">
        <v>147</v>
      </c>
      <c r="J45" s="878">
        <v>123</v>
      </c>
      <c r="K45" s="879">
        <v>130</v>
      </c>
      <c r="L45" s="877">
        <v>152</v>
      </c>
      <c r="M45" s="878">
        <v>143</v>
      </c>
      <c r="N45" s="875">
        <v>141</v>
      </c>
      <c r="O45" s="876">
        <v>142</v>
      </c>
      <c r="P45" s="878">
        <v>136</v>
      </c>
      <c r="Q45" s="880">
        <v>142</v>
      </c>
      <c r="R45" s="876">
        <v>162</v>
      </c>
      <c r="S45" s="878">
        <v>145</v>
      </c>
      <c r="T45" s="880">
        <v>141</v>
      </c>
      <c r="U45" s="876">
        <v>156</v>
      </c>
      <c r="V45" s="878">
        <v>152</v>
      </c>
      <c r="W45" s="880">
        <v>156</v>
      </c>
      <c r="X45" s="876">
        <v>175</v>
      </c>
      <c r="Y45" s="881">
        <v>167</v>
      </c>
      <c r="Z45" s="882">
        <v>179</v>
      </c>
      <c r="AA45" s="883">
        <v>225</v>
      </c>
      <c r="AB45" s="881">
        <v>201</v>
      </c>
      <c r="AC45" s="882">
        <v>232</v>
      </c>
      <c r="AD45" s="883">
        <v>286</v>
      </c>
      <c r="AE45" s="881">
        <v>259</v>
      </c>
      <c r="AF45" s="882">
        <v>315</v>
      </c>
      <c r="AG45" s="883">
        <v>344</v>
      </c>
      <c r="AH45" s="881">
        <v>335</v>
      </c>
      <c r="AI45" s="882">
        <v>381</v>
      </c>
      <c r="AJ45" s="883">
        <v>420</v>
      </c>
      <c r="AK45" s="881">
        <v>387</v>
      </c>
      <c r="AL45" s="882">
        <v>416</v>
      </c>
      <c r="AM45" s="883">
        <v>449</v>
      </c>
      <c r="AN45" s="881">
        <v>406</v>
      </c>
      <c r="AO45" s="882">
        <v>429</v>
      </c>
      <c r="AP45" s="883">
        <v>467</v>
      </c>
      <c r="AQ45" s="881">
        <v>405</v>
      </c>
      <c r="AR45" s="882">
        <v>383</v>
      </c>
      <c r="AS45" s="883">
        <v>477</v>
      </c>
      <c r="AT45" s="881">
        <v>428</v>
      </c>
      <c r="AU45" s="882">
        <v>410</v>
      </c>
      <c r="AV45" s="883">
        <v>477</v>
      </c>
    </row>
    <row r="46" spans="1:48" s="6" customFormat="1" ht="15" customHeight="1" x14ac:dyDescent="0.25">
      <c r="A46" s="5819"/>
      <c r="B46" s="5678"/>
      <c r="C46" s="828" t="s">
        <v>454</v>
      </c>
      <c r="D46" s="874">
        <v>579</v>
      </c>
      <c r="E46" s="875">
        <v>579</v>
      </c>
      <c r="F46" s="876">
        <v>575</v>
      </c>
      <c r="G46" s="874">
        <v>526</v>
      </c>
      <c r="H46" s="875">
        <v>507</v>
      </c>
      <c r="I46" s="877">
        <v>531</v>
      </c>
      <c r="J46" s="878">
        <v>481</v>
      </c>
      <c r="K46" s="879">
        <v>492</v>
      </c>
      <c r="L46" s="877">
        <v>530</v>
      </c>
      <c r="M46" s="878">
        <v>475</v>
      </c>
      <c r="N46" s="875">
        <v>495</v>
      </c>
      <c r="O46" s="876">
        <v>527</v>
      </c>
      <c r="P46" s="878">
        <v>475</v>
      </c>
      <c r="Q46" s="880">
        <v>491</v>
      </c>
      <c r="R46" s="876">
        <v>499</v>
      </c>
      <c r="S46" s="878">
        <v>465</v>
      </c>
      <c r="T46" s="880">
        <v>457</v>
      </c>
      <c r="U46" s="876">
        <v>482</v>
      </c>
      <c r="V46" s="878">
        <v>446</v>
      </c>
      <c r="W46" s="880">
        <v>452</v>
      </c>
      <c r="X46" s="876">
        <v>465</v>
      </c>
      <c r="Y46" s="881">
        <v>434</v>
      </c>
      <c r="Z46" s="882">
        <v>392</v>
      </c>
      <c r="AA46" s="883">
        <v>440</v>
      </c>
      <c r="AB46" s="881">
        <v>396</v>
      </c>
      <c r="AC46" s="882">
        <v>380</v>
      </c>
      <c r="AD46" s="883">
        <v>441</v>
      </c>
      <c r="AE46" s="881">
        <v>394</v>
      </c>
      <c r="AF46" s="882">
        <v>374</v>
      </c>
      <c r="AG46" s="883">
        <v>414</v>
      </c>
      <c r="AH46" s="881">
        <v>389</v>
      </c>
      <c r="AI46" s="882">
        <v>377</v>
      </c>
      <c r="AJ46" s="883">
        <v>470</v>
      </c>
      <c r="AK46" s="881">
        <v>422</v>
      </c>
      <c r="AL46" s="882">
        <v>410</v>
      </c>
      <c r="AM46" s="883">
        <v>473</v>
      </c>
      <c r="AN46" s="881">
        <v>431</v>
      </c>
      <c r="AO46" s="882">
        <v>407</v>
      </c>
      <c r="AP46" s="883">
        <v>446</v>
      </c>
      <c r="AQ46" s="881">
        <v>397</v>
      </c>
      <c r="AR46" s="882">
        <v>373</v>
      </c>
      <c r="AS46" s="883">
        <v>435</v>
      </c>
      <c r="AT46" s="881">
        <v>385</v>
      </c>
      <c r="AU46" s="882">
        <v>363</v>
      </c>
      <c r="AV46" s="883">
        <v>400</v>
      </c>
    </row>
    <row r="47" spans="1:48" s="6" customFormat="1" ht="15" customHeight="1" x14ac:dyDescent="0.25">
      <c r="A47" s="5819"/>
      <c r="B47" s="5678"/>
      <c r="C47" s="828" t="s">
        <v>467</v>
      </c>
      <c r="D47" s="874">
        <v>249</v>
      </c>
      <c r="E47" s="875">
        <v>278</v>
      </c>
      <c r="F47" s="876">
        <v>319</v>
      </c>
      <c r="G47" s="874">
        <v>291</v>
      </c>
      <c r="H47" s="875">
        <v>302</v>
      </c>
      <c r="I47" s="877">
        <v>336</v>
      </c>
      <c r="J47" s="878">
        <v>307</v>
      </c>
      <c r="K47" s="879">
        <v>293</v>
      </c>
      <c r="L47" s="877">
        <v>323</v>
      </c>
      <c r="M47" s="878">
        <v>283</v>
      </c>
      <c r="N47" s="875">
        <v>303</v>
      </c>
      <c r="O47" s="876">
        <v>325</v>
      </c>
      <c r="P47" s="878">
        <v>293</v>
      </c>
      <c r="Q47" s="880">
        <v>283</v>
      </c>
      <c r="R47" s="876">
        <v>286</v>
      </c>
      <c r="S47" s="878">
        <v>255</v>
      </c>
      <c r="T47" s="880">
        <v>271</v>
      </c>
      <c r="U47" s="876">
        <v>315</v>
      </c>
      <c r="V47" s="878">
        <v>293</v>
      </c>
      <c r="W47" s="880">
        <v>296</v>
      </c>
      <c r="X47" s="876">
        <v>321</v>
      </c>
      <c r="Y47" s="881">
        <v>297</v>
      </c>
      <c r="Z47" s="882">
        <v>267</v>
      </c>
      <c r="AA47" s="883">
        <v>316</v>
      </c>
      <c r="AB47" s="881">
        <v>291</v>
      </c>
      <c r="AC47" s="882">
        <v>278</v>
      </c>
      <c r="AD47" s="883">
        <v>306</v>
      </c>
      <c r="AE47" s="881">
        <v>275</v>
      </c>
      <c r="AF47" s="882">
        <v>266</v>
      </c>
      <c r="AG47" s="883">
        <v>293</v>
      </c>
      <c r="AH47" s="881">
        <v>270</v>
      </c>
      <c r="AI47" s="882">
        <v>255</v>
      </c>
      <c r="AJ47" s="883">
        <v>313</v>
      </c>
      <c r="AK47" s="881">
        <v>287</v>
      </c>
      <c r="AL47" s="882">
        <v>264</v>
      </c>
      <c r="AM47" s="883">
        <v>331</v>
      </c>
      <c r="AN47" s="881">
        <v>298</v>
      </c>
      <c r="AO47" s="882">
        <v>294</v>
      </c>
      <c r="AP47" s="883">
        <v>371</v>
      </c>
      <c r="AQ47" s="881">
        <v>328</v>
      </c>
      <c r="AR47" s="882">
        <v>308</v>
      </c>
      <c r="AS47" s="883">
        <v>394</v>
      </c>
      <c r="AT47" s="881">
        <v>352</v>
      </c>
      <c r="AU47" s="882">
        <v>331</v>
      </c>
      <c r="AV47" s="883">
        <v>389</v>
      </c>
    </row>
    <row r="48" spans="1:48" s="6" customFormat="1" ht="15" customHeight="1" x14ac:dyDescent="0.25">
      <c r="A48" s="5819"/>
      <c r="B48" s="5678"/>
      <c r="C48" s="828" t="s">
        <v>468</v>
      </c>
      <c r="D48" s="874">
        <v>68</v>
      </c>
      <c r="E48" s="875">
        <v>67</v>
      </c>
      <c r="F48" s="876">
        <v>71</v>
      </c>
      <c r="G48" s="874">
        <v>66</v>
      </c>
      <c r="H48" s="875">
        <v>59</v>
      </c>
      <c r="I48" s="877">
        <v>61</v>
      </c>
      <c r="J48" s="878">
        <v>55</v>
      </c>
      <c r="K48" s="879">
        <v>53</v>
      </c>
      <c r="L48" s="877">
        <v>70</v>
      </c>
      <c r="M48" s="878">
        <v>64</v>
      </c>
      <c r="N48" s="875">
        <v>66</v>
      </c>
      <c r="O48" s="876">
        <v>66</v>
      </c>
      <c r="P48" s="878">
        <v>64</v>
      </c>
      <c r="Q48" s="880">
        <v>80</v>
      </c>
      <c r="R48" s="876">
        <v>82</v>
      </c>
      <c r="S48" s="878">
        <v>77</v>
      </c>
      <c r="T48" s="880">
        <v>81</v>
      </c>
      <c r="U48" s="876">
        <v>109</v>
      </c>
      <c r="V48" s="878">
        <v>103</v>
      </c>
      <c r="W48" s="880">
        <v>101</v>
      </c>
      <c r="X48" s="876">
        <v>118</v>
      </c>
      <c r="Y48" s="881">
        <v>110</v>
      </c>
      <c r="Z48" s="882">
        <v>110</v>
      </c>
      <c r="AA48" s="883">
        <v>140</v>
      </c>
      <c r="AB48" s="881">
        <v>133</v>
      </c>
      <c r="AC48" s="882">
        <v>159</v>
      </c>
      <c r="AD48" s="883">
        <v>168</v>
      </c>
      <c r="AE48" s="881">
        <v>159</v>
      </c>
      <c r="AF48" s="882">
        <v>178</v>
      </c>
      <c r="AG48" s="883">
        <v>205</v>
      </c>
      <c r="AH48" s="881">
        <v>184</v>
      </c>
      <c r="AI48" s="882">
        <v>215</v>
      </c>
      <c r="AJ48" s="883">
        <v>254</v>
      </c>
      <c r="AK48" s="881">
        <v>236</v>
      </c>
      <c r="AL48" s="882">
        <v>254</v>
      </c>
      <c r="AM48" s="883">
        <v>278</v>
      </c>
      <c r="AN48" s="881">
        <v>252</v>
      </c>
      <c r="AO48" s="882">
        <v>258</v>
      </c>
      <c r="AP48" s="883">
        <v>289</v>
      </c>
      <c r="AQ48" s="881">
        <v>269</v>
      </c>
      <c r="AR48" s="882">
        <v>291</v>
      </c>
      <c r="AS48" s="883">
        <v>318</v>
      </c>
      <c r="AT48" s="881">
        <v>280</v>
      </c>
      <c r="AU48" s="882">
        <v>260</v>
      </c>
      <c r="AV48" s="883">
        <v>306</v>
      </c>
    </row>
    <row r="49" spans="1:48" s="6" customFormat="1" ht="15" customHeight="1" x14ac:dyDescent="0.25">
      <c r="A49" s="5819"/>
      <c r="B49" s="5678"/>
      <c r="C49" s="799" t="s">
        <v>469</v>
      </c>
      <c r="D49" s="800">
        <v>686</v>
      </c>
      <c r="E49" s="836">
        <v>714</v>
      </c>
      <c r="F49" s="884">
        <v>737</v>
      </c>
      <c r="G49" s="835">
        <v>694</v>
      </c>
      <c r="H49" s="836">
        <v>712</v>
      </c>
      <c r="I49" s="884">
        <v>757</v>
      </c>
      <c r="J49" s="800">
        <v>673</v>
      </c>
      <c r="K49" s="801">
        <v>715</v>
      </c>
      <c r="L49" s="884">
        <v>741</v>
      </c>
      <c r="M49" s="800">
        <v>653</v>
      </c>
      <c r="N49" s="801">
        <v>674</v>
      </c>
      <c r="O49" s="884">
        <v>684</v>
      </c>
      <c r="P49" s="800">
        <v>636</v>
      </c>
      <c r="Q49" s="801">
        <v>658</v>
      </c>
      <c r="R49" s="884">
        <v>697</v>
      </c>
      <c r="S49" s="800">
        <v>622</v>
      </c>
      <c r="T49" s="801">
        <v>613</v>
      </c>
      <c r="U49" s="884">
        <v>643</v>
      </c>
      <c r="V49" s="800">
        <v>599</v>
      </c>
      <c r="W49" s="801">
        <v>600</v>
      </c>
      <c r="X49" s="884">
        <v>602</v>
      </c>
      <c r="Y49" s="800">
        <v>574</v>
      </c>
      <c r="Z49" s="801">
        <v>531</v>
      </c>
      <c r="AA49" s="884">
        <v>618</v>
      </c>
      <c r="AB49" s="803">
        <v>547</v>
      </c>
      <c r="AC49" s="801">
        <v>505</v>
      </c>
      <c r="AD49" s="884">
        <v>594</v>
      </c>
      <c r="AE49" s="803">
        <v>546</v>
      </c>
      <c r="AF49" s="801">
        <v>489</v>
      </c>
      <c r="AG49" s="884">
        <v>559</v>
      </c>
      <c r="AH49" s="803">
        <v>520</v>
      </c>
      <c r="AI49" s="801">
        <v>504</v>
      </c>
      <c r="AJ49" s="884">
        <v>604</v>
      </c>
      <c r="AK49" s="803">
        <v>554</v>
      </c>
      <c r="AL49" s="801">
        <v>517</v>
      </c>
      <c r="AM49" s="884">
        <v>582</v>
      </c>
      <c r="AN49" s="803">
        <v>550</v>
      </c>
      <c r="AO49" s="801">
        <v>501</v>
      </c>
      <c r="AP49" s="884">
        <v>558</v>
      </c>
      <c r="AQ49" s="803">
        <v>512</v>
      </c>
      <c r="AR49" s="801">
        <v>487</v>
      </c>
      <c r="AS49" s="884">
        <v>545</v>
      </c>
      <c r="AT49" s="803">
        <v>478</v>
      </c>
      <c r="AU49" s="801">
        <v>453</v>
      </c>
      <c r="AV49" s="884">
        <v>492</v>
      </c>
    </row>
    <row r="50" spans="1:48" s="6" customFormat="1" ht="15" customHeight="1" x14ac:dyDescent="0.25">
      <c r="A50" s="5819"/>
      <c r="B50" s="5678"/>
      <c r="C50" s="799" t="s">
        <v>1461</v>
      </c>
      <c r="D50" s="809"/>
      <c r="E50" s="840"/>
      <c r="F50" s="4565"/>
      <c r="G50" s="841"/>
      <c r="H50" s="840"/>
      <c r="I50" s="4565"/>
      <c r="J50" s="809"/>
      <c r="K50" s="810"/>
      <c r="L50" s="4565"/>
      <c r="M50" s="809"/>
      <c r="N50" s="810"/>
      <c r="O50" s="4565"/>
      <c r="P50" s="809"/>
      <c r="Q50" s="810"/>
      <c r="R50" s="4565"/>
      <c r="S50" s="809"/>
      <c r="T50" s="810"/>
      <c r="U50" s="4565"/>
      <c r="V50" s="809"/>
      <c r="W50" s="810"/>
      <c r="X50" s="4565"/>
      <c r="Y50" s="809"/>
      <c r="Z50" s="810"/>
      <c r="AA50" s="4565"/>
      <c r="AB50" s="812"/>
      <c r="AC50" s="810"/>
      <c r="AD50" s="4565"/>
      <c r="AE50" s="812"/>
      <c r="AF50" s="810"/>
      <c r="AG50" s="4565"/>
      <c r="AH50" s="812"/>
      <c r="AI50" s="810"/>
      <c r="AJ50" s="4565"/>
      <c r="AK50" s="812"/>
      <c r="AL50" s="810"/>
      <c r="AM50" s="4565"/>
      <c r="AN50" s="812"/>
      <c r="AO50" s="810"/>
      <c r="AP50" s="4565"/>
      <c r="AQ50" s="812"/>
      <c r="AR50" s="810"/>
      <c r="AS50" s="4565">
        <v>31</v>
      </c>
      <c r="AT50" s="812">
        <v>28</v>
      </c>
      <c r="AU50" s="810">
        <v>25</v>
      </c>
      <c r="AV50" s="4565">
        <v>48</v>
      </c>
    </row>
    <row r="51" spans="1:48" s="6" customFormat="1" ht="15" customHeight="1" x14ac:dyDescent="0.2">
      <c r="A51" s="5819"/>
      <c r="B51" s="5679"/>
      <c r="C51" s="854" t="s">
        <v>160</v>
      </c>
      <c r="D51" s="899">
        <f>SUM(D41:D49)</f>
        <v>2587</v>
      </c>
      <c r="E51" s="900">
        <f t="shared" ref="E51:AG51" si="24">SUM(E41:E49)</f>
        <v>2667</v>
      </c>
      <c r="F51" s="901">
        <f t="shared" si="24"/>
        <v>2798</v>
      </c>
      <c r="G51" s="899">
        <f t="shared" si="24"/>
        <v>2584</v>
      </c>
      <c r="H51" s="900">
        <f t="shared" si="24"/>
        <v>2564</v>
      </c>
      <c r="I51" s="901">
        <f t="shared" si="24"/>
        <v>2733</v>
      </c>
      <c r="J51" s="899">
        <f t="shared" si="24"/>
        <v>2470</v>
      </c>
      <c r="K51" s="900">
        <f t="shared" si="24"/>
        <v>2552</v>
      </c>
      <c r="L51" s="901">
        <f t="shared" si="24"/>
        <v>2765</v>
      </c>
      <c r="M51" s="899">
        <f t="shared" si="24"/>
        <v>2481</v>
      </c>
      <c r="N51" s="900">
        <f t="shared" si="24"/>
        <v>2599</v>
      </c>
      <c r="O51" s="901">
        <f t="shared" si="24"/>
        <v>2692</v>
      </c>
      <c r="P51" s="899">
        <f t="shared" si="24"/>
        <v>2465</v>
      </c>
      <c r="Q51" s="900">
        <f t="shared" si="24"/>
        <v>2530</v>
      </c>
      <c r="R51" s="901">
        <f t="shared" si="24"/>
        <v>2654</v>
      </c>
      <c r="S51" s="899">
        <f t="shared" si="24"/>
        <v>2432</v>
      </c>
      <c r="T51" s="900">
        <f t="shared" si="24"/>
        <v>2407</v>
      </c>
      <c r="U51" s="901">
        <f t="shared" si="24"/>
        <v>2669</v>
      </c>
      <c r="V51" s="899">
        <f t="shared" si="24"/>
        <v>2502</v>
      </c>
      <c r="W51" s="900">
        <f t="shared" si="24"/>
        <v>2525</v>
      </c>
      <c r="X51" s="901">
        <f t="shared" si="24"/>
        <v>2691</v>
      </c>
      <c r="Y51" s="899">
        <f t="shared" si="24"/>
        <v>2541</v>
      </c>
      <c r="Z51" s="900">
        <f t="shared" si="24"/>
        <v>2436</v>
      </c>
      <c r="AA51" s="901">
        <f t="shared" si="24"/>
        <v>2868</v>
      </c>
      <c r="AB51" s="899">
        <f t="shared" si="24"/>
        <v>2587</v>
      </c>
      <c r="AC51" s="900">
        <f t="shared" si="24"/>
        <v>2616</v>
      </c>
      <c r="AD51" s="901">
        <f t="shared" si="24"/>
        <v>3016</v>
      </c>
      <c r="AE51" s="899">
        <f t="shared" si="24"/>
        <v>2744</v>
      </c>
      <c r="AF51" s="900">
        <f t="shared" si="24"/>
        <v>2775</v>
      </c>
      <c r="AG51" s="901">
        <f t="shared" si="24"/>
        <v>3114</v>
      </c>
      <c r="AH51" s="899">
        <f t="shared" ref="AH51:AM51" si="25">SUM(AH41:AH49)</f>
        <v>2928</v>
      </c>
      <c r="AI51" s="900">
        <f t="shared" si="25"/>
        <v>3053</v>
      </c>
      <c r="AJ51" s="901">
        <f t="shared" si="25"/>
        <v>3623</v>
      </c>
      <c r="AK51" s="899">
        <f t="shared" si="25"/>
        <v>3298</v>
      </c>
      <c r="AL51" s="900">
        <f t="shared" si="25"/>
        <v>3309</v>
      </c>
      <c r="AM51" s="901">
        <f t="shared" si="25"/>
        <v>3750</v>
      </c>
      <c r="AN51" s="899">
        <f>SUM(AN41:AN49)</f>
        <v>3460</v>
      </c>
      <c r="AO51" s="900">
        <f>SUM(AO41:AO49)</f>
        <v>3416</v>
      </c>
      <c r="AP51" s="901">
        <f>SUM(AP41:AP49)</f>
        <v>3845</v>
      </c>
      <c r="AQ51" s="899">
        <f t="shared" ref="AQ51:AV51" si="26">SUM(AQ41:AQ50)</f>
        <v>3486</v>
      </c>
      <c r="AR51" s="900">
        <f t="shared" si="26"/>
        <v>3433</v>
      </c>
      <c r="AS51" s="901">
        <f t="shared" si="26"/>
        <v>3945</v>
      </c>
      <c r="AT51" s="899">
        <f t="shared" si="26"/>
        <v>3544</v>
      </c>
      <c r="AU51" s="900">
        <f t="shared" si="26"/>
        <v>3354</v>
      </c>
      <c r="AV51" s="901">
        <f t="shared" si="26"/>
        <v>3779</v>
      </c>
    </row>
    <row r="52" spans="1:48" s="6" customFormat="1" ht="15" customHeight="1" x14ac:dyDescent="0.25">
      <c r="A52" s="5819"/>
      <c r="B52" s="5677" t="s">
        <v>6</v>
      </c>
      <c r="C52" s="828" t="s">
        <v>456</v>
      </c>
      <c r="D52" s="874">
        <v>909</v>
      </c>
      <c r="E52" s="875">
        <v>945</v>
      </c>
      <c r="F52" s="876">
        <v>979</v>
      </c>
      <c r="G52" s="874">
        <v>926</v>
      </c>
      <c r="H52" s="875">
        <v>946</v>
      </c>
      <c r="I52" s="877">
        <v>986</v>
      </c>
      <c r="J52" s="878">
        <v>877</v>
      </c>
      <c r="K52" s="879">
        <v>884</v>
      </c>
      <c r="L52" s="877">
        <v>964</v>
      </c>
      <c r="M52" s="878">
        <v>882</v>
      </c>
      <c r="N52" s="875">
        <v>944</v>
      </c>
      <c r="O52" s="876">
        <v>972</v>
      </c>
      <c r="P52" s="878">
        <v>897</v>
      </c>
      <c r="Q52" s="880">
        <v>948</v>
      </c>
      <c r="R52" s="876">
        <v>1023</v>
      </c>
      <c r="S52" s="878">
        <v>967</v>
      </c>
      <c r="T52" s="880">
        <v>965</v>
      </c>
      <c r="U52" s="876">
        <v>1013</v>
      </c>
      <c r="V52" s="878">
        <v>985</v>
      </c>
      <c r="W52" s="880">
        <v>1019</v>
      </c>
      <c r="X52" s="876">
        <v>1058</v>
      </c>
      <c r="Y52" s="881">
        <v>1015</v>
      </c>
      <c r="Z52" s="882">
        <v>1041</v>
      </c>
      <c r="AA52" s="883">
        <v>1067</v>
      </c>
      <c r="AB52" s="881">
        <v>984</v>
      </c>
      <c r="AC52" s="882">
        <v>1022</v>
      </c>
      <c r="AD52" s="883">
        <v>1078</v>
      </c>
      <c r="AE52" s="881">
        <v>1000</v>
      </c>
      <c r="AF52" s="882">
        <v>1080</v>
      </c>
      <c r="AG52" s="883">
        <v>1080</v>
      </c>
      <c r="AH52" s="881">
        <v>1030</v>
      </c>
      <c r="AI52" s="882">
        <v>1021</v>
      </c>
      <c r="AJ52" s="883">
        <v>1047</v>
      </c>
      <c r="AK52" s="881">
        <v>959</v>
      </c>
      <c r="AL52" s="882">
        <v>985</v>
      </c>
      <c r="AM52" s="883">
        <v>1031</v>
      </c>
      <c r="AN52" s="881">
        <v>958</v>
      </c>
      <c r="AO52" s="882">
        <v>937</v>
      </c>
      <c r="AP52" s="883">
        <v>977</v>
      </c>
      <c r="AQ52" s="881">
        <v>897</v>
      </c>
      <c r="AR52" s="882">
        <v>953</v>
      </c>
      <c r="AS52" s="883">
        <v>977</v>
      </c>
      <c r="AT52" s="881">
        <v>861</v>
      </c>
      <c r="AU52" s="882">
        <v>916</v>
      </c>
      <c r="AV52" s="883">
        <v>979</v>
      </c>
    </row>
    <row r="53" spans="1:48" s="6" customFormat="1" ht="15" customHeight="1" x14ac:dyDescent="0.25">
      <c r="A53" s="5819"/>
      <c r="B53" s="5678"/>
      <c r="C53" s="828" t="s">
        <v>470</v>
      </c>
      <c r="D53" s="874">
        <v>244</v>
      </c>
      <c r="E53" s="875">
        <v>223</v>
      </c>
      <c r="F53" s="876">
        <v>256</v>
      </c>
      <c r="G53" s="874">
        <v>222</v>
      </c>
      <c r="H53" s="875">
        <v>183</v>
      </c>
      <c r="I53" s="877">
        <v>237</v>
      </c>
      <c r="J53" s="878">
        <v>205</v>
      </c>
      <c r="K53" s="879">
        <v>188</v>
      </c>
      <c r="L53" s="877">
        <v>246</v>
      </c>
      <c r="M53" s="878">
        <v>228</v>
      </c>
      <c r="N53" s="875">
        <v>205</v>
      </c>
      <c r="O53" s="876">
        <v>259</v>
      </c>
      <c r="P53" s="878">
        <v>248</v>
      </c>
      <c r="Q53" s="880">
        <v>236</v>
      </c>
      <c r="R53" s="876">
        <v>297</v>
      </c>
      <c r="S53" s="878">
        <v>265</v>
      </c>
      <c r="T53" s="880">
        <v>243</v>
      </c>
      <c r="U53" s="876">
        <v>294</v>
      </c>
      <c r="V53" s="878">
        <v>276</v>
      </c>
      <c r="W53" s="880">
        <v>264</v>
      </c>
      <c r="X53" s="876">
        <v>318</v>
      </c>
      <c r="Y53" s="881">
        <v>290</v>
      </c>
      <c r="Z53" s="882">
        <v>270</v>
      </c>
      <c r="AA53" s="883">
        <v>333</v>
      </c>
      <c r="AB53" s="881">
        <v>287</v>
      </c>
      <c r="AC53" s="882">
        <v>274</v>
      </c>
      <c r="AD53" s="883">
        <v>324</v>
      </c>
      <c r="AE53" s="881">
        <v>307</v>
      </c>
      <c r="AF53" s="882">
        <v>297</v>
      </c>
      <c r="AG53" s="883">
        <v>330</v>
      </c>
      <c r="AH53" s="881">
        <v>312</v>
      </c>
      <c r="AI53" s="882">
        <v>283</v>
      </c>
      <c r="AJ53" s="883">
        <v>345</v>
      </c>
      <c r="AK53" s="881">
        <v>309</v>
      </c>
      <c r="AL53" s="882">
        <v>287</v>
      </c>
      <c r="AM53" s="883">
        <v>321</v>
      </c>
      <c r="AN53" s="881">
        <v>299</v>
      </c>
      <c r="AO53" s="882">
        <v>289</v>
      </c>
      <c r="AP53" s="883">
        <v>327</v>
      </c>
      <c r="AQ53" s="881">
        <v>302</v>
      </c>
      <c r="AR53" s="882">
        <v>288</v>
      </c>
      <c r="AS53" s="883">
        <v>338</v>
      </c>
      <c r="AT53" s="881">
        <v>275</v>
      </c>
      <c r="AU53" s="882">
        <v>265</v>
      </c>
      <c r="AV53" s="883">
        <v>315</v>
      </c>
    </row>
    <row r="54" spans="1:48" s="6" customFormat="1" ht="15" customHeight="1" x14ac:dyDescent="0.25">
      <c r="A54" s="5819"/>
      <c r="B54" s="5678"/>
      <c r="C54" s="828" t="s">
        <v>471</v>
      </c>
      <c r="D54" s="874">
        <v>272</v>
      </c>
      <c r="E54" s="875">
        <v>258</v>
      </c>
      <c r="F54" s="876">
        <v>294</v>
      </c>
      <c r="G54" s="874">
        <v>278</v>
      </c>
      <c r="H54" s="875">
        <v>261</v>
      </c>
      <c r="I54" s="877">
        <v>300</v>
      </c>
      <c r="J54" s="878">
        <v>275</v>
      </c>
      <c r="K54" s="879">
        <v>264</v>
      </c>
      <c r="L54" s="877">
        <v>305</v>
      </c>
      <c r="M54" s="878">
        <v>270</v>
      </c>
      <c r="N54" s="875">
        <v>256</v>
      </c>
      <c r="O54" s="876">
        <v>305</v>
      </c>
      <c r="P54" s="878">
        <v>278</v>
      </c>
      <c r="Q54" s="880">
        <v>265</v>
      </c>
      <c r="R54" s="876">
        <v>313</v>
      </c>
      <c r="S54" s="878">
        <v>297</v>
      </c>
      <c r="T54" s="880">
        <v>286</v>
      </c>
      <c r="U54" s="876">
        <v>337</v>
      </c>
      <c r="V54" s="878">
        <v>317</v>
      </c>
      <c r="W54" s="880">
        <v>301</v>
      </c>
      <c r="X54" s="876">
        <v>338</v>
      </c>
      <c r="Y54" s="881">
        <v>322</v>
      </c>
      <c r="Z54" s="882">
        <v>295</v>
      </c>
      <c r="AA54" s="883">
        <v>358</v>
      </c>
      <c r="AB54" s="881">
        <v>313</v>
      </c>
      <c r="AC54" s="882">
        <v>304</v>
      </c>
      <c r="AD54" s="883">
        <v>351</v>
      </c>
      <c r="AE54" s="881">
        <v>329</v>
      </c>
      <c r="AF54" s="882">
        <v>307</v>
      </c>
      <c r="AG54" s="883">
        <v>331</v>
      </c>
      <c r="AH54" s="881">
        <v>311</v>
      </c>
      <c r="AI54" s="882">
        <v>299</v>
      </c>
      <c r="AJ54" s="883">
        <v>338</v>
      </c>
      <c r="AK54" s="881">
        <v>308</v>
      </c>
      <c r="AL54" s="882">
        <v>296</v>
      </c>
      <c r="AM54" s="883">
        <v>356</v>
      </c>
      <c r="AN54" s="881">
        <v>327</v>
      </c>
      <c r="AO54" s="882">
        <v>307</v>
      </c>
      <c r="AP54" s="883">
        <v>350</v>
      </c>
      <c r="AQ54" s="881">
        <v>329</v>
      </c>
      <c r="AR54" s="882">
        <v>308</v>
      </c>
      <c r="AS54" s="883">
        <v>377</v>
      </c>
      <c r="AT54" s="881">
        <v>342</v>
      </c>
      <c r="AU54" s="882">
        <v>331</v>
      </c>
      <c r="AV54" s="883">
        <v>366</v>
      </c>
    </row>
    <row r="55" spans="1:48" s="6" customFormat="1" ht="15" customHeight="1" x14ac:dyDescent="0.25">
      <c r="A55" s="5819"/>
      <c r="B55" s="5678"/>
      <c r="C55" s="828" t="s">
        <v>472</v>
      </c>
      <c r="D55" s="874">
        <v>240</v>
      </c>
      <c r="E55" s="875">
        <v>225</v>
      </c>
      <c r="F55" s="876">
        <v>260</v>
      </c>
      <c r="G55" s="874">
        <v>240</v>
      </c>
      <c r="H55" s="875">
        <v>212</v>
      </c>
      <c r="I55" s="877">
        <v>263</v>
      </c>
      <c r="J55" s="878">
        <v>250</v>
      </c>
      <c r="K55" s="879">
        <v>236</v>
      </c>
      <c r="L55" s="877">
        <v>311</v>
      </c>
      <c r="M55" s="878">
        <v>292</v>
      </c>
      <c r="N55" s="875">
        <v>279</v>
      </c>
      <c r="O55" s="876">
        <v>330</v>
      </c>
      <c r="P55" s="878">
        <v>300</v>
      </c>
      <c r="Q55" s="880">
        <v>272</v>
      </c>
      <c r="R55" s="876">
        <v>334</v>
      </c>
      <c r="S55" s="878">
        <v>303</v>
      </c>
      <c r="T55" s="880">
        <v>281</v>
      </c>
      <c r="U55" s="876">
        <v>351</v>
      </c>
      <c r="V55" s="878">
        <v>348</v>
      </c>
      <c r="W55" s="880">
        <v>330</v>
      </c>
      <c r="X55" s="876">
        <v>370</v>
      </c>
      <c r="Y55" s="881">
        <v>343</v>
      </c>
      <c r="Z55" s="882">
        <v>322</v>
      </c>
      <c r="AA55" s="883">
        <v>389</v>
      </c>
      <c r="AB55" s="881">
        <v>338</v>
      </c>
      <c r="AC55" s="882">
        <v>342</v>
      </c>
      <c r="AD55" s="883">
        <v>389</v>
      </c>
      <c r="AE55" s="881">
        <v>358</v>
      </c>
      <c r="AF55" s="882">
        <v>342</v>
      </c>
      <c r="AG55" s="883">
        <v>378</v>
      </c>
      <c r="AH55" s="881">
        <v>377</v>
      </c>
      <c r="AI55" s="882">
        <v>355</v>
      </c>
      <c r="AJ55" s="883">
        <v>409</v>
      </c>
      <c r="AK55" s="881">
        <v>379</v>
      </c>
      <c r="AL55" s="882">
        <v>372</v>
      </c>
      <c r="AM55" s="883">
        <v>418</v>
      </c>
      <c r="AN55" s="881">
        <v>382</v>
      </c>
      <c r="AO55" s="882">
        <v>349</v>
      </c>
      <c r="AP55" s="883">
        <v>420</v>
      </c>
      <c r="AQ55" s="881">
        <v>370</v>
      </c>
      <c r="AR55" s="882">
        <v>364</v>
      </c>
      <c r="AS55" s="883">
        <v>425</v>
      </c>
      <c r="AT55" s="881">
        <v>383</v>
      </c>
      <c r="AU55" s="882">
        <v>369</v>
      </c>
      <c r="AV55" s="883">
        <v>431</v>
      </c>
    </row>
    <row r="56" spans="1:48" s="6" customFormat="1" ht="15" customHeight="1" x14ac:dyDescent="0.25">
      <c r="A56" s="5819"/>
      <c r="B56" s="5678"/>
      <c r="C56" s="828" t="s">
        <v>458</v>
      </c>
      <c r="D56" s="874">
        <v>408</v>
      </c>
      <c r="E56" s="875">
        <v>377</v>
      </c>
      <c r="F56" s="876">
        <v>414</v>
      </c>
      <c r="G56" s="874">
        <v>379</v>
      </c>
      <c r="H56" s="875">
        <v>344</v>
      </c>
      <c r="I56" s="877">
        <v>392</v>
      </c>
      <c r="J56" s="878">
        <v>364</v>
      </c>
      <c r="K56" s="879">
        <v>339</v>
      </c>
      <c r="L56" s="877">
        <v>405</v>
      </c>
      <c r="M56" s="878">
        <v>386</v>
      </c>
      <c r="N56" s="875">
        <v>346</v>
      </c>
      <c r="O56" s="876">
        <v>412</v>
      </c>
      <c r="P56" s="878">
        <v>373</v>
      </c>
      <c r="Q56" s="880">
        <v>351</v>
      </c>
      <c r="R56" s="876">
        <v>406</v>
      </c>
      <c r="S56" s="878">
        <v>373</v>
      </c>
      <c r="T56" s="880">
        <v>340</v>
      </c>
      <c r="U56" s="876">
        <v>435</v>
      </c>
      <c r="V56" s="878">
        <v>400</v>
      </c>
      <c r="W56" s="880">
        <v>375</v>
      </c>
      <c r="X56" s="876">
        <v>440</v>
      </c>
      <c r="Y56" s="881">
        <v>418</v>
      </c>
      <c r="Z56" s="882">
        <v>398</v>
      </c>
      <c r="AA56" s="883">
        <v>472</v>
      </c>
      <c r="AB56" s="881">
        <v>419</v>
      </c>
      <c r="AC56" s="882">
        <v>407</v>
      </c>
      <c r="AD56" s="883">
        <v>482</v>
      </c>
      <c r="AE56" s="881">
        <v>457</v>
      </c>
      <c r="AF56" s="882">
        <v>451</v>
      </c>
      <c r="AG56" s="883">
        <v>514</v>
      </c>
      <c r="AH56" s="881">
        <v>472</v>
      </c>
      <c r="AI56" s="882">
        <v>467</v>
      </c>
      <c r="AJ56" s="883">
        <v>529</v>
      </c>
      <c r="AK56" s="881">
        <v>482</v>
      </c>
      <c r="AL56" s="882">
        <v>470</v>
      </c>
      <c r="AM56" s="883">
        <v>550</v>
      </c>
      <c r="AN56" s="881">
        <v>500</v>
      </c>
      <c r="AO56" s="882">
        <v>459</v>
      </c>
      <c r="AP56" s="883">
        <v>552</v>
      </c>
      <c r="AQ56" s="881">
        <v>499</v>
      </c>
      <c r="AR56" s="882">
        <v>475</v>
      </c>
      <c r="AS56" s="883">
        <v>579</v>
      </c>
      <c r="AT56" s="881">
        <v>503</v>
      </c>
      <c r="AU56" s="882">
        <v>495</v>
      </c>
      <c r="AV56" s="883">
        <v>568</v>
      </c>
    </row>
    <row r="57" spans="1:48" s="6" customFormat="1" ht="15" customHeight="1" x14ac:dyDescent="0.25">
      <c r="A57" s="5819"/>
      <c r="B57" s="5678"/>
      <c r="C57" s="828" t="s">
        <v>459</v>
      </c>
      <c r="D57" s="874">
        <v>396</v>
      </c>
      <c r="E57" s="875">
        <v>371</v>
      </c>
      <c r="F57" s="876">
        <v>407</v>
      </c>
      <c r="G57" s="874">
        <v>385</v>
      </c>
      <c r="H57" s="875">
        <v>344</v>
      </c>
      <c r="I57" s="877">
        <v>399</v>
      </c>
      <c r="J57" s="878">
        <v>368</v>
      </c>
      <c r="K57" s="879">
        <v>327</v>
      </c>
      <c r="L57" s="877">
        <v>402</v>
      </c>
      <c r="M57" s="878">
        <v>357</v>
      </c>
      <c r="N57" s="875">
        <v>344</v>
      </c>
      <c r="O57" s="876">
        <v>405</v>
      </c>
      <c r="P57" s="878">
        <v>373</v>
      </c>
      <c r="Q57" s="880">
        <v>339</v>
      </c>
      <c r="R57" s="876">
        <v>390</v>
      </c>
      <c r="S57" s="878">
        <v>372</v>
      </c>
      <c r="T57" s="880">
        <v>341</v>
      </c>
      <c r="U57" s="876">
        <v>425</v>
      </c>
      <c r="V57" s="878">
        <v>399</v>
      </c>
      <c r="W57" s="880">
        <v>388</v>
      </c>
      <c r="X57" s="876">
        <v>448</v>
      </c>
      <c r="Y57" s="881">
        <v>400</v>
      </c>
      <c r="Z57" s="882">
        <v>387</v>
      </c>
      <c r="AA57" s="883">
        <v>457</v>
      </c>
      <c r="AB57" s="881">
        <v>403</v>
      </c>
      <c r="AC57" s="882">
        <v>398</v>
      </c>
      <c r="AD57" s="883">
        <v>466</v>
      </c>
      <c r="AE57" s="881">
        <v>416</v>
      </c>
      <c r="AF57" s="882">
        <v>416</v>
      </c>
      <c r="AG57" s="883">
        <v>494</v>
      </c>
      <c r="AH57" s="881">
        <v>470</v>
      </c>
      <c r="AI57" s="882">
        <v>439</v>
      </c>
      <c r="AJ57" s="883">
        <v>514</v>
      </c>
      <c r="AK57" s="881">
        <v>468</v>
      </c>
      <c r="AL57" s="882">
        <v>458</v>
      </c>
      <c r="AM57" s="883">
        <v>520</v>
      </c>
      <c r="AN57" s="881">
        <v>477</v>
      </c>
      <c r="AO57" s="882">
        <v>460</v>
      </c>
      <c r="AP57" s="883">
        <v>513</v>
      </c>
      <c r="AQ57" s="881">
        <v>467</v>
      </c>
      <c r="AR57" s="882">
        <v>444</v>
      </c>
      <c r="AS57" s="883">
        <v>539</v>
      </c>
      <c r="AT57" s="881">
        <v>465</v>
      </c>
      <c r="AU57" s="882">
        <v>454</v>
      </c>
      <c r="AV57" s="883">
        <v>494</v>
      </c>
    </row>
    <row r="58" spans="1:48" s="6" customFormat="1" ht="15" customHeight="1" x14ac:dyDescent="0.25">
      <c r="A58" s="5819"/>
      <c r="B58" s="5678"/>
      <c r="C58" s="828" t="s">
        <v>473</v>
      </c>
      <c r="D58" s="874">
        <v>355</v>
      </c>
      <c r="E58" s="875">
        <v>322</v>
      </c>
      <c r="F58" s="876">
        <v>379</v>
      </c>
      <c r="G58" s="874">
        <v>358</v>
      </c>
      <c r="H58" s="875">
        <v>339</v>
      </c>
      <c r="I58" s="877">
        <v>397</v>
      </c>
      <c r="J58" s="878">
        <v>350</v>
      </c>
      <c r="K58" s="879">
        <v>330</v>
      </c>
      <c r="L58" s="877">
        <v>394</v>
      </c>
      <c r="M58" s="878">
        <v>363</v>
      </c>
      <c r="N58" s="875">
        <v>340</v>
      </c>
      <c r="O58" s="876">
        <v>401</v>
      </c>
      <c r="P58" s="878">
        <v>387</v>
      </c>
      <c r="Q58" s="880">
        <v>364</v>
      </c>
      <c r="R58" s="876">
        <v>429</v>
      </c>
      <c r="S58" s="878">
        <v>385</v>
      </c>
      <c r="T58" s="880">
        <v>342</v>
      </c>
      <c r="U58" s="876">
        <v>412</v>
      </c>
      <c r="V58" s="878">
        <v>378</v>
      </c>
      <c r="W58" s="880">
        <v>358</v>
      </c>
      <c r="X58" s="876">
        <v>399</v>
      </c>
      <c r="Y58" s="881">
        <v>377</v>
      </c>
      <c r="Z58" s="882">
        <v>355</v>
      </c>
      <c r="AA58" s="883">
        <v>405</v>
      </c>
      <c r="AB58" s="881">
        <v>362</v>
      </c>
      <c r="AC58" s="882">
        <v>365</v>
      </c>
      <c r="AD58" s="883">
        <v>404</v>
      </c>
      <c r="AE58" s="881">
        <v>382</v>
      </c>
      <c r="AF58" s="882">
        <v>366</v>
      </c>
      <c r="AG58" s="883">
        <v>405</v>
      </c>
      <c r="AH58" s="881">
        <v>371</v>
      </c>
      <c r="AI58" s="882">
        <v>367</v>
      </c>
      <c r="AJ58" s="883">
        <v>425</v>
      </c>
      <c r="AK58" s="881">
        <v>395</v>
      </c>
      <c r="AL58" s="882">
        <v>376</v>
      </c>
      <c r="AM58" s="883">
        <v>448</v>
      </c>
      <c r="AN58" s="881">
        <v>405</v>
      </c>
      <c r="AO58" s="882">
        <v>382</v>
      </c>
      <c r="AP58" s="883">
        <v>442</v>
      </c>
      <c r="AQ58" s="881">
        <v>401</v>
      </c>
      <c r="AR58" s="882">
        <v>384</v>
      </c>
      <c r="AS58" s="883">
        <v>467</v>
      </c>
      <c r="AT58" s="881">
        <v>402</v>
      </c>
      <c r="AU58" s="882">
        <v>378</v>
      </c>
      <c r="AV58" s="883">
        <v>451</v>
      </c>
    </row>
    <row r="59" spans="1:48" s="6" customFormat="1" ht="15" customHeight="1" x14ac:dyDescent="0.25">
      <c r="A59" s="5819"/>
      <c r="B59" s="5678"/>
      <c r="C59" s="828" t="s">
        <v>474</v>
      </c>
      <c r="D59" s="874">
        <v>97</v>
      </c>
      <c r="E59" s="875">
        <v>89</v>
      </c>
      <c r="F59" s="876">
        <v>116</v>
      </c>
      <c r="G59" s="874">
        <v>101</v>
      </c>
      <c r="H59" s="875">
        <v>97</v>
      </c>
      <c r="I59" s="877">
        <v>123</v>
      </c>
      <c r="J59" s="878">
        <v>103</v>
      </c>
      <c r="K59" s="879">
        <v>102</v>
      </c>
      <c r="L59" s="877">
        <v>123</v>
      </c>
      <c r="M59" s="878">
        <v>119</v>
      </c>
      <c r="N59" s="875">
        <v>116</v>
      </c>
      <c r="O59" s="876">
        <v>141</v>
      </c>
      <c r="P59" s="878">
        <v>125</v>
      </c>
      <c r="Q59" s="880">
        <v>119</v>
      </c>
      <c r="R59" s="876">
        <v>148</v>
      </c>
      <c r="S59" s="878">
        <v>137</v>
      </c>
      <c r="T59" s="880">
        <v>122</v>
      </c>
      <c r="U59" s="876">
        <v>156</v>
      </c>
      <c r="V59" s="878">
        <v>134</v>
      </c>
      <c r="W59" s="880">
        <v>128</v>
      </c>
      <c r="X59" s="876">
        <v>154</v>
      </c>
      <c r="Y59" s="881">
        <v>144</v>
      </c>
      <c r="Z59" s="882">
        <v>134</v>
      </c>
      <c r="AA59" s="883">
        <v>182</v>
      </c>
      <c r="AB59" s="881">
        <v>166</v>
      </c>
      <c r="AC59" s="882">
        <v>157</v>
      </c>
      <c r="AD59" s="883">
        <v>205</v>
      </c>
      <c r="AE59" s="881">
        <v>184</v>
      </c>
      <c r="AF59" s="882">
        <v>182</v>
      </c>
      <c r="AG59" s="883">
        <v>218</v>
      </c>
      <c r="AH59" s="881">
        <v>201</v>
      </c>
      <c r="AI59" s="882">
        <v>191</v>
      </c>
      <c r="AJ59" s="883">
        <v>236</v>
      </c>
      <c r="AK59" s="881">
        <v>210</v>
      </c>
      <c r="AL59" s="882">
        <v>193</v>
      </c>
      <c r="AM59" s="883">
        <v>236</v>
      </c>
      <c r="AN59" s="881">
        <v>206</v>
      </c>
      <c r="AO59" s="882">
        <v>189</v>
      </c>
      <c r="AP59" s="883">
        <v>240</v>
      </c>
      <c r="AQ59" s="881">
        <v>214</v>
      </c>
      <c r="AR59" s="882">
        <v>197</v>
      </c>
      <c r="AS59" s="883">
        <v>242</v>
      </c>
      <c r="AT59" s="881">
        <v>209</v>
      </c>
      <c r="AU59" s="882">
        <v>197</v>
      </c>
      <c r="AV59" s="883">
        <v>246</v>
      </c>
    </row>
    <row r="60" spans="1:48" s="6" customFormat="1" ht="15" customHeight="1" x14ac:dyDescent="0.25">
      <c r="A60" s="5819"/>
      <c r="B60" s="5678"/>
      <c r="C60" s="828" t="s">
        <v>475</v>
      </c>
      <c r="D60" s="874">
        <v>462</v>
      </c>
      <c r="E60" s="875">
        <v>397</v>
      </c>
      <c r="F60" s="876">
        <v>466</v>
      </c>
      <c r="G60" s="874">
        <v>422</v>
      </c>
      <c r="H60" s="875">
        <v>371</v>
      </c>
      <c r="I60" s="877">
        <v>423</v>
      </c>
      <c r="J60" s="878">
        <v>377</v>
      </c>
      <c r="K60" s="879">
        <v>354</v>
      </c>
      <c r="L60" s="877">
        <v>421</v>
      </c>
      <c r="M60" s="878">
        <v>382</v>
      </c>
      <c r="N60" s="875">
        <v>340</v>
      </c>
      <c r="O60" s="876">
        <v>429</v>
      </c>
      <c r="P60" s="878">
        <v>424</v>
      </c>
      <c r="Q60" s="880">
        <v>400</v>
      </c>
      <c r="R60" s="876">
        <v>506</v>
      </c>
      <c r="S60" s="878">
        <v>474</v>
      </c>
      <c r="T60" s="880">
        <v>415</v>
      </c>
      <c r="U60" s="876">
        <v>503</v>
      </c>
      <c r="V60" s="878">
        <v>493</v>
      </c>
      <c r="W60" s="880">
        <v>464</v>
      </c>
      <c r="X60" s="876">
        <v>551</v>
      </c>
      <c r="Y60" s="881">
        <v>522</v>
      </c>
      <c r="Z60" s="882">
        <v>494</v>
      </c>
      <c r="AA60" s="883">
        <v>549</v>
      </c>
      <c r="AB60" s="881">
        <v>498</v>
      </c>
      <c r="AC60" s="882">
        <v>496</v>
      </c>
      <c r="AD60" s="883">
        <v>552</v>
      </c>
      <c r="AE60" s="881">
        <v>509</v>
      </c>
      <c r="AF60" s="882">
        <v>514</v>
      </c>
      <c r="AG60" s="883">
        <v>568</v>
      </c>
      <c r="AH60" s="881">
        <v>541</v>
      </c>
      <c r="AI60" s="882">
        <v>512</v>
      </c>
      <c r="AJ60" s="883">
        <v>573</v>
      </c>
      <c r="AK60" s="881">
        <v>522</v>
      </c>
      <c r="AL60" s="882">
        <v>503</v>
      </c>
      <c r="AM60" s="883">
        <v>573</v>
      </c>
      <c r="AN60" s="881">
        <v>521</v>
      </c>
      <c r="AO60" s="882">
        <v>499</v>
      </c>
      <c r="AP60" s="883">
        <v>578</v>
      </c>
      <c r="AQ60" s="881">
        <v>516</v>
      </c>
      <c r="AR60" s="882">
        <v>508</v>
      </c>
      <c r="AS60" s="883">
        <v>588</v>
      </c>
      <c r="AT60" s="881">
        <v>518</v>
      </c>
      <c r="AU60" s="882">
        <v>487</v>
      </c>
      <c r="AV60" s="883">
        <v>558</v>
      </c>
    </row>
    <row r="61" spans="1:48" s="6" customFormat="1" ht="15" customHeight="1" x14ac:dyDescent="0.25">
      <c r="A61" s="5819"/>
      <c r="B61" s="5678"/>
      <c r="C61" s="828" t="s">
        <v>476</v>
      </c>
      <c r="D61" s="874">
        <v>649</v>
      </c>
      <c r="E61" s="875">
        <v>661</v>
      </c>
      <c r="F61" s="876">
        <v>705</v>
      </c>
      <c r="G61" s="874">
        <v>666</v>
      </c>
      <c r="H61" s="875">
        <v>674</v>
      </c>
      <c r="I61" s="877">
        <v>732</v>
      </c>
      <c r="J61" s="878">
        <v>696</v>
      </c>
      <c r="K61" s="879">
        <v>692</v>
      </c>
      <c r="L61" s="877">
        <v>758</v>
      </c>
      <c r="M61" s="878">
        <v>715</v>
      </c>
      <c r="N61" s="875">
        <v>727</v>
      </c>
      <c r="O61" s="876">
        <v>789</v>
      </c>
      <c r="P61" s="878">
        <v>747</v>
      </c>
      <c r="Q61" s="880">
        <v>754</v>
      </c>
      <c r="R61" s="876">
        <v>834</v>
      </c>
      <c r="S61" s="878">
        <v>812</v>
      </c>
      <c r="T61" s="880">
        <v>817</v>
      </c>
      <c r="U61" s="876">
        <v>848</v>
      </c>
      <c r="V61" s="878">
        <v>848</v>
      </c>
      <c r="W61" s="880">
        <v>827</v>
      </c>
      <c r="X61" s="876">
        <v>848</v>
      </c>
      <c r="Y61" s="881">
        <v>817</v>
      </c>
      <c r="Z61" s="882">
        <v>815</v>
      </c>
      <c r="AA61" s="883">
        <v>905</v>
      </c>
      <c r="AB61" s="881">
        <v>844</v>
      </c>
      <c r="AC61" s="882">
        <v>841</v>
      </c>
      <c r="AD61" s="883">
        <v>880</v>
      </c>
      <c r="AE61" s="881">
        <v>834</v>
      </c>
      <c r="AF61" s="882">
        <v>820</v>
      </c>
      <c r="AG61" s="883">
        <v>830</v>
      </c>
      <c r="AH61" s="881">
        <v>802</v>
      </c>
      <c r="AI61" s="882">
        <v>803</v>
      </c>
      <c r="AJ61" s="883">
        <v>832</v>
      </c>
      <c r="AK61" s="881">
        <v>780</v>
      </c>
      <c r="AL61" s="882">
        <v>755</v>
      </c>
      <c r="AM61" s="883">
        <v>801</v>
      </c>
      <c r="AN61" s="881">
        <v>770</v>
      </c>
      <c r="AO61" s="882">
        <v>762</v>
      </c>
      <c r="AP61" s="883">
        <v>821</v>
      </c>
      <c r="AQ61" s="881">
        <v>793</v>
      </c>
      <c r="AR61" s="882">
        <v>819</v>
      </c>
      <c r="AS61" s="883">
        <v>828</v>
      </c>
      <c r="AT61" s="881">
        <v>751</v>
      </c>
      <c r="AU61" s="882">
        <v>770</v>
      </c>
      <c r="AV61" s="883">
        <v>815</v>
      </c>
    </row>
    <row r="62" spans="1:48" s="6" customFormat="1" ht="15" customHeight="1" x14ac:dyDescent="0.25">
      <c r="A62" s="5819"/>
      <c r="B62" s="5678"/>
      <c r="C62" s="799" t="s">
        <v>477</v>
      </c>
      <c r="D62" s="800">
        <v>33</v>
      </c>
      <c r="E62" s="836">
        <v>32</v>
      </c>
      <c r="F62" s="884">
        <v>69</v>
      </c>
      <c r="G62" s="835">
        <v>57</v>
      </c>
      <c r="H62" s="836">
        <v>57</v>
      </c>
      <c r="I62" s="884">
        <v>95</v>
      </c>
      <c r="J62" s="800">
        <v>91</v>
      </c>
      <c r="K62" s="801">
        <v>88</v>
      </c>
      <c r="L62" s="884">
        <v>116</v>
      </c>
      <c r="M62" s="800">
        <v>104</v>
      </c>
      <c r="N62" s="801">
        <v>102</v>
      </c>
      <c r="O62" s="884">
        <v>134</v>
      </c>
      <c r="P62" s="800">
        <v>120</v>
      </c>
      <c r="Q62" s="801">
        <v>113</v>
      </c>
      <c r="R62" s="884">
        <v>148</v>
      </c>
      <c r="S62" s="800">
        <v>136</v>
      </c>
      <c r="T62" s="801">
        <v>120</v>
      </c>
      <c r="U62" s="884">
        <v>160</v>
      </c>
      <c r="V62" s="800">
        <v>139</v>
      </c>
      <c r="W62" s="801">
        <v>132</v>
      </c>
      <c r="X62" s="884">
        <v>160</v>
      </c>
      <c r="Y62" s="800">
        <v>150</v>
      </c>
      <c r="Z62" s="801">
        <v>133</v>
      </c>
      <c r="AA62" s="884">
        <v>172</v>
      </c>
      <c r="AB62" s="803">
        <v>155</v>
      </c>
      <c r="AC62" s="801">
        <v>142</v>
      </c>
      <c r="AD62" s="884">
        <v>187</v>
      </c>
      <c r="AE62" s="803">
        <v>178</v>
      </c>
      <c r="AF62" s="801">
        <v>178</v>
      </c>
      <c r="AG62" s="884">
        <v>214</v>
      </c>
      <c r="AH62" s="803">
        <v>209</v>
      </c>
      <c r="AI62" s="801">
        <v>213</v>
      </c>
      <c r="AJ62" s="884">
        <v>244</v>
      </c>
      <c r="AK62" s="803">
        <v>229</v>
      </c>
      <c r="AL62" s="801">
        <v>220</v>
      </c>
      <c r="AM62" s="884">
        <v>256</v>
      </c>
      <c r="AN62" s="803">
        <v>235</v>
      </c>
      <c r="AO62" s="801">
        <v>224</v>
      </c>
      <c r="AP62" s="884">
        <v>262</v>
      </c>
      <c r="AQ62" s="803">
        <v>233</v>
      </c>
      <c r="AR62" s="801">
        <v>226</v>
      </c>
      <c r="AS62" s="884">
        <v>253</v>
      </c>
      <c r="AT62" s="803">
        <v>227</v>
      </c>
      <c r="AU62" s="801">
        <v>224</v>
      </c>
      <c r="AV62" s="884">
        <v>249</v>
      </c>
    </row>
    <row r="63" spans="1:48" s="6" customFormat="1" ht="15" customHeight="1" x14ac:dyDescent="0.2">
      <c r="A63" s="5819"/>
      <c r="B63" s="5678"/>
      <c r="C63" s="854" t="s">
        <v>160</v>
      </c>
      <c r="D63" s="899">
        <f>SUM(D52:D62)</f>
        <v>4065</v>
      </c>
      <c r="E63" s="900">
        <f t="shared" ref="E63:AG63" si="27">SUM(E52:E62)</f>
        <v>3900</v>
      </c>
      <c r="F63" s="901">
        <f t="shared" si="27"/>
        <v>4345</v>
      </c>
      <c r="G63" s="899">
        <f t="shared" si="27"/>
        <v>4034</v>
      </c>
      <c r="H63" s="900">
        <f t="shared" si="27"/>
        <v>3828</v>
      </c>
      <c r="I63" s="901">
        <f t="shared" si="27"/>
        <v>4347</v>
      </c>
      <c r="J63" s="899">
        <f t="shared" si="27"/>
        <v>3956</v>
      </c>
      <c r="K63" s="900">
        <f t="shared" si="27"/>
        <v>3804</v>
      </c>
      <c r="L63" s="901">
        <f t="shared" si="27"/>
        <v>4445</v>
      </c>
      <c r="M63" s="899">
        <f t="shared" si="27"/>
        <v>4098</v>
      </c>
      <c r="N63" s="900">
        <f t="shared" si="27"/>
        <v>3999</v>
      </c>
      <c r="O63" s="901">
        <f t="shared" si="27"/>
        <v>4577</v>
      </c>
      <c r="P63" s="899">
        <f t="shared" si="27"/>
        <v>4272</v>
      </c>
      <c r="Q63" s="900">
        <f t="shared" si="27"/>
        <v>4161</v>
      </c>
      <c r="R63" s="901">
        <f t="shared" si="27"/>
        <v>4828</v>
      </c>
      <c r="S63" s="899">
        <f t="shared" si="27"/>
        <v>4521</v>
      </c>
      <c r="T63" s="900">
        <f t="shared" si="27"/>
        <v>4272</v>
      </c>
      <c r="U63" s="901">
        <f t="shared" si="27"/>
        <v>4934</v>
      </c>
      <c r="V63" s="899">
        <f t="shared" si="27"/>
        <v>4717</v>
      </c>
      <c r="W63" s="900">
        <f t="shared" si="27"/>
        <v>4586</v>
      </c>
      <c r="X63" s="901">
        <f t="shared" si="27"/>
        <v>5084</v>
      </c>
      <c r="Y63" s="899">
        <f t="shared" si="27"/>
        <v>4798</v>
      </c>
      <c r="Z63" s="900">
        <f t="shared" si="27"/>
        <v>4644</v>
      </c>
      <c r="AA63" s="901">
        <f t="shared" si="27"/>
        <v>5289</v>
      </c>
      <c r="AB63" s="899">
        <f t="shared" si="27"/>
        <v>4769</v>
      </c>
      <c r="AC63" s="900">
        <f t="shared" si="27"/>
        <v>4748</v>
      </c>
      <c r="AD63" s="901">
        <f t="shared" si="27"/>
        <v>5318</v>
      </c>
      <c r="AE63" s="899">
        <f t="shared" si="27"/>
        <v>4954</v>
      </c>
      <c r="AF63" s="900">
        <f t="shared" si="27"/>
        <v>4953</v>
      </c>
      <c r="AG63" s="901">
        <f t="shared" si="27"/>
        <v>5362</v>
      </c>
      <c r="AH63" s="899">
        <f t="shared" ref="AH63:AM63" si="28">SUM(AH52:AH62)</f>
        <v>5096</v>
      </c>
      <c r="AI63" s="900">
        <f t="shared" si="28"/>
        <v>4950</v>
      </c>
      <c r="AJ63" s="901">
        <f t="shared" si="28"/>
        <v>5492</v>
      </c>
      <c r="AK63" s="899">
        <f t="shared" si="28"/>
        <v>5041</v>
      </c>
      <c r="AL63" s="900">
        <f t="shared" si="28"/>
        <v>4915</v>
      </c>
      <c r="AM63" s="901">
        <f t="shared" si="28"/>
        <v>5510</v>
      </c>
      <c r="AN63" s="899">
        <f t="shared" ref="AN63:AV63" si="29">SUM(AN52:AN62)</f>
        <v>5080</v>
      </c>
      <c r="AO63" s="900">
        <f t="shared" si="29"/>
        <v>4857</v>
      </c>
      <c r="AP63" s="901">
        <f t="shared" si="29"/>
        <v>5482</v>
      </c>
      <c r="AQ63" s="899">
        <f t="shared" si="29"/>
        <v>5021</v>
      </c>
      <c r="AR63" s="900">
        <f t="shared" si="29"/>
        <v>4966</v>
      </c>
      <c r="AS63" s="901">
        <f t="shared" si="29"/>
        <v>5613</v>
      </c>
      <c r="AT63" s="899">
        <f t="shared" si="29"/>
        <v>4936</v>
      </c>
      <c r="AU63" s="900">
        <f t="shared" si="29"/>
        <v>4886</v>
      </c>
      <c r="AV63" s="901">
        <f t="shared" si="29"/>
        <v>5472</v>
      </c>
    </row>
    <row r="64" spans="1:48" s="6" customFormat="1" ht="15" customHeight="1" x14ac:dyDescent="0.25">
      <c r="A64" s="5819"/>
      <c r="B64" s="5677" t="s">
        <v>11</v>
      </c>
      <c r="C64" s="828" t="s">
        <v>478</v>
      </c>
      <c r="D64" s="874">
        <v>486</v>
      </c>
      <c r="E64" s="875">
        <v>472</v>
      </c>
      <c r="F64" s="876">
        <v>488</v>
      </c>
      <c r="G64" s="874">
        <v>444</v>
      </c>
      <c r="H64" s="875">
        <v>422</v>
      </c>
      <c r="I64" s="877">
        <v>450</v>
      </c>
      <c r="J64" s="878">
        <v>413</v>
      </c>
      <c r="K64" s="879">
        <v>426</v>
      </c>
      <c r="L64" s="877">
        <v>486</v>
      </c>
      <c r="M64" s="878">
        <v>424</v>
      </c>
      <c r="N64" s="875">
        <v>464</v>
      </c>
      <c r="O64" s="876">
        <v>485</v>
      </c>
      <c r="P64" s="878">
        <v>457</v>
      </c>
      <c r="Q64" s="880">
        <v>476</v>
      </c>
      <c r="R64" s="876">
        <v>514</v>
      </c>
      <c r="S64" s="878">
        <v>483</v>
      </c>
      <c r="T64" s="880">
        <v>510</v>
      </c>
      <c r="U64" s="876">
        <v>544</v>
      </c>
      <c r="V64" s="878">
        <v>523</v>
      </c>
      <c r="W64" s="880">
        <v>576</v>
      </c>
      <c r="X64" s="876">
        <v>608</v>
      </c>
      <c r="Y64" s="881">
        <v>570</v>
      </c>
      <c r="Z64" s="882">
        <v>601</v>
      </c>
      <c r="AA64" s="883">
        <v>651</v>
      </c>
      <c r="AB64" s="881">
        <v>609</v>
      </c>
      <c r="AC64" s="882">
        <v>666</v>
      </c>
      <c r="AD64" s="883">
        <v>691</v>
      </c>
      <c r="AE64" s="881">
        <v>663</v>
      </c>
      <c r="AF64" s="882">
        <v>704</v>
      </c>
      <c r="AG64" s="883">
        <v>700</v>
      </c>
      <c r="AH64" s="881">
        <v>693</v>
      </c>
      <c r="AI64" s="882">
        <v>735</v>
      </c>
      <c r="AJ64" s="883">
        <v>765</v>
      </c>
      <c r="AK64" s="881">
        <v>700</v>
      </c>
      <c r="AL64" s="882">
        <v>723</v>
      </c>
      <c r="AM64" s="883">
        <v>760</v>
      </c>
      <c r="AN64" s="881">
        <v>699</v>
      </c>
      <c r="AO64" s="882">
        <v>726</v>
      </c>
      <c r="AP64" s="883">
        <v>734</v>
      </c>
      <c r="AQ64" s="881">
        <v>680</v>
      </c>
      <c r="AR64" s="882">
        <v>706</v>
      </c>
      <c r="AS64" s="883">
        <v>737</v>
      </c>
      <c r="AT64" s="881">
        <v>662</v>
      </c>
      <c r="AU64" s="882">
        <v>692</v>
      </c>
      <c r="AV64" s="883">
        <v>701</v>
      </c>
    </row>
    <row r="65" spans="1:48" s="6" customFormat="1" ht="15" customHeight="1" x14ac:dyDescent="0.25">
      <c r="A65" s="5819"/>
      <c r="B65" s="5678"/>
      <c r="C65" s="828" t="s">
        <v>479</v>
      </c>
      <c r="D65" s="874">
        <v>428</v>
      </c>
      <c r="E65" s="875">
        <v>442</v>
      </c>
      <c r="F65" s="876">
        <v>476</v>
      </c>
      <c r="G65" s="874">
        <v>451</v>
      </c>
      <c r="H65" s="875">
        <v>484</v>
      </c>
      <c r="I65" s="877">
        <v>497</v>
      </c>
      <c r="J65" s="878">
        <v>470</v>
      </c>
      <c r="K65" s="879">
        <v>480</v>
      </c>
      <c r="L65" s="877">
        <v>484</v>
      </c>
      <c r="M65" s="878">
        <v>471</v>
      </c>
      <c r="N65" s="875">
        <v>477</v>
      </c>
      <c r="O65" s="876">
        <v>501</v>
      </c>
      <c r="P65" s="878">
        <v>468</v>
      </c>
      <c r="Q65" s="880">
        <v>470</v>
      </c>
      <c r="R65" s="876">
        <v>503</v>
      </c>
      <c r="S65" s="878">
        <v>479</v>
      </c>
      <c r="T65" s="880">
        <v>473</v>
      </c>
      <c r="U65" s="876">
        <v>481</v>
      </c>
      <c r="V65" s="878">
        <v>462</v>
      </c>
      <c r="W65" s="880">
        <v>480</v>
      </c>
      <c r="X65" s="876">
        <v>484</v>
      </c>
      <c r="Y65" s="881">
        <v>456</v>
      </c>
      <c r="Z65" s="882">
        <v>458</v>
      </c>
      <c r="AA65" s="883">
        <v>469</v>
      </c>
      <c r="AB65" s="881">
        <v>429</v>
      </c>
      <c r="AC65" s="882">
        <v>456</v>
      </c>
      <c r="AD65" s="883">
        <v>475</v>
      </c>
      <c r="AE65" s="881">
        <v>453</v>
      </c>
      <c r="AF65" s="882">
        <v>483</v>
      </c>
      <c r="AG65" s="883">
        <v>503</v>
      </c>
      <c r="AH65" s="881">
        <v>507</v>
      </c>
      <c r="AI65" s="882">
        <v>556</v>
      </c>
      <c r="AJ65" s="883">
        <v>579</v>
      </c>
      <c r="AK65" s="881">
        <v>547</v>
      </c>
      <c r="AL65" s="882">
        <v>585</v>
      </c>
      <c r="AM65" s="883">
        <v>611</v>
      </c>
      <c r="AN65" s="881">
        <v>572</v>
      </c>
      <c r="AO65" s="882">
        <v>575</v>
      </c>
      <c r="AP65" s="883">
        <v>606</v>
      </c>
      <c r="AQ65" s="881">
        <v>566</v>
      </c>
      <c r="AR65" s="882">
        <v>598</v>
      </c>
      <c r="AS65" s="883">
        <v>637</v>
      </c>
      <c r="AT65" s="881">
        <v>564</v>
      </c>
      <c r="AU65" s="882">
        <v>598</v>
      </c>
      <c r="AV65" s="883">
        <v>619</v>
      </c>
    </row>
    <row r="66" spans="1:48" s="6" customFormat="1" ht="15" customHeight="1" x14ac:dyDescent="0.25">
      <c r="A66" s="5819"/>
      <c r="B66" s="5678"/>
      <c r="C66" s="828" t="s">
        <v>480</v>
      </c>
      <c r="D66" s="874">
        <v>200</v>
      </c>
      <c r="E66" s="875">
        <v>181</v>
      </c>
      <c r="F66" s="876">
        <v>214</v>
      </c>
      <c r="G66" s="874">
        <v>202</v>
      </c>
      <c r="H66" s="875">
        <v>196</v>
      </c>
      <c r="I66" s="877">
        <v>206</v>
      </c>
      <c r="J66" s="878">
        <v>179</v>
      </c>
      <c r="K66" s="879">
        <v>170</v>
      </c>
      <c r="L66" s="877">
        <v>206</v>
      </c>
      <c r="M66" s="878">
        <v>189</v>
      </c>
      <c r="N66" s="875">
        <v>178</v>
      </c>
      <c r="O66" s="876">
        <v>216</v>
      </c>
      <c r="P66" s="878">
        <v>201</v>
      </c>
      <c r="Q66" s="880">
        <v>181</v>
      </c>
      <c r="R66" s="876">
        <v>209</v>
      </c>
      <c r="S66" s="878">
        <v>195</v>
      </c>
      <c r="T66" s="880">
        <v>176</v>
      </c>
      <c r="U66" s="876">
        <v>213</v>
      </c>
      <c r="V66" s="878">
        <v>192</v>
      </c>
      <c r="W66" s="880">
        <v>178</v>
      </c>
      <c r="X66" s="876">
        <v>248</v>
      </c>
      <c r="Y66" s="881">
        <v>240</v>
      </c>
      <c r="Z66" s="882">
        <v>274</v>
      </c>
      <c r="AA66" s="883">
        <v>304</v>
      </c>
      <c r="AB66" s="881">
        <v>286</v>
      </c>
      <c r="AC66" s="882">
        <v>320</v>
      </c>
      <c r="AD66" s="883">
        <v>365</v>
      </c>
      <c r="AE66" s="881">
        <v>350</v>
      </c>
      <c r="AF66" s="882">
        <v>394</v>
      </c>
      <c r="AG66" s="883">
        <v>414</v>
      </c>
      <c r="AH66" s="881">
        <v>407</v>
      </c>
      <c r="AI66" s="882">
        <v>434</v>
      </c>
      <c r="AJ66" s="883">
        <v>466</v>
      </c>
      <c r="AK66" s="881">
        <v>438</v>
      </c>
      <c r="AL66" s="882">
        <v>462</v>
      </c>
      <c r="AM66" s="883">
        <v>480</v>
      </c>
      <c r="AN66" s="881">
        <v>458</v>
      </c>
      <c r="AO66" s="882">
        <v>471</v>
      </c>
      <c r="AP66" s="883">
        <v>498</v>
      </c>
      <c r="AQ66" s="881">
        <v>457</v>
      </c>
      <c r="AR66" s="882">
        <v>480</v>
      </c>
      <c r="AS66" s="883">
        <v>498</v>
      </c>
      <c r="AT66" s="881">
        <v>471</v>
      </c>
      <c r="AU66" s="882">
        <v>467</v>
      </c>
      <c r="AV66" s="883">
        <v>467</v>
      </c>
    </row>
    <row r="67" spans="1:48" s="6" customFormat="1" ht="15" customHeight="1" x14ac:dyDescent="0.25">
      <c r="A67" s="5819"/>
      <c r="B67" s="5678"/>
      <c r="C67" s="828" t="s">
        <v>481</v>
      </c>
      <c r="D67" s="874">
        <v>120</v>
      </c>
      <c r="E67" s="875">
        <v>111</v>
      </c>
      <c r="F67" s="876">
        <v>117</v>
      </c>
      <c r="G67" s="874">
        <v>107</v>
      </c>
      <c r="H67" s="875">
        <v>90</v>
      </c>
      <c r="I67" s="877">
        <v>105</v>
      </c>
      <c r="J67" s="878">
        <v>92</v>
      </c>
      <c r="K67" s="879">
        <v>79</v>
      </c>
      <c r="L67" s="877">
        <v>94</v>
      </c>
      <c r="M67" s="878">
        <v>82</v>
      </c>
      <c r="N67" s="875">
        <v>70</v>
      </c>
      <c r="O67" s="876">
        <v>83</v>
      </c>
      <c r="P67" s="878">
        <v>76</v>
      </c>
      <c r="Q67" s="880">
        <v>73</v>
      </c>
      <c r="R67" s="876">
        <v>93</v>
      </c>
      <c r="S67" s="878">
        <v>90</v>
      </c>
      <c r="T67" s="880">
        <v>75</v>
      </c>
      <c r="U67" s="876">
        <v>102</v>
      </c>
      <c r="V67" s="878">
        <v>93</v>
      </c>
      <c r="W67" s="880">
        <v>94</v>
      </c>
      <c r="X67" s="876">
        <v>132</v>
      </c>
      <c r="Y67" s="881">
        <v>116</v>
      </c>
      <c r="Z67" s="882">
        <v>144</v>
      </c>
      <c r="AA67" s="883">
        <v>184</v>
      </c>
      <c r="AB67" s="881">
        <v>168</v>
      </c>
      <c r="AC67" s="882">
        <v>193</v>
      </c>
      <c r="AD67" s="883">
        <v>209</v>
      </c>
      <c r="AE67" s="881">
        <v>193</v>
      </c>
      <c r="AF67" s="882">
        <v>221</v>
      </c>
      <c r="AG67" s="883">
        <v>242</v>
      </c>
      <c r="AH67" s="881">
        <v>226</v>
      </c>
      <c r="AI67" s="882">
        <v>263</v>
      </c>
      <c r="AJ67" s="883">
        <v>294</v>
      </c>
      <c r="AK67" s="881">
        <v>275</v>
      </c>
      <c r="AL67" s="882">
        <v>297</v>
      </c>
      <c r="AM67" s="883">
        <v>316</v>
      </c>
      <c r="AN67" s="881">
        <v>307</v>
      </c>
      <c r="AO67" s="882">
        <v>322</v>
      </c>
      <c r="AP67" s="883">
        <v>314</v>
      </c>
      <c r="AQ67" s="881">
        <v>300</v>
      </c>
      <c r="AR67" s="882">
        <v>310</v>
      </c>
      <c r="AS67" s="883">
        <v>315</v>
      </c>
      <c r="AT67" s="881">
        <v>285</v>
      </c>
      <c r="AU67" s="882">
        <v>286</v>
      </c>
      <c r="AV67" s="883">
        <v>286</v>
      </c>
    </row>
    <row r="68" spans="1:48" s="6" customFormat="1" ht="15" customHeight="1" x14ac:dyDescent="0.25">
      <c r="A68" s="5819"/>
      <c r="B68" s="5678"/>
      <c r="C68" s="828" t="s">
        <v>482</v>
      </c>
      <c r="D68" s="874">
        <v>752</v>
      </c>
      <c r="E68" s="875">
        <v>747</v>
      </c>
      <c r="F68" s="876">
        <v>757</v>
      </c>
      <c r="G68" s="874">
        <v>712</v>
      </c>
      <c r="H68" s="875">
        <v>696</v>
      </c>
      <c r="I68" s="877">
        <v>726</v>
      </c>
      <c r="J68" s="878">
        <v>678</v>
      </c>
      <c r="K68" s="879">
        <v>654</v>
      </c>
      <c r="L68" s="877">
        <v>667</v>
      </c>
      <c r="M68" s="878">
        <v>626</v>
      </c>
      <c r="N68" s="875">
        <v>619</v>
      </c>
      <c r="O68" s="876">
        <v>669</v>
      </c>
      <c r="P68" s="878">
        <v>618</v>
      </c>
      <c r="Q68" s="880">
        <v>606</v>
      </c>
      <c r="R68" s="876">
        <v>643</v>
      </c>
      <c r="S68" s="878">
        <v>601</v>
      </c>
      <c r="T68" s="880">
        <v>607</v>
      </c>
      <c r="U68" s="876">
        <v>639</v>
      </c>
      <c r="V68" s="878">
        <v>607</v>
      </c>
      <c r="W68" s="880">
        <v>674</v>
      </c>
      <c r="X68" s="876">
        <v>739</v>
      </c>
      <c r="Y68" s="881">
        <v>714</v>
      </c>
      <c r="Z68" s="882">
        <v>739</v>
      </c>
      <c r="AA68" s="883">
        <v>775</v>
      </c>
      <c r="AB68" s="881">
        <v>709</v>
      </c>
      <c r="AC68" s="882">
        <v>762</v>
      </c>
      <c r="AD68" s="883">
        <v>813</v>
      </c>
      <c r="AE68" s="881">
        <v>775</v>
      </c>
      <c r="AF68" s="882">
        <v>839</v>
      </c>
      <c r="AG68" s="883">
        <v>894</v>
      </c>
      <c r="AH68" s="881">
        <v>878</v>
      </c>
      <c r="AI68" s="882">
        <v>921</v>
      </c>
      <c r="AJ68" s="883">
        <v>968</v>
      </c>
      <c r="AK68" s="881">
        <v>897</v>
      </c>
      <c r="AL68" s="882">
        <v>920</v>
      </c>
      <c r="AM68" s="883">
        <v>938</v>
      </c>
      <c r="AN68" s="881">
        <v>899</v>
      </c>
      <c r="AO68" s="882">
        <v>909</v>
      </c>
      <c r="AP68" s="883">
        <v>967</v>
      </c>
      <c r="AQ68" s="881">
        <v>893</v>
      </c>
      <c r="AR68" s="882">
        <v>918</v>
      </c>
      <c r="AS68" s="883">
        <v>969</v>
      </c>
      <c r="AT68" s="881">
        <v>867</v>
      </c>
      <c r="AU68" s="882">
        <v>929</v>
      </c>
      <c r="AV68" s="883">
        <v>963</v>
      </c>
    </row>
    <row r="69" spans="1:48" s="6" customFormat="1" ht="15.75" customHeight="1" x14ac:dyDescent="0.25">
      <c r="A69" s="5819"/>
      <c r="B69" s="5678"/>
      <c r="C69" s="799" t="s">
        <v>483</v>
      </c>
      <c r="D69" s="800">
        <v>945</v>
      </c>
      <c r="E69" s="836">
        <v>917</v>
      </c>
      <c r="F69" s="884">
        <v>926</v>
      </c>
      <c r="G69" s="835">
        <v>851</v>
      </c>
      <c r="H69" s="836">
        <v>864</v>
      </c>
      <c r="I69" s="884">
        <v>897</v>
      </c>
      <c r="J69" s="800">
        <v>820</v>
      </c>
      <c r="K69" s="801">
        <v>801</v>
      </c>
      <c r="L69" s="884">
        <v>827</v>
      </c>
      <c r="M69" s="800">
        <v>768</v>
      </c>
      <c r="N69" s="801">
        <v>766</v>
      </c>
      <c r="O69" s="884">
        <v>816</v>
      </c>
      <c r="P69" s="800">
        <v>738</v>
      </c>
      <c r="Q69" s="801">
        <v>762</v>
      </c>
      <c r="R69" s="884">
        <v>799</v>
      </c>
      <c r="S69" s="800">
        <v>747</v>
      </c>
      <c r="T69" s="801">
        <v>750</v>
      </c>
      <c r="U69" s="884">
        <v>787</v>
      </c>
      <c r="V69" s="800">
        <v>716</v>
      </c>
      <c r="W69" s="801">
        <v>770</v>
      </c>
      <c r="X69" s="884">
        <v>803</v>
      </c>
      <c r="Y69" s="800">
        <v>763</v>
      </c>
      <c r="Z69" s="801">
        <v>814</v>
      </c>
      <c r="AA69" s="884">
        <v>859</v>
      </c>
      <c r="AB69" s="803">
        <v>766</v>
      </c>
      <c r="AC69" s="801">
        <v>805</v>
      </c>
      <c r="AD69" s="884">
        <v>856</v>
      </c>
      <c r="AE69" s="803">
        <v>798</v>
      </c>
      <c r="AF69" s="801">
        <v>873</v>
      </c>
      <c r="AG69" s="884">
        <v>939</v>
      </c>
      <c r="AH69" s="803">
        <v>900</v>
      </c>
      <c r="AI69" s="801">
        <v>951</v>
      </c>
      <c r="AJ69" s="884">
        <v>989</v>
      </c>
      <c r="AK69" s="803">
        <v>907</v>
      </c>
      <c r="AL69" s="801">
        <v>926</v>
      </c>
      <c r="AM69" s="884">
        <v>963</v>
      </c>
      <c r="AN69" s="803">
        <v>902</v>
      </c>
      <c r="AO69" s="801">
        <v>918</v>
      </c>
      <c r="AP69" s="884">
        <v>938</v>
      </c>
      <c r="AQ69" s="803">
        <v>862</v>
      </c>
      <c r="AR69" s="801">
        <v>853</v>
      </c>
      <c r="AS69" s="884">
        <v>888</v>
      </c>
      <c r="AT69" s="803">
        <v>813</v>
      </c>
      <c r="AU69" s="801">
        <v>812</v>
      </c>
      <c r="AV69" s="884">
        <v>867</v>
      </c>
    </row>
    <row r="70" spans="1:48" s="6" customFormat="1" ht="15.75" customHeight="1" x14ac:dyDescent="0.2">
      <c r="A70" s="5819"/>
      <c r="B70" s="5679"/>
      <c r="C70" s="854" t="s">
        <v>160</v>
      </c>
      <c r="D70" s="899">
        <f>SUM(D64:D69)</f>
        <v>2931</v>
      </c>
      <c r="E70" s="900">
        <f t="shared" ref="E70:AG70" si="30">SUM(E64:E69)</f>
        <v>2870</v>
      </c>
      <c r="F70" s="901">
        <f t="shared" si="30"/>
        <v>2978</v>
      </c>
      <c r="G70" s="899">
        <f t="shared" si="30"/>
        <v>2767</v>
      </c>
      <c r="H70" s="900">
        <f t="shared" si="30"/>
        <v>2752</v>
      </c>
      <c r="I70" s="901">
        <f t="shared" si="30"/>
        <v>2881</v>
      </c>
      <c r="J70" s="899">
        <f t="shared" si="30"/>
        <v>2652</v>
      </c>
      <c r="K70" s="900">
        <f t="shared" si="30"/>
        <v>2610</v>
      </c>
      <c r="L70" s="901">
        <f t="shared" si="30"/>
        <v>2764</v>
      </c>
      <c r="M70" s="899">
        <f t="shared" si="30"/>
        <v>2560</v>
      </c>
      <c r="N70" s="900">
        <f t="shared" si="30"/>
        <v>2574</v>
      </c>
      <c r="O70" s="901">
        <f t="shared" si="30"/>
        <v>2770</v>
      </c>
      <c r="P70" s="899">
        <f t="shared" si="30"/>
        <v>2558</v>
      </c>
      <c r="Q70" s="900">
        <f t="shared" si="30"/>
        <v>2568</v>
      </c>
      <c r="R70" s="901">
        <f t="shared" si="30"/>
        <v>2761</v>
      </c>
      <c r="S70" s="899">
        <f t="shared" si="30"/>
        <v>2595</v>
      </c>
      <c r="T70" s="900">
        <f t="shared" si="30"/>
        <v>2591</v>
      </c>
      <c r="U70" s="901">
        <f t="shared" si="30"/>
        <v>2766</v>
      </c>
      <c r="V70" s="899">
        <f t="shared" si="30"/>
        <v>2593</v>
      </c>
      <c r="W70" s="900">
        <f t="shared" si="30"/>
        <v>2772</v>
      </c>
      <c r="X70" s="901">
        <f t="shared" si="30"/>
        <v>3014</v>
      </c>
      <c r="Y70" s="899">
        <f t="shared" si="30"/>
        <v>2859</v>
      </c>
      <c r="Z70" s="900">
        <f t="shared" si="30"/>
        <v>3030</v>
      </c>
      <c r="AA70" s="901">
        <f t="shared" si="30"/>
        <v>3242</v>
      </c>
      <c r="AB70" s="899">
        <f t="shared" si="30"/>
        <v>2967</v>
      </c>
      <c r="AC70" s="900">
        <f t="shared" si="30"/>
        <v>3202</v>
      </c>
      <c r="AD70" s="901">
        <f t="shared" si="30"/>
        <v>3409</v>
      </c>
      <c r="AE70" s="899">
        <f t="shared" si="30"/>
        <v>3232</v>
      </c>
      <c r="AF70" s="900">
        <f t="shared" si="30"/>
        <v>3514</v>
      </c>
      <c r="AG70" s="901">
        <f t="shared" si="30"/>
        <v>3692</v>
      </c>
      <c r="AH70" s="899">
        <f t="shared" ref="AH70:AM70" si="31">SUM(AH64:AH69)</f>
        <v>3611</v>
      </c>
      <c r="AI70" s="900">
        <f t="shared" si="31"/>
        <v>3860</v>
      </c>
      <c r="AJ70" s="901">
        <f t="shared" si="31"/>
        <v>4061</v>
      </c>
      <c r="AK70" s="899">
        <f t="shared" si="31"/>
        <v>3764</v>
      </c>
      <c r="AL70" s="900">
        <f t="shared" si="31"/>
        <v>3913</v>
      </c>
      <c r="AM70" s="901">
        <f t="shared" si="31"/>
        <v>4068</v>
      </c>
      <c r="AN70" s="899">
        <f t="shared" ref="AN70:AV70" si="32">SUM(AN64:AN69)</f>
        <v>3837</v>
      </c>
      <c r="AO70" s="900">
        <f t="shared" si="32"/>
        <v>3921</v>
      </c>
      <c r="AP70" s="901">
        <f t="shared" si="32"/>
        <v>4057</v>
      </c>
      <c r="AQ70" s="899">
        <f t="shared" si="32"/>
        <v>3758</v>
      </c>
      <c r="AR70" s="900">
        <f t="shared" si="32"/>
        <v>3865</v>
      </c>
      <c r="AS70" s="901">
        <f t="shared" si="32"/>
        <v>4044</v>
      </c>
      <c r="AT70" s="899">
        <f t="shared" si="32"/>
        <v>3662</v>
      </c>
      <c r="AU70" s="900">
        <f t="shared" si="32"/>
        <v>3784</v>
      </c>
      <c r="AV70" s="901">
        <f t="shared" si="32"/>
        <v>3903</v>
      </c>
    </row>
    <row r="71" spans="1:48" s="6" customFormat="1" ht="15.75" customHeight="1" x14ac:dyDescent="0.25">
      <c r="A71" s="5820"/>
      <c r="B71" s="3560"/>
      <c r="C71" s="2214" t="s">
        <v>444</v>
      </c>
      <c r="D71" s="3561">
        <f>SUM(D70,D63,D51)</f>
        <v>9583</v>
      </c>
      <c r="E71" s="3562">
        <f t="shared" ref="E71:AG71" si="33">SUM(E70,E63,E51)</f>
        <v>9437</v>
      </c>
      <c r="F71" s="3563">
        <f t="shared" si="33"/>
        <v>10121</v>
      </c>
      <c r="G71" s="3561">
        <f t="shared" si="33"/>
        <v>9385</v>
      </c>
      <c r="H71" s="3562">
        <f t="shared" si="33"/>
        <v>9144</v>
      </c>
      <c r="I71" s="3563">
        <f t="shared" si="33"/>
        <v>9961</v>
      </c>
      <c r="J71" s="3561">
        <f t="shared" si="33"/>
        <v>9078</v>
      </c>
      <c r="K71" s="3562">
        <f t="shared" si="33"/>
        <v>8966</v>
      </c>
      <c r="L71" s="3563">
        <f t="shared" si="33"/>
        <v>9974</v>
      </c>
      <c r="M71" s="3561">
        <f t="shared" si="33"/>
        <v>9139</v>
      </c>
      <c r="N71" s="3562">
        <f t="shared" si="33"/>
        <v>9172</v>
      </c>
      <c r="O71" s="3563">
        <f t="shared" si="33"/>
        <v>10039</v>
      </c>
      <c r="P71" s="3561">
        <f t="shared" si="33"/>
        <v>9295</v>
      </c>
      <c r="Q71" s="3562">
        <f t="shared" si="33"/>
        <v>9259</v>
      </c>
      <c r="R71" s="3563">
        <f t="shared" si="33"/>
        <v>10243</v>
      </c>
      <c r="S71" s="3561">
        <f t="shared" si="33"/>
        <v>9548</v>
      </c>
      <c r="T71" s="3562">
        <f t="shared" si="33"/>
        <v>9270</v>
      </c>
      <c r="U71" s="3563">
        <f t="shared" si="33"/>
        <v>10369</v>
      </c>
      <c r="V71" s="3561">
        <f t="shared" si="33"/>
        <v>9812</v>
      </c>
      <c r="W71" s="3562">
        <f t="shared" si="33"/>
        <v>9883</v>
      </c>
      <c r="X71" s="3563">
        <f t="shared" si="33"/>
        <v>10789</v>
      </c>
      <c r="Y71" s="3561">
        <f t="shared" si="33"/>
        <v>10198</v>
      </c>
      <c r="Z71" s="3562">
        <f t="shared" si="33"/>
        <v>10110</v>
      </c>
      <c r="AA71" s="3563">
        <f t="shared" si="33"/>
        <v>11399</v>
      </c>
      <c r="AB71" s="3561">
        <f t="shared" si="33"/>
        <v>10323</v>
      </c>
      <c r="AC71" s="3562">
        <f t="shared" si="33"/>
        <v>10566</v>
      </c>
      <c r="AD71" s="3563">
        <f t="shared" si="33"/>
        <v>11743</v>
      </c>
      <c r="AE71" s="3561">
        <f t="shared" si="33"/>
        <v>10930</v>
      </c>
      <c r="AF71" s="3562">
        <f t="shared" si="33"/>
        <v>11242</v>
      </c>
      <c r="AG71" s="3563">
        <f t="shared" si="33"/>
        <v>12168</v>
      </c>
      <c r="AH71" s="3561">
        <f t="shared" ref="AH71:AM71" si="34">SUM(AH70,AH63,AH51)</f>
        <v>11635</v>
      </c>
      <c r="AI71" s="3562">
        <f t="shared" si="34"/>
        <v>11863</v>
      </c>
      <c r="AJ71" s="3563">
        <f t="shared" si="34"/>
        <v>13176</v>
      </c>
      <c r="AK71" s="3561">
        <f t="shared" si="34"/>
        <v>12103</v>
      </c>
      <c r="AL71" s="3562">
        <f t="shared" si="34"/>
        <v>12137</v>
      </c>
      <c r="AM71" s="3563">
        <f t="shared" si="34"/>
        <v>13328</v>
      </c>
      <c r="AN71" s="3561">
        <f t="shared" ref="AN71:AV71" si="35">SUM(AN70,AN63,AN51)</f>
        <v>12377</v>
      </c>
      <c r="AO71" s="3562">
        <f t="shared" si="35"/>
        <v>12194</v>
      </c>
      <c r="AP71" s="3563">
        <f t="shared" si="35"/>
        <v>13384</v>
      </c>
      <c r="AQ71" s="3561">
        <f t="shared" si="35"/>
        <v>12265</v>
      </c>
      <c r="AR71" s="3562">
        <f t="shared" si="35"/>
        <v>12264</v>
      </c>
      <c r="AS71" s="3563">
        <f t="shared" si="35"/>
        <v>13602</v>
      </c>
      <c r="AT71" s="3561">
        <f t="shared" si="35"/>
        <v>12142</v>
      </c>
      <c r="AU71" s="3562">
        <f t="shared" si="35"/>
        <v>12024</v>
      </c>
      <c r="AV71" s="3563">
        <f t="shared" si="35"/>
        <v>13154</v>
      </c>
    </row>
    <row r="72" spans="1:48" s="6" customFormat="1" ht="15.75" customHeight="1" x14ac:dyDescent="0.25">
      <c r="A72" s="5803" t="s">
        <v>408</v>
      </c>
      <c r="B72" s="5816" t="s">
        <v>5</v>
      </c>
      <c r="C72" s="799" t="s">
        <v>503</v>
      </c>
      <c r="D72" s="800"/>
      <c r="E72" s="836"/>
      <c r="F72" s="884"/>
      <c r="G72" s="835"/>
      <c r="H72" s="836"/>
      <c r="I72" s="884"/>
      <c r="J72" s="800"/>
      <c r="K72" s="801"/>
      <c r="L72" s="884"/>
      <c r="M72" s="800"/>
      <c r="N72" s="801"/>
      <c r="O72" s="884"/>
      <c r="P72" s="800"/>
      <c r="Q72" s="801"/>
      <c r="R72" s="884"/>
      <c r="S72" s="800"/>
      <c r="T72" s="801"/>
      <c r="U72" s="884"/>
      <c r="V72" s="800"/>
      <c r="W72" s="801"/>
      <c r="X72" s="884"/>
      <c r="Y72" s="800"/>
      <c r="Z72" s="801"/>
      <c r="AA72" s="884"/>
      <c r="AB72" s="803"/>
      <c r="AC72" s="801">
        <v>26</v>
      </c>
      <c r="AD72" s="884">
        <v>57</v>
      </c>
      <c r="AE72" s="803">
        <v>50</v>
      </c>
      <c r="AF72" s="801">
        <v>46</v>
      </c>
      <c r="AG72" s="884">
        <v>78</v>
      </c>
      <c r="AH72" s="803">
        <v>72</v>
      </c>
      <c r="AI72" s="801">
        <v>90</v>
      </c>
      <c r="AJ72" s="884">
        <v>106</v>
      </c>
      <c r="AK72" s="803">
        <v>89</v>
      </c>
      <c r="AL72" s="801">
        <v>100</v>
      </c>
      <c r="AM72" s="884">
        <v>118</v>
      </c>
      <c r="AN72" s="803">
        <v>99</v>
      </c>
      <c r="AO72" s="801">
        <v>113</v>
      </c>
      <c r="AP72" s="884">
        <v>146</v>
      </c>
      <c r="AQ72" s="803">
        <v>125</v>
      </c>
      <c r="AR72" s="801">
        <v>141</v>
      </c>
      <c r="AS72" s="884">
        <v>161</v>
      </c>
      <c r="AT72" s="803">
        <v>150</v>
      </c>
      <c r="AU72" s="801">
        <v>167</v>
      </c>
      <c r="AV72" s="884">
        <v>182</v>
      </c>
    </row>
    <row r="73" spans="1:48" s="6" customFormat="1" ht="15.75" customHeight="1" x14ac:dyDescent="0.25">
      <c r="A73" s="5804"/>
      <c r="B73" s="5814"/>
      <c r="C73" s="808" t="s">
        <v>1579</v>
      </c>
      <c r="D73" s="809"/>
      <c r="E73" s="840"/>
      <c r="F73" s="4565"/>
      <c r="G73" s="841"/>
      <c r="H73" s="840"/>
      <c r="I73" s="4565"/>
      <c r="J73" s="809"/>
      <c r="K73" s="810"/>
      <c r="L73" s="4565"/>
      <c r="M73" s="809"/>
      <c r="N73" s="810"/>
      <c r="O73" s="4565"/>
      <c r="P73" s="809"/>
      <c r="Q73" s="810"/>
      <c r="R73" s="4565"/>
      <c r="S73" s="809"/>
      <c r="T73" s="810"/>
      <c r="U73" s="4565"/>
      <c r="V73" s="809"/>
      <c r="W73" s="810"/>
      <c r="X73" s="4565"/>
      <c r="Y73" s="809"/>
      <c r="Z73" s="810"/>
      <c r="AA73" s="4565"/>
      <c r="AB73" s="812"/>
      <c r="AC73" s="810"/>
      <c r="AD73" s="4565"/>
      <c r="AE73" s="812"/>
      <c r="AF73" s="810"/>
      <c r="AG73" s="4565"/>
      <c r="AH73" s="812"/>
      <c r="AI73" s="810"/>
      <c r="AJ73" s="4565"/>
      <c r="AK73" s="812"/>
      <c r="AL73" s="810"/>
      <c r="AM73" s="4565"/>
      <c r="AN73" s="812"/>
      <c r="AO73" s="810"/>
      <c r="AP73" s="4565"/>
      <c r="AQ73" s="812"/>
      <c r="AR73" s="810"/>
      <c r="AS73" s="4565"/>
      <c r="AT73" s="812"/>
      <c r="AU73" s="810">
        <v>32</v>
      </c>
      <c r="AV73" s="4565">
        <v>55</v>
      </c>
    </row>
    <row r="74" spans="1:48" s="6" customFormat="1" ht="15.75" customHeight="1" x14ac:dyDescent="0.2">
      <c r="A74" s="5804"/>
      <c r="B74" s="5815"/>
      <c r="C74" s="854" t="s">
        <v>160</v>
      </c>
      <c r="D74" s="899"/>
      <c r="E74" s="900"/>
      <c r="F74" s="901"/>
      <c r="G74" s="899"/>
      <c r="H74" s="900"/>
      <c r="I74" s="901"/>
      <c r="J74" s="899"/>
      <c r="K74" s="900"/>
      <c r="L74" s="901"/>
      <c r="M74" s="899"/>
      <c r="N74" s="900"/>
      <c r="O74" s="901"/>
      <c r="P74" s="899"/>
      <c r="Q74" s="900"/>
      <c r="R74" s="901"/>
      <c r="S74" s="899"/>
      <c r="T74" s="900"/>
      <c r="U74" s="901"/>
      <c r="V74" s="899"/>
      <c r="W74" s="900"/>
      <c r="X74" s="901"/>
      <c r="Y74" s="899"/>
      <c r="Z74" s="900"/>
      <c r="AA74" s="901"/>
      <c r="AB74" s="899"/>
      <c r="AC74" s="900">
        <f>SUM(AC72)</f>
        <v>26</v>
      </c>
      <c r="AD74" s="901">
        <f t="shared" ref="AD74:AP74" si="36">SUM(AD72)</f>
        <v>57</v>
      </c>
      <c r="AE74" s="899">
        <f t="shared" si="36"/>
        <v>50</v>
      </c>
      <c r="AF74" s="900">
        <f t="shared" si="36"/>
        <v>46</v>
      </c>
      <c r="AG74" s="901">
        <f t="shared" si="36"/>
        <v>78</v>
      </c>
      <c r="AH74" s="899">
        <f t="shared" si="36"/>
        <v>72</v>
      </c>
      <c r="AI74" s="900">
        <f t="shared" si="36"/>
        <v>90</v>
      </c>
      <c r="AJ74" s="901">
        <f t="shared" si="36"/>
        <v>106</v>
      </c>
      <c r="AK74" s="899">
        <f t="shared" si="36"/>
        <v>89</v>
      </c>
      <c r="AL74" s="900">
        <f t="shared" si="36"/>
        <v>100</v>
      </c>
      <c r="AM74" s="901">
        <f t="shared" si="36"/>
        <v>118</v>
      </c>
      <c r="AN74" s="899">
        <f t="shared" si="36"/>
        <v>99</v>
      </c>
      <c r="AO74" s="900">
        <f t="shared" si="36"/>
        <v>113</v>
      </c>
      <c r="AP74" s="901">
        <f t="shared" si="36"/>
        <v>146</v>
      </c>
      <c r="AQ74" s="899">
        <f>SUM(AQ72)</f>
        <v>125</v>
      </c>
      <c r="AR74" s="900">
        <f>SUM(AR72)</f>
        <v>141</v>
      </c>
      <c r="AS74" s="901">
        <f>SUM(AS72)</f>
        <v>161</v>
      </c>
      <c r="AT74" s="899">
        <f>SUM(AT72:AT73)</f>
        <v>150</v>
      </c>
      <c r="AU74" s="900">
        <f>SUM(AU72:AU73)</f>
        <v>199</v>
      </c>
      <c r="AV74" s="901">
        <f>SUM(AV72:AV73)</f>
        <v>237</v>
      </c>
    </row>
    <row r="75" spans="1:48" s="6" customFormat="1" ht="15.75" customHeight="1" x14ac:dyDescent="0.25">
      <c r="A75" s="5804"/>
      <c r="B75" s="5813" t="s">
        <v>6</v>
      </c>
      <c r="C75" s="826" t="s">
        <v>504</v>
      </c>
      <c r="D75" s="1455"/>
      <c r="E75" s="1456"/>
      <c r="F75" s="798"/>
      <c r="G75" s="1456"/>
      <c r="H75" s="1456"/>
      <c r="I75" s="1456"/>
      <c r="J75" s="1456"/>
      <c r="K75" s="1456"/>
      <c r="L75" s="869"/>
      <c r="M75" s="869"/>
      <c r="N75" s="865"/>
      <c r="O75" s="865"/>
      <c r="P75" s="869"/>
      <c r="Q75" s="870"/>
      <c r="R75" s="865"/>
      <c r="S75" s="869"/>
      <c r="T75" s="870"/>
      <c r="U75" s="865"/>
      <c r="V75" s="869"/>
      <c r="W75" s="870"/>
      <c r="X75" s="865"/>
      <c r="Y75" s="872"/>
      <c r="Z75" s="872"/>
      <c r="AA75" s="873"/>
      <c r="AB75" s="871"/>
      <c r="AC75" s="872">
        <v>29</v>
      </c>
      <c r="AD75" s="873">
        <v>51</v>
      </c>
      <c r="AE75" s="871">
        <v>45</v>
      </c>
      <c r="AF75" s="872">
        <v>41</v>
      </c>
      <c r="AG75" s="873">
        <v>76</v>
      </c>
      <c r="AH75" s="871">
        <v>69</v>
      </c>
      <c r="AI75" s="872">
        <v>90</v>
      </c>
      <c r="AJ75" s="873">
        <v>114</v>
      </c>
      <c r="AK75" s="871">
        <v>113</v>
      </c>
      <c r="AL75" s="872">
        <v>104</v>
      </c>
      <c r="AM75" s="873">
        <v>132</v>
      </c>
      <c r="AN75" s="871">
        <v>125</v>
      </c>
      <c r="AO75" s="872">
        <v>114</v>
      </c>
      <c r="AP75" s="873">
        <v>128</v>
      </c>
      <c r="AQ75" s="871">
        <v>112</v>
      </c>
      <c r="AR75" s="872">
        <v>145</v>
      </c>
      <c r="AS75" s="873">
        <v>151</v>
      </c>
      <c r="AT75" s="871">
        <v>144</v>
      </c>
      <c r="AU75" s="872">
        <v>162</v>
      </c>
      <c r="AV75" s="873">
        <v>161</v>
      </c>
    </row>
    <row r="76" spans="1:48" s="6" customFormat="1" ht="15.75" customHeight="1" x14ac:dyDescent="0.25">
      <c r="A76" s="5804"/>
      <c r="B76" s="5814"/>
      <c r="C76" s="828" t="s">
        <v>612</v>
      </c>
      <c r="D76" s="886"/>
      <c r="E76" s="885"/>
      <c r="F76" s="804"/>
      <c r="G76" s="885"/>
      <c r="H76" s="885"/>
      <c r="I76" s="885"/>
      <c r="J76" s="885"/>
      <c r="K76" s="885"/>
      <c r="L76" s="879"/>
      <c r="M76" s="879"/>
      <c r="N76" s="875"/>
      <c r="O76" s="875"/>
      <c r="P76" s="879"/>
      <c r="Q76" s="880"/>
      <c r="R76" s="875"/>
      <c r="S76" s="879"/>
      <c r="T76" s="880"/>
      <c r="U76" s="875"/>
      <c r="V76" s="879"/>
      <c r="W76" s="880"/>
      <c r="X76" s="875"/>
      <c r="Y76" s="882"/>
      <c r="Z76" s="882"/>
      <c r="AA76" s="883"/>
      <c r="AB76" s="881"/>
      <c r="AC76" s="882"/>
      <c r="AD76" s="883"/>
      <c r="AE76" s="881"/>
      <c r="AF76" s="882"/>
      <c r="AG76" s="883"/>
      <c r="AH76" s="881"/>
      <c r="AI76" s="882"/>
      <c r="AJ76" s="883">
        <v>18</v>
      </c>
      <c r="AK76" s="881">
        <v>15</v>
      </c>
      <c r="AL76" s="882">
        <v>15</v>
      </c>
      <c r="AM76" s="883">
        <v>31</v>
      </c>
      <c r="AN76" s="881">
        <v>29</v>
      </c>
      <c r="AO76" s="882">
        <v>28</v>
      </c>
      <c r="AP76" s="883">
        <v>46</v>
      </c>
      <c r="AQ76" s="881">
        <v>43</v>
      </c>
      <c r="AR76" s="882">
        <v>42</v>
      </c>
      <c r="AS76" s="883">
        <v>66</v>
      </c>
      <c r="AT76" s="881">
        <v>58</v>
      </c>
      <c r="AU76" s="882">
        <v>54</v>
      </c>
      <c r="AV76" s="883">
        <v>87</v>
      </c>
    </row>
    <row r="77" spans="1:48" s="6" customFormat="1" ht="15.75" customHeight="1" x14ac:dyDescent="0.2">
      <c r="A77" s="5804"/>
      <c r="B77" s="5815"/>
      <c r="C77" s="854" t="s">
        <v>160</v>
      </c>
      <c r="D77" s="899"/>
      <c r="E77" s="900"/>
      <c r="F77" s="900"/>
      <c r="G77" s="900"/>
      <c r="H77" s="900"/>
      <c r="I77" s="900"/>
      <c r="J77" s="900"/>
      <c r="K77" s="900"/>
      <c r="L77" s="900"/>
      <c r="M77" s="900"/>
      <c r="N77" s="900"/>
      <c r="O77" s="900"/>
      <c r="P77" s="900"/>
      <c r="Q77" s="900"/>
      <c r="R77" s="900"/>
      <c r="S77" s="900"/>
      <c r="T77" s="900"/>
      <c r="U77" s="900"/>
      <c r="V77" s="900"/>
      <c r="W77" s="900"/>
      <c r="X77" s="900"/>
      <c r="Y77" s="900"/>
      <c r="Z77" s="900"/>
      <c r="AA77" s="901"/>
      <c r="AB77" s="899"/>
      <c r="AC77" s="900">
        <f t="shared" ref="AC77:AJ77" si="37">SUM(AC75:AC76)</f>
        <v>29</v>
      </c>
      <c r="AD77" s="901">
        <f t="shared" si="37"/>
        <v>51</v>
      </c>
      <c r="AE77" s="899">
        <f t="shared" si="37"/>
        <v>45</v>
      </c>
      <c r="AF77" s="900">
        <f t="shared" si="37"/>
        <v>41</v>
      </c>
      <c r="AG77" s="901">
        <f t="shared" si="37"/>
        <v>76</v>
      </c>
      <c r="AH77" s="899">
        <f>SUM(AH75:AH76)</f>
        <v>69</v>
      </c>
      <c r="AI77" s="900">
        <f t="shared" si="37"/>
        <v>90</v>
      </c>
      <c r="AJ77" s="901">
        <f t="shared" si="37"/>
        <v>132</v>
      </c>
      <c r="AK77" s="899">
        <f t="shared" ref="AK77:AP77" si="38">SUM(AK75:AK76)</f>
        <v>128</v>
      </c>
      <c r="AL77" s="900">
        <f t="shared" si="38"/>
        <v>119</v>
      </c>
      <c r="AM77" s="901">
        <f t="shared" si="38"/>
        <v>163</v>
      </c>
      <c r="AN77" s="899">
        <f t="shared" si="38"/>
        <v>154</v>
      </c>
      <c r="AO77" s="900">
        <f t="shared" si="38"/>
        <v>142</v>
      </c>
      <c r="AP77" s="901">
        <f t="shared" si="38"/>
        <v>174</v>
      </c>
      <c r="AQ77" s="899">
        <f t="shared" ref="AQ77:AV77" si="39">SUM(AQ75:AQ76)</f>
        <v>155</v>
      </c>
      <c r="AR77" s="900">
        <f t="shared" si="39"/>
        <v>187</v>
      </c>
      <c r="AS77" s="901">
        <f t="shared" si="39"/>
        <v>217</v>
      </c>
      <c r="AT77" s="899">
        <f t="shared" si="39"/>
        <v>202</v>
      </c>
      <c r="AU77" s="900">
        <f t="shared" si="39"/>
        <v>216</v>
      </c>
      <c r="AV77" s="901">
        <f t="shared" si="39"/>
        <v>248</v>
      </c>
    </row>
    <row r="78" spans="1:48" s="6" customFormat="1" ht="15.75" customHeight="1" x14ac:dyDescent="0.25">
      <c r="A78" s="5805"/>
      <c r="B78" s="5816" t="s">
        <v>11</v>
      </c>
      <c r="C78" s="799" t="s">
        <v>505</v>
      </c>
      <c r="D78" s="800"/>
      <c r="E78" s="836"/>
      <c r="F78" s="884"/>
      <c r="G78" s="835"/>
      <c r="H78" s="836"/>
      <c r="I78" s="884"/>
      <c r="J78" s="800"/>
      <c r="K78" s="801"/>
      <c r="L78" s="884"/>
      <c r="M78" s="800"/>
      <c r="N78" s="801"/>
      <c r="O78" s="884"/>
      <c r="P78" s="800"/>
      <c r="Q78" s="801"/>
      <c r="R78" s="884"/>
      <c r="S78" s="800"/>
      <c r="T78" s="801"/>
      <c r="U78" s="884"/>
      <c r="V78" s="800"/>
      <c r="W78" s="801"/>
      <c r="X78" s="884"/>
      <c r="Y78" s="800"/>
      <c r="Z78" s="801"/>
      <c r="AA78" s="884"/>
      <c r="AB78" s="803"/>
      <c r="AC78" s="801">
        <v>30</v>
      </c>
      <c r="AD78" s="884">
        <v>53</v>
      </c>
      <c r="AE78" s="803">
        <v>46</v>
      </c>
      <c r="AF78" s="801">
        <v>39</v>
      </c>
      <c r="AG78" s="884">
        <v>66</v>
      </c>
      <c r="AH78" s="803">
        <v>59</v>
      </c>
      <c r="AI78" s="801">
        <v>76</v>
      </c>
      <c r="AJ78" s="884">
        <v>110</v>
      </c>
      <c r="AK78" s="803">
        <v>98</v>
      </c>
      <c r="AL78" s="801">
        <v>125</v>
      </c>
      <c r="AM78" s="884">
        <v>135</v>
      </c>
      <c r="AN78" s="803">
        <v>127</v>
      </c>
      <c r="AO78" s="801">
        <v>154</v>
      </c>
      <c r="AP78" s="884">
        <v>175</v>
      </c>
      <c r="AQ78" s="803">
        <v>166</v>
      </c>
      <c r="AR78" s="801">
        <v>186</v>
      </c>
      <c r="AS78" s="884">
        <v>220</v>
      </c>
      <c r="AT78" s="803">
        <v>195</v>
      </c>
      <c r="AU78" s="801">
        <v>220</v>
      </c>
      <c r="AV78" s="884">
        <v>222</v>
      </c>
    </row>
    <row r="79" spans="1:48" s="6" customFormat="1" ht="15.75" customHeight="1" x14ac:dyDescent="0.25">
      <c r="A79" s="5805"/>
      <c r="B79" s="5814"/>
      <c r="C79" s="808" t="s">
        <v>1582</v>
      </c>
      <c r="D79" s="809"/>
      <c r="E79" s="840"/>
      <c r="F79" s="4565"/>
      <c r="G79" s="841"/>
      <c r="H79" s="840"/>
      <c r="I79" s="4565"/>
      <c r="J79" s="809"/>
      <c r="K79" s="810"/>
      <c r="L79" s="4565"/>
      <c r="M79" s="809"/>
      <c r="N79" s="810"/>
      <c r="O79" s="4565"/>
      <c r="P79" s="809"/>
      <c r="Q79" s="810"/>
      <c r="R79" s="4565"/>
      <c r="S79" s="809"/>
      <c r="T79" s="810"/>
      <c r="U79" s="4565"/>
      <c r="V79" s="809"/>
      <c r="W79" s="810"/>
      <c r="X79" s="4565"/>
      <c r="Y79" s="809"/>
      <c r="Z79" s="810"/>
      <c r="AA79" s="4565"/>
      <c r="AB79" s="812"/>
      <c r="AC79" s="810"/>
      <c r="AD79" s="4565"/>
      <c r="AE79" s="812"/>
      <c r="AF79" s="810"/>
      <c r="AG79" s="4565"/>
      <c r="AH79" s="812"/>
      <c r="AI79" s="810"/>
      <c r="AJ79" s="4565"/>
      <c r="AK79" s="812"/>
      <c r="AL79" s="810"/>
      <c r="AM79" s="4565"/>
      <c r="AN79" s="812"/>
      <c r="AO79" s="810"/>
      <c r="AP79" s="4565"/>
      <c r="AQ79" s="812"/>
      <c r="AR79" s="810"/>
      <c r="AS79" s="4565"/>
      <c r="AT79" s="812"/>
      <c r="AU79" s="810"/>
      <c r="AV79" s="4565">
        <v>31</v>
      </c>
    </row>
    <row r="80" spans="1:48" s="6" customFormat="1" ht="15.75" customHeight="1" x14ac:dyDescent="0.2">
      <c r="A80" s="5805"/>
      <c r="B80" s="5815"/>
      <c r="C80" s="854" t="s">
        <v>160</v>
      </c>
      <c r="D80" s="899"/>
      <c r="E80" s="900"/>
      <c r="F80" s="901"/>
      <c r="G80" s="899"/>
      <c r="H80" s="900"/>
      <c r="I80" s="901"/>
      <c r="J80" s="899"/>
      <c r="K80" s="900"/>
      <c r="L80" s="901"/>
      <c r="M80" s="899"/>
      <c r="N80" s="900"/>
      <c r="O80" s="901"/>
      <c r="P80" s="899"/>
      <c r="Q80" s="900"/>
      <c r="R80" s="901"/>
      <c r="S80" s="899"/>
      <c r="T80" s="900"/>
      <c r="U80" s="901"/>
      <c r="V80" s="899"/>
      <c r="W80" s="900"/>
      <c r="X80" s="901"/>
      <c r="Y80" s="899"/>
      <c r="Z80" s="900"/>
      <c r="AA80" s="901"/>
      <c r="AB80" s="899"/>
      <c r="AC80" s="900">
        <f>SUM(AC78)</f>
        <v>30</v>
      </c>
      <c r="AD80" s="901">
        <f t="shared" ref="AD80:AP80" si="40">SUM(AD78)</f>
        <v>53</v>
      </c>
      <c r="AE80" s="899">
        <f t="shared" si="40"/>
        <v>46</v>
      </c>
      <c r="AF80" s="900">
        <f t="shared" si="40"/>
        <v>39</v>
      </c>
      <c r="AG80" s="901">
        <f t="shared" si="40"/>
        <v>66</v>
      </c>
      <c r="AH80" s="899">
        <f t="shared" si="40"/>
        <v>59</v>
      </c>
      <c r="AI80" s="900">
        <f t="shared" si="40"/>
        <v>76</v>
      </c>
      <c r="AJ80" s="901">
        <f t="shared" si="40"/>
        <v>110</v>
      </c>
      <c r="AK80" s="899">
        <f t="shared" si="40"/>
        <v>98</v>
      </c>
      <c r="AL80" s="900">
        <f t="shared" si="40"/>
        <v>125</v>
      </c>
      <c r="AM80" s="901">
        <f t="shared" si="40"/>
        <v>135</v>
      </c>
      <c r="AN80" s="899">
        <f t="shared" si="40"/>
        <v>127</v>
      </c>
      <c r="AO80" s="900">
        <f t="shared" si="40"/>
        <v>154</v>
      </c>
      <c r="AP80" s="901">
        <f t="shared" si="40"/>
        <v>175</v>
      </c>
      <c r="AQ80" s="899">
        <f>SUM(AQ78)</f>
        <v>166</v>
      </c>
      <c r="AR80" s="900">
        <f>SUM(AR78)</f>
        <v>186</v>
      </c>
      <c r="AS80" s="901">
        <f>SUM(AS78)</f>
        <v>220</v>
      </c>
      <c r="AT80" s="899">
        <f>SUM(AT78)</f>
        <v>195</v>
      </c>
      <c r="AU80" s="900">
        <f>SUM(AU78)</f>
        <v>220</v>
      </c>
      <c r="AV80" s="901">
        <f>SUM(AV78:AV79)</f>
        <v>253</v>
      </c>
    </row>
    <row r="81" spans="1:48" s="6" customFormat="1" ht="15.75" customHeight="1" x14ac:dyDescent="0.25">
      <c r="A81" s="5806"/>
      <c r="B81" s="3564"/>
      <c r="C81" s="2217" t="s">
        <v>444</v>
      </c>
      <c r="D81" s="3565"/>
      <c r="E81" s="3566"/>
      <c r="F81" s="3567"/>
      <c r="G81" s="3565"/>
      <c r="H81" s="3566"/>
      <c r="I81" s="3567"/>
      <c r="J81" s="3565"/>
      <c r="K81" s="3566"/>
      <c r="L81" s="3567"/>
      <c r="M81" s="3565"/>
      <c r="N81" s="3566"/>
      <c r="O81" s="3567"/>
      <c r="P81" s="3565"/>
      <c r="Q81" s="3566"/>
      <c r="R81" s="3567"/>
      <c r="S81" s="3565"/>
      <c r="T81" s="3566"/>
      <c r="U81" s="3567"/>
      <c r="V81" s="3565"/>
      <c r="W81" s="3566"/>
      <c r="X81" s="3567"/>
      <c r="Y81" s="3565"/>
      <c r="Z81" s="3566"/>
      <c r="AA81" s="3567"/>
      <c r="AB81" s="3565"/>
      <c r="AC81" s="3566">
        <f>SUM(AC80,AC77,AC74)</f>
        <v>85</v>
      </c>
      <c r="AD81" s="3567">
        <f t="shared" ref="AD81:AP81" si="41">SUM(AD80,AD77,AD74)</f>
        <v>161</v>
      </c>
      <c r="AE81" s="3565">
        <f t="shared" si="41"/>
        <v>141</v>
      </c>
      <c r="AF81" s="3566">
        <f t="shared" si="41"/>
        <v>126</v>
      </c>
      <c r="AG81" s="3567">
        <f t="shared" si="41"/>
        <v>220</v>
      </c>
      <c r="AH81" s="3565">
        <f t="shared" si="41"/>
        <v>200</v>
      </c>
      <c r="AI81" s="3566">
        <f t="shared" si="41"/>
        <v>256</v>
      </c>
      <c r="AJ81" s="3567">
        <f t="shared" si="41"/>
        <v>348</v>
      </c>
      <c r="AK81" s="3565">
        <f t="shared" si="41"/>
        <v>315</v>
      </c>
      <c r="AL81" s="3566">
        <f t="shared" si="41"/>
        <v>344</v>
      </c>
      <c r="AM81" s="3567">
        <f t="shared" si="41"/>
        <v>416</v>
      </c>
      <c r="AN81" s="3565">
        <f t="shared" si="41"/>
        <v>380</v>
      </c>
      <c r="AO81" s="3566">
        <f t="shared" si="41"/>
        <v>409</v>
      </c>
      <c r="AP81" s="3567">
        <f t="shared" si="41"/>
        <v>495</v>
      </c>
      <c r="AQ81" s="3565">
        <f t="shared" ref="AQ81:AV81" si="42">SUM(AQ80,AQ77,AQ74)</f>
        <v>446</v>
      </c>
      <c r="AR81" s="3566">
        <f t="shared" si="42"/>
        <v>514</v>
      </c>
      <c r="AS81" s="3567">
        <f t="shared" si="42"/>
        <v>598</v>
      </c>
      <c r="AT81" s="3565">
        <f t="shared" si="42"/>
        <v>547</v>
      </c>
      <c r="AU81" s="3566">
        <f t="shared" si="42"/>
        <v>635</v>
      </c>
      <c r="AV81" s="3567">
        <f t="shared" si="42"/>
        <v>738</v>
      </c>
    </row>
    <row r="82" spans="1:48" s="6" customFormat="1" ht="15" customHeight="1" x14ac:dyDescent="0.25">
      <c r="A82" s="5810" t="s">
        <v>163</v>
      </c>
      <c r="B82" s="5807" t="s">
        <v>6</v>
      </c>
      <c r="C82" s="828" t="s">
        <v>456</v>
      </c>
      <c r="D82" s="874">
        <v>585</v>
      </c>
      <c r="E82" s="875">
        <v>598</v>
      </c>
      <c r="F82" s="876">
        <v>605</v>
      </c>
      <c r="G82" s="874">
        <v>597</v>
      </c>
      <c r="H82" s="875">
        <v>630</v>
      </c>
      <c r="I82" s="877">
        <v>623</v>
      </c>
      <c r="J82" s="878">
        <v>644</v>
      </c>
      <c r="K82" s="879">
        <v>692</v>
      </c>
      <c r="L82" s="877">
        <v>723</v>
      </c>
      <c r="M82" s="878">
        <v>669</v>
      </c>
      <c r="N82" s="875">
        <v>712</v>
      </c>
      <c r="O82" s="876">
        <v>715</v>
      </c>
      <c r="P82" s="878">
        <v>673</v>
      </c>
      <c r="Q82" s="880">
        <v>749</v>
      </c>
      <c r="R82" s="876">
        <v>747</v>
      </c>
      <c r="S82" s="878">
        <v>719</v>
      </c>
      <c r="T82" s="880">
        <v>721</v>
      </c>
      <c r="U82" s="876">
        <v>710</v>
      </c>
      <c r="V82" s="878">
        <v>687</v>
      </c>
      <c r="W82" s="880">
        <v>723</v>
      </c>
      <c r="X82" s="876">
        <v>732</v>
      </c>
      <c r="Y82" s="881">
        <v>712</v>
      </c>
      <c r="Z82" s="882">
        <v>758</v>
      </c>
      <c r="AA82" s="883">
        <v>772</v>
      </c>
      <c r="AB82" s="881">
        <v>730</v>
      </c>
      <c r="AC82" s="882">
        <v>760</v>
      </c>
      <c r="AD82" s="883">
        <v>770</v>
      </c>
      <c r="AE82" s="881">
        <v>731</v>
      </c>
      <c r="AF82" s="882">
        <v>769</v>
      </c>
      <c r="AG82" s="883">
        <v>777</v>
      </c>
      <c r="AH82" s="881">
        <v>743</v>
      </c>
      <c r="AI82" s="882">
        <v>780</v>
      </c>
      <c r="AJ82" s="883">
        <v>763</v>
      </c>
      <c r="AK82" s="881">
        <v>682</v>
      </c>
      <c r="AL82" s="882">
        <v>783</v>
      </c>
      <c r="AM82" s="883">
        <v>782</v>
      </c>
      <c r="AN82" s="881">
        <v>744</v>
      </c>
      <c r="AO82" s="882">
        <v>761</v>
      </c>
      <c r="AP82" s="883">
        <v>805</v>
      </c>
      <c r="AQ82" s="881">
        <v>763</v>
      </c>
      <c r="AR82" s="882">
        <v>799</v>
      </c>
      <c r="AS82" s="883">
        <v>803</v>
      </c>
      <c r="AT82" s="881">
        <v>773</v>
      </c>
      <c r="AU82" s="882">
        <v>805</v>
      </c>
      <c r="AV82" s="883">
        <v>814</v>
      </c>
    </row>
    <row r="83" spans="1:48" s="6" customFormat="1" ht="15" customHeight="1" x14ac:dyDescent="0.25">
      <c r="A83" s="5811"/>
      <c r="B83" s="5808"/>
      <c r="C83" s="828" t="s">
        <v>484</v>
      </c>
      <c r="D83" s="874">
        <v>746</v>
      </c>
      <c r="E83" s="875">
        <v>774</v>
      </c>
      <c r="F83" s="876">
        <v>759</v>
      </c>
      <c r="G83" s="874">
        <v>725</v>
      </c>
      <c r="H83" s="875">
        <v>820</v>
      </c>
      <c r="I83" s="877">
        <v>850</v>
      </c>
      <c r="J83" s="878">
        <v>824</v>
      </c>
      <c r="K83" s="879">
        <v>896</v>
      </c>
      <c r="L83" s="877">
        <v>937</v>
      </c>
      <c r="M83" s="878">
        <v>896</v>
      </c>
      <c r="N83" s="875">
        <v>924</v>
      </c>
      <c r="O83" s="876">
        <v>954</v>
      </c>
      <c r="P83" s="878">
        <v>920</v>
      </c>
      <c r="Q83" s="880">
        <v>945</v>
      </c>
      <c r="R83" s="876">
        <v>927</v>
      </c>
      <c r="S83" s="878">
        <v>893</v>
      </c>
      <c r="T83" s="880">
        <v>884</v>
      </c>
      <c r="U83" s="876">
        <v>881</v>
      </c>
      <c r="V83" s="878">
        <v>839</v>
      </c>
      <c r="W83" s="880">
        <v>887</v>
      </c>
      <c r="X83" s="876">
        <v>859</v>
      </c>
      <c r="Y83" s="881">
        <v>829</v>
      </c>
      <c r="Z83" s="882">
        <v>853</v>
      </c>
      <c r="AA83" s="883">
        <v>876</v>
      </c>
      <c r="AB83" s="881">
        <v>828</v>
      </c>
      <c r="AC83" s="882">
        <v>856</v>
      </c>
      <c r="AD83" s="883">
        <v>837</v>
      </c>
      <c r="AE83" s="881">
        <v>794</v>
      </c>
      <c r="AF83" s="882">
        <v>810</v>
      </c>
      <c r="AG83" s="883">
        <v>851</v>
      </c>
      <c r="AH83" s="881">
        <v>817</v>
      </c>
      <c r="AI83" s="882">
        <v>849</v>
      </c>
      <c r="AJ83" s="883">
        <v>837</v>
      </c>
      <c r="AK83" s="881">
        <v>776</v>
      </c>
      <c r="AL83" s="882">
        <v>827</v>
      </c>
      <c r="AM83" s="883">
        <v>851</v>
      </c>
      <c r="AN83" s="881">
        <v>796</v>
      </c>
      <c r="AO83" s="882">
        <v>848</v>
      </c>
      <c r="AP83" s="883">
        <v>857</v>
      </c>
      <c r="AQ83" s="881">
        <v>804</v>
      </c>
      <c r="AR83" s="882">
        <v>818</v>
      </c>
      <c r="AS83" s="883">
        <v>834</v>
      </c>
      <c r="AT83" s="881">
        <v>809</v>
      </c>
      <c r="AU83" s="882">
        <v>844</v>
      </c>
      <c r="AV83" s="883">
        <v>855</v>
      </c>
    </row>
    <row r="84" spans="1:48" s="6" customFormat="1" ht="15" customHeight="1" x14ac:dyDescent="0.25">
      <c r="A84" s="5811"/>
      <c r="B84" s="5808"/>
      <c r="C84" s="828" t="s">
        <v>458</v>
      </c>
      <c r="D84" s="874">
        <v>505</v>
      </c>
      <c r="E84" s="875">
        <v>507</v>
      </c>
      <c r="F84" s="876">
        <v>498</v>
      </c>
      <c r="G84" s="874">
        <v>466</v>
      </c>
      <c r="H84" s="875">
        <v>529</v>
      </c>
      <c r="I84" s="877">
        <v>559</v>
      </c>
      <c r="J84" s="878">
        <v>518</v>
      </c>
      <c r="K84" s="879">
        <v>563</v>
      </c>
      <c r="L84" s="877">
        <v>605</v>
      </c>
      <c r="M84" s="878">
        <v>515</v>
      </c>
      <c r="N84" s="875">
        <v>592</v>
      </c>
      <c r="O84" s="876">
        <v>635</v>
      </c>
      <c r="P84" s="878">
        <v>592</v>
      </c>
      <c r="Q84" s="880">
        <v>619</v>
      </c>
      <c r="R84" s="876">
        <v>699</v>
      </c>
      <c r="S84" s="878">
        <v>623</v>
      </c>
      <c r="T84" s="880">
        <v>702</v>
      </c>
      <c r="U84" s="876">
        <v>722</v>
      </c>
      <c r="V84" s="878">
        <v>664</v>
      </c>
      <c r="W84" s="880">
        <v>716</v>
      </c>
      <c r="X84" s="876">
        <v>733</v>
      </c>
      <c r="Y84" s="881">
        <v>686</v>
      </c>
      <c r="Z84" s="882">
        <v>687</v>
      </c>
      <c r="AA84" s="883">
        <v>699</v>
      </c>
      <c r="AB84" s="881">
        <v>621</v>
      </c>
      <c r="AC84" s="882">
        <v>645</v>
      </c>
      <c r="AD84" s="883">
        <v>708</v>
      </c>
      <c r="AE84" s="881">
        <v>636</v>
      </c>
      <c r="AF84" s="882">
        <v>668</v>
      </c>
      <c r="AG84" s="883">
        <v>742</v>
      </c>
      <c r="AH84" s="881">
        <v>668</v>
      </c>
      <c r="AI84" s="882">
        <v>750</v>
      </c>
      <c r="AJ84" s="883">
        <v>776</v>
      </c>
      <c r="AK84" s="881">
        <v>665</v>
      </c>
      <c r="AL84" s="882">
        <v>756</v>
      </c>
      <c r="AM84" s="883">
        <v>772</v>
      </c>
      <c r="AN84" s="881">
        <v>707</v>
      </c>
      <c r="AO84" s="882">
        <v>742</v>
      </c>
      <c r="AP84" s="883">
        <v>770</v>
      </c>
      <c r="AQ84" s="881">
        <v>706</v>
      </c>
      <c r="AR84" s="882">
        <v>734</v>
      </c>
      <c r="AS84" s="883">
        <v>772</v>
      </c>
      <c r="AT84" s="881">
        <v>717</v>
      </c>
      <c r="AU84" s="882">
        <v>750</v>
      </c>
      <c r="AV84" s="883">
        <v>832</v>
      </c>
    </row>
    <row r="85" spans="1:48" s="6" customFormat="1" ht="15" customHeight="1" x14ac:dyDescent="0.25">
      <c r="A85" s="5811"/>
      <c r="B85" s="5808"/>
      <c r="C85" s="828" t="s">
        <v>485</v>
      </c>
      <c r="D85" s="874">
        <v>1364</v>
      </c>
      <c r="E85" s="875">
        <v>1364</v>
      </c>
      <c r="F85" s="876">
        <v>1405</v>
      </c>
      <c r="G85" s="874">
        <v>1350</v>
      </c>
      <c r="H85" s="875">
        <v>1429</v>
      </c>
      <c r="I85" s="877">
        <v>1506</v>
      </c>
      <c r="J85" s="878">
        <v>1447</v>
      </c>
      <c r="K85" s="879">
        <v>1556</v>
      </c>
      <c r="L85" s="877">
        <v>1630</v>
      </c>
      <c r="M85" s="878">
        <v>1585</v>
      </c>
      <c r="N85" s="875">
        <v>1589</v>
      </c>
      <c r="O85" s="876">
        <v>1609</v>
      </c>
      <c r="P85" s="878">
        <v>1556</v>
      </c>
      <c r="Q85" s="880">
        <v>1592</v>
      </c>
      <c r="R85" s="876">
        <v>1607</v>
      </c>
      <c r="S85" s="878">
        <v>1544</v>
      </c>
      <c r="T85" s="880">
        <v>1499</v>
      </c>
      <c r="U85" s="876">
        <v>1489</v>
      </c>
      <c r="V85" s="878">
        <v>1464</v>
      </c>
      <c r="W85" s="880">
        <v>1454</v>
      </c>
      <c r="X85" s="876">
        <v>1403</v>
      </c>
      <c r="Y85" s="881">
        <v>1371</v>
      </c>
      <c r="Z85" s="882">
        <v>1420</v>
      </c>
      <c r="AA85" s="883">
        <v>1426</v>
      </c>
      <c r="AB85" s="881">
        <v>1363</v>
      </c>
      <c r="AC85" s="882">
        <v>1376</v>
      </c>
      <c r="AD85" s="883">
        <v>1427</v>
      </c>
      <c r="AE85" s="881">
        <v>1363</v>
      </c>
      <c r="AF85" s="882">
        <v>1423</v>
      </c>
      <c r="AG85" s="883">
        <v>1472</v>
      </c>
      <c r="AH85" s="881">
        <v>1424</v>
      </c>
      <c r="AI85" s="882">
        <v>1421</v>
      </c>
      <c r="AJ85" s="883">
        <v>1408</v>
      </c>
      <c r="AK85" s="881">
        <v>1303</v>
      </c>
      <c r="AL85" s="882">
        <v>1368</v>
      </c>
      <c r="AM85" s="883">
        <v>1375</v>
      </c>
      <c r="AN85" s="881">
        <v>1325</v>
      </c>
      <c r="AO85" s="882">
        <v>1327</v>
      </c>
      <c r="AP85" s="883">
        <v>1330</v>
      </c>
      <c r="AQ85" s="881">
        <v>1288</v>
      </c>
      <c r="AR85" s="882">
        <v>1268</v>
      </c>
      <c r="AS85" s="883">
        <v>1273</v>
      </c>
      <c r="AT85" s="881">
        <v>1238</v>
      </c>
      <c r="AU85" s="882">
        <v>1304</v>
      </c>
      <c r="AV85" s="883">
        <v>1301</v>
      </c>
    </row>
    <row r="86" spans="1:48" s="6" customFormat="1" ht="15" customHeight="1" x14ac:dyDescent="0.25">
      <c r="A86" s="5811"/>
      <c r="B86" s="5808"/>
      <c r="C86" s="828" t="s">
        <v>459</v>
      </c>
      <c r="D86" s="874">
        <v>650</v>
      </c>
      <c r="E86" s="875">
        <v>663</v>
      </c>
      <c r="F86" s="876">
        <v>704</v>
      </c>
      <c r="G86" s="874">
        <v>687</v>
      </c>
      <c r="H86" s="875">
        <v>732</v>
      </c>
      <c r="I86" s="877">
        <v>780</v>
      </c>
      <c r="J86" s="878">
        <v>727</v>
      </c>
      <c r="K86" s="879">
        <v>727</v>
      </c>
      <c r="L86" s="877">
        <v>747</v>
      </c>
      <c r="M86" s="878">
        <v>724</v>
      </c>
      <c r="N86" s="875">
        <v>735</v>
      </c>
      <c r="O86" s="876">
        <v>740</v>
      </c>
      <c r="P86" s="878">
        <v>686</v>
      </c>
      <c r="Q86" s="880">
        <v>745</v>
      </c>
      <c r="R86" s="876">
        <v>744</v>
      </c>
      <c r="S86" s="878">
        <v>715</v>
      </c>
      <c r="T86" s="880">
        <v>721</v>
      </c>
      <c r="U86" s="876">
        <v>707</v>
      </c>
      <c r="V86" s="878">
        <v>681</v>
      </c>
      <c r="W86" s="880">
        <v>707</v>
      </c>
      <c r="X86" s="876">
        <v>687</v>
      </c>
      <c r="Y86" s="881">
        <v>661</v>
      </c>
      <c r="Z86" s="882">
        <v>698</v>
      </c>
      <c r="AA86" s="883">
        <v>698</v>
      </c>
      <c r="AB86" s="881">
        <v>651</v>
      </c>
      <c r="AC86" s="882">
        <v>696</v>
      </c>
      <c r="AD86" s="883">
        <v>724</v>
      </c>
      <c r="AE86" s="881">
        <v>683</v>
      </c>
      <c r="AF86" s="882">
        <v>676</v>
      </c>
      <c r="AG86" s="883">
        <v>729</v>
      </c>
      <c r="AH86" s="881">
        <v>694</v>
      </c>
      <c r="AI86" s="882">
        <v>685</v>
      </c>
      <c r="AJ86" s="883">
        <v>703</v>
      </c>
      <c r="AK86" s="881">
        <v>630</v>
      </c>
      <c r="AL86" s="882">
        <v>693</v>
      </c>
      <c r="AM86" s="883">
        <v>698</v>
      </c>
      <c r="AN86" s="881">
        <v>680</v>
      </c>
      <c r="AO86" s="882">
        <v>676</v>
      </c>
      <c r="AP86" s="883">
        <v>662</v>
      </c>
      <c r="AQ86" s="881">
        <v>640</v>
      </c>
      <c r="AR86" s="882">
        <v>658</v>
      </c>
      <c r="AS86" s="883">
        <v>652</v>
      </c>
      <c r="AT86" s="881">
        <v>620</v>
      </c>
      <c r="AU86" s="882">
        <v>647</v>
      </c>
      <c r="AV86" s="883">
        <v>702</v>
      </c>
    </row>
    <row r="87" spans="1:48" s="6" customFormat="1" ht="15" customHeight="1" x14ac:dyDescent="0.25">
      <c r="A87" s="5811"/>
      <c r="B87" s="5808"/>
      <c r="C87" s="799" t="s">
        <v>486</v>
      </c>
      <c r="D87" s="800">
        <v>190</v>
      </c>
      <c r="E87" s="836">
        <v>194</v>
      </c>
      <c r="F87" s="884">
        <v>202</v>
      </c>
      <c r="G87" s="835">
        <v>195</v>
      </c>
      <c r="H87" s="836">
        <v>219</v>
      </c>
      <c r="I87" s="884">
        <v>232</v>
      </c>
      <c r="J87" s="800">
        <v>221</v>
      </c>
      <c r="K87" s="801">
        <v>236</v>
      </c>
      <c r="L87" s="884">
        <v>225</v>
      </c>
      <c r="M87" s="800">
        <v>217</v>
      </c>
      <c r="N87" s="801">
        <v>232</v>
      </c>
      <c r="O87" s="884">
        <v>262</v>
      </c>
      <c r="P87" s="800">
        <v>255</v>
      </c>
      <c r="Q87" s="801">
        <v>268</v>
      </c>
      <c r="R87" s="884">
        <v>282</v>
      </c>
      <c r="S87" s="800">
        <v>253</v>
      </c>
      <c r="T87" s="801">
        <v>274</v>
      </c>
      <c r="U87" s="884">
        <v>284</v>
      </c>
      <c r="V87" s="800">
        <v>258</v>
      </c>
      <c r="W87" s="801">
        <v>271</v>
      </c>
      <c r="X87" s="884">
        <v>276</v>
      </c>
      <c r="Y87" s="800">
        <v>265</v>
      </c>
      <c r="Z87" s="801">
        <v>278</v>
      </c>
      <c r="AA87" s="884">
        <v>275</v>
      </c>
      <c r="AB87" s="803">
        <v>267</v>
      </c>
      <c r="AC87" s="801">
        <v>265</v>
      </c>
      <c r="AD87" s="884">
        <v>267</v>
      </c>
      <c r="AE87" s="803">
        <v>253</v>
      </c>
      <c r="AF87" s="801">
        <v>265</v>
      </c>
      <c r="AG87" s="884">
        <v>270</v>
      </c>
      <c r="AH87" s="803">
        <v>265</v>
      </c>
      <c r="AI87" s="801">
        <v>268</v>
      </c>
      <c r="AJ87" s="884">
        <v>266</v>
      </c>
      <c r="AK87" s="803">
        <v>247</v>
      </c>
      <c r="AL87" s="801">
        <v>276</v>
      </c>
      <c r="AM87" s="884">
        <v>304</v>
      </c>
      <c r="AN87" s="803">
        <v>293</v>
      </c>
      <c r="AO87" s="801">
        <v>324</v>
      </c>
      <c r="AP87" s="884">
        <v>357</v>
      </c>
      <c r="AQ87" s="803">
        <v>334</v>
      </c>
      <c r="AR87" s="801">
        <v>360</v>
      </c>
      <c r="AS87" s="884">
        <v>395</v>
      </c>
      <c r="AT87" s="803">
        <v>374</v>
      </c>
      <c r="AU87" s="801">
        <v>401</v>
      </c>
      <c r="AV87" s="884">
        <v>424</v>
      </c>
    </row>
    <row r="88" spans="1:48" s="6" customFormat="1" ht="15" customHeight="1" x14ac:dyDescent="0.2">
      <c r="A88" s="5811"/>
      <c r="B88" s="5809"/>
      <c r="C88" s="854" t="s">
        <v>160</v>
      </c>
      <c r="D88" s="899">
        <f>SUM(D82:D87)</f>
        <v>4040</v>
      </c>
      <c r="E88" s="900">
        <f t="shared" ref="E88:AG88" si="43">SUM(E82:E87)</f>
        <v>4100</v>
      </c>
      <c r="F88" s="901">
        <f t="shared" si="43"/>
        <v>4173</v>
      </c>
      <c r="G88" s="899">
        <f t="shared" si="43"/>
        <v>4020</v>
      </c>
      <c r="H88" s="900">
        <f t="shared" si="43"/>
        <v>4359</v>
      </c>
      <c r="I88" s="901">
        <f t="shared" si="43"/>
        <v>4550</v>
      </c>
      <c r="J88" s="899">
        <f t="shared" si="43"/>
        <v>4381</v>
      </c>
      <c r="K88" s="900">
        <f t="shared" si="43"/>
        <v>4670</v>
      </c>
      <c r="L88" s="901">
        <f t="shared" si="43"/>
        <v>4867</v>
      </c>
      <c r="M88" s="899">
        <f t="shared" si="43"/>
        <v>4606</v>
      </c>
      <c r="N88" s="900">
        <f t="shared" si="43"/>
        <v>4784</v>
      </c>
      <c r="O88" s="901">
        <f t="shared" si="43"/>
        <v>4915</v>
      </c>
      <c r="P88" s="899">
        <f t="shared" si="43"/>
        <v>4682</v>
      </c>
      <c r="Q88" s="900">
        <f t="shared" si="43"/>
        <v>4918</v>
      </c>
      <c r="R88" s="901">
        <f t="shared" si="43"/>
        <v>5006</v>
      </c>
      <c r="S88" s="899">
        <f t="shared" si="43"/>
        <v>4747</v>
      </c>
      <c r="T88" s="900">
        <f t="shared" si="43"/>
        <v>4801</v>
      </c>
      <c r="U88" s="901">
        <f t="shared" si="43"/>
        <v>4793</v>
      </c>
      <c r="V88" s="899">
        <f t="shared" si="43"/>
        <v>4593</v>
      </c>
      <c r="W88" s="900">
        <f t="shared" si="43"/>
        <v>4758</v>
      </c>
      <c r="X88" s="901">
        <f t="shared" si="43"/>
        <v>4690</v>
      </c>
      <c r="Y88" s="899">
        <f t="shared" si="43"/>
        <v>4524</v>
      </c>
      <c r="Z88" s="900">
        <f t="shared" si="43"/>
        <v>4694</v>
      </c>
      <c r="AA88" s="901">
        <f t="shared" si="43"/>
        <v>4746</v>
      </c>
      <c r="AB88" s="899">
        <f t="shared" si="43"/>
        <v>4460</v>
      </c>
      <c r="AC88" s="900">
        <f t="shared" si="43"/>
        <v>4598</v>
      </c>
      <c r="AD88" s="901">
        <f t="shared" si="43"/>
        <v>4733</v>
      </c>
      <c r="AE88" s="899">
        <f t="shared" si="43"/>
        <v>4460</v>
      </c>
      <c r="AF88" s="900">
        <f t="shared" si="43"/>
        <v>4611</v>
      </c>
      <c r="AG88" s="901">
        <f t="shared" si="43"/>
        <v>4841</v>
      </c>
      <c r="AH88" s="899">
        <f t="shared" ref="AH88:AM88" si="44">SUM(AH82:AH87)</f>
        <v>4611</v>
      </c>
      <c r="AI88" s="900">
        <f t="shared" si="44"/>
        <v>4753</v>
      </c>
      <c r="AJ88" s="901">
        <f t="shared" si="44"/>
        <v>4753</v>
      </c>
      <c r="AK88" s="899">
        <f t="shared" si="44"/>
        <v>4303</v>
      </c>
      <c r="AL88" s="900">
        <f t="shared" si="44"/>
        <v>4703</v>
      </c>
      <c r="AM88" s="901">
        <f t="shared" si="44"/>
        <v>4782</v>
      </c>
      <c r="AN88" s="899">
        <f t="shared" ref="AN88:AV88" si="45">SUM(AN82:AN87)</f>
        <v>4545</v>
      </c>
      <c r="AO88" s="900">
        <f t="shared" si="45"/>
        <v>4678</v>
      </c>
      <c r="AP88" s="901">
        <f t="shared" si="45"/>
        <v>4781</v>
      </c>
      <c r="AQ88" s="899">
        <f t="shared" si="45"/>
        <v>4535</v>
      </c>
      <c r="AR88" s="900">
        <f t="shared" si="45"/>
        <v>4637</v>
      </c>
      <c r="AS88" s="901">
        <f t="shared" si="45"/>
        <v>4729</v>
      </c>
      <c r="AT88" s="899">
        <f t="shared" si="45"/>
        <v>4531</v>
      </c>
      <c r="AU88" s="900">
        <f t="shared" si="45"/>
        <v>4751</v>
      </c>
      <c r="AV88" s="901">
        <f t="shared" si="45"/>
        <v>4928</v>
      </c>
    </row>
    <row r="89" spans="1:48" s="6" customFormat="1" ht="15" customHeight="1" x14ac:dyDescent="0.25">
      <c r="A89" s="5811"/>
      <c r="B89" s="5807" t="s">
        <v>11</v>
      </c>
      <c r="C89" s="828" t="s">
        <v>478</v>
      </c>
      <c r="D89" s="874">
        <v>542</v>
      </c>
      <c r="E89" s="875">
        <v>576</v>
      </c>
      <c r="F89" s="876">
        <v>596</v>
      </c>
      <c r="G89" s="874">
        <v>544</v>
      </c>
      <c r="H89" s="875">
        <v>571</v>
      </c>
      <c r="I89" s="877">
        <v>630</v>
      </c>
      <c r="J89" s="878">
        <v>558</v>
      </c>
      <c r="K89" s="879">
        <v>645</v>
      </c>
      <c r="L89" s="877">
        <v>733</v>
      </c>
      <c r="M89" s="878">
        <v>670</v>
      </c>
      <c r="N89" s="875">
        <v>727</v>
      </c>
      <c r="O89" s="876">
        <v>793</v>
      </c>
      <c r="P89" s="878">
        <v>713</v>
      </c>
      <c r="Q89" s="880">
        <v>768</v>
      </c>
      <c r="R89" s="876">
        <v>796</v>
      </c>
      <c r="S89" s="878">
        <v>741</v>
      </c>
      <c r="T89" s="880">
        <v>779</v>
      </c>
      <c r="U89" s="876">
        <v>805</v>
      </c>
      <c r="V89" s="878">
        <v>735</v>
      </c>
      <c r="W89" s="880">
        <v>808</v>
      </c>
      <c r="X89" s="876">
        <v>781</v>
      </c>
      <c r="Y89" s="881">
        <v>706</v>
      </c>
      <c r="Z89" s="882">
        <v>743</v>
      </c>
      <c r="AA89" s="883">
        <v>771</v>
      </c>
      <c r="AB89" s="881">
        <v>698</v>
      </c>
      <c r="AC89" s="882">
        <v>725</v>
      </c>
      <c r="AD89" s="883">
        <v>751</v>
      </c>
      <c r="AE89" s="881">
        <v>682</v>
      </c>
      <c r="AF89" s="882">
        <v>725</v>
      </c>
      <c r="AG89" s="883">
        <v>752</v>
      </c>
      <c r="AH89" s="881">
        <v>692</v>
      </c>
      <c r="AI89" s="882">
        <v>728</v>
      </c>
      <c r="AJ89" s="883">
        <v>769</v>
      </c>
      <c r="AK89" s="881">
        <v>655</v>
      </c>
      <c r="AL89" s="882">
        <v>744</v>
      </c>
      <c r="AM89" s="883">
        <v>782</v>
      </c>
      <c r="AN89" s="881">
        <v>693</v>
      </c>
      <c r="AO89" s="882">
        <v>748</v>
      </c>
      <c r="AP89" s="883">
        <v>785</v>
      </c>
      <c r="AQ89" s="881">
        <v>711</v>
      </c>
      <c r="AR89" s="882">
        <v>760</v>
      </c>
      <c r="AS89" s="883">
        <v>807</v>
      </c>
      <c r="AT89" s="881">
        <v>739</v>
      </c>
      <c r="AU89" s="882">
        <v>796</v>
      </c>
      <c r="AV89" s="883">
        <v>834</v>
      </c>
    </row>
    <row r="90" spans="1:48" s="6" customFormat="1" ht="15" customHeight="1" x14ac:dyDescent="0.25">
      <c r="A90" s="5811"/>
      <c r="B90" s="5808"/>
      <c r="C90" s="828" t="s">
        <v>487</v>
      </c>
      <c r="D90" s="874">
        <v>310</v>
      </c>
      <c r="E90" s="875">
        <v>343</v>
      </c>
      <c r="F90" s="876">
        <v>359</v>
      </c>
      <c r="G90" s="874">
        <v>323</v>
      </c>
      <c r="H90" s="875">
        <v>382</v>
      </c>
      <c r="I90" s="877">
        <v>421</v>
      </c>
      <c r="J90" s="878">
        <v>385</v>
      </c>
      <c r="K90" s="879">
        <v>446</v>
      </c>
      <c r="L90" s="877">
        <v>491</v>
      </c>
      <c r="M90" s="878">
        <v>459</v>
      </c>
      <c r="N90" s="875">
        <v>497</v>
      </c>
      <c r="O90" s="876">
        <v>539</v>
      </c>
      <c r="P90" s="878">
        <v>500</v>
      </c>
      <c r="Q90" s="880">
        <v>523</v>
      </c>
      <c r="R90" s="876">
        <v>538</v>
      </c>
      <c r="S90" s="878">
        <v>503</v>
      </c>
      <c r="T90" s="880">
        <v>535</v>
      </c>
      <c r="U90" s="876">
        <v>541</v>
      </c>
      <c r="V90" s="878">
        <v>497</v>
      </c>
      <c r="W90" s="880">
        <v>531</v>
      </c>
      <c r="X90" s="876">
        <v>545</v>
      </c>
      <c r="Y90" s="881">
        <v>533</v>
      </c>
      <c r="Z90" s="882">
        <v>564</v>
      </c>
      <c r="AA90" s="883">
        <v>580</v>
      </c>
      <c r="AB90" s="881">
        <v>540</v>
      </c>
      <c r="AC90" s="882">
        <v>553</v>
      </c>
      <c r="AD90" s="883">
        <v>580</v>
      </c>
      <c r="AE90" s="881">
        <v>535</v>
      </c>
      <c r="AF90" s="882">
        <v>544</v>
      </c>
      <c r="AG90" s="883">
        <v>554</v>
      </c>
      <c r="AH90" s="881">
        <v>509</v>
      </c>
      <c r="AI90" s="882">
        <v>527</v>
      </c>
      <c r="AJ90" s="883">
        <v>505</v>
      </c>
      <c r="AK90" s="881">
        <v>450</v>
      </c>
      <c r="AL90" s="882">
        <v>514</v>
      </c>
      <c r="AM90" s="883">
        <v>483</v>
      </c>
      <c r="AN90" s="881">
        <v>446</v>
      </c>
      <c r="AO90" s="882">
        <v>478</v>
      </c>
      <c r="AP90" s="883">
        <v>484</v>
      </c>
      <c r="AQ90" s="881">
        <v>430</v>
      </c>
      <c r="AR90" s="882">
        <v>467</v>
      </c>
      <c r="AS90" s="883">
        <v>476</v>
      </c>
      <c r="AT90" s="881">
        <v>443</v>
      </c>
      <c r="AU90" s="882">
        <v>469</v>
      </c>
      <c r="AV90" s="883">
        <v>476</v>
      </c>
    </row>
    <row r="91" spans="1:48" s="6" customFormat="1" ht="15" customHeight="1" x14ac:dyDescent="0.25">
      <c r="A91" s="5811"/>
      <c r="B91" s="5808"/>
      <c r="C91" s="828" t="s">
        <v>488</v>
      </c>
      <c r="D91" s="874">
        <v>681</v>
      </c>
      <c r="E91" s="875">
        <v>697</v>
      </c>
      <c r="F91" s="876">
        <v>726</v>
      </c>
      <c r="G91" s="874">
        <v>666</v>
      </c>
      <c r="H91" s="875">
        <v>770</v>
      </c>
      <c r="I91" s="877">
        <v>844</v>
      </c>
      <c r="J91" s="878">
        <v>816</v>
      </c>
      <c r="K91" s="879">
        <v>922</v>
      </c>
      <c r="L91" s="877">
        <v>955</v>
      </c>
      <c r="M91" s="878">
        <v>930</v>
      </c>
      <c r="N91" s="875">
        <v>992</v>
      </c>
      <c r="O91" s="876">
        <v>1020</v>
      </c>
      <c r="P91" s="878">
        <v>997</v>
      </c>
      <c r="Q91" s="880">
        <v>1026</v>
      </c>
      <c r="R91" s="876">
        <v>1013</v>
      </c>
      <c r="S91" s="878">
        <v>945</v>
      </c>
      <c r="T91" s="880">
        <v>919</v>
      </c>
      <c r="U91" s="876">
        <v>869</v>
      </c>
      <c r="V91" s="878">
        <v>799</v>
      </c>
      <c r="W91" s="880">
        <v>784</v>
      </c>
      <c r="X91" s="876">
        <v>761</v>
      </c>
      <c r="Y91" s="881">
        <v>698</v>
      </c>
      <c r="Z91" s="882">
        <v>706</v>
      </c>
      <c r="AA91" s="883">
        <v>719</v>
      </c>
      <c r="AB91" s="881">
        <v>656</v>
      </c>
      <c r="AC91" s="882">
        <v>674</v>
      </c>
      <c r="AD91" s="883">
        <v>692</v>
      </c>
      <c r="AE91" s="881">
        <v>640</v>
      </c>
      <c r="AF91" s="882">
        <v>668</v>
      </c>
      <c r="AG91" s="883">
        <v>675</v>
      </c>
      <c r="AH91" s="881">
        <v>633</v>
      </c>
      <c r="AI91" s="882">
        <v>680</v>
      </c>
      <c r="AJ91" s="883">
        <v>691</v>
      </c>
      <c r="AK91" s="881">
        <v>627</v>
      </c>
      <c r="AL91" s="882">
        <v>701</v>
      </c>
      <c r="AM91" s="883">
        <v>708</v>
      </c>
      <c r="AN91" s="881">
        <v>674</v>
      </c>
      <c r="AO91" s="882">
        <v>700</v>
      </c>
      <c r="AP91" s="883">
        <v>728</v>
      </c>
      <c r="AQ91" s="881">
        <v>674</v>
      </c>
      <c r="AR91" s="882">
        <v>701</v>
      </c>
      <c r="AS91" s="883">
        <v>747</v>
      </c>
      <c r="AT91" s="881">
        <v>716</v>
      </c>
      <c r="AU91" s="882">
        <v>762</v>
      </c>
      <c r="AV91" s="883">
        <v>795</v>
      </c>
    </row>
    <row r="92" spans="1:48" s="6" customFormat="1" ht="15" customHeight="1" x14ac:dyDescent="0.25">
      <c r="A92" s="5811"/>
      <c r="B92" s="5808"/>
      <c r="C92" s="828" t="s">
        <v>489</v>
      </c>
      <c r="D92" s="874">
        <v>866</v>
      </c>
      <c r="E92" s="875">
        <v>943</v>
      </c>
      <c r="F92" s="876">
        <v>1002</v>
      </c>
      <c r="G92" s="874">
        <v>907</v>
      </c>
      <c r="H92" s="875">
        <v>1027</v>
      </c>
      <c r="I92" s="877">
        <v>1088</v>
      </c>
      <c r="J92" s="878">
        <v>977</v>
      </c>
      <c r="K92" s="879">
        <v>1113</v>
      </c>
      <c r="L92" s="877">
        <v>1163</v>
      </c>
      <c r="M92" s="878">
        <v>1051</v>
      </c>
      <c r="N92" s="875">
        <v>1134</v>
      </c>
      <c r="O92" s="876">
        <v>1192</v>
      </c>
      <c r="P92" s="878">
        <v>1058</v>
      </c>
      <c r="Q92" s="880">
        <v>1110</v>
      </c>
      <c r="R92" s="876">
        <v>1140</v>
      </c>
      <c r="S92" s="878">
        <v>999</v>
      </c>
      <c r="T92" s="880">
        <v>1055</v>
      </c>
      <c r="U92" s="876">
        <v>1067</v>
      </c>
      <c r="V92" s="878">
        <v>968</v>
      </c>
      <c r="W92" s="880">
        <v>1031</v>
      </c>
      <c r="X92" s="876">
        <v>1043</v>
      </c>
      <c r="Y92" s="881">
        <v>993</v>
      </c>
      <c r="Z92" s="882">
        <v>1052</v>
      </c>
      <c r="AA92" s="883">
        <v>1090</v>
      </c>
      <c r="AB92" s="881">
        <v>973</v>
      </c>
      <c r="AC92" s="882">
        <v>1035</v>
      </c>
      <c r="AD92" s="883">
        <v>1057</v>
      </c>
      <c r="AE92" s="881">
        <v>952</v>
      </c>
      <c r="AF92" s="882">
        <v>1000</v>
      </c>
      <c r="AG92" s="883">
        <v>1015</v>
      </c>
      <c r="AH92" s="881">
        <v>915</v>
      </c>
      <c r="AI92" s="882">
        <v>959</v>
      </c>
      <c r="AJ92" s="883">
        <v>1009</v>
      </c>
      <c r="AK92" s="881">
        <v>871</v>
      </c>
      <c r="AL92" s="882">
        <v>991</v>
      </c>
      <c r="AM92" s="883">
        <v>1070</v>
      </c>
      <c r="AN92" s="881">
        <v>973</v>
      </c>
      <c r="AO92" s="882">
        <v>1067</v>
      </c>
      <c r="AP92" s="883">
        <v>1139</v>
      </c>
      <c r="AQ92" s="881">
        <v>1007</v>
      </c>
      <c r="AR92" s="882">
        <v>1115</v>
      </c>
      <c r="AS92" s="883">
        <v>1195</v>
      </c>
      <c r="AT92" s="881">
        <v>1093</v>
      </c>
      <c r="AU92" s="882">
        <v>1193</v>
      </c>
      <c r="AV92" s="883">
        <v>1255</v>
      </c>
    </row>
    <row r="93" spans="1:48" s="6" customFormat="1" ht="15" customHeight="1" x14ac:dyDescent="0.25">
      <c r="A93" s="5811"/>
      <c r="B93" s="5808"/>
      <c r="C93" s="828" t="s">
        <v>490</v>
      </c>
      <c r="D93" s="874">
        <v>816</v>
      </c>
      <c r="E93" s="875">
        <v>895</v>
      </c>
      <c r="F93" s="876">
        <v>966</v>
      </c>
      <c r="G93" s="874">
        <v>865</v>
      </c>
      <c r="H93" s="875">
        <v>970</v>
      </c>
      <c r="I93" s="877">
        <v>1075</v>
      </c>
      <c r="J93" s="878">
        <v>1014</v>
      </c>
      <c r="K93" s="879">
        <v>1116</v>
      </c>
      <c r="L93" s="877">
        <v>1182</v>
      </c>
      <c r="M93" s="878">
        <v>1063</v>
      </c>
      <c r="N93" s="875">
        <v>1171</v>
      </c>
      <c r="O93" s="876">
        <v>1231</v>
      </c>
      <c r="P93" s="878">
        <v>1117</v>
      </c>
      <c r="Q93" s="880">
        <v>1190</v>
      </c>
      <c r="R93" s="876">
        <v>1221</v>
      </c>
      <c r="S93" s="878">
        <v>1113</v>
      </c>
      <c r="T93" s="880">
        <v>1123</v>
      </c>
      <c r="U93" s="876">
        <v>1110</v>
      </c>
      <c r="V93" s="878">
        <v>993</v>
      </c>
      <c r="W93" s="880">
        <v>1029</v>
      </c>
      <c r="X93" s="876">
        <v>1049</v>
      </c>
      <c r="Y93" s="881">
        <v>934</v>
      </c>
      <c r="Z93" s="882">
        <v>990</v>
      </c>
      <c r="AA93" s="883">
        <v>1018</v>
      </c>
      <c r="AB93" s="881">
        <v>891</v>
      </c>
      <c r="AC93" s="882">
        <v>924</v>
      </c>
      <c r="AD93" s="883">
        <v>962</v>
      </c>
      <c r="AE93" s="881">
        <v>830</v>
      </c>
      <c r="AF93" s="882">
        <v>906</v>
      </c>
      <c r="AG93" s="883">
        <v>950</v>
      </c>
      <c r="AH93" s="881">
        <v>877</v>
      </c>
      <c r="AI93" s="882">
        <v>950</v>
      </c>
      <c r="AJ93" s="883">
        <v>1009</v>
      </c>
      <c r="AK93" s="881">
        <v>885</v>
      </c>
      <c r="AL93" s="882">
        <v>1001</v>
      </c>
      <c r="AM93" s="883">
        <v>1040</v>
      </c>
      <c r="AN93" s="881">
        <v>937</v>
      </c>
      <c r="AO93" s="882">
        <v>975</v>
      </c>
      <c r="AP93" s="883">
        <v>1054</v>
      </c>
      <c r="AQ93" s="881">
        <v>953</v>
      </c>
      <c r="AR93" s="882">
        <v>1042</v>
      </c>
      <c r="AS93" s="883">
        <v>1082</v>
      </c>
      <c r="AT93" s="881">
        <v>978</v>
      </c>
      <c r="AU93" s="882">
        <v>1042</v>
      </c>
      <c r="AV93" s="883">
        <v>1131</v>
      </c>
    </row>
    <row r="94" spans="1:48" s="6" customFormat="1" ht="15" customHeight="1" x14ac:dyDescent="0.25">
      <c r="A94" s="5811"/>
      <c r="B94" s="5808"/>
      <c r="C94" s="828" t="s">
        <v>491</v>
      </c>
      <c r="D94" s="874">
        <v>358</v>
      </c>
      <c r="E94" s="875">
        <v>386</v>
      </c>
      <c r="F94" s="876">
        <v>416</v>
      </c>
      <c r="G94" s="874">
        <v>354</v>
      </c>
      <c r="H94" s="875">
        <v>382</v>
      </c>
      <c r="I94" s="877">
        <v>394</v>
      </c>
      <c r="J94" s="878">
        <v>338</v>
      </c>
      <c r="K94" s="879">
        <v>352</v>
      </c>
      <c r="L94" s="877">
        <v>379</v>
      </c>
      <c r="M94" s="878">
        <v>331</v>
      </c>
      <c r="N94" s="875">
        <v>399</v>
      </c>
      <c r="O94" s="876">
        <v>387</v>
      </c>
      <c r="P94" s="878">
        <v>347</v>
      </c>
      <c r="Q94" s="880">
        <v>373</v>
      </c>
      <c r="R94" s="876">
        <v>436</v>
      </c>
      <c r="S94" s="878">
        <v>387</v>
      </c>
      <c r="T94" s="880">
        <v>445</v>
      </c>
      <c r="U94" s="876">
        <v>503</v>
      </c>
      <c r="V94" s="878">
        <v>455</v>
      </c>
      <c r="W94" s="880">
        <v>534</v>
      </c>
      <c r="X94" s="876">
        <v>580</v>
      </c>
      <c r="Y94" s="881">
        <v>522</v>
      </c>
      <c r="Z94" s="882">
        <v>597</v>
      </c>
      <c r="AA94" s="883">
        <v>661</v>
      </c>
      <c r="AB94" s="881">
        <v>600</v>
      </c>
      <c r="AC94" s="882">
        <v>663</v>
      </c>
      <c r="AD94" s="883">
        <v>708</v>
      </c>
      <c r="AE94" s="881">
        <v>633</v>
      </c>
      <c r="AF94" s="882">
        <v>682</v>
      </c>
      <c r="AG94" s="883">
        <v>690</v>
      </c>
      <c r="AH94" s="881">
        <v>625</v>
      </c>
      <c r="AI94" s="882">
        <v>673</v>
      </c>
      <c r="AJ94" s="883">
        <v>710</v>
      </c>
      <c r="AK94" s="881">
        <v>604</v>
      </c>
      <c r="AL94" s="882">
        <v>663</v>
      </c>
      <c r="AM94" s="883">
        <v>675</v>
      </c>
      <c r="AN94" s="881">
        <v>613</v>
      </c>
      <c r="AO94" s="882">
        <v>628</v>
      </c>
      <c r="AP94" s="883">
        <v>636</v>
      </c>
      <c r="AQ94" s="881">
        <v>571</v>
      </c>
      <c r="AR94" s="882">
        <v>597</v>
      </c>
      <c r="AS94" s="883">
        <v>643</v>
      </c>
      <c r="AT94" s="881">
        <v>564</v>
      </c>
      <c r="AU94" s="882">
        <v>603</v>
      </c>
      <c r="AV94" s="883">
        <v>664</v>
      </c>
    </row>
    <row r="95" spans="1:48" s="6" customFormat="1" ht="15" customHeight="1" x14ac:dyDescent="0.25">
      <c r="A95" s="5811"/>
      <c r="B95" s="5808"/>
      <c r="C95" s="828" t="s">
        <v>492</v>
      </c>
      <c r="D95" s="874">
        <v>815</v>
      </c>
      <c r="E95" s="875">
        <v>797</v>
      </c>
      <c r="F95" s="876">
        <v>816</v>
      </c>
      <c r="G95" s="874">
        <v>803</v>
      </c>
      <c r="H95" s="875">
        <v>896</v>
      </c>
      <c r="I95" s="877">
        <v>966</v>
      </c>
      <c r="J95" s="878">
        <v>827</v>
      </c>
      <c r="K95" s="879">
        <v>950</v>
      </c>
      <c r="L95" s="877">
        <v>988</v>
      </c>
      <c r="M95" s="878">
        <v>882</v>
      </c>
      <c r="N95" s="875">
        <v>982</v>
      </c>
      <c r="O95" s="876">
        <v>995</v>
      </c>
      <c r="P95" s="878">
        <v>916</v>
      </c>
      <c r="Q95" s="880">
        <v>973</v>
      </c>
      <c r="R95" s="876">
        <v>981</v>
      </c>
      <c r="S95" s="878">
        <v>893</v>
      </c>
      <c r="T95" s="880">
        <v>869</v>
      </c>
      <c r="U95" s="876">
        <v>994</v>
      </c>
      <c r="V95" s="878">
        <v>930</v>
      </c>
      <c r="W95" s="880">
        <v>1035</v>
      </c>
      <c r="X95" s="876">
        <v>1007</v>
      </c>
      <c r="Y95" s="881">
        <v>921</v>
      </c>
      <c r="Z95" s="882">
        <v>1021</v>
      </c>
      <c r="AA95" s="883">
        <v>982</v>
      </c>
      <c r="AB95" s="881">
        <v>922</v>
      </c>
      <c r="AC95" s="882">
        <v>999</v>
      </c>
      <c r="AD95" s="883">
        <v>1004</v>
      </c>
      <c r="AE95" s="881">
        <v>872</v>
      </c>
      <c r="AF95" s="882">
        <v>967</v>
      </c>
      <c r="AG95" s="883">
        <v>988</v>
      </c>
      <c r="AH95" s="881">
        <v>900</v>
      </c>
      <c r="AI95" s="882">
        <v>997</v>
      </c>
      <c r="AJ95" s="883">
        <v>1014</v>
      </c>
      <c r="AK95" s="881">
        <v>819</v>
      </c>
      <c r="AL95" s="882">
        <v>955</v>
      </c>
      <c r="AM95" s="883">
        <v>976</v>
      </c>
      <c r="AN95" s="881">
        <v>836</v>
      </c>
      <c r="AO95" s="882">
        <v>930</v>
      </c>
      <c r="AP95" s="883">
        <v>946</v>
      </c>
      <c r="AQ95" s="881">
        <v>783</v>
      </c>
      <c r="AR95" s="882">
        <v>882</v>
      </c>
      <c r="AS95" s="883">
        <v>923</v>
      </c>
      <c r="AT95" s="881">
        <v>808</v>
      </c>
      <c r="AU95" s="882">
        <v>911</v>
      </c>
      <c r="AV95" s="883">
        <v>908</v>
      </c>
    </row>
    <row r="96" spans="1:48" s="6" customFormat="1" ht="15" customHeight="1" x14ac:dyDescent="0.25">
      <c r="A96" s="5811"/>
      <c r="B96" s="5808"/>
      <c r="C96" s="799" t="s">
        <v>493</v>
      </c>
      <c r="D96" s="800">
        <v>402</v>
      </c>
      <c r="E96" s="836">
        <v>434</v>
      </c>
      <c r="F96" s="884">
        <v>455</v>
      </c>
      <c r="G96" s="835">
        <v>423</v>
      </c>
      <c r="H96" s="836">
        <v>475</v>
      </c>
      <c r="I96" s="884">
        <v>485</v>
      </c>
      <c r="J96" s="800">
        <v>462</v>
      </c>
      <c r="K96" s="801">
        <v>522</v>
      </c>
      <c r="L96" s="884">
        <v>555</v>
      </c>
      <c r="M96" s="800">
        <v>520</v>
      </c>
      <c r="N96" s="801">
        <v>565</v>
      </c>
      <c r="O96" s="884">
        <v>600</v>
      </c>
      <c r="P96" s="800">
        <v>580</v>
      </c>
      <c r="Q96" s="801">
        <v>580</v>
      </c>
      <c r="R96" s="884">
        <v>588</v>
      </c>
      <c r="S96" s="800">
        <v>559</v>
      </c>
      <c r="T96" s="801">
        <v>549</v>
      </c>
      <c r="U96" s="884">
        <v>555</v>
      </c>
      <c r="V96" s="800">
        <v>546</v>
      </c>
      <c r="W96" s="801">
        <v>532</v>
      </c>
      <c r="X96" s="884">
        <v>504</v>
      </c>
      <c r="Y96" s="800">
        <v>445</v>
      </c>
      <c r="Z96" s="801">
        <v>450</v>
      </c>
      <c r="AA96" s="884">
        <v>518</v>
      </c>
      <c r="AB96" s="803">
        <v>487</v>
      </c>
      <c r="AC96" s="801">
        <v>504</v>
      </c>
      <c r="AD96" s="884">
        <v>540</v>
      </c>
      <c r="AE96" s="803">
        <v>499</v>
      </c>
      <c r="AF96" s="801">
        <v>525</v>
      </c>
      <c r="AG96" s="884">
        <v>537</v>
      </c>
      <c r="AH96" s="803">
        <v>519</v>
      </c>
      <c r="AI96" s="801">
        <v>544</v>
      </c>
      <c r="AJ96" s="884">
        <v>577</v>
      </c>
      <c r="AK96" s="803">
        <v>515</v>
      </c>
      <c r="AL96" s="801">
        <v>585</v>
      </c>
      <c r="AM96" s="884">
        <v>628</v>
      </c>
      <c r="AN96" s="803">
        <v>577</v>
      </c>
      <c r="AO96" s="801">
        <v>602</v>
      </c>
      <c r="AP96" s="884">
        <v>612</v>
      </c>
      <c r="AQ96" s="803">
        <v>566</v>
      </c>
      <c r="AR96" s="801">
        <v>587</v>
      </c>
      <c r="AS96" s="884">
        <v>605</v>
      </c>
      <c r="AT96" s="803">
        <v>578</v>
      </c>
      <c r="AU96" s="801">
        <v>607</v>
      </c>
      <c r="AV96" s="884">
        <v>619</v>
      </c>
    </row>
    <row r="97" spans="1:48" s="6" customFormat="1" ht="15" customHeight="1" x14ac:dyDescent="0.2">
      <c r="A97" s="5811"/>
      <c r="B97" s="5809"/>
      <c r="C97" s="854" t="s">
        <v>160</v>
      </c>
      <c r="D97" s="899">
        <f>SUM(D89:D96)</f>
        <v>4790</v>
      </c>
      <c r="E97" s="900">
        <f t="shared" ref="E97:AG97" si="46">SUM(E89:E96)</f>
        <v>5071</v>
      </c>
      <c r="F97" s="901">
        <f t="shared" si="46"/>
        <v>5336</v>
      </c>
      <c r="G97" s="899">
        <f t="shared" si="46"/>
        <v>4885</v>
      </c>
      <c r="H97" s="900">
        <f t="shared" si="46"/>
        <v>5473</v>
      </c>
      <c r="I97" s="901">
        <f t="shared" si="46"/>
        <v>5903</v>
      </c>
      <c r="J97" s="899">
        <f t="shared" si="46"/>
        <v>5377</v>
      </c>
      <c r="K97" s="900">
        <f t="shared" si="46"/>
        <v>6066</v>
      </c>
      <c r="L97" s="901">
        <f t="shared" si="46"/>
        <v>6446</v>
      </c>
      <c r="M97" s="899">
        <f t="shared" si="46"/>
        <v>5906</v>
      </c>
      <c r="N97" s="900">
        <f t="shared" si="46"/>
        <v>6467</v>
      </c>
      <c r="O97" s="901">
        <f t="shared" si="46"/>
        <v>6757</v>
      </c>
      <c r="P97" s="899">
        <f t="shared" si="46"/>
        <v>6228</v>
      </c>
      <c r="Q97" s="900">
        <f t="shared" si="46"/>
        <v>6543</v>
      </c>
      <c r="R97" s="901">
        <f t="shared" si="46"/>
        <v>6713</v>
      </c>
      <c r="S97" s="899">
        <f t="shared" si="46"/>
        <v>6140</v>
      </c>
      <c r="T97" s="900">
        <f t="shared" si="46"/>
        <v>6274</v>
      </c>
      <c r="U97" s="901">
        <f t="shared" si="46"/>
        <v>6444</v>
      </c>
      <c r="V97" s="899">
        <f t="shared" si="46"/>
        <v>5923</v>
      </c>
      <c r="W97" s="900">
        <f t="shared" si="46"/>
        <v>6284</v>
      </c>
      <c r="X97" s="901">
        <f t="shared" si="46"/>
        <v>6270</v>
      </c>
      <c r="Y97" s="899">
        <f t="shared" si="46"/>
        <v>5752</v>
      </c>
      <c r="Z97" s="900">
        <f t="shared" si="46"/>
        <v>6123</v>
      </c>
      <c r="AA97" s="901">
        <f t="shared" si="46"/>
        <v>6339</v>
      </c>
      <c r="AB97" s="899">
        <f t="shared" si="46"/>
        <v>5767</v>
      </c>
      <c r="AC97" s="900">
        <f t="shared" si="46"/>
        <v>6077</v>
      </c>
      <c r="AD97" s="901">
        <f t="shared" si="46"/>
        <v>6294</v>
      </c>
      <c r="AE97" s="899">
        <f t="shared" si="46"/>
        <v>5643</v>
      </c>
      <c r="AF97" s="900">
        <f t="shared" si="46"/>
        <v>6017</v>
      </c>
      <c r="AG97" s="901">
        <f t="shared" si="46"/>
        <v>6161</v>
      </c>
      <c r="AH97" s="899">
        <f t="shared" ref="AH97:AM97" si="47">SUM(AH89:AH96)</f>
        <v>5670</v>
      </c>
      <c r="AI97" s="900">
        <f t="shared" si="47"/>
        <v>6058</v>
      </c>
      <c r="AJ97" s="901">
        <f t="shared" si="47"/>
        <v>6284</v>
      </c>
      <c r="AK97" s="899">
        <f t="shared" si="47"/>
        <v>5426</v>
      </c>
      <c r="AL97" s="900">
        <f t="shared" si="47"/>
        <v>6154</v>
      </c>
      <c r="AM97" s="901">
        <f t="shared" si="47"/>
        <v>6362</v>
      </c>
      <c r="AN97" s="899">
        <f t="shared" ref="AN97:AV97" si="48">SUM(AN89:AN96)</f>
        <v>5749</v>
      </c>
      <c r="AO97" s="900">
        <f t="shared" si="48"/>
        <v>6128</v>
      </c>
      <c r="AP97" s="901">
        <f t="shared" si="48"/>
        <v>6384</v>
      </c>
      <c r="AQ97" s="899">
        <f t="shared" si="48"/>
        <v>5695</v>
      </c>
      <c r="AR97" s="900">
        <f t="shared" si="48"/>
        <v>6151</v>
      </c>
      <c r="AS97" s="901">
        <f t="shared" si="48"/>
        <v>6478</v>
      </c>
      <c r="AT97" s="899">
        <f t="shared" si="48"/>
        <v>5919</v>
      </c>
      <c r="AU97" s="900">
        <f t="shared" si="48"/>
        <v>6383</v>
      </c>
      <c r="AV97" s="901">
        <f t="shared" si="48"/>
        <v>6682</v>
      </c>
    </row>
    <row r="98" spans="1:48" s="6" customFormat="1" ht="15" customHeight="1" x14ac:dyDescent="0.25">
      <c r="A98" s="5811"/>
      <c r="B98" s="5807" t="s">
        <v>7</v>
      </c>
      <c r="C98" s="828" t="s">
        <v>460</v>
      </c>
      <c r="D98" s="874">
        <v>874</v>
      </c>
      <c r="E98" s="875">
        <v>926</v>
      </c>
      <c r="F98" s="876">
        <v>1039</v>
      </c>
      <c r="G98" s="874">
        <v>909</v>
      </c>
      <c r="H98" s="875">
        <v>1027</v>
      </c>
      <c r="I98" s="877">
        <v>1067</v>
      </c>
      <c r="J98" s="878">
        <v>1012</v>
      </c>
      <c r="K98" s="879">
        <v>1105</v>
      </c>
      <c r="L98" s="877">
        <v>1126</v>
      </c>
      <c r="M98" s="878">
        <v>1075</v>
      </c>
      <c r="N98" s="875">
        <v>1155</v>
      </c>
      <c r="O98" s="876">
        <v>1110</v>
      </c>
      <c r="P98" s="878">
        <v>1047</v>
      </c>
      <c r="Q98" s="880">
        <v>1148</v>
      </c>
      <c r="R98" s="876">
        <v>1206</v>
      </c>
      <c r="S98" s="878">
        <v>1142</v>
      </c>
      <c r="T98" s="880">
        <v>1178</v>
      </c>
      <c r="U98" s="876">
        <v>1189</v>
      </c>
      <c r="V98" s="878">
        <v>1132</v>
      </c>
      <c r="W98" s="880">
        <v>1213</v>
      </c>
      <c r="X98" s="876">
        <v>1139</v>
      </c>
      <c r="Y98" s="881">
        <v>1111</v>
      </c>
      <c r="Z98" s="882">
        <v>1112</v>
      </c>
      <c r="AA98" s="876">
        <v>1108</v>
      </c>
      <c r="AB98" s="881">
        <v>1000</v>
      </c>
      <c r="AC98" s="882">
        <v>1045</v>
      </c>
      <c r="AD98" s="876">
        <v>1074</v>
      </c>
      <c r="AE98" s="881">
        <v>974</v>
      </c>
      <c r="AF98" s="882">
        <v>1003</v>
      </c>
      <c r="AG98" s="876">
        <v>1048</v>
      </c>
      <c r="AH98" s="881">
        <v>960</v>
      </c>
      <c r="AI98" s="882">
        <v>1012</v>
      </c>
      <c r="AJ98" s="876">
        <v>1055</v>
      </c>
      <c r="AK98" s="881">
        <v>950</v>
      </c>
      <c r="AL98" s="882">
        <v>1006</v>
      </c>
      <c r="AM98" s="876">
        <v>1035</v>
      </c>
      <c r="AN98" s="881">
        <v>970</v>
      </c>
      <c r="AO98" s="882">
        <v>962</v>
      </c>
      <c r="AP98" s="876">
        <v>1041</v>
      </c>
      <c r="AQ98" s="881">
        <v>934</v>
      </c>
      <c r="AR98" s="882">
        <v>1001</v>
      </c>
      <c r="AS98" s="876">
        <v>1085</v>
      </c>
      <c r="AT98" s="881">
        <v>997</v>
      </c>
      <c r="AU98" s="882">
        <v>1037</v>
      </c>
      <c r="AV98" s="876">
        <v>1083</v>
      </c>
    </row>
    <row r="99" spans="1:48" s="6" customFormat="1" ht="15" customHeight="1" x14ac:dyDescent="0.25">
      <c r="A99" s="5811"/>
      <c r="B99" s="5808"/>
      <c r="C99" s="828" t="s">
        <v>461</v>
      </c>
      <c r="D99" s="874">
        <v>472</v>
      </c>
      <c r="E99" s="875">
        <v>507</v>
      </c>
      <c r="F99" s="876">
        <v>559</v>
      </c>
      <c r="G99" s="874">
        <v>517</v>
      </c>
      <c r="H99" s="875">
        <v>561</v>
      </c>
      <c r="I99" s="877">
        <v>557</v>
      </c>
      <c r="J99" s="878">
        <v>539</v>
      </c>
      <c r="K99" s="879">
        <v>565</v>
      </c>
      <c r="L99" s="877">
        <v>577</v>
      </c>
      <c r="M99" s="878">
        <v>556</v>
      </c>
      <c r="N99" s="875">
        <v>570</v>
      </c>
      <c r="O99" s="876">
        <v>575</v>
      </c>
      <c r="P99" s="878">
        <v>560</v>
      </c>
      <c r="Q99" s="880">
        <v>553</v>
      </c>
      <c r="R99" s="876">
        <v>536</v>
      </c>
      <c r="S99" s="878">
        <v>528</v>
      </c>
      <c r="T99" s="880">
        <v>519</v>
      </c>
      <c r="U99" s="876">
        <v>477</v>
      </c>
      <c r="V99" s="878">
        <v>466</v>
      </c>
      <c r="W99" s="880">
        <v>475</v>
      </c>
      <c r="X99" s="876">
        <v>480</v>
      </c>
      <c r="Y99" s="881">
        <v>467</v>
      </c>
      <c r="Z99" s="882">
        <v>463</v>
      </c>
      <c r="AA99" s="876">
        <v>482</v>
      </c>
      <c r="AB99" s="881">
        <v>447</v>
      </c>
      <c r="AC99" s="882">
        <v>472</v>
      </c>
      <c r="AD99" s="876">
        <v>507</v>
      </c>
      <c r="AE99" s="881">
        <v>491</v>
      </c>
      <c r="AF99" s="882">
        <v>507</v>
      </c>
      <c r="AG99" s="876">
        <v>513</v>
      </c>
      <c r="AH99" s="881">
        <v>497</v>
      </c>
      <c r="AI99" s="882">
        <v>504</v>
      </c>
      <c r="AJ99" s="876">
        <v>514</v>
      </c>
      <c r="AK99" s="881">
        <v>453</v>
      </c>
      <c r="AL99" s="882">
        <v>490</v>
      </c>
      <c r="AM99" s="876">
        <v>496</v>
      </c>
      <c r="AN99" s="881">
        <v>472</v>
      </c>
      <c r="AO99" s="882">
        <v>482</v>
      </c>
      <c r="AP99" s="876">
        <v>492</v>
      </c>
      <c r="AQ99" s="881">
        <v>480</v>
      </c>
      <c r="AR99" s="882">
        <v>478</v>
      </c>
      <c r="AS99" s="876">
        <v>461</v>
      </c>
      <c r="AT99" s="881">
        <v>453</v>
      </c>
      <c r="AU99" s="882">
        <v>492</v>
      </c>
      <c r="AV99" s="876">
        <v>478</v>
      </c>
    </row>
    <row r="100" spans="1:48" s="6" customFormat="1" ht="15" customHeight="1" x14ac:dyDescent="0.25">
      <c r="A100" s="5811"/>
      <c r="B100" s="5808"/>
      <c r="C100" s="828" t="s">
        <v>462</v>
      </c>
      <c r="D100" s="874">
        <v>468</v>
      </c>
      <c r="E100" s="875">
        <v>483</v>
      </c>
      <c r="F100" s="876">
        <v>491</v>
      </c>
      <c r="G100" s="874">
        <v>488</v>
      </c>
      <c r="H100" s="875">
        <v>517</v>
      </c>
      <c r="I100" s="877">
        <v>553</v>
      </c>
      <c r="J100" s="878">
        <v>527</v>
      </c>
      <c r="K100" s="879">
        <v>541</v>
      </c>
      <c r="L100" s="877">
        <v>554</v>
      </c>
      <c r="M100" s="878">
        <v>525</v>
      </c>
      <c r="N100" s="875">
        <v>528</v>
      </c>
      <c r="O100" s="876">
        <v>551</v>
      </c>
      <c r="P100" s="878">
        <v>514</v>
      </c>
      <c r="Q100" s="880">
        <v>560</v>
      </c>
      <c r="R100" s="876">
        <v>539</v>
      </c>
      <c r="S100" s="878">
        <v>488</v>
      </c>
      <c r="T100" s="880">
        <v>515</v>
      </c>
      <c r="U100" s="876">
        <v>489</v>
      </c>
      <c r="V100" s="878">
        <v>441</v>
      </c>
      <c r="W100" s="880">
        <v>449</v>
      </c>
      <c r="X100" s="876">
        <v>426</v>
      </c>
      <c r="Y100" s="881">
        <v>409</v>
      </c>
      <c r="Z100" s="882">
        <v>439</v>
      </c>
      <c r="AA100" s="876">
        <v>433</v>
      </c>
      <c r="AB100" s="881">
        <v>392</v>
      </c>
      <c r="AC100" s="882">
        <v>417</v>
      </c>
      <c r="AD100" s="876">
        <v>447</v>
      </c>
      <c r="AE100" s="881">
        <v>386</v>
      </c>
      <c r="AF100" s="882">
        <v>433</v>
      </c>
      <c r="AG100" s="876">
        <v>458</v>
      </c>
      <c r="AH100" s="881">
        <v>433</v>
      </c>
      <c r="AI100" s="882">
        <v>436</v>
      </c>
      <c r="AJ100" s="876">
        <v>483</v>
      </c>
      <c r="AK100" s="881">
        <v>424</v>
      </c>
      <c r="AL100" s="882">
        <v>462</v>
      </c>
      <c r="AM100" s="876">
        <v>495</v>
      </c>
      <c r="AN100" s="881">
        <v>475</v>
      </c>
      <c r="AO100" s="882">
        <v>502</v>
      </c>
      <c r="AP100" s="876">
        <v>528</v>
      </c>
      <c r="AQ100" s="881">
        <v>497</v>
      </c>
      <c r="AR100" s="882">
        <v>521</v>
      </c>
      <c r="AS100" s="876">
        <v>519</v>
      </c>
      <c r="AT100" s="881">
        <v>491</v>
      </c>
      <c r="AU100" s="882">
        <v>485</v>
      </c>
      <c r="AV100" s="876">
        <v>525</v>
      </c>
    </row>
    <row r="101" spans="1:48" s="6" customFormat="1" ht="15" customHeight="1" x14ac:dyDescent="0.25">
      <c r="A101" s="5811"/>
      <c r="B101" s="5808"/>
      <c r="C101" s="799" t="s">
        <v>494</v>
      </c>
      <c r="D101" s="800">
        <v>220</v>
      </c>
      <c r="E101" s="836">
        <v>234</v>
      </c>
      <c r="F101" s="884">
        <v>261</v>
      </c>
      <c r="G101" s="835">
        <v>227</v>
      </c>
      <c r="H101" s="836">
        <v>247</v>
      </c>
      <c r="I101" s="884">
        <v>286</v>
      </c>
      <c r="J101" s="800">
        <v>264</v>
      </c>
      <c r="K101" s="801">
        <v>288</v>
      </c>
      <c r="L101" s="884">
        <v>305</v>
      </c>
      <c r="M101" s="800">
        <v>281</v>
      </c>
      <c r="N101" s="801">
        <v>284</v>
      </c>
      <c r="O101" s="884">
        <v>319</v>
      </c>
      <c r="P101" s="800">
        <v>284</v>
      </c>
      <c r="Q101" s="801">
        <v>327</v>
      </c>
      <c r="R101" s="884">
        <v>343</v>
      </c>
      <c r="S101" s="800">
        <v>318</v>
      </c>
      <c r="T101" s="801">
        <v>344</v>
      </c>
      <c r="U101" s="884">
        <v>353</v>
      </c>
      <c r="V101" s="800">
        <v>321</v>
      </c>
      <c r="W101" s="801">
        <v>366</v>
      </c>
      <c r="X101" s="884">
        <v>382</v>
      </c>
      <c r="Y101" s="800">
        <v>357</v>
      </c>
      <c r="Z101" s="801">
        <v>369</v>
      </c>
      <c r="AA101" s="884">
        <v>377</v>
      </c>
      <c r="AB101" s="803">
        <v>353</v>
      </c>
      <c r="AC101" s="801">
        <v>360</v>
      </c>
      <c r="AD101" s="884">
        <v>401</v>
      </c>
      <c r="AE101" s="803">
        <v>371</v>
      </c>
      <c r="AF101" s="801">
        <v>399</v>
      </c>
      <c r="AG101" s="884">
        <v>411</v>
      </c>
      <c r="AH101" s="803">
        <v>384</v>
      </c>
      <c r="AI101" s="801">
        <v>403</v>
      </c>
      <c r="AJ101" s="884">
        <v>402</v>
      </c>
      <c r="AK101" s="803">
        <v>362</v>
      </c>
      <c r="AL101" s="801">
        <v>403</v>
      </c>
      <c r="AM101" s="884">
        <v>397</v>
      </c>
      <c r="AN101" s="803">
        <v>382</v>
      </c>
      <c r="AO101" s="801">
        <v>362</v>
      </c>
      <c r="AP101" s="884">
        <v>398</v>
      </c>
      <c r="AQ101" s="803">
        <v>376</v>
      </c>
      <c r="AR101" s="801">
        <v>366</v>
      </c>
      <c r="AS101" s="884">
        <v>382</v>
      </c>
      <c r="AT101" s="803">
        <v>357</v>
      </c>
      <c r="AU101" s="801">
        <v>374</v>
      </c>
      <c r="AV101" s="884">
        <v>403</v>
      </c>
    </row>
    <row r="102" spans="1:48" s="6" customFormat="1" ht="15" customHeight="1" x14ac:dyDescent="0.2">
      <c r="A102" s="5811"/>
      <c r="B102" s="5809"/>
      <c r="C102" s="854" t="s">
        <v>160</v>
      </c>
      <c r="D102" s="899">
        <f>SUM(D98:D101)</f>
        <v>2034</v>
      </c>
      <c r="E102" s="900">
        <f t="shared" ref="E102:AG102" si="49">SUM(E98:E101)</f>
        <v>2150</v>
      </c>
      <c r="F102" s="901">
        <f t="shared" si="49"/>
        <v>2350</v>
      </c>
      <c r="G102" s="899">
        <f t="shared" si="49"/>
        <v>2141</v>
      </c>
      <c r="H102" s="900">
        <f t="shared" si="49"/>
        <v>2352</v>
      </c>
      <c r="I102" s="901">
        <f t="shared" si="49"/>
        <v>2463</v>
      </c>
      <c r="J102" s="899">
        <f t="shared" si="49"/>
        <v>2342</v>
      </c>
      <c r="K102" s="900">
        <f t="shared" si="49"/>
        <v>2499</v>
      </c>
      <c r="L102" s="901">
        <f t="shared" si="49"/>
        <v>2562</v>
      </c>
      <c r="M102" s="899">
        <f t="shared" si="49"/>
        <v>2437</v>
      </c>
      <c r="N102" s="900">
        <f t="shared" si="49"/>
        <v>2537</v>
      </c>
      <c r="O102" s="901">
        <f t="shared" si="49"/>
        <v>2555</v>
      </c>
      <c r="P102" s="899">
        <f t="shared" si="49"/>
        <v>2405</v>
      </c>
      <c r="Q102" s="900">
        <f t="shared" si="49"/>
        <v>2588</v>
      </c>
      <c r="R102" s="901">
        <f t="shared" si="49"/>
        <v>2624</v>
      </c>
      <c r="S102" s="899">
        <f t="shared" si="49"/>
        <v>2476</v>
      </c>
      <c r="T102" s="900">
        <f t="shared" si="49"/>
        <v>2556</v>
      </c>
      <c r="U102" s="901">
        <f t="shared" si="49"/>
        <v>2508</v>
      </c>
      <c r="V102" s="899">
        <f t="shared" si="49"/>
        <v>2360</v>
      </c>
      <c r="W102" s="900">
        <f t="shared" si="49"/>
        <v>2503</v>
      </c>
      <c r="X102" s="901">
        <f t="shared" si="49"/>
        <v>2427</v>
      </c>
      <c r="Y102" s="899">
        <f t="shared" si="49"/>
        <v>2344</v>
      </c>
      <c r="Z102" s="900">
        <f t="shared" si="49"/>
        <v>2383</v>
      </c>
      <c r="AA102" s="901">
        <f t="shared" si="49"/>
        <v>2400</v>
      </c>
      <c r="AB102" s="899">
        <f t="shared" si="49"/>
        <v>2192</v>
      </c>
      <c r="AC102" s="900">
        <f t="shared" si="49"/>
        <v>2294</v>
      </c>
      <c r="AD102" s="901">
        <f t="shared" si="49"/>
        <v>2429</v>
      </c>
      <c r="AE102" s="899">
        <f t="shared" si="49"/>
        <v>2222</v>
      </c>
      <c r="AF102" s="900">
        <f t="shared" si="49"/>
        <v>2342</v>
      </c>
      <c r="AG102" s="901">
        <f t="shared" si="49"/>
        <v>2430</v>
      </c>
      <c r="AH102" s="899">
        <f t="shared" ref="AH102:AM102" si="50">SUM(AH98:AH101)</f>
        <v>2274</v>
      </c>
      <c r="AI102" s="900">
        <f t="shared" si="50"/>
        <v>2355</v>
      </c>
      <c r="AJ102" s="901">
        <f t="shared" si="50"/>
        <v>2454</v>
      </c>
      <c r="AK102" s="899">
        <f t="shared" si="50"/>
        <v>2189</v>
      </c>
      <c r="AL102" s="900">
        <f t="shared" si="50"/>
        <v>2361</v>
      </c>
      <c r="AM102" s="901">
        <f t="shared" si="50"/>
        <v>2423</v>
      </c>
      <c r="AN102" s="899">
        <f t="shared" ref="AN102:AV102" si="51">SUM(AN98:AN101)</f>
        <v>2299</v>
      </c>
      <c r="AO102" s="900">
        <f t="shared" si="51"/>
        <v>2308</v>
      </c>
      <c r="AP102" s="901">
        <f t="shared" si="51"/>
        <v>2459</v>
      </c>
      <c r="AQ102" s="899">
        <f t="shared" si="51"/>
        <v>2287</v>
      </c>
      <c r="AR102" s="900">
        <f t="shared" si="51"/>
        <v>2366</v>
      </c>
      <c r="AS102" s="901">
        <f t="shared" si="51"/>
        <v>2447</v>
      </c>
      <c r="AT102" s="899">
        <f t="shared" si="51"/>
        <v>2298</v>
      </c>
      <c r="AU102" s="900">
        <f t="shared" si="51"/>
        <v>2388</v>
      </c>
      <c r="AV102" s="901">
        <f t="shared" si="51"/>
        <v>2489</v>
      </c>
    </row>
    <row r="103" spans="1:48" s="6" customFormat="1" ht="15" customHeight="1" x14ac:dyDescent="0.25">
      <c r="A103" s="5812"/>
      <c r="B103" s="3568"/>
      <c r="C103" s="3569" t="s">
        <v>444</v>
      </c>
      <c r="D103" s="3570">
        <f>SUM(D102,D97,D88)</f>
        <v>10864</v>
      </c>
      <c r="E103" s="3571">
        <f t="shared" ref="E103:AG103" si="52">SUM(E102,E97,E88)</f>
        <v>11321</v>
      </c>
      <c r="F103" s="3572">
        <f t="shared" si="52"/>
        <v>11859</v>
      </c>
      <c r="G103" s="3570">
        <f t="shared" si="52"/>
        <v>11046</v>
      </c>
      <c r="H103" s="3571">
        <f t="shared" si="52"/>
        <v>12184</v>
      </c>
      <c r="I103" s="3572">
        <f t="shared" si="52"/>
        <v>12916</v>
      </c>
      <c r="J103" s="3570">
        <f t="shared" si="52"/>
        <v>12100</v>
      </c>
      <c r="K103" s="3571">
        <f t="shared" si="52"/>
        <v>13235</v>
      </c>
      <c r="L103" s="3572">
        <f t="shared" si="52"/>
        <v>13875</v>
      </c>
      <c r="M103" s="3570">
        <f t="shared" si="52"/>
        <v>12949</v>
      </c>
      <c r="N103" s="3571">
        <f t="shared" si="52"/>
        <v>13788</v>
      </c>
      <c r="O103" s="3572">
        <f t="shared" si="52"/>
        <v>14227</v>
      </c>
      <c r="P103" s="3570">
        <f t="shared" si="52"/>
        <v>13315</v>
      </c>
      <c r="Q103" s="3571">
        <f t="shared" si="52"/>
        <v>14049</v>
      </c>
      <c r="R103" s="3572">
        <f t="shared" si="52"/>
        <v>14343</v>
      </c>
      <c r="S103" s="3570">
        <f t="shared" si="52"/>
        <v>13363</v>
      </c>
      <c r="T103" s="3571">
        <f t="shared" si="52"/>
        <v>13631</v>
      </c>
      <c r="U103" s="3572">
        <f t="shared" si="52"/>
        <v>13745</v>
      </c>
      <c r="V103" s="3570">
        <f t="shared" si="52"/>
        <v>12876</v>
      </c>
      <c r="W103" s="3571">
        <f t="shared" si="52"/>
        <v>13545</v>
      </c>
      <c r="X103" s="3572">
        <f t="shared" si="52"/>
        <v>13387</v>
      </c>
      <c r="Y103" s="3570">
        <f t="shared" si="52"/>
        <v>12620</v>
      </c>
      <c r="Z103" s="3571">
        <f t="shared" si="52"/>
        <v>13200</v>
      </c>
      <c r="AA103" s="3572">
        <f t="shared" si="52"/>
        <v>13485</v>
      </c>
      <c r="AB103" s="3570">
        <f t="shared" si="52"/>
        <v>12419</v>
      </c>
      <c r="AC103" s="3571">
        <f t="shared" si="52"/>
        <v>12969</v>
      </c>
      <c r="AD103" s="3572">
        <f t="shared" si="52"/>
        <v>13456</v>
      </c>
      <c r="AE103" s="3570">
        <f t="shared" si="52"/>
        <v>12325</v>
      </c>
      <c r="AF103" s="3571">
        <f t="shared" si="52"/>
        <v>12970</v>
      </c>
      <c r="AG103" s="3572">
        <f t="shared" si="52"/>
        <v>13432</v>
      </c>
      <c r="AH103" s="3570">
        <f t="shared" ref="AH103:AM103" si="53">SUM(AH102,AH97,AH88)</f>
        <v>12555</v>
      </c>
      <c r="AI103" s="3571">
        <f t="shared" si="53"/>
        <v>13166</v>
      </c>
      <c r="AJ103" s="3572">
        <f t="shared" si="53"/>
        <v>13491</v>
      </c>
      <c r="AK103" s="3570">
        <f t="shared" si="53"/>
        <v>11918</v>
      </c>
      <c r="AL103" s="3571">
        <f t="shared" si="53"/>
        <v>13218</v>
      </c>
      <c r="AM103" s="3572">
        <f t="shared" si="53"/>
        <v>13567</v>
      </c>
      <c r="AN103" s="3570">
        <f t="shared" ref="AN103:AV103" si="54">SUM(AN102,AN97,AN88)</f>
        <v>12593</v>
      </c>
      <c r="AO103" s="3571">
        <f t="shared" si="54"/>
        <v>13114</v>
      </c>
      <c r="AP103" s="3572">
        <f t="shared" si="54"/>
        <v>13624</v>
      </c>
      <c r="AQ103" s="3570">
        <f t="shared" si="54"/>
        <v>12517</v>
      </c>
      <c r="AR103" s="3571">
        <f t="shared" si="54"/>
        <v>13154</v>
      </c>
      <c r="AS103" s="3572">
        <f t="shared" si="54"/>
        <v>13654</v>
      </c>
      <c r="AT103" s="3570">
        <f t="shared" si="54"/>
        <v>12748</v>
      </c>
      <c r="AU103" s="3571">
        <f t="shared" si="54"/>
        <v>13522</v>
      </c>
      <c r="AV103" s="3572">
        <f t="shared" si="54"/>
        <v>14099</v>
      </c>
    </row>
    <row r="104" spans="1:48" s="6" customFormat="1" ht="15" customHeight="1" x14ac:dyDescent="0.2"/>
    <row r="105" spans="1:48" s="7" customFormat="1" ht="15" x14ac:dyDescent="0.25">
      <c r="B105" s="5801" t="s">
        <v>76</v>
      </c>
      <c r="C105" s="5802"/>
      <c r="D105" s="588">
        <f>SUM(D25,D40,D71,D81,D103)</f>
        <v>31801</v>
      </c>
      <c r="E105" s="933">
        <f t="shared" ref="E105:AG105" si="55">SUM(E25,E40,E71,E81,E103)</f>
        <v>32394</v>
      </c>
      <c r="F105" s="934">
        <f t="shared" si="55"/>
        <v>34309</v>
      </c>
      <c r="G105" s="588">
        <f t="shared" si="55"/>
        <v>31650</v>
      </c>
      <c r="H105" s="933">
        <f t="shared" si="55"/>
        <v>33022</v>
      </c>
      <c r="I105" s="934">
        <f t="shared" si="55"/>
        <v>35567</v>
      </c>
      <c r="J105" s="588">
        <f t="shared" si="55"/>
        <v>32915</v>
      </c>
      <c r="K105" s="933">
        <f t="shared" si="55"/>
        <v>34545</v>
      </c>
      <c r="L105" s="934">
        <f t="shared" si="55"/>
        <v>37008</v>
      </c>
      <c r="M105" s="588">
        <f t="shared" si="55"/>
        <v>34125</v>
      </c>
      <c r="N105" s="933">
        <f t="shared" si="55"/>
        <v>35487</v>
      </c>
      <c r="O105" s="934">
        <f t="shared" si="55"/>
        <v>37745</v>
      </c>
      <c r="P105" s="588">
        <f t="shared" si="55"/>
        <v>35107</v>
      </c>
      <c r="Q105" s="933">
        <f t="shared" si="55"/>
        <v>36252</v>
      </c>
      <c r="R105" s="934">
        <f t="shared" si="55"/>
        <v>38403</v>
      </c>
      <c r="S105" s="588">
        <f t="shared" si="55"/>
        <v>35784</v>
      </c>
      <c r="T105" s="933">
        <f t="shared" si="55"/>
        <v>36078</v>
      </c>
      <c r="U105" s="934">
        <f t="shared" si="55"/>
        <v>38365</v>
      </c>
      <c r="V105" s="588">
        <f t="shared" si="55"/>
        <v>36212</v>
      </c>
      <c r="W105" s="933">
        <f t="shared" si="55"/>
        <v>37543</v>
      </c>
      <c r="X105" s="934">
        <f t="shared" si="55"/>
        <v>38910</v>
      </c>
      <c r="Y105" s="588">
        <f t="shared" si="55"/>
        <v>36709</v>
      </c>
      <c r="Z105" s="933">
        <f t="shared" si="55"/>
        <v>38127</v>
      </c>
      <c r="AA105" s="934">
        <f t="shared" si="55"/>
        <v>40712</v>
      </c>
      <c r="AB105" s="588">
        <f t="shared" si="55"/>
        <v>37381</v>
      </c>
      <c r="AC105" s="933">
        <f t="shared" si="55"/>
        <v>39436</v>
      </c>
      <c r="AD105" s="934">
        <f t="shared" si="55"/>
        <v>41235</v>
      </c>
      <c r="AE105" s="588">
        <f t="shared" si="55"/>
        <v>38652</v>
      </c>
      <c r="AF105" s="933">
        <f t="shared" si="55"/>
        <v>40425</v>
      </c>
      <c r="AG105" s="934">
        <f t="shared" si="55"/>
        <v>42242</v>
      </c>
      <c r="AH105" s="588">
        <f t="shared" ref="AH105:AM105" si="56">SUM(AH25,AH40,AH71,AH81,AH103)</f>
        <v>39886</v>
      </c>
      <c r="AI105" s="933">
        <f t="shared" si="56"/>
        <v>41530</v>
      </c>
      <c r="AJ105" s="934">
        <f t="shared" si="56"/>
        <v>43762</v>
      </c>
      <c r="AK105" s="588">
        <f t="shared" si="56"/>
        <v>39805</v>
      </c>
      <c r="AL105" s="933">
        <f t="shared" si="56"/>
        <v>41649</v>
      </c>
      <c r="AM105" s="934">
        <f t="shared" si="56"/>
        <v>44301</v>
      </c>
      <c r="AN105" s="588">
        <f t="shared" ref="AN105:AV105" si="57">SUM(AN25,AN40,AN71,AN81,AN103)</f>
        <v>40889</v>
      </c>
      <c r="AO105" s="933">
        <f t="shared" si="57"/>
        <v>41926</v>
      </c>
      <c r="AP105" s="934">
        <f t="shared" si="57"/>
        <v>44712</v>
      </c>
      <c r="AQ105" s="588">
        <f t="shared" si="57"/>
        <v>40840</v>
      </c>
      <c r="AR105" s="933">
        <f t="shared" si="57"/>
        <v>42156</v>
      </c>
      <c r="AS105" s="934">
        <f t="shared" si="57"/>
        <v>45078</v>
      </c>
      <c r="AT105" s="588">
        <f t="shared" si="57"/>
        <v>39729</v>
      </c>
      <c r="AU105" s="933">
        <f t="shared" si="57"/>
        <v>42571</v>
      </c>
      <c r="AV105" s="934">
        <f t="shared" si="57"/>
        <v>45207</v>
      </c>
    </row>
    <row r="106" spans="1:48" s="8" customFormat="1" ht="15" x14ac:dyDescent="0.25">
      <c r="B106" s="5800"/>
      <c r="C106" s="5800"/>
      <c r="D106" s="5800"/>
      <c r="E106" s="5800"/>
      <c r="F106" s="7"/>
      <c r="I106" s="7"/>
      <c r="L106" s="7"/>
      <c r="O106" s="7"/>
      <c r="R106" s="7"/>
    </row>
    <row r="107" spans="1:48" s="8" customFormat="1" ht="15" x14ac:dyDescent="0.25">
      <c r="B107" s="240" t="s">
        <v>648</v>
      </c>
      <c r="C107" s="142"/>
      <c r="F107" s="7"/>
      <c r="I107" s="7"/>
      <c r="L107" s="7"/>
      <c r="O107" s="7"/>
      <c r="R107" s="7"/>
    </row>
    <row r="110" spans="1:48" x14ac:dyDescent="0.2">
      <c r="Y110" s="10"/>
      <c r="Z110" s="10"/>
      <c r="AA110" s="10"/>
    </row>
  </sheetData>
  <sheetProtection algorithmName="SHA-512" hashValue="TvShtJk+CIvV9b6yk2GPi3X499l5DOqNYTtIQD0w5AdSaEL/66I+AqwCNF/HWurgZ3oGKtYHwEQd5+flO8iwmg==" saltValue="6beTj3CCIYJ5/SWoOb2FgA==" spinCount="100000" sheet="1" objects="1" scenarios="1"/>
  <mergeCells count="41">
    <mergeCell ref="AT3:AV3"/>
    <mergeCell ref="AQ3:AS3"/>
    <mergeCell ref="AN3:AP3"/>
    <mergeCell ref="A1:C1"/>
    <mergeCell ref="A41:A71"/>
    <mergeCell ref="B41:B51"/>
    <mergeCell ref="B52:B63"/>
    <mergeCell ref="B64:B70"/>
    <mergeCell ref="A5:A25"/>
    <mergeCell ref="B5:B15"/>
    <mergeCell ref="B16:B20"/>
    <mergeCell ref="B21:B24"/>
    <mergeCell ref="A26:A40"/>
    <mergeCell ref="B26:B30"/>
    <mergeCell ref="B31:B34"/>
    <mergeCell ref="B35:B39"/>
    <mergeCell ref="D3:F3"/>
    <mergeCell ref="A3:A4"/>
    <mergeCell ref="B106:E106"/>
    <mergeCell ref="B105:C105"/>
    <mergeCell ref="A72:A81"/>
    <mergeCell ref="B82:B88"/>
    <mergeCell ref="B89:B97"/>
    <mergeCell ref="B98:B102"/>
    <mergeCell ref="A82:A103"/>
    <mergeCell ref="B75:B77"/>
    <mergeCell ref="B72:B74"/>
    <mergeCell ref="B78:B80"/>
    <mergeCell ref="B3:B4"/>
    <mergeCell ref="C3:C4"/>
    <mergeCell ref="G3:I3"/>
    <mergeCell ref="J3:L3"/>
    <mergeCell ref="M3:O3"/>
    <mergeCell ref="P3:R3"/>
    <mergeCell ref="S3:U3"/>
    <mergeCell ref="V3:X3"/>
    <mergeCell ref="AK3:AM3"/>
    <mergeCell ref="AH3:AJ3"/>
    <mergeCell ref="Y3:AA3"/>
    <mergeCell ref="AB3:AD3"/>
    <mergeCell ref="AE3:AG3"/>
  </mergeCells>
  <printOptions horizontalCentered="1" verticalCentered="1"/>
  <pageMargins left="0.27559055118110237" right="0.27559055118110237" top="0.19685039370078741" bottom="0.19685039370078741" header="0" footer="0.31496062992125984"/>
  <pageSetup scale="51" pageOrder="overThenDown" orientation="landscape" horizontalDpi="1200" verticalDpi="1200" r:id="rId1"/>
  <headerFooter alignWithMargins="0"/>
  <rowBreaks count="1" manualBreakCount="1">
    <brk id="71" max="38" man="1"/>
  </rowBreaks>
  <colBreaks count="2" manualBreakCount="2">
    <brk id="21" max="101" man="1"/>
    <brk id="39" max="1048575" man="1"/>
  </colBreaks>
  <ignoredErrors>
    <ignoredError sqref="AC77:AG77 AH77:AM77 AN77:AP77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U90"/>
  <sheetViews>
    <sheetView showGridLines="0" zoomScaleNormal="100" zoomScaleSheetLayoutView="50" workbookViewId="0">
      <pane xSplit="2" ySplit="5" topLeftCell="X23" activePane="bottomRight" state="frozen"/>
      <selection sqref="A1:E1"/>
      <selection pane="topRight" sqref="A1:E1"/>
      <selection pane="bottomLeft" sqref="A1:E1"/>
      <selection pane="bottomRight" activeCell="AR45" sqref="AR45"/>
    </sheetView>
  </sheetViews>
  <sheetFormatPr baseColWidth="10" defaultRowHeight="12.75" x14ac:dyDescent="0.2"/>
  <cols>
    <col min="1" max="1" width="16.5703125" customWidth="1"/>
    <col min="2" max="2" width="9.7109375" bestFit="1" customWidth="1"/>
    <col min="3" max="41" width="8.7109375" customWidth="1"/>
    <col min="42" max="47" width="9.7109375" customWidth="1"/>
    <col min="256" max="256" width="1.7109375" customWidth="1"/>
    <col min="257" max="257" width="18.7109375" customWidth="1"/>
    <col min="258" max="258" width="16.140625" customWidth="1"/>
    <col min="259" max="279" width="12.7109375" customWidth="1"/>
    <col min="512" max="512" width="1.7109375" customWidth="1"/>
    <col min="513" max="513" width="18.7109375" customWidth="1"/>
    <col min="514" max="514" width="16.140625" customWidth="1"/>
    <col min="515" max="535" width="12.7109375" customWidth="1"/>
    <col min="768" max="768" width="1.7109375" customWidth="1"/>
    <col min="769" max="769" width="18.7109375" customWidth="1"/>
    <col min="770" max="770" width="16.140625" customWidth="1"/>
    <col min="771" max="791" width="12.7109375" customWidth="1"/>
    <col min="1024" max="1024" width="1.7109375" customWidth="1"/>
    <col min="1025" max="1025" width="18.7109375" customWidth="1"/>
    <col min="1026" max="1026" width="16.140625" customWidth="1"/>
    <col min="1027" max="1047" width="12.7109375" customWidth="1"/>
    <col min="1280" max="1280" width="1.7109375" customWidth="1"/>
    <col min="1281" max="1281" width="18.7109375" customWidth="1"/>
    <col min="1282" max="1282" width="16.140625" customWidth="1"/>
    <col min="1283" max="1303" width="12.7109375" customWidth="1"/>
    <col min="1536" max="1536" width="1.7109375" customWidth="1"/>
    <col min="1537" max="1537" width="18.7109375" customWidth="1"/>
    <col min="1538" max="1538" width="16.140625" customWidth="1"/>
    <col min="1539" max="1559" width="12.7109375" customWidth="1"/>
    <col min="1792" max="1792" width="1.7109375" customWidth="1"/>
    <col min="1793" max="1793" width="18.7109375" customWidth="1"/>
    <col min="1794" max="1794" width="16.140625" customWidth="1"/>
    <col min="1795" max="1815" width="12.7109375" customWidth="1"/>
    <col min="2048" max="2048" width="1.7109375" customWidth="1"/>
    <col min="2049" max="2049" width="18.7109375" customWidth="1"/>
    <col min="2050" max="2050" width="16.140625" customWidth="1"/>
    <col min="2051" max="2071" width="12.7109375" customWidth="1"/>
    <col min="2304" max="2304" width="1.7109375" customWidth="1"/>
    <col min="2305" max="2305" width="18.7109375" customWidth="1"/>
    <col min="2306" max="2306" width="16.140625" customWidth="1"/>
    <col min="2307" max="2327" width="12.7109375" customWidth="1"/>
    <col min="2560" max="2560" width="1.7109375" customWidth="1"/>
    <col min="2561" max="2561" width="18.7109375" customWidth="1"/>
    <col min="2562" max="2562" width="16.140625" customWidth="1"/>
    <col min="2563" max="2583" width="12.7109375" customWidth="1"/>
    <col min="2816" max="2816" width="1.7109375" customWidth="1"/>
    <col min="2817" max="2817" width="18.7109375" customWidth="1"/>
    <col min="2818" max="2818" width="16.140625" customWidth="1"/>
    <col min="2819" max="2839" width="12.7109375" customWidth="1"/>
    <col min="3072" max="3072" width="1.7109375" customWidth="1"/>
    <col min="3073" max="3073" width="18.7109375" customWidth="1"/>
    <col min="3074" max="3074" width="16.140625" customWidth="1"/>
    <col min="3075" max="3095" width="12.7109375" customWidth="1"/>
    <col min="3328" max="3328" width="1.7109375" customWidth="1"/>
    <col min="3329" max="3329" width="18.7109375" customWidth="1"/>
    <col min="3330" max="3330" width="16.140625" customWidth="1"/>
    <col min="3331" max="3351" width="12.7109375" customWidth="1"/>
    <col min="3584" max="3584" width="1.7109375" customWidth="1"/>
    <col min="3585" max="3585" width="18.7109375" customWidth="1"/>
    <col min="3586" max="3586" width="16.140625" customWidth="1"/>
    <col min="3587" max="3607" width="12.7109375" customWidth="1"/>
    <col min="3840" max="3840" width="1.7109375" customWidth="1"/>
    <col min="3841" max="3841" width="18.7109375" customWidth="1"/>
    <col min="3842" max="3842" width="16.140625" customWidth="1"/>
    <col min="3843" max="3863" width="12.7109375" customWidth="1"/>
    <col min="4096" max="4096" width="1.7109375" customWidth="1"/>
    <col min="4097" max="4097" width="18.7109375" customWidth="1"/>
    <col min="4098" max="4098" width="16.140625" customWidth="1"/>
    <col min="4099" max="4119" width="12.7109375" customWidth="1"/>
    <col min="4352" max="4352" width="1.7109375" customWidth="1"/>
    <col min="4353" max="4353" width="18.7109375" customWidth="1"/>
    <col min="4354" max="4354" width="16.140625" customWidth="1"/>
    <col min="4355" max="4375" width="12.7109375" customWidth="1"/>
    <col min="4608" max="4608" width="1.7109375" customWidth="1"/>
    <col min="4609" max="4609" width="18.7109375" customWidth="1"/>
    <col min="4610" max="4610" width="16.140625" customWidth="1"/>
    <col min="4611" max="4631" width="12.7109375" customWidth="1"/>
    <col min="4864" max="4864" width="1.7109375" customWidth="1"/>
    <col min="4865" max="4865" width="18.7109375" customWidth="1"/>
    <col min="4866" max="4866" width="16.140625" customWidth="1"/>
    <col min="4867" max="4887" width="12.7109375" customWidth="1"/>
    <col min="5120" max="5120" width="1.7109375" customWidth="1"/>
    <col min="5121" max="5121" width="18.7109375" customWidth="1"/>
    <col min="5122" max="5122" width="16.140625" customWidth="1"/>
    <col min="5123" max="5143" width="12.7109375" customWidth="1"/>
    <col min="5376" max="5376" width="1.7109375" customWidth="1"/>
    <col min="5377" max="5377" width="18.7109375" customWidth="1"/>
    <col min="5378" max="5378" width="16.140625" customWidth="1"/>
    <col min="5379" max="5399" width="12.7109375" customWidth="1"/>
    <col min="5632" max="5632" width="1.7109375" customWidth="1"/>
    <col min="5633" max="5633" width="18.7109375" customWidth="1"/>
    <col min="5634" max="5634" width="16.140625" customWidth="1"/>
    <col min="5635" max="5655" width="12.7109375" customWidth="1"/>
    <col min="5888" max="5888" width="1.7109375" customWidth="1"/>
    <col min="5889" max="5889" width="18.7109375" customWidth="1"/>
    <col min="5890" max="5890" width="16.140625" customWidth="1"/>
    <col min="5891" max="5911" width="12.7109375" customWidth="1"/>
    <col min="6144" max="6144" width="1.7109375" customWidth="1"/>
    <col min="6145" max="6145" width="18.7109375" customWidth="1"/>
    <col min="6146" max="6146" width="16.140625" customWidth="1"/>
    <col min="6147" max="6167" width="12.7109375" customWidth="1"/>
    <col min="6400" max="6400" width="1.7109375" customWidth="1"/>
    <col min="6401" max="6401" width="18.7109375" customWidth="1"/>
    <col min="6402" max="6402" width="16.140625" customWidth="1"/>
    <col min="6403" max="6423" width="12.7109375" customWidth="1"/>
    <col min="6656" max="6656" width="1.7109375" customWidth="1"/>
    <col min="6657" max="6657" width="18.7109375" customWidth="1"/>
    <col min="6658" max="6658" width="16.140625" customWidth="1"/>
    <col min="6659" max="6679" width="12.7109375" customWidth="1"/>
    <col min="6912" max="6912" width="1.7109375" customWidth="1"/>
    <col min="6913" max="6913" width="18.7109375" customWidth="1"/>
    <col min="6914" max="6914" width="16.140625" customWidth="1"/>
    <col min="6915" max="6935" width="12.7109375" customWidth="1"/>
    <col min="7168" max="7168" width="1.7109375" customWidth="1"/>
    <col min="7169" max="7169" width="18.7109375" customWidth="1"/>
    <col min="7170" max="7170" width="16.140625" customWidth="1"/>
    <col min="7171" max="7191" width="12.7109375" customWidth="1"/>
    <col min="7424" max="7424" width="1.7109375" customWidth="1"/>
    <col min="7425" max="7425" width="18.7109375" customWidth="1"/>
    <col min="7426" max="7426" width="16.140625" customWidth="1"/>
    <col min="7427" max="7447" width="12.7109375" customWidth="1"/>
    <col min="7680" max="7680" width="1.7109375" customWidth="1"/>
    <col min="7681" max="7681" width="18.7109375" customWidth="1"/>
    <col min="7682" max="7682" width="16.140625" customWidth="1"/>
    <col min="7683" max="7703" width="12.7109375" customWidth="1"/>
    <col min="7936" max="7936" width="1.7109375" customWidth="1"/>
    <col min="7937" max="7937" width="18.7109375" customWidth="1"/>
    <col min="7938" max="7938" width="16.140625" customWidth="1"/>
    <col min="7939" max="7959" width="12.7109375" customWidth="1"/>
    <col min="8192" max="8192" width="1.7109375" customWidth="1"/>
    <col min="8193" max="8193" width="18.7109375" customWidth="1"/>
    <col min="8194" max="8194" width="16.140625" customWidth="1"/>
    <col min="8195" max="8215" width="12.7109375" customWidth="1"/>
    <col min="8448" max="8448" width="1.7109375" customWidth="1"/>
    <col min="8449" max="8449" width="18.7109375" customWidth="1"/>
    <col min="8450" max="8450" width="16.140625" customWidth="1"/>
    <col min="8451" max="8471" width="12.7109375" customWidth="1"/>
    <col min="8704" max="8704" width="1.7109375" customWidth="1"/>
    <col min="8705" max="8705" width="18.7109375" customWidth="1"/>
    <col min="8706" max="8706" width="16.140625" customWidth="1"/>
    <col min="8707" max="8727" width="12.7109375" customWidth="1"/>
    <col min="8960" max="8960" width="1.7109375" customWidth="1"/>
    <col min="8961" max="8961" width="18.7109375" customWidth="1"/>
    <col min="8962" max="8962" width="16.140625" customWidth="1"/>
    <col min="8963" max="8983" width="12.7109375" customWidth="1"/>
    <col min="9216" max="9216" width="1.7109375" customWidth="1"/>
    <col min="9217" max="9217" width="18.7109375" customWidth="1"/>
    <col min="9218" max="9218" width="16.140625" customWidth="1"/>
    <col min="9219" max="9239" width="12.7109375" customWidth="1"/>
    <col min="9472" max="9472" width="1.7109375" customWidth="1"/>
    <col min="9473" max="9473" width="18.7109375" customWidth="1"/>
    <col min="9474" max="9474" width="16.140625" customWidth="1"/>
    <col min="9475" max="9495" width="12.7109375" customWidth="1"/>
    <col min="9728" max="9728" width="1.7109375" customWidth="1"/>
    <col min="9729" max="9729" width="18.7109375" customWidth="1"/>
    <col min="9730" max="9730" width="16.140625" customWidth="1"/>
    <col min="9731" max="9751" width="12.7109375" customWidth="1"/>
    <col min="9984" max="9984" width="1.7109375" customWidth="1"/>
    <col min="9985" max="9985" width="18.7109375" customWidth="1"/>
    <col min="9986" max="9986" width="16.140625" customWidth="1"/>
    <col min="9987" max="10007" width="12.7109375" customWidth="1"/>
    <col min="10240" max="10240" width="1.7109375" customWidth="1"/>
    <col min="10241" max="10241" width="18.7109375" customWidth="1"/>
    <col min="10242" max="10242" width="16.140625" customWidth="1"/>
    <col min="10243" max="10263" width="12.7109375" customWidth="1"/>
    <col min="10496" max="10496" width="1.7109375" customWidth="1"/>
    <col min="10497" max="10497" width="18.7109375" customWidth="1"/>
    <col min="10498" max="10498" width="16.140625" customWidth="1"/>
    <col min="10499" max="10519" width="12.7109375" customWidth="1"/>
    <col min="10752" max="10752" width="1.7109375" customWidth="1"/>
    <col min="10753" max="10753" width="18.7109375" customWidth="1"/>
    <col min="10754" max="10754" width="16.140625" customWidth="1"/>
    <col min="10755" max="10775" width="12.7109375" customWidth="1"/>
    <col min="11008" max="11008" width="1.7109375" customWidth="1"/>
    <col min="11009" max="11009" width="18.7109375" customWidth="1"/>
    <col min="11010" max="11010" width="16.140625" customWidth="1"/>
    <col min="11011" max="11031" width="12.7109375" customWidth="1"/>
    <col min="11264" max="11264" width="1.7109375" customWidth="1"/>
    <col min="11265" max="11265" width="18.7109375" customWidth="1"/>
    <col min="11266" max="11266" width="16.140625" customWidth="1"/>
    <col min="11267" max="11287" width="12.7109375" customWidth="1"/>
    <col min="11520" max="11520" width="1.7109375" customWidth="1"/>
    <col min="11521" max="11521" width="18.7109375" customWidth="1"/>
    <col min="11522" max="11522" width="16.140625" customWidth="1"/>
    <col min="11523" max="11543" width="12.7109375" customWidth="1"/>
    <col min="11776" max="11776" width="1.7109375" customWidth="1"/>
    <col min="11777" max="11777" width="18.7109375" customWidth="1"/>
    <col min="11778" max="11778" width="16.140625" customWidth="1"/>
    <col min="11779" max="11799" width="12.7109375" customWidth="1"/>
    <col min="12032" max="12032" width="1.7109375" customWidth="1"/>
    <col min="12033" max="12033" width="18.7109375" customWidth="1"/>
    <col min="12034" max="12034" width="16.140625" customWidth="1"/>
    <col min="12035" max="12055" width="12.7109375" customWidth="1"/>
    <col min="12288" max="12288" width="1.7109375" customWidth="1"/>
    <col min="12289" max="12289" width="18.7109375" customWidth="1"/>
    <col min="12290" max="12290" width="16.140625" customWidth="1"/>
    <col min="12291" max="12311" width="12.7109375" customWidth="1"/>
    <col min="12544" max="12544" width="1.7109375" customWidth="1"/>
    <col min="12545" max="12545" width="18.7109375" customWidth="1"/>
    <col min="12546" max="12546" width="16.140625" customWidth="1"/>
    <col min="12547" max="12567" width="12.7109375" customWidth="1"/>
    <col min="12800" max="12800" width="1.7109375" customWidth="1"/>
    <col min="12801" max="12801" width="18.7109375" customWidth="1"/>
    <col min="12802" max="12802" width="16.140625" customWidth="1"/>
    <col min="12803" max="12823" width="12.7109375" customWidth="1"/>
    <col min="13056" max="13056" width="1.7109375" customWidth="1"/>
    <col min="13057" max="13057" width="18.7109375" customWidth="1"/>
    <col min="13058" max="13058" width="16.140625" customWidth="1"/>
    <col min="13059" max="13079" width="12.7109375" customWidth="1"/>
    <col min="13312" max="13312" width="1.7109375" customWidth="1"/>
    <col min="13313" max="13313" width="18.7109375" customWidth="1"/>
    <col min="13314" max="13314" width="16.140625" customWidth="1"/>
    <col min="13315" max="13335" width="12.7109375" customWidth="1"/>
    <col min="13568" max="13568" width="1.7109375" customWidth="1"/>
    <col min="13569" max="13569" width="18.7109375" customWidth="1"/>
    <col min="13570" max="13570" width="16.140625" customWidth="1"/>
    <col min="13571" max="13591" width="12.7109375" customWidth="1"/>
    <col min="13824" max="13824" width="1.7109375" customWidth="1"/>
    <col min="13825" max="13825" width="18.7109375" customWidth="1"/>
    <col min="13826" max="13826" width="16.140625" customWidth="1"/>
    <col min="13827" max="13847" width="12.7109375" customWidth="1"/>
    <col min="14080" max="14080" width="1.7109375" customWidth="1"/>
    <col min="14081" max="14081" width="18.7109375" customWidth="1"/>
    <col min="14082" max="14082" width="16.140625" customWidth="1"/>
    <col min="14083" max="14103" width="12.7109375" customWidth="1"/>
    <col min="14336" max="14336" width="1.7109375" customWidth="1"/>
    <col min="14337" max="14337" width="18.7109375" customWidth="1"/>
    <col min="14338" max="14338" width="16.140625" customWidth="1"/>
    <col min="14339" max="14359" width="12.7109375" customWidth="1"/>
    <col min="14592" max="14592" width="1.7109375" customWidth="1"/>
    <col min="14593" max="14593" width="18.7109375" customWidth="1"/>
    <col min="14594" max="14594" width="16.140625" customWidth="1"/>
    <col min="14595" max="14615" width="12.7109375" customWidth="1"/>
    <col min="14848" max="14848" width="1.7109375" customWidth="1"/>
    <col min="14849" max="14849" width="18.7109375" customWidth="1"/>
    <col min="14850" max="14850" width="16.140625" customWidth="1"/>
    <col min="14851" max="14871" width="12.7109375" customWidth="1"/>
    <col min="15104" max="15104" width="1.7109375" customWidth="1"/>
    <col min="15105" max="15105" width="18.7109375" customWidth="1"/>
    <col min="15106" max="15106" width="16.140625" customWidth="1"/>
    <col min="15107" max="15127" width="12.7109375" customWidth="1"/>
    <col min="15360" max="15360" width="1.7109375" customWidth="1"/>
    <col min="15361" max="15361" width="18.7109375" customWidth="1"/>
    <col min="15362" max="15362" width="16.140625" customWidth="1"/>
    <col min="15363" max="15383" width="12.7109375" customWidth="1"/>
    <col min="15616" max="15616" width="1.7109375" customWidth="1"/>
    <col min="15617" max="15617" width="18.7109375" customWidth="1"/>
    <col min="15618" max="15618" width="16.140625" customWidth="1"/>
    <col min="15619" max="15639" width="12.7109375" customWidth="1"/>
    <col min="15872" max="15872" width="1.7109375" customWidth="1"/>
    <col min="15873" max="15873" width="18.7109375" customWidth="1"/>
    <col min="15874" max="15874" width="16.140625" customWidth="1"/>
    <col min="15875" max="15895" width="12.7109375" customWidth="1"/>
    <col min="16128" max="16128" width="1.7109375" customWidth="1"/>
    <col min="16129" max="16129" width="18.7109375" customWidth="1"/>
    <col min="16130" max="16130" width="16.140625" customWidth="1"/>
    <col min="16131" max="16151" width="12.7109375" customWidth="1"/>
  </cols>
  <sheetData>
    <row r="1" spans="1:47" s="9" customFormat="1" ht="75.75" customHeight="1" x14ac:dyDescent="0.25">
      <c r="A1" s="5827" t="s">
        <v>1464</v>
      </c>
      <c r="B1" s="5827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  <c r="U1" s="143"/>
      <c r="V1" s="143"/>
      <c r="W1" s="143"/>
    </row>
    <row r="2" spans="1:47" s="9" customFormat="1" ht="15.75" x14ac:dyDescent="0.25">
      <c r="A2" s="2209"/>
      <c r="B2" s="2210"/>
      <c r="C2" s="2210"/>
      <c r="D2" s="2210"/>
      <c r="E2" s="2210"/>
      <c r="F2" s="2210"/>
      <c r="G2" s="2210"/>
      <c r="H2" s="2210"/>
      <c r="I2" s="2210"/>
      <c r="J2" s="2210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</row>
    <row r="3" spans="1:47" s="8" customFormat="1" ht="15" x14ac:dyDescent="0.2">
      <c r="A3" s="5723" t="s">
        <v>16</v>
      </c>
      <c r="B3" s="5723" t="s">
        <v>4</v>
      </c>
      <c r="C3" s="5799">
        <v>2003</v>
      </c>
      <c r="D3" s="5799"/>
      <c r="E3" s="5799"/>
      <c r="F3" s="5799">
        <v>2004</v>
      </c>
      <c r="G3" s="5799"/>
      <c r="H3" s="5799"/>
      <c r="I3" s="5799">
        <v>2005</v>
      </c>
      <c r="J3" s="5799"/>
      <c r="K3" s="5799"/>
      <c r="L3" s="5799">
        <v>2006</v>
      </c>
      <c r="M3" s="5799"/>
      <c r="N3" s="5799"/>
      <c r="O3" s="5799">
        <v>2007</v>
      </c>
      <c r="P3" s="5799"/>
      <c r="Q3" s="5799"/>
      <c r="R3" s="5799">
        <v>2008</v>
      </c>
      <c r="S3" s="5799"/>
      <c r="T3" s="5799"/>
      <c r="U3" s="5799">
        <v>2009</v>
      </c>
      <c r="V3" s="5799"/>
      <c r="W3" s="5799"/>
      <c r="X3" s="5799">
        <v>2010</v>
      </c>
      <c r="Y3" s="5799"/>
      <c r="Z3" s="5799"/>
      <c r="AA3" s="5799">
        <v>2011</v>
      </c>
      <c r="AB3" s="5799"/>
      <c r="AC3" s="5799"/>
      <c r="AD3" s="5799">
        <v>2012</v>
      </c>
      <c r="AE3" s="5799"/>
      <c r="AF3" s="5799"/>
      <c r="AG3" s="5799">
        <v>2013</v>
      </c>
      <c r="AH3" s="5799"/>
      <c r="AI3" s="5799"/>
      <c r="AJ3" s="5799">
        <v>2014</v>
      </c>
      <c r="AK3" s="5799"/>
      <c r="AL3" s="5799"/>
      <c r="AM3" s="5799">
        <v>2015</v>
      </c>
      <c r="AN3" s="5799"/>
      <c r="AO3" s="5799"/>
      <c r="AP3" s="5799">
        <v>2016</v>
      </c>
      <c r="AQ3" s="5799"/>
      <c r="AR3" s="5799"/>
      <c r="AS3" s="5799">
        <v>2017</v>
      </c>
      <c r="AT3" s="5799"/>
      <c r="AU3" s="5799"/>
    </row>
    <row r="4" spans="1:47" s="5" customFormat="1" ht="15.75" x14ac:dyDescent="0.25">
      <c r="A4" s="5723"/>
      <c r="B4" s="5723"/>
      <c r="C4" s="1153" t="s">
        <v>653</v>
      </c>
      <c r="D4" s="1154" t="s">
        <v>651</v>
      </c>
      <c r="E4" s="1154" t="s">
        <v>652</v>
      </c>
      <c r="F4" s="1153" t="s">
        <v>653</v>
      </c>
      <c r="G4" s="1154" t="s">
        <v>651</v>
      </c>
      <c r="H4" s="1154" t="s">
        <v>652</v>
      </c>
      <c r="I4" s="1153" t="s">
        <v>653</v>
      </c>
      <c r="J4" s="1154" t="s">
        <v>651</v>
      </c>
      <c r="K4" s="1154" t="s">
        <v>652</v>
      </c>
      <c r="L4" s="1153" t="s">
        <v>653</v>
      </c>
      <c r="M4" s="1154" t="s">
        <v>651</v>
      </c>
      <c r="N4" s="1154" t="s">
        <v>652</v>
      </c>
      <c r="O4" s="1153" t="s">
        <v>653</v>
      </c>
      <c r="P4" s="1154" t="s">
        <v>651</v>
      </c>
      <c r="Q4" s="1154" t="s">
        <v>652</v>
      </c>
      <c r="R4" s="1153" t="s">
        <v>653</v>
      </c>
      <c r="S4" s="1154" t="s">
        <v>651</v>
      </c>
      <c r="T4" s="1154" t="s">
        <v>652</v>
      </c>
      <c r="U4" s="1153" t="s">
        <v>653</v>
      </c>
      <c r="V4" s="1154" t="s">
        <v>651</v>
      </c>
      <c r="W4" s="1154" t="s">
        <v>652</v>
      </c>
      <c r="X4" s="1153" t="s">
        <v>653</v>
      </c>
      <c r="Y4" s="1154" t="s">
        <v>651</v>
      </c>
      <c r="Z4" s="1154" t="s">
        <v>652</v>
      </c>
      <c r="AA4" s="1153" t="s">
        <v>653</v>
      </c>
      <c r="AB4" s="1154" t="s">
        <v>651</v>
      </c>
      <c r="AC4" s="1154" t="s">
        <v>652</v>
      </c>
      <c r="AD4" s="1153" t="s">
        <v>653</v>
      </c>
      <c r="AE4" s="1154" t="s">
        <v>651</v>
      </c>
      <c r="AF4" s="1154" t="s">
        <v>652</v>
      </c>
      <c r="AG4" s="4472" t="s">
        <v>653</v>
      </c>
      <c r="AH4" s="4473" t="s">
        <v>651</v>
      </c>
      <c r="AI4" s="4474" t="s">
        <v>652</v>
      </c>
      <c r="AJ4" s="4472" t="s">
        <v>653</v>
      </c>
      <c r="AK4" s="4473" t="s">
        <v>651</v>
      </c>
      <c r="AL4" s="4474" t="s">
        <v>652</v>
      </c>
      <c r="AM4" s="4472" t="s">
        <v>653</v>
      </c>
      <c r="AN4" s="4473" t="s">
        <v>651</v>
      </c>
      <c r="AO4" s="4474" t="s">
        <v>652</v>
      </c>
      <c r="AP4" s="4472" t="s">
        <v>653</v>
      </c>
      <c r="AQ4" s="4473" t="s">
        <v>651</v>
      </c>
      <c r="AR4" s="4474" t="s">
        <v>652</v>
      </c>
      <c r="AS4" s="5123" t="s">
        <v>653</v>
      </c>
      <c r="AT4" s="5124" t="s">
        <v>651</v>
      </c>
      <c r="AU4" s="5125" t="s">
        <v>652</v>
      </c>
    </row>
    <row r="5" spans="1:47" s="8" customFormat="1" ht="15" x14ac:dyDescent="0.25">
      <c r="A5" s="251"/>
      <c r="B5" s="251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  <c r="AB5" s="251"/>
      <c r="AC5" s="251"/>
      <c r="AD5" s="251"/>
      <c r="AE5" s="251"/>
      <c r="AF5" s="251"/>
      <c r="AG5" s="251"/>
      <c r="AH5" s="251"/>
      <c r="AI5" s="251"/>
      <c r="AJ5" s="251"/>
      <c r="AK5" s="251"/>
      <c r="AL5" s="251"/>
      <c r="AM5" s="251"/>
      <c r="AN5" s="251"/>
      <c r="AO5" s="251"/>
      <c r="AP5" s="251"/>
      <c r="AQ5" s="251"/>
      <c r="AR5" s="251"/>
      <c r="AS5" s="251"/>
      <c r="AT5" s="251"/>
      <c r="AU5" s="251"/>
    </row>
    <row r="6" spans="1:47" s="8" customFormat="1" ht="15" x14ac:dyDescent="0.25">
      <c r="A6" s="5778" t="s">
        <v>161</v>
      </c>
      <c r="B6" s="245" t="s">
        <v>5</v>
      </c>
      <c r="C6" s="308">
        <v>4762</v>
      </c>
      <c r="D6" s="309">
        <v>4773</v>
      </c>
      <c r="E6" s="310">
        <v>5160</v>
      </c>
      <c r="F6" s="308">
        <v>4703</v>
      </c>
      <c r="G6" s="309">
        <v>4999</v>
      </c>
      <c r="H6" s="309">
        <v>5578</v>
      </c>
      <c r="I6" s="308">
        <v>5109</v>
      </c>
      <c r="J6" s="309">
        <v>5460</v>
      </c>
      <c r="K6" s="310">
        <v>5803</v>
      </c>
      <c r="L6" s="308">
        <v>5294</v>
      </c>
      <c r="M6" s="309">
        <v>5655</v>
      </c>
      <c r="N6" s="310">
        <v>6089</v>
      </c>
      <c r="O6" s="309">
        <v>5654</v>
      </c>
      <c r="P6" s="309">
        <v>5868</v>
      </c>
      <c r="Q6" s="310">
        <v>6267</v>
      </c>
      <c r="R6" s="309">
        <v>5858</v>
      </c>
      <c r="S6" s="309">
        <v>5932</v>
      </c>
      <c r="T6" s="310">
        <v>6395</v>
      </c>
      <c r="U6" s="308">
        <v>6069</v>
      </c>
      <c r="V6" s="309">
        <v>6432</v>
      </c>
      <c r="W6" s="310">
        <v>6680</v>
      </c>
      <c r="X6" s="308">
        <v>6320</v>
      </c>
      <c r="Y6" s="309">
        <v>6823</v>
      </c>
      <c r="Z6" s="310">
        <v>7272</v>
      </c>
      <c r="AA6" s="308">
        <f>SUM('Matrícula plan'!AB5:AB14)</f>
        <v>6751</v>
      </c>
      <c r="AB6" s="309">
        <f>SUM('Matrícula plan'!AC5:AC14)</f>
        <v>7473</v>
      </c>
      <c r="AC6" s="310">
        <f>SUM('Matrícula plan'!AD5:AD14)</f>
        <v>7261</v>
      </c>
      <c r="AD6" s="308">
        <f>SUM('Matrícula plan'!AE5:AE14)</f>
        <v>6999</v>
      </c>
      <c r="AE6" s="309">
        <f>SUM('Matrícula plan'!AF5:AF14)</f>
        <v>7319</v>
      </c>
      <c r="AF6" s="310">
        <f>SUM('Matrícula plan'!AG5:AG14)</f>
        <v>7200</v>
      </c>
      <c r="AG6" s="308">
        <f>SUM('Matrícula plan'!AH5:AH14)</f>
        <v>6821</v>
      </c>
      <c r="AH6" s="309">
        <f>SUM('Matrícula plan'!AI5:AI14)</f>
        <v>7132</v>
      </c>
      <c r="AI6" s="310">
        <f>SUM('Matrícula plan'!AJ5:AJ14)</f>
        <v>7158</v>
      </c>
      <c r="AJ6" s="308">
        <f>SUM('Matrícula plan'!AK5:AK14)</f>
        <v>6600</v>
      </c>
      <c r="AK6" s="309">
        <f>SUM('Matrícula plan'!AL5:AL14)</f>
        <v>6648</v>
      </c>
      <c r="AL6" s="310">
        <f>SUM('Matrícula plan'!AM5:AM14)</f>
        <v>6918</v>
      </c>
      <c r="AM6" s="308">
        <f>SUM('Matrícula plan'!AN5:AN14)</f>
        <v>6314</v>
      </c>
      <c r="AN6" s="309">
        <f>SUM('Matrícula plan'!AO5:AO14)</f>
        <v>6414</v>
      </c>
      <c r="AO6" s="310">
        <f>SUM('Matrícula plan'!AP5:AP14)</f>
        <v>6643</v>
      </c>
      <c r="AP6" s="308">
        <f>SUM('Matrícula plan'!AQ5:AQ14)</f>
        <v>5959</v>
      </c>
      <c r="AQ6" s="309">
        <f>SUM('Matrícula plan'!AR5:AR14)</f>
        <v>6112</v>
      </c>
      <c r="AR6" s="310">
        <f>SUM('Matrícula plan'!AS5:AS14)</f>
        <v>6234</v>
      </c>
      <c r="AS6" s="308">
        <f>SUM('Matrícula plan'!AT5:AT14)</f>
        <v>5543</v>
      </c>
      <c r="AT6" s="309">
        <f>SUM('Matrícula plan'!AU5:AU14)</f>
        <v>5780</v>
      </c>
      <c r="AU6" s="310">
        <f>SUM('Matrícula plan'!AV5:AV14)</f>
        <v>5871</v>
      </c>
    </row>
    <row r="7" spans="1:47" s="8" customFormat="1" ht="15" x14ac:dyDescent="0.25">
      <c r="A7" s="5779"/>
      <c r="B7" s="246" t="s">
        <v>6</v>
      </c>
      <c r="C7" s="311">
        <v>4148</v>
      </c>
      <c r="D7" s="312">
        <v>4300</v>
      </c>
      <c r="E7" s="313">
        <v>4471</v>
      </c>
      <c r="F7" s="311">
        <v>4082</v>
      </c>
      <c r="G7" s="312">
        <v>4142</v>
      </c>
      <c r="H7" s="312">
        <v>4403</v>
      </c>
      <c r="I7" s="311">
        <v>4099</v>
      </c>
      <c r="J7" s="312">
        <v>4223</v>
      </c>
      <c r="K7" s="313">
        <v>4398</v>
      </c>
      <c r="L7" s="311">
        <v>3976</v>
      </c>
      <c r="M7" s="312">
        <v>4076</v>
      </c>
      <c r="N7" s="313">
        <v>4382</v>
      </c>
      <c r="O7" s="312">
        <v>4074</v>
      </c>
      <c r="P7" s="312">
        <v>4257</v>
      </c>
      <c r="Q7" s="313">
        <v>4362</v>
      </c>
      <c r="R7" s="312">
        <v>4050</v>
      </c>
      <c r="S7" s="312">
        <v>4230</v>
      </c>
      <c r="T7" s="313">
        <v>4443</v>
      </c>
      <c r="U7" s="311">
        <v>4225</v>
      </c>
      <c r="V7" s="312">
        <v>4434</v>
      </c>
      <c r="W7" s="313">
        <v>4569</v>
      </c>
      <c r="X7" s="311">
        <v>4336</v>
      </c>
      <c r="Y7" s="312">
        <v>4649</v>
      </c>
      <c r="Z7" s="313">
        <v>4785</v>
      </c>
      <c r="AA7" s="311">
        <f>SUM('Matrícula plan'!AB16:AB19)</f>
        <v>4449</v>
      </c>
      <c r="AB7" s="312">
        <f>SUM('Matrícula plan'!AC16:AC19)</f>
        <v>4768</v>
      </c>
      <c r="AC7" s="313">
        <f>SUM('Matrícula plan'!AD16:AD19)</f>
        <v>4840</v>
      </c>
      <c r="AD7" s="311">
        <f>SUM('Matrícula plan'!AE16:AE19)</f>
        <v>4624</v>
      </c>
      <c r="AE7" s="312">
        <f>SUM('Matrícula plan'!AF16:AF19)</f>
        <v>5015</v>
      </c>
      <c r="AF7" s="313">
        <f>SUM('Matrícula plan'!AG16:AG19)</f>
        <v>5201</v>
      </c>
      <c r="AG7" s="311">
        <f>SUM('Matrícula plan'!AH16:AH19)</f>
        <v>4806</v>
      </c>
      <c r="AH7" s="312">
        <f>SUM('Matrícula plan'!AI16:AI19)</f>
        <v>5157</v>
      </c>
      <c r="AI7" s="313">
        <f>SUM('Matrícula plan'!AJ16:AJ19)</f>
        <v>5297</v>
      </c>
      <c r="AJ7" s="311">
        <f>SUM('Matrícula plan'!AK16:AK19)</f>
        <v>4815</v>
      </c>
      <c r="AK7" s="312">
        <f>SUM('Matrícula plan'!AL16:AL19)</f>
        <v>5121</v>
      </c>
      <c r="AL7" s="313">
        <f>SUM('Matrícula plan'!AM16:AM19)</f>
        <v>5452</v>
      </c>
      <c r="AM7" s="311">
        <f>SUM('Matrícula plan'!AN16:AN19)</f>
        <v>4970</v>
      </c>
      <c r="AN7" s="312">
        <f>SUM('Matrícula plan'!AO16:AO19)</f>
        <v>5346</v>
      </c>
      <c r="AO7" s="313">
        <f>SUM('Matrícula plan'!AP16:AP19)</f>
        <v>5546</v>
      </c>
      <c r="AP7" s="311">
        <f>SUM('Matrícula plan'!AQ16:AQ19)</f>
        <v>5113</v>
      </c>
      <c r="AQ7" s="312">
        <f>SUM('Matrícula plan'!AR16:AR19)</f>
        <v>5357</v>
      </c>
      <c r="AR7" s="313">
        <f>SUM('Matrícula plan'!AS16:AS19)</f>
        <v>5727</v>
      </c>
      <c r="AS7" s="311">
        <f>SUM('Matrícula plan'!AT16:AT19)</f>
        <v>3843</v>
      </c>
      <c r="AT7" s="312">
        <f>SUM('Matrícula plan'!AU16:AU19)</f>
        <v>5486</v>
      </c>
      <c r="AU7" s="313">
        <f>SUM('Matrícula plan'!AV16:AV19)</f>
        <v>5732</v>
      </c>
    </row>
    <row r="8" spans="1:47" s="8" customFormat="1" ht="15" x14ac:dyDescent="0.25">
      <c r="A8" s="5779"/>
      <c r="B8" s="246" t="s">
        <v>7</v>
      </c>
      <c r="C8" s="311">
        <v>2444</v>
      </c>
      <c r="D8" s="312">
        <v>2563</v>
      </c>
      <c r="E8" s="313">
        <v>2698</v>
      </c>
      <c r="F8" s="311">
        <v>2434</v>
      </c>
      <c r="G8" s="312">
        <v>2553</v>
      </c>
      <c r="H8" s="312">
        <v>2709</v>
      </c>
      <c r="I8" s="311">
        <v>2529</v>
      </c>
      <c r="J8" s="312">
        <v>2661</v>
      </c>
      <c r="K8" s="313">
        <v>2755</v>
      </c>
      <c r="L8" s="311">
        <v>2585</v>
      </c>
      <c r="M8" s="312">
        <v>2628</v>
      </c>
      <c r="N8" s="313">
        <v>2743</v>
      </c>
      <c r="O8" s="312">
        <v>2529</v>
      </c>
      <c r="P8" s="312">
        <v>2588</v>
      </c>
      <c r="Q8" s="313">
        <v>2642</v>
      </c>
      <c r="R8" s="312">
        <v>2457</v>
      </c>
      <c r="S8" s="312">
        <v>2536</v>
      </c>
      <c r="T8" s="313">
        <v>2588</v>
      </c>
      <c r="U8" s="311">
        <v>2458</v>
      </c>
      <c r="V8" s="312">
        <v>2511</v>
      </c>
      <c r="W8" s="313">
        <v>2516</v>
      </c>
      <c r="X8" s="311">
        <v>2385</v>
      </c>
      <c r="Y8" s="312">
        <v>2518</v>
      </c>
      <c r="Z8" s="313">
        <v>2647</v>
      </c>
      <c r="AA8" s="311">
        <f>SUM('Matrícula plan'!AB21:AB23)</f>
        <v>2412</v>
      </c>
      <c r="AB8" s="312">
        <f>SUM('Matrícula plan'!AC21:AC23)</f>
        <v>2594</v>
      </c>
      <c r="AC8" s="313">
        <f>SUM('Matrícula plan'!AD21:AD23)</f>
        <v>2547</v>
      </c>
      <c r="AD8" s="311">
        <f>SUM('Matrícula plan'!AE21:AE23)</f>
        <v>2490</v>
      </c>
      <c r="AE8" s="312">
        <f>SUM('Matrícula plan'!AF21:AF23)</f>
        <v>2672</v>
      </c>
      <c r="AF8" s="313">
        <f>SUM('Matrícula plan'!AG21:AG23)</f>
        <v>2674</v>
      </c>
      <c r="AG8" s="311">
        <f>SUM('Matrícula plan'!AH21:AH23)</f>
        <v>2614</v>
      </c>
      <c r="AH8" s="312">
        <f>SUM('Matrícula plan'!AI21:AI23)</f>
        <v>2777</v>
      </c>
      <c r="AI8" s="313">
        <f>SUM('Matrícula plan'!AJ21:AJ23)</f>
        <v>2802</v>
      </c>
      <c r="AJ8" s="311">
        <f>SUM('Matrícula plan'!AK21:AK23)</f>
        <v>2683</v>
      </c>
      <c r="AK8" s="312">
        <f>SUM('Matrícula plan'!AL21:AL23)</f>
        <v>2785</v>
      </c>
      <c r="AL8" s="313">
        <f>SUM('Matrícula plan'!AM21:AM23)</f>
        <v>2838</v>
      </c>
      <c r="AM8" s="311">
        <f>SUM('Matrícula plan'!AN21:AN23)</f>
        <v>2622</v>
      </c>
      <c r="AN8" s="312">
        <f>SUM('Matrícula plan'!AO21:AO23)</f>
        <v>2793</v>
      </c>
      <c r="AO8" s="313">
        <f>SUM('Matrícula plan'!AP21:AP23)</f>
        <v>2931</v>
      </c>
      <c r="AP8" s="311">
        <f>SUM('Matrícula plan'!AQ21:AQ23)</f>
        <v>2716</v>
      </c>
      <c r="AQ8" s="312">
        <f>SUM('Matrícula plan'!AR21:AR23)</f>
        <v>2815</v>
      </c>
      <c r="AR8" s="313">
        <f>SUM('Matrícula plan'!AS21:AS23)</f>
        <v>2962</v>
      </c>
      <c r="AS8" s="311">
        <f>SUM('Matrícula plan'!AT21:AT23)</f>
        <v>2673</v>
      </c>
      <c r="AT8" s="312">
        <f>SUM('Matrícula plan'!AU21:AU23)</f>
        <v>2875</v>
      </c>
      <c r="AU8" s="313">
        <f>SUM('Matrícula plan'!AV21:AV23)</f>
        <v>2922</v>
      </c>
    </row>
    <row r="9" spans="1:47" s="7" customFormat="1" ht="15" x14ac:dyDescent="0.25">
      <c r="A9" s="5780"/>
      <c r="B9" s="2188" t="s">
        <v>12</v>
      </c>
      <c r="C9" s="2238">
        <v>11354</v>
      </c>
      <c r="D9" s="2239">
        <v>11636</v>
      </c>
      <c r="E9" s="2240">
        <v>12329</v>
      </c>
      <c r="F9" s="2238">
        <v>11219</v>
      </c>
      <c r="G9" s="2239">
        <v>11694</v>
      </c>
      <c r="H9" s="2239">
        <v>12690</v>
      </c>
      <c r="I9" s="2238">
        <v>11737</v>
      </c>
      <c r="J9" s="2239">
        <v>12344</v>
      </c>
      <c r="K9" s="2240">
        <v>12956</v>
      </c>
      <c r="L9" s="2238">
        <v>11855</v>
      </c>
      <c r="M9" s="2239">
        <v>12359</v>
      </c>
      <c r="N9" s="2240">
        <v>13214</v>
      </c>
      <c r="O9" s="2239">
        <v>12257</v>
      </c>
      <c r="P9" s="2239">
        <v>12713</v>
      </c>
      <c r="Q9" s="2240">
        <v>13271</v>
      </c>
      <c r="R9" s="2239">
        <v>12365</v>
      </c>
      <c r="S9" s="2239">
        <v>12698</v>
      </c>
      <c r="T9" s="2240">
        <v>13426</v>
      </c>
      <c r="U9" s="2238">
        <v>12752</v>
      </c>
      <c r="V9" s="2239">
        <v>13377</v>
      </c>
      <c r="W9" s="2240">
        <v>13765</v>
      </c>
      <c r="X9" s="2238">
        <f t="shared" ref="X9:AC9" si="0">SUM(X6:X8)</f>
        <v>13041</v>
      </c>
      <c r="Y9" s="2239">
        <f t="shared" si="0"/>
        <v>13990</v>
      </c>
      <c r="Z9" s="2240">
        <f t="shared" si="0"/>
        <v>14704</v>
      </c>
      <c r="AA9" s="2238">
        <f t="shared" si="0"/>
        <v>13612</v>
      </c>
      <c r="AB9" s="2239">
        <f t="shared" si="0"/>
        <v>14835</v>
      </c>
      <c r="AC9" s="2240">
        <f t="shared" si="0"/>
        <v>14648</v>
      </c>
      <c r="AD9" s="2238">
        <f t="shared" ref="AD9:AI9" si="1">SUM(AD6:AD8)</f>
        <v>14113</v>
      </c>
      <c r="AE9" s="2239">
        <f t="shared" si="1"/>
        <v>15006</v>
      </c>
      <c r="AF9" s="2240">
        <f t="shared" si="1"/>
        <v>15075</v>
      </c>
      <c r="AG9" s="2238">
        <f>SUM(AG6:AG8)</f>
        <v>14241</v>
      </c>
      <c r="AH9" s="2239">
        <f t="shared" si="1"/>
        <v>15066</v>
      </c>
      <c r="AI9" s="2240">
        <f t="shared" si="1"/>
        <v>15257</v>
      </c>
      <c r="AJ9" s="2238">
        <f t="shared" ref="AJ9:AO9" si="2">SUM(AJ6:AJ8)</f>
        <v>14098</v>
      </c>
      <c r="AK9" s="2239">
        <f t="shared" si="2"/>
        <v>14554</v>
      </c>
      <c r="AL9" s="2240">
        <f t="shared" si="2"/>
        <v>15208</v>
      </c>
      <c r="AM9" s="2238">
        <f t="shared" si="2"/>
        <v>13906</v>
      </c>
      <c r="AN9" s="2239">
        <f t="shared" si="2"/>
        <v>14553</v>
      </c>
      <c r="AO9" s="2240">
        <f t="shared" si="2"/>
        <v>15120</v>
      </c>
      <c r="AP9" s="2238">
        <f t="shared" ref="AP9:AU9" si="3">SUM(AP6:AP8)</f>
        <v>13788</v>
      </c>
      <c r="AQ9" s="2239">
        <f t="shared" si="3"/>
        <v>14284</v>
      </c>
      <c r="AR9" s="2240">
        <f t="shared" si="3"/>
        <v>14923</v>
      </c>
      <c r="AS9" s="2238">
        <f t="shared" si="3"/>
        <v>12059</v>
      </c>
      <c r="AT9" s="2239">
        <f t="shared" si="3"/>
        <v>14141</v>
      </c>
      <c r="AU9" s="2240">
        <f t="shared" si="3"/>
        <v>14525</v>
      </c>
    </row>
    <row r="10" spans="1:47" s="7" customFormat="1" ht="15.75" x14ac:dyDescent="0.25">
      <c r="A10" s="1781"/>
      <c r="B10" s="756"/>
      <c r="C10" s="756"/>
      <c r="D10" s="756"/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</row>
    <row r="11" spans="1:47" s="7" customFormat="1" ht="15" x14ac:dyDescent="0.25">
      <c r="A11" s="5781" t="s">
        <v>407</v>
      </c>
      <c r="B11" s="245" t="s">
        <v>6</v>
      </c>
      <c r="C11" s="308"/>
      <c r="D11" s="309"/>
      <c r="E11" s="310"/>
      <c r="F11" s="308"/>
      <c r="G11" s="309"/>
      <c r="H11" s="309"/>
      <c r="I11" s="308"/>
      <c r="J11" s="309"/>
      <c r="K11" s="310">
        <v>111</v>
      </c>
      <c r="L11" s="308">
        <v>103</v>
      </c>
      <c r="M11" s="309">
        <v>95</v>
      </c>
      <c r="N11" s="310">
        <v>136</v>
      </c>
      <c r="O11" s="309">
        <v>117</v>
      </c>
      <c r="P11" s="309">
        <v>116</v>
      </c>
      <c r="Q11" s="310">
        <v>239</v>
      </c>
      <c r="R11" s="309">
        <v>230</v>
      </c>
      <c r="S11" s="309">
        <v>217</v>
      </c>
      <c r="T11" s="310">
        <v>328</v>
      </c>
      <c r="U11" s="308">
        <v>311</v>
      </c>
      <c r="V11" s="309">
        <v>306</v>
      </c>
      <c r="W11" s="310">
        <v>371</v>
      </c>
      <c r="X11" s="308">
        <v>313</v>
      </c>
      <c r="Y11" s="309">
        <v>313</v>
      </c>
      <c r="Z11" s="310">
        <v>405</v>
      </c>
      <c r="AA11" s="308">
        <f>SUM('Matrícula plan'!AB26:AB29)</f>
        <v>355</v>
      </c>
      <c r="AB11" s="309">
        <f>SUM('Matrícula plan'!AC26:AC29)</f>
        <v>335</v>
      </c>
      <c r="AC11" s="310">
        <f>SUM('Matrícula plan'!AD26:AD29)</f>
        <v>373</v>
      </c>
      <c r="AD11" s="308">
        <f>SUM('Matrícula plan'!AE26:AE29)</f>
        <v>350</v>
      </c>
      <c r="AE11" s="309">
        <f>SUM('Matrícula plan'!AF26:AF29)</f>
        <v>331</v>
      </c>
      <c r="AF11" s="310">
        <f>SUM('Matrícula plan'!AG26:AG29)</f>
        <v>378</v>
      </c>
      <c r="AG11" s="308">
        <f>SUM('Matrícula plan'!AH26:AH29)</f>
        <v>353</v>
      </c>
      <c r="AH11" s="309">
        <f>SUM('Matrícula plan'!AI26:AI29)</f>
        <v>326</v>
      </c>
      <c r="AI11" s="310">
        <f>SUM('Matrícula plan'!AJ26:AJ29)</f>
        <v>389</v>
      </c>
      <c r="AJ11" s="308">
        <f>SUM('Matrícula plan'!AK26:AK29)</f>
        <v>361</v>
      </c>
      <c r="AK11" s="309">
        <f>SUM('Matrícula plan'!AL26:AL29)</f>
        <v>431</v>
      </c>
      <c r="AL11" s="310">
        <f>SUM('Matrícula plan'!AM26:AM29)</f>
        <v>488</v>
      </c>
      <c r="AM11" s="308">
        <f>SUM('Matrícula plan'!AN26:AN29)</f>
        <v>454</v>
      </c>
      <c r="AN11" s="309">
        <f>SUM('Matrícula plan'!AO26:AO29)</f>
        <v>531</v>
      </c>
      <c r="AO11" s="310">
        <f>SUM('Matrícula plan'!AP26:AP29)</f>
        <v>625</v>
      </c>
      <c r="AP11" s="308">
        <f>SUM('Matrícula plan'!AQ26:AQ29)</f>
        <v>543</v>
      </c>
      <c r="AQ11" s="309">
        <f>SUM('Matrícula plan'!AR26:AR29)</f>
        <v>659</v>
      </c>
      <c r="AR11" s="310">
        <f>SUM('Matrícula plan'!AS26:AS29)</f>
        <v>717</v>
      </c>
      <c r="AS11" s="308">
        <f>SUM('Matrícula plan'!AT26:AT29)</f>
        <v>698</v>
      </c>
      <c r="AT11" s="309">
        <f>SUM('Matrícula plan'!AU26:AU29)</f>
        <v>777</v>
      </c>
      <c r="AU11" s="310">
        <f>SUM('Matrícula plan'!AV26:AV29)</f>
        <v>856</v>
      </c>
    </row>
    <row r="12" spans="1:47" s="7" customFormat="1" ht="15" x14ac:dyDescent="0.25">
      <c r="A12" s="5782"/>
      <c r="B12" s="246" t="s">
        <v>9</v>
      </c>
      <c r="C12" s="311"/>
      <c r="D12" s="312"/>
      <c r="E12" s="313"/>
      <c r="F12" s="311"/>
      <c r="G12" s="312"/>
      <c r="H12" s="312"/>
      <c r="I12" s="311"/>
      <c r="J12" s="312"/>
      <c r="K12" s="313">
        <v>34</v>
      </c>
      <c r="L12" s="311">
        <v>29</v>
      </c>
      <c r="M12" s="312">
        <v>29</v>
      </c>
      <c r="N12" s="313">
        <v>61</v>
      </c>
      <c r="O12" s="312">
        <v>60</v>
      </c>
      <c r="P12" s="312">
        <v>59</v>
      </c>
      <c r="Q12" s="313">
        <v>187</v>
      </c>
      <c r="R12" s="312">
        <v>174</v>
      </c>
      <c r="S12" s="312">
        <v>167</v>
      </c>
      <c r="T12" s="313">
        <v>292</v>
      </c>
      <c r="U12" s="311">
        <v>272</v>
      </c>
      <c r="V12" s="312">
        <v>263</v>
      </c>
      <c r="W12" s="313">
        <v>360</v>
      </c>
      <c r="X12" s="311">
        <v>328</v>
      </c>
      <c r="Y12" s="312">
        <v>313</v>
      </c>
      <c r="Z12" s="313">
        <v>423</v>
      </c>
      <c r="AA12" s="311">
        <f>SUM('Matrícula plan'!AB31:AB33)</f>
        <v>396</v>
      </c>
      <c r="AB12" s="312">
        <f>SUM('Matrícula plan'!AC31:AC33)</f>
        <v>385</v>
      </c>
      <c r="AC12" s="313">
        <f>SUM('Matrícula plan'!AD31:AD33)</f>
        <v>498</v>
      </c>
      <c r="AD12" s="311">
        <f>SUM('Matrícula plan'!AE31:AE33)</f>
        <v>452</v>
      </c>
      <c r="AE12" s="312">
        <f>SUM('Matrícula plan'!AF31:AF33)</f>
        <v>429</v>
      </c>
      <c r="AF12" s="313">
        <f>SUM('Matrícula plan'!AG31:AG33)</f>
        <v>520</v>
      </c>
      <c r="AG12" s="311">
        <f>SUM('Matrícula plan'!AH31:AH33)</f>
        <v>489</v>
      </c>
      <c r="AH12" s="312">
        <f>SUM('Matrícula plan'!AI31:AI33)</f>
        <v>471</v>
      </c>
      <c r="AI12" s="313">
        <f>SUM('Matrícula plan'!AJ31:AJ33)</f>
        <v>576</v>
      </c>
      <c r="AJ12" s="311">
        <f>SUM('Matrícula plan'!AK31:AK33)</f>
        <v>528</v>
      </c>
      <c r="AK12" s="312">
        <f>SUM('Matrícula plan'!AL31:AL33)</f>
        <v>515</v>
      </c>
      <c r="AL12" s="313">
        <f>SUM('Matrícula plan'!AM31:AM33)</f>
        <v>644</v>
      </c>
      <c r="AM12" s="311">
        <f>SUM('Matrícula plan'!AN31:AN33)</f>
        <v>589</v>
      </c>
      <c r="AN12" s="312">
        <f>SUM('Matrícula plan'!AO31:AO33)</f>
        <v>565</v>
      </c>
      <c r="AO12" s="313">
        <f>SUM('Matrícula plan'!AP31:AP33)</f>
        <v>726</v>
      </c>
      <c r="AP12" s="311">
        <f>SUM('Matrícula plan'!AQ31:AQ33)</f>
        <v>647</v>
      </c>
      <c r="AQ12" s="312">
        <f>SUM('Matrícula plan'!AR31:AR33)</f>
        <v>651</v>
      </c>
      <c r="AR12" s="313">
        <f>SUM('Matrícula plan'!AS31:AS33)</f>
        <v>783</v>
      </c>
      <c r="AS12" s="311">
        <f>SUM('Matrícula plan'!AT31:AT33)</f>
        <v>787</v>
      </c>
      <c r="AT12" s="312">
        <f>SUM('Matrícula plan'!AU31:AU33)</f>
        <v>740</v>
      </c>
      <c r="AU12" s="313">
        <f>SUM('Matrícula plan'!AV31:AV33)</f>
        <v>926</v>
      </c>
    </row>
    <row r="13" spans="1:47" s="7" customFormat="1" ht="15" x14ac:dyDescent="0.25">
      <c r="A13" s="5782"/>
      <c r="B13" s="246" t="s">
        <v>74</v>
      </c>
      <c r="C13" s="311"/>
      <c r="D13" s="312"/>
      <c r="E13" s="313"/>
      <c r="F13" s="311"/>
      <c r="G13" s="312"/>
      <c r="H13" s="312"/>
      <c r="I13" s="311"/>
      <c r="J13" s="312"/>
      <c r="K13" s="313">
        <v>58</v>
      </c>
      <c r="L13" s="311">
        <v>50</v>
      </c>
      <c r="M13" s="312">
        <v>44</v>
      </c>
      <c r="N13" s="313">
        <v>68</v>
      </c>
      <c r="O13" s="312">
        <v>63</v>
      </c>
      <c r="P13" s="312">
        <v>56</v>
      </c>
      <c r="Q13" s="313">
        <v>120</v>
      </c>
      <c r="R13" s="312">
        <v>104</v>
      </c>
      <c r="S13" s="312">
        <v>95</v>
      </c>
      <c r="T13" s="313">
        <v>205</v>
      </c>
      <c r="U13" s="311">
        <v>189</v>
      </c>
      <c r="V13" s="312">
        <v>169</v>
      </c>
      <c r="W13" s="313">
        <v>238</v>
      </c>
      <c r="X13" s="311">
        <v>209</v>
      </c>
      <c r="Y13" s="312">
        <v>201</v>
      </c>
      <c r="Z13" s="313">
        <v>296</v>
      </c>
      <c r="AA13" s="311">
        <f>SUM('Matrícula plan'!AB35:AB38)</f>
        <v>276</v>
      </c>
      <c r="AB13" s="312">
        <f>SUM('Matrícula plan'!AC35:AC38)</f>
        <v>261</v>
      </c>
      <c r="AC13" s="313">
        <f>SUM('Matrícula plan'!AD35:AD38)</f>
        <v>356</v>
      </c>
      <c r="AD13" s="311">
        <f>SUM('Matrícula plan'!AE35:AE38)</f>
        <v>341</v>
      </c>
      <c r="AE13" s="312">
        <f>SUM('Matrícula plan'!AF35:AF38)</f>
        <v>321</v>
      </c>
      <c r="AF13" s="313">
        <f>SUM('Matrícula plan'!AG35:AG38)</f>
        <v>449</v>
      </c>
      <c r="AG13" s="311">
        <f>SUM('Matrícula plan'!AH35:AH38)</f>
        <v>413</v>
      </c>
      <c r="AH13" s="312">
        <f>SUM('Matrícula plan'!AI35:AI38)</f>
        <v>382</v>
      </c>
      <c r="AI13" s="313">
        <f>SUM('Matrícula plan'!AJ35:AJ38)</f>
        <v>525</v>
      </c>
      <c r="AJ13" s="311">
        <f>SUM('Matrícula plan'!AK35:AK38)</f>
        <v>482</v>
      </c>
      <c r="AK13" s="312">
        <f>SUM('Matrícula plan'!AL35:AL38)</f>
        <v>450</v>
      </c>
      <c r="AL13" s="313">
        <f>SUM('Matrícula plan'!AM35:AM38)</f>
        <v>650</v>
      </c>
      <c r="AM13" s="311">
        <f>SUM('Matrícula plan'!AN35:AN38)</f>
        <v>590</v>
      </c>
      <c r="AN13" s="312">
        <f>SUM('Matrícula plan'!AO35:AO38)</f>
        <v>560</v>
      </c>
      <c r="AO13" s="313">
        <f>SUM('Matrícula plan'!AP35:AP38)</f>
        <v>738</v>
      </c>
      <c r="AP13" s="311">
        <f>SUM('Matrícula plan'!AQ35:AQ38)</f>
        <v>634</v>
      </c>
      <c r="AQ13" s="312">
        <f>SUM('Matrícula plan'!AR35:AR38)</f>
        <v>630</v>
      </c>
      <c r="AR13" s="313">
        <f>SUM('Matrícula plan'!AS35:AS38)</f>
        <v>801</v>
      </c>
      <c r="AS13" s="311">
        <f>SUM('Matrícula plan'!AT35:AT38)</f>
        <v>748</v>
      </c>
      <c r="AT13" s="312">
        <f>SUM('Matrícula plan'!AU35:AU38)</f>
        <v>732</v>
      </c>
      <c r="AU13" s="313">
        <f>SUM('Matrícula plan'!AV35:AV38)</f>
        <v>909</v>
      </c>
    </row>
    <row r="14" spans="1:47" s="7" customFormat="1" ht="15" x14ac:dyDescent="0.25">
      <c r="A14" s="5783"/>
      <c r="B14" s="2192" t="s">
        <v>12</v>
      </c>
      <c r="C14" s="2241"/>
      <c r="D14" s="2242"/>
      <c r="E14" s="2243"/>
      <c r="F14" s="2241"/>
      <c r="G14" s="2242"/>
      <c r="H14" s="2242"/>
      <c r="I14" s="2241"/>
      <c r="J14" s="2242"/>
      <c r="K14" s="2243">
        <v>203</v>
      </c>
      <c r="L14" s="2241">
        <v>182</v>
      </c>
      <c r="M14" s="2242">
        <v>168</v>
      </c>
      <c r="N14" s="2243">
        <v>265</v>
      </c>
      <c r="O14" s="2242">
        <v>240</v>
      </c>
      <c r="P14" s="2242">
        <v>231</v>
      </c>
      <c r="Q14" s="2243">
        <v>546</v>
      </c>
      <c r="R14" s="2242">
        <v>508</v>
      </c>
      <c r="S14" s="2242">
        <v>479</v>
      </c>
      <c r="T14" s="2243">
        <v>825</v>
      </c>
      <c r="U14" s="2241">
        <v>772</v>
      </c>
      <c r="V14" s="2242">
        <v>738</v>
      </c>
      <c r="W14" s="2243">
        <v>969</v>
      </c>
      <c r="X14" s="2241">
        <f t="shared" ref="X14:AC14" si="4">SUM(X11:X13)</f>
        <v>850</v>
      </c>
      <c r="Y14" s="2242">
        <f t="shared" si="4"/>
        <v>827</v>
      </c>
      <c r="Z14" s="2243">
        <f t="shared" si="4"/>
        <v>1124</v>
      </c>
      <c r="AA14" s="2241">
        <f t="shared" si="4"/>
        <v>1027</v>
      </c>
      <c r="AB14" s="2242">
        <f t="shared" si="4"/>
        <v>981</v>
      </c>
      <c r="AC14" s="2243">
        <f t="shared" si="4"/>
        <v>1227</v>
      </c>
      <c r="AD14" s="2241">
        <f t="shared" ref="AD14:AI14" si="5">SUM(AD11:AD13)</f>
        <v>1143</v>
      </c>
      <c r="AE14" s="2242">
        <f t="shared" si="5"/>
        <v>1081</v>
      </c>
      <c r="AF14" s="2243">
        <f t="shared" si="5"/>
        <v>1347</v>
      </c>
      <c r="AG14" s="2241">
        <f t="shared" si="5"/>
        <v>1255</v>
      </c>
      <c r="AH14" s="2242">
        <f t="shared" si="5"/>
        <v>1179</v>
      </c>
      <c r="AI14" s="2243">
        <f t="shared" si="5"/>
        <v>1490</v>
      </c>
      <c r="AJ14" s="2241">
        <f t="shared" ref="AJ14:AO14" si="6">SUM(AJ11:AJ13)</f>
        <v>1371</v>
      </c>
      <c r="AK14" s="2242">
        <f t="shared" si="6"/>
        <v>1396</v>
      </c>
      <c r="AL14" s="2243">
        <f t="shared" si="6"/>
        <v>1782</v>
      </c>
      <c r="AM14" s="2241">
        <f t="shared" si="6"/>
        <v>1633</v>
      </c>
      <c r="AN14" s="2242">
        <f t="shared" si="6"/>
        <v>1656</v>
      </c>
      <c r="AO14" s="2243">
        <f t="shared" si="6"/>
        <v>2089</v>
      </c>
      <c r="AP14" s="2241">
        <f t="shared" ref="AP14:AU14" si="7">SUM(AP11:AP13)</f>
        <v>1824</v>
      </c>
      <c r="AQ14" s="2242">
        <f t="shared" si="7"/>
        <v>1940</v>
      </c>
      <c r="AR14" s="2243">
        <f t="shared" si="7"/>
        <v>2301</v>
      </c>
      <c r="AS14" s="2241">
        <f t="shared" si="7"/>
        <v>2233</v>
      </c>
      <c r="AT14" s="2242">
        <f t="shared" si="7"/>
        <v>2249</v>
      </c>
      <c r="AU14" s="2243">
        <f t="shared" si="7"/>
        <v>2691</v>
      </c>
    </row>
    <row r="15" spans="1:47" s="8" customFormat="1" ht="15.75" x14ac:dyDescent="0.25">
      <c r="A15" s="1781"/>
      <c r="B15" s="307"/>
      <c r="C15" s="307"/>
      <c r="D15" s="307"/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307"/>
      <c r="S15" s="307"/>
      <c r="T15" s="307"/>
      <c r="U15" s="307"/>
      <c r="V15" s="307"/>
      <c r="W15" s="307"/>
      <c r="X15" s="307"/>
      <c r="Y15" s="307"/>
      <c r="Z15" s="307"/>
      <c r="AA15" s="307"/>
      <c r="AB15" s="307"/>
      <c r="AC15" s="307"/>
      <c r="AD15" s="307"/>
      <c r="AE15" s="307"/>
      <c r="AF15" s="307"/>
      <c r="AG15" s="307"/>
      <c r="AH15" s="307"/>
      <c r="AI15" s="307"/>
      <c r="AJ15" s="307"/>
      <c r="AK15" s="307"/>
      <c r="AL15" s="307"/>
      <c r="AM15" s="307"/>
      <c r="AN15" s="307"/>
      <c r="AO15" s="307"/>
      <c r="AP15" s="307"/>
      <c r="AQ15" s="307"/>
      <c r="AR15" s="307"/>
      <c r="AS15" s="307"/>
      <c r="AT15" s="307"/>
      <c r="AU15" s="307"/>
    </row>
    <row r="16" spans="1:47" s="8" customFormat="1" ht="15" x14ac:dyDescent="0.25">
      <c r="A16" s="5772" t="s">
        <v>162</v>
      </c>
      <c r="B16" s="245" t="s">
        <v>5</v>
      </c>
      <c r="C16" s="308">
        <v>2587</v>
      </c>
      <c r="D16" s="309">
        <v>2667</v>
      </c>
      <c r="E16" s="310">
        <v>2798</v>
      </c>
      <c r="F16" s="308">
        <v>2584</v>
      </c>
      <c r="G16" s="309">
        <v>2564</v>
      </c>
      <c r="H16" s="309">
        <v>2733</v>
      </c>
      <c r="I16" s="308">
        <v>2470</v>
      </c>
      <c r="J16" s="309">
        <v>2552</v>
      </c>
      <c r="K16" s="310">
        <v>2765</v>
      </c>
      <c r="L16" s="308">
        <v>2481</v>
      </c>
      <c r="M16" s="309">
        <v>2599</v>
      </c>
      <c r="N16" s="310">
        <v>2692</v>
      </c>
      <c r="O16" s="309">
        <v>2465</v>
      </c>
      <c r="P16" s="309">
        <v>2530</v>
      </c>
      <c r="Q16" s="310">
        <v>2654</v>
      </c>
      <c r="R16" s="309">
        <v>2432</v>
      </c>
      <c r="S16" s="309">
        <v>2407</v>
      </c>
      <c r="T16" s="310">
        <v>2669</v>
      </c>
      <c r="U16" s="308">
        <v>2502</v>
      </c>
      <c r="V16" s="309">
        <v>2525</v>
      </c>
      <c r="W16" s="310">
        <v>2691</v>
      </c>
      <c r="X16" s="308">
        <v>2541</v>
      </c>
      <c r="Y16" s="309">
        <v>2436</v>
      </c>
      <c r="Z16" s="310">
        <v>2868</v>
      </c>
      <c r="AA16" s="308">
        <f>SUM('Matrícula plan'!AB41:AB49)</f>
        <v>2587</v>
      </c>
      <c r="AB16" s="309">
        <f>SUM('Matrícula plan'!AC41:AC49)</f>
        <v>2616</v>
      </c>
      <c r="AC16" s="310">
        <f>SUM('Matrícula plan'!AD41:AD49)</f>
        <v>3016</v>
      </c>
      <c r="AD16" s="308">
        <f>SUM('Matrícula plan'!AE41:AE49)</f>
        <v>2744</v>
      </c>
      <c r="AE16" s="309">
        <f>SUM('Matrícula plan'!AF41:AF49)</f>
        <v>2775</v>
      </c>
      <c r="AF16" s="310">
        <f>SUM('Matrícula plan'!AG41:AG49)</f>
        <v>3114</v>
      </c>
      <c r="AG16" s="308">
        <f>SUM('Matrícula plan'!AH41:AH49)</f>
        <v>2928</v>
      </c>
      <c r="AH16" s="309">
        <f>SUM('Matrícula plan'!AI41:AI49)</f>
        <v>3053</v>
      </c>
      <c r="AI16" s="310">
        <f>SUM('Matrícula plan'!AJ41:AJ49)</f>
        <v>3623</v>
      </c>
      <c r="AJ16" s="308">
        <f>SUM('Matrícula plan'!AK41:AK49)</f>
        <v>3298</v>
      </c>
      <c r="AK16" s="309">
        <f>SUM('Matrícula plan'!AL41:AL49)</f>
        <v>3309</v>
      </c>
      <c r="AL16" s="310">
        <f>SUM('Matrícula plan'!AM41:AM49)</f>
        <v>3750</v>
      </c>
      <c r="AM16" s="308">
        <f>SUM('Matrícula plan'!AN41:AN49)</f>
        <v>3460</v>
      </c>
      <c r="AN16" s="309">
        <f>SUM('Matrícula plan'!AO41:AO49)</f>
        <v>3416</v>
      </c>
      <c r="AO16" s="310">
        <f>SUM('Matrícula plan'!AP41:AP49)</f>
        <v>3845</v>
      </c>
      <c r="AP16" s="308">
        <f>SUM('Matrícula plan'!AQ41:AQ49)</f>
        <v>3486</v>
      </c>
      <c r="AQ16" s="309">
        <f>SUM('Matrícula plan'!AR41:AR49)</f>
        <v>3433</v>
      </c>
      <c r="AR16" s="310">
        <f>SUM('Matrícula plan'!AS41:AS50)</f>
        <v>3945</v>
      </c>
      <c r="AS16" s="308">
        <f>SUM('Matrícula plan'!AT41:AT50)</f>
        <v>3544</v>
      </c>
      <c r="AT16" s="309">
        <f>SUM('Matrícula plan'!AU41:AU50)</f>
        <v>3354</v>
      </c>
      <c r="AU16" s="310">
        <f>SUM('Matrícula plan'!AV41:AV50)</f>
        <v>3779</v>
      </c>
    </row>
    <row r="17" spans="1:47" s="8" customFormat="1" ht="15" x14ac:dyDescent="0.25">
      <c r="A17" s="5773"/>
      <c r="B17" s="246" t="s">
        <v>6</v>
      </c>
      <c r="C17" s="311">
        <v>4065</v>
      </c>
      <c r="D17" s="312">
        <v>3900</v>
      </c>
      <c r="E17" s="313">
        <v>4345</v>
      </c>
      <c r="F17" s="311">
        <v>4034</v>
      </c>
      <c r="G17" s="312">
        <v>3828</v>
      </c>
      <c r="H17" s="312">
        <v>4347</v>
      </c>
      <c r="I17" s="311">
        <v>3956</v>
      </c>
      <c r="J17" s="312">
        <v>3804</v>
      </c>
      <c r="K17" s="313">
        <v>4445</v>
      </c>
      <c r="L17" s="311">
        <v>4098</v>
      </c>
      <c r="M17" s="312">
        <v>3999</v>
      </c>
      <c r="N17" s="313">
        <v>4577</v>
      </c>
      <c r="O17" s="312">
        <v>4272</v>
      </c>
      <c r="P17" s="312">
        <v>4161</v>
      </c>
      <c r="Q17" s="313">
        <v>4828</v>
      </c>
      <c r="R17" s="312">
        <v>4521</v>
      </c>
      <c r="S17" s="312">
        <v>4272</v>
      </c>
      <c r="T17" s="313">
        <v>4934</v>
      </c>
      <c r="U17" s="311">
        <v>4717</v>
      </c>
      <c r="V17" s="312">
        <v>4586</v>
      </c>
      <c r="W17" s="313">
        <v>5084</v>
      </c>
      <c r="X17" s="311">
        <v>4798</v>
      </c>
      <c r="Y17" s="312">
        <v>4644</v>
      </c>
      <c r="Z17" s="313">
        <v>5289</v>
      </c>
      <c r="AA17" s="311">
        <f>SUM('Matrícula plan'!AB52:AB62)</f>
        <v>4769</v>
      </c>
      <c r="AB17" s="312">
        <f>SUM('Matrícula plan'!AC52:AC62)</f>
        <v>4748</v>
      </c>
      <c r="AC17" s="313">
        <f>SUM('Matrícula plan'!AD52:AD62)</f>
        <v>5318</v>
      </c>
      <c r="AD17" s="311">
        <f>SUM('Matrícula plan'!AE52:AE62)</f>
        <v>4954</v>
      </c>
      <c r="AE17" s="312">
        <f>SUM('Matrícula plan'!AF52:AF62)</f>
        <v>4953</v>
      </c>
      <c r="AF17" s="313">
        <f>SUM('Matrícula plan'!AG52:AG62)</f>
        <v>5362</v>
      </c>
      <c r="AG17" s="311">
        <f>SUM('Matrícula plan'!AH52:AH62)</f>
        <v>5096</v>
      </c>
      <c r="AH17" s="312">
        <f>SUM('Matrícula plan'!AI52:AI62)</f>
        <v>4950</v>
      </c>
      <c r="AI17" s="313">
        <f>SUM('Matrícula plan'!AJ52:AJ62)</f>
        <v>5492</v>
      </c>
      <c r="AJ17" s="311">
        <f>SUM('Matrícula plan'!AK52:AK62)</f>
        <v>5041</v>
      </c>
      <c r="AK17" s="312">
        <f>SUM('Matrícula plan'!AL52:AL62)</f>
        <v>4915</v>
      </c>
      <c r="AL17" s="313">
        <f>SUM('Matrícula plan'!AM52:AM62)</f>
        <v>5510</v>
      </c>
      <c r="AM17" s="311">
        <f>SUM('Matrícula plan'!AN52:AN62)</f>
        <v>5080</v>
      </c>
      <c r="AN17" s="312">
        <f>SUM('Matrícula plan'!AO52:AO62)</f>
        <v>4857</v>
      </c>
      <c r="AO17" s="313">
        <f>SUM('Matrícula plan'!AP52:AP62)</f>
        <v>5482</v>
      </c>
      <c r="AP17" s="311">
        <f>SUM('Matrícula plan'!AQ52:AQ62)</f>
        <v>5021</v>
      </c>
      <c r="AQ17" s="312">
        <f>SUM('Matrícula plan'!AR52:AR62)</f>
        <v>4966</v>
      </c>
      <c r="AR17" s="313">
        <f>SUM('Matrícula plan'!AS52:AS62)</f>
        <v>5613</v>
      </c>
      <c r="AS17" s="311">
        <f>SUM('Matrícula plan'!AT52:AT62)</f>
        <v>4936</v>
      </c>
      <c r="AT17" s="312">
        <f>SUM('Matrícula plan'!AU52:AU62)</f>
        <v>4886</v>
      </c>
      <c r="AU17" s="313">
        <f>SUM('Matrícula plan'!AV52:AV62)</f>
        <v>5472</v>
      </c>
    </row>
    <row r="18" spans="1:47" s="8" customFormat="1" ht="15" x14ac:dyDescent="0.25">
      <c r="A18" s="5773"/>
      <c r="B18" s="246" t="s">
        <v>11</v>
      </c>
      <c r="C18" s="311">
        <v>2931</v>
      </c>
      <c r="D18" s="312">
        <v>2870</v>
      </c>
      <c r="E18" s="313">
        <v>2978</v>
      </c>
      <c r="F18" s="311">
        <v>2767</v>
      </c>
      <c r="G18" s="312">
        <v>2752</v>
      </c>
      <c r="H18" s="312">
        <v>2881</v>
      </c>
      <c r="I18" s="311">
        <v>2652</v>
      </c>
      <c r="J18" s="312">
        <v>2610</v>
      </c>
      <c r="K18" s="313">
        <v>2764</v>
      </c>
      <c r="L18" s="311">
        <v>2560</v>
      </c>
      <c r="M18" s="312">
        <v>2574</v>
      </c>
      <c r="N18" s="313">
        <v>2770</v>
      </c>
      <c r="O18" s="312">
        <v>2558</v>
      </c>
      <c r="P18" s="312">
        <v>2568</v>
      </c>
      <c r="Q18" s="313">
        <v>2761</v>
      </c>
      <c r="R18" s="312">
        <v>2595</v>
      </c>
      <c r="S18" s="312">
        <v>2591</v>
      </c>
      <c r="T18" s="313">
        <v>2766</v>
      </c>
      <c r="U18" s="311">
        <v>2593</v>
      </c>
      <c r="V18" s="312">
        <v>2772</v>
      </c>
      <c r="W18" s="313">
        <v>3014</v>
      </c>
      <c r="X18" s="311">
        <v>2859</v>
      </c>
      <c r="Y18" s="312">
        <v>3030</v>
      </c>
      <c r="Z18" s="313">
        <v>3242</v>
      </c>
      <c r="AA18" s="311">
        <f>SUM('Matrícula plan'!AB64:AB69)</f>
        <v>2967</v>
      </c>
      <c r="AB18" s="312">
        <f>SUM('Matrícula plan'!AC64:AC69)</f>
        <v>3202</v>
      </c>
      <c r="AC18" s="313">
        <f>SUM('Matrícula plan'!AD64:AD69)</f>
        <v>3409</v>
      </c>
      <c r="AD18" s="311">
        <f>SUM('Matrícula plan'!AE64:AE69)</f>
        <v>3232</v>
      </c>
      <c r="AE18" s="312">
        <f>SUM('Matrícula plan'!AF64:AF69)</f>
        <v>3514</v>
      </c>
      <c r="AF18" s="313">
        <f>SUM('Matrícula plan'!AG64:AG69)</f>
        <v>3692</v>
      </c>
      <c r="AG18" s="311">
        <f>SUM('Matrícula plan'!AH64:AH69)</f>
        <v>3611</v>
      </c>
      <c r="AH18" s="312">
        <f>SUM('Matrícula plan'!AI64:AI69)</f>
        <v>3860</v>
      </c>
      <c r="AI18" s="313">
        <f>SUM('Matrícula plan'!AJ64:AJ69)</f>
        <v>4061</v>
      </c>
      <c r="AJ18" s="311">
        <f>SUM('Matrícula plan'!AK64:AK69)</f>
        <v>3764</v>
      </c>
      <c r="AK18" s="312">
        <f>SUM('Matrícula plan'!AL64:AL69)</f>
        <v>3913</v>
      </c>
      <c r="AL18" s="313">
        <f>SUM('Matrícula plan'!AM64:AM69)</f>
        <v>4068</v>
      </c>
      <c r="AM18" s="311">
        <f>SUM('Matrícula plan'!AN64:AN69)</f>
        <v>3837</v>
      </c>
      <c r="AN18" s="312">
        <f>SUM('Matrícula plan'!AO64:AO69)</f>
        <v>3921</v>
      </c>
      <c r="AO18" s="313">
        <f>SUM('Matrícula plan'!AP64:AP69)</f>
        <v>4057</v>
      </c>
      <c r="AP18" s="311">
        <f>SUM('Matrícula plan'!AQ64:AQ69)</f>
        <v>3758</v>
      </c>
      <c r="AQ18" s="312">
        <f>SUM('Matrícula plan'!AR64:AR69)</f>
        <v>3865</v>
      </c>
      <c r="AR18" s="313">
        <f>SUM('Matrícula plan'!AS64:AS69)</f>
        <v>4044</v>
      </c>
      <c r="AS18" s="311">
        <f>SUM('Matrícula plan'!AT64:AT69)</f>
        <v>3662</v>
      </c>
      <c r="AT18" s="312">
        <f>SUM('Matrícula plan'!AU64:AU69)</f>
        <v>3784</v>
      </c>
      <c r="AU18" s="313">
        <f>SUM('Matrícula plan'!AV64:AV69)</f>
        <v>3903</v>
      </c>
    </row>
    <row r="19" spans="1:47" s="7" customFormat="1" ht="15" x14ac:dyDescent="0.25">
      <c r="A19" s="5774"/>
      <c r="B19" s="2184" t="s">
        <v>12</v>
      </c>
      <c r="C19" s="2244">
        <v>9583</v>
      </c>
      <c r="D19" s="2245">
        <v>9437</v>
      </c>
      <c r="E19" s="2246">
        <v>10121</v>
      </c>
      <c r="F19" s="2244">
        <v>9385</v>
      </c>
      <c r="G19" s="2245">
        <v>9144</v>
      </c>
      <c r="H19" s="2245">
        <v>9961</v>
      </c>
      <c r="I19" s="2244">
        <v>9078</v>
      </c>
      <c r="J19" s="2245">
        <v>8966</v>
      </c>
      <c r="K19" s="2246">
        <v>9974</v>
      </c>
      <c r="L19" s="2244">
        <v>9139</v>
      </c>
      <c r="M19" s="2245">
        <v>9172</v>
      </c>
      <c r="N19" s="2246">
        <v>10039</v>
      </c>
      <c r="O19" s="2245">
        <v>9295</v>
      </c>
      <c r="P19" s="2245">
        <v>9259</v>
      </c>
      <c r="Q19" s="2246">
        <v>10243</v>
      </c>
      <c r="R19" s="2245">
        <v>9548</v>
      </c>
      <c r="S19" s="2245">
        <v>9270</v>
      </c>
      <c r="T19" s="2246">
        <v>10369</v>
      </c>
      <c r="U19" s="2244">
        <v>9812</v>
      </c>
      <c r="V19" s="2245">
        <v>9883</v>
      </c>
      <c r="W19" s="2246">
        <v>10789</v>
      </c>
      <c r="X19" s="2244">
        <f t="shared" ref="X19:AC19" si="8">SUM(X16:X18)</f>
        <v>10198</v>
      </c>
      <c r="Y19" s="2245">
        <f t="shared" si="8"/>
        <v>10110</v>
      </c>
      <c r="Z19" s="2246">
        <f t="shared" si="8"/>
        <v>11399</v>
      </c>
      <c r="AA19" s="2244">
        <f t="shared" si="8"/>
        <v>10323</v>
      </c>
      <c r="AB19" s="2245">
        <f t="shared" si="8"/>
        <v>10566</v>
      </c>
      <c r="AC19" s="2246">
        <f t="shared" si="8"/>
        <v>11743</v>
      </c>
      <c r="AD19" s="2244">
        <f t="shared" ref="AD19:AI19" si="9">SUM(AD16:AD18)</f>
        <v>10930</v>
      </c>
      <c r="AE19" s="2245">
        <f t="shared" si="9"/>
        <v>11242</v>
      </c>
      <c r="AF19" s="2246">
        <f t="shared" si="9"/>
        <v>12168</v>
      </c>
      <c r="AG19" s="2244">
        <f t="shared" si="9"/>
        <v>11635</v>
      </c>
      <c r="AH19" s="2245">
        <f t="shared" si="9"/>
        <v>11863</v>
      </c>
      <c r="AI19" s="2246">
        <f t="shared" si="9"/>
        <v>13176</v>
      </c>
      <c r="AJ19" s="2244">
        <f t="shared" ref="AJ19:AO19" si="10">SUM(AJ16:AJ18)</f>
        <v>12103</v>
      </c>
      <c r="AK19" s="2245">
        <f t="shared" si="10"/>
        <v>12137</v>
      </c>
      <c r="AL19" s="2246">
        <f t="shared" si="10"/>
        <v>13328</v>
      </c>
      <c r="AM19" s="2244">
        <f t="shared" si="10"/>
        <v>12377</v>
      </c>
      <c r="AN19" s="2245">
        <f t="shared" si="10"/>
        <v>12194</v>
      </c>
      <c r="AO19" s="2246">
        <f t="shared" si="10"/>
        <v>13384</v>
      </c>
      <c r="AP19" s="2244">
        <f t="shared" ref="AP19:AU19" si="11">SUM(AP16:AP18)</f>
        <v>12265</v>
      </c>
      <c r="AQ19" s="2245">
        <f t="shared" si="11"/>
        <v>12264</v>
      </c>
      <c r="AR19" s="2246">
        <f t="shared" si="11"/>
        <v>13602</v>
      </c>
      <c r="AS19" s="2244">
        <f t="shared" si="11"/>
        <v>12142</v>
      </c>
      <c r="AT19" s="2245">
        <f t="shared" si="11"/>
        <v>12024</v>
      </c>
      <c r="AU19" s="2246">
        <f t="shared" si="11"/>
        <v>13154</v>
      </c>
    </row>
    <row r="20" spans="1:47" s="8" customFormat="1" ht="15" x14ac:dyDescent="0.2">
      <c r="A20" s="195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07"/>
      <c r="AD20" s="307"/>
      <c r="AE20" s="307"/>
      <c r="AF20" s="307"/>
      <c r="AG20" s="307"/>
      <c r="AH20" s="307"/>
      <c r="AI20" s="307"/>
      <c r="AJ20" s="307"/>
      <c r="AK20" s="307"/>
      <c r="AL20" s="307"/>
      <c r="AM20" s="307"/>
      <c r="AN20" s="307"/>
      <c r="AO20" s="307"/>
      <c r="AP20" s="307"/>
      <c r="AQ20" s="307"/>
      <c r="AR20" s="307"/>
      <c r="AS20" s="307"/>
      <c r="AT20" s="307"/>
      <c r="AU20" s="307"/>
    </row>
    <row r="21" spans="1:47" s="8" customFormat="1" ht="15" x14ac:dyDescent="0.25">
      <c r="A21" s="5775" t="s">
        <v>408</v>
      </c>
      <c r="B21" s="245" t="s">
        <v>5</v>
      </c>
      <c r="C21" s="623"/>
      <c r="D21" s="725"/>
      <c r="E21" s="725"/>
      <c r="F21" s="725"/>
      <c r="G21" s="725"/>
      <c r="H21" s="725"/>
      <c r="I21" s="725"/>
      <c r="J21" s="725"/>
      <c r="K21" s="725"/>
      <c r="L21" s="725"/>
      <c r="M21" s="725"/>
      <c r="N21" s="725"/>
      <c r="O21" s="725"/>
      <c r="P21" s="725"/>
      <c r="Q21" s="725"/>
      <c r="R21" s="725"/>
      <c r="S21" s="725"/>
      <c r="T21" s="725"/>
      <c r="U21" s="725"/>
      <c r="V21" s="725"/>
      <c r="W21" s="725"/>
      <c r="X21" s="725"/>
      <c r="Y21" s="725"/>
      <c r="Z21" s="624"/>
      <c r="AA21" s="308">
        <f>SUM('Matrícula plan'!AB72)</f>
        <v>0</v>
      </c>
      <c r="AB21" s="309">
        <f>SUM('Matrícula plan'!AC72)</f>
        <v>26</v>
      </c>
      <c r="AC21" s="310">
        <f>SUM('Matrícula plan'!AD72)</f>
        <v>57</v>
      </c>
      <c r="AD21" s="308">
        <f>SUM('Matrícula plan'!AE72)</f>
        <v>50</v>
      </c>
      <c r="AE21" s="309">
        <f>SUM('Matrícula plan'!AF72)</f>
        <v>46</v>
      </c>
      <c r="AF21" s="310">
        <f>SUM('Matrícula plan'!AG72)</f>
        <v>78</v>
      </c>
      <c r="AG21" s="308">
        <f>SUM('Matrícula plan'!AH72)</f>
        <v>72</v>
      </c>
      <c r="AH21" s="309">
        <f>SUM('Matrícula plan'!AI72)</f>
        <v>90</v>
      </c>
      <c r="AI21" s="310">
        <f>SUM('Matrícula plan'!AJ72)</f>
        <v>106</v>
      </c>
      <c r="AJ21" s="308">
        <f>SUM('Matrícula plan'!AK72)</f>
        <v>89</v>
      </c>
      <c r="AK21" s="309">
        <f>SUM('Matrícula plan'!AL72)</f>
        <v>100</v>
      </c>
      <c r="AL21" s="310">
        <f>SUM('Matrícula plan'!AM72)</f>
        <v>118</v>
      </c>
      <c r="AM21" s="308">
        <f>SUM('Matrícula plan'!AN72)</f>
        <v>99</v>
      </c>
      <c r="AN21" s="309">
        <f>SUM('Matrícula plan'!AO72)</f>
        <v>113</v>
      </c>
      <c r="AO21" s="310">
        <f>SUM('Matrícula plan'!AP72)</f>
        <v>146</v>
      </c>
      <c r="AP21" s="308">
        <f>SUM('Matrícula plan'!AQ72)</f>
        <v>125</v>
      </c>
      <c r="AQ21" s="309">
        <f>SUM('Matrícula plan'!AR72)</f>
        <v>141</v>
      </c>
      <c r="AR21" s="310">
        <f>SUM('Matrícula plan'!AS72)</f>
        <v>161</v>
      </c>
      <c r="AS21" s="308">
        <f>SUM('Matrícula plan'!AT72)</f>
        <v>150</v>
      </c>
      <c r="AT21" s="309">
        <f>SUM('Matrícula plan'!AU72:AU73)</f>
        <v>199</v>
      </c>
      <c r="AU21" s="310">
        <f>SUM('Matrícula plan'!AV72:AV73)</f>
        <v>237</v>
      </c>
    </row>
    <row r="22" spans="1:47" s="8" customFormat="1" ht="15" x14ac:dyDescent="0.25">
      <c r="A22" s="5776"/>
      <c r="B22" s="246" t="s">
        <v>6</v>
      </c>
      <c r="C22" s="625"/>
      <c r="D22" s="724"/>
      <c r="E22" s="724"/>
      <c r="F22" s="724"/>
      <c r="G22" s="724"/>
      <c r="H22" s="724"/>
      <c r="I22" s="724"/>
      <c r="J22" s="724"/>
      <c r="K22" s="724"/>
      <c r="L22" s="724"/>
      <c r="M22" s="724"/>
      <c r="N22" s="724"/>
      <c r="O22" s="724"/>
      <c r="P22" s="724"/>
      <c r="Q22" s="724"/>
      <c r="R22" s="724"/>
      <c r="S22" s="724"/>
      <c r="T22" s="724"/>
      <c r="U22" s="724"/>
      <c r="V22" s="724"/>
      <c r="W22" s="724"/>
      <c r="X22" s="724"/>
      <c r="Y22" s="724"/>
      <c r="Z22" s="626"/>
      <c r="AA22" s="311">
        <f>SUM('Matrícula plan'!AB75)</f>
        <v>0</v>
      </c>
      <c r="AB22" s="312">
        <f>SUM('Matrícula plan'!AC75)</f>
        <v>29</v>
      </c>
      <c r="AC22" s="313">
        <f>SUM('Matrícula plan'!AD75)</f>
        <v>51</v>
      </c>
      <c r="AD22" s="311">
        <f>SUM('Matrícula plan'!AE75)</f>
        <v>45</v>
      </c>
      <c r="AE22" s="312">
        <f>SUM('Matrícula plan'!AF75)</f>
        <v>41</v>
      </c>
      <c r="AF22" s="313">
        <f>SUM('Matrícula plan'!AG75)</f>
        <v>76</v>
      </c>
      <c r="AG22" s="311">
        <f>SUM('Matrícula plan'!AH75)</f>
        <v>69</v>
      </c>
      <c r="AH22" s="312">
        <f>SUM('Matrícula plan'!AI75)</f>
        <v>90</v>
      </c>
      <c r="AI22" s="313">
        <f>SUM('Matrícula plan'!AJ75:AJ76)</f>
        <v>132</v>
      </c>
      <c r="AJ22" s="311">
        <f>SUM('Matrícula plan'!AK75:AK76)</f>
        <v>128</v>
      </c>
      <c r="AK22" s="312">
        <f>SUM('Matrícula plan'!AL75:AL76)</f>
        <v>119</v>
      </c>
      <c r="AL22" s="313">
        <f>SUM('Matrícula plan'!AM75:AM76)</f>
        <v>163</v>
      </c>
      <c r="AM22" s="311">
        <f>SUM('Matrícula plan'!AN75:AN76)</f>
        <v>154</v>
      </c>
      <c r="AN22" s="312">
        <f>SUM('Matrícula plan'!AO75:AO76)</f>
        <v>142</v>
      </c>
      <c r="AO22" s="313">
        <f>SUM('Matrícula plan'!AP75:AP76)</f>
        <v>174</v>
      </c>
      <c r="AP22" s="311">
        <f>SUM('Matrícula plan'!AQ75:AQ76)</f>
        <v>155</v>
      </c>
      <c r="AQ22" s="312">
        <f>SUM('Matrícula plan'!AR75:AR76)</f>
        <v>187</v>
      </c>
      <c r="AR22" s="313">
        <f>SUM('Matrícula plan'!AS75:AS76)</f>
        <v>217</v>
      </c>
      <c r="AS22" s="311">
        <f>SUM('Matrícula plan'!AT75:AT76)</f>
        <v>202</v>
      </c>
      <c r="AT22" s="312">
        <f>SUM('Matrícula plan'!AU75:AU76)</f>
        <v>216</v>
      </c>
      <c r="AU22" s="313">
        <f>SUM('Matrícula plan'!AV75:AV76)</f>
        <v>248</v>
      </c>
    </row>
    <row r="23" spans="1:47" s="8" customFormat="1" ht="15" x14ac:dyDescent="0.25">
      <c r="A23" s="5776"/>
      <c r="B23" s="246" t="s">
        <v>11</v>
      </c>
      <c r="C23" s="625"/>
      <c r="D23" s="724"/>
      <c r="E23" s="724"/>
      <c r="F23" s="724"/>
      <c r="G23" s="724"/>
      <c r="H23" s="724"/>
      <c r="I23" s="724"/>
      <c r="J23" s="724"/>
      <c r="K23" s="724"/>
      <c r="L23" s="724"/>
      <c r="M23" s="724"/>
      <c r="N23" s="724"/>
      <c r="O23" s="724"/>
      <c r="P23" s="724"/>
      <c r="Q23" s="724"/>
      <c r="R23" s="724"/>
      <c r="S23" s="724"/>
      <c r="T23" s="724"/>
      <c r="U23" s="724"/>
      <c r="V23" s="724"/>
      <c r="W23" s="724"/>
      <c r="X23" s="724"/>
      <c r="Y23" s="724"/>
      <c r="Z23" s="626"/>
      <c r="AA23" s="311">
        <f>SUM('Matrícula plan'!AB78)</f>
        <v>0</v>
      </c>
      <c r="AB23" s="312">
        <f>SUM('Matrícula plan'!AC78)</f>
        <v>30</v>
      </c>
      <c r="AC23" s="313">
        <f>SUM('Matrícula plan'!AD78)</f>
        <v>53</v>
      </c>
      <c r="AD23" s="311">
        <f>SUM('Matrícula plan'!AE78)</f>
        <v>46</v>
      </c>
      <c r="AE23" s="312">
        <f>SUM('Matrícula plan'!AF78)</f>
        <v>39</v>
      </c>
      <c r="AF23" s="313">
        <f>SUM('Matrícula plan'!AG78)</f>
        <v>66</v>
      </c>
      <c r="AG23" s="311">
        <f>SUM('Matrícula plan'!AH78)</f>
        <v>59</v>
      </c>
      <c r="AH23" s="312">
        <f>SUM('Matrícula plan'!AI78)</f>
        <v>76</v>
      </c>
      <c r="AI23" s="313">
        <f>SUM('Matrícula plan'!AJ78)</f>
        <v>110</v>
      </c>
      <c r="AJ23" s="311">
        <f>SUM('Matrícula plan'!AK78)</f>
        <v>98</v>
      </c>
      <c r="AK23" s="312">
        <f>SUM('Matrícula plan'!AL78)</f>
        <v>125</v>
      </c>
      <c r="AL23" s="313">
        <f>SUM('Matrícula plan'!AM78)</f>
        <v>135</v>
      </c>
      <c r="AM23" s="311">
        <f>SUM('Matrícula plan'!AN78)</f>
        <v>127</v>
      </c>
      <c r="AN23" s="312">
        <f>SUM('Matrícula plan'!AO78)</f>
        <v>154</v>
      </c>
      <c r="AO23" s="313">
        <f>SUM('Matrícula plan'!AP78)</f>
        <v>175</v>
      </c>
      <c r="AP23" s="311">
        <f>SUM('Matrícula plan'!AQ78)</f>
        <v>166</v>
      </c>
      <c r="AQ23" s="312">
        <f>SUM('Matrícula plan'!AR78)</f>
        <v>186</v>
      </c>
      <c r="AR23" s="313">
        <f>SUM('Matrícula plan'!AS78)</f>
        <v>220</v>
      </c>
      <c r="AS23" s="311">
        <f>SUM('Matrícula plan'!AT78)</f>
        <v>195</v>
      </c>
      <c r="AT23" s="312">
        <f>SUM('Matrícula plan'!AU78)</f>
        <v>220</v>
      </c>
      <c r="AU23" s="313">
        <f>SUM('Matrícula plan'!AV78:AV79)</f>
        <v>253</v>
      </c>
    </row>
    <row r="24" spans="1:47" s="7" customFormat="1" ht="15" x14ac:dyDescent="0.25">
      <c r="A24" s="5777"/>
      <c r="B24" s="2247" t="s">
        <v>12</v>
      </c>
      <c r="C24" s="2248"/>
      <c r="D24" s="2249"/>
      <c r="E24" s="2249"/>
      <c r="F24" s="2249"/>
      <c r="G24" s="2249"/>
      <c r="H24" s="2249"/>
      <c r="I24" s="2249"/>
      <c r="J24" s="2249"/>
      <c r="K24" s="2249"/>
      <c r="L24" s="2249"/>
      <c r="M24" s="2249"/>
      <c r="N24" s="2249"/>
      <c r="O24" s="2249"/>
      <c r="P24" s="2249"/>
      <c r="Q24" s="2249"/>
      <c r="R24" s="2249"/>
      <c r="S24" s="2249"/>
      <c r="T24" s="2249"/>
      <c r="U24" s="2249"/>
      <c r="V24" s="2249"/>
      <c r="W24" s="2249"/>
      <c r="X24" s="2249"/>
      <c r="Y24" s="2249"/>
      <c r="Z24" s="2250"/>
      <c r="AA24" s="2251">
        <f t="shared" ref="AA24:AF24" si="12">SUM(AA21:AA23)</f>
        <v>0</v>
      </c>
      <c r="AB24" s="2252">
        <f t="shared" si="12"/>
        <v>85</v>
      </c>
      <c r="AC24" s="2253">
        <f t="shared" si="12"/>
        <v>161</v>
      </c>
      <c r="AD24" s="2251">
        <f t="shared" si="12"/>
        <v>141</v>
      </c>
      <c r="AE24" s="2252">
        <f t="shared" si="12"/>
        <v>126</v>
      </c>
      <c r="AF24" s="2253">
        <f t="shared" si="12"/>
        <v>220</v>
      </c>
      <c r="AG24" s="2251">
        <f t="shared" ref="AG24:AL24" si="13">SUM(AG21:AG23)</f>
        <v>200</v>
      </c>
      <c r="AH24" s="2252">
        <f t="shared" si="13"/>
        <v>256</v>
      </c>
      <c r="AI24" s="2253">
        <f t="shared" si="13"/>
        <v>348</v>
      </c>
      <c r="AJ24" s="2251">
        <f t="shared" si="13"/>
        <v>315</v>
      </c>
      <c r="AK24" s="2252">
        <f t="shared" si="13"/>
        <v>344</v>
      </c>
      <c r="AL24" s="2253">
        <f t="shared" si="13"/>
        <v>416</v>
      </c>
      <c r="AM24" s="2251">
        <f t="shared" ref="AM24:AU24" si="14">SUM(AM21:AM23)</f>
        <v>380</v>
      </c>
      <c r="AN24" s="2252">
        <f t="shared" si="14"/>
        <v>409</v>
      </c>
      <c r="AO24" s="2253">
        <f t="shared" si="14"/>
        <v>495</v>
      </c>
      <c r="AP24" s="2251">
        <f t="shared" si="14"/>
        <v>446</v>
      </c>
      <c r="AQ24" s="2252">
        <f t="shared" si="14"/>
        <v>514</v>
      </c>
      <c r="AR24" s="2253">
        <f t="shared" si="14"/>
        <v>598</v>
      </c>
      <c r="AS24" s="2251">
        <f t="shared" si="14"/>
        <v>547</v>
      </c>
      <c r="AT24" s="2252">
        <f t="shared" si="14"/>
        <v>635</v>
      </c>
      <c r="AU24" s="2253">
        <f t="shared" si="14"/>
        <v>738</v>
      </c>
    </row>
    <row r="25" spans="1:47" s="7" customFormat="1" ht="15.75" x14ac:dyDescent="0.25">
      <c r="A25" s="1781"/>
      <c r="B25" s="710"/>
      <c r="C25" s="710"/>
      <c r="D25" s="710"/>
      <c r="E25" s="710"/>
      <c r="F25" s="710"/>
      <c r="G25" s="710"/>
      <c r="H25" s="710"/>
      <c r="I25" s="710"/>
      <c r="J25" s="710"/>
      <c r="K25" s="710"/>
      <c r="L25" s="710"/>
      <c r="M25" s="710"/>
      <c r="N25" s="710"/>
      <c r="O25" s="710"/>
      <c r="P25" s="710"/>
      <c r="Q25" s="710"/>
      <c r="R25" s="710"/>
      <c r="S25" s="710"/>
      <c r="T25" s="710"/>
      <c r="U25" s="710"/>
      <c r="V25" s="710"/>
      <c r="W25" s="710"/>
      <c r="X25" s="710"/>
      <c r="Y25" s="710"/>
      <c r="Z25" s="710"/>
      <c r="AA25" s="710"/>
      <c r="AB25" s="710"/>
      <c r="AC25" s="710"/>
      <c r="AD25" s="710"/>
      <c r="AE25" s="710"/>
      <c r="AF25" s="710"/>
      <c r="AG25" s="710"/>
      <c r="AH25" s="710"/>
      <c r="AI25" s="710"/>
      <c r="AJ25" s="710"/>
      <c r="AK25" s="710"/>
      <c r="AL25" s="710"/>
      <c r="AM25" s="710"/>
      <c r="AN25" s="710"/>
      <c r="AO25" s="710"/>
      <c r="AP25" s="710"/>
      <c r="AQ25" s="710"/>
      <c r="AR25" s="710"/>
      <c r="AS25" s="710"/>
      <c r="AT25" s="710"/>
      <c r="AU25" s="710"/>
    </row>
    <row r="26" spans="1:47" s="7" customFormat="1" ht="15" x14ac:dyDescent="0.25">
      <c r="A26" s="5784" t="s">
        <v>163</v>
      </c>
      <c r="B26" s="245" t="s">
        <v>6</v>
      </c>
      <c r="C26" s="308">
        <v>4040</v>
      </c>
      <c r="D26" s="309">
        <v>4100</v>
      </c>
      <c r="E26" s="310">
        <v>4173</v>
      </c>
      <c r="F26" s="308">
        <v>4020</v>
      </c>
      <c r="G26" s="309">
        <v>4359</v>
      </c>
      <c r="H26" s="309">
        <v>4550</v>
      </c>
      <c r="I26" s="308">
        <v>4381</v>
      </c>
      <c r="J26" s="309">
        <v>4670</v>
      </c>
      <c r="K26" s="310">
        <v>4867</v>
      </c>
      <c r="L26" s="308">
        <v>4606</v>
      </c>
      <c r="M26" s="309">
        <v>4784</v>
      </c>
      <c r="N26" s="310">
        <v>4915</v>
      </c>
      <c r="O26" s="309">
        <v>4682</v>
      </c>
      <c r="P26" s="309">
        <v>4918</v>
      </c>
      <c r="Q26" s="310">
        <v>5006</v>
      </c>
      <c r="R26" s="309">
        <v>4747</v>
      </c>
      <c r="S26" s="309">
        <v>4801</v>
      </c>
      <c r="T26" s="310">
        <v>4793</v>
      </c>
      <c r="U26" s="308">
        <v>4593</v>
      </c>
      <c r="V26" s="309">
        <v>4758</v>
      </c>
      <c r="W26" s="310">
        <v>4690</v>
      </c>
      <c r="X26" s="308">
        <v>4524</v>
      </c>
      <c r="Y26" s="309">
        <v>4694</v>
      </c>
      <c r="Z26" s="310">
        <v>4746</v>
      </c>
      <c r="AA26" s="308">
        <f>SUM('Matrícula plan'!AB82:AB87)</f>
        <v>4460</v>
      </c>
      <c r="AB26" s="309">
        <f>SUM('Matrícula plan'!AC82:AC87)</f>
        <v>4598</v>
      </c>
      <c r="AC26" s="310">
        <f>SUM('Matrícula plan'!AD82:AD87)</f>
        <v>4733</v>
      </c>
      <c r="AD26" s="308">
        <f>SUM('Matrícula plan'!AE82:AE87)</f>
        <v>4460</v>
      </c>
      <c r="AE26" s="309">
        <f>SUM('Matrícula plan'!AF82:AF87)</f>
        <v>4611</v>
      </c>
      <c r="AF26" s="310">
        <f>SUM('Matrícula plan'!AG82:AG87)</f>
        <v>4841</v>
      </c>
      <c r="AG26" s="308">
        <f>SUM('Matrícula plan'!AH82:AH87)</f>
        <v>4611</v>
      </c>
      <c r="AH26" s="309">
        <f>SUM('Matrícula plan'!AI82:AI87)</f>
        <v>4753</v>
      </c>
      <c r="AI26" s="310">
        <f>SUM('Matrícula plan'!AJ82:AJ87)</f>
        <v>4753</v>
      </c>
      <c r="AJ26" s="308">
        <f>SUM('Matrícula plan'!AK82:AK87)</f>
        <v>4303</v>
      </c>
      <c r="AK26" s="309">
        <f>SUM('Matrícula plan'!AL82:AL87)</f>
        <v>4703</v>
      </c>
      <c r="AL26" s="310">
        <f>SUM('Matrícula plan'!AM82:AM87)</f>
        <v>4782</v>
      </c>
      <c r="AM26" s="308">
        <f>SUM('Matrícula plan'!AN82:AN87)</f>
        <v>4545</v>
      </c>
      <c r="AN26" s="309">
        <f>SUM('Matrícula plan'!AO82:AO87)</f>
        <v>4678</v>
      </c>
      <c r="AO26" s="310">
        <f>SUM('Matrícula plan'!AP82:AP87)</f>
        <v>4781</v>
      </c>
      <c r="AP26" s="308">
        <f>SUM('Matrícula plan'!AQ82:AQ87)</f>
        <v>4535</v>
      </c>
      <c r="AQ26" s="309">
        <f>SUM('Matrícula plan'!AR82:AR87)</f>
        <v>4637</v>
      </c>
      <c r="AR26" s="310">
        <f>SUM('Matrícula plan'!AS82:AS87)</f>
        <v>4729</v>
      </c>
      <c r="AS26" s="308">
        <f>SUM('Matrícula plan'!AT82:AT87)</f>
        <v>4531</v>
      </c>
      <c r="AT26" s="309">
        <f>SUM('Matrícula plan'!AU82:AU87)</f>
        <v>4751</v>
      </c>
      <c r="AU26" s="310">
        <f>SUM('Matrícula plan'!AV82:AV87)</f>
        <v>4928</v>
      </c>
    </row>
    <row r="27" spans="1:47" s="7" customFormat="1" ht="15" x14ac:dyDescent="0.25">
      <c r="A27" s="5785"/>
      <c r="B27" s="246" t="s">
        <v>11</v>
      </c>
      <c r="C27" s="311">
        <v>4790</v>
      </c>
      <c r="D27" s="312">
        <v>5071</v>
      </c>
      <c r="E27" s="313">
        <v>5336</v>
      </c>
      <c r="F27" s="311">
        <v>4885</v>
      </c>
      <c r="G27" s="312">
        <v>5473</v>
      </c>
      <c r="H27" s="312">
        <v>5903</v>
      </c>
      <c r="I27" s="311">
        <v>5377</v>
      </c>
      <c r="J27" s="312">
        <v>6066</v>
      </c>
      <c r="K27" s="313">
        <v>6446</v>
      </c>
      <c r="L27" s="311">
        <v>5906</v>
      </c>
      <c r="M27" s="312">
        <v>6467</v>
      </c>
      <c r="N27" s="313">
        <v>6757</v>
      </c>
      <c r="O27" s="312">
        <v>6228</v>
      </c>
      <c r="P27" s="312">
        <v>6543</v>
      </c>
      <c r="Q27" s="313">
        <v>6713</v>
      </c>
      <c r="R27" s="312">
        <v>6140</v>
      </c>
      <c r="S27" s="312">
        <v>6274</v>
      </c>
      <c r="T27" s="313">
        <v>6444</v>
      </c>
      <c r="U27" s="311">
        <v>5923</v>
      </c>
      <c r="V27" s="312">
        <v>6284</v>
      </c>
      <c r="W27" s="313">
        <v>6270</v>
      </c>
      <c r="X27" s="311">
        <v>5752</v>
      </c>
      <c r="Y27" s="312">
        <v>6123</v>
      </c>
      <c r="Z27" s="313">
        <v>6339</v>
      </c>
      <c r="AA27" s="311">
        <f>SUM('Matrícula plan'!AB89:AB96)</f>
        <v>5767</v>
      </c>
      <c r="AB27" s="312">
        <f>SUM('Matrícula plan'!AC89:AC96)</f>
        <v>6077</v>
      </c>
      <c r="AC27" s="313">
        <f>SUM('Matrícula plan'!AD89:AD96)</f>
        <v>6294</v>
      </c>
      <c r="AD27" s="311">
        <f>SUM('Matrícula plan'!AE89:AE96)</f>
        <v>5643</v>
      </c>
      <c r="AE27" s="312">
        <f>SUM('Matrícula plan'!AF89:AF96)</f>
        <v>6017</v>
      </c>
      <c r="AF27" s="313">
        <f>SUM('Matrícula plan'!AG89:AG96)</f>
        <v>6161</v>
      </c>
      <c r="AG27" s="311">
        <f>SUM('Matrícula plan'!AH89:AH96)</f>
        <v>5670</v>
      </c>
      <c r="AH27" s="312">
        <f>SUM('Matrícula plan'!AI89:AI96)</f>
        <v>6058</v>
      </c>
      <c r="AI27" s="313">
        <f>SUM('Matrícula plan'!AJ89:AJ96)</f>
        <v>6284</v>
      </c>
      <c r="AJ27" s="311">
        <f>SUM('Matrícula plan'!AK89:AK96)</f>
        <v>5426</v>
      </c>
      <c r="AK27" s="312">
        <f>SUM('Matrícula plan'!AL89:AL96)</f>
        <v>6154</v>
      </c>
      <c r="AL27" s="313">
        <f>SUM('Matrícula plan'!AM89:AM96)</f>
        <v>6362</v>
      </c>
      <c r="AM27" s="311">
        <f>SUM('Matrícula plan'!AN89:AN96)</f>
        <v>5749</v>
      </c>
      <c r="AN27" s="312">
        <f>SUM('Matrícula plan'!AO89:AO96)</f>
        <v>6128</v>
      </c>
      <c r="AO27" s="313">
        <f>SUM('Matrícula plan'!AP89:AP96)</f>
        <v>6384</v>
      </c>
      <c r="AP27" s="311">
        <f>SUM('Matrícula plan'!AQ89:AQ96)</f>
        <v>5695</v>
      </c>
      <c r="AQ27" s="312">
        <f>SUM('Matrícula plan'!AR89:AR96)</f>
        <v>6151</v>
      </c>
      <c r="AR27" s="313">
        <f>SUM('Matrícula plan'!AS89:AS96)</f>
        <v>6478</v>
      </c>
      <c r="AS27" s="311">
        <f>SUM('Matrícula plan'!AT89:AT96)</f>
        <v>5919</v>
      </c>
      <c r="AT27" s="312">
        <f>SUM('Matrícula plan'!AU89:AU96)</f>
        <v>6383</v>
      </c>
      <c r="AU27" s="313">
        <f>SUM('Matrícula plan'!AV89:AV96)</f>
        <v>6682</v>
      </c>
    </row>
    <row r="28" spans="1:47" s="7" customFormat="1" ht="15" x14ac:dyDescent="0.25">
      <c r="A28" s="5785"/>
      <c r="B28" s="246" t="s">
        <v>7</v>
      </c>
      <c r="C28" s="311">
        <v>2034</v>
      </c>
      <c r="D28" s="312">
        <v>2150</v>
      </c>
      <c r="E28" s="313">
        <v>2350</v>
      </c>
      <c r="F28" s="311">
        <v>2141</v>
      </c>
      <c r="G28" s="312">
        <v>2352</v>
      </c>
      <c r="H28" s="312">
        <v>2463</v>
      </c>
      <c r="I28" s="311">
        <v>2342</v>
      </c>
      <c r="J28" s="312">
        <v>2499</v>
      </c>
      <c r="K28" s="313">
        <v>2562</v>
      </c>
      <c r="L28" s="311">
        <v>2437</v>
      </c>
      <c r="M28" s="312">
        <v>2537</v>
      </c>
      <c r="N28" s="313">
        <v>2555</v>
      </c>
      <c r="O28" s="312">
        <v>2405</v>
      </c>
      <c r="P28" s="312">
        <v>2588</v>
      </c>
      <c r="Q28" s="313">
        <v>2624</v>
      </c>
      <c r="R28" s="312">
        <v>2476</v>
      </c>
      <c r="S28" s="312">
        <v>2556</v>
      </c>
      <c r="T28" s="313">
        <v>2508</v>
      </c>
      <c r="U28" s="311">
        <v>2360</v>
      </c>
      <c r="V28" s="312">
        <v>2503</v>
      </c>
      <c r="W28" s="313">
        <v>2427</v>
      </c>
      <c r="X28" s="311">
        <v>2344</v>
      </c>
      <c r="Y28" s="312">
        <v>2383</v>
      </c>
      <c r="Z28" s="313">
        <v>2400</v>
      </c>
      <c r="AA28" s="311">
        <f>SUM('Matrícula plan'!AB98:AB101)</f>
        <v>2192</v>
      </c>
      <c r="AB28" s="312">
        <f>SUM('Matrícula plan'!AC98:AC101)</f>
        <v>2294</v>
      </c>
      <c r="AC28" s="313">
        <f>SUM('Matrícula plan'!AD98:AD101)</f>
        <v>2429</v>
      </c>
      <c r="AD28" s="311">
        <f>SUM('Matrícula plan'!AE98:AE101)</f>
        <v>2222</v>
      </c>
      <c r="AE28" s="312">
        <f>SUM('Matrícula plan'!AF98:AF101)</f>
        <v>2342</v>
      </c>
      <c r="AF28" s="313">
        <f>SUM('Matrícula plan'!AG98:AG101)</f>
        <v>2430</v>
      </c>
      <c r="AG28" s="311">
        <f>SUM('Matrícula plan'!AH98:AH101)</f>
        <v>2274</v>
      </c>
      <c r="AH28" s="312">
        <f>SUM('Matrícula plan'!AI98:AI101)</f>
        <v>2355</v>
      </c>
      <c r="AI28" s="313">
        <f>SUM('Matrícula plan'!AJ98:AJ101)</f>
        <v>2454</v>
      </c>
      <c r="AJ28" s="311">
        <f>SUM('Matrícula plan'!AK98:AK101)</f>
        <v>2189</v>
      </c>
      <c r="AK28" s="312">
        <f>SUM('Matrícula plan'!AL98:AL101)</f>
        <v>2361</v>
      </c>
      <c r="AL28" s="313">
        <f>SUM('Matrícula plan'!AM98:AM101)</f>
        <v>2423</v>
      </c>
      <c r="AM28" s="311">
        <f>SUM('Matrícula plan'!AN98:AN101)</f>
        <v>2299</v>
      </c>
      <c r="AN28" s="312">
        <f>SUM('Matrícula plan'!AO98:AO101)</f>
        <v>2308</v>
      </c>
      <c r="AO28" s="313">
        <f>SUM('Matrícula plan'!AP98:AP101)</f>
        <v>2459</v>
      </c>
      <c r="AP28" s="311">
        <f>SUM('Matrícula plan'!AQ98:AQ101)</f>
        <v>2287</v>
      </c>
      <c r="AQ28" s="312">
        <f>SUM('Matrícula plan'!AR98:AR101)</f>
        <v>2366</v>
      </c>
      <c r="AR28" s="313">
        <f>SUM('Matrícula plan'!AS98:AS101)</f>
        <v>2447</v>
      </c>
      <c r="AS28" s="311">
        <f>SUM('Matrícula plan'!AT98:AT101)</f>
        <v>2298</v>
      </c>
      <c r="AT28" s="312">
        <f>SUM('Matrícula plan'!AU98:AU101)</f>
        <v>2388</v>
      </c>
      <c r="AU28" s="313">
        <f>SUM('Matrícula plan'!AV98:AV101)</f>
        <v>2489</v>
      </c>
    </row>
    <row r="29" spans="1:47" s="7" customFormat="1" ht="15" x14ac:dyDescent="0.25">
      <c r="A29" s="5786"/>
      <c r="B29" s="2180" t="s">
        <v>12</v>
      </c>
      <c r="C29" s="2254">
        <v>10864</v>
      </c>
      <c r="D29" s="2255">
        <v>11321</v>
      </c>
      <c r="E29" s="2256">
        <v>11859</v>
      </c>
      <c r="F29" s="2254">
        <v>11046</v>
      </c>
      <c r="G29" s="2255">
        <v>12184</v>
      </c>
      <c r="H29" s="2255">
        <v>12916</v>
      </c>
      <c r="I29" s="2254">
        <v>12100</v>
      </c>
      <c r="J29" s="2255">
        <v>13235</v>
      </c>
      <c r="K29" s="2256">
        <v>13875</v>
      </c>
      <c r="L29" s="2254">
        <v>12949</v>
      </c>
      <c r="M29" s="2255">
        <v>13788</v>
      </c>
      <c r="N29" s="2256">
        <v>14227</v>
      </c>
      <c r="O29" s="2255">
        <v>13315</v>
      </c>
      <c r="P29" s="2255">
        <v>14049</v>
      </c>
      <c r="Q29" s="2256">
        <v>14343</v>
      </c>
      <c r="R29" s="2255">
        <v>13363</v>
      </c>
      <c r="S29" s="2255">
        <v>13631</v>
      </c>
      <c r="T29" s="2256">
        <v>13745</v>
      </c>
      <c r="U29" s="2254">
        <v>12876</v>
      </c>
      <c r="V29" s="2255">
        <v>13545</v>
      </c>
      <c r="W29" s="2256">
        <v>13387</v>
      </c>
      <c r="X29" s="2254">
        <f t="shared" ref="X29:AC29" si="15">SUM(X26:X28)</f>
        <v>12620</v>
      </c>
      <c r="Y29" s="2255">
        <f t="shared" si="15"/>
        <v>13200</v>
      </c>
      <c r="Z29" s="2256">
        <f t="shared" si="15"/>
        <v>13485</v>
      </c>
      <c r="AA29" s="2254">
        <f t="shared" si="15"/>
        <v>12419</v>
      </c>
      <c r="AB29" s="2255">
        <f t="shared" si="15"/>
        <v>12969</v>
      </c>
      <c r="AC29" s="2256">
        <f t="shared" si="15"/>
        <v>13456</v>
      </c>
      <c r="AD29" s="2254">
        <f t="shared" ref="AD29:AI29" si="16">SUM(AD26:AD28)</f>
        <v>12325</v>
      </c>
      <c r="AE29" s="2255">
        <f t="shared" si="16"/>
        <v>12970</v>
      </c>
      <c r="AF29" s="2256">
        <f t="shared" si="16"/>
        <v>13432</v>
      </c>
      <c r="AG29" s="2254">
        <f t="shared" si="16"/>
        <v>12555</v>
      </c>
      <c r="AH29" s="2255">
        <f t="shared" si="16"/>
        <v>13166</v>
      </c>
      <c r="AI29" s="2256">
        <f t="shared" si="16"/>
        <v>13491</v>
      </c>
      <c r="AJ29" s="2254">
        <f t="shared" ref="AJ29:AO29" si="17">SUM(AJ26:AJ28)</f>
        <v>11918</v>
      </c>
      <c r="AK29" s="2255">
        <f t="shared" si="17"/>
        <v>13218</v>
      </c>
      <c r="AL29" s="2256">
        <f t="shared" si="17"/>
        <v>13567</v>
      </c>
      <c r="AM29" s="2254">
        <f t="shared" si="17"/>
        <v>12593</v>
      </c>
      <c r="AN29" s="2255">
        <f t="shared" si="17"/>
        <v>13114</v>
      </c>
      <c r="AO29" s="2256">
        <f t="shared" si="17"/>
        <v>13624</v>
      </c>
      <c r="AP29" s="2254">
        <f t="shared" ref="AP29:AU29" si="18">SUM(AP26:AP28)</f>
        <v>12517</v>
      </c>
      <c r="AQ29" s="2255">
        <f t="shared" si="18"/>
        <v>13154</v>
      </c>
      <c r="AR29" s="2256">
        <f t="shared" si="18"/>
        <v>13654</v>
      </c>
      <c r="AS29" s="2254">
        <f t="shared" si="18"/>
        <v>12748</v>
      </c>
      <c r="AT29" s="2255">
        <f t="shared" si="18"/>
        <v>13522</v>
      </c>
      <c r="AU29" s="2256">
        <f t="shared" si="18"/>
        <v>14099</v>
      </c>
    </row>
    <row r="30" spans="1:47" s="8" customFormat="1" ht="15" x14ac:dyDescent="0.2">
      <c r="A30" s="307"/>
      <c r="B30" s="307"/>
      <c r="C30" s="307"/>
      <c r="D30" s="307"/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307"/>
      <c r="S30" s="307"/>
      <c r="T30" s="307"/>
      <c r="U30" s="307"/>
      <c r="V30" s="307"/>
      <c r="W30" s="307"/>
      <c r="X30" s="307"/>
      <c r="Y30" s="307"/>
      <c r="Z30" s="307"/>
      <c r="AA30" s="307"/>
      <c r="AB30" s="307"/>
      <c r="AC30" s="307"/>
      <c r="AD30" s="307"/>
      <c r="AE30" s="307"/>
      <c r="AF30" s="307"/>
      <c r="AG30" s="307"/>
      <c r="AH30" s="307"/>
      <c r="AI30" s="307"/>
      <c r="AJ30" s="307"/>
      <c r="AK30" s="307"/>
      <c r="AL30" s="307"/>
      <c r="AM30" s="307"/>
      <c r="AN30" s="307"/>
      <c r="AO30" s="307"/>
      <c r="AP30" s="307"/>
      <c r="AQ30" s="307"/>
      <c r="AR30" s="307"/>
      <c r="AS30" s="307"/>
      <c r="AT30" s="307"/>
      <c r="AU30" s="307"/>
    </row>
    <row r="31" spans="1:47" s="8" customFormat="1" ht="15" x14ac:dyDescent="0.25">
      <c r="A31" s="5828" t="s">
        <v>60</v>
      </c>
      <c r="B31" s="245" t="s">
        <v>5</v>
      </c>
      <c r="C31" s="308">
        <v>7349</v>
      </c>
      <c r="D31" s="309">
        <v>7440</v>
      </c>
      <c r="E31" s="310">
        <v>7958</v>
      </c>
      <c r="F31" s="308">
        <v>7287</v>
      </c>
      <c r="G31" s="309">
        <v>7563</v>
      </c>
      <c r="H31" s="309">
        <v>8311</v>
      </c>
      <c r="I31" s="308">
        <v>7579</v>
      </c>
      <c r="J31" s="309">
        <v>8012</v>
      </c>
      <c r="K31" s="310">
        <v>8568</v>
      </c>
      <c r="L31" s="308">
        <v>7775</v>
      </c>
      <c r="M31" s="309">
        <v>8254</v>
      </c>
      <c r="N31" s="310">
        <v>8781</v>
      </c>
      <c r="O31" s="309">
        <v>8119</v>
      </c>
      <c r="P31" s="309">
        <v>8398</v>
      </c>
      <c r="Q31" s="310">
        <v>8921</v>
      </c>
      <c r="R31" s="309">
        <v>8290</v>
      </c>
      <c r="S31" s="309">
        <v>8339</v>
      </c>
      <c r="T31" s="310">
        <v>9064</v>
      </c>
      <c r="U31" s="308">
        <v>8571</v>
      </c>
      <c r="V31" s="309">
        <v>8957</v>
      </c>
      <c r="W31" s="310">
        <v>9371</v>
      </c>
      <c r="X31" s="308">
        <f>SUM(X6,X16)</f>
        <v>8861</v>
      </c>
      <c r="Y31" s="309">
        <f>SUM(Y6,Y16)</f>
        <v>9259</v>
      </c>
      <c r="Z31" s="310">
        <f>SUM(Z6,Z16)</f>
        <v>10140</v>
      </c>
      <c r="AA31" s="308">
        <f t="shared" ref="AA31:AF31" si="19">SUM(AA6,AA16,AA21)</f>
        <v>9338</v>
      </c>
      <c r="AB31" s="309">
        <f t="shared" si="19"/>
        <v>10115</v>
      </c>
      <c r="AC31" s="310">
        <f t="shared" si="19"/>
        <v>10334</v>
      </c>
      <c r="AD31" s="308">
        <f t="shared" si="19"/>
        <v>9793</v>
      </c>
      <c r="AE31" s="309">
        <f t="shared" si="19"/>
        <v>10140</v>
      </c>
      <c r="AF31" s="310">
        <f t="shared" si="19"/>
        <v>10392</v>
      </c>
      <c r="AG31" s="308">
        <f t="shared" ref="AG31:AL31" si="20">SUM(AG6,AG16,AG21)</f>
        <v>9821</v>
      </c>
      <c r="AH31" s="309">
        <f t="shared" si="20"/>
        <v>10275</v>
      </c>
      <c r="AI31" s="310">
        <f t="shared" si="20"/>
        <v>10887</v>
      </c>
      <c r="AJ31" s="308">
        <f t="shared" si="20"/>
        <v>9987</v>
      </c>
      <c r="AK31" s="309">
        <f t="shared" si="20"/>
        <v>10057</v>
      </c>
      <c r="AL31" s="310">
        <f t="shared" si="20"/>
        <v>10786</v>
      </c>
      <c r="AM31" s="308">
        <f t="shared" ref="AM31:AU31" si="21">SUM(AM6,AM16,AM21)</f>
        <v>9873</v>
      </c>
      <c r="AN31" s="309">
        <f t="shared" si="21"/>
        <v>9943</v>
      </c>
      <c r="AO31" s="310">
        <f t="shared" si="21"/>
        <v>10634</v>
      </c>
      <c r="AP31" s="308">
        <f t="shared" si="21"/>
        <v>9570</v>
      </c>
      <c r="AQ31" s="309">
        <f t="shared" si="21"/>
        <v>9686</v>
      </c>
      <c r="AR31" s="310">
        <f t="shared" si="21"/>
        <v>10340</v>
      </c>
      <c r="AS31" s="308">
        <f t="shared" si="21"/>
        <v>9237</v>
      </c>
      <c r="AT31" s="309">
        <f t="shared" si="21"/>
        <v>9333</v>
      </c>
      <c r="AU31" s="310">
        <f t="shared" si="21"/>
        <v>9887</v>
      </c>
    </row>
    <row r="32" spans="1:47" s="8" customFormat="1" ht="15" x14ac:dyDescent="0.25">
      <c r="A32" s="5829"/>
      <c r="B32" s="246" t="s">
        <v>6</v>
      </c>
      <c r="C32" s="311">
        <v>12253</v>
      </c>
      <c r="D32" s="312">
        <v>12300</v>
      </c>
      <c r="E32" s="313">
        <v>12989</v>
      </c>
      <c r="F32" s="311">
        <v>12136</v>
      </c>
      <c r="G32" s="312">
        <v>12329</v>
      </c>
      <c r="H32" s="312">
        <v>13300</v>
      </c>
      <c r="I32" s="311">
        <v>12436</v>
      </c>
      <c r="J32" s="312">
        <v>12697</v>
      </c>
      <c r="K32" s="313">
        <v>13821</v>
      </c>
      <c r="L32" s="311">
        <v>12783</v>
      </c>
      <c r="M32" s="312">
        <v>12954</v>
      </c>
      <c r="N32" s="313">
        <v>14010</v>
      </c>
      <c r="O32" s="312">
        <v>13145</v>
      </c>
      <c r="P32" s="312">
        <v>13452</v>
      </c>
      <c r="Q32" s="313">
        <v>14435</v>
      </c>
      <c r="R32" s="312">
        <v>13548</v>
      </c>
      <c r="S32" s="312">
        <v>13520</v>
      </c>
      <c r="T32" s="313">
        <v>14498</v>
      </c>
      <c r="U32" s="311">
        <v>13846</v>
      </c>
      <c r="V32" s="312">
        <v>14084</v>
      </c>
      <c r="W32" s="313">
        <v>14714</v>
      </c>
      <c r="X32" s="311">
        <f>SUM(X7,X11,X17,X26)</f>
        <v>13971</v>
      </c>
      <c r="Y32" s="312">
        <f>SUM(Y7,Y11,Y17,Y26)</f>
        <v>14300</v>
      </c>
      <c r="Z32" s="313">
        <f>SUM(Z7,Z11,Z17,Z26)</f>
        <v>15225</v>
      </c>
      <c r="AA32" s="311">
        <f t="shared" ref="AA32:AF32" si="22">SUM(AA7,AA17,AA26,AA11,AA22)</f>
        <v>14033</v>
      </c>
      <c r="AB32" s="312">
        <f t="shared" si="22"/>
        <v>14478</v>
      </c>
      <c r="AC32" s="313">
        <f t="shared" si="22"/>
        <v>15315</v>
      </c>
      <c r="AD32" s="311">
        <f t="shared" si="22"/>
        <v>14433</v>
      </c>
      <c r="AE32" s="312">
        <f t="shared" si="22"/>
        <v>14951</v>
      </c>
      <c r="AF32" s="313">
        <f t="shared" si="22"/>
        <v>15858</v>
      </c>
      <c r="AG32" s="311">
        <f t="shared" ref="AG32:AL32" si="23">SUM(AG7,AG17,AG26,AG11,AG22)</f>
        <v>14935</v>
      </c>
      <c r="AH32" s="312">
        <f t="shared" si="23"/>
        <v>15276</v>
      </c>
      <c r="AI32" s="313">
        <f t="shared" si="23"/>
        <v>16063</v>
      </c>
      <c r="AJ32" s="311">
        <f t="shared" si="23"/>
        <v>14648</v>
      </c>
      <c r="AK32" s="312">
        <f t="shared" si="23"/>
        <v>15289</v>
      </c>
      <c r="AL32" s="313">
        <f t="shared" si="23"/>
        <v>16395</v>
      </c>
      <c r="AM32" s="311">
        <f t="shared" ref="AM32:AU32" si="24">SUM(AM7,AM17,AM26,AM11,AM22)</f>
        <v>15203</v>
      </c>
      <c r="AN32" s="312">
        <f t="shared" si="24"/>
        <v>15554</v>
      </c>
      <c r="AO32" s="313">
        <f t="shared" si="24"/>
        <v>16608</v>
      </c>
      <c r="AP32" s="311">
        <f t="shared" si="24"/>
        <v>15367</v>
      </c>
      <c r="AQ32" s="312">
        <f t="shared" si="24"/>
        <v>15806</v>
      </c>
      <c r="AR32" s="313">
        <f t="shared" si="24"/>
        <v>17003</v>
      </c>
      <c r="AS32" s="311">
        <f t="shared" si="24"/>
        <v>14210</v>
      </c>
      <c r="AT32" s="312">
        <f t="shared" si="24"/>
        <v>16116</v>
      </c>
      <c r="AU32" s="313">
        <f t="shared" si="24"/>
        <v>17236</v>
      </c>
    </row>
    <row r="33" spans="1:47" s="8" customFormat="1" ht="15" x14ac:dyDescent="0.25">
      <c r="A33" s="5829"/>
      <c r="B33" s="246" t="s">
        <v>11</v>
      </c>
      <c r="C33" s="311">
        <v>7721</v>
      </c>
      <c r="D33" s="312">
        <v>7941</v>
      </c>
      <c r="E33" s="313">
        <v>8314</v>
      </c>
      <c r="F33" s="311">
        <v>7652</v>
      </c>
      <c r="G33" s="312">
        <v>8225</v>
      </c>
      <c r="H33" s="312">
        <v>8784</v>
      </c>
      <c r="I33" s="311">
        <v>8029</v>
      </c>
      <c r="J33" s="312">
        <v>8676</v>
      </c>
      <c r="K33" s="313">
        <v>9210</v>
      </c>
      <c r="L33" s="311">
        <v>8466</v>
      </c>
      <c r="M33" s="312">
        <v>9041</v>
      </c>
      <c r="N33" s="313">
        <v>9527</v>
      </c>
      <c r="O33" s="312">
        <v>8786</v>
      </c>
      <c r="P33" s="312">
        <v>9111</v>
      </c>
      <c r="Q33" s="313">
        <v>9474</v>
      </c>
      <c r="R33" s="312">
        <v>8735</v>
      </c>
      <c r="S33" s="312">
        <v>8865</v>
      </c>
      <c r="T33" s="313">
        <v>9210</v>
      </c>
      <c r="U33" s="311">
        <v>8516</v>
      </c>
      <c r="V33" s="312">
        <v>9056</v>
      </c>
      <c r="W33" s="313">
        <v>9284</v>
      </c>
      <c r="X33" s="311">
        <f>SUM(X18,X27)</f>
        <v>8611</v>
      </c>
      <c r="Y33" s="312">
        <f>SUM(Y18,Y27)</f>
        <v>9153</v>
      </c>
      <c r="Z33" s="313">
        <f>SUM(Z18,Z27)</f>
        <v>9581</v>
      </c>
      <c r="AA33" s="311">
        <f t="shared" ref="AA33:AF33" si="25">SUM(AA18,AA27,AA23)</f>
        <v>8734</v>
      </c>
      <c r="AB33" s="312">
        <f t="shared" si="25"/>
        <v>9309</v>
      </c>
      <c r="AC33" s="313">
        <f t="shared" si="25"/>
        <v>9756</v>
      </c>
      <c r="AD33" s="311">
        <f t="shared" si="25"/>
        <v>8921</v>
      </c>
      <c r="AE33" s="312">
        <f t="shared" si="25"/>
        <v>9570</v>
      </c>
      <c r="AF33" s="313">
        <f t="shared" si="25"/>
        <v>9919</v>
      </c>
      <c r="AG33" s="311">
        <f t="shared" ref="AG33:AL33" si="26">SUM(AG18,AG27,AG23)</f>
        <v>9340</v>
      </c>
      <c r="AH33" s="312">
        <f t="shared" si="26"/>
        <v>9994</v>
      </c>
      <c r="AI33" s="313">
        <f t="shared" si="26"/>
        <v>10455</v>
      </c>
      <c r="AJ33" s="311">
        <f t="shared" si="26"/>
        <v>9288</v>
      </c>
      <c r="AK33" s="312">
        <f t="shared" si="26"/>
        <v>10192</v>
      </c>
      <c r="AL33" s="313">
        <f t="shared" si="26"/>
        <v>10565</v>
      </c>
      <c r="AM33" s="311">
        <f t="shared" ref="AM33:AU33" si="27">SUM(AM18,AM27,AM23)</f>
        <v>9713</v>
      </c>
      <c r="AN33" s="312">
        <f t="shared" si="27"/>
        <v>10203</v>
      </c>
      <c r="AO33" s="313">
        <f t="shared" si="27"/>
        <v>10616</v>
      </c>
      <c r="AP33" s="311">
        <f t="shared" si="27"/>
        <v>9619</v>
      </c>
      <c r="AQ33" s="312">
        <f t="shared" si="27"/>
        <v>10202</v>
      </c>
      <c r="AR33" s="313">
        <f t="shared" si="27"/>
        <v>10742</v>
      </c>
      <c r="AS33" s="311">
        <f t="shared" si="27"/>
        <v>9776</v>
      </c>
      <c r="AT33" s="312">
        <f t="shared" si="27"/>
        <v>10387</v>
      </c>
      <c r="AU33" s="313">
        <f t="shared" si="27"/>
        <v>10838</v>
      </c>
    </row>
    <row r="34" spans="1:47" s="8" customFormat="1" ht="15" x14ac:dyDescent="0.25">
      <c r="A34" s="5829"/>
      <c r="B34" s="246" t="s">
        <v>7</v>
      </c>
      <c r="C34" s="311">
        <v>4478</v>
      </c>
      <c r="D34" s="312">
        <v>4713</v>
      </c>
      <c r="E34" s="313">
        <v>5048</v>
      </c>
      <c r="F34" s="311">
        <v>4575</v>
      </c>
      <c r="G34" s="312">
        <v>4905</v>
      </c>
      <c r="H34" s="312">
        <v>5172</v>
      </c>
      <c r="I34" s="311">
        <v>4871</v>
      </c>
      <c r="J34" s="312">
        <v>5160</v>
      </c>
      <c r="K34" s="313">
        <v>5317</v>
      </c>
      <c r="L34" s="311">
        <v>5022</v>
      </c>
      <c r="M34" s="312">
        <v>5165</v>
      </c>
      <c r="N34" s="313">
        <v>5298</v>
      </c>
      <c r="O34" s="312">
        <v>4934</v>
      </c>
      <c r="P34" s="312">
        <v>5176</v>
      </c>
      <c r="Q34" s="313">
        <v>5266</v>
      </c>
      <c r="R34" s="312">
        <v>4933</v>
      </c>
      <c r="S34" s="312">
        <v>5092</v>
      </c>
      <c r="T34" s="313">
        <v>5096</v>
      </c>
      <c r="U34" s="311">
        <v>4818</v>
      </c>
      <c r="V34" s="312">
        <v>5014</v>
      </c>
      <c r="W34" s="313">
        <v>4943</v>
      </c>
      <c r="X34" s="311">
        <f t="shared" ref="X34:AC34" si="28">SUM(X8,X28)</f>
        <v>4729</v>
      </c>
      <c r="Y34" s="312">
        <f t="shared" si="28"/>
        <v>4901</v>
      </c>
      <c r="Z34" s="313">
        <f t="shared" si="28"/>
        <v>5047</v>
      </c>
      <c r="AA34" s="311">
        <f t="shared" si="28"/>
        <v>4604</v>
      </c>
      <c r="AB34" s="312">
        <f t="shared" si="28"/>
        <v>4888</v>
      </c>
      <c r="AC34" s="313">
        <f t="shared" si="28"/>
        <v>4976</v>
      </c>
      <c r="AD34" s="311">
        <f t="shared" ref="AD34:AI34" si="29">SUM(AD8,AD28)</f>
        <v>4712</v>
      </c>
      <c r="AE34" s="312">
        <f t="shared" si="29"/>
        <v>5014</v>
      </c>
      <c r="AF34" s="313">
        <f t="shared" si="29"/>
        <v>5104</v>
      </c>
      <c r="AG34" s="311">
        <f t="shared" si="29"/>
        <v>4888</v>
      </c>
      <c r="AH34" s="312">
        <f t="shared" si="29"/>
        <v>5132</v>
      </c>
      <c r="AI34" s="313">
        <f t="shared" si="29"/>
        <v>5256</v>
      </c>
      <c r="AJ34" s="311">
        <f t="shared" ref="AJ34:AO34" si="30">SUM(AJ8,AJ28)</f>
        <v>4872</v>
      </c>
      <c r="AK34" s="312">
        <f t="shared" si="30"/>
        <v>5146</v>
      </c>
      <c r="AL34" s="313">
        <f t="shared" si="30"/>
        <v>5261</v>
      </c>
      <c r="AM34" s="311">
        <f t="shared" si="30"/>
        <v>4921</v>
      </c>
      <c r="AN34" s="312">
        <f t="shared" si="30"/>
        <v>5101</v>
      </c>
      <c r="AO34" s="313">
        <f t="shared" si="30"/>
        <v>5390</v>
      </c>
      <c r="AP34" s="311">
        <f t="shared" ref="AP34:AU34" si="31">SUM(AP8,AP28)</f>
        <v>5003</v>
      </c>
      <c r="AQ34" s="312">
        <f t="shared" si="31"/>
        <v>5181</v>
      </c>
      <c r="AR34" s="313">
        <f t="shared" si="31"/>
        <v>5409</v>
      </c>
      <c r="AS34" s="311">
        <f t="shared" si="31"/>
        <v>4971</v>
      </c>
      <c r="AT34" s="312">
        <f t="shared" si="31"/>
        <v>5263</v>
      </c>
      <c r="AU34" s="313">
        <f t="shared" si="31"/>
        <v>5411</v>
      </c>
    </row>
    <row r="35" spans="1:47" s="8" customFormat="1" ht="15" x14ac:dyDescent="0.25">
      <c r="A35" s="5829"/>
      <c r="B35" s="246" t="s">
        <v>9</v>
      </c>
      <c r="C35" s="311"/>
      <c r="D35" s="312"/>
      <c r="E35" s="313"/>
      <c r="F35" s="311"/>
      <c r="G35" s="312"/>
      <c r="H35" s="312"/>
      <c r="I35" s="311"/>
      <c r="J35" s="312"/>
      <c r="K35" s="313">
        <v>34</v>
      </c>
      <c r="L35" s="311">
        <v>29</v>
      </c>
      <c r="M35" s="312">
        <v>29</v>
      </c>
      <c r="N35" s="313">
        <v>61</v>
      </c>
      <c r="O35" s="312">
        <v>60</v>
      </c>
      <c r="P35" s="312">
        <v>59</v>
      </c>
      <c r="Q35" s="313">
        <v>187</v>
      </c>
      <c r="R35" s="312">
        <v>174</v>
      </c>
      <c r="S35" s="312">
        <v>167</v>
      </c>
      <c r="T35" s="313">
        <v>292</v>
      </c>
      <c r="U35" s="311">
        <v>272</v>
      </c>
      <c r="V35" s="312">
        <v>263</v>
      </c>
      <c r="W35" s="313">
        <v>360</v>
      </c>
      <c r="X35" s="311">
        <f t="shared" ref="X35:AC36" si="32">SUM(X12)</f>
        <v>328</v>
      </c>
      <c r="Y35" s="312">
        <f t="shared" si="32"/>
        <v>313</v>
      </c>
      <c r="Z35" s="313">
        <f t="shared" si="32"/>
        <v>423</v>
      </c>
      <c r="AA35" s="311">
        <f t="shared" si="32"/>
        <v>396</v>
      </c>
      <c r="AB35" s="312">
        <f t="shared" si="32"/>
        <v>385</v>
      </c>
      <c r="AC35" s="313">
        <f t="shared" si="32"/>
        <v>498</v>
      </c>
      <c r="AD35" s="311">
        <f t="shared" ref="AD35:AF36" si="33">SUM(AD12)</f>
        <v>452</v>
      </c>
      <c r="AE35" s="312">
        <f t="shared" si="33"/>
        <v>429</v>
      </c>
      <c r="AF35" s="313">
        <f t="shared" si="33"/>
        <v>520</v>
      </c>
      <c r="AG35" s="311">
        <f t="shared" ref="AG35:AI36" si="34">SUM(AG12)</f>
        <v>489</v>
      </c>
      <c r="AH35" s="312">
        <f t="shared" si="34"/>
        <v>471</v>
      </c>
      <c r="AI35" s="313">
        <f t="shared" si="34"/>
        <v>576</v>
      </c>
      <c r="AJ35" s="311">
        <f t="shared" ref="AJ35:AL36" si="35">SUM(AJ12)</f>
        <v>528</v>
      </c>
      <c r="AK35" s="312">
        <f t="shared" si="35"/>
        <v>515</v>
      </c>
      <c r="AL35" s="313">
        <f t="shared" si="35"/>
        <v>644</v>
      </c>
      <c r="AM35" s="311">
        <f t="shared" ref="AM35:AU35" si="36">SUM(AM12)</f>
        <v>589</v>
      </c>
      <c r="AN35" s="312">
        <f t="shared" si="36"/>
        <v>565</v>
      </c>
      <c r="AO35" s="313">
        <f t="shared" si="36"/>
        <v>726</v>
      </c>
      <c r="AP35" s="311">
        <f t="shared" si="36"/>
        <v>647</v>
      </c>
      <c r="AQ35" s="312">
        <f t="shared" si="36"/>
        <v>651</v>
      </c>
      <c r="AR35" s="313">
        <f t="shared" si="36"/>
        <v>783</v>
      </c>
      <c r="AS35" s="311">
        <f t="shared" si="36"/>
        <v>787</v>
      </c>
      <c r="AT35" s="312">
        <f t="shared" si="36"/>
        <v>740</v>
      </c>
      <c r="AU35" s="313">
        <f t="shared" si="36"/>
        <v>926</v>
      </c>
    </row>
    <row r="36" spans="1:47" s="8" customFormat="1" ht="15" x14ac:dyDescent="0.25">
      <c r="A36" s="5829"/>
      <c r="B36" s="248" t="s">
        <v>74</v>
      </c>
      <c r="C36" s="314"/>
      <c r="D36" s="315"/>
      <c r="E36" s="316"/>
      <c r="F36" s="314"/>
      <c r="G36" s="315"/>
      <c r="H36" s="315"/>
      <c r="I36" s="314"/>
      <c r="J36" s="315"/>
      <c r="K36" s="316">
        <v>58</v>
      </c>
      <c r="L36" s="314">
        <v>50</v>
      </c>
      <c r="M36" s="315">
        <v>44</v>
      </c>
      <c r="N36" s="316">
        <v>68</v>
      </c>
      <c r="O36" s="315">
        <v>63</v>
      </c>
      <c r="P36" s="315">
        <v>56</v>
      </c>
      <c r="Q36" s="316">
        <v>120</v>
      </c>
      <c r="R36" s="315">
        <v>104</v>
      </c>
      <c r="S36" s="315">
        <v>95</v>
      </c>
      <c r="T36" s="316">
        <v>205</v>
      </c>
      <c r="U36" s="314">
        <v>189</v>
      </c>
      <c r="V36" s="315">
        <v>169</v>
      </c>
      <c r="W36" s="316">
        <v>238</v>
      </c>
      <c r="X36" s="314">
        <f t="shared" si="32"/>
        <v>209</v>
      </c>
      <c r="Y36" s="315">
        <f t="shared" si="32"/>
        <v>201</v>
      </c>
      <c r="Z36" s="316">
        <f t="shared" si="32"/>
        <v>296</v>
      </c>
      <c r="AA36" s="726">
        <f t="shared" si="32"/>
        <v>276</v>
      </c>
      <c r="AB36" s="727">
        <f t="shared" si="32"/>
        <v>261</v>
      </c>
      <c r="AC36" s="728">
        <f t="shared" si="32"/>
        <v>356</v>
      </c>
      <c r="AD36" s="726">
        <f t="shared" si="33"/>
        <v>341</v>
      </c>
      <c r="AE36" s="727">
        <f t="shared" si="33"/>
        <v>321</v>
      </c>
      <c r="AF36" s="728">
        <f t="shared" si="33"/>
        <v>449</v>
      </c>
      <c r="AG36" s="726">
        <f t="shared" si="34"/>
        <v>413</v>
      </c>
      <c r="AH36" s="727">
        <f t="shared" si="34"/>
        <v>382</v>
      </c>
      <c r="AI36" s="728">
        <f t="shared" si="34"/>
        <v>525</v>
      </c>
      <c r="AJ36" s="726">
        <f t="shared" si="35"/>
        <v>482</v>
      </c>
      <c r="AK36" s="727">
        <f t="shared" si="35"/>
        <v>450</v>
      </c>
      <c r="AL36" s="728">
        <f t="shared" si="35"/>
        <v>650</v>
      </c>
      <c r="AM36" s="726">
        <f t="shared" ref="AM36:AU36" si="37">SUM(AM13)</f>
        <v>590</v>
      </c>
      <c r="AN36" s="727">
        <f t="shared" si="37"/>
        <v>560</v>
      </c>
      <c r="AO36" s="728">
        <f t="shared" si="37"/>
        <v>738</v>
      </c>
      <c r="AP36" s="726">
        <f t="shared" si="37"/>
        <v>634</v>
      </c>
      <c r="AQ36" s="727">
        <f t="shared" si="37"/>
        <v>630</v>
      </c>
      <c r="AR36" s="728">
        <f t="shared" si="37"/>
        <v>801</v>
      </c>
      <c r="AS36" s="726">
        <f t="shared" si="37"/>
        <v>748</v>
      </c>
      <c r="AT36" s="727">
        <f t="shared" si="37"/>
        <v>732</v>
      </c>
      <c r="AU36" s="728">
        <f t="shared" si="37"/>
        <v>909</v>
      </c>
    </row>
    <row r="37" spans="1:47" s="135" customFormat="1" ht="15" x14ac:dyDescent="0.2">
      <c r="A37" s="5830"/>
      <c r="B37" s="722" t="s">
        <v>12</v>
      </c>
      <c r="C37" s="589">
        <f>SUM(C31:C36)</f>
        <v>31801</v>
      </c>
      <c r="D37" s="590">
        <f>SUM(D31:D36)</f>
        <v>32394</v>
      </c>
      <c r="E37" s="590">
        <f>SUM(E31:E36)</f>
        <v>34309</v>
      </c>
      <c r="F37" s="589">
        <f t="shared" ref="F37:Q37" si="38">SUM(F31:F36)</f>
        <v>31650</v>
      </c>
      <c r="G37" s="590">
        <f t="shared" si="38"/>
        <v>33022</v>
      </c>
      <c r="H37" s="590">
        <f t="shared" si="38"/>
        <v>35567</v>
      </c>
      <c r="I37" s="589">
        <f t="shared" si="38"/>
        <v>32915</v>
      </c>
      <c r="J37" s="590">
        <f t="shared" si="38"/>
        <v>34545</v>
      </c>
      <c r="K37" s="591">
        <f t="shared" si="38"/>
        <v>37008</v>
      </c>
      <c r="L37" s="590">
        <f t="shared" si="38"/>
        <v>34125</v>
      </c>
      <c r="M37" s="590">
        <f t="shared" si="38"/>
        <v>35487</v>
      </c>
      <c r="N37" s="591">
        <f t="shared" si="38"/>
        <v>37745</v>
      </c>
      <c r="O37" s="590">
        <f t="shared" si="38"/>
        <v>35107</v>
      </c>
      <c r="P37" s="590">
        <f t="shared" si="38"/>
        <v>36252</v>
      </c>
      <c r="Q37" s="591">
        <f t="shared" si="38"/>
        <v>38403</v>
      </c>
      <c r="R37" s="590">
        <v>35784</v>
      </c>
      <c r="S37" s="590">
        <v>36078</v>
      </c>
      <c r="T37" s="591">
        <v>38365</v>
      </c>
      <c r="U37" s="589">
        <f t="shared" ref="U37:Z37" si="39">SUM(U31:U36)</f>
        <v>36212</v>
      </c>
      <c r="V37" s="590">
        <f t="shared" si="39"/>
        <v>37543</v>
      </c>
      <c r="W37" s="591">
        <f t="shared" si="39"/>
        <v>38910</v>
      </c>
      <c r="X37" s="589">
        <f t="shared" si="39"/>
        <v>36709</v>
      </c>
      <c r="Y37" s="590">
        <f t="shared" si="39"/>
        <v>38127</v>
      </c>
      <c r="Z37" s="591">
        <f t="shared" si="39"/>
        <v>40712</v>
      </c>
      <c r="AA37" s="589">
        <f t="shared" ref="AA37:AF37" si="40">SUM(AA31:AA36)</f>
        <v>37381</v>
      </c>
      <c r="AB37" s="590">
        <f t="shared" si="40"/>
        <v>39436</v>
      </c>
      <c r="AC37" s="591">
        <f t="shared" si="40"/>
        <v>41235</v>
      </c>
      <c r="AD37" s="589">
        <f t="shared" si="40"/>
        <v>38652</v>
      </c>
      <c r="AE37" s="590">
        <f t="shared" si="40"/>
        <v>40425</v>
      </c>
      <c r="AF37" s="591">
        <f t="shared" si="40"/>
        <v>42242</v>
      </c>
      <c r="AG37" s="589">
        <f t="shared" ref="AG37:AL37" si="41">SUM(AG31:AG36)</f>
        <v>39886</v>
      </c>
      <c r="AH37" s="590">
        <f t="shared" si="41"/>
        <v>41530</v>
      </c>
      <c r="AI37" s="591">
        <f t="shared" si="41"/>
        <v>43762</v>
      </c>
      <c r="AJ37" s="589">
        <f t="shared" si="41"/>
        <v>39805</v>
      </c>
      <c r="AK37" s="590">
        <f t="shared" si="41"/>
        <v>41649</v>
      </c>
      <c r="AL37" s="591">
        <f t="shared" si="41"/>
        <v>44301</v>
      </c>
      <c r="AM37" s="589">
        <f t="shared" ref="AM37:AU37" si="42">SUM(AM31:AM36)</f>
        <v>40889</v>
      </c>
      <c r="AN37" s="590">
        <f t="shared" si="42"/>
        <v>41926</v>
      </c>
      <c r="AO37" s="591">
        <f t="shared" si="42"/>
        <v>44712</v>
      </c>
      <c r="AP37" s="589">
        <f t="shared" si="42"/>
        <v>40840</v>
      </c>
      <c r="AQ37" s="590">
        <f t="shared" si="42"/>
        <v>42156</v>
      </c>
      <c r="AR37" s="591">
        <f t="shared" si="42"/>
        <v>45078</v>
      </c>
      <c r="AS37" s="589">
        <f t="shared" si="42"/>
        <v>39729</v>
      </c>
      <c r="AT37" s="590">
        <f t="shared" si="42"/>
        <v>42571</v>
      </c>
      <c r="AU37" s="591">
        <f t="shared" si="42"/>
        <v>45207</v>
      </c>
    </row>
    <row r="38" spans="1:47" s="9" customFormat="1" ht="15" x14ac:dyDescent="0.2">
      <c r="A38" s="5800"/>
      <c r="B38" s="5800"/>
      <c r="C38" s="5800"/>
      <c r="D38" s="5800"/>
      <c r="E38" s="5800"/>
      <c r="U38" s="252"/>
      <c r="V38" s="252"/>
      <c r="W38" s="252"/>
    </row>
    <row r="39" spans="1:47" s="9" customFormat="1" ht="15.75" x14ac:dyDescent="0.25">
      <c r="A39" s="240" t="s">
        <v>648</v>
      </c>
      <c r="B39" s="142"/>
      <c r="C39" s="142"/>
      <c r="D39" s="8"/>
      <c r="E39" s="8"/>
      <c r="AJ39" s="252"/>
    </row>
    <row r="43" spans="1:47" x14ac:dyDescent="0.2">
      <c r="F43" s="10"/>
      <c r="G43" s="10"/>
      <c r="H43" s="10"/>
      <c r="I43" s="10"/>
      <c r="L43" s="10"/>
      <c r="M43" s="10"/>
      <c r="N43" s="10"/>
      <c r="O43" s="10"/>
      <c r="Q43" s="10"/>
    </row>
    <row r="47" spans="1:47" x14ac:dyDescent="0.2">
      <c r="AO47" s="3901">
        <v>2003</v>
      </c>
    </row>
    <row r="48" spans="1:47" x14ac:dyDescent="0.2">
      <c r="AO48" s="3901">
        <v>2004</v>
      </c>
    </row>
    <row r="49" spans="41:41" x14ac:dyDescent="0.2">
      <c r="AO49" s="3901">
        <v>2005</v>
      </c>
    </row>
    <row r="50" spans="41:41" x14ac:dyDescent="0.2">
      <c r="AO50" s="3901">
        <v>2006</v>
      </c>
    </row>
    <row r="51" spans="41:41" x14ac:dyDescent="0.2">
      <c r="AO51" s="3901">
        <v>2007</v>
      </c>
    </row>
    <row r="52" spans="41:41" x14ac:dyDescent="0.2">
      <c r="AO52" s="3901">
        <v>2008</v>
      </c>
    </row>
    <row r="53" spans="41:41" x14ac:dyDescent="0.2">
      <c r="AO53" s="3901">
        <v>2009</v>
      </c>
    </row>
    <row r="54" spans="41:41" x14ac:dyDescent="0.2">
      <c r="AO54" s="3901">
        <v>2010</v>
      </c>
    </row>
    <row r="55" spans="41:41" x14ac:dyDescent="0.2">
      <c r="AO55" s="3901">
        <v>2011</v>
      </c>
    </row>
    <row r="56" spans="41:41" x14ac:dyDescent="0.2">
      <c r="AO56" s="3901">
        <v>2012</v>
      </c>
    </row>
    <row r="57" spans="41:41" x14ac:dyDescent="0.2">
      <c r="AO57" s="3901">
        <v>2013</v>
      </c>
    </row>
    <row r="58" spans="41:41" x14ac:dyDescent="0.2">
      <c r="AO58" s="3901">
        <v>2014</v>
      </c>
    </row>
    <row r="59" spans="41:41" x14ac:dyDescent="0.2">
      <c r="AO59" s="3901">
        <v>2015</v>
      </c>
    </row>
    <row r="60" spans="41:41" x14ac:dyDescent="0.2">
      <c r="AO60" s="3901">
        <v>2016</v>
      </c>
    </row>
    <row r="61" spans="41:41" x14ac:dyDescent="0.2">
      <c r="AO61" s="3901">
        <v>2017</v>
      </c>
    </row>
    <row r="62" spans="41:41" x14ac:dyDescent="0.2">
      <c r="AO62" s="3901"/>
    </row>
    <row r="63" spans="41:41" x14ac:dyDescent="0.2">
      <c r="AO63" s="3901" t="s">
        <v>161</v>
      </c>
    </row>
    <row r="64" spans="41:41" x14ac:dyDescent="0.2">
      <c r="AO64" s="3901" t="s">
        <v>407</v>
      </c>
    </row>
    <row r="65" spans="41:41" x14ac:dyDescent="0.2">
      <c r="AO65" s="3904" t="s">
        <v>162</v>
      </c>
    </row>
    <row r="66" spans="41:41" x14ac:dyDescent="0.2">
      <c r="AO66" s="3901" t="s">
        <v>408</v>
      </c>
    </row>
    <row r="67" spans="41:41" x14ac:dyDescent="0.2">
      <c r="AO67" s="3901" t="s">
        <v>163</v>
      </c>
    </row>
    <row r="72" spans="41:41" hidden="1" x14ac:dyDescent="0.2"/>
    <row r="73" spans="41:41" hidden="1" x14ac:dyDescent="0.2"/>
    <row r="74" spans="41:41" hidden="1" x14ac:dyDescent="0.2"/>
    <row r="75" spans="41:41" hidden="1" x14ac:dyDescent="0.2"/>
    <row r="76" spans="41:41" hidden="1" x14ac:dyDescent="0.2"/>
    <row r="77" spans="41:41" hidden="1" x14ac:dyDescent="0.2"/>
    <row r="78" spans="41:41" hidden="1" x14ac:dyDescent="0.2"/>
    <row r="79" spans="41:41" hidden="1" x14ac:dyDescent="0.2"/>
    <row r="80" spans="41:41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</sheetData>
  <sheetProtection algorithmName="SHA-512" hashValue="vThOmMHiuoEa9JJHil58F2Gp5QfzvZrgRK5xIofbDeahRrvmYjmpkJmayVbReKF+bD2L4uzIkz/Uddu4qTmaZw==" saltValue="xVCq1gCh0fxJiaQdYbwMDg==" spinCount="100000" sheet="1" objects="1" scenarios="1"/>
  <mergeCells count="25">
    <mergeCell ref="A1:B1"/>
    <mergeCell ref="A38:E38"/>
    <mergeCell ref="A6:A9"/>
    <mergeCell ref="A11:A14"/>
    <mergeCell ref="A16:A19"/>
    <mergeCell ref="A26:A29"/>
    <mergeCell ref="A31:A37"/>
    <mergeCell ref="A21:A24"/>
    <mergeCell ref="A3:A4"/>
    <mergeCell ref="B3:B4"/>
    <mergeCell ref="AS3:AU3"/>
    <mergeCell ref="X3:Z3"/>
    <mergeCell ref="AA3:AC3"/>
    <mergeCell ref="AD3:AF3"/>
    <mergeCell ref="C3:E3"/>
    <mergeCell ref="F3:H3"/>
    <mergeCell ref="I3:K3"/>
    <mergeCell ref="L3:N3"/>
    <mergeCell ref="O3:Q3"/>
    <mergeCell ref="AP3:AR3"/>
    <mergeCell ref="AM3:AO3"/>
    <mergeCell ref="AJ3:AL3"/>
    <mergeCell ref="AG3:AI3"/>
    <mergeCell ref="R3:T3"/>
    <mergeCell ref="U3:W3"/>
  </mergeCells>
  <printOptions horizontalCentered="1" verticalCentered="1"/>
  <pageMargins left="0.27559055118110237" right="0.27559055118110237" top="0.19685039370078741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16383" man="1"/>
  </rowBreaks>
  <colBreaks count="2" manualBreakCount="2">
    <brk id="20" max="38" man="1"/>
    <brk id="38" max="38" man="1"/>
  </colBreaks>
  <ignoredErrors>
    <ignoredError sqref="AA6:AC8 AA16:AC18 AA26:AC28 AA11:AC13 AE6:AE28 AD6:AD28 AI22 AJ22:AL22 AM22:AO22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zoomScaleNormal="100" zoomScaleSheetLayoutView="90" workbookViewId="0">
      <selection activeCell="N20" sqref="N20"/>
    </sheetView>
  </sheetViews>
  <sheetFormatPr baseColWidth="10" defaultRowHeight="12.75" x14ac:dyDescent="0.2"/>
  <cols>
    <col min="1" max="1" width="1.7109375" customWidth="1"/>
    <col min="2" max="2" width="17.85546875" customWidth="1"/>
    <col min="3" max="3" width="10.42578125" customWidth="1"/>
    <col min="4" max="4" width="43.42578125" bestFit="1" customWidth="1"/>
    <col min="5" max="12" width="9.7109375" customWidth="1"/>
    <col min="257" max="257" width="1.7109375" customWidth="1"/>
    <col min="258" max="258" width="14.42578125" bestFit="1" customWidth="1"/>
    <col min="259" max="259" width="5.7109375" bestFit="1" customWidth="1"/>
    <col min="260" max="260" width="29.7109375" bestFit="1" customWidth="1"/>
    <col min="261" max="267" width="9.7109375" customWidth="1"/>
    <col min="268" max="268" width="1.7109375" customWidth="1"/>
    <col min="513" max="513" width="1.7109375" customWidth="1"/>
    <col min="514" max="514" width="14.42578125" bestFit="1" customWidth="1"/>
    <col min="515" max="515" width="5.7109375" bestFit="1" customWidth="1"/>
    <col min="516" max="516" width="29.7109375" bestFit="1" customWidth="1"/>
    <col min="517" max="523" width="9.7109375" customWidth="1"/>
    <col min="524" max="524" width="1.7109375" customWidth="1"/>
    <col min="769" max="769" width="1.7109375" customWidth="1"/>
    <col min="770" max="770" width="14.42578125" bestFit="1" customWidth="1"/>
    <col min="771" max="771" width="5.7109375" bestFit="1" customWidth="1"/>
    <col min="772" max="772" width="29.7109375" bestFit="1" customWidth="1"/>
    <col min="773" max="779" width="9.7109375" customWidth="1"/>
    <col min="780" max="780" width="1.7109375" customWidth="1"/>
    <col min="1025" max="1025" width="1.7109375" customWidth="1"/>
    <col min="1026" max="1026" width="14.42578125" bestFit="1" customWidth="1"/>
    <col min="1027" max="1027" width="5.7109375" bestFit="1" customWidth="1"/>
    <col min="1028" max="1028" width="29.7109375" bestFit="1" customWidth="1"/>
    <col min="1029" max="1035" width="9.7109375" customWidth="1"/>
    <col min="1036" max="1036" width="1.7109375" customWidth="1"/>
    <col min="1281" max="1281" width="1.7109375" customWidth="1"/>
    <col min="1282" max="1282" width="14.42578125" bestFit="1" customWidth="1"/>
    <col min="1283" max="1283" width="5.7109375" bestFit="1" customWidth="1"/>
    <col min="1284" max="1284" width="29.7109375" bestFit="1" customWidth="1"/>
    <col min="1285" max="1291" width="9.7109375" customWidth="1"/>
    <col min="1292" max="1292" width="1.7109375" customWidth="1"/>
    <col min="1537" max="1537" width="1.7109375" customWidth="1"/>
    <col min="1538" max="1538" width="14.42578125" bestFit="1" customWidth="1"/>
    <col min="1539" max="1539" width="5.7109375" bestFit="1" customWidth="1"/>
    <col min="1540" max="1540" width="29.7109375" bestFit="1" customWidth="1"/>
    <col min="1541" max="1547" width="9.7109375" customWidth="1"/>
    <col min="1548" max="1548" width="1.7109375" customWidth="1"/>
    <col min="1793" max="1793" width="1.7109375" customWidth="1"/>
    <col min="1794" max="1794" width="14.42578125" bestFit="1" customWidth="1"/>
    <col min="1795" max="1795" width="5.7109375" bestFit="1" customWidth="1"/>
    <col min="1796" max="1796" width="29.7109375" bestFit="1" customWidth="1"/>
    <col min="1797" max="1803" width="9.7109375" customWidth="1"/>
    <col min="1804" max="1804" width="1.7109375" customWidth="1"/>
    <col min="2049" max="2049" width="1.7109375" customWidth="1"/>
    <col min="2050" max="2050" width="14.42578125" bestFit="1" customWidth="1"/>
    <col min="2051" max="2051" width="5.7109375" bestFit="1" customWidth="1"/>
    <col min="2052" max="2052" width="29.7109375" bestFit="1" customWidth="1"/>
    <col min="2053" max="2059" width="9.7109375" customWidth="1"/>
    <col min="2060" max="2060" width="1.7109375" customWidth="1"/>
    <col min="2305" max="2305" width="1.7109375" customWidth="1"/>
    <col min="2306" max="2306" width="14.42578125" bestFit="1" customWidth="1"/>
    <col min="2307" max="2307" width="5.7109375" bestFit="1" customWidth="1"/>
    <col min="2308" max="2308" width="29.7109375" bestFit="1" customWidth="1"/>
    <col min="2309" max="2315" width="9.7109375" customWidth="1"/>
    <col min="2316" max="2316" width="1.7109375" customWidth="1"/>
    <col min="2561" max="2561" width="1.7109375" customWidth="1"/>
    <col min="2562" max="2562" width="14.42578125" bestFit="1" customWidth="1"/>
    <col min="2563" max="2563" width="5.7109375" bestFit="1" customWidth="1"/>
    <col min="2564" max="2564" width="29.7109375" bestFit="1" customWidth="1"/>
    <col min="2565" max="2571" width="9.7109375" customWidth="1"/>
    <col min="2572" max="2572" width="1.7109375" customWidth="1"/>
    <col min="2817" max="2817" width="1.7109375" customWidth="1"/>
    <col min="2818" max="2818" width="14.42578125" bestFit="1" customWidth="1"/>
    <col min="2819" max="2819" width="5.7109375" bestFit="1" customWidth="1"/>
    <col min="2820" max="2820" width="29.7109375" bestFit="1" customWidth="1"/>
    <col min="2821" max="2827" width="9.7109375" customWidth="1"/>
    <col min="2828" max="2828" width="1.7109375" customWidth="1"/>
    <col min="3073" max="3073" width="1.7109375" customWidth="1"/>
    <col min="3074" max="3074" width="14.42578125" bestFit="1" customWidth="1"/>
    <col min="3075" max="3075" width="5.7109375" bestFit="1" customWidth="1"/>
    <col min="3076" max="3076" width="29.7109375" bestFit="1" customWidth="1"/>
    <col min="3077" max="3083" width="9.7109375" customWidth="1"/>
    <col min="3084" max="3084" width="1.7109375" customWidth="1"/>
    <col min="3329" max="3329" width="1.7109375" customWidth="1"/>
    <col min="3330" max="3330" width="14.42578125" bestFit="1" customWidth="1"/>
    <col min="3331" max="3331" width="5.7109375" bestFit="1" customWidth="1"/>
    <col min="3332" max="3332" width="29.7109375" bestFit="1" customWidth="1"/>
    <col min="3333" max="3339" width="9.7109375" customWidth="1"/>
    <col min="3340" max="3340" width="1.7109375" customWidth="1"/>
    <col min="3585" max="3585" width="1.7109375" customWidth="1"/>
    <col min="3586" max="3586" width="14.42578125" bestFit="1" customWidth="1"/>
    <col min="3587" max="3587" width="5.7109375" bestFit="1" customWidth="1"/>
    <col min="3588" max="3588" width="29.7109375" bestFit="1" customWidth="1"/>
    <col min="3589" max="3595" width="9.7109375" customWidth="1"/>
    <col min="3596" max="3596" width="1.7109375" customWidth="1"/>
    <col min="3841" max="3841" width="1.7109375" customWidth="1"/>
    <col min="3842" max="3842" width="14.42578125" bestFit="1" customWidth="1"/>
    <col min="3843" max="3843" width="5.7109375" bestFit="1" customWidth="1"/>
    <col min="3844" max="3844" width="29.7109375" bestFit="1" customWidth="1"/>
    <col min="3845" max="3851" width="9.7109375" customWidth="1"/>
    <col min="3852" max="3852" width="1.7109375" customWidth="1"/>
    <col min="4097" max="4097" width="1.7109375" customWidth="1"/>
    <col min="4098" max="4098" width="14.42578125" bestFit="1" customWidth="1"/>
    <col min="4099" max="4099" width="5.7109375" bestFit="1" customWidth="1"/>
    <col min="4100" max="4100" width="29.7109375" bestFit="1" customWidth="1"/>
    <col min="4101" max="4107" width="9.7109375" customWidth="1"/>
    <col min="4108" max="4108" width="1.7109375" customWidth="1"/>
    <col min="4353" max="4353" width="1.7109375" customWidth="1"/>
    <col min="4354" max="4354" width="14.42578125" bestFit="1" customWidth="1"/>
    <col min="4355" max="4355" width="5.7109375" bestFit="1" customWidth="1"/>
    <col min="4356" max="4356" width="29.7109375" bestFit="1" customWidth="1"/>
    <col min="4357" max="4363" width="9.7109375" customWidth="1"/>
    <col min="4364" max="4364" width="1.7109375" customWidth="1"/>
    <col min="4609" max="4609" width="1.7109375" customWidth="1"/>
    <col min="4610" max="4610" width="14.42578125" bestFit="1" customWidth="1"/>
    <col min="4611" max="4611" width="5.7109375" bestFit="1" customWidth="1"/>
    <col min="4612" max="4612" width="29.7109375" bestFit="1" customWidth="1"/>
    <col min="4613" max="4619" width="9.7109375" customWidth="1"/>
    <col min="4620" max="4620" width="1.7109375" customWidth="1"/>
    <col min="4865" max="4865" width="1.7109375" customWidth="1"/>
    <col min="4866" max="4866" width="14.42578125" bestFit="1" customWidth="1"/>
    <col min="4867" max="4867" width="5.7109375" bestFit="1" customWidth="1"/>
    <col min="4868" max="4868" width="29.7109375" bestFit="1" customWidth="1"/>
    <col min="4869" max="4875" width="9.7109375" customWidth="1"/>
    <col min="4876" max="4876" width="1.7109375" customWidth="1"/>
    <col min="5121" max="5121" width="1.7109375" customWidth="1"/>
    <col min="5122" max="5122" width="14.42578125" bestFit="1" customWidth="1"/>
    <col min="5123" max="5123" width="5.7109375" bestFit="1" customWidth="1"/>
    <col min="5124" max="5124" width="29.7109375" bestFit="1" customWidth="1"/>
    <col min="5125" max="5131" width="9.7109375" customWidth="1"/>
    <col min="5132" max="5132" width="1.7109375" customWidth="1"/>
    <col min="5377" max="5377" width="1.7109375" customWidth="1"/>
    <col min="5378" max="5378" width="14.42578125" bestFit="1" customWidth="1"/>
    <col min="5379" max="5379" width="5.7109375" bestFit="1" customWidth="1"/>
    <col min="5380" max="5380" width="29.7109375" bestFit="1" customWidth="1"/>
    <col min="5381" max="5387" width="9.7109375" customWidth="1"/>
    <col min="5388" max="5388" width="1.7109375" customWidth="1"/>
    <col min="5633" max="5633" width="1.7109375" customWidth="1"/>
    <col min="5634" max="5634" width="14.42578125" bestFit="1" customWidth="1"/>
    <col min="5635" max="5635" width="5.7109375" bestFit="1" customWidth="1"/>
    <col min="5636" max="5636" width="29.7109375" bestFit="1" customWidth="1"/>
    <col min="5637" max="5643" width="9.7109375" customWidth="1"/>
    <col min="5644" max="5644" width="1.7109375" customWidth="1"/>
    <col min="5889" max="5889" width="1.7109375" customWidth="1"/>
    <col min="5890" max="5890" width="14.42578125" bestFit="1" customWidth="1"/>
    <col min="5891" max="5891" width="5.7109375" bestFit="1" customWidth="1"/>
    <col min="5892" max="5892" width="29.7109375" bestFit="1" customWidth="1"/>
    <col min="5893" max="5899" width="9.7109375" customWidth="1"/>
    <col min="5900" max="5900" width="1.7109375" customWidth="1"/>
    <col min="6145" max="6145" width="1.7109375" customWidth="1"/>
    <col min="6146" max="6146" width="14.42578125" bestFit="1" customWidth="1"/>
    <col min="6147" max="6147" width="5.7109375" bestFit="1" customWidth="1"/>
    <col min="6148" max="6148" width="29.7109375" bestFit="1" customWidth="1"/>
    <col min="6149" max="6155" width="9.7109375" customWidth="1"/>
    <col min="6156" max="6156" width="1.7109375" customWidth="1"/>
    <col min="6401" max="6401" width="1.7109375" customWidth="1"/>
    <col min="6402" max="6402" width="14.42578125" bestFit="1" customWidth="1"/>
    <col min="6403" max="6403" width="5.7109375" bestFit="1" customWidth="1"/>
    <col min="6404" max="6404" width="29.7109375" bestFit="1" customWidth="1"/>
    <col min="6405" max="6411" width="9.7109375" customWidth="1"/>
    <col min="6412" max="6412" width="1.7109375" customWidth="1"/>
    <col min="6657" max="6657" width="1.7109375" customWidth="1"/>
    <col min="6658" max="6658" width="14.42578125" bestFit="1" customWidth="1"/>
    <col min="6659" max="6659" width="5.7109375" bestFit="1" customWidth="1"/>
    <col min="6660" max="6660" width="29.7109375" bestFit="1" customWidth="1"/>
    <col min="6661" max="6667" width="9.7109375" customWidth="1"/>
    <col min="6668" max="6668" width="1.7109375" customWidth="1"/>
    <col min="6913" max="6913" width="1.7109375" customWidth="1"/>
    <col min="6914" max="6914" width="14.42578125" bestFit="1" customWidth="1"/>
    <col min="6915" max="6915" width="5.7109375" bestFit="1" customWidth="1"/>
    <col min="6916" max="6916" width="29.7109375" bestFit="1" customWidth="1"/>
    <col min="6917" max="6923" width="9.7109375" customWidth="1"/>
    <col min="6924" max="6924" width="1.7109375" customWidth="1"/>
    <col min="7169" max="7169" width="1.7109375" customWidth="1"/>
    <col min="7170" max="7170" width="14.42578125" bestFit="1" customWidth="1"/>
    <col min="7171" max="7171" width="5.7109375" bestFit="1" customWidth="1"/>
    <col min="7172" max="7172" width="29.7109375" bestFit="1" customWidth="1"/>
    <col min="7173" max="7179" width="9.7109375" customWidth="1"/>
    <col min="7180" max="7180" width="1.7109375" customWidth="1"/>
    <col min="7425" max="7425" width="1.7109375" customWidth="1"/>
    <col min="7426" max="7426" width="14.42578125" bestFit="1" customWidth="1"/>
    <col min="7427" max="7427" width="5.7109375" bestFit="1" customWidth="1"/>
    <col min="7428" max="7428" width="29.7109375" bestFit="1" customWidth="1"/>
    <col min="7429" max="7435" width="9.7109375" customWidth="1"/>
    <col min="7436" max="7436" width="1.7109375" customWidth="1"/>
    <col min="7681" max="7681" width="1.7109375" customWidth="1"/>
    <col min="7682" max="7682" width="14.42578125" bestFit="1" customWidth="1"/>
    <col min="7683" max="7683" width="5.7109375" bestFit="1" customWidth="1"/>
    <col min="7684" max="7684" width="29.7109375" bestFit="1" customWidth="1"/>
    <col min="7685" max="7691" width="9.7109375" customWidth="1"/>
    <col min="7692" max="7692" width="1.7109375" customWidth="1"/>
    <col min="7937" max="7937" width="1.7109375" customWidth="1"/>
    <col min="7938" max="7938" width="14.42578125" bestFit="1" customWidth="1"/>
    <col min="7939" max="7939" width="5.7109375" bestFit="1" customWidth="1"/>
    <col min="7940" max="7940" width="29.7109375" bestFit="1" customWidth="1"/>
    <col min="7941" max="7947" width="9.7109375" customWidth="1"/>
    <col min="7948" max="7948" width="1.7109375" customWidth="1"/>
    <col min="8193" max="8193" width="1.7109375" customWidth="1"/>
    <col min="8194" max="8194" width="14.42578125" bestFit="1" customWidth="1"/>
    <col min="8195" max="8195" width="5.7109375" bestFit="1" customWidth="1"/>
    <col min="8196" max="8196" width="29.7109375" bestFit="1" customWidth="1"/>
    <col min="8197" max="8203" width="9.7109375" customWidth="1"/>
    <col min="8204" max="8204" width="1.7109375" customWidth="1"/>
    <col min="8449" max="8449" width="1.7109375" customWidth="1"/>
    <col min="8450" max="8450" width="14.42578125" bestFit="1" customWidth="1"/>
    <col min="8451" max="8451" width="5.7109375" bestFit="1" customWidth="1"/>
    <col min="8452" max="8452" width="29.7109375" bestFit="1" customWidth="1"/>
    <col min="8453" max="8459" width="9.7109375" customWidth="1"/>
    <col min="8460" max="8460" width="1.7109375" customWidth="1"/>
    <col min="8705" max="8705" width="1.7109375" customWidth="1"/>
    <col min="8706" max="8706" width="14.42578125" bestFit="1" customWidth="1"/>
    <col min="8707" max="8707" width="5.7109375" bestFit="1" customWidth="1"/>
    <col min="8708" max="8708" width="29.7109375" bestFit="1" customWidth="1"/>
    <col min="8709" max="8715" width="9.7109375" customWidth="1"/>
    <col min="8716" max="8716" width="1.7109375" customWidth="1"/>
    <col min="8961" max="8961" width="1.7109375" customWidth="1"/>
    <col min="8962" max="8962" width="14.42578125" bestFit="1" customWidth="1"/>
    <col min="8963" max="8963" width="5.7109375" bestFit="1" customWidth="1"/>
    <col min="8964" max="8964" width="29.7109375" bestFit="1" customWidth="1"/>
    <col min="8965" max="8971" width="9.7109375" customWidth="1"/>
    <col min="8972" max="8972" width="1.7109375" customWidth="1"/>
    <col min="9217" max="9217" width="1.7109375" customWidth="1"/>
    <col min="9218" max="9218" width="14.42578125" bestFit="1" customWidth="1"/>
    <col min="9219" max="9219" width="5.7109375" bestFit="1" customWidth="1"/>
    <col min="9220" max="9220" width="29.7109375" bestFit="1" customWidth="1"/>
    <col min="9221" max="9227" width="9.7109375" customWidth="1"/>
    <col min="9228" max="9228" width="1.7109375" customWidth="1"/>
    <col min="9473" max="9473" width="1.7109375" customWidth="1"/>
    <col min="9474" max="9474" width="14.42578125" bestFit="1" customWidth="1"/>
    <col min="9475" max="9475" width="5.7109375" bestFit="1" customWidth="1"/>
    <col min="9476" max="9476" width="29.7109375" bestFit="1" customWidth="1"/>
    <col min="9477" max="9483" width="9.7109375" customWidth="1"/>
    <col min="9484" max="9484" width="1.7109375" customWidth="1"/>
    <col min="9729" max="9729" width="1.7109375" customWidth="1"/>
    <col min="9730" max="9730" width="14.42578125" bestFit="1" customWidth="1"/>
    <col min="9731" max="9731" width="5.7109375" bestFit="1" customWidth="1"/>
    <col min="9732" max="9732" width="29.7109375" bestFit="1" customWidth="1"/>
    <col min="9733" max="9739" width="9.7109375" customWidth="1"/>
    <col min="9740" max="9740" width="1.7109375" customWidth="1"/>
    <col min="9985" max="9985" width="1.7109375" customWidth="1"/>
    <col min="9986" max="9986" width="14.42578125" bestFit="1" customWidth="1"/>
    <col min="9987" max="9987" width="5.7109375" bestFit="1" customWidth="1"/>
    <col min="9988" max="9988" width="29.7109375" bestFit="1" customWidth="1"/>
    <col min="9989" max="9995" width="9.7109375" customWidth="1"/>
    <col min="9996" max="9996" width="1.7109375" customWidth="1"/>
    <col min="10241" max="10241" width="1.7109375" customWidth="1"/>
    <col min="10242" max="10242" width="14.42578125" bestFit="1" customWidth="1"/>
    <col min="10243" max="10243" width="5.7109375" bestFit="1" customWidth="1"/>
    <col min="10244" max="10244" width="29.7109375" bestFit="1" customWidth="1"/>
    <col min="10245" max="10251" width="9.7109375" customWidth="1"/>
    <col min="10252" max="10252" width="1.7109375" customWidth="1"/>
    <col min="10497" max="10497" width="1.7109375" customWidth="1"/>
    <col min="10498" max="10498" width="14.42578125" bestFit="1" customWidth="1"/>
    <col min="10499" max="10499" width="5.7109375" bestFit="1" customWidth="1"/>
    <col min="10500" max="10500" width="29.7109375" bestFit="1" customWidth="1"/>
    <col min="10501" max="10507" width="9.7109375" customWidth="1"/>
    <col min="10508" max="10508" width="1.7109375" customWidth="1"/>
    <col min="10753" max="10753" width="1.7109375" customWidth="1"/>
    <col min="10754" max="10754" width="14.42578125" bestFit="1" customWidth="1"/>
    <col min="10755" max="10755" width="5.7109375" bestFit="1" customWidth="1"/>
    <col min="10756" max="10756" width="29.7109375" bestFit="1" customWidth="1"/>
    <col min="10757" max="10763" width="9.7109375" customWidth="1"/>
    <col min="10764" max="10764" width="1.7109375" customWidth="1"/>
    <col min="11009" max="11009" width="1.7109375" customWidth="1"/>
    <col min="11010" max="11010" width="14.42578125" bestFit="1" customWidth="1"/>
    <col min="11011" max="11011" width="5.7109375" bestFit="1" customWidth="1"/>
    <col min="11012" max="11012" width="29.7109375" bestFit="1" customWidth="1"/>
    <col min="11013" max="11019" width="9.7109375" customWidth="1"/>
    <col min="11020" max="11020" width="1.7109375" customWidth="1"/>
    <col min="11265" max="11265" width="1.7109375" customWidth="1"/>
    <col min="11266" max="11266" width="14.42578125" bestFit="1" customWidth="1"/>
    <col min="11267" max="11267" width="5.7109375" bestFit="1" customWidth="1"/>
    <col min="11268" max="11268" width="29.7109375" bestFit="1" customWidth="1"/>
    <col min="11269" max="11275" width="9.7109375" customWidth="1"/>
    <col min="11276" max="11276" width="1.7109375" customWidth="1"/>
    <col min="11521" max="11521" width="1.7109375" customWidth="1"/>
    <col min="11522" max="11522" width="14.42578125" bestFit="1" customWidth="1"/>
    <col min="11523" max="11523" width="5.7109375" bestFit="1" customWidth="1"/>
    <col min="11524" max="11524" width="29.7109375" bestFit="1" customWidth="1"/>
    <col min="11525" max="11531" width="9.7109375" customWidth="1"/>
    <col min="11532" max="11532" width="1.7109375" customWidth="1"/>
    <col min="11777" max="11777" width="1.7109375" customWidth="1"/>
    <col min="11778" max="11778" width="14.42578125" bestFit="1" customWidth="1"/>
    <col min="11779" max="11779" width="5.7109375" bestFit="1" customWidth="1"/>
    <col min="11780" max="11780" width="29.7109375" bestFit="1" customWidth="1"/>
    <col min="11781" max="11787" width="9.7109375" customWidth="1"/>
    <col min="11788" max="11788" width="1.7109375" customWidth="1"/>
    <col min="12033" max="12033" width="1.7109375" customWidth="1"/>
    <col min="12034" max="12034" width="14.42578125" bestFit="1" customWidth="1"/>
    <col min="12035" max="12035" width="5.7109375" bestFit="1" customWidth="1"/>
    <col min="12036" max="12036" width="29.7109375" bestFit="1" customWidth="1"/>
    <col min="12037" max="12043" width="9.7109375" customWidth="1"/>
    <col min="12044" max="12044" width="1.7109375" customWidth="1"/>
    <col min="12289" max="12289" width="1.7109375" customWidth="1"/>
    <col min="12290" max="12290" width="14.42578125" bestFit="1" customWidth="1"/>
    <col min="12291" max="12291" width="5.7109375" bestFit="1" customWidth="1"/>
    <col min="12292" max="12292" width="29.7109375" bestFit="1" customWidth="1"/>
    <col min="12293" max="12299" width="9.7109375" customWidth="1"/>
    <col min="12300" max="12300" width="1.7109375" customWidth="1"/>
    <col min="12545" max="12545" width="1.7109375" customWidth="1"/>
    <col min="12546" max="12546" width="14.42578125" bestFit="1" customWidth="1"/>
    <col min="12547" max="12547" width="5.7109375" bestFit="1" customWidth="1"/>
    <col min="12548" max="12548" width="29.7109375" bestFit="1" customWidth="1"/>
    <col min="12549" max="12555" width="9.7109375" customWidth="1"/>
    <col min="12556" max="12556" width="1.7109375" customWidth="1"/>
    <col min="12801" max="12801" width="1.7109375" customWidth="1"/>
    <col min="12802" max="12802" width="14.42578125" bestFit="1" customWidth="1"/>
    <col min="12803" max="12803" width="5.7109375" bestFit="1" customWidth="1"/>
    <col min="12804" max="12804" width="29.7109375" bestFit="1" customWidth="1"/>
    <col min="12805" max="12811" width="9.7109375" customWidth="1"/>
    <col min="12812" max="12812" width="1.7109375" customWidth="1"/>
    <col min="13057" max="13057" width="1.7109375" customWidth="1"/>
    <col min="13058" max="13058" width="14.42578125" bestFit="1" customWidth="1"/>
    <col min="13059" max="13059" width="5.7109375" bestFit="1" customWidth="1"/>
    <col min="13060" max="13060" width="29.7109375" bestFit="1" customWidth="1"/>
    <col min="13061" max="13067" width="9.7109375" customWidth="1"/>
    <col min="13068" max="13068" width="1.7109375" customWidth="1"/>
    <col min="13313" max="13313" width="1.7109375" customWidth="1"/>
    <col min="13314" max="13314" width="14.42578125" bestFit="1" customWidth="1"/>
    <col min="13315" max="13315" width="5.7109375" bestFit="1" customWidth="1"/>
    <col min="13316" max="13316" width="29.7109375" bestFit="1" customWidth="1"/>
    <col min="13317" max="13323" width="9.7109375" customWidth="1"/>
    <col min="13324" max="13324" width="1.7109375" customWidth="1"/>
    <col min="13569" max="13569" width="1.7109375" customWidth="1"/>
    <col min="13570" max="13570" width="14.42578125" bestFit="1" customWidth="1"/>
    <col min="13571" max="13571" width="5.7109375" bestFit="1" customWidth="1"/>
    <col min="13572" max="13572" width="29.7109375" bestFit="1" customWidth="1"/>
    <col min="13573" max="13579" width="9.7109375" customWidth="1"/>
    <col min="13580" max="13580" width="1.7109375" customWidth="1"/>
    <col min="13825" max="13825" width="1.7109375" customWidth="1"/>
    <col min="13826" max="13826" width="14.42578125" bestFit="1" customWidth="1"/>
    <col min="13827" max="13827" width="5.7109375" bestFit="1" customWidth="1"/>
    <col min="13828" max="13828" width="29.7109375" bestFit="1" customWidth="1"/>
    <col min="13829" max="13835" width="9.7109375" customWidth="1"/>
    <col min="13836" max="13836" width="1.7109375" customWidth="1"/>
    <col min="14081" max="14081" width="1.7109375" customWidth="1"/>
    <col min="14082" max="14082" width="14.42578125" bestFit="1" customWidth="1"/>
    <col min="14083" max="14083" width="5.7109375" bestFit="1" customWidth="1"/>
    <col min="14084" max="14084" width="29.7109375" bestFit="1" customWidth="1"/>
    <col min="14085" max="14091" width="9.7109375" customWidth="1"/>
    <col min="14092" max="14092" width="1.7109375" customWidth="1"/>
    <col min="14337" max="14337" width="1.7109375" customWidth="1"/>
    <col min="14338" max="14338" width="14.42578125" bestFit="1" customWidth="1"/>
    <col min="14339" max="14339" width="5.7109375" bestFit="1" customWidth="1"/>
    <col min="14340" max="14340" width="29.7109375" bestFit="1" customWidth="1"/>
    <col min="14341" max="14347" width="9.7109375" customWidth="1"/>
    <col min="14348" max="14348" width="1.7109375" customWidth="1"/>
    <col min="14593" max="14593" width="1.7109375" customWidth="1"/>
    <col min="14594" max="14594" width="14.42578125" bestFit="1" customWidth="1"/>
    <col min="14595" max="14595" width="5.7109375" bestFit="1" customWidth="1"/>
    <col min="14596" max="14596" width="29.7109375" bestFit="1" customWidth="1"/>
    <col min="14597" max="14603" width="9.7109375" customWidth="1"/>
    <col min="14604" max="14604" width="1.7109375" customWidth="1"/>
    <col min="14849" max="14849" width="1.7109375" customWidth="1"/>
    <col min="14850" max="14850" width="14.42578125" bestFit="1" customWidth="1"/>
    <col min="14851" max="14851" width="5.7109375" bestFit="1" customWidth="1"/>
    <col min="14852" max="14852" width="29.7109375" bestFit="1" customWidth="1"/>
    <col min="14853" max="14859" width="9.7109375" customWidth="1"/>
    <col min="14860" max="14860" width="1.7109375" customWidth="1"/>
    <col min="15105" max="15105" width="1.7109375" customWidth="1"/>
    <col min="15106" max="15106" width="14.42578125" bestFit="1" customWidth="1"/>
    <col min="15107" max="15107" width="5.7109375" bestFit="1" customWidth="1"/>
    <col min="15108" max="15108" width="29.7109375" bestFit="1" customWidth="1"/>
    <col min="15109" max="15115" width="9.7109375" customWidth="1"/>
    <col min="15116" max="15116" width="1.7109375" customWidth="1"/>
    <col min="15361" max="15361" width="1.7109375" customWidth="1"/>
    <col min="15362" max="15362" width="14.42578125" bestFit="1" customWidth="1"/>
    <col min="15363" max="15363" width="5.7109375" bestFit="1" customWidth="1"/>
    <col min="15364" max="15364" width="29.7109375" bestFit="1" customWidth="1"/>
    <col min="15365" max="15371" width="9.7109375" customWidth="1"/>
    <col min="15372" max="15372" width="1.7109375" customWidth="1"/>
    <col min="15617" max="15617" width="1.7109375" customWidth="1"/>
    <col min="15618" max="15618" width="14.42578125" bestFit="1" customWidth="1"/>
    <col min="15619" max="15619" width="5.7109375" bestFit="1" customWidth="1"/>
    <col min="15620" max="15620" width="29.7109375" bestFit="1" customWidth="1"/>
    <col min="15621" max="15627" width="9.7109375" customWidth="1"/>
    <col min="15628" max="15628" width="1.7109375" customWidth="1"/>
    <col min="15873" max="15873" width="1.7109375" customWidth="1"/>
    <col min="15874" max="15874" width="14.42578125" bestFit="1" customWidth="1"/>
    <col min="15875" max="15875" width="5.7109375" bestFit="1" customWidth="1"/>
    <col min="15876" max="15876" width="29.7109375" bestFit="1" customWidth="1"/>
    <col min="15877" max="15883" width="9.7109375" customWidth="1"/>
    <col min="15884" max="15884" width="1.7109375" customWidth="1"/>
    <col min="16129" max="16129" width="1.7109375" customWidth="1"/>
    <col min="16130" max="16130" width="14.42578125" bestFit="1" customWidth="1"/>
    <col min="16131" max="16131" width="5.7109375" bestFit="1" customWidth="1"/>
    <col min="16132" max="16132" width="29.7109375" bestFit="1" customWidth="1"/>
    <col min="16133" max="16139" width="9.7109375" customWidth="1"/>
    <col min="16140" max="16140" width="1.7109375" customWidth="1"/>
  </cols>
  <sheetData>
    <row r="1" spans="1:12" s="139" customFormat="1" ht="15.75" x14ac:dyDescent="0.25">
      <c r="C1" s="925"/>
      <c r="D1" s="925"/>
      <c r="E1" s="925"/>
      <c r="F1" s="925"/>
      <c r="G1" s="925"/>
      <c r="H1" s="925"/>
      <c r="I1" s="925"/>
      <c r="J1" s="925"/>
      <c r="K1" s="925"/>
      <c r="L1" s="925"/>
    </row>
    <row r="2" spans="1:12" s="139" customFormat="1" ht="15.75" x14ac:dyDescent="0.25">
      <c r="C2" s="5831" t="s">
        <v>228</v>
      </c>
      <c r="D2" s="5831"/>
      <c r="E2" s="5831"/>
      <c r="F2" s="5831"/>
      <c r="G2" s="5831"/>
      <c r="H2" s="5831"/>
      <c r="I2" s="5831"/>
      <c r="J2" s="5831"/>
      <c r="K2" s="5831"/>
      <c r="L2" s="5831"/>
    </row>
    <row r="3" spans="1:12" s="139" customFormat="1" ht="15.75" x14ac:dyDescent="0.25">
      <c r="C3" s="5831" t="s">
        <v>336</v>
      </c>
      <c r="D3" s="5831"/>
      <c r="E3" s="5831"/>
      <c r="F3" s="5831"/>
      <c r="G3" s="5831"/>
      <c r="H3" s="5831"/>
      <c r="I3" s="5831"/>
      <c r="J3" s="5831"/>
      <c r="K3" s="5831"/>
      <c r="L3" s="5831"/>
    </row>
    <row r="4" spans="1:12" ht="15.75" x14ac:dyDescent="0.2">
      <c r="A4" s="140"/>
      <c r="B4" s="140"/>
      <c r="C4" s="141"/>
    </row>
    <row r="5" spans="1:12" s="5" customFormat="1" ht="25.5" customHeight="1" x14ac:dyDescent="0.25">
      <c r="B5" s="755" t="s">
        <v>16</v>
      </c>
      <c r="C5" s="552" t="s">
        <v>4</v>
      </c>
      <c r="D5" s="552" t="s">
        <v>349</v>
      </c>
      <c r="E5" s="596">
        <v>2003</v>
      </c>
      <c r="F5" s="596">
        <v>2004</v>
      </c>
      <c r="G5" s="596">
        <v>2005</v>
      </c>
      <c r="H5" s="596">
        <v>2006</v>
      </c>
      <c r="I5" s="596">
        <v>2007</v>
      </c>
      <c r="J5" s="596">
        <v>2008</v>
      </c>
      <c r="K5" s="596">
        <v>2009</v>
      </c>
      <c r="L5" s="596">
        <v>2010</v>
      </c>
    </row>
    <row r="6" spans="1:12" s="6" customFormat="1" ht="15" customHeight="1" x14ac:dyDescent="0.2">
      <c r="B6" s="5832" t="s">
        <v>3</v>
      </c>
      <c r="C6" s="5838" t="s">
        <v>5</v>
      </c>
      <c r="D6" s="544" t="s">
        <v>171</v>
      </c>
      <c r="E6" s="597">
        <v>5</v>
      </c>
      <c r="F6" s="597">
        <v>11</v>
      </c>
      <c r="G6" s="598">
        <v>5</v>
      </c>
      <c r="H6" s="599">
        <v>3</v>
      </c>
      <c r="I6" s="599">
        <v>7</v>
      </c>
      <c r="J6" s="599">
        <v>11</v>
      </c>
      <c r="K6" s="599">
        <v>5</v>
      </c>
      <c r="L6" s="599">
        <v>4</v>
      </c>
    </row>
    <row r="7" spans="1:12" s="6" customFormat="1" ht="15" customHeight="1" x14ac:dyDescent="0.2">
      <c r="B7" s="5833"/>
      <c r="C7" s="5837"/>
      <c r="D7" s="544" t="s">
        <v>172</v>
      </c>
      <c r="E7" s="597">
        <v>18</v>
      </c>
      <c r="F7" s="597">
        <v>16</v>
      </c>
      <c r="G7" s="598">
        <v>12</v>
      </c>
      <c r="H7" s="599">
        <v>12</v>
      </c>
      <c r="I7" s="599">
        <v>10</v>
      </c>
      <c r="J7" s="599">
        <v>15</v>
      </c>
      <c r="K7" s="599">
        <v>9</v>
      </c>
      <c r="L7" s="599">
        <v>11</v>
      </c>
    </row>
    <row r="8" spans="1:12" s="6" customFormat="1" ht="15" customHeight="1" x14ac:dyDescent="0.2">
      <c r="B8" s="5833"/>
      <c r="C8" s="5837"/>
      <c r="D8" s="544" t="s">
        <v>173</v>
      </c>
      <c r="E8" s="597">
        <v>17</v>
      </c>
      <c r="F8" s="597">
        <v>12</v>
      </c>
      <c r="G8" s="598">
        <v>11</v>
      </c>
      <c r="H8" s="599">
        <v>10</v>
      </c>
      <c r="I8" s="599">
        <v>6</v>
      </c>
      <c r="J8" s="599">
        <v>14</v>
      </c>
      <c r="K8" s="599">
        <v>7</v>
      </c>
      <c r="L8" s="599">
        <v>7</v>
      </c>
    </row>
    <row r="9" spans="1:12" s="6" customFormat="1" ht="15" customHeight="1" x14ac:dyDescent="0.2">
      <c r="B9" s="5833"/>
      <c r="C9" s="5837"/>
      <c r="D9" s="544" t="s">
        <v>174</v>
      </c>
      <c r="E9" s="597">
        <v>12</v>
      </c>
      <c r="F9" s="597">
        <v>6</v>
      </c>
      <c r="G9" s="598">
        <v>8</v>
      </c>
      <c r="H9" s="599">
        <v>7</v>
      </c>
      <c r="I9" s="599">
        <v>8</v>
      </c>
      <c r="J9" s="599">
        <v>7</v>
      </c>
      <c r="K9" s="599">
        <v>8</v>
      </c>
      <c r="L9" s="599">
        <v>7</v>
      </c>
    </row>
    <row r="10" spans="1:12" s="6" customFormat="1" ht="15" customHeight="1" x14ac:dyDescent="0.2">
      <c r="B10" s="5833"/>
      <c r="C10" s="5837"/>
      <c r="D10" s="544" t="s">
        <v>175</v>
      </c>
      <c r="E10" s="597">
        <v>35</v>
      </c>
      <c r="F10" s="597">
        <v>22</v>
      </c>
      <c r="G10" s="598">
        <v>18</v>
      </c>
      <c r="H10" s="599">
        <v>26</v>
      </c>
      <c r="I10" s="599">
        <v>22</v>
      </c>
      <c r="J10" s="599">
        <v>15</v>
      </c>
      <c r="K10" s="599">
        <v>23</v>
      </c>
      <c r="L10" s="599">
        <v>15</v>
      </c>
    </row>
    <row r="11" spans="1:12" s="6" customFormat="1" ht="15" customHeight="1" x14ac:dyDescent="0.2">
      <c r="B11" s="5833"/>
      <c r="C11" s="5837"/>
      <c r="D11" s="544" t="s">
        <v>176</v>
      </c>
      <c r="E11" s="597">
        <v>21</v>
      </c>
      <c r="F11" s="597">
        <v>16</v>
      </c>
      <c r="G11" s="598">
        <v>14</v>
      </c>
      <c r="H11" s="599">
        <v>23</v>
      </c>
      <c r="I11" s="599">
        <v>17</v>
      </c>
      <c r="J11" s="599">
        <v>15</v>
      </c>
      <c r="K11" s="599">
        <v>10</v>
      </c>
      <c r="L11" s="599">
        <v>13</v>
      </c>
    </row>
    <row r="12" spans="1:12" s="6" customFormat="1" ht="15" customHeight="1" x14ac:dyDescent="0.2">
      <c r="B12" s="5833"/>
      <c r="C12" s="5837"/>
      <c r="D12" s="544" t="s">
        <v>177</v>
      </c>
      <c r="E12" s="597">
        <v>3</v>
      </c>
      <c r="F12" s="597">
        <v>3</v>
      </c>
      <c r="G12" s="598">
        <v>4</v>
      </c>
      <c r="H12" s="599">
        <v>2</v>
      </c>
      <c r="I12" s="599">
        <v>3</v>
      </c>
      <c r="J12" s="599">
        <v>2</v>
      </c>
      <c r="K12" s="599">
        <v>6</v>
      </c>
      <c r="L12" s="599">
        <v>8</v>
      </c>
    </row>
    <row r="13" spans="1:12" s="6" customFormat="1" ht="15" customHeight="1" x14ac:dyDescent="0.2">
      <c r="B13" s="5833"/>
      <c r="C13" s="5837"/>
      <c r="D13" s="544" t="s">
        <v>178</v>
      </c>
      <c r="E13" s="597">
        <v>24</v>
      </c>
      <c r="F13" s="597">
        <v>16</v>
      </c>
      <c r="G13" s="598">
        <v>23</v>
      </c>
      <c r="H13" s="599">
        <v>21</v>
      </c>
      <c r="I13" s="599">
        <v>13</v>
      </c>
      <c r="J13" s="599">
        <v>13</v>
      </c>
      <c r="K13" s="599">
        <v>12</v>
      </c>
      <c r="L13" s="599">
        <v>12</v>
      </c>
    </row>
    <row r="14" spans="1:12" s="6" customFormat="1" ht="15" customHeight="1" x14ac:dyDescent="0.2">
      <c r="B14" s="5833"/>
      <c r="C14" s="5837"/>
      <c r="D14" s="544" t="s">
        <v>179</v>
      </c>
      <c r="E14" s="597">
        <v>40</v>
      </c>
      <c r="F14" s="597">
        <v>36</v>
      </c>
      <c r="G14" s="598">
        <v>34</v>
      </c>
      <c r="H14" s="599">
        <v>38</v>
      </c>
      <c r="I14" s="599">
        <v>33</v>
      </c>
      <c r="J14" s="599">
        <v>29</v>
      </c>
      <c r="K14" s="599">
        <v>31</v>
      </c>
      <c r="L14" s="599">
        <v>28</v>
      </c>
    </row>
    <row r="15" spans="1:12" s="6" customFormat="1" ht="15" customHeight="1" x14ac:dyDescent="0.2">
      <c r="B15" s="5833"/>
      <c r="C15" s="5837"/>
      <c r="D15" s="544" t="s">
        <v>180</v>
      </c>
      <c r="E15" s="597"/>
      <c r="F15" s="597">
        <v>6</v>
      </c>
      <c r="G15" s="598">
        <v>11</v>
      </c>
      <c r="H15" s="599">
        <v>17</v>
      </c>
      <c r="I15" s="599">
        <v>21</v>
      </c>
      <c r="J15" s="599">
        <v>13</v>
      </c>
      <c r="K15" s="599">
        <v>18</v>
      </c>
      <c r="L15" s="599">
        <v>20</v>
      </c>
    </row>
    <row r="16" spans="1:12" s="6" customFormat="1" ht="15" customHeight="1" x14ac:dyDescent="0.2">
      <c r="B16" s="5833"/>
      <c r="C16" s="5838" t="s">
        <v>6</v>
      </c>
      <c r="D16" s="545" t="s">
        <v>181</v>
      </c>
      <c r="E16" s="600">
        <v>14</v>
      </c>
      <c r="F16" s="600">
        <v>9</v>
      </c>
      <c r="G16" s="601">
        <v>7</v>
      </c>
      <c r="H16" s="602">
        <v>6</v>
      </c>
      <c r="I16" s="602">
        <v>9</v>
      </c>
      <c r="J16" s="602">
        <v>12</v>
      </c>
      <c r="K16" s="602">
        <v>12</v>
      </c>
      <c r="L16" s="602">
        <v>13</v>
      </c>
    </row>
    <row r="17" spans="2:12" s="6" customFormat="1" ht="15" customHeight="1" x14ac:dyDescent="0.2">
      <c r="B17" s="5833"/>
      <c r="C17" s="5837"/>
      <c r="D17" s="544" t="s">
        <v>182</v>
      </c>
      <c r="E17" s="597">
        <v>21</v>
      </c>
      <c r="F17" s="597">
        <v>18</v>
      </c>
      <c r="G17" s="598">
        <v>16</v>
      </c>
      <c r="H17" s="599">
        <v>15</v>
      </c>
      <c r="I17" s="599">
        <v>21</v>
      </c>
      <c r="J17" s="599">
        <v>18</v>
      </c>
      <c r="K17" s="599">
        <v>19</v>
      </c>
      <c r="L17" s="599">
        <v>8</v>
      </c>
    </row>
    <row r="18" spans="2:12" s="6" customFormat="1" ht="15" customHeight="1" x14ac:dyDescent="0.2">
      <c r="B18" s="5833"/>
      <c r="C18" s="5837"/>
      <c r="D18" s="544" t="s">
        <v>183</v>
      </c>
      <c r="E18" s="597">
        <v>18</v>
      </c>
      <c r="F18" s="597">
        <v>21</v>
      </c>
      <c r="G18" s="598">
        <v>13</v>
      </c>
      <c r="H18" s="599">
        <v>12</v>
      </c>
      <c r="I18" s="599">
        <v>16</v>
      </c>
      <c r="J18" s="599">
        <v>18</v>
      </c>
      <c r="K18" s="599">
        <v>19</v>
      </c>
      <c r="L18" s="599">
        <v>19</v>
      </c>
    </row>
    <row r="19" spans="2:12" s="6" customFormat="1" ht="15" customHeight="1" x14ac:dyDescent="0.2">
      <c r="B19" s="5833"/>
      <c r="C19" s="5839"/>
      <c r="D19" s="546" t="s">
        <v>184</v>
      </c>
      <c r="E19" s="603">
        <v>17</v>
      </c>
      <c r="F19" s="603">
        <v>14</v>
      </c>
      <c r="G19" s="604">
        <v>12</v>
      </c>
      <c r="H19" s="605">
        <v>14</v>
      </c>
      <c r="I19" s="605">
        <v>20</v>
      </c>
      <c r="J19" s="605">
        <v>8</v>
      </c>
      <c r="K19" s="605">
        <v>16</v>
      </c>
      <c r="L19" s="605">
        <v>11</v>
      </c>
    </row>
    <row r="20" spans="2:12" s="6" customFormat="1" ht="15" customHeight="1" x14ac:dyDescent="0.2">
      <c r="B20" s="5833"/>
      <c r="C20" s="5837" t="s">
        <v>7</v>
      </c>
      <c r="D20" s="544" t="s">
        <v>168</v>
      </c>
      <c r="E20" s="597">
        <v>28</v>
      </c>
      <c r="F20" s="597">
        <v>21</v>
      </c>
      <c r="G20" s="598">
        <v>13</v>
      </c>
      <c r="H20" s="599">
        <v>15</v>
      </c>
      <c r="I20" s="599">
        <v>15</v>
      </c>
      <c r="J20" s="599">
        <v>19</v>
      </c>
      <c r="K20" s="599">
        <v>18</v>
      </c>
      <c r="L20" s="599">
        <v>16</v>
      </c>
    </row>
    <row r="21" spans="2:12" s="6" customFormat="1" ht="15" customHeight="1" x14ac:dyDescent="0.2">
      <c r="B21" s="5833"/>
      <c r="C21" s="5837"/>
      <c r="D21" s="544" t="s">
        <v>169</v>
      </c>
      <c r="E21" s="597">
        <v>13</v>
      </c>
      <c r="F21" s="597">
        <v>17</v>
      </c>
      <c r="G21" s="598">
        <v>11</v>
      </c>
      <c r="H21" s="599">
        <v>4</v>
      </c>
      <c r="I21" s="599">
        <v>7</v>
      </c>
      <c r="J21" s="599">
        <v>7</v>
      </c>
      <c r="K21" s="599">
        <v>5</v>
      </c>
      <c r="L21" s="599">
        <v>7</v>
      </c>
    </row>
    <row r="22" spans="2:12" s="6" customFormat="1" ht="15" customHeight="1" x14ac:dyDescent="0.2">
      <c r="B22" s="5834"/>
      <c r="C22" s="5837"/>
      <c r="D22" s="544" t="s">
        <v>170</v>
      </c>
      <c r="E22" s="597">
        <v>14</v>
      </c>
      <c r="F22" s="597">
        <v>12</v>
      </c>
      <c r="G22" s="598">
        <v>3</v>
      </c>
      <c r="H22" s="599">
        <v>5</v>
      </c>
      <c r="I22" s="599">
        <v>3</v>
      </c>
      <c r="J22" s="599">
        <v>5</v>
      </c>
      <c r="K22" s="599">
        <v>4</v>
      </c>
      <c r="L22" s="599">
        <v>5</v>
      </c>
    </row>
    <row r="23" spans="2:12" s="6" customFormat="1" ht="15" customHeight="1" x14ac:dyDescent="0.2">
      <c r="B23" s="5832" t="s">
        <v>8</v>
      </c>
      <c r="C23" s="5838" t="s">
        <v>6</v>
      </c>
      <c r="D23" s="545" t="s">
        <v>181</v>
      </c>
      <c r="E23" s="606"/>
      <c r="F23" s="606"/>
      <c r="G23" s="601"/>
      <c r="H23" s="607">
        <v>1</v>
      </c>
      <c r="I23" s="607">
        <v>1</v>
      </c>
      <c r="J23" s="607">
        <v>1</v>
      </c>
      <c r="K23" s="607">
        <v>1</v>
      </c>
      <c r="L23" s="607">
        <v>1</v>
      </c>
    </row>
    <row r="24" spans="2:12" s="6" customFormat="1" ht="15" customHeight="1" x14ac:dyDescent="0.2">
      <c r="B24" s="5833"/>
      <c r="C24" s="5837"/>
      <c r="D24" s="544" t="s">
        <v>182</v>
      </c>
      <c r="E24" s="608"/>
      <c r="F24" s="608"/>
      <c r="G24" s="598"/>
      <c r="H24" s="609">
        <v>1</v>
      </c>
      <c r="I24" s="609"/>
      <c r="J24" s="609"/>
      <c r="K24" s="609">
        <v>1</v>
      </c>
      <c r="L24" s="609"/>
    </row>
    <row r="25" spans="2:12" s="6" customFormat="1" ht="15" customHeight="1" x14ac:dyDescent="0.2">
      <c r="B25" s="5833"/>
      <c r="C25" s="5837"/>
      <c r="D25" s="544" t="s">
        <v>191</v>
      </c>
      <c r="E25" s="608"/>
      <c r="F25" s="608"/>
      <c r="G25" s="598"/>
      <c r="H25" s="609"/>
      <c r="I25" s="609"/>
      <c r="J25" s="609">
        <v>1</v>
      </c>
      <c r="K25" s="609">
        <v>1</v>
      </c>
      <c r="L25" s="609">
        <v>1</v>
      </c>
    </row>
    <row r="26" spans="2:12" s="6" customFormat="1" ht="15" customHeight="1" x14ac:dyDescent="0.2">
      <c r="B26" s="5833"/>
      <c r="C26" s="5839"/>
      <c r="D26" s="546" t="s">
        <v>192</v>
      </c>
      <c r="E26" s="610"/>
      <c r="F26" s="610"/>
      <c r="G26" s="604"/>
      <c r="H26" s="611"/>
      <c r="I26" s="611"/>
      <c r="J26" s="611">
        <v>2</v>
      </c>
      <c r="K26" s="611">
        <v>1</v>
      </c>
      <c r="L26" s="611"/>
    </row>
    <row r="27" spans="2:12" s="6" customFormat="1" ht="15" customHeight="1" x14ac:dyDescent="0.2">
      <c r="B27" s="5833"/>
      <c r="C27" s="5837" t="s">
        <v>9</v>
      </c>
      <c r="D27" s="544" t="s">
        <v>185</v>
      </c>
      <c r="E27" s="608"/>
      <c r="F27" s="608"/>
      <c r="G27" s="598"/>
      <c r="H27" s="609"/>
      <c r="I27" s="609">
        <v>2</v>
      </c>
      <c r="J27" s="609">
        <v>1</v>
      </c>
      <c r="K27" s="609">
        <v>2</v>
      </c>
      <c r="L27" s="609">
        <v>1</v>
      </c>
    </row>
    <row r="28" spans="2:12" s="6" customFormat="1" ht="15" customHeight="1" x14ac:dyDescent="0.2">
      <c r="B28" s="5833"/>
      <c r="C28" s="5837"/>
      <c r="D28" s="544" t="s">
        <v>347</v>
      </c>
      <c r="E28" s="608"/>
      <c r="F28" s="608"/>
      <c r="G28" s="598"/>
      <c r="H28" s="609"/>
      <c r="I28" s="609"/>
      <c r="J28" s="609">
        <v>3</v>
      </c>
      <c r="K28" s="609"/>
      <c r="L28" s="609">
        <v>2</v>
      </c>
    </row>
    <row r="29" spans="2:12" s="6" customFormat="1" ht="15" customHeight="1" x14ac:dyDescent="0.2">
      <c r="B29" s="5833"/>
      <c r="C29" s="5837"/>
      <c r="D29" s="544" t="s">
        <v>187</v>
      </c>
      <c r="E29" s="608"/>
      <c r="F29" s="608"/>
      <c r="G29" s="598"/>
      <c r="H29" s="609"/>
      <c r="I29" s="609"/>
      <c r="J29" s="609">
        <v>2</v>
      </c>
      <c r="K29" s="609">
        <v>3</v>
      </c>
      <c r="L29" s="609">
        <v>1</v>
      </c>
    </row>
    <row r="30" spans="2:12" s="6" customFormat="1" ht="15" customHeight="1" x14ac:dyDescent="0.2">
      <c r="B30" s="5833"/>
      <c r="C30" s="5838" t="s">
        <v>74</v>
      </c>
      <c r="D30" s="545" t="s">
        <v>188</v>
      </c>
      <c r="E30" s="606"/>
      <c r="F30" s="606"/>
      <c r="G30" s="601"/>
      <c r="H30" s="607"/>
      <c r="I30" s="607"/>
      <c r="J30" s="607">
        <v>2</v>
      </c>
      <c r="K30" s="607">
        <v>3</v>
      </c>
      <c r="L30" s="607">
        <v>1</v>
      </c>
    </row>
    <row r="31" spans="2:12" s="6" customFormat="1" ht="15" customHeight="1" x14ac:dyDescent="0.2">
      <c r="B31" s="5833"/>
      <c r="C31" s="5837"/>
      <c r="D31" s="544" t="s">
        <v>189</v>
      </c>
      <c r="E31" s="608"/>
      <c r="F31" s="608"/>
      <c r="G31" s="598"/>
      <c r="H31" s="609"/>
      <c r="I31" s="609"/>
      <c r="J31" s="609"/>
      <c r="K31" s="609">
        <v>4</v>
      </c>
      <c r="L31" s="609">
        <v>3</v>
      </c>
    </row>
    <row r="32" spans="2:12" s="6" customFormat="1" ht="15" customHeight="1" x14ac:dyDescent="0.2">
      <c r="B32" s="5834"/>
      <c r="C32" s="5839"/>
      <c r="D32" s="546" t="s">
        <v>190</v>
      </c>
      <c r="E32" s="610"/>
      <c r="F32" s="610"/>
      <c r="G32" s="604"/>
      <c r="H32" s="611"/>
      <c r="I32" s="611"/>
      <c r="J32" s="611"/>
      <c r="K32" s="611">
        <v>1</v>
      </c>
      <c r="L32" s="611">
        <v>2</v>
      </c>
    </row>
    <row r="33" spans="2:12" s="6" customFormat="1" ht="15" customHeight="1" x14ac:dyDescent="0.2">
      <c r="B33" s="5832" t="s">
        <v>75</v>
      </c>
      <c r="C33" s="5837" t="s">
        <v>5</v>
      </c>
      <c r="D33" s="544" t="s">
        <v>193</v>
      </c>
      <c r="E33" s="597">
        <v>31</v>
      </c>
      <c r="F33" s="597">
        <v>23</v>
      </c>
      <c r="G33" s="598">
        <v>21</v>
      </c>
      <c r="H33" s="599">
        <v>14</v>
      </c>
      <c r="I33" s="599">
        <v>17</v>
      </c>
      <c r="J33" s="599">
        <v>28</v>
      </c>
      <c r="K33" s="599">
        <v>22</v>
      </c>
      <c r="L33" s="599">
        <v>11</v>
      </c>
    </row>
    <row r="34" spans="2:12" s="6" customFormat="1" ht="15" customHeight="1" x14ac:dyDescent="0.2">
      <c r="B34" s="5833"/>
      <c r="C34" s="5837"/>
      <c r="D34" s="544" t="s">
        <v>194</v>
      </c>
      <c r="E34" s="597">
        <v>2</v>
      </c>
      <c r="F34" s="597">
        <v>4</v>
      </c>
      <c r="G34" s="598">
        <v>5</v>
      </c>
      <c r="H34" s="599">
        <v>4</v>
      </c>
      <c r="I34" s="599">
        <v>1</v>
      </c>
      <c r="J34" s="599">
        <v>3</v>
      </c>
      <c r="K34" s="599">
        <v>2</v>
      </c>
      <c r="L34" s="599">
        <v>6</v>
      </c>
    </row>
    <row r="35" spans="2:12" s="6" customFormat="1" ht="15" customHeight="1" x14ac:dyDescent="0.2">
      <c r="B35" s="5833"/>
      <c r="C35" s="5837"/>
      <c r="D35" s="544" t="s">
        <v>195</v>
      </c>
      <c r="E35" s="597">
        <v>9</v>
      </c>
      <c r="F35" s="597">
        <v>6</v>
      </c>
      <c r="G35" s="598">
        <v>12</v>
      </c>
      <c r="H35" s="599">
        <v>5</v>
      </c>
      <c r="I35" s="599">
        <v>13</v>
      </c>
      <c r="J35" s="599">
        <v>25</v>
      </c>
      <c r="K35" s="599">
        <v>19</v>
      </c>
      <c r="L35" s="599">
        <v>13</v>
      </c>
    </row>
    <row r="36" spans="2:12" s="6" customFormat="1" ht="15" customHeight="1" x14ac:dyDescent="0.2">
      <c r="B36" s="5833"/>
      <c r="C36" s="5837"/>
      <c r="D36" s="544" t="s">
        <v>196</v>
      </c>
      <c r="E36" s="597">
        <v>14</v>
      </c>
      <c r="F36" s="597">
        <v>22</v>
      </c>
      <c r="G36" s="598">
        <v>12</v>
      </c>
      <c r="H36" s="599">
        <v>14</v>
      </c>
      <c r="I36" s="599">
        <v>10</v>
      </c>
      <c r="J36" s="599">
        <v>7</v>
      </c>
      <c r="K36" s="599">
        <v>10</v>
      </c>
      <c r="L36" s="599">
        <v>7</v>
      </c>
    </row>
    <row r="37" spans="2:12" s="6" customFormat="1" ht="15" customHeight="1" x14ac:dyDescent="0.2">
      <c r="B37" s="5833"/>
      <c r="C37" s="5837"/>
      <c r="D37" s="544" t="s">
        <v>197</v>
      </c>
      <c r="E37" s="597">
        <v>10</v>
      </c>
      <c r="F37" s="597">
        <v>10</v>
      </c>
      <c r="G37" s="598">
        <v>12</v>
      </c>
      <c r="H37" s="599">
        <v>12</v>
      </c>
      <c r="I37" s="599">
        <v>10</v>
      </c>
      <c r="J37" s="599">
        <v>12</v>
      </c>
      <c r="K37" s="599">
        <v>13</v>
      </c>
      <c r="L37" s="599">
        <v>8</v>
      </c>
    </row>
    <row r="38" spans="2:12" s="6" customFormat="1" ht="15" customHeight="1" x14ac:dyDescent="0.2">
      <c r="B38" s="5833"/>
      <c r="C38" s="5837"/>
      <c r="D38" s="544" t="s">
        <v>198</v>
      </c>
      <c r="E38" s="597">
        <v>36</v>
      </c>
      <c r="F38" s="597">
        <v>25</v>
      </c>
      <c r="G38" s="598">
        <v>18</v>
      </c>
      <c r="H38" s="599">
        <v>29</v>
      </c>
      <c r="I38" s="599">
        <v>34</v>
      </c>
      <c r="J38" s="599">
        <v>15</v>
      </c>
      <c r="K38" s="599">
        <v>31</v>
      </c>
      <c r="L38" s="599">
        <v>15</v>
      </c>
    </row>
    <row r="39" spans="2:12" s="6" customFormat="1" ht="15" customHeight="1" x14ac:dyDescent="0.2">
      <c r="B39" s="5833"/>
      <c r="C39" s="5837"/>
      <c r="D39" s="544" t="s">
        <v>199</v>
      </c>
      <c r="E39" s="597">
        <v>17</v>
      </c>
      <c r="F39" s="597">
        <v>21</v>
      </c>
      <c r="G39" s="598">
        <v>20</v>
      </c>
      <c r="H39" s="599">
        <v>21</v>
      </c>
      <c r="I39" s="599">
        <v>15</v>
      </c>
      <c r="J39" s="599">
        <v>14</v>
      </c>
      <c r="K39" s="599">
        <v>23</v>
      </c>
      <c r="L39" s="599">
        <v>18</v>
      </c>
    </row>
    <row r="40" spans="2:12" s="6" customFormat="1" ht="15" customHeight="1" x14ac:dyDescent="0.2">
      <c r="B40" s="5833"/>
      <c r="C40" s="5837"/>
      <c r="D40" s="544" t="s">
        <v>200</v>
      </c>
      <c r="E40" s="597">
        <v>4</v>
      </c>
      <c r="F40" s="597">
        <v>2</v>
      </c>
      <c r="G40" s="598">
        <v>1</v>
      </c>
      <c r="H40" s="599">
        <v>1</v>
      </c>
      <c r="I40" s="599">
        <v>1</v>
      </c>
      <c r="J40" s="599">
        <v>4</v>
      </c>
      <c r="K40" s="599">
        <v>9</v>
      </c>
      <c r="L40" s="599">
        <v>8</v>
      </c>
    </row>
    <row r="41" spans="2:12" s="6" customFormat="1" ht="15" customHeight="1" x14ac:dyDescent="0.2">
      <c r="B41" s="5833"/>
      <c r="C41" s="5837"/>
      <c r="D41" s="544" t="s">
        <v>201</v>
      </c>
      <c r="E41" s="597">
        <v>36</v>
      </c>
      <c r="F41" s="597">
        <v>29</v>
      </c>
      <c r="G41" s="598">
        <v>24</v>
      </c>
      <c r="H41" s="599">
        <v>33</v>
      </c>
      <c r="I41" s="599">
        <v>35</v>
      </c>
      <c r="J41" s="599">
        <v>32</v>
      </c>
      <c r="K41" s="599">
        <v>28</v>
      </c>
      <c r="L41" s="599">
        <v>25</v>
      </c>
    </row>
    <row r="42" spans="2:12" s="6" customFormat="1" ht="15" customHeight="1" x14ac:dyDescent="0.2">
      <c r="B42" s="5833"/>
      <c r="C42" s="5838" t="s">
        <v>6</v>
      </c>
      <c r="D42" s="545" t="s">
        <v>181</v>
      </c>
      <c r="E42" s="600">
        <v>14</v>
      </c>
      <c r="F42" s="600">
        <v>14</v>
      </c>
      <c r="G42" s="601">
        <v>5</v>
      </c>
      <c r="H42" s="602">
        <v>11</v>
      </c>
      <c r="I42" s="602">
        <v>12</v>
      </c>
      <c r="J42" s="602">
        <v>16</v>
      </c>
      <c r="K42" s="602">
        <v>15</v>
      </c>
      <c r="L42" s="602">
        <v>6</v>
      </c>
    </row>
    <row r="43" spans="2:12" s="6" customFormat="1" ht="15" customHeight="1" x14ac:dyDescent="0.2">
      <c r="B43" s="5833"/>
      <c r="C43" s="5837"/>
      <c r="D43" s="544" t="s">
        <v>208</v>
      </c>
      <c r="E43" s="597">
        <v>1</v>
      </c>
      <c r="F43" s="597">
        <v>5</v>
      </c>
      <c r="G43" s="598">
        <v>1</v>
      </c>
      <c r="H43" s="599">
        <v>7</v>
      </c>
      <c r="I43" s="599">
        <v>1</v>
      </c>
      <c r="J43" s="599">
        <v>4</v>
      </c>
      <c r="K43" s="599">
        <v>4</v>
      </c>
      <c r="L43" s="599">
        <v>7</v>
      </c>
    </row>
    <row r="44" spans="2:12" s="6" customFormat="1" ht="15" customHeight="1" x14ac:dyDescent="0.2">
      <c r="B44" s="5833"/>
      <c r="C44" s="5837"/>
      <c r="D44" s="544" t="s">
        <v>209</v>
      </c>
      <c r="E44" s="608">
        <v>10</v>
      </c>
      <c r="F44" s="597">
        <v>5</v>
      </c>
      <c r="G44" s="598">
        <v>6</v>
      </c>
      <c r="H44" s="609">
        <v>6</v>
      </c>
      <c r="I44" s="599">
        <v>15</v>
      </c>
      <c r="J44" s="599">
        <v>4</v>
      </c>
      <c r="K44" s="599">
        <v>5</v>
      </c>
      <c r="L44" s="599">
        <v>5</v>
      </c>
    </row>
    <row r="45" spans="2:12" s="6" customFormat="1" ht="15" customHeight="1" x14ac:dyDescent="0.2">
      <c r="B45" s="5833"/>
      <c r="C45" s="5837"/>
      <c r="D45" s="544" t="s">
        <v>210</v>
      </c>
      <c r="E45" s="608">
        <v>4</v>
      </c>
      <c r="F45" s="597">
        <v>6</v>
      </c>
      <c r="G45" s="598">
        <v>5</v>
      </c>
      <c r="H45" s="609">
        <v>5</v>
      </c>
      <c r="I45" s="599">
        <v>3</v>
      </c>
      <c r="J45" s="599">
        <v>9</v>
      </c>
      <c r="K45" s="599">
        <v>5</v>
      </c>
      <c r="L45" s="599">
        <v>6</v>
      </c>
    </row>
    <row r="46" spans="2:12" s="6" customFormat="1" ht="15" customHeight="1" x14ac:dyDescent="0.2">
      <c r="B46" s="5833"/>
      <c r="C46" s="5837"/>
      <c r="D46" s="544" t="s">
        <v>183</v>
      </c>
      <c r="E46" s="597">
        <v>14</v>
      </c>
      <c r="F46" s="597">
        <v>13</v>
      </c>
      <c r="G46" s="598">
        <v>9</v>
      </c>
      <c r="H46" s="599">
        <v>6</v>
      </c>
      <c r="I46" s="599">
        <v>17</v>
      </c>
      <c r="J46" s="599">
        <v>12</v>
      </c>
      <c r="K46" s="599">
        <v>7</v>
      </c>
      <c r="L46" s="599">
        <v>7</v>
      </c>
    </row>
    <row r="47" spans="2:12" s="6" customFormat="1" ht="15" customHeight="1" x14ac:dyDescent="0.2">
      <c r="B47" s="5833"/>
      <c r="C47" s="5837"/>
      <c r="D47" s="544" t="s">
        <v>184</v>
      </c>
      <c r="E47" s="597">
        <v>10</v>
      </c>
      <c r="F47" s="597">
        <v>7</v>
      </c>
      <c r="G47" s="598">
        <v>5</v>
      </c>
      <c r="H47" s="599">
        <v>9</v>
      </c>
      <c r="I47" s="599">
        <v>4</v>
      </c>
      <c r="J47" s="599">
        <v>6</v>
      </c>
      <c r="K47" s="599">
        <v>3</v>
      </c>
      <c r="L47" s="599">
        <v>3</v>
      </c>
    </row>
    <row r="48" spans="2:12" s="6" customFormat="1" ht="15" customHeight="1" x14ac:dyDescent="0.2">
      <c r="B48" s="5833"/>
      <c r="C48" s="5837"/>
      <c r="D48" s="544" t="s">
        <v>211</v>
      </c>
      <c r="E48" s="597">
        <v>8</v>
      </c>
      <c r="F48" s="597">
        <v>5</v>
      </c>
      <c r="G48" s="598">
        <v>10</v>
      </c>
      <c r="H48" s="599">
        <v>9</v>
      </c>
      <c r="I48" s="599">
        <v>5</v>
      </c>
      <c r="J48" s="599">
        <v>6</v>
      </c>
      <c r="K48" s="599">
        <v>11</v>
      </c>
      <c r="L48" s="599">
        <v>5</v>
      </c>
    </row>
    <row r="49" spans="2:12" s="6" customFormat="1" ht="15" customHeight="1" x14ac:dyDescent="0.2">
      <c r="B49" s="5833"/>
      <c r="C49" s="5837"/>
      <c r="D49" s="544" t="s">
        <v>212</v>
      </c>
      <c r="E49" s="597">
        <v>3</v>
      </c>
      <c r="F49" s="597">
        <v>3</v>
      </c>
      <c r="G49" s="598">
        <v>1</v>
      </c>
      <c r="H49" s="599">
        <v>4</v>
      </c>
      <c r="I49" s="599">
        <v>3</v>
      </c>
      <c r="J49" s="599">
        <v>3</v>
      </c>
      <c r="K49" s="599">
        <v>1</v>
      </c>
      <c r="L49" s="599">
        <v>2</v>
      </c>
    </row>
    <row r="50" spans="2:12" s="6" customFormat="1" ht="15" customHeight="1" x14ac:dyDescent="0.2">
      <c r="B50" s="5833"/>
      <c r="C50" s="5837"/>
      <c r="D50" s="544" t="s">
        <v>213</v>
      </c>
      <c r="E50" s="597">
        <v>9</v>
      </c>
      <c r="F50" s="597">
        <v>8</v>
      </c>
      <c r="G50" s="598">
        <v>8</v>
      </c>
      <c r="H50" s="599">
        <v>9</v>
      </c>
      <c r="I50" s="599">
        <v>4</v>
      </c>
      <c r="J50" s="599">
        <v>9</v>
      </c>
      <c r="K50" s="599">
        <v>6</v>
      </c>
      <c r="L50" s="599">
        <v>3</v>
      </c>
    </row>
    <row r="51" spans="2:12" s="6" customFormat="1" ht="15" customHeight="1" x14ac:dyDescent="0.2">
      <c r="B51" s="5833"/>
      <c r="C51" s="5837"/>
      <c r="D51" s="544" t="s">
        <v>214</v>
      </c>
      <c r="E51" s="597">
        <v>15</v>
      </c>
      <c r="F51" s="597">
        <v>10</v>
      </c>
      <c r="G51" s="598">
        <v>11</v>
      </c>
      <c r="H51" s="599">
        <v>7</v>
      </c>
      <c r="I51" s="599">
        <v>13</v>
      </c>
      <c r="J51" s="599">
        <v>14</v>
      </c>
      <c r="K51" s="599">
        <v>9</v>
      </c>
      <c r="L51" s="599">
        <v>8</v>
      </c>
    </row>
    <row r="52" spans="2:12" s="6" customFormat="1" ht="15" customHeight="1" x14ac:dyDescent="0.2">
      <c r="B52" s="5833"/>
      <c r="C52" s="5839"/>
      <c r="D52" s="546" t="s">
        <v>215</v>
      </c>
      <c r="E52" s="610"/>
      <c r="F52" s="603"/>
      <c r="G52" s="604">
        <v>3</v>
      </c>
      <c r="H52" s="611">
        <v>3</v>
      </c>
      <c r="I52" s="605"/>
      <c r="J52" s="605">
        <v>1</v>
      </c>
      <c r="K52" s="605">
        <v>3</v>
      </c>
      <c r="L52" s="605">
        <v>6</v>
      </c>
    </row>
    <row r="53" spans="2:12" s="6" customFormat="1" ht="15" customHeight="1" x14ac:dyDescent="0.2">
      <c r="B53" s="5833"/>
      <c r="C53" s="5838" t="s">
        <v>11</v>
      </c>
      <c r="D53" s="545" t="s">
        <v>202</v>
      </c>
      <c r="E53" s="600">
        <v>11</v>
      </c>
      <c r="F53" s="600">
        <v>22</v>
      </c>
      <c r="G53" s="601">
        <v>16</v>
      </c>
      <c r="H53" s="602">
        <v>10</v>
      </c>
      <c r="I53" s="602">
        <v>16</v>
      </c>
      <c r="J53" s="602">
        <v>11</v>
      </c>
      <c r="K53" s="602">
        <v>7</v>
      </c>
      <c r="L53" s="602">
        <v>14</v>
      </c>
    </row>
    <row r="54" spans="2:12" s="6" customFormat="1" ht="15" customHeight="1" x14ac:dyDescent="0.2">
      <c r="B54" s="5833"/>
      <c r="C54" s="5837"/>
      <c r="D54" s="544" t="s">
        <v>203</v>
      </c>
      <c r="E54" s="597">
        <v>20</v>
      </c>
      <c r="F54" s="597">
        <v>16</v>
      </c>
      <c r="G54" s="598">
        <v>11</v>
      </c>
      <c r="H54" s="599">
        <v>6</v>
      </c>
      <c r="I54" s="599">
        <v>6</v>
      </c>
      <c r="J54" s="599">
        <v>16</v>
      </c>
      <c r="K54" s="599">
        <v>16</v>
      </c>
      <c r="L54" s="599">
        <v>7</v>
      </c>
    </row>
    <row r="55" spans="2:12" s="6" customFormat="1" ht="15" customHeight="1" x14ac:dyDescent="0.2">
      <c r="B55" s="5833"/>
      <c r="C55" s="5837"/>
      <c r="D55" s="544" t="s">
        <v>204</v>
      </c>
      <c r="E55" s="597">
        <v>5</v>
      </c>
      <c r="F55" s="597">
        <v>1</v>
      </c>
      <c r="G55" s="598">
        <v>4</v>
      </c>
      <c r="H55" s="599">
        <v>9</v>
      </c>
      <c r="I55" s="599">
        <v>8</v>
      </c>
      <c r="J55" s="599">
        <v>6</v>
      </c>
      <c r="K55" s="599">
        <v>5</v>
      </c>
      <c r="L55" s="599">
        <v>5</v>
      </c>
    </row>
    <row r="56" spans="2:12" s="6" customFormat="1" ht="15" customHeight="1" x14ac:dyDescent="0.2">
      <c r="B56" s="5833"/>
      <c r="C56" s="5837"/>
      <c r="D56" s="544" t="s">
        <v>205</v>
      </c>
      <c r="E56" s="597">
        <v>2</v>
      </c>
      <c r="F56" s="597">
        <v>5</v>
      </c>
      <c r="G56" s="598">
        <v>2</v>
      </c>
      <c r="H56" s="599">
        <v>5</v>
      </c>
      <c r="I56" s="599">
        <v>4</v>
      </c>
      <c r="J56" s="599">
        <v>3</v>
      </c>
      <c r="K56" s="599">
        <v>1</v>
      </c>
      <c r="L56" s="599">
        <v>3</v>
      </c>
    </row>
    <row r="57" spans="2:12" s="6" customFormat="1" ht="15" customHeight="1" x14ac:dyDescent="0.2">
      <c r="B57" s="5833"/>
      <c r="C57" s="5837"/>
      <c r="D57" s="544" t="s">
        <v>206</v>
      </c>
      <c r="E57" s="597">
        <v>22</v>
      </c>
      <c r="F57" s="597">
        <v>22</v>
      </c>
      <c r="G57" s="598">
        <v>10</v>
      </c>
      <c r="H57" s="599">
        <v>15</v>
      </c>
      <c r="I57" s="599">
        <v>26</v>
      </c>
      <c r="J57" s="599">
        <v>16</v>
      </c>
      <c r="K57" s="599">
        <v>20</v>
      </c>
      <c r="L57" s="599">
        <v>16</v>
      </c>
    </row>
    <row r="58" spans="2:12" s="6" customFormat="1" ht="15" customHeight="1" x14ac:dyDescent="0.2">
      <c r="B58" s="5834"/>
      <c r="C58" s="5839"/>
      <c r="D58" s="546" t="s">
        <v>207</v>
      </c>
      <c r="E58" s="603">
        <v>30</v>
      </c>
      <c r="F58" s="603">
        <v>26</v>
      </c>
      <c r="G58" s="604">
        <v>26</v>
      </c>
      <c r="H58" s="605">
        <v>19</v>
      </c>
      <c r="I58" s="605">
        <v>20</v>
      </c>
      <c r="J58" s="605">
        <v>19</v>
      </c>
      <c r="K58" s="605">
        <v>10</v>
      </c>
      <c r="L58" s="605">
        <v>15</v>
      </c>
    </row>
    <row r="59" spans="2:12" s="6" customFormat="1" ht="15" customHeight="1" x14ac:dyDescent="0.2">
      <c r="B59" s="5832" t="s">
        <v>10</v>
      </c>
      <c r="C59" s="5837" t="s">
        <v>6</v>
      </c>
      <c r="D59" s="544" t="s">
        <v>181</v>
      </c>
      <c r="E59" s="597">
        <v>10</v>
      </c>
      <c r="F59" s="597">
        <v>7</v>
      </c>
      <c r="G59" s="598">
        <v>14</v>
      </c>
      <c r="H59" s="599">
        <v>10</v>
      </c>
      <c r="I59" s="599">
        <v>15</v>
      </c>
      <c r="J59" s="599">
        <v>11</v>
      </c>
      <c r="K59" s="599">
        <v>16</v>
      </c>
      <c r="L59" s="599">
        <v>10</v>
      </c>
    </row>
    <row r="60" spans="2:12" s="6" customFormat="1" ht="15" customHeight="1" x14ac:dyDescent="0.2">
      <c r="B60" s="5833"/>
      <c r="C60" s="5837"/>
      <c r="D60" s="544" t="s">
        <v>224</v>
      </c>
      <c r="E60" s="597">
        <v>10</v>
      </c>
      <c r="F60" s="597">
        <v>7</v>
      </c>
      <c r="G60" s="598">
        <v>8</v>
      </c>
      <c r="H60" s="599">
        <v>6</v>
      </c>
      <c r="I60" s="599">
        <v>9</v>
      </c>
      <c r="J60" s="599">
        <v>4</v>
      </c>
      <c r="K60" s="599">
        <v>6</v>
      </c>
      <c r="L60" s="599">
        <v>11</v>
      </c>
    </row>
    <row r="61" spans="2:12" s="6" customFormat="1" ht="15" customHeight="1" x14ac:dyDescent="0.2">
      <c r="B61" s="5833"/>
      <c r="C61" s="5837"/>
      <c r="D61" s="544" t="s">
        <v>183</v>
      </c>
      <c r="E61" s="597">
        <v>21</v>
      </c>
      <c r="F61" s="597">
        <v>21</v>
      </c>
      <c r="G61" s="598">
        <v>15</v>
      </c>
      <c r="H61" s="599">
        <v>19</v>
      </c>
      <c r="I61" s="599">
        <v>13</v>
      </c>
      <c r="J61" s="599">
        <v>16</v>
      </c>
      <c r="K61" s="599">
        <v>13</v>
      </c>
      <c r="L61" s="599">
        <v>13</v>
      </c>
    </row>
    <row r="62" spans="2:12" s="6" customFormat="1" ht="15" customHeight="1" x14ac:dyDescent="0.2">
      <c r="B62" s="5833"/>
      <c r="C62" s="5837"/>
      <c r="D62" s="544" t="s">
        <v>225</v>
      </c>
      <c r="E62" s="597">
        <v>18</v>
      </c>
      <c r="F62" s="597">
        <v>22</v>
      </c>
      <c r="G62" s="598">
        <v>13</v>
      </c>
      <c r="H62" s="599">
        <v>19</v>
      </c>
      <c r="I62" s="599">
        <v>20</v>
      </c>
      <c r="J62" s="599">
        <v>14</v>
      </c>
      <c r="K62" s="599">
        <v>14</v>
      </c>
      <c r="L62" s="599">
        <v>15</v>
      </c>
    </row>
    <row r="63" spans="2:12" s="6" customFormat="1" ht="15" customHeight="1" x14ac:dyDescent="0.2">
      <c r="B63" s="5833"/>
      <c r="C63" s="5837"/>
      <c r="D63" s="544" t="s">
        <v>184</v>
      </c>
      <c r="E63" s="597">
        <v>20</v>
      </c>
      <c r="F63" s="597">
        <v>22</v>
      </c>
      <c r="G63" s="598">
        <v>18</v>
      </c>
      <c r="H63" s="599">
        <v>21</v>
      </c>
      <c r="I63" s="599">
        <v>19</v>
      </c>
      <c r="J63" s="599">
        <v>12</v>
      </c>
      <c r="K63" s="599">
        <v>16</v>
      </c>
      <c r="L63" s="599">
        <v>9</v>
      </c>
    </row>
    <row r="64" spans="2:12" s="6" customFormat="1" ht="15" customHeight="1" x14ac:dyDescent="0.2">
      <c r="B64" s="5833"/>
      <c r="C64" s="5839"/>
      <c r="D64" s="546" t="s">
        <v>226</v>
      </c>
      <c r="E64" s="603">
        <v>6</v>
      </c>
      <c r="F64" s="603">
        <v>6</v>
      </c>
      <c r="G64" s="604">
        <v>2</v>
      </c>
      <c r="H64" s="605">
        <v>3</v>
      </c>
      <c r="I64" s="605">
        <v>8</v>
      </c>
      <c r="J64" s="605">
        <v>7</v>
      </c>
      <c r="K64" s="605">
        <v>3</v>
      </c>
      <c r="L64" s="605">
        <v>8</v>
      </c>
    </row>
    <row r="65" spans="2:12" s="6" customFormat="1" ht="15" customHeight="1" x14ac:dyDescent="0.2">
      <c r="B65" s="5833"/>
      <c r="C65" s="5838" t="s">
        <v>11</v>
      </c>
      <c r="D65" s="545" t="s">
        <v>202</v>
      </c>
      <c r="E65" s="600">
        <v>14</v>
      </c>
      <c r="F65" s="600">
        <v>14</v>
      </c>
      <c r="G65" s="601">
        <v>17</v>
      </c>
      <c r="H65" s="602">
        <v>15</v>
      </c>
      <c r="I65" s="602">
        <v>17</v>
      </c>
      <c r="J65" s="602">
        <v>22</v>
      </c>
      <c r="K65" s="602">
        <v>15</v>
      </c>
      <c r="L65" s="602">
        <v>22</v>
      </c>
    </row>
    <row r="66" spans="2:12" s="6" customFormat="1" ht="15" customHeight="1" x14ac:dyDescent="0.2">
      <c r="B66" s="5833"/>
      <c r="C66" s="5837"/>
      <c r="D66" s="544" t="s">
        <v>217</v>
      </c>
      <c r="E66" s="597">
        <v>6</v>
      </c>
      <c r="F66" s="597">
        <v>11</v>
      </c>
      <c r="G66" s="598">
        <v>6</v>
      </c>
      <c r="H66" s="599">
        <v>5</v>
      </c>
      <c r="I66" s="599">
        <v>7</v>
      </c>
      <c r="J66" s="599">
        <v>12</v>
      </c>
      <c r="K66" s="599">
        <v>11</v>
      </c>
      <c r="L66" s="599">
        <v>7</v>
      </c>
    </row>
    <row r="67" spans="2:12" s="6" customFormat="1" ht="15" customHeight="1" x14ac:dyDescent="0.2">
      <c r="B67" s="5833"/>
      <c r="C67" s="5837"/>
      <c r="D67" s="544" t="s">
        <v>218</v>
      </c>
      <c r="E67" s="597">
        <v>8</v>
      </c>
      <c r="F67" s="597">
        <v>10</v>
      </c>
      <c r="G67" s="598">
        <v>2</v>
      </c>
      <c r="H67" s="599">
        <v>7</v>
      </c>
      <c r="I67" s="599">
        <v>8</v>
      </c>
      <c r="J67" s="599">
        <v>3</v>
      </c>
      <c r="K67" s="599">
        <v>3</v>
      </c>
      <c r="L67" s="599">
        <v>2</v>
      </c>
    </row>
    <row r="68" spans="2:12" s="6" customFormat="1" ht="15" customHeight="1" x14ac:dyDescent="0.2">
      <c r="B68" s="5833"/>
      <c r="C68" s="5837"/>
      <c r="D68" s="544" t="s">
        <v>219</v>
      </c>
      <c r="E68" s="597">
        <v>16</v>
      </c>
      <c r="F68" s="597">
        <v>21</v>
      </c>
      <c r="G68" s="598">
        <v>20</v>
      </c>
      <c r="H68" s="599">
        <v>15</v>
      </c>
      <c r="I68" s="599">
        <v>30</v>
      </c>
      <c r="J68" s="599">
        <v>15</v>
      </c>
      <c r="K68" s="599">
        <v>16</v>
      </c>
      <c r="L68" s="599">
        <v>22</v>
      </c>
    </row>
    <row r="69" spans="2:12" s="6" customFormat="1" ht="15" customHeight="1" x14ac:dyDescent="0.2">
      <c r="B69" s="5833"/>
      <c r="C69" s="5837"/>
      <c r="D69" s="544" t="s">
        <v>220</v>
      </c>
      <c r="E69" s="597">
        <v>19</v>
      </c>
      <c r="F69" s="597">
        <v>25</v>
      </c>
      <c r="G69" s="598">
        <v>16</v>
      </c>
      <c r="H69" s="599">
        <v>15</v>
      </c>
      <c r="I69" s="599">
        <v>18</v>
      </c>
      <c r="J69" s="599">
        <v>18</v>
      </c>
      <c r="K69" s="599">
        <v>14</v>
      </c>
      <c r="L69" s="599">
        <v>14</v>
      </c>
    </row>
    <row r="70" spans="2:12" s="6" customFormat="1" ht="15" customHeight="1" x14ac:dyDescent="0.2">
      <c r="B70" s="5833"/>
      <c r="C70" s="5837"/>
      <c r="D70" s="544" t="s">
        <v>221</v>
      </c>
      <c r="E70" s="597">
        <v>15</v>
      </c>
      <c r="F70" s="597">
        <v>11</v>
      </c>
      <c r="G70" s="598">
        <v>17</v>
      </c>
      <c r="H70" s="599">
        <v>13</v>
      </c>
      <c r="I70" s="599">
        <v>18</v>
      </c>
      <c r="J70" s="599">
        <v>18</v>
      </c>
      <c r="K70" s="599">
        <v>20</v>
      </c>
      <c r="L70" s="599">
        <v>20</v>
      </c>
    </row>
    <row r="71" spans="2:12" s="6" customFormat="1" ht="15" customHeight="1" x14ac:dyDescent="0.2">
      <c r="B71" s="5833"/>
      <c r="C71" s="5837"/>
      <c r="D71" s="544" t="s">
        <v>222</v>
      </c>
      <c r="E71" s="597">
        <v>6</v>
      </c>
      <c r="F71" s="597">
        <v>10</v>
      </c>
      <c r="G71" s="598">
        <v>8</v>
      </c>
      <c r="H71" s="599">
        <v>6</v>
      </c>
      <c r="I71" s="599">
        <v>2</v>
      </c>
      <c r="J71" s="599">
        <v>7</v>
      </c>
      <c r="K71" s="599">
        <v>6</v>
      </c>
      <c r="L71" s="599">
        <v>9</v>
      </c>
    </row>
    <row r="72" spans="2:12" s="6" customFormat="1" ht="15" customHeight="1" x14ac:dyDescent="0.2">
      <c r="B72" s="5833"/>
      <c r="C72" s="5839"/>
      <c r="D72" s="546" t="s">
        <v>223</v>
      </c>
      <c r="E72" s="603">
        <v>4</v>
      </c>
      <c r="F72" s="603">
        <v>3</v>
      </c>
      <c r="G72" s="604">
        <v>5</v>
      </c>
      <c r="H72" s="605">
        <v>6</v>
      </c>
      <c r="I72" s="605">
        <v>7</v>
      </c>
      <c r="J72" s="605">
        <v>4</v>
      </c>
      <c r="K72" s="605">
        <v>2</v>
      </c>
      <c r="L72" s="605">
        <v>3</v>
      </c>
    </row>
    <row r="73" spans="2:12" s="6" customFormat="1" ht="15" customHeight="1" x14ac:dyDescent="0.2">
      <c r="B73" s="5833"/>
      <c r="C73" s="5837" t="s">
        <v>7</v>
      </c>
      <c r="D73" s="547" t="s">
        <v>168</v>
      </c>
      <c r="E73" s="600">
        <v>16</v>
      </c>
      <c r="F73" s="600">
        <v>22</v>
      </c>
      <c r="G73" s="601">
        <v>27</v>
      </c>
      <c r="H73" s="602">
        <v>12</v>
      </c>
      <c r="I73" s="602">
        <v>20</v>
      </c>
      <c r="J73" s="602">
        <v>25</v>
      </c>
      <c r="K73" s="602">
        <v>20</v>
      </c>
      <c r="L73" s="602">
        <v>21</v>
      </c>
    </row>
    <row r="74" spans="2:12" s="6" customFormat="1" ht="15" customHeight="1" x14ac:dyDescent="0.2">
      <c r="B74" s="5833"/>
      <c r="C74" s="5837"/>
      <c r="D74" s="548" t="s">
        <v>169</v>
      </c>
      <c r="E74" s="597">
        <v>7</v>
      </c>
      <c r="F74" s="597">
        <v>9</v>
      </c>
      <c r="G74" s="598">
        <v>5</v>
      </c>
      <c r="H74" s="599"/>
      <c r="I74" s="599">
        <v>6</v>
      </c>
      <c r="J74" s="599">
        <v>5</v>
      </c>
      <c r="K74" s="599">
        <v>7</v>
      </c>
      <c r="L74" s="599">
        <v>12</v>
      </c>
    </row>
    <row r="75" spans="2:12" s="6" customFormat="1" ht="15" customHeight="1" x14ac:dyDescent="0.2">
      <c r="B75" s="5833"/>
      <c r="C75" s="5837"/>
      <c r="D75" s="548" t="s">
        <v>170</v>
      </c>
      <c r="E75" s="597">
        <v>4</v>
      </c>
      <c r="F75" s="597">
        <v>10</v>
      </c>
      <c r="G75" s="598">
        <v>11</v>
      </c>
      <c r="H75" s="599">
        <v>7</v>
      </c>
      <c r="I75" s="599">
        <v>11</v>
      </c>
      <c r="J75" s="599">
        <v>7</v>
      </c>
      <c r="K75" s="599">
        <v>6</v>
      </c>
      <c r="L75" s="599">
        <v>13</v>
      </c>
    </row>
    <row r="76" spans="2:12" s="6" customFormat="1" ht="15" customHeight="1" x14ac:dyDescent="0.2">
      <c r="B76" s="5834"/>
      <c r="C76" s="5839"/>
      <c r="D76" s="758" t="s">
        <v>216</v>
      </c>
      <c r="E76" s="603">
        <v>5</v>
      </c>
      <c r="F76" s="603">
        <v>11</v>
      </c>
      <c r="G76" s="604">
        <v>15</v>
      </c>
      <c r="H76" s="605">
        <v>7</v>
      </c>
      <c r="I76" s="605">
        <v>14</v>
      </c>
      <c r="J76" s="605">
        <v>7</v>
      </c>
      <c r="K76" s="605">
        <v>16</v>
      </c>
      <c r="L76" s="605">
        <v>17</v>
      </c>
    </row>
    <row r="77" spans="2:12" s="7" customFormat="1" ht="15" x14ac:dyDescent="0.25">
      <c r="C77" s="5835" t="s">
        <v>76</v>
      </c>
      <c r="D77" s="5836"/>
      <c r="E77" s="612">
        <f>SUM(E6:E76)</f>
        <v>842</v>
      </c>
      <c r="F77" s="612">
        <f t="shared" ref="F77:L77" si="0">SUM(F6:F76)</f>
        <v>808</v>
      </c>
      <c r="G77" s="612">
        <f t="shared" si="0"/>
        <v>692</v>
      </c>
      <c r="H77" s="612">
        <f t="shared" si="0"/>
        <v>691</v>
      </c>
      <c r="I77" s="612">
        <f t="shared" si="0"/>
        <v>769</v>
      </c>
      <c r="J77" s="612">
        <f t="shared" si="0"/>
        <v>735</v>
      </c>
      <c r="K77" s="612">
        <f t="shared" si="0"/>
        <v>728</v>
      </c>
      <c r="L77" s="613">
        <f t="shared" si="0"/>
        <v>673</v>
      </c>
    </row>
    <row r="78" spans="2:12" s="8" customFormat="1" ht="15" x14ac:dyDescent="0.25">
      <c r="C78" s="318" t="s">
        <v>0</v>
      </c>
      <c r="D78" s="193"/>
    </row>
    <row r="79" spans="2:12" s="8" customFormat="1" ht="15" x14ac:dyDescent="0.25">
      <c r="C79" s="142"/>
      <c r="D79" s="193"/>
    </row>
  </sheetData>
  <mergeCells count="19">
    <mergeCell ref="B59:B76"/>
    <mergeCell ref="C77:D77"/>
    <mergeCell ref="C20:C22"/>
    <mergeCell ref="C6:C15"/>
    <mergeCell ref="C16:C19"/>
    <mergeCell ref="C27:C29"/>
    <mergeCell ref="C30:C32"/>
    <mergeCell ref="C23:C26"/>
    <mergeCell ref="C33:C41"/>
    <mergeCell ref="C53:C58"/>
    <mergeCell ref="C42:C52"/>
    <mergeCell ref="C73:C76"/>
    <mergeCell ref="C65:C72"/>
    <mergeCell ref="C59:C64"/>
    <mergeCell ref="C2:L2"/>
    <mergeCell ref="C3:L3"/>
    <mergeCell ref="B6:B22"/>
    <mergeCell ref="B23:B32"/>
    <mergeCell ref="B33:B58"/>
  </mergeCells>
  <printOptions horizontalCentered="1" verticalCentered="1"/>
  <pageMargins left="1.0236220472440944" right="0.27559055118110237" top="0.19685039370078741" bottom="0.19685039370078741" header="0" footer="0.15748031496062992"/>
  <pageSetup scale="55" orientation="portrait" horizontalDpi="1200" verticalDpi="1200" r:id="rId1"/>
  <headerFooter alignWithMargins="0">
    <oddHeader>&amp;LANEXO ESTADÍSTICO 2008&amp;CCOBERTURA EDUCATIVA&amp;R&amp;G</oddHeader>
    <oddFooter xml:space="preserve">&amp;R22
</oddFooter>
  </headerFooter>
  <ignoredErrors>
    <ignoredError sqref="E77:L77" formulaRange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R39"/>
  <sheetViews>
    <sheetView showGridLines="0" topLeftCell="A31" zoomScaleNormal="100" zoomScaleSheetLayoutView="50" workbookViewId="0">
      <selection activeCell="T59" sqref="T59"/>
    </sheetView>
  </sheetViews>
  <sheetFormatPr baseColWidth="10" defaultRowHeight="12.75" x14ac:dyDescent="0.2"/>
  <cols>
    <col min="1" max="1" width="17.7109375" customWidth="1"/>
    <col min="2" max="2" width="10.7109375" customWidth="1"/>
    <col min="3" max="18" width="8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8" ht="15.75" x14ac:dyDescent="0.25">
      <c r="A1" s="4511" t="s">
        <v>1221</v>
      </c>
      <c r="C1" s="990"/>
      <c r="D1" s="990"/>
      <c r="E1" s="990"/>
      <c r="F1" s="990"/>
      <c r="G1" s="990"/>
      <c r="H1" s="990"/>
      <c r="I1" s="990"/>
      <c r="J1" s="990"/>
    </row>
    <row r="2" spans="1:18" ht="15.75" customHeight="1" x14ac:dyDescent="0.2">
      <c r="A2" s="86" t="s">
        <v>784</v>
      </c>
      <c r="C2" s="8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</row>
    <row r="3" spans="1:18" ht="15" x14ac:dyDescent="0.2">
      <c r="A3" s="239"/>
      <c r="B3" s="2548"/>
      <c r="C3" s="910"/>
      <c r="D3" s="239"/>
      <c r="E3" s="239"/>
      <c r="F3" s="239"/>
      <c r="G3" s="239"/>
      <c r="H3" s="239"/>
    </row>
    <row r="4" spans="1:18" ht="20.25" customHeight="1" x14ac:dyDescent="0.2">
      <c r="A4" s="1914" t="s">
        <v>16</v>
      </c>
      <c r="B4" s="1914" t="s">
        <v>4</v>
      </c>
      <c r="C4" s="2212">
        <v>2002</v>
      </c>
      <c r="D4" s="1920">
        <v>2003</v>
      </c>
      <c r="E4" s="1920">
        <v>2004</v>
      </c>
      <c r="F4" s="1919">
        <v>2005</v>
      </c>
      <c r="G4" s="1921">
        <v>2006</v>
      </c>
      <c r="H4" s="1921">
        <v>2007</v>
      </c>
      <c r="I4" s="1921">
        <v>2008</v>
      </c>
      <c r="J4" s="1921">
        <v>2009</v>
      </c>
      <c r="K4" s="1921">
        <v>2010</v>
      </c>
      <c r="L4" s="1921">
        <v>2011</v>
      </c>
      <c r="M4" s="1921">
        <v>2012</v>
      </c>
      <c r="N4" s="1921">
        <v>2013</v>
      </c>
      <c r="O4" s="1921">
        <v>2014</v>
      </c>
      <c r="P4" s="3938">
        <v>2015</v>
      </c>
      <c r="Q4" s="4932">
        <v>2016</v>
      </c>
      <c r="R4" s="5240">
        <v>2017</v>
      </c>
    </row>
    <row r="5" spans="1:18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</row>
    <row r="6" spans="1:18" ht="15" customHeight="1" x14ac:dyDescent="0.2">
      <c r="A6" s="5849" t="s">
        <v>3</v>
      </c>
      <c r="B6" s="1923" t="s">
        <v>5</v>
      </c>
      <c r="C6" s="1924">
        <v>186</v>
      </c>
      <c r="D6" s="1924">
        <v>175</v>
      </c>
      <c r="E6" s="1924">
        <v>140</v>
      </c>
      <c r="F6" s="1924">
        <v>131</v>
      </c>
      <c r="G6" s="1924">
        <v>150</v>
      </c>
      <c r="H6" s="1924">
        <v>140</v>
      </c>
      <c r="I6" s="1924">
        <v>134</v>
      </c>
      <c r="J6" s="1924">
        <v>129</v>
      </c>
      <c r="K6" s="1924">
        <v>125</v>
      </c>
      <c r="L6" s="1924">
        <v>123</v>
      </c>
      <c r="M6" s="1924">
        <v>112</v>
      </c>
      <c r="N6" s="1924">
        <v>128</v>
      </c>
      <c r="O6" s="1924">
        <v>87</v>
      </c>
      <c r="P6" s="1924">
        <v>130</v>
      </c>
      <c r="Q6" s="1924">
        <v>66</v>
      </c>
      <c r="R6" s="1936">
        <v>63</v>
      </c>
    </row>
    <row r="7" spans="1:18" ht="15" customHeight="1" x14ac:dyDescent="0.2">
      <c r="A7" s="5850"/>
      <c r="B7" s="1925" t="s">
        <v>6</v>
      </c>
      <c r="C7" s="1926">
        <v>70</v>
      </c>
      <c r="D7" s="1926">
        <v>70</v>
      </c>
      <c r="E7" s="1926">
        <v>61</v>
      </c>
      <c r="F7" s="1926">
        <v>48</v>
      </c>
      <c r="G7" s="1926">
        <v>44</v>
      </c>
      <c r="H7" s="1926">
        <v>66</v>
      </c>
      <c r="I7" s="1926">
        <v>56</v>
      </c>
      <c r="J7" s="1926">
        <v>66</v>
      </c>
      <c r="K7" s="1926">
        <v>51</v>
      </c>
      <c r="L7" s="1926">
        <v>49</v>
      </c>
      <c r="M7" s="1926">
        <v>57</v>
      </c>
      <c r="N7" s="1926">
        <v>74</v>
      </c>
      <c r="O7" s="1926">
        <v>57</v>
      </c>
      <c r="P7" s="1926">
        <v>76</v>
      </c>
      <c r="Q7" s="1926">
        <v>55</v>
      </c>
      <c r="R7" s="1938">
        <v>48</v>
      </c>
    </row>
    <row r="8" spans="1:18" ht="15" customHeight="1" x14ac:dyDescent="0.2">
      <c r="A8" s="5850"/>
      <c r="B8" s="1925" t="s">
        <v>7</v>
      </c>
      <c r="C8" s="1926">
        <v>41</v>
      </c>
      <c r="D8" s="1926">
        <v>55</v>
      </c>
      <c r="E8" s="1926">
        <v>50</v>
      </c>
      <c r="F8" s="1926">
        <v>26</v>
      </c>
      <c r="G8" s="1926">
        <v>24</v>
      </c>
      <c r="H8" s="1926">
        <v>25</v>
      </c>
      <c r="I8" s="1926">
        <v>31</v>
      </c>
      <c r="J8" s="1926">
        <v>27</v>
      </c>
      <c r="K8" s="1926">
        <v>28</v>
      </c>
      <c r="L8" s="1926">
        <v>25</v>
      </c>
      <c r="M8" s="1926">
        <v>32</v>
      </c>
      <c r="N8" s="1926">
        <v>25</v>
      </c>
      <c r="O8" s="1926">
        <v>24</v>
      </c>
      <c r="P8" s="1926">
        <v>36</v>
      </c>
      <c r="Q8" s="1926">
        <v>30</v>
      </c>
      <c r="R8" s="1938">
        <v>23</v>
      </c>
    </row>
    <row r="9" spans="1:18" ht="15" x14ac:dyDescent="0.2">
      <c r="A9" s="5851"/>
      <c r="B9" s="1927" t="s">
        <v>12</v>
      </c>
      <c r="C9" s="1928">
        <f t="shared" ref="C9:O9" si="0">SUM(C6:C8)</f>
        <v>297</v>
      </c>
      <c r="D9" s="1928">
        <f t="shared" si="0"/>
        <v>300</v>
      </c>
      <c r="E9" s="1928">
        <f t="shared" si="0"/>
        <v>251</v>
      </c>
      <c r="F9" s="1928">
        <f t="shared" si="0"/>
        <v>205</v>
      </c>
      <c r="G9" s="1928">
        <f t="shared" si="0"/>
        <v>218</v>
      </c>
      <c r="H9" s="1928">
        <f t="shared" si="0"/>
        <v>231</v>
      </c>
      <c r="I9" s="1928">
        <f t="shared" si="0"/>
        <v>221</v>
      </c>
      <c r="J9" s="1928">
        <f t="shared" si="0"/>
        <v>222</v>
      </c>
      <c r="K9" s="1928">
        <f t="shared" si="0"/>
        <v>204</v>
      </c>
      <c r="L9" s="1928">
        <f t="shared" si="0"/>
        <v>197</v>
      </c>
      <c r="M9" s="1928">
        <f t="shared" si="0"/>
        <v>201</v>
      </c>
      <c r="N9" s="1928">
        <f t="shared" si="0"/>
        <v>227</v>
      </c>
      <c r="O9" s="1928">
        <f t="shared" si="0"/>
        <v>168</v>
      </c>
      <c r="P9" s="1928">
        <f>SUM(P6:P8)</f>
        <v>242</v>
      </c>
      <c r="Q9" s="1928">
        <f>SUM(Q6:Q8)</f>
        <v>151</v>
      </c>
      <c r="R9" s="1942">
        <f t="shared" ref="R9" si="1">SUM(R6:R8)</f>
        <v>134</v>
      </c>
    </row>
    <row r="10" spans="1:18" ht="15" x14ac:dyDescent="0.25">
      <c r="A10" s="1001"/>
      <c r="B10" s="1929"/>
      <c r="C10" s="1930"/>
      <c r="D10" s="1930"/>
      <c r="E10" s="1930"/>
      <c r="F10" s="1930"/>
      <c r="G10" s="1930"/>
      <c r="H10" s="1930"/>
      <c r="I10" s="1930"/>
      <c r="J10" s="1930"/>
      <c r="K10" s="1930"/>
      <c r="L10" s="1930"/>
      <c r="M10" s="1930"/>
      <c r="N10" s="1930"/>
      <c r="O10" s="1930"/>
      <c r="P10" s="1930"/>
      <c r="Q10" s="1930"/>
      <c r="R10" s="1944"/>
    </row>
    <row r="11" spans="1:18" ht="15" customHeight="1" x14ac:dyDescent="0.2">
      <c r="A11" s="5840" t="s">
        <v>8</v>
      </c>
      <c r="B11" s="1923" t="s">
        <v>6</v>
      </c>
      <c r="C11" s="1924"/>
      <c r="D11" s="1924"/>
      <c r="E11" s="1924"/>
      <c r="F11" s="1924"/>
      <c r="G11" s="1924">
        <v>1</v>
      </c>
      <c r="H11" s="1924">
        <v>1</v>
      </c>
      <c r="I11" s="1924">
        <v>4</v>
      </c>
      <c r="J11" s="1924">
        <v>4</v>
      </c>
      <c r="K11" s="1924">
        <v>2</v>
      </c>
      <c r="L11" s="1924">
        <v>7</v>
      </c>
      <c r="M11" s="1924">
        <v>8</v>
      </c>
      <c r="N11" s="1924">
        <v>4</v>
      </c>
      <c r="O11" s="1924">
        <v>6</v>
      </c>
      <c r="P11" s="1924">
        <v>7</v>
      </c>
      <c r="Q11" s="1924">
        <v>14</v>
      </c>
      <c r="R11" s="1936">
        <v>13</v>
      </c>
    </row>
    <row r="12" spans="1:18" ht="15" x14ac:dyDescent="0.2">
      <c r="A12" s="5841"/>
      <c r="B12" s="1925" t="s">
        <v>9</v>
      </c>
      <c r="C12" s="1926"/>
      <c r="D12" s="1926"/>
      <c r="E12" s="1926"/>
      <c r="F12" s="1926"/>
      <c r="G12" s="1926">
        <v>0</v>
      </c>
      <c r="H12" s="1926">
        <v>2</v>
      </c>
      <c r="I12" s="1926">
        <v>6</v>
      </c>
      <c r="J12" s="1926">
        <v>5</v>
      </c>
      <c r="K12" s="1926">
        <v>4</v>
      </c>
      <c r="L12" s="1926">
        <v>4</v>
      </c>
      <c r="M12" s="1926">
        <v>9</v>
      </c>
      <c r="N12" s="1926">
        <v>9</v>
      </c>
      <c r="O12" s="1926">
        <v>5</v>
      </c>
      <c r="P12" s="1926">
        <v>5</v>
      </c>
      <c r="Q12" s="1926">
        <v>12</v>
      </c>
      <c r="R12" s="1938">
        <v>12</v>
      </c>
    </row>
    <row r="13" spans="1:18" ht="15" customHeight="1" x14ac:dyDescent="0.2">
      <c r="A13" s="5841"/>
      <c r="B13" s="1925" t="s">
        <v>74</v>
      </c>
      <c r="C13" s="1926"/>
      <c r="D13" s="1926"/>
      <c r="E13" s="1926"/>
      <c r="F13" s="1926"/>
      <c r="G13" s="1926">
        <v>0</v>
      </c>
      <c r="H13" s="1926">
        <v>0</v>
      </c>
      <c r="I13" s="1926">
        <v>2</v>
      </c>
      <c r="J13" s="1926">
        <v>8</v>
      </c>
      <c r="K13" s="1926">
        <v>6</v>
      </c>
      <c r="L13" s="1926">
        <v>5</v>
      </c>
      <c r="M13" s="1926">
        <v>6</v>
      </c>
      <c r="N13" s="1926">
        <v>14</v>
      </c>
      <c r="O13" s="1926">
        <v>8</v>
      </c>
      <c r="P13" s="1926">
        <v>20</v>
      </c>
      <c r="Q13" s="1926">
        <v>15</v>
      </c>
      <c r="R13" s="1938">
        <v>19</v>
      </c>
    </row>
    <row r="14" spans="1:18" ht="15" x14ac:dyDescent="0.2">
      <c r="A14" s="5842"/>
      <c r="B14" s="1927" t="s">
        <v>12</v>
      </c>
      <c r="C14" s="1928"/>
      <c r="D14" s="1928"/>
      <c r="E14" s="1928"/>
      <c r="F14" s="1928"/>
      <c r="G14" s="1928">
        <f t="shared" ref="G14:O14" si="2">SUM(G11:G13)</f>
        <v>1</v>
      </c>
      <c r="H14" s="1928">
        <f t="shared" si="2"/>
        <v>3</v>
      </c>
      <c r="I14" s="1928">
        <f t="shared" si="2"/>
        <v>12</v>
      </c>
      <c r="J14" s="1928">
        <f t="shared" si="2"/>
        <v>17</v>
      </c>
      <c r="K14" s="1928">
        <f t="shared" si="2"/>
        <v>12</v>
      </c>
      <c r="L14" s="1928">
        <f t="shared" si="2"/>
        <v>16</v>
      </c>
      <c r="M14" s="1928">
        <f t="shared" si="2"/>
        <v>23</v>
      </c>
      <c r="N14" s="1928">
        <f t="shared" si="2"/>
        <v>27</v>
      </c>
      <c r="O14" s="1928">
        <f t="shared" si="2"/>
        <v>19</v>
      </c>
      <c r="P14" s="1928">
        <f>SUM(P11:P13)</f>
        <v>32</v>
      </c>
      <c r="Q14" s="1928">
        <f>SUM(Q11:Q13)</f>
        <v>41</v>
      </c>
      <c r="R14" s="1942">
        <f t="shared" ref="R14" si="3">SUM(R11:R13)</f>
        <v>44</v>
      </c>
    </row>
    <row r="15" spans="1:18" ht="15" x14ac:dyDescent="0.25">
      <c r="A15" s="1001"/>
      <c r="B15" s="1929"/>
      <c r="C15" s="1930"/>
      <c r="D15" s="1930"/>
      <c r="E15" s="1930"/>
      <c r="F15" s="1930"/>
      <c r="G15" s="1930"/>
      <c r="H15" s="1930"/>
      <c r="I15" s="1930"/>
      <c r="J15" s="1930"/>
      <c r="K15" s="1930"/>
      <c r="L15" s="1930"/>
      <c r="M15" s="1930"/>
      <c r="N15" s="1930"/>
      <c r="O15" s="1930"/>
      <c r="P15" s="1930"/>
      <c r="Q15" s="1930"/>
      <c r="R15" s="1944"/>
    </row>
    <row r="16" spans="1:18" ht="15" customHeight="1" x14ac:dyDescent="0.2">
      <c r="A16" s="5843" t="s">
        <v>75</v>
      </c>
      <c r="B16" s="1923" t="s">
        <v>5</v>
      </c>
      <c r="C16" s="1924">
        <v>156</v>
      </c>
      <c r="D16" s="1924">
        <v>159</v>
      </c>
      <c r="E16" s="1924">
        <v>138</v>
      </c>
      <c r="F16" s="1924">
        <v>118</v>
      </c>
      <c r="G16" s="1924">
        <v>131</v>
      </c>
      <c r="H16" s="1924">
        <v>136</v>
      </c>
      <c r="I16" s="1924">
        <v>140</v>
      </c>
      <c r="J16" s="1924">
        <v>157</v>
      </c>
      <c r="K16" s="1924">
        <v>111</v>
      </c>
      <c r="L16" s="1924">
        <v>121</v>
      </c>
      <c r="M16" s="1924">
        <v>131</v>
      </c>
      <c r="N16" s="1924">
        <v>104</v>
      </c>
      <c r="O16" s="1924">
        <v>100</v>
      </c>
      <c r="P16" s="1924">
        <v>132</v>
      </c>
      <c r="Q16" s="1924">
        <v>109</v>
      </c>
      <c r="R16" s="1936">
        <v>93</v>
      </c>
    </row>
    <row r="17" spans="1:18" ht="15" customHeight="1" x14ac:dyDescent="0.2">
      <c r="A17" s="5844"/>
      <c r="B17" s="1925" t="s">
        <v>6</v>
      </c>
      <c r="C17" s="1926">
        <v>65</v>
      </c>
      <c r="D17" s="1926">
        <v>88</v>
      </c>
      <c r="E17" s="1926">
        <v>74</v>
      </c>
      <c r="F17" s="1926">
        <v>61</v>
      </c>
      <c r="G17" s="1926">
        <v>72</v>
      </c>
      <c r="H17" s="1926">
        <v>77</v>
      </c>
      <c r="I17" s="1926">
        <v>84</v>
      </c>
      <c r="J17" s="1926">
        <v>69</v>
      </c>
      <c r="K17" s="1926">
        <v>58</v>
      </c>
      <c r="L17" s="1926">
        <v>66</v>
      </c>
      <c r="M17" s="1926">
        <v>79</v>
      </c>
      <c r="N17" s="1926">
        <v>68</v>
      </c>
      <c r="O17" s="1926">
        <v>49</v>
      </c>
      <c r="P17" s="1926">
        <v>82</v>
      </c>
      <c r="Q17" s="1926">
        <v>68</v>
      </c>
      <c r="R17" s="1938">
        <v>56</v>
      </c>
    </row>
    <row r="18" spans="1:18" ht="15" customHeight="1" x14ac:dyDescent="0.2">
      <c r="A18" s="5844"/>
      <c r="B18" s="1925" t="s">
        <v>11</v>
      </c>
      <c r="C18" s="1926">
        <v>98</v>
      </c>
      <c r="D18" s="1926">
        <v>90</v>
      </c>
      <c r="E18" s="1926">
        <v>90</v>
      </c>
      <c r="F18" s="1926">
        <v>66</v>
      </c>
      <c r="G18" s="1926">
        <v>59</v>
      </c>
      <c r="H18" s="1926">
        <v>80</v>
      </c>
      <c r="I18" s="1926">
        <v>71</v>
      </c>
      <c r="J18" s="1926">
        <v>59</v>
      </c>
      <c r="K18" s="1926">
        <v>60</v>
      </c>
      <c r="L18" s="1926">
        <v>66</v>
      </c>
      <c r="M18" s="1926">
        <v>59</v>
      </c>
      <c r="N18" s="1926">
        <v>62</v>
      </c>
      <c r="O18" s="1926">
        <v>43</v>
      </c>
      <c r="P18" s="1926">
        <v>42</v>
      </c>
      <c r="Q18" s="1926">
        <v>34</v>
      </c>
      <c r="R18" s="1938">
        <v>41</v>
      </c>
    </row>
    <row r="19" spans="1:18" ht="15" x14ac:dyDescent="0.2">
      <c r="A19" s="5845"/>
      <c r="B19" s="1927" t="s">
        <v>12</v>
      </c>
      <c r="C19" s="1928">
        <f t="shared" ref="C19:O19" si="4">SUM(C16:C18)</f>
        <v>319</v>
      </c>
      <c r="D19" s="1928">
        <f t="shared" si="4"/>
        <v>337</v>
      </c>
      <c r="E19" s="1928">
        <f t="shared" si="4"/>
        <v>302</v>
      </c>
      <c r="F19" s="1928">
        <f t="shared" si="4"/>
        <v>245</v>
      </c>
      <c r="G19" s="1928">
        <f t="shared" si="4"/>
        <v>262</v>
      </c>
      <c r="H19" s="1928">
        <f t="shared" si="4"/>
        <v>293</v>
      </c>
      <c r="I19" s="1928">
        <f t="shared" si="4"/>
        <v>295</v>
      </c>
      <c r="J19" s="1928">
        <f t="shared" si="4"/>
        <v>285</v>
      </c>
      <c r="K19" s="1928">
        <f t="shared" si="4"/>
        <v>229</v>
      </c>
      <c r="L19" s="1928">
        <f t="shared" si="4"/>
        <v>253</v>
      </c>
      <c r="M19" s="1928">
        <f t="shared" si="4"/>
        <v>269</v>
      </c>
      <c r="N19" s="1928">
        <f t="shared" si="4"/>
        <v>234</v>
      </c>
      <c r="O19" s="1928">
        <f t="shared" si="4"/>
        <v>192</v>
      </c>
      <c r="P19" s="1928">
        <f>SUM(P16:P18)</f>
        <v>256</v>
      </c>
      <c r="Q19" s="1928">
        <f>SUM(Q16:Q18)</f>
        <v>211</v>
      </c>
      <c r="R19" s="1942">
        <f t="shared" ref="R19" si="5">SUM(R16:R18)</f>
        <v>190</v>
      </c>
    </row>
    <row r="20" spans="1:18" ht="15" x14ac:dyDescent="0.25">
      <c r="A20" s="1001"/>
      <c r="B20" s="1931"/>
      <c r="C20" s="1932"/>
      <c r="D20" s="1932"/>
      <c r="E20" s="1932"/>
      <c r="F20" s="1932"/>
      <c r="G20" s="1932"/>
      <c r="H20" s="1932"/>
      <c r="I20" s="1932"/>
      <c r="J20" s="1932"/>
      <c r="K20" s="1932"/>
      <c r="L20" s="1932"/>
      <c r="M20" s="1932"/>
      <c r="N20" s="1932"/>
      <c r="O20" s="1932"/>
      <c r="P20" s="1932"/>
      <c r="Q20" s="1932"/>
      <c r="R20" s="1932"/>
    </row>
    <row r="21" spans="1:18" ht="15" x14ac:dyDescent="0.2">
      <c r="A21" s="5852" t="s">
        <v>325</v>
      </c>
      <c r="B21" s="1923" t="s">
        <v>5</v>
      </c>
      <c r="C21" s="1924"/>
      <c r="D21" s="1924"/>
      <c r="E21" s="1924"/>
      <c r="F21" s="1924"/>
      <c r="G21" s="1924"/>
      <c r="H21" s="1924"/>
      <c r="I21" s="1924"/>
      <c r="J21" s="1924"/>
      <c r="K21" s="1924"/>
      <c r="L21" s="1924"/>
      <c r="M21" s="1924"/>
      <c r="N21" s="1924">
        <v>4</v>
      </c>
      <c r="O21" s="1924">
        <v>11</v>
      </c>
      <c r="P21" s="1924">
        <v>11</v>
      </c>
      <c r="Q21" s="1924">
        <v>7</v>
      </c>
      <c r="R21" s="1936">
        <v>3</v>
      </c>
    </row>
    <row r="22" spans="1:18" ht="15" x14ac:dyDescent="0.2">
      <c r="A22" s="5853"/>
      <c r="B22" s="1925" t="s">
        <v>6</v>
      </c>
      <c r="C22" s="1926"/>
      <c r="D22" s="1926"/>
      <c r="E22" s="1926"/>
      <c r="F22" s="1926"/>
      <c r="G22" s="1926"/>
      <c r="H22" s="1926"/>
      <c r="I22" s="1926"/>
      <c r="J22" s="1926"/>
      <c r="K22" s="1926"/>
      <c r="L22" s="1926"/>
      <c r="M22" s="1926"/>
      <c r="N22" s="1926">
        <v>1</v>
      </c>
      <c r="O22" s="1926">
        <v>2</v>
      </c>
      <c r="P22" s="1926">
        <v>5</v>
      </c>
      <c r="Q22" s="1926">
        <v>5</v>
      </c>
      <c r="R22" s="1938">
        <v>10</v>
      </c>
    </row>
    <row r="23" spans="1:18" ht="15" x14ac:dyDescent="0.2">
      <c r="A23" s="5853"/>
      <c r="B23" s="1925" t="s">
        <v>11</v>
      </c>
      <c r="C23" s="1926"/>
      <c r="D23" s="1926"/>
      <c r="E23" s="1926"/>
      <c r="F23" s="1926"/>
      <c r="G23" s="1926"/>
      <c r="H23" s="1926"/>
      <c r="I23" s="1926"/>
      <c r="J23" s="1926"/>
      <c r="K23" s="1926"/>
      <c r="L23" s="1926">
        <v>1</v>
      </c>
      <c r="M23" s="1926">
        <v>2</v>
      </c>
      <c r="N23" s="1926">
        <v>4</v>
      </c>
      <c r="O23" s="1926">
        <v>1</v>
      </c>
      <c r="P23" s="1926"/>
      <c r="Q23" s="1926">
        <v>10</v>
      </c>
      <c r="R23" s="1938">
        <v>9</v>
      </c>
    </row>
    <row r="24" spans="1:18" ht="15" x14ac:dyDescent="0.2">
      <c r="A24" s="5854"/>
      <c r="B24" s="1927" t="s">
        <v>12</v>
      </c>
      <c r="C24" s="1928"/>
      <c r="D24" s="1928"/>
      <c r="E24" s="1928"/>
      <c r="F24" s="1928"/>
      <c r="G24" s="1928"/>
      <c r="H24" s="1928"/>
      <c r="I24" s="1928"/>
      <c r="J24" s="1928"/>
      <c r="K24" s="1928"/>
      <c r="L24" s="1928">
        <f t="shared" ref="L24:Q24" si="6">SUM(L21:L23)</f>
        <v>1</v>
      </c>
      <c r="M24" s="1928">
        <f t="shared" si="6"/>
        <v>2</v>
      </c>
      <c r="N24" s="1928">
        <f t="shared" si="6"/>
        <v>9</v>
      </c>
      <c r="O24" s="1928">
        <f t="shared" si="6"/>
        <v>14</v>
      </c>
      <c r="P24" s="1928">
        <f t="shared" si="6"/>
        <v>16</v>
      </c>
      <c r="Q24" s="1928">
        <f t="shared" si="6"/>
        <v>22</v>
      </c>
      <c r="R24" s="1942">
        <f>SUM(R21:R23)</f>
        <v>22</v>
      </c>
    </row>
    <row r="25" spans="1:18" ht="15" x14ac:dyDescent="0.25">
      <c r="A25" s="1001"/>
      <c r="B25" s="1929"/>
      <c r="C25" s="1930"/>
      <c r="D25" s="1930"/>
      <c r="E25" s="1930"/>
      <c r="F25" s="1930"/>
      <c r="G25" s="1930"/>
      <c r="H25" s="1930"/>
      <c r="I25" s="1930"/>
      <c r="J25" s="1930"/>
      <c r="K25" s="1930"/>
      <c r="L25" s="1930"/>
      <c r="M25" s="1930"/>
      <c r="N25" s="1930"/>
      <c r="O25" s="1930"/>
      <c r="P25" s="1930"/>
      <c r="Q25" s="1930"/>
      <c r="R25" s="1944"/>
    </row>
    <row r="26" spans="1:18" ht="15" customHeight="1" x14ac:dyDescent="0.2">
      <c r="A26" s="5846" t="s">
        <v>10</v>
      </c>
      <c r="B26" s="1923" t="s">
        <v>6</v>
      </c>
      <c r="C26" s="1924">
        <v>70</v>
      </c>
      <c r="D26" s="1924">
        <v>85</v>
      </c>
      <c r="E26" s="1924">
        <v>85</v>
      </c>
      <c r="F26" s="1924">
        <v>70</v>
      </c>
      <c r="G26" s="1924">
        <v>74</v>
      </c>
      <c r="H26" s="1924">
        <v>84</v>
      </c>
      <c r="I26" s="1924">
        <v>64</v>
      </c>
      <c r="J26" s="1924">
        <v>68</v>
      </c>
      <c r="K26" s="1924">
        <v>66</v>
      </c>
      <c r="L26" s="1924">
        <v>71</v>
      </c>
      <c r="M26" s="1924">
        <v>66</v>
      </c>
      <c r="N26" s="1924">
        <v>86</v>
      </c>
      <c r="O26" s="1924">
        <v>52</v>
      </c>
      <c r="P26" s="1924">
        <v>80</v>
      </c>
      <c r="Q26" s="1924">
        <v>54</v>
      </c>
      <c r="R26" s="1936">
        <v>48</v>
      </c>
    </row>
    <row r="27" spans="1:18" ht="15" customHeight="1" x14ac:dyDescent="0.2">
      <c r="A27" s="5847"/>
      <c r="B27" s="1925" t="s">
        <v>11</v>
      </c>
      <c r="C27" s="1926">
        <v>94</v>
      </c>
      <c r="D27" s="1926">
        <v>88</v>
      </c>
      <c r="E27" s="1926">
        <v>103</v>
      </c>
      <c r="F27" s="1926">
        <v>89</v>
      </c>
      <c r="G27" s="1926">
        <v>79</v>
      </c>
      <c r="H27" s="1926">
        <v>107</v>
      </c>
      <c r="I27" s="1926">
        <v>99</v>
      </c>
      <c r="J27" s="1926">
        <v>87</v>
      </c>
      <c r="K27" s="1926">
        <v>99</v>
      </c>
      <c r="L27" s="1926">
        <v>109</v>
      </c>
      <c r="M27" s="1926">
        <v>123</v>
      </c>
      <c r="N27" s="1926">
        <v>110</v>
      </c>
      <c r="O27" s="1926">
        <v>123</v>
      </c>
      <c r="P27" s="1926">
        <v>112</v>
      </c>
      <c r="Q27" s="1926">
        <v>77</v>
      </c>
      <c r="R27" s="1938">
        <v>62</v>
      </c>
    </row>
    <row r="28" spans="1:18" ht="15" customHeight="1" x14ac:dyDescent="0.2">
      <c r="A28" s="5847"/>
      <c r="B28" s="1925" t="s">
        <v>7</v>
      </c>
      <c r="C28" s="1926">
        <v>37</v>
      </c>
      <c r="D28" s="1926">
        <v>32</v>
      </c>
      <c r="E28" s="1926">
        <v>52</v>
      </c>
      <c r="F28" s="1926">
        <v>55</v>
      </c>
      <c r="G28" s="1926">
        <v>24</v>
      </c>
      <c r="H28" s="1926">
        <v>51</v>
      </c>
      <c r="I28" s="1926">
        <v>44</v>
      </c>
      <c r="J28" s="1926">
        <v>49</v>
      </c>
      <c r="K28" s="1926">
        <v>63</v>
      </c>
      <c r="L28" s="1926">
        <v>46</v>
      </c>
      <c r="M28" s="1926">
        <v>48</v>
      </c>
      <c r="N28" s="1926">
        <v>42</v>
      </c>
      <c r="O28" s="1926">
        <v>34</v>
      </c>
      <c r="P28" s="1926">
        <v>27</v>
      </c>
      <c r="Q28" s="1926">
        <v>21</v>
      </c>
      <c r="R28" s="1938">
        <v>30</v>
      </c>
    </row>
    <row r="29" spans="1:18" ht="15" x14ac:dyDescent="0.2">
      <c r="A29" s="5848"/>
      <c r="B29" s="1927" t="s">
        <v>12</v>
      </c>
      <c r="C29" s="1928">
        <f t="shared" ref="C29:O29" si="7">SUM(C26:C28)</f>
        <v>201</v>
      </c>
      <c r="D29" s="1928">
        <f t="shared" si="7"/>
        <v>205</v>
      </c>
      <c r="E29" s="1928">
        <f t="shared" si="7"/>
        <v>240</v>
      </c>
      <c r="F29" s="1928">
        <f t="shared" si="7"/>
        <v>214</v>
      </c>
      <c r="G29" s="1928">
        <f t="shared" si="7"/>
        <v>177</v>
      </c>
      <c r="H29" s="1928">
        <f t="shared" si="7"/>
        <v>242</v>
      </c>
      <c r="I29" s="1928">
        <f t="shared" si="7"/>
        <v>207</v>
      </c>
      <c r="J29" s="1928">
        <f t="shared" si="7"/>
        <v>204</v>
      </c>
      <c r="K29" s="1928">
        <f t="shared" si="7"/>
        <v>228</v>
      </c>
      <c r="L29" s="1928">
        <f t="shared" si="7"/>
        <v>226</v>
      </c>
      <c r="M29" s="1928">
        <f t="shared" si="7"/>
        <v>237</v>
      </c>
      <c r="N29" s="1928">
        <f t="shared" si="7"/>
        <v>238</v>
      </c>
      <c r="O29" s="1928">
        <f t="shared" si="7"/>
        <v>209</v>
      </c>
      <c r="P29" s="1928">
        <f>SUM(P26:P28)</f>
        <v>219</v>
      </c>
      <c r="Q29" s="1928">
        <f>SUM(Q26:Q28)</f>
        <v>152</v>
      </c>
      <c r="R29" s="1942">
        <f t="shared" ref="R29" si="8">SUM(R26:R28)</f>
        <v>140</v>
      </c>
    </row>
    <row r="30" spans="1:18" ht="15" x14ac:dyDescent="0.25">
      <c r="A30" s="250"/>
      <c r="B30" s="1933"/>
      <c r="C30" s="1934"/>
      <c r="D30" s="1934"/>
      <c r="E30" s="1934"/>
      <c r="F30" s="1934"/>
      <c r="G30" s="1934"/>
      <c r="H30" s="1934"/>
      <c r="I30" s="1934"/>
      <c r="J30" s="1934"/>
      <c r="K30" s="1934"/>
      <c r="L30" s="1934"/>
      <c r="M30" s="1934"/>
      <c r="N30" s="1934"/>
      <c r="O30" s="1934"/>
      <c r="P30" s="1934"/>
      <c r="Q30" s="1934"/>
      <c r="R30" s="1947"/>
    </row>
    <row r="31" spans="1:18" ht="15" customHeight="1" x14ac:dyDescent="0.2">
      <c r="A31" s="5828" t="s">
        <v>60</v>
      </c>
      <c r="B31" s="1935" t="s">
        <v>5</v>
      </c>
      <c r="C31" s="1936">
        <f t="shared" ref="C31:I31" si="9">SUM(C6,C16)</f>
        <v>342</v>
      </c>
      <c r="D31" s="1936">
        <f t="shared" si="9"/>
        <v>334</v>
      </c>
      <c r="E31" s="1936">
        <f t="shared" si="9"/>
        <v>278</v>
      </c>
      <c r="F31" s="1936">
        <f t="shared" si="9"/>
        <v>249</v>
      </c>
      <c r="G31" s="1936">
        <f t="shared" si="9"/>
        <v>281</v>
      </c>
      <c r="H31" s="1936">
        <f t="shared" si="9"/>
        <v>276</v>
      </c>
      <c r="I31" s="1936">
        <f t="shared" si="9"/>
        <v>274</v>
      </c>
      <c r="J31" s="1936">
        <f>SUM(J6,J16)</f>
        <v>286</v>
      </c>
      <c r="K31" s="1936">
        <f>SUM(K6,K16)</f>
        <v>236</v>
      </c>
      <c r="L31" s="1936">
        <f t="shared" ref="L31:R31" si="10">SUM(L6,L16,L21)</f>
        <v>244</v>
      </c>
      <c r="M31" s="1936">
        <f t="shared" si="10"/>
        <v>243</v>
      </c>
      <c r="N31" s="1936">
        <f t="shared" si="10"/>
        <v>236</v>
      </c>
      <c r="O31" s="1936">
        <f t="shared" si="10"/>
        <v>198</v>
      </c>
      <c r="P31" s="1936">
        <f t="shared" si="10"/>
        <v>273</v>
      </c>
      <c r="Q31" s="1936">
        <f t="shared" si="10"/>
        <v>182</v>
      </c>
      <c r="R31" s="1936">
        <f t="shared" si="10"/>
        <v>159</v>
      </c>
    </row>
    <row r="32" spans="1:18" ht="15" x14ac:dyDescent="0.2">
      <c r="A32" s="5829"/>
      <c r="B32" s="1937" t="s">
        <v>6</v>
      </c>
      <c r="C32" s="1938">
        <f t="shared" ref="C32:I32" si="11">SUM(C7,C11,C17,C26)</f>
        <v>205</v>
      </c>
      <c r="D32" s="1938">
        <f t="shared" si="11"/>
        <v>243</v>
      </c>
      <c r="E32" s="1938">
        <f t="shared" si="11"/>
        <v>220</v>
      </c>
      <c r="F32" s="1938">
        <f t="shared" si="11"/>
        <v>179</v>
      </c>
      <c r="G32" s="1938">
        <f t="shared" si="11"/>
        <v>191</v>
      </c>
      <c r="H32" s="1938">
        <f t="shared" si="11"/>
        <v>228</v>
      </c>
      <c r="I32" s="1938">
        <f t="shared" si="11"/>
        <v>208</v>
      </c>
      <c r="J32" s="1938">
        <f>SUM(J7,J11,J17,J26)</f>
        <v>207</v>
      </c>
      <c r="K32" s="1938">
        <f>SUM(K7,K11,K17,K26)</f>
        <v>177</v>
      </c>
      <c r="L32" s="1938">
        <f t="shared" ref="L32:R32" si="12">SUM(L7,L11,L17,L22,L26)</f>
        <v>193</v>
      </c>
      <c r="M32" s="1938">
        <f t="shared" si="12"/>
        <v>210</v>
      </c>
      <c r="N32" s="1938">
        <f t="shared" si="12"/>
        <v>233</v>
      </c>
      <c r="O32" s="1938">
        <f t="shared" si="12"/>
        <v>166</v>
      </c>
      <c r="P32" s="1938">
        <f t="shared" si="12"/>
        <v>250</v>
      </c>
      <c r="Q32" s="1938">
        <f t="shared" si="12"/>
        <v>196</v>
      </c>
      <c r="R32" s="1938">
        <f t="shared" si="12"/>
        <v>175</v>
      </c>
    </row>
    <row r="33" spans="1:18" ht="15" x14ac:dyDescent="0.2">
      <c r="A33" s="5829"/>
      <c r="B33" s="1937" t="s">
        <v>11</v>
      </c>
      <c r="C33" s="1938">
        <f t="shared" ref="C33:I33" si="13">SUM(C18,C27)</f>
        <v>192</v>
      </c>
      <c r="D33" s="1938">
        <f t="shared" si="13"/>
        <v>178</v>
      </c>
      <c r="E33" s="1938">
        <f t="shared" si="13"/>
        <v>193</v>
      </c>
      <c r="F33" s="1938">
        <f t="shared" si="13"/>
        <v>155</v>
      </c>
      <c r="G33" s="1938">
        <f t="shared" si="13"/>
        <v>138</v>
      </c>
      <c r="H33" s="1938">
        <f t="shared" si="13"/>
        <v>187</v>
      </c>
      <c r="I33" s="1938">
        <f t="shared" si="13"/>
        <v>170</v>
      </c>
      <c r="J33" s="1938">
        <f>SUM(J18,J27)</f>
        <v>146</v>
      </c>
      <c r="K33" s="1938">
        <f>SUM(K18,K27)</f>
        <v>159</v>
      </c>
      <c r="L33" s="1938">
        <f t="shared" ref="L33:R33" si="14">SUM(L18,L23,L27)</f>
        <v>176</v>
      </c>
      <c r="M33" s="1938">
        <f t="shared" si="14"/>
        <v>184</v>
      </c>
      <c r="N33" s="1938">
        <f t="shared" si="14"/>
        <v>176</v>
      </c>
      <c r="O33" s="1938">
        <f t="shared" si="14"/>
        <v>167</v>
      </c>
      <c r="P33" s="1938">
        <f t="shared" si="14"/>
        <v>154</v>
      </c>
      <c r="Q33" s="1938">
        <f t="shared" si="14"/>
        <v>121</v>
      </c>
      <c r="R33" s="1938">
        <f t="shared" si="14"/>
        <v>112</v>
      </c>
    </row>
    <row r="34" spans="1:18" ht="15" x14ac:dyDescent="0.2">
      <c r="A34" s="5829"/>
      <c r="B34" s="1937" t="s">
        <v>7</v>
      </c>
      <c r="C34" s="1938">
        <f t="shared" ref="C34:I34" si="15">SUM(C8,C28)</f>
        <v>78</v>
      </c>
      <c r="D34" s="1938">
        <f t="shared" si="15"/>
        <v>87</v>
      </c>
      <c r="E34" s="1938">
        <f t="shared" si="15"/>
        <v>102</v>
      </c>
      <c r="F34" s="1938">
        <f t="shared" si="15"/>
        <v>81</v>
      </c>
      <c r="G34" s="1938">
        <f t="shared" si="15"/>
        <v>48</v>
      </c>
      <c r="H34" s="1938">
        <f t="shared" si="15"/>
        <v>76</v>
      </c>
      <c r="I34" s="1938">
        <f t="shared" si="15"/>
        <v>75</v>
      </c>
      <c r="J34" s="1938">
        <f t="shared" ref="J34:O34" si="16">SUM(J8,J28)</f>
        <v>76</v>
      </c>
      <c r="K34" s="1938">
        <f t="shared" si="16"/>
        <v>91</v>
      </c>
      <c r="L34" s="1938">
        <f t="shared" si="16"/>
        <v>71</v>
      </c>
      <c r="M34" s="1938">
        <f t="shared" si="16"/>
        <v>80</v>
      </c>
      <c r="N34" s="1938">
        <f t="shared" si="16"/>
        <v>67</v>
      </c>
      <c r="O34" s="1938">
        <f t="shared" si="16"/>
        <v>58</v>
      </c>
      <c r="P34" s="1938">
        <f>SUM(P8,P28)</f>
        <v>63</v>
      </c>
      <c r="Q34" s="1938">
        <f>SUM(Q8,Q28)</f>
        <v>51</v>
      </c>
      <c r="R34" s="1938">
        <f t="shared" ref="R34" si="17">SUM(R8,R28)</f>
        <v>53</v>
      </c>
    </row>
    <row r="35" spans="1:18" ht="15" x14ac:dyDescent="0.2">
      <c r="A35" s="5829"/>
      <c r="B35" s="1937" t="s">
        <v>9</v>
      </c>
      <c r="C35" s="1938"/>
      <c r="D35" s="1938"/>
      <c r="E35" s="1938"/>
      <c r="F35" s="1938"/>
      <c r="G35" s="1938"/>
      <c r="H35" s="1938">
        <f>SUM(H12)</f>
        <v>2</v>
      </c>
      <c r="I35" s="1938">
        <f>SUM(I12)</f>
        <v>6</v>
      </c>
      <c r="J35" s="1938">
        <f t="shared" ref="J35:L36" si="18">SUM(J12)</f>
        <v>5</v>
      </c>
      <c r="K35" s="1938">
        <f t="shared" si="18"/>
        <v>4</v>
      </c>
      <c r="L35" s="1938">
        <f t="shared" si="18"/>
        <v>4</v>
      </c>
      <c r="M35" s="1938">
        <f t="shared" ref="M35:O36" si="19">M12</f>
        <v>9</v>
      </c>
      <c r="N35" s="1938">
        <f t="shared" si="19"/>
        <v>9</v>
      </c>
      <c r="O35" s="1938">
        <f t="shared" si="19"/>
        <v>5</v>
      </c>
      <c r="P35" s="1938">
        <f t="shared" ref="P35:R36" si="20">P12</f>
        <v>5</v>
      </c>
      <c r="Q35" s="1938">
        <f t="shared" si="20"/>
        <v>12</v>
      </c>
      <c r="R35" s="1938">
        <f t="shared" si="20"/>
        <v>12</v>
      </c>
    </row>
    <row r="36" spans="1:18" ht="15" x14ac:dyDescent="0.2">
      <c r="A36" s="5829"/>
      <c r="B36" s="1939" t="s">
        <v>74</v>
      </c>
      <c r="C36" s="1940"/>
      <c r="D36" s="1940"/>
      <c r="E36" s="1940"/>
      <c r="F36" s="1940"/>
      <c r="G36" s="1940"/>
      <c r="H36" s="1940">
        <f>SUM(H13)</f>
        <v>0</v>
      </c>
      <c r="I36" s="1940">
        <f>SUM(I13)</f>
        <v>2</v>
      </c>
      <c r="J36" s="1940">
        <f t="shared" si="18"/>
        <v>8</v>
      </c>
      <c r="K36" s="1940">
        <f t="shared" si="18"/>
        <v>6</v>
      </c>
      <c r="L36" s="1940">
        <f t="shared" si="18"/>
        <v>5</v>
      </c>
      <c r="M36" s="1940">
        <f t="shared" si="19"/>
        <v>6</v>
      </c>
      <c r="N36" s="1940">
        <f t="shared" si="19"/>
        <v>14</v>
      </c>
      <c r="O36" s="1940">
        <f t="shared" si="19"/>
        <v>8</v>
      </c>
      <c r="P36" s="1940">
        <f t="shared" si="20"/>
        <v>20</v>
      </c>
      <c r="Q36" s="1940">
        <f t="shared" si="20"/>
        <v>15</v>
      </c>
      <c r="R36" s="1940">
        <f t="shared" si="20"/>
        <v>19</v>
      </c>
    </row>
    <row r="37" spans="1:18" ht="15" x14ac:dyDescent="0.2">
      <c r="A37" s="5830"/>
      <c r="B37" s="1927" t="s">
        <v>12</v>
      </c>
      <c r="C37" s="1928">
        <f t="shared" ref="C37:I37" si="21">SUM(C31:C36)</f>
        <v>817</v>
      </c>
      <c r="D37" s="1928">
        <f t="shared" si="21"/>
        <v>842</v>
      </c>
      <c r="E37" s="1928">
        <f t="shared" si="21"/>
        <v>793</v>
      </c>
      <c r="F37" s="1928">
        <f t="shared" si="21"/>
        <v>664</v>
      </c>
      <c r="G37" s="1928">
        <f t="shared" si="21"/>
        <v>658</v>
      </c>
      <c r="H37" s="1928">
        <f t="shared" si="21"/>
        <v>769</v>
      </c>
      <c r="I37" s="1928">
        <f t="shared" si="21"/>
        <v>735</v>
      </c>
      <c r="J37" s="1928">
        <f>SUM(J31:J36)</f>
        <v>728</v>
      </c>
      <c r="K37" s="1928">
        <v>673</v>
      </c>
      <c r="L37" s="1928">
        <f t="shared" ref="L37:Q37" si="22">SUM(L31:L36)</f>
        <v>693</v>
      </c>
      <c r="M37" s="1928">
        <f t="shared" si="22"/>
        <v>732</v>
      </c>
      <c r="N37" s="1928">
        <f t="shared" si="22"/>
        <v>735</v>
      </c>
      <c r="O37" s="1928">
        <f t="shared" si="22"/>
        <v>602</v>
      </c>
      <c r="P37" s="1928">
        <f t="shared" si="22"/>
        <v>765</v>
      </c>
      <c r="Q37" s="1928">
        <f t="shared" si="22"/>
        <v>577</v>
      </c>
      <c r="R37" s="1942">
        <f>SUM(R31:R36)</f>
        <v>530</v>
      </c>
    </row>
    <row r="38" spans="1:18" ht="15" x14ac:dyDescent="0.25">
      <c r="B38" s="251"/>
      <c r="C38" s="251"/>
      <c r="D38" s="251"/>
      <c r="E38" s="251"/>
      <c r="F38" s="251"/>
      <c r="G38" s="251"/>
      <c r="H38" s="251"/>
      <c r="I38" s="250"/>
      <c r="J38" s="250"/>
    </row>
    <row r="39" spans="1:18" x14ac:dyDescent="0.2">
      <c r="A39" s="322" t="s">
        <v>333</v>
      </c>
    </row>
  </sheetData>
  <sheetProtection algorithmName="SHA-512" hashValue="YFh+qatPSPhVeeyvAffgpKjvqZsm/d6nTYAUhoxxYAmSHnA+FK8rLP327YYOyK+uL4RCkluRyrXPNNeVniK1bg==" saltValue="OpcFaJ488vB5A6B04dqeHg==" spinCount="100000" sheet="1" objects="1" scenarios="1"/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6" orientation="landscape" horizontalDpi="1200" verticalDpi="1200" r:id="rId1"/>
  <rowBreaks count="1" manualBreakCount="1">
    <brk id="39" max="16" man="1"/>
  </rowBreaks>
  <ignoredErrors>
    <ignoredError sqref="P9" formula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L79"/>
  <sheetViews>
    <sheetView showGridLines="0" topLeftCell="A52" zoomScaleNormal="100" zoomScaleSheetLayoutView="90" workbookViewId="0">
      <selection activeCell="O6" sqref="O6"/>
    </sheetView>
  </sheetViews>
  <sheetFormatPr baseColWidth="10" defaultRowHeight="12.75" x14ac:dyDescent="0.2"/>
  <cols>
    <col min="1" max="1" width="1.7109375" customWidth="1"/>
    <col min="2" max="2" width="17.42578125" customWidth="1"/>
    <col min="3" max="3" width="10.7109375" customWidth="1"/>
    <col min="4" max="4" width="36.7109375" bestFit="1" customWidth="1"/>
    <col min="5" max="11" width="9.7109375" customWidth="1"/>
    <col min="12" max="12" width="10" customWidth="1"/>
    <col min="255" max="255" width="1.7109375" customWidth="1"/>
    <col min="256" max="256" width="17.85546875" bestFit="1" customWidth="1"/>
    <col min="257" max="257" width="5.7109375" bestFit="1" customWidth="1"/>
    <col min="258" max="258" width="6.140625" bestFit="1" customWidth="1"/>
    <col min="259" max="259" width="36.7109375" bestFit="1" customWidth="1"/>
    <col min="260" max="266" width="9.7109375" customWidth="1"/>
    <col min="267" max="267" width="2.85546875" customWidth="1"/>
    <col min="511" max="511" width="1.7109375" customWidth="1"/>
    <col min="512" max="512" width="17.85546875" bestFit="1" customWidth="1"/>
    <col min="513" max="513" width="5.7109375" bestFit="1" customWidth="1"/>
    <col min="514" max="514" width="6.140625" bestFit="1" customWidth="1"/>
    <col min="515" max="515" width="36.7109375" bestFit="1" customWidth="1"/>
    <col min="516" max="522" width="9.7109375" customWidth="1"/>
    <col min="523" max="523" width="2.85546875" customWidth="1"/>
    <col min="767" max="767" width="1.7109375" customWidth="1"/>
    <col min="768" max="768" width="17.85546875" bestFit="1" customWidth="1"/>
    <col min="769" max="769" width="5.7109375" bestFit="1" customWidth="1"/>
    <col min="770" max="770" width="6.140625" bestFit="1" customWidth="1"/>
    <col min="771" max="771" width="36.7109375" bestFit="1" customWidth="1"/>
    <col min="772" max="778" width="9.7109375" customWidth="1"/>
    <col min="779" max="779" width="2.85546875" customWidth="1"/>
    <col min="1023" max="1023" width="1.7109375" customWidth="1"/>
    <col min="1024" max="1024" width="17.85546875" bestFit="1" customWidth="1"/>
    <col min="1025" max="1025" width="5.7109375" bestFit="1" customWidth="1"/>
    <col min="1026" max="1026" width="6.140625" bestFit="1" customWidth="1"/>
    <col min="1027" max="1027" width="36.7109375" bestFit="1" customWidth="1"/>
    <col min="1028" max="1034" width="9.7109375" customWidth="1"/>
    <col min="1035" max="1035" width="2.85546875" customWidth="1"/>
    <col min="1279" max="1279" width="1.7109375" customWidth="1"/>
    <col min="1280" max="1280" width="17.85546875" bestFit="1" customWidth="1"/>
    <col min="1281" max="1281" width="5.7109375" bestFit="1" customWidth="1"/>
    <col min="1282" max="1282" width="6.140625" bestFit="1" customWidth="1"/>
    <col min="1283" max="1283" width="36.7109375" bestFit="1" customWidth="1"/>
    <col min="1284" max="1290" width="9.7109375" customWidth="1"/>
    <col min="1291" max="1291" width="2.85546875" customWidth="1"/>
    <col min="1535" max="1535" width="1.7109375" customWidth="1"/>
    <col min="1536" max="1536" width="17.85546875" bestFit="1" customWidth="1"/>
    <col min="1537" max="1537" width="5.7109375" bestFit="1" customWidth="1"/>
    <col min="1538" max="1538" width="6.140625" bestFit="1" customWidth="1"/>
    <col min="1539" max="1539" width="36.7109375" bestFit="1" customWidth="1"/>
    <col min="1540" max="1546" width="9.7109375" customWidth="1"/>
    <col min="1547" max="1547" width="2.85546875" customWidth="1"/>
    <col min="1791" max="1791" width="1.7109375" customWidth="1"/>
    <col min="1792" max="1792" width="17.85546875" bestFit="1" customWidth="1"/>
    <col min="1793" max="1793" width="5.7109375" bestFit="1" customWidth="1"/>
    <col min="1794" max="1794" width="6.140625" bestFit="1" customWidth="1"/>
    <col min="1795" max="1795" width="36.7109375" bestFit="1" customWidth="1"/>
    <col min="1796" max="1802" width="9.7109375" customWidth="1"/>
    <col min="1803" max="1803" width="2.85546875" customWidth="1"/>
    <col min="2047" max="2047" width="1.7109375" customWidth="1"/>
    <col min="2048" max="2048" width="17.85546875" bestFit="1" customWidth="1"/>
    <col min="2049" max="2049" width="5.7109375" bestFit="1" customWidth="1"/>
    <col min="2050" max="2050" width="6.140625" bestFit="1" customWidth="1"/>
    <col min="2051" max="2051" width="36.7109375" bestFit="1" customWidth="1"/>
    <col min="2052" max="2058" width="9.7109375" customWidth="1"/>
    <col min="2059" max="2059" width="2.85546875" customWidth="1"/>
    <col min="2303" max="2303" width="1.7109375" customWidth="1"/>
    <col min="2304" max="2304" width="17.85546875" bestFit="1" customWidth="1"/>
    <col min="2305" max="2305" width="5.7109375" bestFit="1" customWidth="1"/>
    <col min="2306" max="2306" width="6.140625" bestFit="1" customWidth="1"/>
    <col min="2307" max="2307" width="36.7109375" bestFit="1" customWidth="1"/>
    <col min="2308" max="2314" width="9.7109375" customWidth="1"/>
    <col min="2315" max="2315" width="2.85546875" customWidth="1"/>
    <col min="2559" max="2559" width="1.7109375" customWidth="1"/>
    <col min="2560" max="2560" width="17.85546875" bestFit="1" customWidth="1"/>
    <col min="2561" max="2561" width="5.7109375" bestFit="1" customWidth="1"/>
    <col min="2562" max="2562" width="6.140625" bestFit="1" customWidth="1"/>
    <col min="2563" max="2563" width="36.7109375" bestFit="1" customWidth="1"/>
    <col min="2564" max="2570" width="9.7109375" customWidth="1"/>
    <col min="2571" max="2571" width="2.85546875" customWidth="1"/>
    <col min="2815" max="2815" width="1.7109375" customWidth="1"/>
    <col min="2816" max="2816" width="17.85546875" bestFit="1" customWidth="1"/>
    <col min="2817" max="2817" width="5.7109375" bestFit="1" customWidth="1"/>
    <col min="2818" max="2818" width="6.140625" bestFit="1" customWidth="1"/>
    <col min="2819" max="2819" width="36.7109375" bestFit="1" customWidth="1"/>
    <col min="2820" max="2826" width="9.7109375" customWidth="1"/>
    <col min="2827" max="2827" width="2.85546875" customWidth="1"/>
    <col min="3071" max="3071" width="1.7109375" customWidth="1"/>
    <col min="3072" max="3072" width="17.85546875" bestFit="1" customWidth="1"/>
    <col min="3073" max="3073" width="5.7109375" bestFit="1" customWidth="1"/>
    <col min="3074" max="3074" width="6.140625" bestFit="1" customWidth="1"/>
    <col min="3075" max="3075" width="36.7109375" bestFit="1" customWidth="1"/>
    <col min="3076" max="3082" width="9.7109375" customWidth="1"/>
    <col min="3083" max="3083" width="2.85546875" customWidth="1"/>
    <col min="3327" max="3327" width="1.7109375" customWidth="1"/>
    <col min="3328" max="3328" width="17.85546875" bestFit="1" customWidth="1"/>
    <col min="3329" max="3329" width="5.7109375" bestFit="1" customWidth="1"/>
    <col min="3330" max="3330" width="6.140625" bestFit="1" customWidth="1"/>
    <col min="3331" max="3331" width="36.7109375" bestFit="1" customWidth="1"/>
    <col min="3332" max="3338" width="9.7109375" customWidth="1"/>
    <col min="3339" max="3339" width="2.85546875" customWidth="1"/>
    <col min="3583" max="3583" width="1.7109375" customWidth="1"/>
    <col min="3584" max="3584" width="17.85546875" bestFit="1" customWidth="1"/>
    <col min="3585" max="3585" width="5.7109375" bestFit="1" customWidth="1"/>
    <col min="3586" max="3586" width="6.140625" bestFit="1" customWidth="1"/>
    <col min="3587" max="3587" width="36.7109375" bestFit="1" customWidth="1"/>
    <col min="3588" max="3594" width="9.7109375" customWidth="1"/>
    <col min="3595" max="3595" width="2.85546875" customWidth="1"/>
    <col min="3839" max="3839" width="1.7109375" customWidth="1"/>
    <col min="3840" max="3840" width="17.85546875" bestFit="1" customWidth="1"/>
    <col min="3841" max="3841" width="5.7109375" bestFit="1" customWidth="1"/>
    <col min="3842" max="3842" width="6.140625" bestFit="1" customWidth="1"/>
    <col min="3843" max="3843" width="36.7109375" bestFit="1" customWidth="1"/>
    <col min="3844" max="3850" width="9.7109375" customWidth="1"/>
    <col min="3851" max="3851" width="2.85546875" customWidth="1"/>
    <col min="4095" max="4095" width="1.7109375" customWidth="1"/>
    <col min="4096" max="4096" width="17.85546875" bestFit="1" customWidth="1"/>
    <col min="4097" max="4097" width="5.7109375" bestFit="1" customWidth="1"/>
    <col min="4098" max="4098" width="6.140625" bestFit="1" customWidth="1"/>
    <col min="4099" max="4099" width="36.7109375" bestFit="1" customWidth="1"/>
    <col min="4100" max="4106" width="9.7109375" customWidth="1"/>
    <col min="4107" max="4107" width="2.85546875" customWidth="1"/>
    <col min="4351" max="4351" width="1.7109375" customWidth="1"/>
    <col min="4352" max="4352" width="17.85546875" bestFit="1" customWidth="1"/>
    <col min="4353" max="4353" width="5.7109375" bestFit="1" customWidth="1"/>
    <col min="4354" max="4354" width="6.140625" bestFit="1" customWidth="1"/>
    <col min="4355" max="4355" width="36.7109375" bestFit="1" customWidth="1"/>
    <col min="4356" max="4362" width="9.7109375" customWidth="1"/>
    <col min="4363" max="4363" width="2.85546875" customWidth="1"/>
    <col min="4607" max="4607" width="1.7109375" customWidth="1"/>
    <col min="4608" max="4608" width="17.85546875" bestFit="1" customWidth="1"/>
    <col min="4609" max="4609" width="5.7109375" bestFit="1" customWidth="1"/>
    <col min="4610" max="4610" width="6.140625" bestFit="1" customWidth="1"/>
    <col min="4611" max="4611" width="36.7109375" bestFit="1" customWidth="1"/>
    <col min="4612" max="4618" width="9.7109375" customWidth="1"/>
    <col min="4619" max="4619" width="2.85546875" customWidth="1"/>
    <col min="4863" max="4863" width="1.7109375" customWidth="1"/>
    <col min="4864" max="4864" width="17.85546875" bestFit="1" customWidth="1"/>
    <col min="4865" max="4865" width="5.7109375" bestFit="1" customWidth="1"/>
    <col min="4866" max="4866" width="6.140625" bestFit="1" customWidth="1"/>
    <col min="4867" max="4867" width="36.7109375" bestFit="1" customWidth="1"/>
    <col min="4868" max="4874" width="9.7109375" customWidth="1"/>
    <col min="4875" max="4875" width="2.85546875" customWidth="1"/>
    <col min="5119" max="5119" width="1.7109375" customWidth="1"/>
    <col min="5120" max="5120" width="17.85546875" bestFit="1" customWidth="1"/>
    <col min="5121" max="5121" width="5.7109375" bestFit="1" customWidth="1"/>
    <col min="5122" max="5122" width="6.140625" bestFit="1" customWidth="1"/>
    <col min="5123" max="5123" width="36.7109375" bestFit="1" customWidth="1"/>
    <col min="5124" max="5130" width="9.7109375" customWidth="1"/>
    <col min="5131" max="5131" width="2.85546875" customWidth="1"/>
    <col min="5375" max="5375" width="1.7109375" customWidth="1"/>
    <col min="5376" max="5376" width="17.85546875" bestFit="1" customWidth="1"/>
    <col min="5377" max="5377" width="5.7109375" bestFit="1" customWidth="1"/>
    <col min="5378" max="5378" width="6.140625" bestFit="1" customWidth="1"/>
    <col min="5379" max="5379" width="36.7109375" bestFit="1" customWidth="1"/>
    <col min="5380" max="5386" width="9.7109375" customWidth="1"/>
    <col min="5387" max="5387" width="2.85546875" customWidth="1"/>
    <col min="5631" max="5631" width="1.7109375" customWidth="1"/>
    <col min="5632" max="5632" width="17.85546875" bestFit="1" customWidth="1"/>
    <col min="5633" max="5633" width="5.7109375" bestFit="1" customWidth="1"/>
    <col min="5634" max="5634" width="6.140625" bestFit="1" customWidth="1"/>
    <col min="5635" max="5635" width="36.7109375" bestFit="1" customWidth="1"/>
    <col min="5636" max="5642" width="9.7109375" customWidth="1"/>
    <col min="5643" max="5643" width="2.85546875" customWidth="1"/>
    <col min="5887" max="5887" width="1.7109375" customWidth="1"/>
    <col min="5888" max="5888" width="17.85546875" bestFit="1" customWidth="1"/>
    <col min="5889" max="5889" width="5.7109375" bestFit="1" customWidth="1"/>
    <col min="5890" max="5890" width="6.140625" bestFit="1" customWidth="1"/>
    <col min="5891" max="5891" width="36.7109375" bestFit="1" customWidth="1"/>
    <col min="5892" max="5898" width="9.7109375" customWidth="1"/>
    <col min="5899" max="5899" width="2.85546875" customWidth="1"/>
    <col min="6143" max="6143" width="1.7109375" customWidth="1"/>
    <col min="6144" max="6144" width="17.85546875" bestFit="1" customWidth="1"/>
    <col min="6145" max="6145" width="5.7109375" bestFit="1" customWidth="1"/>
    <col min="6146" max="6146" width="6.140625" bestFit="1" customWidth="1"/>
    <col min="6147" max="6147" width="36.7109375" bestFit="1" customWidth="1"/>
    <col min="6148" max="6154" width="9.7109375" customWidth="1"/>
    <col min="6155" max="6155" width="2.85546875" customWidth="1"/>
    <col min="6399" max="6399" width="1.7109375" customWidth="1"/>
    <col min="6400" max="6400" width="17.85546875" bestFit="1" customWidth="1"/>
    <col min="6401" max="6401" width="5.7109375" bestFit="1" customWidth="1"/>
    <col min="6402" max="6402" width="6.140625" bestFit="1" customWidth="1"/>
    <col min="6403" max="6403" width="36.7109375" bestFit="1" customWidth="1"/>
    <col min="6404" max="6410" width="9.7109375" customWidth="1"/>
    <col min="6411" max="6411" width="2.85546875" customWidth="1"/>
    <col min="6655" max="6655" width="1.7109375" customWidth="1"/>
    <col min="6656" max="6656" width="17.85546875" bestFit="1" customWidth="1"/>
    <col min="6657" max="6657" width="5.7109375" bestFit="1" customWidth="1"/>
    <col min="6658" max="6658" width="6.140625" bestFit="1" customWidth="1"/>
    <col min="6659" max="6659" width="36.7109375" bestFit="1" customWidth="1"/>
    <col min="6660" max="6666" width="9.7109375" customWidth="1"/>
    <col min="6667" max="6667" width="2.85546875" customWidth="1"/>
    <col min="6911" max="6911" width="1.7109375" customWidth="1"/>
    <col min="6912" max="6912" width="17.85546875" bestFit="1" customWidth="1"/>
    <col min="6913" max="6913" width="5.7109375" bestFit="1" customWidth="1"/>
    <col min="6914" max="6914" width="6.140625" bestFit="1" customWidth="1"/>
    <col min="6915" max="6915" width="36.7109375" bestFit="1" customWidth="1"/>
    <col min="6916" max="6922" width="9.7109375" customWidth="1"/>
    <col min="6923" max="6923" width="2.85546875" customWidth="1"/>
    <col min="7167" max="7167" width="1.7109375" customWidth="1"/>
    <col min="7168" max="7168" width="17.85546875" bestFit="1" customWidth="1"/>
    <col min="7169" max="7169" width="5.7109375" bestFit="1" customWidth="1"/>
    <col min="7170" max="7170" width="6.140625" bestFit="1" customWidth="1"/>
    <col min="7171" max="7171" width="36.7109375" bestFit="1" customWidth="1"/>
    <col min="7172" max="7178" width="9.7109375" customWidth="1"/>
    <col min="7179" max="7179" width="2.85546875" customWidth="1"/>
    <col min="7423" max="7423" width="1.7109375" customWidth="1"/>
    <col min="7424" max="7424" width="17.85546875" bestFit="1" customWidth="1"/>
    <col min="7425" max="7425" width="5.7109375" bestFit="1" customWidth="1"/>
    <col min="7426" max="7426" width="6.140625" bestFit="1" customWidth="1"/>
    <col min="7427" max="7427" width="36.7109375" bestFit="1" customWidth="1"/>
    <col min="7428" max="7434" width="9.7109375" customWidth="1"/>
    <col min="7435" max="7435" width="2.85546875" customWidth="1"/>
    <col min="7679" max="7679" width="1.7109375" customWidth="1"/>
    <col min="7680" max="7680" width="17.85546875" bestFit="1" customWidth="1"/>
    <col min="7681" max="7681" width="5.7109375" bestFit="1" customWidth="1"/>
    <col min="7682" max="7682" width="6.140625" bestFit="1" customWidth="1"/>
    <col min="7683" max="7683" width="36.7109375" bestFit="1" customWidth="1"/>
    <col min="7684" max="7690" width="9.7109375" customWidth="1"/>
    <col min="7691" max="7691" width="2.85546875" customWidth="1"/>
    <col min="7935" max="7935" width="1.7109375" customWidth="1"/>
    <col min="7936" max="7936" width="17.85546875" bestFit="1" customWidth="1"/>
    <col min="7937" max="7937" width="5.7109375" bestFit="1" customWidth="1"/>
    <col min="7938" max="7938" width="6.140625" bestFit="1" customWidth="1"/>
    <col min="7939" max="7939" width="36.7109375" bestFit="1" customWidth="1"/>
    <col min="7940" max="7946" width="9.7109375" customWidth="1"/>
    <col min="7947" max="7947" width="2.85546875" customWidth="1"/>
    <col min="8191" max="8191" width="1.7109375" customWidth="1"/>
    <col min="8192" max="8192" width="17.85546875" bestFit="1" customWidth="1"/>
    <col min="8193" max="8193" width="5.7109375" bestFit="1" customWidth="1"/>
    <col min="8194" max="8194" width="6.140625" bestFit="1" customWidth="1"/>
    <col min="8195" max="8195" width="36.7109375" bestFit="1" customWidth="1"/>
    <col min="8196" max="8202" width="9.7109375" customWidth="1"/>
    <col min="8203" max="8203" width="2.85546875" customWidth="1"/>
    <col min="8447" max="8447" width="1.7109375" customWidth="1"/>
    <col min="8448" max="8448" width="17.85546875" bestFit="1" customWidth="1"/>
    <col min="8449" max="8449" width="5.7109375" bestFit="1" customWidth="1"/>
    <col min="8450" max="8450" width="6.140625" bestFit="1" customWidth="1"/>
    <col min="8451" max="8451" width="36.7109375" bestFit="1" customWidth="1"/>
    <col min="8452" max="8458" width="9.7109375" customWidth="1"/>
    <col min="8459" max="8459" width="2.85546875" customWidth="1"/>
    <col min="8703" max="8703" width="1.7109375" customWidth="1"/>
    <col min="8704" max="8704" width="17.85546875" bestFit="1" customWidth="1"/>
    <col min="8705" max="8705" width="5.7109375" bestFit="1" customWidth="1"/>
    <col min="8706" max="8706" width="6.140625" bestFit="1" customWidth="1"/>
    <col min="8707" max="8707" width="36.7109375" bestFit="1" customWidth="1"/>
    <col min="8708" max="8714" width="9.7109375" customWidth="1"/>
    <col min="8715" max="8715" width="2.85546875" customWidth="1"/>
    <col min="8959" max="8959" width="1.7109375" customWidth="1"/>
    <col min="8960" max="8960" width="17.85546875" bestFit="1" customWidth="1"/>
    <col min="8961" max="8961" width="5.7109375" bestFit="1" customWidth="1"/>
    <col min="8962" max="8962" width="6.140625" bestFit="1" customWidth="1"/>
    <col min="8963" max="8963" width="36.7109375" bestFit="1" customWidth="1"/>
    <col min="8964" max="8970" width="9.7109375" customWidth="1"/>
    <col min="8971" max="8971" width="2.85546875" customWidth="1"/>
    <col min="9215" max="9215" width="1.7109375" customWidth="1"/>
    <col min="9216" max="9216" width="17.85546875" bestFit="1" customWidth="1"/>
    <col min="9217" max="9217" width="5.7109375" bestFit="1" customWidth="1"/>
    <col min="9218" max="9218" width="6.140625" bestFit="1" customWidth="1"/>
    <col min="9219" max="9219" width="36.7109375" bestFit="1" customWidth="1"/>
    <col min="9220" max="9226" width="9.7109375" customWidth="1"/>
    <col min="9227" max="9227" width="2.85546875" customWidth="1"/>
    <col min="9471" max="9471" width="1.7109375" customWidth="1"/>
    <col min="9472" max="9472" width="17.85546875" bestFit="1" customWidth="1"/>
    <col min="9473" max="9473" width="5.7109375" bestFit="1" customWidth="1"/>
    <col min="9474" max="9474" width="6.140625" bestFit="1" customWidth="1"/>
    <col min="9475" max="9475" width="36.7109375" bestFit="1" customWidth="1"/>
    <col min="9476" max="9482" width="9.7109375" customWidth="1"/>
    <col min="9483" max="9483" width="2.85546875" customWidth="1"/>
    <col min="9727" max="9727" width="1.7109375" customWidth="1"/>
    <col min="9728" max="9728" width="17.85546875" bestFit="1" customWidth="1"/>
    <col min="9729" max="9729" width="5.7109375" bestFit="1" customWidth="1"/>
    <col min="9730" max="9730" width="6.140625" bestFit="1" customWidth="1"/>
    <col min="9731" max="9731" width="36.7109375" bestFit="1" customWidth="1"/>
    <col min="9732" max="9738" width="9.7109375" customWidth="1"/>
    <col min="9739" max="9739" width="2.85546875" customWidth="1"/>
    <col min="9983" max="9983" width="1.7109375" customWidth="1"/>
    <col min="9984" max="9984" width="17.85546875" bestFit="1" customWidth="1"/>
    <col min="9985" max="9985" width="5.7109375" bestFit="1" customWidth="1"/>
    <col min="9986" max="9986" width="6.140625" bestFit="1" customWidth="1"/>
    <col min="9987" max="9987" width="36.7109375" bestFit="1" customWidth="1"/>
    <col min="9988" max="9994" width="9.7109375" customWidth="1"/>
    <col min="9995" max="9995" width="2.85546875" customWidth="1"/>
    <col min="10239" max="10239" width="1.7109375" customWidth="1"/>
    <col min="10240" max="10240" width="17.85546875" bestFit="1" customWidth="1"/>
    <col min="10241" max="10241" width="5.7109375" bestFit="1" customWidth="1"/>
    <col min="10242" max="10242" width="6.140625" bestFit="1" customWidth="1"/>
    <col min="10243" max="10243" width="36.7109375" bestFit="1" customWidth="1"/>
    <col min="10244" max="10250" width="9.7109375" customWidth="1"/>
    <col min="10251" max="10251" width="2.85546875" customWidth="1"/>
    <col min="10495" max="10495" width="1.7109375" customWidth="1"/>
    <col min="10496" max="10496" width="17.85546875" bestFit="1" customWidth="1"/>
    <col min="10497" max="10497" width="5.7109375" bestFit="1" customWidth="1"/>
    <col min="10498" max="10498" width="6.140625" bestFit="1" customWidth="1"/>
    <col min="10499" max="10499" width="36.7109375" bestFit="1" customWidth="1"/>
    <col min="10500" max="10506" width="9.7109375" customWidth="1"/>
    <col min="10507" max="10507" width="2.85546875" customWidth="1"/>
    <col min="10751" max="10751" width="1.7109375" customWidth="1"/>
    <col min="10752" max="10752" width="17.85546875" bestFit="1" customWidth="1"/>
    <col min="10753" max="10753" width="5.7109375" bestFit="1" customWidth="1"/>
    <col min="10754" max="10754" width="6.140625" bestFit="1" customWidth="1"/>
    <col min="10755" max="10755" width="36.7109375" bestFit="1" customWidth="1"/>
    <col min="10756" max="10762" width="9.7109375" customWidth="1"/>
    <col min="10763" max="10763" width="2.85546875" customWidth="1"/>
    <col min="11007" max="11007" width="1.7109375" customWidth="1"/>
    <col min="11008" max="11008" width="17.85546875" bestFit="1" customWidth="1"/>
    <col min="11009" max="11009" width="5.7109375" bestFit="1" customWidth="1"/>
    <col min="11010" max="11010" width="6.140625" bestFit="1" customWidth="1"/>
    <col min="11011" max="11011" width="36.7109375" bestFit="1" customWidth="1"/>
    <col min="11012" max="11018" width="9.7109375" customWidth="1"/>
    <col min="11019" max="11019" width="2.85546875" customWidth="1"/>
    <col min="11263" max="11263" width="1.7109375" customWidth="1"/>
    <col min="11264" max="11264" width="17.85546875" bestFit="1" customWidth="1"/>
    <col min="11265" max="11265" width="5.7109375" bestFit="1" customWidth="1"/>
    <col min="11266" max="11266" width="6.140625" bestFit="1" customWidth="1"/>
    <col min="11267" max="11267" width="36.7109375" bestFit="1" customWidth="1"/>
    <col min="11268" max="11274" width="9.7109375" customWidth="1"/>
    <col min="11275" max="11275" width="2.85546875" customWidth="1"/>
    <col min="11519" max="11519" width="1.7109375" customWidth="1"/>
    <col min="11520" max="11520" width="17.85546875" bestFit="1" customWidth="1"/>
    <col min="11521" max="11521" width="5.7109375" bestFit="1" customWidth="1"/>
    <col min="11522" max="11522" width="6.140625" bestFit="1" customWidth="1"/>
    <col min="11523" max="11523" width="36.7109375" bestFit="1" customWidth="1"/>
    <col min="11524" max="11530" width="9.7109375" customWidth="1"/>
    <col min="11531" max="11531" width="2.85546875" customWidth="1"/>
    <col min="11775" max="11775" width="1.7109375" customWidth="1"/>
    <col min="11776" max="11776" width="17.85546875" bestFit="1" customWidth="1"/>
    <col min="11777" max="11777" width="5.7109375" bestFit="1" customWidth="1"/>
    <col min="11778" max="11778" width="6.140625" bestFit="1" customWidth="1"/>
    <col min="11779" max="11779" width="36.7109375" bestFit="1" customWidth="1"/>
    <col min="11780" max="11786" width="9.7109375" customWidth="1"/>
    <col min="11787" max="11787" width="2.85546875" customWidth="1"/>
    <col min="12031" max="12031" width="1.7109375" customWidth="1"/>
    <col min="12032" max="12032" width="17.85546875" bestFit="1" customWidth="1"/>
    <col min="12033" max="12033" width="5.7109375" bestFit="1" customWidth="1"/>
    <col min="12034" max="12034" width="6.140625" bestFit="1" customWidth="1"/>
    <col min="12035" max="12035" width="36.7109375" bestFit="1" customWidth="1"/>
    <col min="12036" max="12042" width="9.7109375" customWidth="1"/>
    <col min="12043" max="12043" width="2.85546875" customWidth="1"/>
    <col min="12287" max="12287" width="1.7109375" customWidth="1"/>
    <col min="12288" max="12288" width="17.85546875" bestFit="1" customWidth="1"/>
    <col min="12289" max="12289" width="5.7109375" bestFit="1" customWidth="1"/>
    <col min="12290" max="12290" width="6.140625" bestFit="1" customWidth="1"/>
    <col min="12291" max="12291" width="36.7109375" bestFit="1" customWidth="1"/>
    <col min="12292" max="12298" width="9.7109375" customWidth="1"/>
    <col min="12299" max="12299" width="2.85546875" customWidth="1"/>
    <col min="12543" max="12543" width="1.7109375" customWidth="1"/>
    <col min="12544" max="12544" width="17.85546875" bestFit="1" customWidth="1"/>
    <col min="12545" max="12545" width="5.7109375" bestFit="1" customWidth="1"/>
    <col min="12546" max="12546" width="6.140625" bestFit="1" customWidth="1"/>
    <col min="12547" max="12547" width="36.7109375" bestFit="1" customWidth="1"/>
    <col min="12548" max="12554" width="9.7109375" customWidth="1"/>
    <col min="12555" max="12555" width="2.85546875" customWidth="1"/>
    <col min="12799" max="12799" width="1.7109375" customWidth="1"/>
    <col min="12800" max="12800" width="17.85546875" bestFit="1" customWidth="1"/>
    <col min="12801" max="12801" width="5.7109375" bestFit="1" customWidth="1"/>
    <col min="12802" max="12802" width="6.140625" bestFit="1" customWidth="1"/>
    <col min="12803" max="12803" width="36.7109375" bestFit="1" customWidth="1"/>
    <col min="12804" max="12810" width="9.7109375" customWidth="1"/>
    <col min="12811" max="12811" width="2.85546875" customWidth="1"/>
    <col min="13055" max="13055" width="1.7109375" customWidth="1"/>
    <col min="13056" max="13056" width="17.85546875" bestFit="1" customWidth="1"/>
    <col min="13057" max="13057" width="5.7109375" bestFit="1" customWidth="1"/>
    <col min="13058" max="13058" width="6.140625" bestFit="1" customWidth="1"/>
    <col min="13059" max="13059" width="36.7109375" bestFit="1" customWidth="1"/>
    <col min="13060" max="13066" width="9.7109375" customWidth="1"/>
    <col min="13067" max="13067" width="2.85546875" customWidth="1"/>
    <col min="13311" max="13311" width="1.7109375" customWidth="1"/>
    <col min="13312" max="13312" width="17.85546875" bestFit="1" customWidth="1"/>
    <col min="13313" max="13313" width="5.7109375" bestFit="1" customWidth="1"/>
    <col min="13314" max="13314" width="6.140625" bestFit="1" customWidth="1"/>
    <col min="13315" max="13315" width="36.7109375" bestFit="1" customWidth="1"/>
    <col min="13316" max="13322" width="9.7109375" customWidth="1"/>
    <col min="13323" max="13323" width="2.85546875" customWidth="1"/>
    <col min="13567" max="13567" width="1.7109375" customWidth="1"/>
    <col min="13568" max="13568" width="17.85546875" bestFit="1" customWidth="1"/>
    <col min="13569" max="13569" width="5.7109375" bestFit="1" customWidth="1"/>
    <col min="13570" max="13570" width="6.140625" bestFit="1" customWidth="1"/>
    <col min="13571" max="13571" width="36.7109375" bestFit="1" customWidth="1"/>
    <col min="13572" max="13578" width="9.7109375" customWidth="1"/>
    <col min="13579" max="13579" width="2.85546875" customWidth="1"/>
    <col min="13823" max="13823" width="1.7109375" customWidth="1"/>
    <col min="13824" max="13824" width="17.85546875" bestFit="1" customWidth="1"/>
    <col min="13825" max="13825" width="5.7109375" bestFit="1" customWidth="1"/>
    <col min="13826" max="13826" width="6.140625" bestFit="1" customWidth="1"/>
    <col min="13827" max="13827" width="36.7109375" bestFit="1" customWidth="1"/>
    <col min="13828" max="13834" width="9.7109375" customWidth="1"/>
    <col min="13835" max="13835" width="2.85546875" customWidth="1"/>
    <col min="14079" max="14079" width="1.7109375" customWidth="1"/>
    <col min="14080" max="14080" width="17.85546875" bestFit="1" customWidth="1"/>
    <col min="14081" max="14081" width="5.7109375" bestFit="1" customWidth="1"/>
    <col min="14082" max="14082" width="6.140625" bestFit="1" customWidth="1"/>
    <col min="14083" max="14083" width="36.7109375" bestFit="1" customWidth="1"/>
    <col min="14084" max="14090" width="9.7109375" customWidth="1"/>
    <col min="14091" max="14091" width="2.85546875" customWidth="1"/>
    <col min="14335" max="14335" width="1.7109375" customWidth="1"/>
    <col min="14336" max="14336" width="17.85546875" bestFit="1" customWidth="1"/>
    <col min="14337" max="14337" width="5.7109375" bestFit="1" customWidth="1"/>
    <col min="14338" max="14338" width="6.140625" bestFit="1" customWidth="1"/>
    <col min="14339" max="14339" width="36.7109375" bestFit="1" customWidth="1"/>
    <col min="14340" max="14346" width="9.7109375" customWidth="1"/>
    <col min="14347" max="14347" width="2.85546875" customWidth="1"/>
    <col min="14591" max="14591" width="1.7109375" customWidth="1"/>
    <col min="14592" max="14592" width="17.85546875" bestFit="1" customWidth="1"/>
    <col min="14593" max="14593" width="5.7109375" bestFit="1" customWidth="1"/>
    <col min="14594" max="14594" width="6.140625" bestFit="1" customWidth="1"/>
    <col min="14595" max="14595" width="36.7109375" bestFit="1" customWidth="1"/>
    <col min="14596" max="14602" width="9.7109375" customWidth="1"/>
    <col min="14603" max="14603" width="2.85546875" customWidth="1"/>
    <col min="14847" max="14847" width="1.7109375" customWidth="1"/>
    <col min="14848" max="14848" width="17.85546875" bestFit="1" customWidth="1"/>
    <col min="14849" max="14849" width="5.7109375" bestFit="1" customWidth="1"/>
    <col min="14850" max="14850" width="6.140625" bestFit="1" customWidth="1"/>
    <col min="14851" max="14851" width="36.7109375" bestFit="1" customWidth="1"/>
    <col min="14852" max="14858" width="9.7109375" customWidth="1"/>
    <col min="14859" max="14859" width="2.85546875" customWidth="1"/>
    <col min="15103" max="15103" width="1.7109375" customWidth="1"/>
    <col min="15104" max="15104" width="17.85546875" bestFit="1" customWidth="1"/>
    <col min="15105" max="15105" width="5.7109375" bestFit="1" customWidth="1"/>
    <col min="15106" max="15106" width="6.140625" bestFit="1" customWidth="1"/>
    <col min="15107" max="15107" width="36.7109375" bestFit="1" customWidth="1"/>
    <col min="15108" max="15114" width="9.7109375" customWidth="1"/>
    <col min="15115" max="15115" width="2.85546875" customWidth="1"/>
    <col min="15359" max="15359" width="1.7109375" customWidth="1"/>
    <col min="15360" max="15360" width="17.85546875" bestFit="1" customWidth="1"/>
    <col min="15361" max="15361" width="5.7109375" bestFit="1" customWidth="1"/>
    <col min="15362" max="15362" width="6.140625" bestFit="1" customWidth="1"/>
    <col min="15363" max="15363" width="36.7109375" bestFit="1" customWidth="1"/>
    <col min="15364" max="15370" width="9.7109375" customWidth="1"/>
    <col min="15371" max="15371" width="2.85546875" customWidth="1"/>
    <col min="15615" max="15615" width="1.7109375" customWidth="1"/>
    <col min="15616" max="15616" width="17.85546875" bestFit="1" customWidth="1"/>
    <col min="15617" max="15617" width="5.7109375" bestFit="1" customWidth="1"/>
    <col min="15618" max="15618" width="6.140625" bestFit="1" customWidth="1"/>
    <col min="15619" max="15619" width="36.7109375" bestFit="1" customWidth="1"/>
    <col min="15620" max="15626" width="9.7109375" customWidth="1"/>
    <col min="15627" max="15627" width="2.85546875" customWidth="1"/>
    <col min="15871" max="15871" width="1.7109375" customWidth="1"/>
    <col min="15872" max="15872" width="17.85546875" bestFit="1" customWidth="1"/>
    <col min="15873" max="15873" width="5.7109375" bestFit="1" customWidth="1"/>
    <col min="15874" max="15874" width="6.140625" bestFit="1" customWidth="1"/>
    <col min="15875" max="15875" width="36.7109375" bestFit="1" customWidth="1"/>
    <col min="15876" max="15882" width="9.7109375" customWidth="1"/>
    <col min="15883" max="15883" width="2.85546875" customWidth="1"/>
    <col min="16127" max="16127" width="1.7109375" customWidth="1"/>
    <col min="16128" max="16128" width="17.85546875" bestFit="1" customWidth="1"/>
    <col min="16129" max="16129" width="5.7109375" bestFit="1" customWidth="1"/>
    <col min="16130" max="16130" width="6.140625" bestFit="1" customWidth="1"/>
    <col min="16131" max="16131" width="36.7109375" bestFit="1" customWidth="1"/>
    <col min="16132" max="16138" width="9.7109375" customWidth="1"/>
    <col min="16139" max="16139" width="2.85546875" customWidth="1"/>
  </cols>
  <sheetData>
    <row r="1" spans="1:12" s="139" customFormat="1" ht="15.75" x14ac:dyDescent="0.25">
      <c r="C1" s="5855"/>
      <c r="D1" s="5855"/>
      <c r="E1" s="5855"/>
      <c r="F1" s="5855"/>
      <c r="G1" s="5855"/>
      <c r="H1" s="5855"/>
      <c r="I1" s="5855"/>
      <c r="J1" s="5855"/>
      <c r="K1" s="5855"/>
      <c r="L1" s="5855"/>
    </row>
    <row r="2" spans="1:12" s="139" customFormat="1" ht="15.75" x14ac:dyDescent="0.25">
      <c r="C2" s="5831" t="s">
        <v>230</v>
      </c>
      <c r="D2" s="5831"/>
      <c r="E2" s="5831"/>
      <c r="F2" s="5831"/>
      <c r="G2" s="5831"/>
      <c r="H2" s="5831"/>
      <c r="I2" s="5831"/>
      <c r="J2" s="5831"/>
      <c r="K2" s="5831"/>
      <c r="L2" s="5831"/>
    </row>
    <row r="3" spans="1:12" s="139" customFormat="1" ht="15.75" x14ac:dyDescent="0.25">
      <c r="C3" s="5831" t="s">
        <v>336</v>
      </c>
      <c r="D3" s="5831"/>
      <c r="E3" s="5831"/>
      <c r="F3" s="5831"/>
      <c r="G3" s="5831"/>
      <c r="H3" s="5831"/>
      <c r="I3" s="5831"/>
      <c r="J3" s="5831"/>
      <c r="K3" s="5831"/>
      <c r="L3" s="5831"/>
    </row>
    <row r="4" spans="1:12" ht="15.75" x14ac:dyDescent="0.2">
      <c r="A4" s="140"/>
      <c r="B4" s="140"/>
      <c r="C4" s="141"/>
    </row>
    <row r="5" spans="1:12" s="5" customFormat="1" ht="23.25" customHeight="1" x14ac:dyDescent="0.25">
      <c r="B5" s="755" t="s">
        <v>16</v>
      </c>
      <c r="C5" s="552" t="s">
        <v>4</v>
      </c>
      <c r="D5" s="552" t="s">
        <v>349</v>
      </c>
      <c r="E5" s="621">
        <v>2003</v>
      </c>
      <c r="F5" s="621">
        <v>2004</v>
      </c>
      <c r="G5" s="596">
        <v>2005</v>
      </c>
      <c r="H5" s="622">
        <v>2006</v>
      </c>
      <c r="I5" s="622">
        <v>2007</v>
      </c>
      <c r="J5" s="622">
        <v>2008</v>
      </c>
      <c r="K5" s="622">
        <v>2009</v>
      </c>
      <c r="L5" s="622">
        <v>2010</v>
      </c>
    </row>
    <row r="6" spans="1:12" s="6" customFormat="1" ht="15" customHeight="1" x14ac:dyDescent="0.2">
      <c r="B6" s="5832" t="s">
        <v>3</v>
      </c>
      <c r="C6" s="5838" t="s">
        <v>5</v>
      </c>
      <c r="D6" s="544" t="s">
        <v>171</v>
      </c>
      <c r="E6" s="597">
        <v>60</v>
      </c>
      <c r="F6" s="597">
        <v>45</v>
      </c>
      <c r="G6" s="598">
        <v>51</v>
      </c>
      <c r="H6" s="599">
        <v>58</v>
      </c>
      <c r="I6" s="599">
        <v>38</v>
      </c>
      <c r="J6" s="599">
        <v>49</v>
      </c>
      <c r="K6" s="599">
        <v>40</v>
      </c>
      <c r="L6" s="599">
        <v>42</v>
      </c>
    </row>
    <row r="7" spans="1:12" s="6" customFormat="1" ht="15" customHeight="1" x14ac:dyDescent="0.2">
      <c r="B7" s="5833"/>
      <c r="C7" s="5837"/>
      <c r="D7" s="544" t="s">
        <v>172</v>
      </c>
      <c r="E7" s="597">
        <v>107</v>
      </c>
      <c r="F7" s="597">
        <v>117</v>
      </c>
      <c r="G7" s="598">
        <v>106</v>
      </c>
      <c r="H7" s="599">
        <v>144</v>
      </c>
      <c r="I7" s="599">
        <v>103</v>
      </c>
      <c r="J7" s="599">
        <v>113</v>
      </c>
      <c r="K7" s="599">
        <v>108</v>
      </c>
      <c r="L7" s="599">
        <v>94</v>
      </c>
    </row>
    <row r="8" spans="1:12" s="6" customFormat="1" ht="15" customHeight="1" x14ac:dyDescent="0.2">
      <c r="B8" s="5833"/>
      <c r="C8" s="5837"/>
      <c r="D8" s="544" t="s">
        <v>173</v>
      </c>
      <c r="E8" s="597">
        <v>94</v>
      </c>
      <c r="F8" s="597">
        <v>105</v>
      </c>
      <c r="G8" s="598">
        <v>102</v>
      </c>
      <c r="H8" s="599">
        <v>112</v>
      </c>
      <c r="I8" s="599">
        <v>72</v>
      </c>
      <c r="J8" s="599">
        <v>94</v>
      </c>
      <c r="K8" s="599">
        <v>58</v>
      </c>
      <c r="L8" s="599">
        <v>49</v>
      </c>
    </row>
    <row r="9" spans="1:12" s="6" customFormat="1" ht="15" customHeight="1" x14ac:dyDescent="0.2">
      <c r="B9" s="5833"/>
      <c r="C9" s="5837"/>
      <c r="D9" s="544" t="s">
        <v>174</v>
      </c>
      <c r="E9" s="597">
        <v>48</v>
      </c>
      <c r="F9" s="597">
        <v>38</v>
      </c>
      <c r="G9" s="598">
        <v>31</v>
      </c>
      <c r="H9" s="599">
        <v>29</v>
      </c>
      <c r="I9" s="599">
        <v>19</v>
      </c>
      <c r="J9" s="599">
        <v>25</v>
      </c>
      <c r="K9" s="599">
        <v>32</v>
      </c>
      <c r="L9" s="599">
        <v>33</v>
      </c>
    </row>
    <row r="10" spans="1:12" s="6" customFormat="1" ht="15" customHeight="1" x14ac:dyDescent="0.2">
      <c r="B10" s="5833"/>
      <c r="C10" s="5837"/>
      <c r="D10" s="544" t="s">
        <v>175</v>
      </c>
      <c r="E10" s="597">
        <v>107</v>
      </c>
      <c r="F10" s="597">
        <v>119</v>
      </c>
      <c r="G10" s="598">
        <v>126</v>
      </c>
      <c r="H10" s="599">
        <v>165</v>
      </c>
      <c r="I10" s="599">
        <v>148</v>
      </c>
      <c r="J10" s="599">
        <v>144</v>
      </c>
      <c r="K10" s="599">
        <v>136</v>
      </c>
      <c r="L10" s="599">
        <v>150</v>
      </c>
    </row>
    <row r="11" spans="1:12" s="6" customFormat="1" ht="15" customHeight="1" x14ac:dyDescent="0.2">
      <c r="B11" s="5833"/>
      <c r="C11" s="5837"/>
      <c r="D11" s="544" t="s">
        <v>176</v>
      </c>
      <c r="E11" s="597">
        <v>94</v>
      </c>
      <c r="F11" s="597">
        <v>127</v>
      </c>
      <c r="G11" s="598">
        <v>113</v>
      </c>
      <c r="H11" s="599">
        <v>155</v>
      </c>
      <c r="I11" s="599">
        <v>132</v>
      </c>
      <c r="J11" s="599">
        <v>119</v>
      </c>
      <c r="K11" s="599">
        <v>147</v>
      </c>
      <c r="L11" s="599">
        <v>104</v>
      </c>
    </row>
    <row r="12" spans="1:12" s="6" customFormat="1" ht="15" customHeight="1" x14ac:dyDescent="0.2">
      <c r="B12" s="5833"/>
      <c r="C12" s="5837"/>
      <c r="D12" s="544" t="s">
        <v>177</v>
      </c>
      <c r="E12" s="597">
        <v>52</v>
      </c>
      <c r="F12" s="597">
        <v>22</v>
      </c>
      <c r="G12" s="598">
        <v>17</v>
      </c>
      <c r="H12" s="599">
        <v>10</v>
      </c>
      <c r="I12" s="599">
        <v>17</v>
      </c>
      <c r="J12" s="599">
        <v>23</v>
      </c>
      <c r="K12" s="599">
        <v>22</v>
      </c>
      <c r="L12" s="599">
        <v>12</v>
      </c>
    </row>
    <row r="13" spans="1:12" s="6" customFormat="1" ht="15" customHeight="1" x14ac:dyDescent="0.2">
      <c r="B13" s="5833"/>
      <c r="C13" s="5837"/>
      <c r="D13" s="544" t="s">
        <v>178</v>
      </c>
      <c r="E13" s="597">
        <v>81</v>
      </c>
      <c r="F13" s="597">
        <v>93</v>
      </c>
      <c r="G13" s="598">
        <v>82</v>
      </c>
      <c r="H13" s="599">
        <v>81</v>
      </c>
      <c r="I13" s="599">
        <v>62</v>
      </c>
      <c r="J13" s="599">
        <v>82</v>
      </c>
      <c r="K13" s="599">
        <v>102</v>
      </c>
      <c r="L13" s="599">
        <v>100</v>
      </c>
    </row>
    <row r="14" spans="1:12" s="6" customFormat="1" ht="15" customHeight="1" x14ac:dyDescent="0.2">
      <c r="B14" s="5833"/>
      <c r="C14" s="5837"/>
      <c r="D14" s="544" t="s">
        <v>179</v>
      </c>
      <c r="E14" s="597">
        <v>126</v>
      </c>
      <c r="F14" s="597">
        <v>164</v>
      </c>
      <c r="G14" s="598">
        <v>166</v>
      </c>
      <c r="H14" s="599">
        <v>188</v>
      </c>
      <c r="I14" s="599">
        <v>139</v>
      </c>
      <c r="J14" s="599">
        <v>169</v>
      </c>
      <c r="K14" s="599">
        <v>179</v>
      </c>
      <c r="L14" s="599">
        <v>171</v>
      </c>
    </row>
    <row r="15" spans="1:12" s="6" customFormat="1" ht="15" customHeight="1" x14ac:dyDescent="0.2">
      <c r="B15" s="5833"/>
      <c r="C15" s="5837"/>
      <c r="D15" s="544" t="s">
        <v>180</v>
      </c>
      <c r="E15" s="597"/>
      <c r="F15" s="597">
        <v>2</v>
      </c>
      <c r="G15" s="598">
        <v>1</v>
      </c>
      <c r="H15" s="599">
        <v>5</v>
      </c>
      <c r="I15" s="599">
        <v>8</v>
      </c>
      <c r="J15" s="599">
        <v>5</v>
      </c>
      <c r="K15" s="599">
        <v>8</v>
      </c>
      <c r="L15" s="599">
        <v>5</v>
      </c>
    </row>
    <row r="16" spans="1:12" s="6" customFormat="1" ht="15" customHeight="1" x14ac:dyDescent="0.2">
      <c r="B16" s="5833"/>
      <c r="C16" s="5838" t="s">
        <v>6</v>
      </c>
      <c r="D16" s="545" t="s">
        <v>181</v>
      </c>
      <c r="E16" s="600">
        <v>117</v>
      </c>
      <c r="F16" s="600">
        <v>105</v>
      </c>
      <c r="G16" s="601">
        <v>80</v>
      </c>
      <c r="H16" s="602">
        <v>99</v>
      </c>
      <c r="I16" s="602">
        <v>94</v>
      </c>
      <c r="J16" s="602">
        <v>111</v>
      </c>
      <c r="K16" s="602">
        <v>106</v>
      </c>
      <c r="L16" s="602">
        <v>112</v>
      </c>
    </row>
    <row r="17" spans="2:12" s="6" customFormat="1" ht="15" customHeight="1" x14ac:dyDescent="0.2">
      <c r="B17" s="5833"/>
      <c r="C17" s="5837"/>
      <c r="D17" s="544" t="s">
        <v>182</v>
      </c>
      <c r="E17" s="597">
        <v>159</v>
      </c>
      <c r="F17" s="597">
        <v>146</v>
      </c>
      <c r="G17" s="598">
        <v>139</v>
      </c>
      <c r="H17" s="599">
        <v>179</v>
      </c>
      <c r="I17" s="599">
        <v>152</v>
      </c>
      <c r="J17" s="599">
        <v>183</v>
      </c>
      <c r="K17" s="599">
        <v>164</v>
      </c>
      <c r="L17" s="599">
        <v>168</v>
      </c>
    </row>
    <row r="18" spans="2:12" s="6" customFormat="1" ht="15" customHeight="1" x14ac:dyDescent="0.2">
      <c r="B18" s="5833"/>
      <c r="C18" s="5837"/>
      <c r="D18" s="544" t="s">
        <v>183</v>
      </c>
      <c r="E18" s="597">
        <v>156</v>
      </c>
      <c r="F18" s="597">
        <v>139</v>
      </c>
      <c r="G18" s="598">
        <v>123</v>
      </c>
      <c r="H18" s="599">
        <v>120</v>
      </c>
      <c r="I18" s="599">
        <v>120</v>
      </c>
      <c r="J18" s="599">
        <v>99</v>
      </c>
      <c r="K18" s="599">
        <v>104</v>
      </c>
      <c r="L18" s="599">
        <v>114</v>
      </c>
    </row>
    <row r="19" spans="2:12" s="6" customFormat="1" ht="15" customHeight="1" x14ac:dyDescent="0.2">
      <c r="B19" s="5833"/>
      <c r="C19" s="5839"/>
      <c r="D19" s="546" t="s">
        <v>184</v>
      </c>
      <c r="E19" s="603">
        <v>107</v>
      </c>
      <c r="F19" s="603">
        <v>93</v>
      </c>
      <c r="G19" s="604">
        <v>93</v>
      </c>
      <c r="H19" s="605">
        <v>101</v>
      </c>
      <c r="I19" s="605">
        <v>126</v>
      </c>
      <c r="J19" s="605">
        <v>90</v>
      </c>
      <c r="K19" s="605">
        <v>103</v>
      </c>
      <c r="L19" s="605">
        <v>125</v>
      </c>
    </row>
    <row r="20" spans="2:12" s="6" customFormat="1" ht="15" customHeight="1" x14ac:dyDescent="0.2">
      <c r="B20" s="5833"/>
      <c r="C20" s="5838" t="s">
        <v>7</v>
      </c>
      <c r="D20" s="545" t="s">
        <v>168</v>
      </c>
      <c r="E20" s="597">
        <v>153</v>
      </c>
      <c r="F20" s="597">
        <v>140</v>
      </c>
      <c r="G20" s="598">
        <v>119</v>
      </c>
      <c r="H20" s="599">
        <v>122</v>
      </c>
      <c r="I20" s="599">
        <v>121</v>
      </c>
      <c r="J20" s="599">
        <v>125</v>
      </c>
      <c r="K20" s="599">
        <v>93</v>
      </c>
      <c r="L20" s="599">
        <v>105</v>
      </c>
    </row>
    <row r="21" spans="2:12" s="6" customFormat="1" ht="15" customHeight="1" x14ac:dyDescent="0.2">
      <c r="B21" s="5833"/>
      <c r="C21" s="5837"/>
      <c r="D21" s="544" t="s">
        <v>169</v>
      </c>
      <c r="E21" s="597">
        <v>72</v>
      </c>
      <c r="F21" s="597">
        <v>66</v>
      </c>
      <c r="G21" s="598">
        <v>55</v>
      </c>
      <c r="H21" s="599">
        <v>88</v>
      </c>
      <c r="I21" s="599">
        <v>72</v>
      </c>
      <c r="J21" s="599">
        <v>73</v>
      </c>
      <c r="K21" s="599">
        <v>80</v>
      </c>
      <c r="L21" s="599">
        <v>69</v>
      </c>
    </row>
    <row r="22" spans="2:12" s="6" customFormat="1" ht="15" customHeight="1" x14ac:dyDescent="0.2">
      <c r="B22" s="5834"/>
      <c r="C22" s="5837"/>
      <c r="D22" s="544" t="s">
        <v>170</v>
      </c>
      <c r="E22" s="597">
        <v>54</v>
      </c>
      <c r="F22" s="597">
        <v>47</v>
      </c>
      <c r="G22" s="598">
        <v>59</v>
      </c>
      <c r="H22" s="599">
        <v>55</v>
      </c>
      <c r="I22" s="599">
        <v>46</v>
      </c>
      <c r="J22" s="599">
        <v>65</v>
      </c>
      <c r="K22" s="599">
        <v>52</v>
      </c>
      <c r="L22" s="599">
        <v>73</v>
      </c>
    </row>
    <row r="23" spans="2:12" s="6" customFormat="1" ht="15" customHeight="1" x14ac:dyDescent="0.2">
      <c r="B23" s="5832" t="s">
        <v>8</v>
      </c>
      <c r="C23" s="5838" t="s">
        <v>6</v>
      </c>
      <c r="D23" s="545" t="s">
        <v>181</v>
      </c>
      <c r="E23" s="606"/>
      <c r="F23" s="606"/>
      <c r="G23" s="601">
        <v>1</v>
      </c>
      <c r="H23" s="607">
        <v>1</v>
      </c>
      <c r="I23" s="607">
        <v>1</v>
      </c>
      <c r="J23" s="607">
        <v>2</v>
      </c>
      <c r="K23" s="607"/>
      <c r="L23" s="607">
        <v>0</v>
      </c>
    </row>
    <row r="24" spans="2:12" s="6" customFormat="1" ht="15" customHeight="1" x14ac:dyDescent="0.2">
      <c r="B24" s="5833"/>
      <c r="C24" s="5837"/>
      <c r="D24" s="544" t="s">
        <v>182</v>
      </c>
      <c r="E24" s="608"/>
      <c r="F24" s="608"/>
      <c r="G24" s="598"/>
      <c r="H24" s="609"/>
      <c r="I24" s="609"/>
      <c r="J24" s="609"/>
      <c r="K24" s="609"/>
      <c r="L24" s="609"/>
    </row>
    <row r="25" spans="2:12" s="6" customFormat="1" ht="15" customHeight="1" x14ac:dyDescent="0.2">
      <c r="B25" s="5833"/>
      <c r="C25" s="5837"/>
      <c r="D25" s="544" t="s">
        <v>191</v>
      </c>
      <c r="E25" s="608"/>
      <c r="F25" s="608"/>
      <c r="G25" s="598"/>
      <c r="H25" s="609"/>
      <c r="I25" s="609"/>
      <c r="J25" s="609"/>
      <c r="K25" s="609">
        <v>1</v>
      </c>
      <c r="L25" s="609">
        <v>1</v>
      </c>
    </row>
    <row r="26" spans="2:12" s="6" customFormat="1" ht="15" customHeight="1" x14ac:dyDescent="0.2">
      <c r="B26" s="5833"/>
      <c r="C26" s="5839"/>
      <c r="D26" s="546" t="s">
        <v>192</v>
      </c>
      <c r="E26" s="610"/>
      <c r="F26" s="610"/>
      <c r="G26" s="604"/>
      <c r="H26" s="611"/>
      <c r="I26" s="611"/>
      <c r="J26" s="611"/>
      <c r="K26" s="611">
        <v>1</v>
      </c>
      <c r="L26" s="611">
        <v>1</v>
      </c>
    </row>
    <row r="27" spans="2:12" s="6" customFormat="1" ht="15" customHeight="1" x14ac:dyDescent="0.2">
      <c r="B27" s="5833"/>
      <c r="C27" s="5838" t="s">
        <v>9</v>
      </c>
      <c r="D27" s="544" t="s">
        <v>185</v>
      </c>
      <c r="E27" s="608"/>
      <c r="F27" s="608"/>
      <c r="G27" s="598">
        <v>1</v>
      </c>
      <c r="H27" s="609"/>
      <c r="I27" s="609">
        <v>1</v>
      </c>
      <c r="J27" s="609"/>
      <c r="K27" s="609"/>
      <c r="L27" s="609">
        <v>1</v>
      </c>
    </row>
    <row r="28" spans="2:12" s="6" customFormat="1" ht="15" customHeight="1" x14ac:dyDescent="0.2">
      <c r="B28" s="5833"/>
      <c r="C28" s="5837"/>
      <c r="D28" s="544" t="s">
        <v>186</v>
      </c>
      <c r="E28" s="608"/>
      <c r="F28" s="608"/>
      <c r="G28" s="598"/>
      <c r="H28" s="609"/>
      <c r="I28" s="609">
        <v>1</v>
      </c>
      <c r="J28" s="609">
        <v>3</v>
      </c>
      <c r="K28" s="609">
        <v>3</v>
      </c>
      <c r="L28" s="609">
        <v>1</v>
      </c>
    </row>
    <row r="29" spans="2:12" s="6" customFormat="1" ht="15" customHeight="1" x14ac:dyDescent="0.2">
      <c r="B29" s="5833"/>
      <c r="C29" s="5837"/>
      <c r="D29" s="544" t="s">
        <v>187</v>
      </c>
      <c r="E29" s="608"/>
      <c r="F29" s="608"/>
      <c r="G29" s="598"/>
      <c r="H29" s="609"/>
      <c r="I29" s="609">
        <v>1</v>
      </c>
      <c r="J29" s="609">
        <v>2</v>
      </c>
      <c r="K29" s="609">
        <v>2</v>
      </c>
      <c r="L29" s="609"/>
    </row>
    <row r="30" spans="2:12" s="6" customFormat="1" ht="15" customHeight="1" x14ac:dyDescent="0.2">
      <c r="B30" s="5833"/>
      <c r="C30" s="5838" t="s">
        <v>74</v>
      </c>
      <c r="D30" s="545" t="s">
        <v>188</v>
      </c>
      <c r="E30" s="606"/>
      <c r="F30" s="606"/>
      <c r="G30" s="601">
        <v>1</v>
      </c>
      <c r="H30" s="607"/>
      <c r="I30" s="607">
        <v>1</v>
      </c>
      <c r="J30" s="607">
        <v>1</v>
      </c>
      <c r="K30" s="607">
        <v>4</v>
      </c>
      <c r="L30" s="607">
        <v>1</v>
      </c>
    </row>
    <row r="31" spans="2:12" s="6" customFormat="1" ht="15" customHeight="1" x14ac:dyDescent="0.2">
      <c r="B31" s="5833"/>
      <c r="C31" s="5837"/>
      <c r="D31" s="544" t="s">
        <v>189</v>
      </c>
      <c r="E31" s="608"/>
      <c r="F31" s="608"/>
      <c r="G31" s="598"/>
      <c r="H31" s="609">
        <v>2</v>
      </c>
      <c r="I31" s="609"/>
      <c r="J31" s="609">
        <v>2</v>
      </c>
      <c r="K31" s="609">
        <v>1</v>
      </c>
      <c r="L31" s="609">
        <v>3</v>
      </c>
    </row>
    <row r="32" spans="2:12" s="6" customFormat="1" ht="15" customHeight="1" x14ac:dyDescent="0.2">
      <c r="B32" s="5834"/>
      <c r="C32" s="5839"/>
      <c r="D32" s="546" t="s">
        <v>190</v>
      </c>
      <c r="E32" s="610"/>
      <c r="F32" s="610"/>
      <c r="G32" s="604"/>
      <c r="H32" s="611"/>
      <c r="I32" s="611"/>
      <c r="J32" s="611"/>
      <c r="K32" s="611"/>
      <c r="L32" s="611"/>
    </row>
    <row r="33" spans="2:12" s="6" customFormat="1" ht="15" customHeight="1" x14ac:dyDescent="0.2">
      <c r="B33" s="5832" t="s">
        <v>75</v>
      </c>
      <c r="C33" s="5837" t="s">
        <v>5</v>
      </c>
      <c r="D33" s="544" t="s">
        <v>193</v>
      </c>
      <c r="E33" s="597">
        <v>77</v>
      </c>
      <c r="F33" s="597">
        <v>66</v>
      </c>
      <c r="G33" s="598">
        <v>54</v>
      </c>
      <c r="H33" s="599">
        <v>83</v>
      </c>
      <c r="I33" s="599">
        <v>91</v>
      </c>
      <c r="J33" s="599">
        <v>54</v>
      </c>
      <c r="K33" s="599">
        <v>74</v>
      </c>
      <c r="L33" s="599">
        <v>54</v>
      </c>
    </row>
    <row r="34" spans="2:12" s="6" customFormat="1" ht="15" customHeight="1" x14ac:dyDescent="0.2">
      <c r="B34" s="5833"/>
      <c r="C34" s="5837"/>
      <c r="D34" s="544" t="s">
        <v>194</v>
      </c>
      <c r="E34" s="597">
        <v>14</v>
      </c>
      <c r="F34" s="597">
        <v>11</v>
      </c>
      <c r="G34" s="598">
        <v>23</v>
      </c>
      <c r="H34" s="599">
        <v>23</v>
      </c>
      <c r="I34" s="599">
        <v>12</v>
      </c>
      <c r="J34" s="599">
        <v>6</v>
      </c>
      <c r="K34" s="599">
        <v>4</v>
      </c>
      <c r="L34" s="599">
        <v>9</v>
      </c>
    </row>
    <row r="35" spans="2:12" s="6" customFormat="1" ht="15" customHeight="1" x14ac:dyDescent="0.2">
      <c r="B35" s="5833"/>
      <c r="C35" s="5837"/>
      <c r="D35" s="544" t="s">
        <v>195</v>
      </c>
      <c r="E35" s="597">
        <v>53</v>
      </c>
      <c r="F35" s="597">
        <v>49</v>
      </c>
      <c r="G35" s="598">
        <v>50</v>
      </c>
      <c r="H35" s="599">
        <v>57</v>
      </c>
      <c r="I35" s="599">
        <v>45</v>
      </c>
      <c r="J35" s="599">
        <v>58</v>
      </c>
      <c r="K35" s="599">
        <v>48</v>
      </c>
      <c r="L35" s="599">
        <v>35</v>
      </c>
    </row>
    <row r="36" spans="2:12" s="6" customFormat="1" ht="15" customHeight="1" x14ac:dyDescent="0.2">
      <c r="B36" s="5833"/>
      <c r="C36" s="5837"/>
      <c r="D36" s="544" t="s">
        <v>196</v>
      </c>
      <c r="E36" s="597">
        <v>43</v>
      </c>
      <c r="F36" s="597">
        <v>46</v>
      </c>
      <c r="G36" s="598">
        <v>63</v>
      </c>
      <c r="H36" s="599">
        <v>66</v>
      </c>
      <c r="I36" s="599">
        <v>44</v>
      </c>
      <c r="J36" s="599">
        <v>54</v>
      </c>
      <c r="K36" s="599">
        <v>33</v>
      </c>
      <c r="L36" s="599">
        <v>35</v>
      </c>
    </row>
    <row r="37" spans="2:12" s="6" customFormat="1" ht="15" customHeight="1" x14ac:dyDescent="0.2">
      <c r="B37" s="5833"/>
      <c r="C37" s="5837"/>
      <c r="D37" s="544" t="s">
        <v>197</v>
      </c>
      <c r="E37" s="597">
        <v>19</v>
      </c>
      <c r="F37" s="597">
        <v>24</v>
      </c>
      <c r="G37" s="598">
        <v>58</v>
      </c>
      <c r="H37" s="599">
        <v>50</v>
      </c>
      <c r="I37" s="599">
        <v>25</v>
      </c>
      <c r="J37" s="599">
        <v>30</v>
      </c>
      <c r="K37" s="599">
        <v>42</v>
      </c>
      <c r="L37" s="599">
        <v>40</v>
      </c>
    </row>
    <row r="38" spans="2:12" s="6" customFormat="1" ht="15" customHeight="1" x14ac:dyDescent="0.2">
      <c r="B38" s="5833"/>
      <c r="C38" s="5837"/>
      <c r="D38" s="544" t="s">
        <v>198</v>
      </c>
      <c r="E38" s="597">
        <v>101</v>
      </c>
      <c r="F38" s="597">
        <v>89</v>
      </c>
      <c r="G38" s="598">
        <v>70</v>
      </c>
      <c r="H38" s="599">
        <v>120</v>
      </c>
      <c r="I38" s="599">
        <v>124</v>
      </c>
      <c r="J38" s="599">
        <v>86</v>
      </c>
      <c r="K38" s="599">
        <v>83</v>
      </c>
      <c r="L38" s="599">
        <v>86</v>
      </c>
    </row>
    <row r="39" spans="2:12" s="6" customFormat="1" ht="15" customHeight="1" x14ac:dyDescent="0.2">
      <c r="B39" s="5833"/>
      <c r="C39" s="5837"/>
      <c r="D39" s="544" t="s">
        <v>199</v>
      </c>
      <c r="E39" s="597">
        <v>48</v>
      </c>
      <c r="F39" s="597">
        <v>59</v>
      </c>
      <c r="G39" s="598">
        <v>94</v>
      </c>
      <c r="H39" s="599">
        <v>88</v>
      </c>
      <c r="I39" s="599">
        <v>67</v>
      </c>
      <c r="J39" s="599">
        <v>61</v>
      </c>
      <c r="K39" s="599">
        <v>53</v>
      </c>
      <c r="L39" s="599">
        <v>62</v>
      </c>
    </row>
    <row r="40" spans="2:12" s="6" customFormat="1" ht="15" customHeight="1" x14ac:dyDescent="0.2">
      <c r="B40" s="5833"/>
      <c r="C40" s="5837"/>
      <c r="D40" s="544" t="s">
        <v>200</v>
      </c>
      <c r="E40" s="597">
        <v>14</v>
      </c>
      <c r="F40" s="597">
        <v>14</v>
      </c>
      <c r="G40" s="598">
        <v>37</v>
      </c>
      <c r="H40" s="599">
        <v>21</v>
      </c>
      <c r="I40" s="599">
        <v>8</v>
      </c>
      <c r="J40" s="599">
        <v>17</v>
      </c>
      <c r="K40" s="599">
        <v>15</v>
      </c>
      <c r="L40" s="599">
        <v>15</v>
      </c>
    </row>
    <row r="41" spans="2:12" s="6" customFormat="1" ht="15" customHeight="1" x14ac:dyDescent="0.2">
      <c r="B41" s="5833"/>
      <c r="C41" s="5837"/>
      <c r="D41" s="544" t="s">
        <v>201</v>
      </c>
      <c r="E41" s="597">
        <v>109</v>
      </c>
      <c r="F41" s="597">
        <v>103</v>
      </c>
      <c r="G41" s="598">
        <v>80</v>
      </c>
      <c r="H41" s="599">
        <v>151</v>
      </c>
      <c r="I41" s="599">
        <v>132</v>
      </c>
      <c r="J41" s="599">
        <v>90</v>
      </c>
      <c r="K41" s="599">
        <v>103</v>
      </c>
      <c r="L41" s="599">
        <v>105</v>
      </c>
    </row>
    <row r="42" spans="2:12" s="6" customFormat="1" ht="15" customHeight="1" x14ac:dyDescent="0.2">
      <c r="B42" s="5833"/>
      <c r="C42" s="5838" t="s">
        <v>6</v>
      </c>
      <c r="D42" s="545" t="s">
        <v>181</v>
      </c>
      <c r="E42" s="600">
        <v>118</v>
      </c>
      <c r="F42" s="600">
        <v>128</v>
      </c>
      <c r="G42" s="601">
        <v>124</v>
      </c>
      <c r="H42" s="602">
        <v>104</v>
      </c>
      <c r="I42" s="602">
        <v>111</v>
      </c>
      <c r="J42" s="602">
        <v>117</v>
      </c>
      <c r="K42" s="602">
        <v>103</v>
      </c>
      <c r="L42" s="602">
        <v>86</v>
      </c>
    </row>
    <row r="43" spans="2:12" s="6" customFormat="1" ht="15" customHeight="1" x14ac:dyDescent="0.2">
      <c r="B43" s="5833"/>
      <c r="C43" s="5837"/>
      <c r="D43" s="544" t="s">
        <v>208</v>
      </c>
      <c r="E43" s="597">
        <v>44</v>
      </c>
      <c r="F43" s="597">
        <v>39</v>
      </c>
      <c r="G43" s="598">
        <v>46</v>
      </c>
      <c r="H43" s="599">
        <v>53</v>
      </c>
      <c r="I43" s="599">
        <v>36</v>
      </c>
      <c r="J43" s="599">
        <v>47</v>
      </c>
      <c r="K43" s="599">
        <v>24</v>
      </c>
      <c r="L43" s="599">
        <v>28</v>
      </c>
    </row>
    <row r="44" spans="2:12" s="6" customFormat="1" ht="15" customHeight="1" x14ac:dyDescent="0.2">
      <c r="B44" s="5833"/>
      <c r="C44" s="5837"/>
      <c r="D44" s="544" t="s">
        <v>209</v>
      </c>
      <c r="E44" s="608">
        <v>22</v>
      </c>
      <c r="F44" s="597">
        <v>33</v>
      </c>
      <c r="G44" s="598">
        <v>49</v>
      </c>
      <c r="H44" s="609">
        <v>47</v>
      </c>
      <c r="I44" s="599">
        <v>38</v>
      </c>
      <c r="J44" s="599">
        <v>58</v>
      </c>
      <c r="K44" s="599">
        <v>48</v>
      </c>
      <c r="L44" s="599">
        <v>46</v>
      </c>
    </row>
    <row r="45" spans="2:12" s="6" customFormat="1" ht="15" customHeight="1" x14ac:dyDescent="0.2">
      <c r="B45" s="5833"/>
      <c r="C45" s="5837"/>
      <c r="D45" s="544" t="s">
        <v>210</v>
      </c>
      <c r="E45" s="608">
        <v>25</v>
      </c>
      <c r="F45" s="597">
        <v>27</v>
      </c>
      <c r="G45" s="598">
        <v>36</v>
      </c>
      <c r="H45" s="609">
        <v>40</v>
      </c>
      <c r="I45" s="599">
        <v>45</v>
      </c>
      <c r="J45" s="599">
        <v>26</v>
      </c>
      <c r="K45" s="599">
        <v>49</v>
      </c>
      <c r="L45" s="599">
        <v>36</v>
      </c>
    </row>
    <row r="46" spans="2:12" s="6" customFormat="1" ht="15" customHeight="1" x14ac:dyDescent="0.2">
      <c r="B46" s="5833"/>
      <c r="C46" s="5837"/>
      <c r="D46" s="544" t="s">
        <v>183</v>
      </c>
      <c r="E46" s="597">
        <v>72</v>
      </c>
      <c r="F46" s="597">
        <v>71</v>
      </c>
      <c r="G46" s="598">
        <v>56</v>
      </c>
      <c r="H46" s="599">
        <v>75</v>
      </c>
      <c r="I46" s="599">
        <v>86</v>
      </c>
      <c r="J46" s="599">
        <v>74</v>
      </c>
      <c r="K46" s="599">
        <v>81</v>
      </c>
      <c r="L46" s="599">
        <v>44</v>
      </c>
    </row>
    <row r="47" spans="2:12" s="6" customFormat="1" ht="15" customHeight="1" x14ac:dyDescent="0.2">
      <c r="B47" s="5833"/>
      <c r="C47" s="5837"/>
      <c r="D47" s="544" t="s">
        <v>184</v>
      </c>
      <c r="E47" s="597">
        <v>57</v>
      </c>
      <c r="F47" s="597">
        <v>46</v>
      </c>
      <c r="G47" s="598">
        <v>59</v>
      </c>
      <c r="H47" s="599">
        <v>77</v>
      </c>
      <c r="I47" s="599">
        <v>60</v>
      </c>
      <c r="J47" s="599">
        <v>68</v>
      </c>
      <c r="K47" s="599">
        <v>36</v>
      </c>
      <c r="L47" s="599">
        <v>46</v>
      </c>
    </row>
    <row r="48" spans="2:12" s="6" customFormat="1" ht="15" customHeight="1" x14ac:dyDescent="0.2">
      <c r="B48" s="5833"/>
      <c r="C48" s="5837"/>
      <c r="D48" s="544" t="s">
        <v>211</v>
      </c>
      <c r="E48" s="597">
        <v>31</v>
      </c>
      <c r="F48" s="597">
        <v>41</v>
      </c>
      <c r="G48" s="598">
        <v>50</v>
      </c>
      <c r="H48" s="599">
        <v>39</v>
      </c>
      <c r="I48" s="599">
        <v>42</v>
      </c>
      <c r="J48" s="599">
        <v>46</v>
      </c>
      <c r="K48" s="599">
        <v>48</v>
      </c>
      <c r="L48" s="599">
        <v>48</v>
      </c>
    </row>
    <row r="49" spans="2:12" s="6" customFormat="1" ht="15" customHeight="1" x14ac:dyDescent="0.2">
      <c r="B49" s="5833"/>
      <c r="C49" s="5837"/>
      <c r="D49" s="544" t="s">
        <v>212</v>
      </c>
      <c r="E49" s="597">
        <v>7</v>
      </c>
      <c r="F49" s="597">
        <v>11</v>
      </c>
      <c r="G49" s="598">
        <v>14</v>
      </c>
      <c r="H49" s="599">
        <v>12</v>
      </c>
      <c r="I49" s="599">
        <v>9</v>
      </c>
      <c r="J49" s="599">
        <v>24</v>
      </c>
      <c r="K49" s="599">
        <v>21</v>
      </c>
      <c r="L49" s="599">
        <v>17</v>
      </c>
    </row>
    <row r="50" spans="2:12" s="6" customFormat="1" ht="15" customHeight="1" x14ac:dyDescent="0.2">
      <c r="B50" s="5833"/>
      <c r="C50" s="5837"/>
      <c r="D50" s="544" t="s">
        <v>213</v>
      </c>
      <c r="E50" s="597">
        <v>55</v>
      </c>
      <c r="F50" s="597">
        <v>66</v>
      </c>
      <c r="G50" s="598">
        <v>55</v>
      </c>
      <c r="H50" s="599">
        <v>72</v>
      </c>
      <c r="I50" s="599">
        <v>72</v>
      </c>
      <c r="J50" s="599">
        <v>85</v>
      </c>
      <c r="K50" s="599">
        <v>57</v>
      </c>
      <c r="L50" s="599">
        <v>72</v>
      </c>
    </row>
    <row r="51" spans="2:12" s="6" customFormat="1" ht="15" customHeight="1" x14ac:dyDescent="0.2">
      <c r="B51" s="5833"/>
      <c r="C51" s="5837"/>
      <c r="D51" s="544" t="s">
        <v>214</v>
      </c>
      <c r="E51" s="597">
        <v>70</v>
      </c>
      <c r="F51" s="597">
        <v>72</v>
      </c>
      <c r="G51" s="598">
        <v>66</v>
      </c>
      <c r="H51" s="599">
        <v>77</v>
      </c>
      <c r="I51" s="599">
        <v>72</v>
      </c>
      <c r="J51" s="599">
        <v>95</v>
      </c>
      <c r="K51" s="599">
        <v>85</v>
      </c>
      <c r="L51" s="599">
        <v>85</v>
      </c>
    </row>
    <row r="52" spans="2:12" s="6" customFormat="1" ht="15" customHeight="1" x14ac:dyDescent="0.2">
      <c r="B52" s="5833"/>
      <c r="C52" s="5839"/>
      <c r="D52" s="546" t="s">
        <v>215</v>
      </c>
      <c r="E52" s="610">
        <v>1</v>
      </c>
      <c r="F52" s="603"/>
      <c r="G52" s="604"/>
      <c r="H52" s="611"/>
      <c r="I52" s="605"/>
      <c r="J52" s="605">
        <v>1</v>
      </c>
      <c r="K52" s="605"/>
      <c r="L52" s="605"/>
    </row>
    <row r="53" spans="2:12" s="6" customFormat="1" ht="15" customHeight="1" x14ac:dyDescent="0.2">
      <c r="B53" s="5833"/>
      <c r="C53" s="5838" t="s">
        <v>11</v>
      </c>
      <c r="D53" s="544" t="s">
        <v>202</v>
      </c>
      <c r="E53" s="597">
        <v>43</v>
      </c>
      <c r="F53" s="597">
        <v>60</v>
      </c>
      <c r="G53" s="598">
        <v>86</v>
      </c>
      <c r="H53" s="599">
        <v>74</v>
      </c>
      <c r="I53" s="599">
        <v>93</v>
      </c>
      <c r="J53" s="599">
        <v>98</v>
      </c>
      <c r="K53" s="599">
        <v>85</v>
      </c>
      <c r="L53" s="599">
        <v>35</v>
      </c>
    </row>
    <row r="54" spans="2:12" s="6" customFormat="1" ht="15" customHeight="1" x14ac:dyDescent="0.2">
      <c r="B54" s="5833"/>
      <c r="C54" s="5837"/>
      <c r="D54" s="544" t="s">
        <v>203</v>
      </c>
      <c r="E54" s="597">
        <v>27</v>
      </c>
      <c r="F54" s="597">
        <v>20</v>
      </c>
      <c r="G54" s="598">
        <v>54</v>
      </c>
      <c r="H54" s="599">
        <v>70</v>
      </c>
      <c r="I54" s="599">
        <v>61</v>
      </c>
      <c r="J54" s="599">
        <v>48</v>
      </c>
      <c r="K54" s="599">
        <v>59</v>
      </c>
      <c r="L54" s="599">
        <v>42</v>
      </c>
    </row>
    <row r="55" spans="2:12" s="6" customFormat="1" ht="15" customHeight="1" x14ac:dyDescent="0.2">
      <c r="B55" s="5833"/>
      <c r="C55" s="5837"/>
      <c r="D55" s="544" t="s">
        <v>204</v>
      </c>
      <c r="E55" s="597">
        <v>22</v>
      </c>
      <c r="F55" s="597">
        <v>18</v>
      </c>
      <c r="G55" s="598">
        <v>24</v>
      </c>
      <c r="H55" s="599">
        <v>30</v>
      </c>
      <c r="I55" s="599">
        <v>28</v>
      </c>
      <c r="J55" s="599">
        <v>29</v>
      </c>
      <c r="K55" s="599">
        <v>37</v>
      </c>
      <c r="L55" s="599">
        <v>14</v>
      </c>
    </row>
    <row r="56" spans="2:12" s="6" customFormat="1" ht="15" customHeight="1" x14ac:dyDescent="0.2">
      <c r="B56" s="5833"/>
      <c r="C56" s="5837"/>
      <c r="D56" s="544" t="s">
        <v>205</v>
      </c>
      <c r="E56" s="597">
        <v>10</v>
      </c>
      <c r="F56" s="597">
        <v>14</v>
      </c>
      <c r="G56" s="598">
        <v>32</v>
      </c>
      <c r="H56" s="599">
        <v>42</v>
      </c>
      <c r="I56" s="599">
        <v>33</v>
      </c>
      <c r="J56" s="599">
        <v>26</v>
      </c>
      <c r="K56" s="599">
        <v>24</v>
      </c>
      <c r="L56" s="599">
        <v>5</v>
      </c>
    </row>
    <row r="57" spans="2:12" s="6" customFormat="1" ht="15" customHeight="1" x14ac:dyDescent="0.2">
      <c r="B57" s="5833"/>
      <c r="C57" s="5837"/>
      <c r="D57" s="544" t="s">
        <v>206</v>
      </c>
      <c r="E57" s="597">
        <v>53</v>
      </c>
      <c r="F57" s="597">
        <v>74</v>
      </c>
      <c r="G57" s="598">
        <v>79</v>
      </c>
      <c r="H57" s="599">
        <v>104</v>
      </c>
      <c r="I57" s="599">
        <v>115</v>
      </c>
      <c r="J57" s="599">
        <v>87</v>
      </c>
      <c r="K57" s="599">
        <v>98</v>
      </c>
      <c r="L57" s="599">
        <v>52</v>
      </c>
    </row>
    <row r="58" spans="2:12" s="6" customFormat="1" ht="15" customHeight="1" x14ac:dyDescent="0.2">
      <c r="B58" s="5834"/>
      <c r="C58" s="5837"/>
      <c r="D58" s="544" t="s">
        <v>207</v>
      </c>
      <c r="E58" s="597">
        <v>68</v>
      </c>
      <c r="F58" s="597">
        <v>101</v>
      </c>
      <c r="G58" s="598">
        <v>146</v>
      </c>
      <c r="H58" s="599">
        <v>131</v>
      </c>
      <c r="I58" s="599">
        <v>190</v>
      </c>
      <c r="J58" s="599">
        <v>182</v>
      </c>
      <c r="K58" s="599">
        <v>125</v>
      </c>
      <c r="L58" s="599">
        <v>67</v>
      </c>
    </row>
    <row r="59" spans="2:12" s="6" customFormat="1" ht="15" customHeight="1" x14ac:dyDescent="0.2">
      <c r="B59" s="5832" t="s">
        <v>10</v>
      </c>
      <c r="C59" s="5838" t="s">
        <v>6</v>
      </c>
      <c r="D59" s="545" t="s">
        <v>181</v>
      </c>
      <c r="E59" s="600">
        <v>98</v>
      </c>
      <c r="F59" s="600">
        <v>71</v>
      </c>
      <c r="G59" s="601">
        <v>96</v>
      </c>
      <c r="H59" s="602">
        <v>79</v>
      </c>
      <c r="I59" s="602">
        <v>92</v>
      </c>
      <c r="J59" s="602">
        <v>102</v>
      </c>
      <c r="K59" s="602">
        <v>76</v>
      </c>
      <c r="L59" s="602">
        <v>88</v>
      </c>
    </row>
    <row r="60" spans="2:12" s="6" customFormat="1" ht="15" customHeight="1" x14ac:dyDescent="0.2">
      <c r="B60" s="5833"/>
      <c r="C60" s="5837"/>
      <c r="D60" s="544" t="s">
        <v>224</v>
      </c>
      <c r="E60" s="597">
        <v>47</v>
      </c>
      <c r="F60" s="597">
        <v>66</v>
      </c>
      <c r="G60" s="598">
        <v>63</v>
      </c>
      <c r="H60" s="599">
        <v>58</v>
      </c>
      <c r="I60" s="599">
        <v>74</v>
      </c>
      <c r="J60" s="599">
        <v>86</v>
      </c>
      <c r="K60" s="599">
        <v>75</v>
      </c>
      <c r="L60" s="599">
        <v>73</v>
      </c>
    </row>
    <row r="61" spans="2:12" s="6" customFormat="1" ht="15" customHeight="1" x14ac:dyDescent="0.2">
      <c r="B61" s="5833"/>
      <c r="C61" s="5837"/>
      <c r="D61" s="544" t="s">
        <v>183</v>
      </c>
      <c r="E61" s="597">
        <v>89</v>
      </c>
      <c r="F61" s="597">
        <v>87</v>
      </c>
      <c r="G61" s="598">
        <v>100</v>
      </c>
      <c r="H61" s="599">
        <v>63</v>
      </c>
      <c r="I61" s="599">
        <v>103</v>
      </c>
      <c r="J61" s="599">
        <v>93</v>
      </c>
      <c r="K61" s="599">
        <v>104</v>
      </c>
      <c r="L61" s="599">
        <v>102</v>
      </c>
    </row>
    <row r="62" spans="2:12" s="6" customFormat="1" ht="15" customHeight="1" x14ac:dyDescent="0.2">
      <c r="B62" s="5833"/>
      <c r="C62" s="5837"/>
      <c r="D62" s="544" t="s">
        <v>225</v>
      </c>
      <c r="E62" s="597">
        <v>130</v>
      </c>
      <c r="F62" s="597">
        <v>119</v>
      </c>
      <c r="G62" s="598">
        <v>118</v>
      </c>
      <c r="H62" s="599">
        <v>109</v>
      </c>
      <c r="I62" s="599">
        <v>138</v>
      </c>
      <c r="J62" s="599">
        <v>140</v>
      </c>
      <c r="K62" s="599">
        <v>139</v>
      </c>
      <c r="L62" s="599">
        <v>143</v>
      </c>
    </row>
    <row r="63" spans="2:12" s="6" customFormat="1" ht="15" customHeight="1" x14ac:dyDescent="0.2">
      <c r="B63" s="5833"/>
      <c r="C63" s="5837"/>
      <c r="D63" s="544" t="s">
        <v>184</v>
      </c>
      <c r="E63" s="597">
        <v>80</v>
      </c>
      <c r="F63" s="597">
        <v>67</v>
      </c>
      <c r="G63" s="598">
        <v>83</v>
      </c>
      <c r="H63" s="599">
        <v>68</v>
      </c>
      <c r="I63" s="599">
        <v>83</v>
      </c>
      <c r="J63" s="599">
        <v>78</v>
      </c>
      <c r="K63" s="599">
        <v>95</v>
      </c>
      <c r="L63" s="599">
        <v>98</v>
      </c>
    </row>
    <row r="64" spans="2:12" s="6" customFormat="1" ht="15" customHeight="1" x14ac:dyDescent="0.2">
      <c r="B64" s="5833"/>
      <c r="C64" s="5839"/>
      <c r="D64" s="546" t="s">
        <v>226</v>
      </c>
      <c r="E64" s="603">
        <v>4</v>
      </c>
      <c r="F64" s="603">
        <v>1</v>
      </c>
      <c r="G64" s="604">
        <v>4</v>
      </c>
      <c r="H64" s="605">
        <v>5</v>
      </c>
      <c r="I64" s="605">
        <v>21</v>
      </c>
      <c r="J64" s="605">
        <v>27</v>
      </c>
      <c r="K64" s="605">
        <v>27</v>
      </c>
      <c r="L64" s="605">
        <v>28</v>
      </c>
    </row>
    <row r="65" spans="2:12" s="6" customFormat="1" ht="15" customHeight="1" x14ac:dyDescent="0.2">
      <c r="B65" s="5833"/>
      <c r="C65" s="5838" t="s">
        <v>11</v>
      </c>
      <c r="D65" s="544" t="s">
        <v>202</v>
      </c>
      <c r="E65" s="597">
        <v>89</v>
      </c>
      <c r="F65" s="597">
        <v>94</v>
      </c>
      <c r="G65" s="598">
        <v>87</v>
      </c>
      <c r="H65" s="599">
        <v>78</v>
      </c>
      <c r="I65" s="599">
        <v>66</v>
      </c>
      <c r="J65" s="599">
        <v>72</v>
      </c>
      <c r="K65" s="599">
        <v>64</v>
      </c>
      <c r="L65" s="599">
        <v>55</v>
      </c>
    </row>
    <row r="66" spans="2:12" s="6" customFormat="1" ht="15" customHeight="1" x14ac:dyDescent="0.2">
      <c r="B66" s="5833"/>
      <c r="C66" s="5837"/>
      <c r="D66" s="544" t="s">
        <v>217</v>
      </c>
      <c r="E66" s="597">
        <v>37</v>
      </c>
      <c r="F66" s="597">
        <v>41</v>
      </c>
      <c r="G66" s="598">
        <v>55</v>
      </c>
      <c r="H66" s="599">
        <v>47</v>
      </c>
      <c r="I66" s="599">
        <v>53</v>
      </c>
      <c r="J66" s="599">
        <v>37</v>
      </c>
      <c r="K66" s="599">
        <v>35</v>
      </c>
      <c r="L66" s="599">
        <v>41</v>
      </c>
    </row>
    <row r="67" spans="2:12" s="6" customFormat="1" ht="15" customHeight="1" x14ac:dyDescent="0.2">
      <c r="B67" s="5833"/>
      <c r="C67" s="5837"/>
      <c r="D67" s="544" t="s">
        <v>218</v>
      </c>
      <c r="E67" s="597">
        <v>69</v>
      </c>
      <c r="F67" s="597">
        <v>70</v>
      </c>
      <c r="G67" s="598">
        <v>57</v>
      </c>
      <c r="H67" s="599">
        <v>63</v>
      </c>
      <c r="I67" s="599">
        <v>45</v>
      </c>
      <c r="J67" s="599">
        <v>54</v>
      </c>
      <c r="K67" s="599">
        <v>47</v>
      </c>
      <c r="L67" s="599">
        <v>53</v>
      </c>
    </row>
    <row r="68" spans="2:12" s="6" customFormat="1" ht="15" customHeight="1" x14ac:dyDescent="0.2">
      <c r="B68" s="5833"/>
      <c r="C68" s="5837"/>
      <c r="D68" s="544" t="s">
        <v>219</v>
      </c>
      <c r="E68" s="597">
        <v>93</v>
      </c>
      <c r="F68" s="597">
        <v>82</v>
      </c>
      <c r="G68" s="598">
        <v>92</v>
      </c>
      <c r="H68" s="599">
        <v>95</v>
      </c>
      <c r="I68" s="599">
        <v>82</v>
      </c>
      <c r="J68" s="599">
        <v>80</v>
      </c>
      <c r="K68" s="599">
        <v>76</v>
      </c>
      <c r="L68" s="599">
        <v>84</v>
      </c>
    </row>
    <row r="69" spans="2:12" s="6" customFormat="1" ht="15" customHeight="1" x14ac:dyDescent="0.2">
      <c r="B69" s="5833"/>
      <c r="C69" s="5837"/>
      <c r="D69" s="544" t="s">
        <v>220</v>
      </c>
      <c r="E69" s="597">
        <v>89</v>
      </c>
      <c r="F69" s="597">
        <v>118</v>
      </c>
      <c r="G69" s="598">
        <v>133</v>
      </c>
      <c r="H69" s="599">
        <v>100</v>
      </c>
      <c r="I69" s="599">
        <v>101</v>
      </c>
      <c r="J69" s="599">
        <v>123</v>
      </c>
      <c r="K69" s="599">
        <v>119</v>
      </c>
      <c r="L69" s="599">
        <v>118</v>
      </c>
    </row>
    <row r="70" spans="2:12" s="6" customFormat="1" ht="15" customHeight="1" x14ac:dyDescent="0.2">
      <c r="B70" s="5833"/>
      <c r="C70" s="5837"/>
      <c r="D70" s="544" t="s">
        <v>221</v>
      </c>
      <c r="E70" s="597">
        <v>55</v>
      </c>
      <c r="F70" s="597">
        <v>59</v>
      </c>
      <c r="G70" s="598">
        <v>68</v>
      </c>
      <c r="H70" s="599">
        <v>65</v>
      </c>
      <c r="I70" s="599">
        <v>45</v>
      </c>
      <c r="J70" s="599">
        <v>50</v>
      </c>
      <c r="K70" s="599">
        <v>61</v>
      </c>
      <c r="L70" s="599">
        <v>49</v>
      </c>
    </row>
    <row r="71" spans="2:12" s="6" customFormat="1" ht="15" customHeight="1" x14ac:dyDescent="0.2">
      <c r="B71" s="5833"/>
      <c r="C71" s="5837"/>
      <c r="D71" s="544" t="s">
        <v>222</v>
      </c>
      <c r="E71" s="597">
        <v>55</v>
      </c>
      <c r="F71" s="597">
        <v>53</v>
      </c>
      <c r="G71" s="598">
        <v>58</v>
      </c>
      <c r="H71" s="599">
        <v>80</v>
      </c>
      <c r="I71" s="599">
        <v>69</v>
      </c>
      <c r="J71" s="599">
        <v>66</v>
      </c>
      <c r="K71" s="599">
        <v>63</v>
      </c>
      <c r="L71" s="599">
        <v>60</v>
      </c>
    </row>
    <row r="72" spans="2:12" s="6" customFormat="1" ht="15" customHeight="1" x14ac:dyDescent="0.2">
      <c r="B72" s="5833"/>
      <c r="C72" s="5837"/>
      <c r="D72" s="544" t="s">
        <v>223</v>
      </c>
      <c r="E72" s="597">
        <v>26</v>
      </c>
      <c r="F72" s="597">
        <v>40</v>
      </c>
      <c r="G72" s="598">
        <v>29</v>
      </c>
      <c r="H72" s="599">
        <v>30</v>
      </c>
      <c r="I72" s="599">
        <v>27</v>
      </c>
      <c r="J72" s="599">
        <v>31</v>
      </c>
      <c r="K72" s="599">
        <v>50</v>
      </c>
      <c r="L72" s="599">
        <v>34</v>
      </c>
    </row>
    <row r="73" spans="2:12" s="6" customFormat="1" ht="15" customHeight="1" x14ac:dyDescent="0.2">
      <c r="B73" s="5833"/>
      <c r="C73" s="5838" t="s">
        <v>7</v>
      </c>
      <c r="D73" s="545" t="s">
        <v>168</v>
      </c>
      <c r="E73" s="600">
        <v>141</v>
      </c>
      <c r="F73" s="600">
        <v>81</v>
      </c>
      <c r="G73" s="601">
        <v>96</v>
      </c>
      <c r="H73" s="602">
        <v>89</v>
      </c>
      <c r="I73" s="602">
        <v>97</v>
      </c>
      <c r="J73" s="602">
        <v>115</v>
      </c>
      <c r="K73" s="602">
        <v>133</v>
      </c>
      <c r="L73" s="602">
        <v>152</v>
      </c>
    </row>
    <row r="74" spans="2:12" s="6" customFormat="1" ht="15" customHeight="1" x14ac:dyDescent="0.2">
      <c r="B74" s="5833"/>
      <c r="C74" s="5837"/>
      <c r="D74" s="544" t="s">
        <v>169</v>
      </c>
      <c r="E74" s="597">
        <v>39</v>
      </c>
      <c r="F74" s="597">
        <v>41</v>
      </c>
      <c r="G74" s="598">
        <v>41</v>
      </c>
      <c r="H74" s="599">
        <v>44</v>
      </c>
      <c r="I74" s="599">
        <v>42</v>
      </c>
      <c r="J74" s="599">
        <v>48</v>
      </c>
      <c r="K74" s="599">
        <v>53</v>
      </c>
      <c r="L74" s="599">
        <v>42</v>
      </c>
    </row>
    <row r="75" spans="2:12" s="6" customFormat="1" ht="15" customHeight="1" x14ac:dyDescent="0.2">
      <c r="B75" s="5833"/>
      <c r="C75" s="5837"/>
      <c r="D75" s="544" t="s">
        <v>170</v>
      </c>
      <c r="E75" s="597">
        <v>50</v>
      </c>
      <c r="F75" s="597">
        <v>45</v>
      </c>
      <c r="G75" s="598">
        <v>49</v>
      </c>
      <c r="H75" s="599">
        <v>53</v>
      </c>
      <c r="I75" s="599">
        <v>68</v>
      </c>
      <c r="J75" s="599">
        <v>54</v>
      </c>
      <c r="K75" s="599">
        <v>65</v>
      </c>
      <c r="L75" s="599">
        <v>75</v>
      </c>
    </row>
    <row r="76" spans="2:12" s="6" customFormat="1" ht="15" customHeight="1" x14ac:dyDescent="0.2">
      <c r="B76" s="5834"/>
      <c r="C76" s="5839"/>
      <c r="D76" s="546" t="s">
        <v>216</v>
      </c>
      <c r="E76" s="603">
        <v>39</v>
      </c>
      <c r="F76" s="603">
        <v>34</v>
      </c>
      <c r="G76" s="604">
        <v>45</v>
      </c>
      <c r="H76" s="605">
        <v>28</v>
      </c>
      <c r="I76" s="605">
        <v>22</v>
      </c>
      <c r="J76" s="605">
        <v>25</v>
      </c>
      <c r="K76" s="605">
        <v>24</v>
      </c>
      <c r="L76" s="605">
        <v>43</v>
      </c>
    </row>
    <row r="77" spans="2:12" s="7" customFormat="1" ht="15" x14ac:dyDescent="0.25">
      <c r="C77" s="5835" t="s">
        <v>76</v>
      </c>
      <c r="D77" s="5836"/>
      <c r="E77" s="614">
        <f>SUM(E6:E76)</f>
        <v>4020</v>
      </c>
      <c r="F77" s="614">
        <f t="shared" ref="F77:L77" si="0">SUM(F6:F76)</f>
        <v>4019</v>
      </c>
      <c r="G77" s="614">
        <f t="shared" si="0"/>
        <v>4245</v>
      </c>
      <c r="H77" s="614">
        <f t="shared" si="0"/>
        <v>4574</v>
      </c>
      <c r="I77" s="614">
        <f t="shared" si="0"/>
        <v>4341</v>
      </c>
      <c r="J77" s="614">
        <f t="shared" si="0"/>
        <v>4427</v>
      </c>
      <c r="K77" s="614">
        <f t="shared" si="0"/>
        <v>4287</v>
      </c>
      <c r="L77" s="614">
        <f t="shared" si="0"/>
        <v>4036</v>
      </c>
    </row>
    <row r="79" spans="2:12" x14ac:dyDescent="0.2">
      <c r="C79" s="321" t="s">
        <v>0</v>
      </c>
    </row>
  </sheetData>
  <mergeCells count="20">
    <mergeCell ref="C77:D77"/>
    <mergeCell ref="C33:C41"/>
    <mergeCell ref="C53:C58"/>
    <mergeCell ref="C42:C52"/>
    <mergeCell ref="C73:C76"/>
    <mergeCell ref="C65:C72"/>
    <mergeCell ref="B6:B22"/>
    <mergeCell ref="B23:B32"/>
    <mergeCell ref="B33:B58"/>
    <mergeCell ref="B59:B76"/>
    <mergeCell ref="C1:L1"/>
    <mergeCell ref="C2:L2"/>
    <mergeCell ref="C3:L3"/>
    <mergeCell ref="C20:C22"/>
    <mergeCell ref="C6:C15"/>
    <mergeCell ref="C16:C19"/>
    <mergeCell ref="C27:C29"/>
    <mergeCell ref="C30:C32"/>
    <mergeCell ref="C23:C26"/>
    <mergeCell ref="C59:C64"/>
  </mergeCells>
  <printOptions horizontalCentered="1" verticalCentered="1"/>
  <pageMargins left="1.0236220472440944" right="0.27559055118110237" top="0.31496062992125984" bottom="0.19685039370078741" header="0" footer="0.31496062992125984"/>
  <pageSetup scale="60" orientation="portrait" horizontalDpi="1200" verticalDpi="1200" r:id="rId1"/>
  <headerFooter alignWithMargins="0">
    <oddHeader>&amp;LANEXO ESTADÍSTICO 2008&amp;CCOBERTURA EDUCATIVA&amp;R&amp;G</oddHeader>
    <oddFooter>&amp;R24</oddFooter>
  </headerFooter>
  <ignoredErrors>
    <ignoredError sqref="E77:L77" formulaRange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R39"/>
  <sheetViews>
    <sheetView showGridLines="0" topLeftCell="A34" zoomScaleNormal="100" zoomScaleSheetLayoutView="50" workbookViewId="0">
      <selection activeCell="U69" sqref="U69"/>
    </sheetView>
  </sheetViews>
  <sheetFormatPr baseColWidth="10" defaultRowHeight="12.75" x14ac:dyDescent="0.2"/>
  <cols>
    <col min="1" max="1" width="17.7109375" customWidth="1"/>
    <col min="2" max="2" width="12.7109375" customWidth="1"/>
    <col min="3" max="18" width="9.7109375" customWidth="1"/>
    <col min="257" max="257" width="1.7109375" customWidth="1"/>
    <col min="258" max="258" width="20.85546875" customWidth="1"/>
    <col min="259" max="264" width="12.7109375" customWidth="1"/>
    <col min="265" max="265" width="11.42578125" customWidth="1"/>
    <col min="267" max="267" width="2.7109375" customWidth="1"/>
    <col min="513" max="513" width="1.7109375" customWidth="1"/>
    <col min="514" max="514" width="20.85546875" customWidth="1"/>
    <col min="515" max="520" width="12.7109375" customWidth="1"/>
    <col min="521" max="521" width="11.42578125" customWidth="1"/>
    <col min="523" max="523" width="2.7109375" customWidth="1"/>
    <col min="769" max="769" width="1.7109375" customWidth="1"/>
    <col min="770" max="770" width="20.85546875" customWidth="1"/>
    <col min="771" max="776" width="12.7109375" customWidth="1"/>
    <col min="777" max="777" width="11.42578125" customWidth="1"/>
    <col min="779" max="779" width="2.7109375" customWidth="1"/>
    <col min="1025" max="1025" width="1.7109375" customWidth="1"/>
    <col min="1026" max="1026" width="20.85546875" customWidth="1"/>
    <col min="1027" max="1032" width="12.7109375" customWidth="1"/>
    <col min="1033" max="1033" width="11.42578125" customWidth="1"/>
    <col min="1035" max="1035" width="2.7109375" customWidth="1"/>
    <col min="1281" max="1281" width="1.7109375" customWidth="1"/>
    <col min="1282" max="1282" width="20.85546875" customWidth="1"/>
    <col min="1283" max="1288" width="12.7109375" customWidth="1"/>
    <col min="1289" max="1289" width="11.42578125" customWidth="1"/>
    <col min="1291" max="1291" width="2.7109375" customWidth="1"/>
    <col min="1537" max="1537" width="1.7109375" customWidth="1"/>
    <col min="1538" max="1538" width="20.85546875" customWidth="1"/>
    <col min="1539" max="1544" width="12.7109375" customWidth="1"/>
    <col min="1545" max="1545" width="11.42578125" customWidth="1"/>
    <col min="1547" max="1547" width="2.7109375" customWidth="1"/>
    <col min="1793" max="1793" width="1.7109375" customWidth="1"/>
    <col min="1794" max="1794" width="20.85546875" customWidth="1"/>
    <col min="1795" max="1800" width="12.7109375" customWidth="1"/>
    <col min="1801" max="1801" width="11.42578125" customWidth="1"/>
    <col min="1803" max="1803" width="2.7109375" customWidth="1"/>
    <col min="2049" max="2049" width="1.7109375" customWidth="1"/>
    <col min="2050" max="2050" width="20.85546875" customWidth="1"/>
    <col min="2051" max="2056" width="12.7109375" customWidth="1"/>
    <col min="2057" max="2057" width="11.42578125" customWidth="1"/>
    <col min="2059" max="2059" width="2.7109375" customWidth="1"/>
    <col min="2305" max="2305" width="1.7109375" customWidth="1"/>
    <col min="2306" max="2306" width="20.85546875" customWidth="1"/>
    <col min="2307" max="2312" width="12.7109375" customWidth="1"/>
    <col min="2313" max="2313" width="11.42578125" customWidth="1"/>
    <col min="2315" max="2315" width="2.7109375" customWidth="1"/>
    <col min="2561" max="2561" width="1.7109375" customWidth="1"/>
    <col min="2562" max="2562" width="20.85546875" customWidth="1"/>
    <col min="2563" max="2568" width="12.7109375" customWidth="1"/>
    <col min="2569" max="2569" width="11.42578125" customWidth="1"/>
    <col min="2571" max="2571" width="2.7109375" customWidth="1"/>
    <col min="2817" max="2817" width="1.7109375" customWidth="1"/>
    <col min="2818" max="2818" width="20.85546875" customWidth="1"/>
    <col min="2819" max="2824" width="12.7109375" customWidth="1"/>
    <col min="2825" max="2825" width="11.42578125" customWidth="1"/>
    <col min="2827" max="2827" width="2.7109375" customWidth="1"/>
    <col min="3073" max="3073" width="1.7109375" customWidth="1"/>
    <col min="3074" max="3074" width="20.85546875" customWidth="1"/>
    <col min="3075" max="3080" width="12.7109375" customWidth="1"/>
    <col min="3081" max="3081" width="11.42578125" customWidth="1"/>
    <col min="3083" max="3083" width="2.7109375" customWidth="1"/>
    <col min="3329" max="3329" width="1.7109375" customWidth="1"/>
    <col min="3330" max="3330" width="20.85546875" customWidth="1"/>
    <col min="3331" max="3336" width="12.7109375" customWidth="1"/>
    <col min="3337" max="3337" width="11.42578125" customWidth="1"/>
    <col min="3339" max="3339" width="2.7109375" customWidth="1"/>
    <col min="3585" max="3585" width="1.7109375" customWidth="1"/>
    <col min="3586" max="3586" width="20.85546875" customWidth="1"/>
    <col min="3587" max="3592" width="12.7109375" customWidth="1"/>
    <col min="3593" max="3593" width="11.42578125" customWidth="1"/>
    <col min="3595" max="3595" width="2.7109375" customWidth="1"/>
    <col min="3841" max="3841" width="1.7109375" customWidth="1"/>
    <col min="3842" max="3842" width="20.85546875" customWidth="1"/>
    <col min="3843" max="3848" width="12.7109375" customWidth="1"/>
    <col min="3849" max="3849" width="11.42578125" customWidth="1"/>
    <col min="3851" max="3851" width="2.7109375" customWidth="1"/>
    <col min="4097" max="4097" width="1.7109375" customWidth="1"/>
    <col min="4098" max="4098" width="20.85546875" customWidth="1"/>
    <col min="4099" max="4104" width="12.7109375" customWidth="1"/>
    <col min="4105" max="4105" width="11.42578125" customWidth="1"/>
    <col min="4107" max="4107" width="2.7109375" customWidth="1"/>
    <col min="4353" max="4353" width="1.7109375" customWidth="1"/>
    <col min="4354" max="4354" width="20.85546875" customWidth="1"/>
    <col min="4355" max="4360" width="12.7109375" customWidth="1"/>
    <col min="4361" max="4361" width="11.42578125" customWidth="1"/>
    <col min="4363" max="4363" width="2.7109375" customWidth="1"/>
    <col min="4609" max="4609" width="1.7109375" customWidth="1"/>
    <col min="4610" max="4610" width="20.85546875" customWidth="1"/>
    <col min="4611" max="4616" width="12.7109375" customWidth="1"/>
    <col min="4617" max="4617" width="11.42578125" customWidth="1"/>
    <col min="4619" max="4619" width="2.7109375" customWidth="1"/>
    <col min="4865" max="4865" width="1.7109375" customWidth="1"/>
    <col min="4866" max="4866" width="20.85546875" customWidth="1"/>
    <col min="4867" max="4872" width="12.7109375" customWidth="1"/>
    <col min="4873" max="4873" width="11.42578125" customWidth="1"/>
    <col min="4875" max="4875" width="2.7109375" customWidth="1"/>
    <col min="5121" max="5121" width="1.7109375" customWidth="1"/>
    <col min="5122" max="5122" width="20.85546875" customWidth="1"/>
    <col min="5123" max="5128" width="12.7109375" customWidth="1"/>
    <col min="5129" max="5129" width="11.42578125" customWidth="1"/>
    <col min="5131" max="5131" width="2.7109375" customWidth="1"/>
    <col min="5377" max="5377" width="1.7109375" customWidth="1"/>
    <col min="5378" max="5378" width="20.85546875" customWidth="1"/>
    <col min="5379" max="5384" width="12.7109375" customWidth="1"/>
    <col min="5385" max="5385" width="11.42578125" customWidth="1"/>
    <col min="5387" max="5387" width="2.7109375" customWidth="1"/>
    <col min="5633" max="5633" width="1.7109375" customWidth="1"/>
    <col min="5634" max="5634" width="20.85546875" customWidth="1"/>
    <col min="5635" max="5640" width="12.7109375" customWidth="1"/>
    <col min="5641" max="5641" width="11.42578125" customWidth="1"/>
    <col min="5643" max="5643" width="2.7109375" customWidth="1"/>
    <col min="5889" max="5889" width="1.7109375" customWidth="1"/>
    <col min="5890" max="5890" width="20.85546875" customWidth="1"/>
    <col min="5891" max="5896" width="12.7109375" customWidth="1"/>
    <col min="5897" max="5897" width="11.42578125" customWidth="1"/>
    <col min="5899" max="5899" width="2.7109375" customWidth="1"/>
    <col min="6145" max="6145" width="1.7109375" customWidth="1"/>
    <col min="6146" max="6146" width="20.85546875" customWidth="1"/>
    <col min="6147" max="6152" width="12.7109375" customWidth="1"/>
    <col min="6153" max="6153" width="11.42578125" customWidth="1"/>
    <col min="6155" max="6155" width="2.7109375" customWidth="1"/>
    <col min="6401" max="6401" width="1.7109375" customWidth="1"/>
    <col min="6402" max="6402" width="20.85546875" customWidth="1"/>
    <col min="6403" max="6408" width="12.7109375" customWidth="1"/>
    <col min="6409" max="6409" width="11.42578125" customWidth="1"/>
    <col min="6411" max="6411" width="2.7109375" customWidth="1"/>
    <col min="6657" max="6657" width="1.7109375" customWidth="1"/>
    <col min="6658" max="6658" width="20.85546875" customWidth="1"/>
    <col min="6659" max="6664" width="12.7109375" customWidth="1"/>
    <col min="6665" max="6665" width="11.42578125" customWidth="1"/>
    <col min="6667" max="6667" width="2.7109375" customWidth="1"/>
    <col min="6913" max="6913" width="1.7109375" customWidth="1"/>
    <col min="6914" max="6914" width="20.85546875" customWidth="1"/>
    <col min="6915" max="6920" width="12.7109375" customWidth="1"/>
    <col min="6921" max="6921" width="11.42578125" customWidth="1"/>
    <col min="6923" max="6923" width="2.7109375" customWidth="1"/>
    <col min="7169" max="7169" width="1.7109375" customWidth="1"/>
    <col min="7170" max="7170" width="20.85546875" customWidth="1"/>
    <col min="7171" max="7176" width="12.7109375" customWidth="1"/>
    <col min="7177" max="7177" width="11.42578125" customWidth="1"/>
    <col min="7179" max="7179" width="2.7109375" customWidth="1"/>
    <col min="7425" max="7425" width="1.7109375" customWidth="1"/>
    <col min="7426" max="7426" width="20.85546875" customWidth="1"/>
    <col min="7427" max="7432" width="12.7109375" customWidth="1"/>
    <col min="7433" max="7433" width="11.42578125" customWidth="1"/>
    <col min="7435" max="7435" width="2.7109375" customWidth="1"/>
    <col min="7681" max="7681" width="1.7109375" customWidth="1"/>
    <col min="7682" max="7682" width="20.85546875" customWidth="1"/>
    <col min="7683" max="7688" width="12.7109375" customWidth="1"/>
    <col min="7689" max="7689" width="11.42578125" customWidth="1"/>
    <col min="7691" max="7691" width="2.7109375" customWidth="1"/>
    <col min="7937" max="7937" width="1.7109375" customWidth="1"/>
    <col min="7938" max="7938" width="20.85546875" customWidth="1"/>
    <col min="7939" max="7944" width="12.7109375" customWidth="1"/>
    <col min="7945" max="7945" width="11.42578125" customWidth="1"/>
    <col min="7947" max="7947" width="2.7109375" customWidth="1"/>
    <col min="8193" max="8193" width="1.7109375" customWidth="1"/>
    <col min="8194" max="8194" width="20.85546875" customWidth="1"/>
    <col min="8195" max="8200" width="12.7109375" customWidth="1"/>
    <col min="8201" max="8201" width="11.42578125" customWidth="1"/>
    <col min="8203" max="8203" width="2.7109375" customWidth="1"/>
    <col min="8449" max="8449" width="1.7109375" customWidth="1"/>
    <col min="8450" max="8450" width="20.85546875" customWidth="1"/>
    <col min="8451" max="8456" width="12.7109375" customWidth="1"/>
    <col min="8457" max="8457" width="11.42578125" customWidth="1"/>
    <col min="8459" max="8459" width="2.7109375" customWidth="1"/>
    <col min="8705" max="8705" width="1.7109375" customWidth="1"/>
    <col min="8706" max="8706" width="20.85546875" customWidth="1"/>
    <col min="8707" max="8712" width="12.7109375" customWidth="1"/>
    <col min="8713" max="8713" width="11.42578125" customWidth="1"/>
    <col min="8715" max="8715" width="2.7109375" customWidth="1"/>
    <col min="8961" max="8961" width="1.7109375" customWidth="1"/>
    <col min="8962" max="8962" width="20.85546875" customWidth="1"/>
    <col min="8963" max="8968" width="12.7109375" customWidth="1"/>
    <col min="8969" max="8969" width="11.42578125" customWidth="1"/>
    <col min="8971" max="8971" width="2.7109375" customWidth="1"/>
    <col min="9217" max="9217" width="1.7109375" customWidth="1"/>
    <col min="9218" max="9218" width="20.85546875" customWidth="1"/>
    <col min="9219" max="9224" width="12.7109375" customWidth="1"/>
    <col min="9225" max="9225" width="11.42578125" customWidth="1"/>
    <col min="9227" max="9227" width="2.7109375" customWidth="1"/>
    <col min="9473" max="9473" width="1.7109375" customWidth="1"/>
    <col min="9474" max="9474" width="20.85546875" customWidth="1"/>
    <col min="9475" max="9480" width="12.7109375" customWidth="1"/>
    <col min="9481" max="9481" width="11.42578125" customWidth="1"/>
    <col min="9483" max="9483" width="2.7109375" customWidth="1"/>
    <col min="9729" max="9729" width="1.7109375" customWidth="1"/>
    <col min="9730" max="9730" width="20.85546875" customWidth="1"/>
    <col min="9731" max="9736" width="12.7109375" customWidth="1"/>
    <col min="9737" max="9737" width="11.42578125" customWidth="1"/>
    <col min="9739" max="9739" width="2.7109375" customWidth="1"/>
    <col min="9985" max="9985" width="1.7109375" customWidth="1"/>
    <col min="9986" max="9986" width="20.85546875" customWidth="1"/>
    <col min="9987" max="9992" width="12.7109375" customWidth="1"/>
    <col min="9993" max="9993" width="11.42578125" customWidth="1"/>
    <col min="9995" max="9995" width="2.7109375" customWidth="1"/>
    <col min="10241" max="10241" width="1.7109375" customWidth="1"/>
    <col min="10242" max="10242" width="20.85546875" customWidth="1"/>
    <col min="10243" max="10248" width="12.7109375" customWidth="1"/>
    <col min="10249" max="10249" width="11.42578125" customWidth="1"/>
    <col min="10251" max="10251" width="2.7109375" customWidth="1"/>
    <col min="10497" max="10497" width="1.7109375" customWidth="1"/>
    <col min="10498" max="10498" width="20.85546875" customWidth="1"/>
    <col min="10499" max="10504" width="12.7109375" customWidth="1"/>
    <col min="10505" max="10505" width="11.42578125" customWidth="1"/>
    <col min="10507" max="10507" width="2.7109375" customWidth="1"/>
    <col min="10753" max="10753" width="1.7109375" customWidth="1"/>
    <col min="10754" max="10754" width="20.85546875" customWidth="1"/>
    <col min="10755" max="10760" width="12.7109375" customWidth="1"/>
    <col min="10761" max="10761" width="11.42578125" customWidth="1"/>
    <col min="10763" max="10763" width="2.7109375" customWidth="1"/>
    <col min="11009" max="11009" width="1.7109375" customWidth="1"/>
    <col min="11010" max="11010" width="20.85546875" customWidth="1"/>
    <col min="11011" max="11016" width="12.7109375" customWidth="1"/>
    <col min="11017" max="11017" width="11.42578125" customWidth="1"/>
    <col min="11019" max="11019" width="2.7109375" customWidth="1"/>
    <col min="11265" max="11265" width="1.7109375" customWidth="1"/>
    <col min="11266" max="11266" width="20.85546875" customWidth="1"/>
    <col min="11267" max="11272" width="12.7109375" customWidth="1"/>
    <col min="11273" max="11273" width="11.42578125" customWidth="1"/>
    <col min="11275" max="11275" width="2.7109375" customWidth="1"/>
    <col min="11521" max="11521" width="1.7109375" customWidth="1"/>
    <col min="11522" max="11522" width="20.85546875" customWidth="1"/>
    <col min="11523" max="11528" width="12.7109375" customWidth="1"/>
    <col min="11529" max="11529" width="11.42578125" customWidth="1"/>
    <col min="11531" max="11531" width="2.7109375" customWidth="1"/>
    <col min="11777" max="11777" width="1.7109375" customWidth="1"/>
    <col min="11778" max="11778" width="20.85546875" customWidth="1"/>
    <col min="11779" max="11784" width="12.7109375" customWidth="1"/>
    <col min="11785" max="11785" width="11.42578125" customWidth="1"/>
    <col min="11787" max="11787" width="2.7109375" customWidth="1"/>
    <col min="12033" max="12033" width="1.7109375" customWidth="1"/>
    <col min="12034" max="12034" width="20.85546875" customWidth="1"/>
    <col min="12035" max="12040" width="12.7109375" customWidth="1"/>
    <col min="12041" max="12041" width="11.42578125" customWidth="1"/>
    <col min="12043" max="12043" width="2.7109375" customWidth="1"/>
    <col min="12289" max="12289" width="1.7109375" customWidth="1"/>
    <col min="12290" max="12290" width="20.85546875" customWidth="1"/>
    <col min="12291" max="12296" width="12.7109375" customWidth="1"/>
    <col min="12297" max="12297" width="11.42578125" customWidth="1"/>
    <col min="12299" max="12299" width="2.7109375" customWidth="1"/>
    <col min="12545" max="12545" width="1.7109375" customWidth="1"/>
    <col min="12546" max="12546" width="20.85546875" customWidth="1"/>
    <col min="12547" max="12552" width="12.7109375" customWidth="1"/>
    <col min="12553" max="12553" width="11.42578125" customWidth="1"/>
    <col min="12555" max="12555" width="2.7109375" customWidth="1"/>
    <col min="12801" max="12801" width="1.7109375" customWidth="1"/>
    <col min="12802" max="12802" width="20.85546875" customWidth="1"/>
    <col min="12803" max="12808" width="12.7109375" customWidth="1"/>
    <col min="12809" max="12809" width="11.42578125" customWidth="1"/>
    <col min="12811" max="12811" width="2.7109375" customWidth="1"/>
    <col min="13057" max="13057" width="1.7109375" customWidth="1"/>
    <col min="13058" max="13058" width="20.85546875" customWidth="1"/>
    <col min="13059" max="13064" width="12.7109375" customWidth="1"/>
    <col min="13065" max="13065" width="11.42578125" customWidth="1"/>
    <col min="13067" max="13067" width="2.7109375" customWidth="1"/>
    <col min="13313" max="13313" width="1.7109375" customWidth="1"/>
    <col min="13314" max="13314" width="20.85546875" customWidth="1"/>
    <col min="13315" max="13320" width="12.7109375" customWidth="1"/>
    <col min="13321" max="13321" width="11.42578125" customWidth="1"/>
    <col min="13323" max="13323" width="2.7109375" customWidth="1"/>
    <col min="13569" max="13569" width="1.7109375" customWidth="1"/>
    <col min="13570" max="13570" width="20.85546875" customWidth="1"/>
    <col min="13571" max="13576" width="12.7109375" customWidth="1"/>
    <col min="13577" max="13577" width="11.42578125" customWidth="1"/>
    <col min="13579" max="13579" width="2.7109375" customWidth="1"/>
    <col min="13825" max="13825" width="1.7109375" customWidth="1"/>
    <col min="13826" max="13826" width="20.85546875" customWidth="1"/>
    <col min="13827" max="13832" width="12.7109375" customWidth="1"/>
    <col min="13833" max="13833" width="11.42578125" customWidth="1"/>
    <col min="13835" max="13835" width="2.7109375" customWidth="1"/>
    <col min="14081" max="14081" width="1.7109375" customWidth="1"/>
    <col min="14082" max="14082" width="20.85546875" customWidth="1"/>
    <col min="14083" max="14088" width="12.7109375" customWidth="1"/>
    <col min="14089" max="14089" width="11.42578125" customWidth="1"/>
    <col min="14091" max="14091" width="2.7109375" customWidth="1"/>
    <col min="14337" max="14337" width="1.7109375" customWidth="1"/>
    <col min="14338" max="14338" width="20.85546875" customWidth="1"/>
    <col min="14339" max="14344" width="12.7109375" customWidth="1"/>
    <col min="14345" max="14345" width="11.42578125" customWidth="1"/>
    <col min="14347" max="14347" width="2.7109375" customWidth="1"/>
    <col min="14593" max="14593" width="1.7109375" customWidth="1"/>
    <col min="14594" max="14594" width="20.85546875" customWidth="1"/>
    <col min="14595" max="14600" width="12.7109375" customWidth="1"/>
    <col min="14601" max="14601" width="11.42578125" customWidth="1"/>
    <col min="14603" max="14603" width="2.7109375" customWidth="1"/>
    <col min="14849" max="14849" width="1.7109375" customWidth="1"/>
    <col min="14850" max="14850" width="20.85546875" customWidth="1"/>
    <col min="14851" max="14856" width="12.7109375" customWidth="1"/>
    <col min="14857" max="14857" width="11.42578125" customWidth="1"/>
    <col min="14859" max="14859" width="2.7109375" customWidth="1"/>
    <col min="15105" max="15105" width="1.7109375" customWidth="1"/>
    <col min="15106" max="15106" width="20.85546875" customWidth="1"/>
    <col min="15107" max="15112" width="12.7109375" customWidth="1"/>
    <col min="15113" max="15113" width="11.42578125" customWidth="1"/>
    <col min="15115" max="15115" width="2.7109375" customWidth="1"/>
    <col min="15361" max="15361" width="1.7109375" customWidth="1"/>
    <col min="15362" max="15362" width="20.85546875" customWidth="1"/>
    <col min="15363" max="15368" width="12.7109375" customWidth="1"/>
    <col min="15369" max="15369" width="11.42578125" customWidth="1"/>
    <col min="15371" max="15371" width="2.7109375" customWidth="1"/>
    <col min="15617" max="15617" width="1.7109375" customWidth="1"/>
    <col min="15618" max="15618" width="20.85546875" customWidth="1"/>
    <col min="15619" max="15624" width="12.7109375" customWidth="1"/>
    <col min="15625" max="15625" width="11.42578125" customWidth="1"/>
    <col min="15627" max="15627" width="2.7109375" customWidth="1"/>
    <col min="15873" max="15873" width="1.7109375" customWidth="1"/>
    <col min="15874" max="15874" width="20.85546875" customWidth="1"/>
    <col min="15875" max="15880" width="12.7109375" customWidth="1"/>
    <col min="15881" max="15881" width="11.42578125" customWidth="1"/>
    <col min="15883" max="15883" width="2.7109375" customWidth="1"/>
    <col min="16129" max="16129" width="1.7109375" customWidth="1"/>
    <col min="16130" max="16130" width="20.85546875" customWidth="1"/>
    <col min="16131" max="16136" width="12.7109375" customWidth="1"/>
    <col min="16137" max="16137" width="11.42578125" customWidth="1"/>
    <col min="16139" max="16139" width="2.7109375" customWidth="1"/>
  </cols>
  <sheetData>
    <row r="1" spans="1:18" ht="15.75" x14ac:dyDescent="0.25">
      <c r="A1" s="4511" t="s">
        <v>1222</v>
      </c>
      <c r="C1" s="990"/>
      <c r="D1" s="990"/>
      <c r="E1" s="990"/>
      <c r="F1" s="990"/>
      <c r="G1" s="990"/>
      <c r="H1" s="990"/>
      <c r="I1" s="990"/>
      <c r="J1" s="990"/>
      <c r="K1" s="990"/>
    </row>
    <row r="2" spans="1:18" ht="15.75" x14ac:dyDescent="0.25">
      <c r="A2" s="2549" t="s">
        <v>785</v>
      </c>
      <c r="C2" s="990"/>
      <c r="D2" s="990"/>
      <c r="E2" s="990"/>
      <c r="F2" s="990"/>
      <c r="G2" s="990"/>
      <c r="H2" s="990"/>
      <c r="I2" s="990"/>
      <c r="J2" s="990"/>
      <c r="K2" s="990"/>
    </row>
    <row r="3" spans="1:18" ht="15" x14ac:dyDescent="0.2">
      <c r="A3" s="239"/>
      <c r="B3" s="239"/>
      <c r="C3" s="910"/>
      <c r="D3" s="239"/>
      <c r="E3" s="239"/>
      <c r="F3" s="239"/>
      <c r="G3" s="239"/>
      <c r="H3" s="239"/>
    </row>
    <row r="4" spans="1:18" ht="21" customHeight="1" x14ac:dyDescent="0.2">
      <c r="A4" s="1914" t="s">
        <v>16</v>
      </c>
      <c r="B4" s="562" t="s">
        <v>4</v>
      </c>
      <c r="C4" s="2213">
        <v>2002</v>
      </c>
      <c r="D4" s="1920">
        <v>2003</v>
      </c>
      <c r="E4" s="1920">
        <v>2004</v>
      </c>
      <c r="F4" s="1919">
        <v>2005</v>
      </c>
      <c r="G4" s="1921">
        <v>2006</v>
      </c>
      <c r="H4" s="1921">
        <v>2007</v>
      </c>
      <c r="I4" s="1921">
        <v>2008</v>
      </c>
      <c r="J4" s="1921">
        <v>2009</v>
      </c>
      <c r="K4" s="1921">
        <v>2010</v>
      </c>
      <c r="L4" s="1921">
        <v>2011</v>
      </c>
      <c r="M4" s="1921">
        <v>2012</v>
      </c>
      <c r="N4" s="1921">
        <v>2013</v>
      </c>
      <c r="O4" s="1921">
        <v>2014</v>
      </c>
      <c r="P4" s="3938">
        <v>2015</v>
      </c>
      <c r="Q4" s="4932">
        <v>2016</v>
      </c>
      <c r="R4" s="5240">
        <v>2017</v>
      </c>
    </row>
    <row r="5" spans="1:18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Q5" s="250"/>
      <c r="R5" s="250"/>
    </row>
    <row r="6" spans="1:18" ht="15" customHeight="1" x14ac:dyDescent="0.2">
      <c r="A6" s="5849" t="s">
        <v>3</v>
      </c>
      <c r="B6" s="1935" t="s">
        <v>5</v>
      </c>
      <c r="C6" s="1936">
        <v>855</v>
      </c>
      <c r="D6" s="1936">
        <v>785</v>
      </c>
      <c r="E6" s="1936">
        <v>861</v>
      </c>
      <c r="F6" s="1936">
        <v>831</v>
      </c>
      <c r="G6" s="1936">
        <v>966</v>
      </c>
      <c r="H6" s="1936">
        <v>738</v>
      </c>
      <c r="I6" s="1936">
        <v>823</v>
      </c>
      <c r="J6" s="1936">
        <v>832</v>
      </c>
      <c r="K6" s="1936">
        <v>760</v>
      </c>
      <c r="L6" s="1936">
        <v>668</v>
      </c>
      <c r="M6" s="1936">
        <v>574</v>
      </c>
      <c r="N6" s="1936">
        <v>592</v>
      </c>
      <c r="O6" s="1936">
        <v>918</v>
      </c>
      <c r="P6" s="1936">
        <v>845</v>
      </c>
      <c r="Q6" s="1936">
        <v>568</v>
      </c>
      <c r="R6" s="1936">
        <v>1288</v>
      </c>
    </row>
    <row r="7" spans="1:18" ht="15" customHeight="1" x14ac:dyDescent="0.2">
      <c r="A7" s="5850"/>
      <c r="B7" s="1937" t="s">
        <v>6</v>
      </c>
      <c r="C7" s="1938">
        <v>561</v>
      </c>
      <c r="D7" s="1938">
        <v>543</v>
      </c>
      <c r="E7" s="1938">
        <v>507</v>
      </c>
      <c r="F7" s="1938">
        <v>436</v>
      </c>
      <c r="G7" s="1938">
        <v>513</v>
      </c>
      <c r="H7" s="1938">
        <v>492</v>
      </c>
      <c r="I7" s="1938">
        <v>483</v>
      </c>
      <c r="J7" s="1938">
        <v>477</v>
      </c>
      <c r="K7" s="1938">
        <v>519</v>
      </c>
      <c r="L7" s="1938">
        <v>485</v>
      </c>
      <c r="M7" s="1938">
        <v>484</v>
      </c>
      <c r="N7" s="1938">
        <v>420</v>
      </c>
      <c r="O7" s="1938">
        <v>427</v>
      </c>
      <c r="P7" s="1938">
        <v>423</v>
      </c>
      <c r="Q7" s="1938">
        <v>244</v>
      </c>
      <c r="R7" s="1938">
        <v>648</v>
      </c>
    </row>
    <row r="8" spans="1:18" ht="15" customHeight="1" x14ac:dyDescent="0.2">
      <c r="A8" s="5850"/>
      <c r="B8" s="1937" t="s">
        <v>7</v>
      </c>
      <c r="C8" s="1938">
        <v>301</v>
      </c>
      <c r="D8" s="1938">
        <v>282</v>
      </c>
      <c r="E8" s="1938">
        <v>258</v>
      </c>
      <c r="F8" s="1938">
        <v>240</v>
      </c>
      <c r="G8" s="1938">
        <v>264</v>
      </c>
      <c r="H8" s="1938">
        <v>239</v>
      </c>
      <c r="I8" s="1938">
        <v>263</v>
      </c>
      <c r="J8" s="1938">
        <v>225</v>
      </c>
      <c r="K8" s="1938">
        <v>247</v>
      </c>
      <c r="L8" s="1938">
        <v>238</v>
      </c>
      <c r="M8" s="1938">
        <v>236</v>
      </c>
      <c r="N8" s="1938">
        <v>258</v>
      </c>
      <c r="O8" s="1938">
        <v>230</v>
      </c>
      <c r="P8" s="1938">
        <v>226</v>
      </c>
      <c r="Q8" s="1938">
        <v>178</v>
      </c>
      <c r="R8" s="1938">
        <v>277</v>
      </c>
    </row>
    <row r="9" spans="1:18" ht="15" x14ac:dyDescent="0.2">
      <c r="A9" s="5851"/>
      <c r="B9" s="1941" t="s">
        <v>12</v>
      </c>
      <c r="C9" s="1942">
        <f t="shared" ref="C9:K9" si="0">SUM(C6:C8)</f>
        <v>1717</v>
      </c>
      <c r="D9" s="1942">
        <f t="shared" si="0"/>
        <v>1610</v>
      </c>
      <c r="E9" s="1942">
        <f>SUM(E6:E8)</f>
        <v>1626</v>
      </c>
      <c r="F9" s="1942">
        <f t="shared" si="0"/>
        <v>1507</v>
      </c>
      <c r="G9" s="1942">
        <f t="shared" si="0"/>
        <v>1743</v>
      </c>
      <c r="H9" s="1942">
        <f t="shared" si="0"/>
        <v>1469</v>
      </c>
      <c r="I9" s="1942">
        <f t="shared" si="0"/>
        <v>1569</v>
      </c>
      <c r="J9" s="1942">
        <f t="shared" si="0"/>
        <v>1534</v>
      </c>
      <c r="K9" s="1942">
        <f t="shared" si="0"/>
        <v>1526</v>
      </c>
      <c r="L9" s="1942">
        <f t="shared" ref="L9:Q9" si="1">SUM(L6:L8)</f>
        <v>1391</v>
      </c>
      <c r="M9" s="1942">
        <f t="shared" si="1"/>
        <v>1294</v>
      </c>
      <c r="N9" s="1942">
        <f t="shared" si="1"/>
        <v>1270</v>
      </c>
      <c r="O9" s="1942">
        <f t="shared" si="1"/>
        <v>1575</v>
      </c>
      <c r="P9" s="1942">
        <f t="shared" si="1"/>
        <v>1494</v>
      </c>
      <c r="Q9" s="1942">
        <f t="shared" si="1"/>
        <v>990</v>
      </c>
      <c r="R9" s="1942">
        <f>SUM(R6:R8)</f>
        <v>2213</v>
      </c>
    </row>
    <row r="10" spans="1:18" ht="15" x14ac:dyDescent="0.25">
      <c r="A10" s="1001"/>
      <c r="B10" s="1943"/>
      <c r="C10" s="1944"/>
      <c r="D10" s="1944"/>
      <c r="E10" s="1944"/>
      <c r="F10" s="1944"/>
      <c r="G10" s="1944"/>
      <c r="H10" s="1944"/>
      <c r="I10" s="1944"/>
      <c r="J10" s="1944"/>
      <c r="K10" s="1944"/>
      <c r="L10" s="1944"/>
      <c r="M10" s="1944"/>
      <c r="N10" s="1944"/>
      <c r="O10" s="1944"/>
      <c r="P10" s="1944"/>
      <c r="Q10" s="1944"/>
      <c r="R10" s="1944"/>
    </row>
    <row r="11" spans="1:18" ht="15" x14ac:dyDescent="0.2">
      <c r="A11" s="5840" t="s">
        <v>8</v>
      </c>
      <c r="B11" s="1935" t="s">
        <v>6</v>
      </c>
      <c r="C11" s="1936"/>
      <c r="D11" s="1936"/>
      <c r="E11" s="1936"/>
      <c r="F11" s="1936"/>
      <c r="G11" s="1936">
        <v>1</v>
      </c>
      <c r="H11" s="1936">
        <v>1</v>
      </c>
      <c r="I11" s="1936">
        <v>2</v>
      </c>
      <c r="J11" s="1936">
        <v>2</v>
      </c>
      <c r="K11" s="1936">
        <v>2</v>
      </c>
      <c r="L11" s="1936">
        <v>2</v>
      </c>
      <c r="M11" s="1936"/>
      <c r="N11" s="1936"/>
      <c r="O11" s="1936">
        <v>2</v>
      </c>
      <c r="P11" s="1936">
        <v>30</v>
      </c>
      <c r="Q11" s="1936">
        <v>4</v>
      </c>
      <c r="R11" s="1936">
        <v>46</v>
      </c>
    </row>
    <row r="12" spans="1:18" ht="15" x14ac:dyDescent="0.2">
      <c r="A12" s="5841"/>
      <c r="B12" s="1937" t="s">
        <v>9</v>
      </c>
      <c r="C12" s="1938"/>
      <c r="D12" s="1938"/>
      <c r="E12" s="1938"/>
      <c r="F12" s="1938"/>
      <c r="G12" s="1938">
        <v>0</v>
      </c>
      <c r="H12" s="1938">
        <v>3</v>
      </c>
      <c r="I12" s="1938">
        <v>5</v>
      </c>
      <c r="J12" s="1938">
        <v>5</v>
      </c>
      <c r="K12" s="1938">
        <v>2</v>
      </c>
      <c r="L12" s="1938"/>
      <c r="M12" s="1938"/>
      <c r="N12" s="1938"/>
      <c r="O12" s="1938">
        <v>0</v>
      </c>
      <c r="P12" s="1938">
        <v>23</v>
      </c>
      <c r="Q12" s="1938">
        <v>4</v>
      </c>
      <c r="R12" s="1938">
        <v>79</v>
      </c>
    </row>
    <row r="13" spans="1:18" ht="15" x14ac:dyDescent="0.2">
      <c r="A13" s="5841"/>
      <c r="B13" s="1937" t="s">
        <v>74</v>
      </c>
      <c r="C13" s="1938"/>
      <c r="D13" s="1938"/>
      <c r="E13" s="1938"/>
      <c r="F13" s="1938"/>
      <c r="G13" s="1938">
        <v>2</v>
      </c>
      <c r="H13" s="1938">
        <v>1</v>
      </c>
      <c r="I13" s="1938">
        <v>3</v>
      </c>
      <c r="J13" s="1938">
        <v>5</v>
      </c>
      <c r="K13" s="1938">
        <v>4</v>
      </c>
      <c r="L13" s="1938"/>
      <c r="M13" s="1938"/>
      <c r="N13" s="1938">
        <v>3</v>
      </c>
      <c r="O13" s="1938">
        <v>0</v>
      </c>
      <c r="P13" s="1938">
        <v>20</v>
      </c>
      <c r="Q13" s="1938">
        <v>5</v>
      </c>
      <c r="R13" s="1938">
        <v>44</v>
      </c>
    </row>
    <row r="14" spans="1:18" ht="15" x14ac:dyDescent="0.2">
      <c r="A14" s="5842"/>
      <c r="B14" s="1941" t="s">
        <v>12</v>
      </c>
      <c r="C14" s="1942"/>
      <c r="D14" s="1942"/>
      <c r="E14" s="1942"/>
      <c r="F14" s="1942"/>
      <c r="G14" s="1942">
        <f t="shared" ref="G14:L14" si="2">SUM(G11:G13)</f>
        <v>3</v>
      </c>
      <c r="H14" s="1942">
        <f t="shared" si="2"/>
        <v>5</v>
      </c>
      <c r="I14" s="1942">
        <f t="shared" si="2"/>
        <v>10</v>
      </c>
      <c r="J14" s="1942">
        <f t="shared" si="2"/>
        <v>12</v>
      </c>
      <c r="K14" s="1942">
        <f t="shared" si="2"/>
        <v>8</v>
      </c>
      <c r="L14" s="1942">
        <f t="shared" si="2"/>
        <v>2</v>
      </c>
      <c r="M14" s="1942"/>
      <c r="N14" s="1942">
        <f>SUM(N11:N13)</f>
        <v>3</v>
      </c>
      <c r="O14" s="1942">
        <f>SUM(O11:O13)</f>
        <v>2</v>
      </c>
      <c r="P14" s="1942">
        <f>SUM(P11:P13)</f>
        <v>73</v>
      </c>
      <c r="Q14" s="1942">
        <f>SUM(Q11:Q13)</f>
        <v>13</v>
      </c>
      <c r="R14" s="1942">
        <f>SUM(R11:R13)</f>
        <v>169</v>
      </c>
    </row>
    <row r="15" spans="1:18" ht="15" x14ac:dyDescent="0.25">
      <c r="A15" s="1001"/>
      <c r="B15" s="1943"/>
      <c r="C15" s="1944"/>
      <c r="D15" s="1944"/>
      <c r="E15" s="1944"/>
      <c r="F15" s="1944"/>
      <c r="G15" s="1944"/>
      <c r="H15" s="1944"/>
      <c r="I15" s="1944"/>
      <c r="J15" s="1944"/>
      <c r="K15" s="1944"/>
      <c r="L15" s="1944"/>
      <c r="M15" s="1944"/>
      <c r="N15" s="1944"/>
      <c r="O15" s="1944"/>
      <c r="P15" s="1944"/>
      <c r="Q15" s="1944"/>
      <c r="R15" s="1944"/>
    </row>
    <row r="16" spans="1:18" ht="15" x14ac:dyDescent="0.2">
      <c r="A16" s="5843" t="s">
        <v>75</v>
      </c>
      <c r="B16" s="1935" t="s">
        <v>5</v>
      </c>
      <c r="C16" s="1936">
        <v>670</v>
      </c>
      <c r="D16" s="1936">
        <v>479</v>
      </c>
      <c r="E16" s="1936">
        <v>476</v>
      </c>
      <c r="F16" s="1936">
        <v>546</v>
      </c>
      <c r="G16" s="1936">
        <v>681</v>
      </c>
      <c r="H16" s="1936">
        <v>548</v>
      </c>
      <c r="I16" s="1936">
        <v>456</v>
      </c>
      <c r="J16" s="1936">
        <v>455</v>
      </c>
      <c r="K16" s="1936">
        <v>441</v>
      </c>
      <c r="L16" s="1936">
        <v>321</v>
      </c>
      <c r="M16" s="1936">
        <v>341</v>
      </c>
      <c r="N16" s="1936">
        <v>301</v>
      </c>
      <c r="O16" s="1936">
        <v>319</v>
      </c>
      <c r="P16" s="1936">
        <v>378</v>
      </c>
      <c r="Q16" s="1936">
        <v>226</v>
      </c>
      <c r="R16" s="1936">
        <v>465</v>
      </c>
    </row>
    <row r="17" spans="1:18" ht="15" x14ac:dyDescent="0.2">
      <c r="A17" s="5844"/>
      <c r="B17" s="1937" t="s">
        <v>6</v>
      </c>
      <c r="C17" s="1938">
        <v>620</v>
      </c>
      <c r="D17" s="1938">
        <v>515</v>
      </c>
      <c r="E17" s="1938">
        <v>548</v>
      </c>
      <c r="F17" s="1938">
        <v>607</v>
      </c>
      <c r="G17" s="1938">
        <v>648</v>
      </c>
      <c r="H17" s="1938">
        <v>571</v>
      </c>
      <c r="I17" s="1938">
        <v>641</v>
      </c>
      <c r="J17" s="1938">
        <v>552</v>
      </c>
      <c r="K17" s="1938">
        <v>508</v>
      </c>
      <c r="L17" s="1938">
        <v>427</v>
      </c>
      <c r="M17" s="1938">
        <v>494</v>
      </c>
      <c r="N17" s="1938">
        <v>445</v>
      </c>
      <c r="O17" s="1938">
        <v>525</v>
      </c>
      <c r="P17" s="1938">
        <v>538</v>
      </c>
      <c r="Q17" s="1938">
        <v>233</v>
      </c>
      <c r="R17" s="1938">
        <v>959</v>
      </c>
    </row>
    <row r="18" spans="1:18" ht="15" x14ac:dyDescent="0.2">
      <c r="A18" s="5844"/>
      <c r="B18" s="1937" t="s">
        <v>11</v>
      </c>
      <c r="C18" s="1938">
        <v>301</v>
      </c>
      <c r="D18" s="1938">
        <v>218</v>
      </c>
      <c r="E18" s="1938">
        <v>291</v>
      </c>
      <c r="F18" s="1938">
        <v>433</v>
      </c>
      <c r="G18" s="1938">
        <v>465</v>
      </c>
      <c r="H18" s="1938">
        <v>520</v>
      </c>
      <c r="I18" s="1938">
        <v>470</v>
      </c>
      <c r="J18" s="1938">
        <v>428</v>
      </c>
      <c r="K18" s="1938">
        <v>215</v>
      </c>
      <c r="L18" s="1938">
        <v>257</v>
      </c>
      <c r="M18" s="1938">
        <v>213</v>
      </c>
      <c r="N18" s="1938">
        <v>184</v>
      </c>
      <c r="O18" s="1938">
        <v>220</v>
      </c>
      <c r="P18" s="1938">
        <v>202</v>
      </c>
      <c r="Q18" s="1938">
        <v>153</v>
      </c>
      <c r="R18" s="1938">
        <v>368</v>
      </c>
    </row>
    <row r="19" spans="1:18" ht="15" x14ac:dyDescent="0.2">
      <c r="A19" s="5845"/>
      <c r="B19" s="1941" t="s">
        <v>12</v>
      </c>
      <c r="C19" s="1942">
        <f t="shared" ref="C19:K19" si="3">SUM(C16:C18)</f>
        <v>1591</v>
      </c>
      <c r="D19" s="1942">
        <f t="shared" si="3"/>
        <v>1212</v>
      </c>
      <c r="E19" s="1942">
        <f>SUM(E16:E18)</f>
        <v>1315</v>
      </c>
      <c r="F19" s="1942">
        <f t="shared" si="3"/>
        <v>1586</v>
      </c>
      <c r="G19" s="1942">
        <f t="shared" si="3"/>
        <v>1794</v>
      </c>
      <c r="H19" s="1942">
        <f t="shared" si="3"/>
        <v>1639</v>
      </c>
      <c r="I19" s="1942">
        <f t="shared" si="3"/>
        <v>1567</v>
      </c>
      <c r="J19" s="1942">
        <f t="shared" si="3"/>
        <v>1435</v>
      </c>
      <c r="K19" s="1942">
        <f t="shared" si="3"/>
        <v>1164</v>
      </c>
      <c r="L19" s="1942">
        <f t="shared" ref="L19:Q19" si="4">SUM(L16:L18)</f>
        <v>1005</v>
      </c>
      <c r="M19" s="1942">
        <f t="shared" si="4"/>
        <v>1048</v>
      </c>
      <c r="N19" s="1942">
        <f t="shared" si="4"/>
        <v>930</v>
      </c>
      <c r="O19" s="1942">
        <f t="shared" si="4"/>
        <v>1064</v>
      </c>
      <c r="P19" s="1942">
        <f t="shared" si="4"/>
        <v>1118</v>
      </c>
      <c r="Q19" s="1942">
        <f t="shared" si="4"/>
        <v>612</v>
      </c>
      <c r="R19" s="1942">
        <f>SUM(R16:R18)</f>
        <v>1792</v>
      </c>
    </row>
    <row r="20" spans="1:18" ht="15" x14ac:dyDescent="0.25">
      <c r="A20" s="1001"/>
      <c r="B20" s="1945"/>
      <c r="C20" s="1932"/>
      <c r="D20" s="1932"/>
      <c r="E20" s="1932"/>
      <c r="F20" s="1932"/>
      <c r="G20" s="1932"/>
      <c r="H20" s="1932"/>
      <c r="I20" s="1932"/>
      <c r="J20" s="1932"/>
      <c r="K20" s="1932"/>
      <c r="L20" s="1932"/>
      <c r="M20" s="1932"/>
      <c r="N20" s="1932"/>
      <c r="O20" s="1932"/>
      <c r="P20" s="1932"/>
      <c r="Q20" s="1932"/>
      <c r="R20" s="1932"/>
    </row>
    <row r="21" spans="1:18" ht="15" x14ac:dyDescent="0.2">
      <c r="A21" s="5852" t="s">
        <v>325</v>
      </c>
      <c r="B21" s="1935" t="s">
        <v>5</v>
      </c>
      <c r="C21" s="1936"/>
      <c r="D21" s="1936"/>
      <c r="E21" s="1936"/>
      <c r="F21" s="1936"/>
      <c r="G21" s="1936"/>
      <c r="H21" s="1936"/>
      <c r="I21" s="1936"/>
      <c r="J21" s="1936"/>
      <c r="K21" s="1936"/>
      <c r="L21" s="1936">
        <v>1</v>
      </c>
      <c r="M21" s="1936"/>
      <c r="N21" s="1936">
        <v>4</v>
      </c>
      <c r="O21" s="1936">
        <v>3</v>
      </c>
      <c r="P21" s="1936"/>
      <c r="Q21" s="1936">
        <v>1</v>
      </c>
      <c r="R21" s="1936"/>
    </row>
    <row r="22" spans="1:18" ht="15" x14ac:dyDescent="0.2">
      <c r="A22" s="5853"/>
      <c r="B22" s="1937" t="s">
        <v>6</v>
      </c>
      <c r="C22" s="1938"/>
      <c r="D22" s="1938"/>
      <c r="E22" s="1938"/>
      <c r="F22" s="1938"/>
      <c r="G22" s="1938"/>
      <c r="H22" s="1938"/>
      <c r="I22" s="1938"/>
      <c r="J22" s="1938"/>
      <c r="K22" s="1938"/>
      <c r="L22" s="1938">
        <v>2</v>
      </c>
      <c r="M22" s="1938"/>
      <c r="N22" s="1938">
        <v>1</v>
      </c>
      <c r="O22" s="1938">
        <v>1</v>
      </c>
      <c r="P22" s="1938"/>
      <c r="Q22" s="1938">
        <v>0</v>
      </c>
      <c r="R22" s="1938"/>
    </row>
    <row r="23" spans="1:18" ht="15" x14ac:dyDescent="0.2">
      <c r="A23" s="5853"/>
      <c r="B23" s="1937" t="s">
        <v>11</v>
      </c>
      <c r="C23" s="1938"/>
      <c r="D23" s="1938"/>
      <c r="E23" s="1938"/>
      <c r="F23" s="1938"/>
      <c r="G23" s="1938"/>
      <c r="H23" s="1938"/>
      <c r="I23" s="1938"/>
      <c r="J23" s="1938"/>
      <c r="K23" s="1938"/>
      <c r="L23" s="1938"/>
      <c r="M23" s="1938"/>
      <c r="N23" s="1938">
        <v>2</v>
      </c>
      <c r="O23" s="1938">
        <v>2</v>
      </c>
      <c r="P23" s="1938"/>
      <c r="Q23" s="1938">
        <v>2</v>
      </c>
      <c r="R23" s="1938"/>
    </row>
    <row r="24" spans="1:18" ht="15" x14ac:dyDescent="0.2">
      <c r="A24" s="5854"/>
      <c r="B24" s="1941" t="s">
        <v>12</v>
      </c>
      <c r="C24" s="1942"/>
      <c r="D24" s="1942"/>
      <c r="E24" s="1942"/>
      <c r="F24" s="1942"/>
      <c r="G24" s="1942"/>
      <c r="H24" s="1942"/>
      <c r="I24" s="1942"/>
      <c r="J24" s="1942"/>
      <c r="K24" s="1942"/>
      <c r="L24" s="1942">
        <f>SUM(L21:L23)</f>
        <v>3</v>
      </c>
      <c r="M24" s="1942"/>
      <c r="N24" s="1942">
        <f>SUM(N21:N23)</f>
        <v>7</v>
      </c>
      <c r="O24" s="1942">
        <f>SUM(O21:O23)</f>
        <v>6</v>
      </c>
      <c r="P24" s="1942"/>
      <c r="Q24" s="1942">
        <f>SUM(Q21:Q23)</f>
        <v>3</v>
      </c>
      <c r="R24" s="1942"/>
    </row>
    <row r="25" spans="1:18" ht="15" x14ac:dyDescent="0.25">
      <c r="A25" s="1001"/>
      <c r="B25" s="1943"/>
      <c r="C25" s="1944"/>
      <c r="D25" s="1944"/>
      <c r="E25" s="1944"/>
      <c r="F25" s="1944"/>
      <c r="G25" s="1944"/>
      <c r="H25" s="1944"/>
      <c r="I25" s="1944"/>
      <c r="J25" s="1944"/>
      <c r="K25" s="1944"/>
      <c r="L25" s="1944"/>
      <c r="M25" s="1944"/>
      <c r="N25" s="1944"/>
      <c r="O25" s="1944"/>
      <c r="P25" s="1944"/>
      <c r="Q25" s="1944"/>
      <c r="R25" s="1944"/>
    </row>
    <row r="26" spans="1:18" ht="15" x14ac:dyDescent="0.2">
      <c r="A26" s="5846" t="s">
        <v>10</v>
      </c>
      <c r="B26" s="1935" t="s">
        <v>6</v>
      </c>
      <c r="C26" s="1936">
        <v>451</v>
      </c>
      <c r="D26" s="1936">
        <v>430</v>
      </c>
      <c r="E26" s="1936">
        <v>396</v>
      </c>
      <c r="F26" s="1936">
        <v>452</v>
      </c>
      <c r="G26" s="1936">
        <v>379</v>
      </c>
      <c r="H26" s="1936">
        <v>511</v>
      </c>
      <c r="I26" s="1936">
        <v>526</v>
      </c>
      <c r="J26" s="1936">
        <v>516</v>
      </c>
      <c r="K26" s="1936">
        <v>532</v>
      </c>
      <c r="L26" s="1936">
        <v>489</v>
      </c>
      <c r="M26" s="1936">
        <v>510</v>
      </c>
      <c r="N26" s="1936">
        <v>434</v>
      </c>
      <c r="O26" s="1936">
        <v>481</v>
      </c>
      <c r="P26" s="1936">
        <v>421</v>
      </c>
      <c r="Q26" s="1936">
        <v>217</v>
      </c>
      <c r="R26" s="1936">
        <v>657</v>
      </c>
    </row>
    <row r="27" spans="1:18" ht="15" x14ac:dyDescent="0.2">
      <c r="A27" s="5847"/>
      <c r="B27" s="1937" t="s">
        <v>11</v>
      </c>
      <c r="C27" s="1938">
        <v>577</v>
      </c>
      <c r="D27" s="1938">
        <v>508</v>
      </c>
      <c r="E27" s="1938">
        <v>540</v>
      </c>
      <c r="F27" s="1938">
        <v>560</v>
      </c>
      <c r="G27" s="1938">
        <v>560</v>
      </c>
      <c r="H27" s="1938">
        <v>488</v>
      </c>
      <c r="I27" s="1938">
        <v>513</v>
      </c>
      <c r="J27" s="1938">
        <v>515</v>
      </c>
      <c r="K27" s="1938">
        <v>494</v>
      </c>
      <c r="L27" s="1938">
        <v>470</v>
      </c>
      <c r="M27" s="1938">
        <v>439</v>
      </c>
      <c r="N27" s="1938">
        <v>385</v>
      </c>
      <c r="O27" s="1938">
        <v>436</v>
      </c>
      <c r="P27" s="1938">
        <v>487</v>
      </c>
      <c r="Q27" s="1938">
        <v>248</v>
      </c>
      <c r="R27" s="1938">
        <v>616</v>
      </c>
    </row>
    <row r="28" spans="1:18" ht="15" x14ac:dyDescent="0.2">
      <c r="A28" s="5847"/>
      <c r="B28" s="1937" t="s">
        <v>7</v>
      </c>
      <c r="C28" s="1938">
        <v>312</v>
      </c>
      <c r="D28" s="1938">
        <v>261</v>
      </c>
      <c r="E28" s="1938">
        <v>185</v>
      </c>
      <c r="F28" s="1938">
        <v>213</v>
      </c>
      <c r="G28" s="1938">
        <v>209</v>
      </c>
      <c r="H28" s="1938">
        <v>229</v>
      </c>
      <c r="I28" s="1938">
        <v>242</v>
      </c>
      <c r="J28" s="1938">
        <v>275</v>
      </c>
      <c r="K28" s="1938">
        <v>312</v>
      </c>
      <c r="L28" s="1938">
        <v>248</v>
      </c>
      <c r="M28" s="1938">
        <v>241</v>
      </c>
      <c r="N28" s="1938">
        <v>188</v>
      </c>
      <c r="O28" s="1938">
        <v>198</v>
      </c>
      <c r="P28" s="1938">
        <v>200</v>
      </c>
      <c r="Q28" s="1938">
        <v>117</v>
      </c>
      <c r="R28" s="1938">
        <v>371</v>
      </c>
    </row>
    <row r="29" spans="1:18" ht="15" x14ac:dyDescent="0.2">
      <c r="A29" s="5848"/>
      <c r="B29" s="1941" t="s">
        <v>12</v>
      </c>
      <c r="C29" s="1942">
        <f t="shared" ref="C29:K29" si="5">SUM(C26:C28)</f>
        <v>1340</v>
      </c>
      <c r="D29" s="1942">
        <f t="shared" si="5"/>
        <v>1199</v>
      </c>
      <c r="E29" s="1942">
        <f t="shared" si="5"/>
        <v>1121</v>
      </c>
      <c r="F29" s="1942">
        <f t="shared" si="5"/>
        <v>1225</v>
      </c>
      <c r="G29" s="1942">
        <f t="shared" si="5"/>
        <v>1148</v>
      </c>
      <c r="H29" s="1942">
        <f t="shared" si="5"/>
        <v>1228</v>
      </c>
      <c r="I29" s="1942">
        <f t="shared" si="5"/>
        <v>1281</v>
      </c>
      <c r="J29" s="1942">
        <f t="shared" si="5"/>
        <v>1306</v>
      </c>
      <c r="K29" s="1942">
        <f t="shared" si="5"/>
        <v>1338</v>
      </c>
      <c r="L29" s="1942">
        <f t="shared" ref="L29:Q29" si="6">SUM(L26:L28)</f>
        <v>1207</v>
      </c>
      <c r="M29" s="1942">
        <f t="shared" si="6"/>
        <v>1190</v>
      </c>
      <c r="N29" s="1942">
        <f t="shared" si="6"/>
        <v>1007</v>
      </c>
      <c r="O29" s="1942">
        <f t="shared" si="6"/>
        <v>1115</v>
      </c>
      <c r="P29" s="1942">
        <f t="shared" si="6"/>
        <v>1108</v>
      </c>
      <c r="Q29" s="1942">
        <f t="shared" si="6"/>
        <v>582</v>
      </c>
      <c r="R29" s="1942">
        <f>SUM(R26:R28)</f>
        <v>1644</v>
      </c>
    </row>
    <row r="30" spans="1:18" ht="15" x14ac:dyDescent="0.25">
      <c r="A30" s="250"/>
      <c r="B30" s="1946"/>
      <c r="C30" s="1947"/>
      <c r="D30" s="1947"/>
      <c r="E30" s="1947"/>
      <c r="F30" s="1947"/>
      <c r="G30" s="1947"/>
      <c r="H30" s="1947"/>
      <c r="I30" s="1947"/>
      <c r="J30" s="1947"/>
      <c r="K30" s="1947"/>
      <c r="L30" s="1947"/>
      <c r="M30" s="1947"/>
      <c r="N30" s="1947"/>
      <c r="O30" s="1947"/>
      <c r="P30" s="1947"/>
      <c r="Q30" s="1947"/>
      <c r="R30" s="1947"/>
    </row>
    <row r="31" spans="1:18" ht="15" x14ac:dyDescent="0.2">
      <c r="A31" s="5828" t="s">
        <v>60</v>
      </c>
      <c r="B31" s="1935" t="s">
        <v>5</v>
      </c>
      <c r="C31" s="1936">
        <f t="shared" ref="C31:K31" si="7">SUM(C6,C16,C21)</f>
        <v>1525</v>
      </c>
      <c r="D31" s="1936">
        <f t="shared" si="7"/>
        <v>1264</v>
      </c>
      <c r="E31" s="1936">
        <f t="shared" si="7"/>
        <v>1337</v>
      </c>
      <c r="F31" s="1936">
        <f t="shared" si="7"/>
        <v>1377</v>
      </c>
      <c r="G31" s="1936">
        <f t="shared" si="7"/>
        <v>1647</v>
      </c>
      <c r="H31" s="1936">
        <f t="shared" si="7"/>
        <v>1286</v>
      </c>
      <c r="I31" s="1936">
        <f t="shared" si="7"/>
        <v>1279</v>
      </c>
      <c r="J31" s="1936">
        <f t="shared" si="7"/>
        <v>1287</v>
      </c>
      <c r="K31" s="1936">
        <f t="shared" si="7"/>
        <v>1201</v>
      </c>
      <c r="L31" s="1936">
        <f t="shared" ref="L31:Q31" si="8">SUM(L6,L16,L21)</f>
        <v>990</v>
      </c>
      <c r="M31" s="1936">
        <f t="shared" si="8"/>
        <v>915</v>
      </c>
      <c r="N31" s="1936">
        <f t="shared" si="8"/>
        <v>897</v>
      </c>
      <c r="O31" s="1936">
        <f t="shared" si="8"/>
        <v>1240</v>
      </c>
      <c r="P31" s="1936">
        <f t="shared" si="8"/>
        <v>1223</v>
      </c>
      <c r="Q31" s="1936">
        <f t="shared" si="8"/>
        <v>795</v>
      </c>
      <c r="R31" s="1936">
        <f t="shared" ref="R31" si="9">SUM(R6,R16,R21)</f>
        <v>1753</v>
      </c>
    </row>
    <row r="32" spans="1:18" ht="15" x14ac:dyDescent="0.2">
      <c r="A32" s="5829"/>
      <c r="B32" s="1937" t="s">
        <v>6</v>
      </c>
      <c r="C32" s="1938">
        <f t="shared" ref="C32:K32" si="10">SUM(C7,C11,C17,C22,C26)</f>
        <v>1632</v>
      </c>
      <c r="D32" s="1938">
        <f t="shared" si="10"/>
        <v>1488</v>
      </c>
      <c r="E32" s="1938">
        <f t="shared" si="10"/>
        <v>1451</v>
      </c>
      <c r="F32" s="1938">
        <f t="shared" si="10"/>
        <v>1495</v>
      </c>
      <c r="G32" s="1938">
        <f t="shared" si="10"/>
        <v>1541</v>
      </c>
      <c r="H32" s="1938">
        <f t="shared" si="10"/>
        <v>1575</v>
      </c>
      <c r="I32" s="1938">
        <f t="shared" si="10"/>
        <v>1652</v>
      </c>
      <c r="J32" s="1938">
        <f t="shared" si="10"/>
        <v>1547</v>
      </c>
      <c r="K32" s="1938">
        <f t="shared" si="10"/>
        <v>1561</v>
      </c>
      <c r="L32" s="1938">
        <f t="shared" ref="L32:Q32" si="11">SUM(L7,L11,L17,L22,L26)</f>
        <v>1405</v>
      </c>
      <c r="M32" s="1938">
        <f t="shared" si="11"/>
        <v>1488</v>
      </c>
      <c r="N32" s="1938">
        <f t="shared" si="11"/>
        <v>1300</v>
      </c>
      <c r="O32" s="1938">
        <f t="shared" si="11"/>
        <v>1436</v>
      </c>
      <c r="P32" s="1938">
        <f t="shared" si="11"/>
        <v>1412</v>
      </c>
      <c r="Q32" s="1938">
        <f t="shared" si="11"/>
        <v>698</v>
      </c>
      <c r="R32" s="1938">
        <f t="shared" ref="R32" si="12">SUM(R7,R11,R17,R22,R26)</f>
        <v>2310</v>
      </c>
    </row>
    <row r="33" spans="1:18" ht="15" x14ac:dyDescent="0.2">
      <c r="A33" s="5829"/>
      <c r="B33" s="1937" t="s">
        <v>11</v>
      </c>
      <c r="C33" s="1938">
        <f t="shared" ref="C33:K33" si="13">SUM(C18,C23,C27)</f>
        <v>878</v>
      </c>
      <c r="D33" s="1938">
        <f t="shared" si="13"/>
        <v>726</v>
      </c>
      <c r="E33" s="1938">
        <f t="shared" si="13"/>
        <v>831</v>
      </c>
      <c r="F33" s="1938">
        <f t="shared" si="13"/>
        <v>993</v>
      </c>
      <c r="G33" s="1938">
        <f t="shared" si="13"/>
        <v>1025</v>
      </c>
      <c r="H33" s="1938">
        <f t="shared" si="13"/>
        <v>1008</v>
      </c>
      <c r="I33" s="1938">
        <f t="shared" si="13"/>
        <v>983</v>
      </c>
      <c r="J33" s="1938">
        <f t="shared" si="13"/>
        <v>943</v>
      </c>
      <c r="K33" s="1938">
        <f t="shared" si="13"/>
        <v>709</v>
      </c>
      <c r="L33" s="1938">
        <f t="shared" ref="L33:Q33" si="14">SUM(L18,L23,L27)</f>
        <v>727</v>
      </c>
      <c r="M33" s="1938">
        <f t="shared" si="14"/>
        <v>652</v>
      </c>
      <c r="N33" s="1938">
        <f t="shared" si="14"/>
        <v>571</v>
      </c>
      <c r="O33" s="1938">
        <f t="shared" si="14"/>
        <v>658</v>
      </c>
      <c r="P33" s="1938">
        <f t="shared" si="14"/>
        <v>689</v>
      </c>
      <c r="Q33" s="1938">
        <f t="shared" si="14"/>
        <v>403</v>
      </c>
      <c r="R33" s="1938">
        <f t="shared" ref="R33" si="15">SUM(R18,R23,R27)</f>
        <v>984</v>
      </c>
    </row>
    <row r="34" spans="1:18" ht="15" x14ac:dyDescent="0.2">
      <c r="A34" s="5829"/>
      <c r="B34" s="1937" t="s">
        <v>7</v>
      </c>
      <c r="C34" s="1938">
        <f t="shared" ref="C34:K34" si="16">SUM(C8,C28)</f>
        <v>613</v>
      </c>
      <c r="D34" s="1938">
        <f t="shared" si="16"/>
        <v>543</v>
      </c>
      <c r="E34" s="1938">
        <f t="shared" si="16"/>
        <v>443</v>
      </c>
      <c r="F34" s="1938">
        <f t="shared" si="16"/>
        <v>453</v>
      </c>
      <c r="G34" s="1938">
        <f t="shared" si="16"/>
        <v>473</v>
      </c>
      <c r="H34" s="1938">
        <f t="shared" si="16"/>
        <v>468</v>
      </c>
      <c r="I34" s="1938">
        <f t="shared" si="16"/>
        <v>505</v>
      </c>
      <c r="J34" s="1938">
        <f t="shared" si="16"/>
        <v>500</v>
      </c>
      <c r="K34" s="1938">
        <f t="shared" si="16"/>
        <v>559</v>
      </c>
      <c r="L34" s="1938">
        <f t="shared" ref="L34:Q34" si="17">SUM(L8,L28)</f>
        <v>486</v>
      </c>
      <c r="M34" s="1938">
        <f t="shared" si="17"/>
        <v>477</v>
      </c>
      <c r="N34" s="1938">
        <f t="shared" si="17"/>
        <v>446</v>
      </c>
      <c r="O34" s="1938">
        <f t="shared" si="17"/>
        <v>428</v>
      </c>
      <c r="P34" s="1938">
        <f t="shared" si="17"/>
        <v>426</v>
      </c>
      <c r="Q34" s="1938">
        <f t="shared" si="17"/>
        <v>295</v>
      </c>
      <c r="R34" s="1938">
        <f t="shared" ref="R34" si="18">SUM(R8,R28)</f>
        <v>648</v>
      </c>
    </row>
    <row r="35" spans="1:18" ht="15" x14ac:dyDescent="0.2">
      <c r="A35" s="5829"/>
      <c r="B35" s="1937" t="s">
        <v>9</v>
      </c>
      <c r="C35" s="1938">
        <f t="shared" ref="C35:K35" si="19">SUM(C12)</f>
        <v>0</v>
      </c>
      <c r="D35" s="1938">
        <f t="shared" si="19"/>
        <v>0</v>
      </c>
      <c r="E35" s="1938">
        <f t="shared" si="19"/>
        <v>0</v>
      </c>
      <c r="F35" s="1938">
        <f t="shared" si="19"/>
        <v>0</v>
      </c>
      <c r="G35" s="1938">
        <f t="shared" si="19"/>
        <v>0</v>
      </c>
      <c r="H35" s="1938">
        <f t="shared" si="19"/>
        <v>3</v>
      </c>
      <c r="I35" s="1938">
        <f t="shared" si="19"/>
        <v>5</v>
      </c>
      <c r="J35" s="1938">
        <f t="shared" si="19"/>
        <v>5</v>
      </c>
      <c r="K35" s="1938">
        <f t="shared" si="19"/>
        <v>2</v>
      </c>
      <c r="L35" s="1938">
        <f t="shared" ref="L35:O36" si="20">SUM(L12)</f>
        <v>0</v>
      </c>
      <c r="M35" s="1938">
        <f t="shared" si="20"/>
        <v>0</v>
      </c>
      <c r="N35" s="1938">
        <f t="shared" si="20"/>
        <v>0</v>
      </c>
      <c r="O35" s="1938">
        <f t="shared" si="20"/>
        <v>0</v>
      </c>
      <c r="P35" s="1938">
        <f t="shared" ref="P35:R36" si="21">SUM(P12)</f>
        <v>23</v>
      </c>
      <c r="Q35" s="1938">
        <f t="shared" si="21"/>
        <v>4</v>
      </c>
      <c r="R35" s="1938">
        <f t="shared" si="21"/>
        <v>79</v>
      </c>
    </row>
    <row r="36" spans="1:18" ht="15" x14ac:dyDescent="0.2">
      <c r="A36" s="5829"/>
      <c r="B36" s="1939" t="s">
        <v>74</v>
      </c>
      <c r="C36" s="1940">
        <f t="shared" ref="C36:K36" si="22">SUM(C13)</f>
        <v>0</v>
      </c>
      <c r="D36" s="1940">
        <f t="shared" si="22"/>
        <v>0</v>
      </c>
      <c r="E36" s="1940">
        <f t="shared" si="22"/>
        <v>0</v>
      </c>
      <c r="F36" s="1940">
        <f t="shared" si="22"/>
        <v>0</v>
      </c>
      <c r="G36" s="1940">
        <f t="shared" si="22"/>
        <v>2</v>
      </c>
      <c r="H36" s="1940">
        <f t="shared" si="22"/>
        <v>1</v>
      </c>
      <c r="I36" s="1940">
        <f t="shared" si="22"/>
        <v>3</v>
      </c>
      <c r="J36" s="1940">
        <f t="shared" si="22"/>
        <v>5</v>
      </c>
      <c r="K36" s="1940">
        <f t="shared" si="22"/>
        <v>4</v>
      </c>
      <c r="L36" s="1940">
        <f t="shared" si="20"/>
        <v>0</v>
      </c>
      <c r="M36" s="1940">
        <f t="shared" si="20"/>
        <v>0</v>
      </c>
      <c r="N36" s="1940">
        <f t="shared" si="20"/>
        <v>3</v>
      </c>
      <c r="O36" s="1940">
        <f t="shared" si="20"/>
        <v>0</v>
      </c>
      <c r="P36" s="1940">
        <f t="shared" si="21"/>
        <v>20</v>
      </c>
      <c r="Q36" s="1940">
        <f t="shared" si="21"/>
        <v>5</v>
      </c>
      <c r="R36" s="1940">
        <f t="shared" si="21"/>
        <v>44</v>
      </c>
    </row>
    <row r="37" spans="1:18" ht="15" x14ac:dyDescent="0.2">
      <c r="A37" s="5830"/>
      <c r="B37" s="1941" t="s">
        <v>12</v>
      </c>
      <c r="C37" s="1942">
        <f t="shared" ref="C37:K37" si="23">SUM(C31:C36)</f>
        <v>4648</v>
      </c>
      <c r="D37" s="1942">
        <f t="shared" si="23"/>
        <v>4021</v>
      </c>
      <c r="E37" s="1942">
        <f t="shared" si="23"/>
        <v>4062</v>
      </c>
      <c r="F37" s="1942">
        <f t="shared" si="23"/>
        <v>4318</v>
      </c>
      <c r="G37" s="1942">
        <f t="shared" si="23"/>
        <v>4688</v>
      </c>
      <c r="H37" s="1942">
        <f t="shared" si="23"/>
        <v>4341</v>
      </c>
      <c r="I37" s="1942">
        <f t="shared" si="23"/>
        <v>4427</v>
      </c>
      <c r="J37" s="1942">
        <f t="shared" si="23"/>
        <v>4287</v>
      </c>
      <c r="K37" s="1942">
        <f t="shared" si="23"/>
        <v>4036</v>
      </c>
      <c r="L37" s="1942">
        <f t="shared" ref="L37:Q37" si="24">SUM(L31:L36)</f>
        <v>3608</v>
      </c>
      <c r="M37" s="1942">
        <f t="shared" si="24"/>
        <v>3532</v>
      </c>
      <c r="N37" s="1942">
        <f t="shared" si="24"/>
        <v>3217</v>
      </c>
      <c r="O37" s="1942">
        <f t="shared" si="24"/>
        <v>3762</v>
      </c>
      <c r="P37" s="1942">
        <f t="shared" si="24"/>
        <v>3793</v>
      </c>
      <c r="Q37" s="1942">
        <f t="shared" si="24"/>
        <v>2200</v>
      </c>
      <c r="R37" s="1942">
        <f>SUM(R31:R36)</f>
        <v>5818</v>
      </c>
    </row>
    <row r="38" spans="1:18" ht="15" x14ac:dyDescent="0.2">
      <c r="B38" s="9"/>
      <c r="C38" s="9"/>
      <c r="D38" s="9"/>
      <c r="E38" s="9"/>
      <c r="F38" s="9"/>
      <c r="G38" s="9"/>
      <c r="H38" s="9"/>
    </row>
    <row r="39" spans="1:18" x14ac:dyDescent="0.2">
      <c r="A39" s="321" t="s">
        <v>0</v>
      </c>
    </row>
  </sheetData>
  <sheetProtection algorithmName="SHA-512" hashValue="vhGuroDdUeexXifjtC2xoCB2urw0R5uD0gLPrkQwG8MMYbH8Q5qvVKVHJfirtKSrypQ5AggtSK7Jjz2spVeptA==" saltValue="JX9WfThc1xyRLaQBj7yBBw==" spinCount="100000" sheet="1" objects="1" scenarios="1"/>
  <mergeCells count="6">
    <mergeCell ref="A11:A14"/>
    <mergeCell ref="A16:A19"/>
    <mergeCell ref="A26:A29"/>
    <mergeCell ref="A31:A37"/>
    <mergeCell ref="A6:A9"/>
    <mergeCell ref="A21:A24"/>
  </mergeCells>
  <printOptions horizontalCentered="1" verticalCentered="1"/>
  <pageMargins left="0.59055118110236227" right="0.59055118110236227" top="0.31496062992125984" bottom="0.15748031496062992" header="0" footer="0"/>
  <pageSetup scale="64" orientation="landscape" horizontalDpi="1200" verticalDpi="1200" r:id="rId1"/>
  <headerFooter alignWithMargins="0"/>
  <rowBreaks count="1" manualBreakCount="1">
    <brk id="39" max="15" man="1"/>
  </rowBreaks>
  <ignoredErrors>
    <ignoredError sqref="M9:M13 M15 M25 M19:M23 M29:M34 M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R106"/>
  <sheetViews>
    <sheetView showGridLines="0" zoomScaleNormal="100" zoomScaleSheetLayoutView="100" workbookViewId="0">
      <pane xSplit="3" ySplit="3" topLeftCell="F4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RowHeight="12.75" x14ac:dyDescent="0.2"/>
  <cols>
    <col min="1" max="1" width="9.140625" style="202" bestFit="1" customWidth="1"/>
    <col min="2" max="2" width="10.28515625" style="202" bestFit="1" customWidth="1"/>
    <col min="3" max="3" width="45.42578125" style="202" bestFit="1" customWidth="1"/>
    <col min="4" max="18" width="9.7109375" style="202" customWidth="1"/>
    <col min="19" max="255" width="11.42578125" style="202"/>
    <col min="256" max="256" width="1.7109375" style="202" customWidth="1"/>
    <col min="257" max="257" width="18" style="202" bestFit="1" customWidth="1"/>
    <col min="258" max="258" width="6" style="202" bestFit="1" customWidth="1"/>
    <col min="259" max="259" width="37" style="202" bestFit="1" customWidth="1"/>
    <col min="260" max="266" width="12.7109375" style="202" customWidth="1"/>
    <col min="267" max="511" width="11.42578125" style="202"/>
    <col min="512" max="512" width="1.7109375" style="202" customWidth="1"/>
    <col min="513" max="513" width="18" style="202" bestFit="1" customWidth="1"/>
    <col min="514" max="514" width="6" style="202" bestFit="1" customWidth="1"/>
    <col min="515" max="515" width="37" style="202" bestFit="1" customWidth="1"/>
    <col min="516" max="522" width="12.7109375" style="202" customWidth="1"/>
    <col min="523" max="767" width="11.42578125" style="202"/>
    <col min="768" max="768" width="1.7109375" style="202" customWidth="1"/>
    <col min="769" max="769" width="18" style="202" bestFit="1" customWidth="1"/>
    <col min="770" max="770" width="6" style="202" bestFit="1" customWidth="1"/>
    <col min="771" max="771" width="37" style="202" bestFit="1" customWidth="1"/>
    <col min="772" max="778" width="12.7109375" style="202" customWidth="1"/>
    <col min="779" max="1023" width="11.42578125" style="202"/>
    <col min="1024" max="1024" width="1.7109375" style="202" customWidth="1"/>
    <col min="1025" max="1025" width="18" style="202" bestFit="1" customWidth="1"/>
    <col min="1026" max="1026" width="6" style="202" bestFit="1" customWidth="1"/>
    <col min="1027" max="1027" width="37" style="202" bestFit="1" customWidth="1"/>
    <col min="1028" max="1034" width="12.7109375" style="202" customWidth="1"/>
    <col min="1035" max="1279" width="11.42578125" style="202"/>
    <col min="1280" max="1280" width="1.7109375" style="202" customWidth="1"/>
    <col min="1281" max="1281" width="18" style="202" bestFit="1" customWidth="1"/>
    <col min="1282" max="1282" width="6" style="202" bestFit="1" customWidth="1"/>
    <col min="1283" max="1283" width="37" style="202" bestFit="1" customWidth="1"/>
    <col min="1284" max="1290" width="12.7109375" style="202" customWidth="1"/>
    <col min="1291" max="1535" width="11.42578125" style="202"/>
    <col min="1536" max="1536" width="1.7109375" style="202" customWidth="1"/>
    <col min="1537" max="1537" width="18" style="202" bestFit="1" customWidth="1"/>
    <col min="1538" max="1538" width="6" style="202" bestFit="1" customWidth="1"/>
    <col min="1539" max="1539" width="37" style="202" bestFit="1" customWidth="1"/>
    <col min="1540" max="1546" width="12.7109375" style="202" customWidth="1"/>
    <col min="1547" max="1791" width="11.42578125" style="202"/>
    <col min="1792" max="1792" width="1.7109375" style="202" customWidth="1"/>
    <col min="1793" max="1793" width="18" style="202" bestFit="1" customWidth="1"/>
    <col min="1794" max="1794" width="6" style="202" bestFit="1" customWidth="1"/>
    <col min="1795" max="1795" width="37" style="202" bestFit="1" customWidth="1"/>
    <col min="1796" max="1802" width="12.7109375" style="202" customWidth="1"/>
    <col min="1803" max="2047" width="11.42578125" style="202"/>
    <col min="2048" max="2048" width="1.7109375" style="202" customWidth="1"/>
    <col min="2049" max="2049" width="18" style="202" bestFit="1" customWidth="1"/>
    <col min="2050" max="2050" width="6" style="202" bestFit="1" customWidth="1"/>
    <col min="2051" max="2051" width="37" style="202" bestFit="1" customWidth="1"/>
    <col min="2052" max="2058" width="12.7109375" style="202" customWidth="1"/>
    <col min="2059" max="2303" width="11.42578125" style="202"/>
    <col min="2304" max="2304" width="1.7109375" style="202" customWidth="1"/>
    <col min="2305" max="2305" width="18" style="202" bestFit="1" customWidth="1"/>
    <col min="2306" max="2306" width="6" style="202" bestFit="1" customWidth="1"/>
    <col min="2307" max="2307" width="37" style="202" bestFit="1" customWidth="1"/>
    <col min="2308" max="2314" width="12.7109375" style="202" customWidth="1"/>
    <col min="2315" max="2559" width="11.42578125" style="202"/>
    <col min="2560" max="2560" width="1.7109375" style="202" customWidth="1"/>
    <col min="2561" max="2561" width="18" style="202" bestFit="1" customWidth="1"/>
    <col min="2562" max="2562" width="6" style="202" bestFit="1" customWidth="1"/>
    <col min="2563" max="2563" width="37" style="202" bestFit="1" customWidth="1"/>
    <col min="2564" max="2570" width="12.7109375" style="202" customWidth="1"/>
    <col min="2571" max="2815" width="11.42578125" style="202"/>
    <col min="2816" max="2816" width="1.7109375" style="202" customWidth="1"/>
    <col min="2817" max="2817" width="18" style="202" bestFit="1" customWidth="1"/>
    <col min="2818" max="2818" width="6" style="202" bestFit="1" customWidth="1"/>
    <col min="2819" max="2819" width="37" style="202" bestFit="1" customWidth="1"/>
    <col min="2820" max="2826" width="12.7109375" style="202" customWidth="1"/>
    <col min="2827" max="3071" width="11.42578125" style="202"/>
    <col min="3072" max="3072" width="1.7109375" style="202" customWidth="1"/>
    <col min="3073" max="3073" width="18" style="202" bestFit="1" customWidth="1"/>
    <col min="3074" max="3074" width="6" style="202" bestFit="1" customWidth="1"/>
    <col min="3075" max="3075" width="37" style="202" bestFit="1" customWidth="1"/>
    <col min="3076" max="3082" width="12.7109375" style="202" customWidth="1"/>
    <col min="3083" max="3327" width="11.42578125" style="202"/>
    <col min="3328" max="3328" width="1.7109375" style="202" customWidth="1"/>
    <col min="3329" max="3329" width="18" style="202" bestFit="1" customWidth="1"/>
    <col min="3330" max="3330" width="6" style="202" bestFit="1" customWidth="1"/>
    <col min="3331" max="3331" width="37" style="202" bestFit="1" customWidth="1"/>
    <col min="3332" max="3338" width="12.7109375" style="202" customWidth="1"/>
    <col min="3339" max="3583" width="11.42578125" style="202"/>
    <col min="3584" max="3584" width="1.7109375" style="202" customWidth="1"/>
    <col min="3585" max="3585" width="18" style="202" bestFit="1" customWidth="1"/>
    <col min="3586" max="3586" width="6" style="202" bestFit="1" customWidth="1"/>
    <col min="3587" max="3587" width="37" style="202" bestFit="1" customWidth="1"/>
    <col min="3588" max="3594" width="12.7109375" style="202" customWidth="1"/>
    <col min="3595" max="3839" width="11.42578125" style="202"/>
    <col min="3840" max="3840" width="1.7109375" style="202" customWidth="1"/>
    <col min="3841" max="3841" width="18" style="202" bestFit="1" customWidth="1"/>
    <col min="3842" max="3842" width="6" style="202" bestFit="1" customWidth="1"/>
    <col min="3843" max="3843" width="37" style="202" bestFit="1" customWidth="1"/>
    <col min="3844" max="3850" width="12.7109375" style="202" customWidth="1"/>
    <col min="3851" max="4095" width="11.42578125" style="202"/>
    <col min="4096" max="4096" width="1.7109375" style="202" customWidth="1"/>
    <col min="4097" max="4097" width="18" style="202" bestFit="1" customWidth="1"/>
    <col min="4098" max="4098" width="6" style="202" bestFit="1" customWidth="1"/>
    <col min="4099" max="4099" width="37" style="202" bestFit="1" customWidth="1"/>
    <col min="4100" max="4106" width="12.7109375" style="202" customWidth="1"/>
    <col min="4107" max="4351" width="11.42578125" style="202"/>
    <col min="4352" max="4352" width="1.7109375" style="202" customWidth="1"/>
    <col min="4353" max="4353" width="18" style="202" bestFit="1" customWidth="1"/>
    <col min="4354" max="4354" width="6" style="202" bestFit="1" customWidth="1"/>
    <col min="4355" max="4355" width="37" style="202" bestFit="1" customWidth="1"/>
    <col min="4356" max="4362" width="12.7109375" style="202" customWidth="1"/>
    <col min="4363" max="4607" width="11.42578125" style="202"/>
    <col min="4608" max="4608" width="1.7109375" style="202" customWidth="1"/>
    <col min="4609" max="4609" width="18" style="202" bestFit="1" customWidth="1"/>
    <col min="4610" max="4610" width="6" style="202" bestFit="1" customWidth="1"/>
    <col min="4611" max="4611" width="37" style="202" bestFit="1" customWidth="1"/>
    <col min="4612" max="4618" width="12.7109375" style="202" customWidth="1"/>
    <col min="4619" max="4863" width="11.42578125" style="202"/>
    <col min="4864" max="4864" width="1.7109375" style="202" customWidth="1"/>
    <col min="4865" max="4865" width="18" style="202" bestFit="1" customWidth="1"/>
    <col min="4866" max="4866" width="6" style="202" bestFit="1" customWidth="1"/>
    <col min="4867" max="4867" width="37" style="202" bestFit="1" customWidth="1"/>
    <col min="4868" max="4874" width="12.7109375" style="202" customWidth="1"/>
    <col min="4875" max="5119" width="11.42578125" style="202"/>
    <col min="5120" max="5120" width="1.7109375" style="202" customWidth="1"/>
    <col min="5121" max="5121" width="18" style="202" bestFit="1" customWidth="1"/>
    <col min="5122" max="5122" width="6" style="202" bestFit="1" customWidth="1"/>
    <col min="5123" max="5123" width="37" style="202" bestFit="1" customWidth="1"/>
    <col min="5124" max="5130" width="12.7109375" style="202" customWidth="1"/>
    <col min="5131" max="5375" width="11.42578125" style="202"/>
    <col min="5376" max="5376" width="1.7109375" style="202" customWidth="1"/>
    <col min="5377" max="5377" width="18" style="202" bestFit="1" customWidth="1"/>
    <col min="5378" max="5378" width="6" style="202" bestFit="1" customWidth="1"/>
    <col min="5379" max="5379" width="37" style="202" bestFit="1" customWidth="1"/>
    <col min="5380" max="5386" width="12.7109375" style="202" customWidth="1"/>
    <col min="5387" max="5631" width="11.42578125" style="202"/>
    <col min="5632" max="5632" width="1.7109375" style="202" customWidth="1"/>
    <col min="5633" max="5633" width="18" style="202" bestFit="1" customWidth="1"/>
    <col min="5634" max="5634" width="6" style="202" bestFit="1" customWidth="1"/>
    <col min="5635" max="5635" width="37" style="202" bestFit="1" customWidth="1"/>
    <col min="5636" max="5642" width="12.7109375" style="202" customWidth="1"/>
    <col min="5643" max="5887" width="11.42578125" style="202"/>
    <col min="5888" max="5888" width="1.7109375" style="202" customWidth="1"/>
    <col min="5889" max="5889" width="18" style="202" bestFit="1" customWidth="1"/>
    <col min="5890" max="5890" width="6" style="202" bestFit="1" customWidth="1"/>
    <col min="5891" max="5891" width="37" style="202" bestFit="1" customWidth="1"/>
    <col min="5892" max="5898" width="12.7109375" style="202" customWidth="1"/>
    <col min="5899" max="6143" width="11.42578125" style="202"/>
    <col min="6144" max="6144" width="1.7109375" style="202" customWidth="1"/>
    <col min="6145" max="6145" width="18" style="202" bestFit="1" customWidth="1"/>
    <col min="6146" max="6146" width="6" style="202" bestFit="1" customWidth="1"/>
    <col min="6147" max="6147" width="37" style="202" bestFit="1" customWidth="1"/>
    <col min="6148" max="6154" width="12.7109375" style="202" customWidth="1"/>
    <col min="6155" max="6399" width="11.42578125" style="202"/>
    <col min="6400" max="6400" width="1.7109375" style="202" customWidth="1"/>
    <col min="6401" max="6401" width="18" style="202" bestFit="1" customWidth="1"/>
    <col min="6402" max="6402" width="6" style="202" bestFit="1" customWidth="1"/>
    <col min="6403" max="6403" width="37" style="202" bestFit="1" customWidth="1"/>
    <col min="6404" max="6410" width="12.7109375" style="202" customWidth="1"/>
    <col min="6411" max="6655" width="11.42578125" style="202"/>
    <col min="6656" max="6656" width="1.7109375" style="202" customWidth="1"/>
    <col min="6657" max="6657" width="18" style="202" bestFit="1" customWidth="1"/>
    <col min="6658" max="6658" width="6" style="202" bestFit="1" customWidth="1"/>
    <col min="6659" max="6659" width="37" style="202" bestFit="1" customWidth="1"/>
    <col min="6660" max="6666" width="12.7109375" style="202" customWidth="1"/>
    <col min="6667" max="6911" width="11.42578125" style="202"/>
    <col min="6912" max="6912" width="1.7109375" style="202" customWidth="1"/>
    <col min="6913" max="6913" width="18" style="202" bestFit="1" customWidth="1"/>
    <col min="6914" max="6914" width="6" style="202" bestFit="1" customWidth="1"/>
    <col min="6915" max="6915" width="37" style="202" bestFit="1" customWidth="1"/>
    <col min="6916" max="6922" width="12.7109375" style="202" customWidth="1"/>
    <col min="6923" max="7167" width="11.42578125" style="202"/>
    <col min="7168" max="7168" width="1.7109375" style="202" customWidth="1"/>
    <col min="7169" max="7169" width="18" style="202" bestFit="1" customWidth="1"/>
    <col min="7170" max="7170" width="6" style="202" bestFit="1" customWidth="1"/>
    <col min="7171" max="7171" width="37" style="202" bestFit="1" customWidth="1"/>
    <col min="7172" max="7178" width="12.7109375" style="202" customWidth="1"/>
    <col min="7179" max="7423" width="11.42578125" style="202"/>
    <col min="7424" max="7424" width="1.7109375" style="202" customWidth="1"/>
    <col min="7425" max="7425" width="18" style="202" bestFit="1" customWidth="1"/>
    <col min="7426" max="7426" width="6" style="202" bestFit="1" customWidth="1"/>
    <col min="7427" max="7427" width="37" style="202" bestFit="1" customWidth="1"/>
    <col min="7428" max="7434" width="12.7109375" style="202" customWidth="1"/>
    <col min="7435" max="7679" width="11.42578125" style="202"/>
    <col min="7680" max="7680" width="1.7109375" style="202" customWidth="1"/>
    <col min="7681" max="7681" width="18" style="202" bestFit="1" customWidth="1"/>
    <col min="7682" max="7682" width="6" style="202" bestFit="1" customWidth="1"/>
    <col min="7683" max="7683" width="37" style="202" bestFit="1" customWidth="1"/>
    <col min="7684" max="7690" width="12.7109375" style="202" customWidth="1"/>
    <col min="7691" max="7935" width="11.42578125" style="202"/>
    <col min="7936" max="7936" width="1.7109375" style="202" customWidth="1"/>
    <col min="7937" max="7937" width="18" style="202" bestFit="1" customWidth="1"/>
    <col min="7938" max="7938" width="6" style="202" bestFit="1" customWidth="1"/>
    <col min="7939" max="7939" width="37" style="202" bestFit="1" customWidth="1"/>
    <col min="7940" max="7946" width="12.7109375" style="202" customWidth="1"/>
    <col min="7947" max="8191" width="11.42578125" style="202"/>
    <col min="8192" max="8192" width="1.7109375" style="202" customWidth="1"/>
    <col min="8193" max="8193" width="18" style="202" bestFit="1" customWidth="1"/>
    <col min="8194" max="8194" width="6" style="202" bestFit="1" customWidth="1"/>
    <col min="8195" max="8195" width="37" style="202" bestFit="1" customWidth="1"/>
    <col min="8196" max="8202" width="12.7109375" style="202" customWidth="1"/>
    <col min="8203" max="8447" width="11.42578125" style="202"/>
    <col min="8448" max="8448" width="1.7109375" style="202" customWidth="1"/>
    <col min="8449" max="8449" width="18" style="202" bestFit="1" customWidth="1"/>
    <col min="8450" max="8450" width="6" style="202" bestFit="1" customWidth="1"/>
    <col min="8451" max="8451" width="37" style="202" bestFit="1" customWidth="1"/>
    <col min="8452" max="8458" width="12.7109375" style="202" customWidth="1"/>
    <col min="8459" max="8703" width="11.42578125" style="202"/>
    <col min="8704" max="8704" width="1.7109375" style="202" customWidth="1"/>
    <col min="8705" max="8705" width="18" style="202" bestFit="1" customWidth="1"/>
    <col min="8706" max="8706" width="6" style="202" bestFit="1" customWidth="1"/>
    <col min="8707" max="8707" width="37" style="202" bestFit="1" customWidth="1"/>
    <col min="8708" max="8714" width="12.7109375" style="202" customWidth="1"/>
    <col min="8715" max="8959" width="11.42578125" style="202"/>
    <col min="8960" max="8960" width="1.7109375" style="202" customWidth="1"/>
    <col min="8961" max="8961" width="18" style="202" bestFit="1" customWidth="1"/>
    <col min="8962" max="8962" width="6" style="202" bestFit="1" customWidth="1"/>
    <col min="8963" max="8963" width="37" style="202" bestFit="1" customWidth="1"/>
    <col min="8964" max="8970" width="12.7109375" style="202" customWidth="1"/>
    <col min="8971" max="9215" width="11.42578125" style="202"/>
    <col min="9216" max="9216" width="1.7109375" style="202" customWidth="1"/>
    <col min="9217" max="9217" width="18" style="202" bestFit="1" customWidth="1"/>
    <col min="9218" max="9218" width="6" style="202" bestFit="1" customWidth="1"/>
    <col min="9219" max="9219" width="37" style="202" bestFit="1" customWidth="1"/>
    <col min="9220" max="9226" width="12.7109375" style="202" customWidth="1"/>
    <col min="9227" max="9471" width="11.42578125" style="202"/>
    <col min="9472" max="9472" width="1.7109375" style="202" customWidth="1"/>
    <col min="9473" max="9473" width="18" style="202" bestFit="1" customWidth="1"/>
    <col min="9474" max="9474" width="6" style="202" bestFit="1" customWidth="1"/>
    <col min="9475" max="9475" width="37" style="202" bestFit="1" customWidth="1"/>
    <col min="9476" max="9482" width="12.7109375" style="202" customWidth="1"/>
    <col min="9483" max="9727" width="11.42578125" style="202"/>
    <col min="9728" max="9728" width="1.7109375" style="202" customWidth="1"/>
    <col min="9729" max="9729" width="18" style="202" bestFit="1" customWidth="1"/>
    <col min="9730" max="9730" width="6" style="202" bestFit="1" customWidth="1"/>
    <col min="9731" max="9731" width="37" style="202" bestFit="1" customWidth="1"/>
    <col min="9732" max="9738" width="12.7109375" style="202" customWidth="1"/>
    <col min="9739" max="9983" width="11.42578125" style="202"/>
    <col min="9984" max="9984" width="1.7109375" style="202" customWidth="1"/>
    <col min="9985" max="9985" width="18" style="202" bestFit="1" customWidth="1"/>
    <col min="9986" max="9986" width="6" style="202" bestFit="1" customWidth="1"/>
    <col min="9987" max="9987" width="37" style="202" bestFit="1" customWidth="1"/>
    <col min="9988" max="9994" width="12.7109375" style="202" customWidth="1"/>
    <col min="9995" max="10239" width="11.42578125" style="202"/>
    <col min="10240" max="10240" width="1.7109375" style="202" customWidth="1"/>
    <col min="10241" max="10241" width="18" style="202" bestFit="1" customWidth="1"/>
    <col min="10242" max="10242" width="6" style="202" bestFit="1" customWidth="1"/>
    <col min="10243" max="10243" width="37" style="202" bestFit="1" customWidth="1"/>
    <col min="10244" max="10250" width="12.7109375" style="202" customWidth="1"/>
    <col min="10251" max="10495" width="11.42578125" style="202"/>
    <col min="10496" max="10496" width="1.7109375" style="202" customWidth="1"/>
    <col min="10497" max="10497" width="18" style="202" bestFit="1" customWidth="1"/>
    <col min="10498" max="10498" width="6" style="202" bestFit="1" customWidth="1"/>
    <col min="10499" max="10499" width="37" style="202" bestFit="1" customWidth="1"/>
    <col min="10500" max="10506" width="12.7109375" style="202" customWidth="1"/>
    <col min="10507" max="10751" width="11.42578125" style="202"/>
    <col min="10752" max="10752" width="1.7109375" style="202" customWidth="1"/>
    <col min="10753" max="10753" width="18" style="202" bestFit="1" customWidth="1"/>
    <col min="10754" max="10754" width="6" style="202" bestFit="1" customWidth="1"/>
    <col min="10755" max="10755" width="37" style="202" bestFit="1" customWidth="1"/>
    <col min="10756" max="10762" width="12.7109375" style="202" customWidth="1"/>
    <col min="10763" max="11007" width="11.42578125" style="202"/>
    <col min="11008" max="11008" width="1.7109375" style="202" customWidth="1"/>
    <col min="11009" max="11009" width="18" style="202" bestFit="1" customWidth="1"/>
    <col min="11010" max="11010" width="6" style="202" bestFit="1" customWidth="1"/>
    <col min="11011" max="11011" width="37" style="202" bestFit="1" customWidth="1"/>
    <col min="11012" max="11018" width="12.7109375" style="202" customWidth="1"/>
    <col min="11019" max="11263" width="11.42578125" style="202"/>
    <col min="11264" max="11264" width="1.7109375" style="202" customWidth="1"/>
    <col min="11265" max="11265" width="18" style="202" bestFit="1" customWidth="1"/>
    <col min="11266" max="11266" width="6" style="202" bestFit="1" customWidth="1"/>
    <col min="11267" max="11267" width="37" style="202" bestFit="1" customWidth="1"/>
    <col min="11268" max="11274" width="12.7109375" style="202" customWidth="1"/>
    <col min="11275" max="11519" width="11.42578125" style="202"/>
    <col min="11520" max="11520" width="1.7109375" style="202" customWidth="1"/>
    <col min="11521" max="11521" width="18" style="202" bestFit="1" customWidth="1"/>
    <col min="11522" max="11522" width="6" style="202" bestFit="1" customWidth="1"/>
    <col min="11523" max="11523" width="37" style="202" bestFit="1" customWidth="1"/>
    <col min="11524" max="11530" width="12.7109375" style="202" customWidth="1"/>
    <col min="11531" max="11775" width="11.42578125" style="202"/>
    <col min="11776" max="11776" width="1.7109375" style="202" customWidth="1"/>
    <col min="11777" max="11777" width="18" style="202" bestFit="1" customWidth="1"/>
    <col min="11778" max="11778" width="6" style="202" bestFit="1" customWidth="1"/>
    <col min="11779" max="11779" width="37" style="202" bestFit="1" customWidth="1"/>
    <col min="11780" max="11786" width="12.7109375" style="202" customWidth="1"/>
    <col min="11787" max="12031" width="11.42578125" style="202"/>
    <col min="12032" max="12032" width="1.7109375" style="202" customWidth="1"/>
    <col min="12033" max="12033" width="18" style="202" bestFit="1" customWidth="1"/>
    <col min="12034" max="12034" width="6" style="202" bestFit="1" customWidth="1"/>
    <col min="12035" max="12035" width="37" style="202" bestFit="1" customWidth="1"/>
    <col min="12036" max="12042" width="12.7109375" style="202" customWidth="1"/>
    <col min="12043" max="12287" width="11.42578125" style="202"/>
    <col min="12288" max="12288" width="1.7109375" style="202" customWidth="1"/>
    <col min="12289" max="12289" width="18" style="202" bestFit="1" customWidth="1"/>
    <col min="12290" max="12290" width="6" style="202" bestFit="1" customWidth="1"/>
    <col min="12291" max="12291" width="37" style="202" bestFit="1" customWidth="1"/>
    <col min="12292" max="12298" width="12.7109375" style="202" customWidth="1"/>
    <col min="12299" max="12543" width="11.42578125" style="202"/>
    <col min="12544" max="12544" width="1.7109375" style="202" customWidth="1"/>
    <col min="12545" max="12545" width="18" style="202" bestFit="1" customWidth="1"/>
    <col min="12546" max="12546" width="6" style="202" bestFit="1" customWidth="1"/>
    <col min="12547" max="12547" width="37" style="202" bestFit="1" customWidth="1"/>
    <col min="12548" max="12554" width="12.7109375" style="202" customWidth="1"/>
    <col min="12555" max="12799" width="11.42578125" style="202"/>
    <col min="12800" max="12800" width="1.7109375" style="202" customWidth="1"/>
    <col min="12801" max="12801" width="18" style="202" bestFit="1" customWidth="1"/>
    <col min="12802" max="12802" width="6" style="202" bestFit="1" customWidth="1"/>
    <col min="12803" max="12803" width="37" style="202" bestFit="1" customWidth="1"/>
    <col min="12804" max="12810" width="12.7109375" style="202" customWidth="1"/>
    <col min="12811" max="13055" width="11.42578125" style="202"/>
    <col min="13056" max="13056" width="1.7109375" style="202" customWidth="1"/>
    <col min="13057" max="13057" width="18" style="202" bestFit="1" customWidth="1"/>
    <col min="13058" max="13058" width="6" style="202" bestFit="1" customWidth="1"/>
    <col min="13059" max="13059" width="37" style="202" bestFit="1" customWidth="1"/>
    <col min="13060" max="13066" width="12.7109375" style="202" customWidth="1"/>
    <col min="13067" max="13311" width="11.42578125" style="202"/>
    <col min="13312" max="13312" width="1.7109375" style="202" customWidth="1"/>
    <col min="13313" max="13313" width="18" style="202" bestFit="1" customWidth="1"/>
    <col min="13314" max="13314" width="6" style="202" bestFit="1" customWidth="1"/>
    <col min="13315" max="13315" width="37" style="202" bestFit="1" customWidth="1"/>
    <col min="13316" max="13322" width="12.7109375" style="202" customWidth="1"/>
    <col min="13323" max="13567" width="11.42578125" style="202"/>
    <col min="13568" max="13568" width="1.7109375" style="202" customWidth="1"/>
    <col min="13569" max="13569" width="18" style="202" bestFit="1" customWidth="1"/>
    <col min="13570" max="13570" width="6" style="202" bestFit="1" customWidth="1"/>
    <col min="13571" max="13571" width="37" style="202" bestFit="1" customWidth="1"/>
    <col min="13572" max="13578" width="12.7109375" style="202" customWidth="1"/>
    <col min="13579" max="13823" width="11.42578125" style="202"/>
    <col min="13824" max="13824" width="1.7109375" style="202" customWidth="1"/>
    <col min="13825" max="13825" width="18" style="202" bestFit="1" customWidth="1"/>
    <col min="13826" max="13826" width="6" style="202" bestFit="1" customWidth="1"/>
    <col min="13827" max="13827" width="37" style="202" bestFit="1" customWidth="1"/>
    <col min="13828" max="13834" width="12.7109375" style="202" customWidth="1"/>
    <col min="13835" max="14079" width="11.42578125" style="202"/>
    <col min="14080" max="14080" width="1.7109375" style="202" customWidth="1"/>
    <col min="14081" max="14081" width="18" style="202" bestFit="1" customWidth="1"/>
    <col min="14082" max="14082" width="6" style="202" bestFit="1" customWidth="1"/>
    <col min="14083" max="14083" width="37" style="202" bestFit="1" customWidth="1"/>
    <col min="14084" max="14090" width="12.7109375" style="202" customWidth="1"/>
    <col min="14091" max="14335" width="11.42578125" style="202"/>
    <col min="14336" max="14336" width="1.7109375" style="202" customWidth="1"/>
    <col min="14337" max="14337" width="18" style="202" bestFit="1" customWidth="1"/>
    <col min="14338" max="14338" width="6" style="202" bestFit="1" customWidth="1"/>
    <col min="14339" max="14339" width="37" style="202" bestFit="1" customWidth="1"/>
    <col min="14340" max="14346" width="12.7109375" style="202" customWidth="1"/>
    <col min="14347" max="14591" width="11.42578125" style="202"/>
    <col min="14592" max="14592" width="1.7109375" style="202" customWidth="1"/>
    <col min="14593" max="14593" width="18" style="202" bestFit="1" customWidth="1"/>
    <col min="14594" max="14594" width="6" style="202" bestFit="1" customWidth="1"/>
    <col min="14595" max="14595" width="37" style="202" bestFit="1" customWidth="1"/>
    <col min="14596" max="14602" width="12.7109375" style="202" customWidth="1"/>
    <col min="14603" max="14847" width="11.42578125" style="202"/>
    <col min="14848" max="14848" width="1.7109375" style="202" customWidth="1"/>
    <col min="14849" max="14849" width="18" style="202" bestFit="1" customWidth="1"/>
    <col min="14850" max="14850" width="6" style="202" bestFit="1" customWidth="1"/>
    <col min="14851" max="14851" width="37" style="202" bestFit="1" customWidth="1"/>
    <col min="14852" max="14858" width="12.7109375" style="202" customWidth="1"/>
    <col min="14859" max="15103" width="11.42578125" style="202"/>
    <col min="15104" max="15104" width="1.7109375" style="202" customWidth="1"/>
    <col min="15105" max="15105" width="18" style="202" bestFit="1" customWidth="1"/>
    <col min="15106" max="15106" width="6" style="202" bestFit="1" customWidth="1"/>
    <col min="15107" max="15107" width="37" style="202" bestFit="1" customWidth="1"/>
    <col min="15108" max="15114" width="12.7109375" style="202" customWidth="1"/>
    <col min="15115" max="15359" width="11.42578125" style="202"/>
    <col min="15360" max="15360" width="1.7109375" style="202" customWidth="1"/>
    <col min="15361" max="15361" width="18" style="202" bestFit="1" customWidth="1"/>
    <col min="15362" max="15362" width="6" style="202" bestFit="1" customWidth="1"/>
    <col min="15363" max="15363" width="37" style="202" bestFit="1" customWidth="1"/>
    <col min="15364" max="15370" width="12.7109375" style="202" customWidth="1"/>
    <col min="15371" max="15615" width="11.42578125" style="202"/>
    <col min="15616" max="15616" width="1.7109375" style="202" customWidth="1"/>
    <col min="15617" max="15617" width="18" style="202" bestFit="1" customWidth="1"/>
    <col min="15618" max="15618" width="6" style="202" bestFit="1" customWidth="1"/>
    <col min="15619" max="15619" width="37" style="202" bestFit="1" customWidth="1"/>
    <col min="15620" max="15626" width="12.7109375" style="202" customWidth="1"/>
    <col min="15627" max="15871" width="11.42578125" style="202"/>
    <col min="15872" max="15872" width="1.7109375" style="202" customWidth="1"/>
    <col min="15873" max="15873" width="18" style="202" bestFit="1" customWidth="1"/>
    <col min="15874" max="15874" width="6" style="202" bestFit="1" customWidth="1"/>
    <col min="15875" max="15875" width="37" style="202" bestFit="1" customWidth="1"/>
    <col min="15876" max="15882" width="12.7109375" style="202" customWidth="1"/>
    <col min="15883" max="16127" width="11.42578125" style="202"/>
    <col min="16128" max="16128" width="1.7109375" style="202" customWidth="1"/>
    <col min="16129" max="16129" width="18" style="202" bestFit="1" customWidth="1"/>
    <col min="16130" max="16130" width="6" style="202" bestFit="1" customWidth="1"/>
    <col min="16131" max="16131" width="37" style="202" bestFit="1" customWidth="1"/>
    <col min="16132" max="16138" width="12.7109375" style="202" customWidth="1"/>
    <col min="16139" max="16384" width="11.42578125" style="202"/>
  </cols>
  <sheetData>
    <row r="1" spans="1:18" s="203" customFormat="1" ht="31.5" customHeight="1" x14ac:dyDescent="0.25">
      <c r="A1" s="5682" t="s">
        <v>1271</v>
      </c>
      <c r="B1" s="5682"/>
      <c r="C1" s="5682"/>
      <c r="D1" s="191"/>
      <c r="E1" s="191"/>
      <c r="F1" s="191"/>
      <c r="G1" s="191"/>
      <c r="H1" s="191"/>
      <c r="I1" s="191"/>
      <c r="J1" s="191"/>
    </row>
    <row r="2" spans="1:18" ht="15" customHeight="1" x14ac:dyDescent="0.25">
      <c r="A2" s="204"/>
      <c r="B2" s="205"/>
    </row>
    <row r="3" spans="1:18" s="196" customFormat="1" ht="32.25" customHeight="1" x14ac:dyDescent="0.25">
      <c r="A3" s="1914" t="s">
        <v>16</v>
      </c>
      <c r="B3" s="1914" t="s">
        <v>4</v>
      </c>
      <c r="C3" s="1914" t="s">
        <v>349</v>
      </c>
      <c r="D3" s="557">
        <v>2003</v>
      </c>
      <c r="E3" s="557">
        <v>2004</v>
      </c>
      <c r="F3" s="1382">
        <v>2005</v>
      </c>
      <c r="G3" s="558">
        <v>2006</v>
      </c>
      <c r="H3" s="1382">
        <v>2007</v>
      </c>
      <c r="I3" s="1382">
        <v>2008</v>
      </c>
      <c r="J3" s="1382">
        <v>2009</v>
      </c>
      <c r="K3" s="1382">
        <v>2010</v>
      </c>
      <c r="L3" s="1382">
        <v>2011</v>
      </c>
      <c r="M3" s="1382">
        <v>2012</v>
      </c>
      <c r="N3" s="1382">
        <v>2013</v>
      </c>
      <c r="O3" s="1382">
        <v>2014</v>
      </c>
      <c r="P3" s="1382">
        <v>2015</v>
      </c>
      <c r="Q3" s="1382">
        <v>2016</v>
      </c>
      <c r="R3" s="1382">
        <v>2017</v>
      </c>
    </row>
    <row r="4" spans="1:18" s="186" customFormat="1" ht="15" customHeight="1" x14ac:dyDescent="0.2">
      <c r="A4" s="5856" t="s">
        <v>440</v>
      </c>
      <c r="B4" s="5674" t="s">
        <v>5</v>
      </c>
      <c r="C4" s="1960" t="s">
        <v>446</v>
      </c>
      <c r="D4" s="1948">
        <v>359</v>
      </c>
      <c r="E4" s="1948">
        <v>374</v>
      </c>
      <c r="F4" s="1948">
        <v>368</v>
      </c>
      <c r="G4" s="1948">
        <v>394</v>
      </c>
      <c r="H4" s="1949">
        <v>432</v>
      </c>
      <c r="I4" s="1949">
        <v>533</v>
      </c>
      <c r="J4" s="1949">
        <v>632</v>
      </c>
      <c r="K4" s="1949">
        <v>774</v>
      </c>
      <c r="L4" s="1949">
        <v>827</v>
      </c>
      <c r="M4" s="1949">
        <v>848</v>
      </c>
      <c r="N4" s="1949">
        <v>847</v>
      </c>
      <c r="O4" s="1949">
        <v>821</v>
      </c>
      <c r="P4" s="1949">
        <v>820</v>
      </c>
      <c r="Q4" s="1949">
        <v>774</v>
      </c>
      <c r="R4" s="1949">
        <v>739</v>
      </c>
    </row>
    <row r="5" spans="1:18" s="186" customFormat="1" ht="15" customHeight="1" x14ac:dyDescent="0.2">
      <c r="A5" s="5857"/>
      <c r="B5" s="5675"/>
      <c r="C5" s="1961" t="s">
        <v>447</v>
      </c>
      <c r="D5" s="1950">
        <v>603</v>
      </c>
      <c r="E5" s="1950">
        <v>578</v>
      </c>
      <c r="F5" s="1950">
        <v>563</v>
      </c>
      <c r="G5" s="1950">
        <v>568</v>
      </c>
      <c r="H5" s="1951">
        <v>590</v>
      </c>
      <c r="I5" s="1951">
        <v>651</v>
      </c>
      <c r="J5" s="1951">
        <v>732</v>
      </c>
      <c r="K5" s="1951">
        <v>861</v>
      </c>
      <c r="L5" s="1951">
        <v>907</v>
      </c>
      <c r="M5" s="1951">
        <v>892</v>
      </c>
      <c r="N5" s="1951">
        <v>920</v>
      </c>
      <c r="O5" s="1951">
        <v>901</v>
      </c>
      <c r="P5" s="1951">
        <v>884</v>
      </c>
      <c r="Q5" s="1951">
        <v>858</v>
      </c>
      <c r="R5" s="1951">
        <v>800</v>
      </c>
    </row>
    <row r="6" spans="1:18" s="186" customFormat="1" ht="15" customHeight="1" x14ac:dyDescent="0.2">
      <c r="A6" s="5857"/>
      <c r="B6" s="5675"/>
      <c r="C6" s="1961" t="s">
        <v>448</v>
      </c>
      <c r="D6" s="1950">
        <v>411</v>
      </c>
      <c r="E6" s="1950">
        <v>411</v>
      </c>
      <c r="F6" s="1950">
        <v>370</v>
      </c>
      <c r="G6" s="1950">
        <v>350</v>
      </c>
      <c r="H6" s="1951">
        <v>354</v>
      </c>
      <c r="I6" s="1951">
        <v>360</v>
      </c>
      <c r="J6" s="1951">
        <v>389</v>
      </c>
      <c r="K6" s="1951">
        <v>404</v>
      </c>
      <c r="L6" s="1951">
        <v>482</v>
      </c>
      <c r="M6" s="1951">
        <v>521</v>
      </c>
      <c r="N6" s="1951">
        <v>567</v>
      </c>
      <c r="O6" s="1951">
        <v>565</v>
      </c>
      <c r="P6" s="1951">
        <v>558</v>
      </c>
      <c r="Q6" s="1951">
        <v>519</v>
      </c>
      <c r="R6" s="1951">
        <v>515</v>
      </c>
    </row>
    <row r="7" spans="1:18" s="186" customFormat="1" ht="15" customHeight="1" x14ac:dyDescent="0.2">
      <c r="A7" s="5857"/>
      <c r="B7" s="5675"/>
      <c r="C7" s="1961" t="s">
        <v>449</v>
      </c>
      <c r="D7" s="1950">
        <v>265</v>
      </c>
      <c r="E7" s="1950">
        <v>260</v>
      </c>
      <c r="F7" s="1950">
        <v>284</v>
      </c>
      <c r="G7" s="1950">
        <v>270</v>
      </c>
      <c r="H7" s="1951">
        <v>259</v>
      </c>
      <c r="I7" s="1951">
        <v>296</v>
      </c>
      <c r="J7" s="1951">
        <v>330</v>
      </c>
      <c r="K7" s="1951">
        <v>369</v>
      </c>
      <c r="L7" s="1951">
        <v>441</v>
      </c>
      <c r="M7" s="1951">
        <v>479</v>
      </c>
      <c r="N7" s="1951">
        <v>507</v>
      </c>
      <c r="O7" s="1951">
        <v>545</v>
      </c>
      <c r="P7" s="1951">
        <v>545</v>
      </c>
      <c r="Q7" s="1951">
        <v>565</v>
      </c>
      <c r="R7" s="1951">
        <v>580</v>
      </c>
    </row>
    <row r="8" spans="1:18" s="186" customFormat="1" ht="15" customHeight="1" x14ac:dyDescent="0.2">
      <c r="A8" s="5857"/>
      <c r="B8" s="5675"/>
      <c r="C8" s="1961" t="s">
        <v>450</v>
      </c>
      <c r="D8" s="1950">
        <v>1170</v>
      </c>
      <c r="E8" s="1950">
        <v>1201</v>
      </c>
      <c r="F8" s="1950">
        <v>1196</v>
      </c>
      <c r="G8" s="1950">
        <v>1209</v>
      </c>
      <c r="H8" s="1951">
        <v>1251</v>
      </c>
      <c r="I8" s="1951">
        <v>1232</v>
      </c>
      <c r="J8" s="1951">
        <v>1158</v>
      </c>
      <c r="K8" s="1951">
        <v>1174</v>
      </c>
      <c r="L8" s="1951">
        <v>1131</v>
      </c>
      <c r="M8" s="1951">
        <v>1076</v>
      </c>
      <c r="N8" s="1951">
        <v>1030</v>
      </c>
      <c r="O8" s="1951">
        <v>941</v>
      </c>
      <c r="P8" s="1951">
        <v>872</v>
      </c>
      <c r="Q8" s="1951">
        <v>815</v>
      </c>
      <c r="R8" s="1951">
        <v>740</v>
      </c>
    </row>
    <row r="9" spans="1:18" s="186" customFormat="1" ht="15" customHeight="1" x14ac:dyDescent="0.2">
      <c r="A9" s="5857"/>
      <c r="B9" s="5675"/>
      <c r="C9" s="1961" t="s">
        <v>451</v>
      </c>
      <c r="D9" s="1950">
        <v>834</v>
      </c>
      <c r="E9" s="1950">
        <v>810</v>
      </c>
      <c r="F9" s="1950">
        <v>820</v>
      </c>
      <c r="G9" s="1950">
        <v>845</v>
      </c>
      <c r="H9" s="1951">
        <v>830</v>
      </c>
      <c r="I9" s="1951">
        <v>813</v>
      </c>
      <c r="J9" s="1951">
        <v>799</v>
      </c>
      <c r="K9" s="1951">
        <v>870</v>
      </c>
      <c r="L9" s="1951">
        <v>884</v>
      </c>
      <c r="M9" s="1951">
        <v>871</v>
      </c>
      <c r="N9" s="1951">
        <v>842</v>
      </c>
      <c r="O9" s="1951">
        <v>800</v>
      </c>
      <c r="P9" s="1951">
        <v>785</v>
      </c>
      <c r="Q9" s="1951">
        <v>753</v>
      </c>
      <c r="R9" s="1951">
        <v>709</v>
      </c>
    </row>
    <row r="10" spans="1:18" s="186" customFormat="1" ht="15" customHeight="1" x14ac:dyDescent="0.2">
      <c r="A10" s="5857"/>
      <c r="B10" s="5675"/>
      <c r="C10" s="1961" t="s">
        <v>452</v>
      </c>
      <c r="D10" s="1950">
        <v>107</v>
      </c>
      <c r="E10" s="1950">
        <v>97</v>
      </c>
      <c r="F10" s="1950">
        <v>103</v>
      </c>
      <c r="G10" s="1950">
        <v>110</v>
      </c>
      <c r="H10" s="1951">
        <v>122</v>
      </c>
      <c r="I10" s="1951">
        <v>142</v>
      </c>
      <c r="J10" s="1951">
        <v>181</v>
      </c>
      <c r="K10" s="1951">
        <v>207</v>
      </c>
      <c r="L10" s="1951">
        <v>283</v>
      </c>
      <c r="M10" s="1951">
        <v>355</v>
      </c>
      <c r="N10" s="1951">
        <v>416</v>
      </c>
      <c r="O10" s="1951">
        <v>473</v>
      </c>
      <c r="P10" s="1951">
        <v>501</v>
      </c>
      <c r="Q10" s="1951">
        <v>485</v>
      </c>
      <c r="R10" s="1951">
        <v>475</v>
      </c>
    </row>
    <row r="11" spans="1:18" s="186" customFormat="1" ht="15" customHeight="1" x14ac:dyDescent="0.2">
      <c r="A11" s="5857"/>
      <c r="B11" s="5675"/>
      <c r="C11" s="1961" t="s">
        <v>453</v>
      </c>
      <c r="D11" s="1950">
        <v>726</v>
      </c>
      <c r="E11" s="1950">
        <v>709</v>
      </c>
      <c r="F11" s="1950">
        <v>688</v>
      </c>
      <c r="G11" s="1950">
        <v>688</v>
      </c>
      <c r="H11" s="1951">
        <v>741</v>
      </c>
      <c r="I11" s="1951">
        <v>749</v>
      </c>
      <c r="J11" s="1951">
        <v>760</v>
      </c>
      <c r="K11" s="1951">
        <v>839</v>
      </c>
      <c r="L11" s="1951">
        <v>843</v>
      </c>
      <c r="M11" s="1951">
        <v>849</v>
      </c>
      <c r="N11" s="1951">
        <v>867</v>
      </c>
      <c r="O11" s="1951">
        <v>840</v>
      </c>
      <c r="P11" s="1951">
        <v>780</v>
      </c>
      <c r="Q11" s="1951">
        <v>761</v>
      </c>
      <c r="R11" s="1951">
        <v>742</v>
      </c>
    </row>
    <row r="12" spans="1:18" s="186" customFormat="1" ht="15" customHeight="1" x14ac:dyDescent="0.2">
      <c r="A12" s="5857"/>
      <c r="B12" s="5675"/>
      <c r="C12" s="1961" t="s">
        <v>454</v>
      </c>
      <c r="D12" s="1950">
        <v>1582</v>
      </c>
      <c r="E12" s="1950">
        <v>1592</v>
      </c>
      <c r="F12" s="1950">
        <v>1611</v>
      </c>
      <c r="G12" s="1950">
        <v>1570</v>
      </c>
      <c r="H12" s="1951">
        <v>1494</v>
      </c>
      <c r="I12" s="1951">
        <v>1401</v>
      </c>
      <c r="J12" s="1951">
        <v>1269</v>
      </c>
      <c r="K12" s="1951">
        <v>1292</v>
      </c>
      <c r="L12" s="1951">
        <v>1262</v>
      </c>
      <c r="M12" s="1951">
        <v>1196</v>
      </c>
      <c r="N12" s="1951">
        <v>1128</v>
      </c>
      <c r="O12" s="1951">
        <v>1034</v>
      </c>
      <c r="P12" s="1951">
        <v>951</v>
      </c>
      <c r="Q12" s="1951">
        <v>895</v>
      </c>
      <c r="R12" s="1951">
        <v>817</v>
      </c>
    </row>
    <row r="13" spans="1:18" s="186" customFormat="1" ht="15" customHeight="1" x14ac:dyDescent="0.2">
      <c r="A13" s="5857"/>
      <c r="B13" s="5675"/>
      <c r="C13" s="1962" t="s">
        <v>506</v>
      </c>
      <c r="D13" s="1952">
        <v>98</v>
      </c>
      <c r="E13" s="1952">
        <v>486</v>
      </c>
      <c r="F13" s="1952">
        <v>811</v>
      </c>
      <c r="G13" s="1952">
        <v>1135</v>
      </c>
      <c r="H13" s="1953">
        <v>1284</v>
      </c>
      <c r="I13" s="1953">
        <v>1452</v>
      </c>
      <c r="J13" s="1953">
        <v>1518</v>
      </c>
      <c r="K13" s="1953">
        <v>1558</v>
      </c>
      <c r="L13" s="1953">
        <v>1492</v>
      </c>
      <c r="M13" s="1953">
        <v>1394</v>
      </c>
      <c r="N13" s="1953">
        <v>1289</v>
      </c>
      <c r="O13" s="1953">
        <v>1222</v>
      </c>
      <c r="P13" s="1953">
        <v>1056</v>
      </c>
      <c r="Q13" s="1953">
        <v>1012</v>
      </c>
      <c r="R13" s="1953">
        <v>913</v>
      </c>
    </row>
    <row r="14" spans="1:18" s="186" customFormat="1" ht="15" customHeight="1" x14ac:dyDescent="0.2">
      <c r="A14" s="5857"/>
      <c r="B14" s="1913"/>
      <c r="C14" s="2220" t="s">
        <v>160</v>
      </c>
      <c r="D14" s="2221">
        <f>SUM(D4:D13)</f>
        <v>6155</v>
      </c>
      <c r="E14" s="2221">
        <f t="shared" ref="E14:M14" si="0">SUM(E4:E13)</f>
        <v>6518</v>
      </c>
      <c r="F14" s="2221">
        <f t="shared" si="0"/>
        <v>6814</v>
      </c>
      <c r="G14" s="2221">
        <f t="shared" si="0"/>
        <v>7139</v>
      </c>
      <c r="H14" s="2221">
        <f t="shared" si="0"/>
        <v>7357</v>
      </c>
      <c r="I14" s="2221">
        <f t="shared" si="0"/>
        <v>7629</v>
      </c>
      <c r="J14" s="2221">
        <f t="shared" si="0"/>
        <v>7768</v>
      </c>
      <c r="K14" s="2221">
        <f t="shared" si="0"/>
        <v>8348</v>
      </c>
      <c r="L14" s="2221">
        <f t="shared" si="0"/>
        <v>8552</v>
      </c>
      <c r="M14" s="2222">
        <f t="shared" si="0"/>
        <v>8481</v>
      </c>
      <c r="N14" s="2222">
        <f>SUM(N4:N13)</f>
        <v>8413</v>
      </c>
      <c r="O14" s="2222">
        <f>SUM(O4:O13)</f>
        <v>8142</v>
      </c>
      <c r="P14" s="2222">
        <f>SUM(P4:P13)</f>
        <v>7752</v>
      </c>
      <c r="Q14" s="2222">
        <f>SUM(Q4:Q13)</f>
        <v>7437</v>
      </c>
      <c r="R14" s="2222">
        <f>SUM(R4:R13)</f>
        <v>7030</v>
      </c>
    </row>
    <row r="15" spans="1:18" s="186" customFormat="1" ht="15" customHeight="1" x14ac:dyDescent="0.2">
      <c r="A15" s="5857"/>
      <c r="B15" s="5674" t="s">
        <v>6</v>
      </c>
      <c r="C15" s="1960" t="s">
        <v>456</v>
      </c>
      <c r="D15" s="1948">
        <v>1363</v>
      </c>
      <c r="E15" s="1948">
        <v>1352</v>
      </c>
      <c r="F15" s="1948">
        <v>1327</v>
      </c>
      <c r="G15" s="1948">
        <v>1305</v>
      </c>
      <c r="H15" s="1949">
        <v>1376</v>
      </c>
      <c r="I15" s="1949">
        <v>1388</v>
      </c>
      <c r="J15" s="1949">
        <v>1383</v>
      </c>
      <c r="K15" s="1949">
        <v>1377</v>
      </c>
      <c r="L15" s="1949">
        <v>1394</v>
      </c>
      <c r="M15" s="1949">
        <v>1447</v>
      </c>
      <c r="N15" s="1949">
        <v>1458</v>
      </c>
      <c r="O15" s="1949">
        <v>1481</v>
      </c>
      <c r="P15" s="1949">
        <v>1506</v>
      </c>
      <c r="Q15" s="1949">
        <v>1510</v>
      </c>
      <c r="R15" s="1949">
        <v>1463</v>
      </c>
    </row>
    <row r="16" spans="1:18" s="186" customFormat="1" ht="15" customHeight="1" x14ac:dyDescent="0.2">
      <c r="A16" s="5857"/>
      <c r="B16" s="5675"/>
      <c r="C16" s="1961" t="s">
        <v>457</v>
      </c>
      <c r="D16" s="1950">
        <v>2046</v>
      </c>
      <c r="E16" s="1950">
        <v>1992</v>
      </c>
      <c r="F16" s="1950">
        <v>1978</v>
      </c>
      <c r="G16" s="1950">
        <v>1946</v>
      </c>
      <c r="H16" s="1951">
        <v>1904</v>
      </c>
      <c r="I16" s="1951">
        <v>1979</v>
      </c>
      <c r="J16" s="1951">
        <v>2018</v>
      </c>
      <c r="K16" s="1951">
        <v>2070</v>
      </c>
      <c r="L16" s="1951">
        <v>2142</v>
      </c>
      <c r="M16" s="1951">
        <v>2332</v>
      </c>
      <c r="N16" s="1951">
        <v>2445</v>
      </c>
      <c r="O16" s="1951">
        <v>2427</v>
      </c>
      <c r="P16" s="1951">
        <v>2518</v>
      </c>
      <c r="Q16" s="1951">
        <v>2574</v>
      </c>
      <c r="R16" s="1951">
        <v>2494</v>
      </c>
    </row>
    <row r="17" spans="1:18" s="186" customFormat="1" ht="15" customHeight="1" x14ac:dyDescent="0.2">
      <c r="A17" s="5857"/>
      <c r="B17" s="5675"/>
      <c r="C17" s="1961" t="s">
        <v>458</v>
      </c>
      <c r="D17" s="1950">
        <v>990</v>
      </c>
      <c r="E17" s="1950">
        <v>961</v>
      </c>
      <c r="F17" s="1950">
        <v>937</v>
      </c>
      <c r="G17" s="1950">
        <v>902</v>
      </c>
      <c r="H17" s="1951">
        <v>914</v>
      </c>
      <c r="I17" s="1951">
        <v>967</v>
      </c>
      <c r="J17" s="1951">
        <v>1015</v>
      </c>
      <c r="K17" s="1951">
        <v>1041</v>
      </c>
      <c r="L17" s="1951">
        <v>1083</v>
      </c>
      <c r="M17" s="1951">
        <v>1148</v>
      </c>
      <c r="N17" s="1951">
        <v>1186</v>
      </c>
      <c r="O17" s="1951">
        <v>1180</v>
      </c>
      <c r="P17" s="1951">
        <v>1223</v>
      </c>
      <c r="Q17" s="1951">
        <v>1287</v>
      </c>
      <c r="R17" s="1951">
        <v>1377</v>
      </c>
    </row>
    <row r="18" spans="1:18" s="186" customFormat="1" ht="15" customHeight="1" x14ac:dyDescent="0.2">
      <c r="A18" s="5857"/>
      <c r="B18" s="5675"/>
      <c r="C18" s="1961" t="s">
        <v>459</v>
      </c>
      <c r="D18" s="1950">
        <v>1001</v>
      </c>
      <c r="E18" s="1950">
        <v>1040</v>
      </c>
      <c r="F18" s="1950">
        <v>1046</v>
      </c>
      <c r="G18" s="1950">
        <v>1019</v>
      </c>
      <c r="H18" s="1951">
        <v>1031</v>
      </c>
      <c r="I18" s="1951">
        <v>1099</v>
      </c>
      <c r="J18" s="1951">
        <v>1103</v>
      </c>
      <c r="K18" s="1951">
        <v>1141</v>
      </c>
      <c r="L18" s="1951">
        <v>1136</v>
      </c>
      <c r="M18" s="1951">
        <v>1223</v>
      </c>
      <c r="N18" s="1951">
        <v>1273</v>
      </c>
      <c r="O18" s="1951">
        <v>1287</v>
      </c>
      <c r="P18" s="1951">
        <v>1323</v>
      </c>
      <c r="Q18" s="1951">
        <v>1326</v>
      </c>
      <c r="R18" s="1951">
        <v>1304</v>
      </c>
    </row>
    <row r="19" spans="1:18" s="186" customFormat="1" ht="15" customHeight="1" x14ac:dyDescent="0.2">
      <c r="A19" s="5857"/>
      <c r="B19" s="5676"/>
      <c r="C19" s="2220" t="s">
        <v>160</v>
      </c>
      <c r="D19" s="2221">
        <f>SUM(D15:D18)</f>
        <v>5400</v>
      </c>
      <c r="E19" s="2221">
        <f t="shared" ref="E19:M19" si="1">SUM(E15:E18)</f>
        <v>5345</v>
      </c>
      <c r="F19" s="2221">
        <f t="shared" si="1"/>
        <v>5288</v>
      </c>
      <c r="G19" s="2221">
        <f t="shared" si="1"/>
        <v>5172</v>
      </c>
      <c r="H19" s="2221">
        <f t="shared" si="1"/>
        <v>5225</v>
      </c>
      <c r="I19" s="2221">
        <f t="shared" si="1"/>
        <v>5433</v>
      </c>
      <c r="J19" s="2221">
        <f t="shared" si="1"/>
        <v>5519</v>
      </c>
      <c r="K19" s="2221">
        <f t="shared" si="1"/>
        <v>5629</v>
      </c>
      <c r="L19" s="2221">
        <f t="shared" si="1"/>
        <v>5755</v>
      </c>
      <c r="M19" s="2222">
        <f t="shared" si="1"/>
        <v>6150</v>
      </c>
      <c r="N19" s="2222">
        <f>SUM(N15:N18)</f>
        <v>6362</v>
      </c>
      <c r="O19" s="2222">
        <f>SUM(O15:O18)</f>
        <v>6375</v>
      </c>
      <c r="P19" s="2222">
        <f>SUM(P15:P18)</f>
        <v>6570</v>
      </c>
      <c r="Q19" s="2222">
        <f>SUM(Q15:Q18)</f>
        <v>6697</v>
      </c>
      <c r="R19" s="2222">
        <f>SUM(R15:R18)</f>
        <v>6638</v>
      </c>
    </row>
    <row r="20" spans="1:18" s="186" customFormat="1" ht="15" customHeight="1" x14ac:dyDescent="0.2">
      <c r="A20" s="5857"/>
      <c r="B20" s="5674" t="s">
        <v>7</v>
      </c>
      <c r="C20" s="1960" t="s">
        <v>460</v>
      </c>
      <c r="D20" s="1948">
        <v>1353</v>
      </c>
      <c r="E20" s="1948">
        <v>1359</v>
      </c>
      <c r="F20" s="1948">
        <v>1359</v>
      </c>
      <c r="G20" s="1948">
        <v>1363</v>
      </c>
      <c r="H20" s="1949">
        <v>1371</v>
      </c>
      <c r="I20" s="1949">
        <v>1375</v>
      </c>
      <c r="J20" s="1949">
        <v>1328</v>
      </c>
      <c r="K20" s="1949">
        <v>1300</v>
      </c>
      <c r="L20" s="1949">
        <v>1274</v>
      </c>
      <c r="M20" s="1949">
        <v>1296</v>
      </c>
      <c r="N20" s="1949">
        <v>1316</v>
      </c>
      <c r="O20" s="1949">
        <v>1283</v>
      </c>
      <c r="P20" s="1949">
        <v>1267</v>
      </c>
      <c r="Q20" s="1949">
        <v>1181</v>
      </c>
      <c r="R20" s="1949">
        <v>1252</v>
      </c>
    </row>
    <row r="21" spans="1:18" s="186" customFormat="1" ht="15" customHeight="1" x14ac:dyDescent="0.2">
      <c r="A21" s="5857"/>
      <c r="B21" s="5675"/>
      <c r="C21" s="1961" t="s">
        <v>461</v>
      </c>
      <c r="D21" s="1950">
        <v>1188</v>
      </c>
      <c r="E21" s="1950">
        <v>1168</v>
      </c>
      <c r="F21" s="1950">
        <v>1189</v>
      </c>
      <c r="G21" s="1950">
        <v>1148</v>
      </c>
      <c r="H21" s="1951">
        <v>1061</v>
      </c>
      <c r="I21" s="1951">
        <v>1008</v>
      </c>
      <c r="J21" s="1951">
        <v>994</v>
      </c>
      <c r="K21" s="1951">
        <v>949</v>
      </c>
      <c r="L21" s="1951">
        <v>985</v>
      </c>
      <c r="M21" s="1951">
        <v>1057</v>
      </c>
      <c r="N21" s="1951">
        <v>1144</v>
      </c>
      <c r="O21" s="1951">
        <v>1230</v>
      </c>
      <c r="P21" s="1951">
        <v>1275</v>
      </c>
      <c r="Q21" s="1951">
        <v>1356</v>
      </c>
      <c r="R21" s="1951">
        <v>1360</v>
      </c>
    </row>
    <row r="22" spans="1:18" s="186" customFormat="1" ht="15" customHeight="1" x14ac:dyDescent="0.2">
      <c r="A22" s="5857"/>
      <c r="B22" s="5675"/>
      <c r="C22" s="1962" t="s">
        <v>462</v>
      </c>
      <c r="D22" s="1952">
        <v>713</v>
      </c>
      <c r="E22" s="1952">
        <v>663</v>
      </c>
      <c r="F22" s="1952">
        <v>676</v>
      </c>
      <c r="G22" s="1952">
        <v>694</v>
      </c>
      <c r="H22" s="1953">
        <v>700</v>
      </c>
      <c r="I22" s="1953">
        <v>734</v>
      </c>
      <c r="J22" s="1953">
        <v>762</v>
      </c>
      <c r="K22" s="1953">
        <v>809</v>
      </c>
      <c r="L22" s="1953">
        <v>825</v>
      </c>
      <c r="M22" s="1953">
        <v>871</v>
      </c>
      <c r="N22" s="1953">
        <v>903</v>
      </c>
      <c r="O22" s="1953">
        <v>936</v>
      </c>
      <c r="P22" s="1953">
        <v>944</v>
      </c>
      <c r="Q22" s="1953">
        <v>966</v>
      </c>
      <c r="R22" s="1953">
        <v>969</v>
      </c>
    </row>
    <row r="23" spans="1:18" s="186" customFormat="1" ht="15" customHeight="1" x14ac:dyDescent="0.2">
      <c r="A23" s="5857"/>
      <c r="B23" s="5675"/>
      <c r="C23" s="2220" t="s">
        <v>160</v>
      </c>
      <c r="D23" s="2221">
        <f>SUM(D20:D22)</f>
        <v>3254</v>
      </c>
      <c r="E23" s="2221">
        <f t="shared" ref="E23:M23" si="2">SUM(E20:E22)</f>
        <v>3190</v>
      </c>
      <c r="F23" s="2221">
        <f t="shared" si="2"/>
        <v>3224</v>
      </c>
      <c r="G23" s="2221">
        <f t="shared" si="2"/>
        <v>3205</v>
      </c>
      <c r="H23" s="2221">
        <f t="shared" si="2"/>
        <v>3132</v>
      </c>
      <c r="I23" s="2221">
        <f t="shared" si="2"/>
        <v>3117</v>
      </c>
      <c r="J23" s="2221">
        <f t="shared" si="2"/>
        <v>3084</v>
      </c>
      <c r="K23" s="2221">
        <f t="shared" si="2"/>
        <v>3058</v>
      </c>
      <c r="L23" s="2221">
        <f t="shared" si="2"/>
        <v>3084</v>
      </c>
      <c r="M23" s="2222">
        <f t="shared" si="2"/>
        <v>3224</v>
      </c>
      <c r="N23" s="2222">
        <f>SUM(N20:N22)</f>
        <v>3363</v>
      </c>
      <c r="O23" s="2222">
        <f>SUM(O20:O22)</f>
        <v>3449</v>
      </c>
      <c r="P23" s="2222">
        <f>SUM(P20:P22)</f>
        <v>3486</v>
      </c>
      <c r="Q23" s="2222">
        <f>SUM(Q20:Q22)</f>
        <v>3503</v>
      </c>
      <c r="R23" s="2222">
        <f>SUM(R20:R22)</f>
        <v>3581</v>
      </c>
    </row>
    <row r="24" spans="1:18" s="186" customFormat="1" ht="15" customHeight="1" x14ac:dyDescent="0.2">
      <c r="A24" s="5858"/>
      <c r="B24" s="3550"/>
      <c r="C24" s="3551" t="s">
        <v>510</v>
      </c>
      <c r="D24" s="3617">
        <f>SUM(D14,D19,D23)</f>
        <v>14809</v>
      </c>
      <c r="E24" s="3617">
        <f t="shared" ref="E24:M24" si="3">SUM(E14,E19,E23)</f>
        <v>15053</v>
      </c>
      <c r="F24" s="3617">
        <f t="shared" si="3"/>
        <v>15326</v>
      </c>
      <c r="G24" s="3617">
        <f t="shared" si="3"/>
        <v>15516</v>
      </c>
      <c r="H24" s="3617">
        <f t="shared" si="3"/>
        <v>15714</v>
      </c>
      <c r="I24" s="3617">
        <f t="shared" si="3"/>
        <v>16179</v>
      </c>
      <c r="J24" s="3617">
        <f t="shared" si="3"/>
        <v>16371</v>
      </c>
      <c r="K24" s="3617">
        <f t="shared" si="3"/>
        <v>17035</v>
      </c>
      <c r="L24" s="3617">
        <f t="shared" si="3"/>
        <v>17391</v>
      </c>
      <c r="M24" s="3618">
        <f t="shared" si="3"/>
        <v>17855</v>
      </c>
      <c r="N24" s="3618">
        <f>SUM(N14,N19,N23)</f>
        <v>18138</v>
      </c>
      <c r="O24" s="3618">
        <f>SUM(O14,O19,O23)</f>
        <v>17966</v>
      </c>
      <c r="P24" s="3618">
        <f>SUM(P14,P19,P23)</f>
        <v>17808</v>
      </c>
      <c r="Q24" s="3618">
        <f>SUM(Q14,Q19,Q23)</f>
        <v>17637</v>
      </c>
      <c r="R24" s="3618">
        <f>SUM(R14,R19,R23)</f>
        <v>17249</v>
      </c>
    </row>
    <row r="25" spans="1:18" s="186" customFormat="1" ht="15" customHeight="1" x14ac:dyDescent="0.2">
      <c r="A25" s="5693" t="s">
        <v>430</v>
      </c>
      <c r="B25" s="5647" t="s">
        <v>6</v>
      </c>
      <c r="C25" s="1960" t="s">
        <v>456</v>
      </c>
      <c r="D25" s="1948"/>
      <c r="E25" s="1948"/>
      <c r="F25" s="1948">
        <v>57</v>
      </c>
      <c r="G25" s="1948">
        <v>97</v>
      </c>
      <c r="H25" s="1949">
        <v>157</v>
      </c>
      <c r="I25" s="1949">
        <v>214</v>
      </c>
      <c r="J25" s="1949">
        <v>232</v>
      </c>
      <c r="K25" s="1949">
        <v>223</v>
      </c>
      <c r="L25" s="1949">
        <v>225</v>
      </c>
      <c r="M25" s="1949">
        <v>201</v>
      </c>
      <c r="N25" s="1949">
        <v>199</v>
      </c>
      <c r="O25" s="1949">
        <v>217</v>
      </c>
      <c r="P25" s="1949">
        <v>236</v>
      </c>
      <c r="Q25" s="1949">
        <v>270</v>
      </c>
      <c r="R25" s="1949">
        <v>287</v>
      </c>
    </row>
    <row r="26" spans="1:18" s="186" customFormat="1" ht="15" customHeight="1" x14ac:dyDescent="0.2">
      <c r="A26" s="5694"/>
      <c r="B26" s="5648"/>
      <c r="C26" s="1961" t="s">
        <v>457</v>
      </c>
      <c r="D26" s="1950"/>
      <c r="E26" s="1950"/>
      <c r="F26" s="1950">
        <v>54</v>
      </c>
      <c r="G26" s="1950">
        <v>51</v>
      </c>
      <c r="H26" s="1951">
        <v>31</v>
      </c>
      <c r="I26" s="1951">
        <v>28</v>
      </c>
      <c r="J26" s="1951">
        <v>27</v>
      </c>
      <c r="K26" s="1951">
        <v>7</v>
      </c>
      <c r="L26" s="1951">
        <v>3</v>
      </c>
      <c r="M26" s="1951"/>
      <c r="N26" s="1951"/>
      <c r="O26" s="1951"/>
      <c r="P26" s="1951">
        <v>36</v>
      </c>
      <c r="Q26" s="1951">
        <v>72</v>
      </c>
      <c r="R26" s="1951">
        <v>100</v>
      </c>
    </row>
    <row r="27" spans="1:18" s="186" customFormat="1" ht="15" customHeight="1" x14ac:dyDescent="0.2">
      <c r="A27" s="5694"/>
      <c r="B27" s="5648"/>
      <c r="C27" s="1961" t="s">
        <v>495</v>
      </c>
      <c r="D27" s="1950"/>
      <c r="E27" s="1950"/>
      <c r="F27" s="1950"/>
      <c r="G27" s="1950"/>
      <c r="H27" s="1951">
        <v>22</v>
      </c>
      <c r="I27" s="1951">
        <v>42</v>
      </c>
      <c r="J27" s="1951">
        <v>62</v>
      </c>
      <c r="K27" s="1951">
        <v>89</v>
      </c>
      <c r="L27" s="1951">
        <v>101</v>
      </c>
      <c r="M27" s="1951">
        <v>105</v>
      </c>
      <c r="N27" s="1951">
        <v>110</v>
      </c>
      <c r="O27" s="1951">
        <v>161</v>
      </c>
      <c r="P27" s="1951">
        <v>197</v>
      </c>
      <c r="Q27" s="1951">
        <v>244</v>
      </c>
      <c r="R27" s="1951">
        <v>279</v>
      </c>
    </row>
    <row r="28" spans="1:18" s="186" customFormat="1" ht="15" customHeight="1" x14ac:dyDescent="0.2">
      <c r="A28" s="5694"/>
      <c r="B28" s="5648"/>
      <c r="C28" s="1961" t="s">
        <v>508</v>
      </c>
      <c r="D28" s="1950"/>
      <c r="E28" s="1950"/>
      <c r="F28" s="1950"/>
      <c r="G28" s="1950"/>
      <c r="H28" s="1951">
        <v>32</v>
      </c>
      <c r="I28" s="1951">
        <v>59</v>
      </c>
      <c r="J28" s="1951">
        <v>80</v>
      </c>
      <c r="K28" s="1951">
        <v>101</v>
      </c>
      <c r="L28" s="1951">
        <v>126</v>
      </c>
      <c r="M28" s="1951">
        <v>140</v>
      </c>
      <c r="N28" s="1951">
        <v>150</v>
      </c>
      <c r="O28" s="1951">
        <v>198</v>
      </c>
      <c r="P28" s="1951">
        <v>233</v>
      </c>
      <c r="Q28" s="1951">
        <v>252</v>
      </c>
      <c r="R28" s="1951">
        <v>292</v>
      </c>
    </row>
    <row r="29" spans="1:18" s="186" customFormat="1" ht="15" customHeight="1" x14ac:dyDescent="0.2">
      <c r="A29" s="5694"/>
      <c r="B29" s="5649"/>
      <c r="C29" s="2220" t="s">
        <v>160</v>
      </c>
      <c r="D29" s="2221"/>
      <c r="E29" s="2221"/>
      <c r="F29" s="2221">
        <f t="shared" ref="F29:M29" si="4">SUM(F25:F28)</f>
        <v>111</v>
      </c>
      <c r="G29" s="2221">
        <f t="shared" si="4"/>
        <v>148</v>
      </c>
      <c r="H29" s="2221">
        <f t="shared" si="4"/>
        <v>242</v>
      </c>
      <c r="I29" s="2221">
        <f t="shared" si="4"/>
        <v>343</v>
      </c>
      <c r="J29" s="2221">
        <f t="shared" si="4"/>
        <v>401</v>
      </c>
      <c r="K29" s="2221">
        <f t="shared" si="4"/>
        <v>420</v>
      </c>
      <c r="L29" s="2221">
        <f t="shared" si="4"/>
        <v>455</v>
      </c>
      <c r="M29" s="2222">
        <f t="shared" si="4"/>
        <v>446</v>
      </c>
      <c r="N29" s="2222">
        <f>SUM(N25:N28)</f>
        <v>459</v>
      </c>
      <c r="O29" s="2222">
        <f>SUM(O25:O28)</f>
        <v>576</v>
      </c>
      <c r="P29" s="2222">
        <f>SUM(P25:P28)</f>
        <v>702</v>
      </c>
      <c r="Q29" s="2222">
        <f>SUM(Q25:Q28)</f>
        <v>838</v>
      </c>
      <c r="R29" s="2222">
        <f>SUM(R25:R28)</f>
        <v>958</v>
      </c>
    </row>
    <row r="30" spans="1:18" s="186" customFormat="1" ht="15" customHeight="1" x14ac:dyDescent="0.2">
      <c r="A30" s="5694"/>
      <c r="B30" s="5648" t="s">
        <v>9</v>
      </c>
      <c r="C30" s="1963" t="s">
        <v>497</v>
      </c>
      <c r="D30" s="1956"/>
      <c r="E30" s="1956"/>
      <c r="F30" s="1956">
        <v>34</v>
      </c>
      <c r="G30" s="1956">
        <v>61</v>
      </c>
      <c r="H30" s="1957">
        <v>117</v>
      </c>
      <c r="I30" s="1957">
        <v>167</v>
      </c>
      <c r="J30" s="1957">
        <v>185</v>
      </c>
      <c r="K30" s="1957">
        <v>204</v>
      </c>
      <c r="L30" s="1957">
        <v>199</v>
      </c>
      <c r="M30" s="1957">
        <v>215</v>
      </c>
      <c r="N30" s="1957">
        <v>214</v>
      </c>
      <c r="O30" s="1957">
        <v>257</v>
      </c>
      <c r="P30" s="1957">
        <v>280</v>
      </c>
      <c r="Q30" s="1957">
        <v>314</v>
      </c>
      <c r="R30" s="1957">
        <v>343</v>
      </c>
    </row>
    <row r="31" spans="1:18" s="186" customFormat="1" ht="15" customHeight="1" x14ac:dyDescent="0.2">
      <c r="A31" s="5694"/>
      <c r="B31" s="5648"/>
      <c r="C31" s="1961" t="s">
        <v>498</v>
      </c>
      <c r="D31" s="1950"/>
      <c r="E31" s="1950"/>
      <c r="F31" s="1950"/>
      <c r="G31" s="1950"/>
      <c r="H31" s="1951">
        <v>25</v>
      </c>
      <c r="I31" s="1951">
        <v>48</v>
      </c>
      <c r="J31" s="1951">
        <v>77</v>
      </c>
      <c r="K31" s="1951">
        <v>108</v>
      </c>
      <c r="L31" s="1951">
        <v>136</v>
      </c>
      <c r="M31" s="1951">
        <v>160</v>
      </c>
      <c r="N31" s="1951">
        <v>175</v>
      </c>
      <c r="O31" s="1951">
        <v>184</v>
      </c>
      <c r="P31" s="1951">
        <v>215</v>
      </c>
      <c r="Q31" s="1951">
        <v>242</v>
      </c>
      <c r="R31" s="1951">
        <v>276</v>
      </c>
    </row>
    <row r="32" spans="1:18" s="186" customFormat="1" ht="15" customHeight="1" x14ac:dyDescent="0.2">
      <c r="A32" s="5694"/>
      <c r="B32" s="5648"/>
      <c r="C32" s="1961" t="s">
        <v>499</v>
      </c>
      <c r="D32" s="1950"/>
      <c r="E32" s="1950"/>
      <c r="F32" s="1950"/>
      <c r="G32" s="1950"/>
      <c r="H32" s="1951">
        <v>49</v>
      </c>
      <c r="I32" s="1951">
        <v>99</v>
      </c>
      <c r="J32" s="1951">
        <v>116</v>
      </c>
      <c r="K32" s="1951">
        <v>150</v>
      </c>
      <c r="L32" s="1951">
        <v>204</v>
      </c>
      <c r="M32" s="1951">
        <v>228</v>
      </c>
      <c r="N32" s="1951">
        <v>240</v>
      </c>
      <c r="O32" s="1951">
        <v>270</v>
      </c>
      <c r="P32" s="1951">
        <v>321</v>
      </c>
      <c r="Q32" s="1951">
        <v>377</v>
      </c>
      <c r="R32" s="1951">
        <v>420</v>
      </c>
    </row>
    <row r="33" spans="1:18" s="186" customFormat="1" ht="15" customHeight="1" x14ac:dyDescent="0.2">
      <c r="A33" s="5694"/>
      <c r="B33" s="5649"/>
      <c r="C33" s="2220" t="s">
        <v>160</v>
      </c>
      <c r="D33" s="2221"/>
      <c r="E33" s="2221"/>
      <c r="F33" s="2221">
        <f>SUM(F30:F32)</f>
        <v>34</v>
      </c>
      <c r="G33" s="2221">
        <f t="shared" ref="G33:M33" si="5">SUM(G30:G32)</f>
        <v>61</v>
      </c>
      <c r="H33" s="2221">
        <f t="shared" si="5"/>
        <v>191</v>
      </c>
      <c r="I33" s="2221">
        <f t="shared" si="5"/>
        <v>314</v>
      </c>
      <c r="J33" s="2221">
        <f t="shared" si="5"/>
        <v>378</v>
      </c>
      <c r="K33" s="2221">
        <f t="shared" si="5"/>
        <v>462</v>
      </c>
      <c r="L33" s="2221">
        <f t="shared" si="5"/>
        <v>539</v>
      </c>
      <c r="M33" s="2222">
        <f t="shared" si="5"/>
        <v>603</v>
      </c>
      <c r="N33" s="2222">
        <f>SUM(N30:N32)</f>
        <v>629</v>
      </c>
      <c r="O33" s="2222">
        <f>SUM(O30:O32)</f>
        <v>711</v>
      </c>
      <c r="P33" s="2222">
        <f>SUM(P30:P32)</f>
        <v>816</v>
      </c>
      <c r="Q33" s="2222">
        <f>SUM(Q30:Q32)</f>
        <v>933</v>
      </c>
      <c r="R33" s="2222">
        <f>SUM(R30:R32)</f>
        <v>1039</v>
      </c>
    </row>
    <row r="34" spans="1:18" s="186" customFormat="1" ht="15" customHeight="1" x14ac:dyDescent="0.2">
      <c r="A34" s="5694"/>
      <c r="B34" s="5647" t="s">
        <v>74</v>
      </c>
      <c r="C34" s="1960" t="s">
        <v>455</v>
      </c>
      <c r="D34" s="1948"/>
      <c r="E34" s="1948"/>
      <c r="F34" s="1948">
        <v>46</v>
      </c>
      <c r="G34" s="1948">
        <v>64</v>
      </c>
      <c r="H34" s="1949">
        <v>97</v>
      </c>
      <c r="I34" s="1949">
        <v>140</v>
      </c>
      <c r="J34" s="1949">
        <v>160</v>
      </c>
      <c r="K34" s="1949">
        <v>147</v>
      </c>
      <c r="L34" s="1949">
        <v>155</v>
      </c>
      <c r="M34" s="1949">
        <v>162</v>
      </c>
      <c r="N34" s="1949">
        <v>181</v>
      </c>
      <c r="O34" s="1949">
        <v>223</v>
      </c>
      <c r="P34" s="1949">
        <v>235</v>
      </c>
      <c r="Q34" s="1949">
        <v>266</v>
      </c>
      <c r="R34" s="1949">
        <v>296</v>
      </c>
    </row>
    <row r="35" spans="1:18" s="186" customFormat="1" ht="15" customHeight="1" x14ac:dyDescent="0.2">
      <c r="A35" s="5694"/>
      <c r="B35" s="5648"/>
      <c r="C35" s="1961" t="s">
        <v>500</v>
      </c>
      <c r="D35" s="1950"/>
      <c r="E35" s="1950"/>
      <c r="F35" s="1950">
        <v>12</v>
      </c>
      <c r="G35" s="1950">
        <v>14</v>
      </c>
      <c r="H35" s="1951">
        <v>32</v>
      </c>
      <c r="I35" s="1951">
        <v>55</v>
      </c>
      <c r="J35" s="1951">
        <v>72</v>
      </c>
      <c r="K35" s="1951">
        <v>79</v>
      </c>
      <c r="L35" s="1951">
        <v>96</v>
      </c>
      <c r="M35" s="1951">
        <v>112</v>
      </c>
      <c r="N35" s="1951">
        <v>124</v>
      </c>
      <c r="O35" s="1951">
        <v>140</v>
      </c>
      <c r="P35" s="1951">
        <v>146</v>
      </c>
      <c r="Q35" s="1951">
        <v>145</v>
      </c>
      <c r="R35" s="1951">
        <v>151</v>
      </c>
    </row>
    <row r="36" spans="1:18" s="186" customFormat="1" ht="15" customHeight="1" x14ac:dyDescent="0.2">
      <c r="A36" s="5694"/>
      <c r="B36" s="5648"/>
      <c r="C36" s="1961" t="s">
        <v>501</v>
      </c>
      <c r="D36" s="1950"/>
      <c r="E36" s="1950"/>
      <c r="F36" s="1950"/>
      <c r="G36" s="1950"/>
      <c r="H36" s="1951"/>
      <c r="I36" s="1951">
        <v>19</v>
      </c>
      <c r="J36" s="1951">
        <v>43</v>
      </c>
      <c r="K36" s="1951">
        <v>70</v>
      </c>
      <c r="L36" s="1951">
        <v>74</v>
      </c>
      <c r="M36" s="1951">
        <v>84</v>
      </c>
      <c r="N36" s="1951">
        <v>101</v>
      </c>
      <c r="O36" s="1951">
        <v>145</v>
      </c>
      <c r="P36" s="1951">
        <v>176</v>
      </c>
      <c r="Q36" s="1951">
        <v>220</v>
      </c>
      <c r="R36" s="1951">
        <v>250</v>
      </c>
    </row>
    <row r="37" spans="1:18" s="186" customFormat="1" ht="15" customHeight="1" x14ac:dyDescent="0.2">
      <c r="A37" s="5694"/>
      <c r="B37" s="5648"/>
      <c r="C37" s="1961" t="s">
        <v>502</v>
      </c>
      <c r="D37" s="1950"/>
      <c r="E37" s="1950"/>
      <c r="F37" s="1950"/>
      <c r="G37" s="1950"/>
      <c r="H37" s="1951"/>
      <c r="I37" s="1951"/>
      <c r="J37" s="1951"/>
      <c r="K37" s="1951">
        <v>27</v>
      </c>
      <c r="L37" s="1951">
        <v>69</v>
      </c>
      <c r="M37" s="1951">
        <v>121</v>
      </c>
      <c r="N37" s="1951">
        <v>160</v>
      </c>
      <c r="O37" s="1951">
        <v>214</v>
      </c>
      <c r="P37" s="1951">
        <v>251</v>
      </c>
      <c r="Q37" s="1951">
        <v>295</v>
      </c>
      <c r="R37" s="1951">
        <v>312</v>
      </c>
    </row>
    <row r="38" spans="1:18" s="186" customFormat="1" ht="15" customHeight="1" x14ac:dyDescent="0.2">
      <c r="A38" s="5694"/>
      <c r="B38" s="5649"/>
      <c r="C38" s="2220" t="s">
        <v>160</v>
      </c>
      <c r="D38" s="2221"/>
      <c r="E38" s="2221"/>
      <c r="F38" s="2221">
        <f>SUM(F34:F37)</f>
        <v>58</v>
      </c>
      <c r="G38" s="2221">
        <f t="shared" ref="G38:M38" si="6">SUM(G34:G37)</f>
        <v>78</v>
      </c>
      <c r="H38" s="2221">
        <f t="shared" si="6"/>
        <v>129</v>
      </c>
      <c r="I38" s="2221">
        <f t="shared" si="6"/>
        <v>214</v>
      </c>
      <c r="J38" s="2221">
        <f t="shared" si="6"/>
        <v>275</v>
      </c>
      <c r="K38" s="2221">
        <f t="shared" si="6"/>
        <v>323</v>
      </c>
      <c r="L38" s="2221">
        <f t="shared" si="6"/>
        <v>394</v>
      </c>
      <c r="M38" s="2222">
        <f t="shared" si="6"/>
        <v>479</v>
      </c>
      <c r="N38" s="2222">
        <f>SUM(N34:N37)</f>
        <v>566</v>
      </c>
      <c r="O38" s="2222">
        <f>SUM(O34:O37)</f>
        <v>722</v>
      </c>
      <c r="P38" s="2222">
        <f>SUM(P34:P37)</f>
        <v>808</v>
      </c>
      <c r="Q38" s="2222">
        <f>SUM(Q34:Q37)</f>
        <v>926</v>
      </c>
      <c r="R38" s="2222">
        <f>SUM(R34:R37)</f>
        <v>1009</v>
      </c>
    </row>
    <row r="39" spans="1:18" s="186" customFormat="1" ht="15" customHeight="1" x14ac:dyDescent="0.2">
      <c r="A39" s="5762"/>
      <c r="B39" s="3555"/>
      <c r="C39" s="3556" t="s">
        <v>510</v>
      </c>
      <c r="D39" s="3619"/>
      <c r="E39" s="3619"/>
      <c r="F39" s="3620">
        <f>SUM(F38,F33,F29)</f>
        <v>203</v>
      </c>
      <c r="G39" s="3620">
        <f t="shared" ref="G39:M39" si="7">SUM(G38,G33,G29)</f>
        <v>287</v>
      </c>
      <c r="H39" s="3620">
        <f t="shared" si="7"/>
        <v>562</v>
      </c>
      <c r="I39" s="3620">
        <f t="shared" si="7"/>
        <v>871</v>
      </c>
      <c r="J39" s="3620">
        <f t="shared" si="7"/>
        <v>1054</v>
      </c>
      <c r="K39" s="3620">
        <f t="shared" si="7"/>
        <v>1205</v>
      </c>
      <c r="L39" s="3620">
        <f t="shared" si="7"/>
        <v>1388</v>
      </c>
      <c r="M39" s="3621">
        <f t="shared" si="7"/>
        <v>1528</v>
      </c>
      <c r="N39" s="3621">
        <f>SUM(N38,N33,N29)</f>
        <v>1654</v>
      </c>
      <c r="O39" s="3621">
        <f>SUM(O38,O33,O29)</f>
        <v>2009</v>
      </c>
      <c r="P39" s="3621">
        <f>SUM(P38,P33,P29)</f>
        <v>2326</v>
      </c>
      <c r="Q39" s="3621">
        <f>SUM(Q38,Q33,Q29)</f>
        <v>2697</v>
      </c>
      <c r="R39" s="3621">
        <f>SUM(R38,R33,R29)</f>
        <v>3006</v>
      </c>
    </row>
    <row r="40" spans="1:18" s="186" customFormat="1" ht="15" customHeight="1" x14ac:dyDescent="0.2">
      <c r="A40" s="5686" t="s">
        <v>441</v>
      </c>
      <c r="B40" s="5859" t="s">
        <v>5</v>
      </c>
      <c r="C40" s="1963" t="s">
        <v>463</v>
      </c>
      <c r="D40" s="1956">
        <v>504</v>
      </c>
      <c r="E40" s="1956">
        <v>509</v>
      </c>
      <c r="F40" s="1956">
        <v>526</v>
      </c>
      <c r="G40" s="1956">
        <v>544</v>
      </c>
      <c r="H40" s="1957">
        <v>513</v>
      </c>
      <c r="I40" s="1957">
        <v>524</v>
      </c>
      <c r="J40" s="1957">
        <v>520</v>
      </c>
      <c r="K40" s="1957">
        <v>548</v>
      </c>
      <c r="L40" s="1957">
        <v>527</v>
      </c>
      <c r="M40" s="1957">
        <v>550</v>
      </c>
      <c r="N40" s="1957">
        <v>605</v>
      </c>
      <c r="O40" s="1957">
        <v>626</v>
      </c>
      <c r="P40" s="1957">
        <v>650</v>
      </c>
      <c r="Q40" s="1957">
        <v>665</v>
      </c>
      <c r="R40" s="1957">
        <v>651</v>
      </c>
    </row>
    <row r="41" spans="1:18" s="186" customFormat="1" ht="15" customHeight="1" x14ac:dyDescent="0.2">
      <c r="A41" s="5687"/>
      <c r="B41" s="5860"/>
      <c r="C41" s="1961" t="s">
        <v>464</v>
      </c>
      <c r="D41" s="1950">
        <v>73</v>
      </c>
      <c r="E41" s="1950">
        <v>72</v>
      </c>
      <c r="F41" s="1950">
        <v>76</v>
      </c>
      <c r="G41" s="1950">
        <v>71</v>
      </c>
      <c r="H41" s="1951">
        <v>74</v>
      </c>
      <c r="I41" s="1951">
        <v>88</v>
      </c>
      <c r="J41" s="1951">
        <v>95</v>
      </c>
      <c r="K41" s="1951">
        <v>89</v>
      </c>
      <c r="L41" s="1951">
        <v>104</v>
      </c>
      <c r="M41" s="1951">
        <v>127</v>
      </c>
      <c r="N41" s="1951">
        <v>140</v>
      </c>
      <c r="O41" s="1951">
        <v>164</v>
      </c>
      <c r="P41" s="1951">
        <v>157</v>
      </c>
      <c r="Q41" s="1951">
        <v>149</v>
      </c>
      <c r="R41" s="1951">
        <v>141</v>
      </c>
    </row>
    <row r="42" spans="1:18" s="186" customFormat="1" ht="15" customHeight="1" x14ac:dyDescent="0.2">
      <c r="A42" s="5687"/>
      <c r="B42" s="5860"/>
      <c r="C42" s="1961" t="s">
        <v>453</v>
      </c>
      <c r="D42" s="1950">
        <v>320</v>
      </c>
      <c r="E42" s="1950">
        <v>314</v>
      </c>
      <c r="F42" s="1950">
        <v>315</v>
      </c>
      <c r="G42" s="1950">
        <v>310</v>
      </c>
      <c r="H42" s="1951">
        <v>301</v>
      </c>
      <c r="I42" s="1951">
        <v>318</v>
      </c>
      <c r="J42" s="1951">
        <v>319</v>
      </c>
      <c r="K42" s="1951">
        <v>360</v>
      </c>
      <c r="L42" s="1951">
        <v>405</v>
      </c>
      <c r="M42" s="1951">
        <v>455</v>
      </c>
      <c r="N42" s="1951">
        <v>533</v>
      </c>
      <c r="O42" s="1951">
        <v>564</v>
      </c>
      <c r="P42" s="1951">
        <v>593</v>
      </c>
      <c r="Q42" s="1951">
        <v>604</v>
      </c>
      <c r="R42" s="1951">
        <v>589</v>
      </c>
    </row>
    <row r="43" spans="1:18" s="186" customFormat="1" ht="15" customHeight="1" x14ac:dyDescent="0.2">
      <c r="A43" s="5687"/>
      <c r="B43" s="5860"/>
      <c r="C43" s="1961" t="s">
        <v>465</v>
      </c>
      <c r="D43" s="1950">
        <v>229</v>
      </c>
      <c r="E43" s="1950">
        <v>221</v>
      </c>
      <c r="F43" s="1950">
        <v>241</v>
      </c>
      <c r="G43" s="1950">
        <v>228</v>
      </c>
      <c r="H43" s="1951">
        <v>213</v>
      </c>
      <c r="I43" s="1951">
        <v>250</v>
      </c>
      <c r="J43" s="1951">
        <v>275</v>
      </c>
      <c r="K43" s="1951">
        <v>322</v>
      </c>
      <c r="L43" s="1951">
        <v>378</v>
      </c>
      <c r="M43" s="1951">
        <v>412</v>
      </c>
      <c r="N43" s="1951">
        <v>475</v>
      </c>
      <c r="O43" s="1951">
        <v>515</v>
      </c>
      <c r="P43" s="1951">
        <v>549</v>
      </c>
      <c r="Q43" s="1951">
        <v>549</v>
      </c>
      <c r="R43" s="1951">
        <v>521</v>
      </c>
    </row>
    <row r="44" spans="1:18" s="186" customFormat="1" ht="15" customHeight="1" x14ac:dyDescent="0.2">
      <c r="A44" s="5687"/>
      <c r="B44" s="5860"/>
      <c r="C44" s="1961" t="s">
        <v>466</v>
      </c>
      <c r="D44" s="1950">
        <v>188</v>
      </c>
      <c r="E44" s="1950">
        <v>185</v>
      </c>
      <c r="F44" s="1950">
        <v>178</v>
      </c>
      <c r="G44" s="1950">
        <v>185</v>
      </c>
      <c r="H44" s="1951">
        <v>188</v>
      </c>
      <c r="I44" s="1951">
        <v>202</v>
      </c>
      <c r="J44" s="1951">
        <v>211</v>
      </c>
      <c r="K44" s="1951">
        <v>262</v>
      </c>
      <c r="L44" s="1951">
        <v>336</v>
      </c>
      <c r="M44" s="1951">
        <v>405</v>
      </c>
      <c r="N44" s="1951">
        <v>474</v>
      </c>
      <c r="O44" s="1951">
        <v>516</v>
      </c>
      <c r="P44" s="1951">
        <v>536</v>
      </c>
      <c r="Q44" s="1951">
        <v>542</v>
      </c>
      <c r="R44" s="1951">
        <v>544</v>
      </c>
    </row>
    <row r="45" spans="1:18" s="186" customFormat="1" ht="15" customHeight="1" x14ac:dyDescent="0.2">
      <c r="A45" s="5687"/>
      <c r="B45" s="5860"/>
      <c r="C45" s="1961" t="s">
        <v>454</v>
      </c>
      <c r="D45" s="1950">
        <v>715</v>
      </c>
      <c r="E45" s="1950">
        <v>683</v>
      </c>
      <c r="F45" s="1950">
        <v>635</v>
      </c>
      <c r="G45" s="1950">
        <v>656</v>
      </c>
      <c r="H45" s="1951">
        <v>602</v>
      </c>
      <c r="I45" s="1951">
        <v>592</v>
      </c>
      <c r="J45" s="1951">
        <v>554</v>
      </c>
      <c r="K45" s="1951">
        <v>529</v>
      </c>
      <c r="L45" s="1951">
        <v>517</v>
      </c>
      <c r="M45" s="1951">
        <v>517</v>
      </c>
      <c r="N45" s="1951">
        <v>535</v>
      </c>
      <c r="O45" s="1951">
        <v>533</v>
      </c>
      <c r="P45" s="1951">
        <v>529</v>
      </c>
      <c r="Q45" s="1951">
        <v>505</v>
      </c>
      <c r="R45" s="1951">
        <v>472</v>
      </c>
    </row>
    <row r="46" spans="1:18" s="186" customFormat="1" ht="15" customHeight="1" x14ac:dyDescent="0.2">
      <c r="A46" s="5687"/>
      <c r="B46" s="5860"/>
      <c r="C46" s="1961" t="s">
        <v>467</v>
      </c>
      <c r="D46" s="1950">
        <v>370</v>
      </c>
      <c r="E46" s="1950">
        <v>408</v>
      </c>
      <c r="F46" s="1950">
        <v>406</v>
      </c>
      <c r="G46" s="1950">
        <v>399</v>
      </c>
      <c r="H46" s="1951">
        <v>371</v>
      </c>
      <c r="I46" s="1951">
        <v>365</v>
      </c>
      <c r="J46" s="1951">
        <v>377</v>
      </c>
      <c r="K46" s="1951">
        <v>377</v>
      </c>
      <c r="L46" s="1951">
        <v>358</v>
      </c>
      <c r="M46" s="1951">
        <v>344</v>
      </c>
      <c r="N46" s="1951">
        <v>370</v>
      </c>
      <c r="O46" s="1951">
        <v>399</v>
      </c>
      <c r="P46" s="1951">
        <v>414</v>
      </c>
      <c r="Q46" s="1951">
        <v>450</v>
      </c>
      <c r="R46" s="1951">
        <v>454</v>
      </c>
    </row>
    <row r="47" spans="1:18" s="186" customFormat="1" ht="15" customHeight="1" x14ac:dyDescent="0.2">
      <c r="A47" s="5687"/>
      <c r="B47" s="5860"/>
      <c r="C47" s="1961" t="s">
        <v>468</v>
      </c>
      <c r="D47" s="1950">
        <v>90</v>
      </c>
      <c r="E47" s="1950">
        <v>79</v>
      </c>
      <c r="F47" s="1950">
        <v>86</v>
      </c>
      <c r="G47" s="1950">
        <v>84</v>
      </c>
      <c r="H47" s="1951">
        <v>95</v>
      </c>
      <c r="I47" s="1951">
        <v>129</v>
      </c>
      <c r="J47" s="1951">
        <v>138</v>
      </c>
      <c r="K47" s="1951">
        <v>163</v>
      </c>
      <c r="L47" s="1951">
        <v>196</v>
      </c>
      <c r="M47" s="1951">
        <v>234</v>
      </c>
      <c r="N47" s="1951">
        <v>274</v>
      </c>
      <c r="O47" s="1951">
        <v>309</v>
      </c>
      <c r="P47" s="1951">
        <v>324</v>
      </c>
      <c r="Q47" s="1951">
        <v>358</v>
      </c>
      <c r="R47" s="1951">
        <v>351</v>
      </c>
    </row>
    <row r="48" spans="1:18" s="186" customFormat="1" ht="15" customHeight="1" x14ac:dyDescent="0.2">
      <c r="A48" s="5687"/>
      <c r="B48" s="5860"/>
      <c r="C48" s="1961" t="s">
        <v>469</v>
      </c>
      <c r="D48" s="1950">
        <v>900</v>
      </c>
      <c r="E48" s="1950">
        <v>919</v>
      </c>
      <c r="F48" s="1950">
        <v>886</v>
      </c>
      <c r="G48" s="1950">
        <v>855</v>
      </c>
      <c r="H48" s="1951">
        <v>822</v>
      </c>
      <c r="I48" s="1951">
        <v>795</v>
      </c>
      <c r="J48" s="1951">
        <v>731</v>
      </c>
      <c r="K48" s="1951">
        <v>730</v>
      </c>
      <c r="L48" s="1951">
        <v>713</v>
      </c>
      <c r="M48" s="1951">
        <v>686</v>
      </c>
      <c r="N48" s="1951">
        <v>691</v>
      </c>
      <c r="O48" s="1951">
        <v>666</v>
      </c>
      <c r="P48" s="1951">
        <v>633</v>
      </c>
      <c r="Q48" s="1951">
        <v>626</v>
      </c>
      <c r="R48" s="1951">
        <v>583</v>
      </c>
    </row>
    <row r="49" spans="1:18" s="186" customFormat="1" ht="15" customHeight="1" x14ac:dyDescent="0.2">
      <c r="A49" s="5687"/>
      <c r="B49" s="5860"/>
      <c r="C49" s="1961" t="s">
        <v>1461</v>
      </c>
      <c r="D49" s="1950"/>
      <c r="E49" s="1950"/>
      <c r="F49" s="1950"/>
      <c r="G49" s="1950"/>
      <c r="H49" s="1951"/>
      <c r="I49" s="1951"/>
      <c r="J49" s="1951"/>
      <c r="K49" s="1951"/>
      <c r="L49" s="1951"/>
      <c r="M49" s="1951"/>
      <c r="N49" s="1951"/>
      <c r="O49" s="1951"/>
      <c r="P49" s="1951"/>
      <c r="Q49" s="1951">
        <v>31</v>
      </c>
      <c r="R49" s="1951">
        <v>51</v>
      </c>
    </row>
    <row r="50" spans="1:18" s="186" customFormat="1" ht="15" customHeight="1" x14ac:dyDescent="0.2">
      <c r="A50" s="5687"/>
      <c r="B50" s="5861"/>
      <c r="C50" s="2220" t="s">
        <v>160</v>
      </c>
      <c r="D50" s="2221">
        <f>SUM(D40:D48)</f>
        <v>3389</v>
      </c>
      <c r="E50" s="2221">
        <f t="shared" ref="E50:M50" si="8">SUM(E40:E48)</f>
        <v>3390</v>
      </c>
      <c r="F50" s="2221">
        <f t="shared" si="8"/>
        <v>3349</v>
      </c>
      <c r="G50" s="2221">
        <f t="shared" si="8"/>
        <v>3332</v>
      </c>
      <c r="H50" s="2221">
        <f t="shared" si="8"/>
        <v>3179</v>
      </c>
      <c r="I50" s="2221">
        <f t="shared" si="8"/>
        <v>3263</v>
      </c>
      <c r="J50" s="2221">
        <f t="shared" si="8"/>
        <v>3220</v>
      </c>
      <c r="K50" s="2221">
        <f t="shared" si="8"/>
        <v>3380</v>
      </c>
      <c r="L50" s="2221">
        <f t="shared" si="8"/>
        <v>3534</v>
      </c>
      <c r="M50" s="2222">
        <f t="shared" si="8"/>
        <v>3730</v>
      </c>
      <c r="N50" s="2222">
        <f>SUM(N40:N48)</f>
        <v>4097</v>
      </c>
      <c r="O50" s="2222">
        <f>SUM(O40:O48)</f>
        <v>4292</v>
      </c>
      <c r="P50" s="2222">
        <f>SUM(P40:P48)</f>
        <v>4385</v>
      </c>
      <c r="Q50" s="2222">
        <f>SUM(Q40:Q49)</f>
        <v>4479</v>
      </c>
      <c r="R50" s="2222">
        <f>SUM(R40:R49)</f>
        <v>4357</v>
      </c>
    </row>
    <row r="51" spans="1:18" s="186" customFormat="1" ht="15" customHeight="1" x14ac:dyDescent="0.2">
      <c r="A51" s="5687"/>
      <c r="B51" s="5859" t="s">
        <v>6</v>
      </c>
      <c r="C51" s="1960" t="s">
        <v>456</v>
      </c>
      <c r="D51" s="1948">
        <v>1172</v>
      </c>
      <c r="E51" s="1948">
        <v>1204</v>
      </c>
      <c r="F51" s="1948">
        <v>1163</v>
      </c>
      <c r="G51" s="1948">
        <v>1178</v>
      </c>
      <c r="H51" s="1949">
        <v>1229</v>
      </c>
      <c r="I51" s="1949">
        <v>1242</v>
      </c>
      <c r="J51" s="1949">
        <v>1266</v>
      </c>
      <c r="K51" s="1949">
        <v>1280</v>
      </c>
      <c r="L51" s="1949">
        <v>1266</v>
      </c>
      <c r="M51" s="1949">
        <v>1300</v>
      </c>
      <c r="N51" s="1949">
        <v>1308</v>
      </c>
      <c r="O51" s="1949">
        <v>1232</v>
      </c>
      <c r="P51" s="1949">
        <v>1207</v>
      </c>
      <c r="Q51" s="1949">
        <v>1180</v>
      </c>
      <c r="R51" s="1949">
        <v>1157</v>
      </c>
    </row>
    <row r="52" spans="1:18" s="186" customFormat="1" ht="15" customHeight="1" x14ac:dyDescent="0.2">
      <c r="A52" s="5687"/>
      <c r="B52" s="5860"/>
      <c r="C52" s="1961" t="s">
        <v>470</v>
      </c>
      <c r="D52" s="1950">
        <v>323</v>
      </c>
      <c r="E52" s="1950">
        <v>298</v>
      </c>
      <c r="F52" s="1950">
        <v>293</v>
      </c>
      <c r="G52" s="1950">
        <v>313</v>
      </c>
      <c r="H52" s="1951">
        <v>342</v>
      </c>
      <c r="I52" s="1951">
        <v>352</v>
      </c>
      <c r="J52" s="1951">
        <v>365</v>
      </c>
      <c r="K52" s="1951">
        <v>381</v>
      </c>
      <c r="L52" s="1951">
        <v>388</v>
      </c>
      <c r="M52" s="1951">
        <v>416</v>
      </c>
      <c r="N52" s="1951">
        <v>406</v>
      </c>
      <c r="O52" s="1951">
        <v>411</v>
      </c>
      <c r="P52" s="1951">
        <v>409</v>
      </c>
      <c r="Q52" s="1951">
        <v>420</v>
      </c>
      <c r="R52" s="1951">
        <v>384</v>
      </c>
    </row>
    <row r="53" spans="1:18" s="186" customFormat="1" ht="15" customHeight="1" x14ac:dyDescent="0.2">
      <c r="A53" s="5687"/>
      <c r="B53" s="5860"/>
      <c r="C53" s="1961" t="s">
        <v>471</v>
      </c>
      <c r="D53" s="1950">
        <v>362</v>
      </c>
      <c r="E53" s="1950">
        <v>353</v>
      </c>
      <c r="F53" s="1950">
        <v>372</v>
      </c>
      <c r="G53" s="1950">
        <v>358</v>
      </c>
      <c r="H53" s="1951">
        <v>379</v>
      </c>
      <c r="I53" s="1951">
        <v>386</v>
      </c>
      <c r="J53" s="1951">
        <v>398</v>
      </c>
      <c r="K53" s="1951">
        <v>419</v>
      </c>
      <c r="L53" s="1951">
        <v>425</v>
      </c>
      <c r="M53" s="1951">
        <v>431</v>
      </c>
      <c r="N53" s="1951">
        <v>409</v>
      </c>
      <c r="O53" s="1951">
        <v>409</v>
      </c>
      <c r="P53" s="1951">
        <v>428</v>
      </c>
      <c r="Q53" s="1951">
        <v>434</v>
      </c>
      <c r="R53" s="1951">
        <v>444</v>
      </c>
    </row>
    <row r="54" spans="1:18" s="186" customFormat="1" ht="15" customHeight="1" x14ac:dyDescent="0.2">
      <c r="A54" s="5687"/>
      <c r="B54" s="5860"/>
      <c r="C54" s="1961" t="s">
        <v>472</v>
      </c>
      <c r="D54" s="1950">
        <v>305</v>
      </c>
      <c r="E54" s="1950">
        <v>332</v>
      </c>
      <c r="F54" s="1950">
        <v>354</v>
      </c>
      <c r="G54" s="1950">
        <v>392</v>
      </c>
      <c r="H54" s="1951">
        <v>398</v>
      </c>
      <c r="I54" s="1951">
        <v>393</v>
      </c>
      <c r="J54" s="1951">
        <v>438</v>
      </c>
      <c r="K54" s="1951">
        <v>453</v>
      </c>
      <c r="L54" s="1951">
        <v>455</v>
      </c>
      <c r="M54" s="1951">
        <v>472</v>
      </c>
      <c r="N54" s="1951">
        <v>496</v>
      </c>
      <c r="O54" s="1951">
        <v>499</v>
      </c>
      <c r="P54" s="1951">
        <v>504</v>
      </c>
      <c r="Q54" s="1951">
        <v>496</v>
      </c>
      <c r="R54" s="1951">
        <v>505</v>
      </c>
    </row>
    <row r="55" spans="1:18" s="186" customFormat="1" ht="15" customHeight="1" x14ac:dyDescent="0.2">
      <c r="A55" s="5687"/>
      <c r="B55" s="5860"/>
      <c r="C55" s="1961" t="s">
        <v>458</v>
      </c>
      <c r="D55" s="1950">
        <v>504</v>
      </c>
      <c r="E55" s="1950">
        <v>465</v>
      </c>
      <c r="F55" s="1950">
        <v>489</v>
      </c>
      <c r="G55" s="1950">
        <v>491</v>
      </c>
      <c r="H55" s="1951">
        <v>493</v>
      </c>
      <c r="I55" s="1951">
        <v>510</v>
      </c>
      <c r="J55" s="1951">
        <v>529</v>
      </c>
      <c r="K55" s="1951">
        <v>555</v>
      </c>
      <c r="L55" s="1951">
        <v>563</v>
      </c>
      <c r="M55" s="1951">
        <v>598</v>
      </c>
      <c r="N55" s="1951">
        <v>625</v>
      </c>
      <c r="O55" s="1951">
        <v>628</v>
      </c>
      <c r="P55" s="1951">
        <v>643</v>
      </c>
      <c r="Q55" s="1951">
        <v>661</v>
      </c>
      <c r="R55" s="1951">
        <v>679</v>
      </c>
    </row>
    <row r="56" spans="1:18" s="186" customFormat="1" ht="15" customHeight="1" x14ac:dyDescent="0.2">
      <c r="A56" s="5687"/>
      <c r="B56" s="5860"/>
      <c r="C56" s="1961" t="s">
        <v>459</v>
      </c>
      <c r="D56" s="1950">
        <v>501</v>
      </c>
      <c r="E56" s="1950">
        <v>492</v>
      </c>
      <c r="F56" s="1950">
        <v>476</v>
      </c>
      <c r="G56" s="1950">
        <v>479</v>
      </c>
      <c r="H56" s="1951">
        <v>474</v>
      </c>
      <c r="I56" s="1951">
        <v>494</v>
      </c>
      <c r="J56" s="1951">
        <v>519</v>
      </c>
      <c r="K56" s="1951">
        <v>541</v>
      </c>
      <c r="L56" s="1951">
        <v>540</v>
      </c>
      <c r="M56" s="1951">
        <v>571</v>
      </c>
      <c r="N56" s="1951">
        <v>610</v>
      </c>
      <c r="O56" s="1951">
        <v>623</v>
      </c>
      <c r="P56" s="1951">
        <v>609</v>
      </c>
      <c r="Q56" s="1951">
        <v>617</v>
      </c>
      <c r="R56" s="1951">
        <v>595</v>
      </c>
    </row>
    <row r="57" spans="1:18" s="186" customFormat="1" ht="15" customHeight="1" x14ac:dyDescent="0.2">
      <c r="A57" s="5687"/>
      <c r="B57" s="5860"/>
      <c r="C57" s="1961" t="s">
        <v>473</v>
      </c>
      <c r="D57" s="1950">
        <v>458</v>
      </c>
      <c r="E57" s="1950">
        <v>458</v>
      </c>
      <c r="F57" s="1950">
        <v>466</v>
      </c>
      <c r="G57" s="1950">
        <v>476</v>
      </c>
      <c r="H57" s="1951">
        <v>494</v>
      </c>
      <c r="I57" s="1951">
        <v>505</v>
      </c>
      <c r="J57" s="1951">
        <v>494</v>
      </c>
      <c r="K57" s="1951">
        <v>495</v>
      </c>
      <c r="L57" s="1951">
        <v>493</v>
      </c>
      <c r="M57" s="1951">
        <v>506</v>
      </c>
      <c r="N57" s="1951">
        <v>508</v>
      </c>
      <c r="O57" s="1951">
        <v>532</v>
      </c>
      <c r="P57" s="1951">
        <v>537</v>
      </c>
      <c r="Q57" s="1951">
        <v>533</v>
      </c>
      <c r="R57" s="1951">
        <v>531</v>
      </c>
    </row>
    <row r="58" spans="1:18" s="186" customFormat="1" ht="15" customHeight="1" x14ac:dyDescent="0.2">
      <c r="A58" s="5687"/>
      <c r="B58" s="5860"/>
      <c r="C58" s="1961" t="s">
        <v>474</v>
      </c>
      <c r="D58" s="1950">
        <v>140</v>
      </c>
      <c r="E58" s="1950">
        <v>148</v>
      </c>
      <c r="F58" s="1950">
        <v>152</v>
      </c>
      <c r="G58" s="1950">
        <v>166</v>
      </c>
      <c r="H58" s="1951">
        <v>173</v>
      </c>
      <c r="I58" s="1951">
        <v>191</v>
      </c>
      <c r="J58" s="1951">
        <v>193</v>
      </c>
      <c r="K58" s="1951">
        <v>213</v>
      </c>
      <c r="L58" s="1951">
        <v>228</v>
      </c>
      <c r="M58" s="1951">
        <v>259</v>
      </c>
      <c r="N58" s="1951">
        <v>273</v>
      </c>
      <c r="O58" s="1951">
        <v>283</v>
      </c>
      <c r="P58" s="1951">
        <v>284</v>
      </c>
      <c r="Q58" s="1951">
        <v>294</v>
      </c>
      <c r="R58" s="1951">
        <v>299</v>
      </c>
    </row>
    <row r="59" spans="1:18" s="186" customFormat="1" ht="15" customHeight="1" x14ac:dyDescent="0.2">
      <c r="A59" s="5687"/>
      <c r="B59" s="5860"/>
      <c r="C59" s="1961" t="s">
        <v>475</v>
      </c>
      <c r="D59" s="1950">
        <v>595</v>
      </c>
      <c r="E59" s="1950">
        <v>542</v>
      </c>
      <c r="F59" s="1950">
        <v>509</v>
      </c>
      <c r="G59" s="1950">
        <v>528</v>
      </c>
      <c r="H59" s="1951">
        <v>596</v>
      </c>
      <c r="I59" s="1951">
        <v>606</v>
      </c>
      <c r="J59" s="1951">
        <v>628</v>
      </c>
      <c r="K59" s="1951">
        <v>659</v>
      </c>
      <c r="L59" s="1951">
        <v>658</v>
      </c>
      <c r="M59" s="1951">
        <v>689</v>
      </c>
      <c r="N59" s="1951">
        <v>692</v>
      </c>
      <c r="O59" s="1951">
        <v>677</v>
      </c>
      <c r="P59" s="1951">
        <v>694</v>
      </c>
      <c r="Q59" s="1951">
        <v>683</v>
      </c>
      <c r="R59" s="1951">
        <v>688</v>
      </c>
    </row>
    <row r="60" spans="1:18" s="186" customFormat="1" ht="15" customHeight="1" x14ac:dyDescent="0.2">
      <c r="A60" s="5687"/>
      <c r="B60" s="5860"/>
      <c r="C60" s="1961" t="s">
        <v>476</v>
      </c>
      <c r="D60" s="1950">
        <v>880</v>
      </c>
      <c r="E60" s="1950">
        <v>896</v>
      </c>
      <c r="F60" s="1950">
        <v>926</v>
      </c>
      <c r="G60" s="1950">
        <v>960</v>
      </c>
      <c r="H60" s="1951">
        <v>1022</v>
      </c>
      <c r="I60" s="1951">
        <v>1070</v>
      </c>
      <c r="J60" s="1951">
        <v>1073</v>
      </c>
      <c r="K60" s="1951">
        <v>1062</v>
      </c>
      <c r="L60" s="1951">
        <v>1100</v>
      </c>
      <c r="M60" s="1951">
        <v>1080</v>
      </c>
      <c r="N60" s="1951">
        <v>1046</v>
      </c>
      <c r="O60" s="1951">
        <v>1021</v>
      </c>
      <c r="P60" s="1951">
        <v>989</v>
      </c>
      <c r="Q60" s="1951">
        <v>1039</v>
      </c>
      <c r="R60" s="1951">
        <v>998</v>
      </c>
    </row>
    <row r="61" spans="1:18" s="186" customFormat="1" ht="15" customHeight="1" x14ac:dyDescent="0.2">
      <c r="A61" s="5687"/>
      <c r="B61" s="5860"/>
      <c r="C61" s="1961" t="s">
        <v>477</v>
      </c>
      <c r="D61" s="1950">
        <v>71</v>
      </c>
      <c r="E61" s="1950">
        <v>102</v>
      </c>
      <c r="F61" s="1950">
        <v>130</v>
      </c>
      <c r="G61" s="1950">
        <v>151</v>
      </c>
      <c r="H61" s="1951">
        <v>166</v>
      </c>
      <c r="I61" s="1951">
        <v>179</v>
      </c>
      <c r="J61" s="1951">
        <v>185</v>
      </c>
      <c r="K61" s="1951">
        <v>194</v>
      </c>
      <c r="L61" s="1951">
        <v>212</v>
      </c>
      <c r="M61" s="1951">
        <v>241</v>
      </c>
      <c r="N61" s="1951">
        <v>272</v>
      </c>
      <c r="O61" s="1951">
        <v>289</v>
      </c>
      <c r="P61" s="1951">
        <v>293</v>
      </c>
      <c r="Q61" s="1951">
        <v>299</v>
      </c>
      <c r="R61" s="1951">
        <v>300</v>
      </c>
    </row>
    <row r="62" spans="1:18" s="186" customFormat="1" ht="15" customHeight="1" x14ac:dyDescent="0.2">
      <c r="A62" s="5687"/>
      <c r="B62" s="5861"/>
      <c r="C62" s="2220" t="s">
        <v>160</v>
      </c>
      <c r="D62" s="2221">
        <f>SUM(D51:D61)</f>
        <v>5311</v>
      </c>
      <c r="E62" s="2221">
        <f t="shared" ref="E62:M62" si="9">SUM(E51:E61)</f>
        <v>5290</v>
      </c>
      <c r="F62" s="2221">
        <f t="shared" si="9"/>
        <v>5330</v>
      </c>
      <c r="G62" s="2221">
        <f t="shared" si="9"/>
        <v>5492</v>
      </c>
      <c r="H62" s="2221">
        <f t="shared" si="9"/>
        <v>5766</v>
      </c>
      <c r="I62" s="2221">
        <f t="shared" si="9"/>
        <v>5928</v>
      </c>
      <c r="J62" s="2221">
        <f t="shared" si="9"/>
        <v>6088</v>
      </c>
      <c r="K62" s="2221">
        <f t="shared" si="9"/>
        <v>6252</v>
      </c>
      <c r="L62" s="2221">
        <f t="shared" si="9"/>
        <v>6328</v>
      </c>
      <c r="M62" s="2222">
        <f t="shared" si="9"/>
        <v>6563</v>
      </c>
      <c r="N62" s="2222">
        <f>SUM(N51:N61)</f>
        <v>6645</v>
      </c>
      <c r="O62" s="2222">
        <f>SUM(O51:O61)</f>
        <v>6604</v>
      </c>
      <c r="P62" s="2222">
        <f>SUM(P51:P61)</f>
        <v>6597</v>
      </c>
      <c r="Q62" s="2222">
        <f>SUM(Q51:Q61)</f>
        <v>6656</v>
      </c>
      <c r="R62" s="2222">
        <f>SUM(R51:R61)</f>
        <v>6580</v>
      </c>
    </row>
    <row r="63" spans="1:18" s="186" customFormat="1" ht="15" customHeight="1" x14ac:dyDescent="0.2">
      <c r="A63" s="5687"/>
      <c r="B63" s="5859" t="s">
        <v>11</v>
      </c>
      <c r="C63" s="1960" t="s">
        <v>478</v>
      </c>
      <c r="D63" s="1948">
        <v>579</v>
      </c>
      <c r="E63" s="1948">
        <v>552</v>
      </c>
      <c r="F63" s="1948">
        <v>550</v>
      </c>
      <c r="G63" s="1948">
        <v>578</v>
      </c>
      <c r="H63" s="1949">
        <v>611</v>
      </c>
      <c r="I63" s="1949">
        <v>647</v>
      </c>
      <c r="J63" s="1949">
        <v>695</v>
      </c>
      <c r="K63" s="1949">
        <v>743</v>
      </c>
      <c r="L63" s="1949">
        <v>787</v>
      </c>
      <c r="M63" s="1949">
        <v>824</v>
      </c>
      <c r="N63" s="1949">
        <v>862</v>
      </c>
      <c r="O63" s="1949">
        <v>875</v>
      </c>
      <c r="P63" s="1949">
        <v>856</v>
      </c>
      <c r="Q63" s="1949">
        <v>854</v>
      </c>
      <c r="R63" s="1949">
        <v>803</v>
      </c>
    </row>
    <row r="64" spans="1:18" s="186" customFormat="1" ht="15" customHeight="1" x14ac:dyDescent="0.2">
      <c r="A64" s="5687"/>
      <c r="B64" s="5860"/>
      <c r="C64" s="1961" t="s">
        <v>479</v>
      </c>
      <c r="D64" s="1950">
        <v>560</v>
      </c>
      <c r="E64" s="1950">
        <v>571</v>
      </c>
      <c r="F64" s="1950">
        <v>566</v>
      </c>
      <c r="G64" s="1950">
        <v>569</v>
      </c>
      <c r="H64" s="1951">
        <v>585</v>
      </c>
      <c r="I64" s="1951">
        <v>608</v>
      </c>
      <c r="J64" s="1951">
        <v>581</v>
      </c>
      <c r="K64" s="1951">
        <v>559</v>
      </c>
      <c r="L64" s="1951">
        <v>578</v>
      </c>
      <c r="M64" s="1951">
        <v>600</v>
      </c>
      <c r="N64" s="1951">
        <v>664</v>
      </c>
      <c r="O64" s="1951">
        <v>706</v>
      </c>
      <c r="P64" s="1951">
        <v>709</v>
      </c>
      <c r="Q64" s="1951">
        <v>728</v>
      </c>
      <c r="R64" s="1951">
        <v>721</v>
      </c>
    </row>
    <row r="65" spans="1:18" s="186" customFormat="1" ht="15" customHeight="1" x14ac:dyDescent="0.2">
      <c r="A65" s="5687"/>
      <c r="B65" s="5860"/>
      <c r="C65" s="1961" t="s">
        <v>480</v>
      </c>
      <c r="D65" s="1950">
        <v>248</v>
      </c>
      <c r="E65" s="1950">
        <v>245</v>
      </c>
      <c r="F65" s="1950">
        <v>240</v>
      </c>
      <c r="G65" s="1950">
        <v>244</v>
      </c>
      <c r="H65" s="1951">
        <v>251</v>
      </c>
      <c r="I65" s="1951">
        <v>253</v>
      </c>
      <c r="J65" s="1951">
        <v>280</v>
      </c>
      <c r="K65" s="1951">
        <v>352</v>
      </c>
      <c r="L65" s="1951">
        <v>412</v>
      </c>
      <c r="M65" s="1951">
        <v>474</v>
      </c>
      <c r="N65" s="1951">
        <v>532</v>
      </c>
      <c r="O65" s="1951">
        <v>536</v>
      </c>
      <c r="P65" s="1951">
        <v>562</v>
      </c>
      <c r="Q65" s="1951">
        <v>551</v>
      </c>
      <c r="R65" s="1951">
        <v>553</v>
      </c>
    </row>
    <row r="66" spans="1:18" s="186" customFormat="1" ht="15" customHeight="1" x14ac:dyDescent="0.2">
      <c r="A66" s="5687"/>
      <c r="B66" s="5860"/>
      <c r="C66" s="1961" t="s">
        <v>481</v>
      </c>
      <c r="D66" s="1950">
        <v>138</v>
      </c>
      <c r="E66" s="1950">
        <v>133</v>
      </c>
      <c r="F66" s="1950">
        <v>116</v>
      </c>
      <c r="G66" s="1950">
        <v>101</v>
      </c>
      <c r="H66" s="1951">
        <v>107</v>
      </c>
      <c r="I66" s="1951">
        <v>125</v>
      </c>
      <c r="J66" s="1951">
        <v>144</v>
      </c>
      <c r="K66" s="1951">
        <v>215</v>
      </c>
      <c r="L66" s="1951">
        <v>251</v>
      </c>
      <c r="M66" s="1951">
        <v>283</v>
      </c>
      <c r="N66" s="1951">
        <v>321</v>
      </c>
      <c r="O66" s="1951">
        <v>357</v>
      </c>
      <c r="P66" s="1951">
        <v>363</v>
      </c>
      <c r="Q66" s="1951">
        <v>349</v>
      </c>
      <c r="R66" s="1951">
        <v>342</v>
      </c>
    </row>
    <row r="67" spans="1:18" s="186" customFormat="1" ht="15" customHeight="1" x14ac:dyDescent="0.2">
      <c r="A67" s="5687"/>
      <c r="B67" s="5860"/>
      <c r="C67" s="1961" t="s">
        <v>482</v>
      </c>
      <c r="D67" s="1950">
        <v>892</v>
      </c>
      <c r="E67" s="1950">
        <v>859</v>
      </c>
      <c r="F67" s="1950">
        <v>815</v>
      </c>
      <c r="G67" s="1950">
        <v>788</v>
      </c>
      <c r="H67" s="1951">
        <v>770</v>
      </c>
      <c r="I67" s="1951">
        <v>772</v>
      </c>
      <c r="J67" s="1951">
        <v>836</v>
      </c>
      <c r="K67" s="1951">
        <v>914</v>
      </c>
      <c r="L67" s="1951">
        <v>934</v>
      </c>
      <c r="M67" s="1951">
        <v>1018</v>
      </c>
      <c r="N67" s="1951">
        <v>1077</v>
      </c>
      <c r="O67" s="1951">
        <v>1094</v>
      </c>
      <c r="P67" s="1951">
        <v>1104</v>
      </c>
      <c r="Q67" s="1951">
        <v>1120</v>
      </c>
      <c r="R67" s="1951">
        <v>1121</v>
      </c>
    </row>
    <row r="68" spans="1:18" s="186" customFormat="1" ht="15" customHeight="1" x14ac:dyDescent="0.2">
      <c r="A68" s="5687"/>
      <c r="B68" s="5860"/>
      <c r="C68" s="1961" t="s">
        <v>483</v>
      </c>
      <c r="D68" s="1950">
        <v>1086</v>
      </c>
      <c r="E68" s="1950">
        <v>1053</v>
      </c>
      <c r="F68" s="1950">
        <v>982</v>
      </c>
      <c r="G68" s="1950">
        <v>992</v>
      </c>
      <c r="H68" s="1951">
        <v>931</v>
      </c>
      <c r="I68" s="1951">
        <v>949</v>
      </c>
      <c r="J68" s="1951">
        <v>925</v>
      </c>
      <c r="K68" s="1951">
        <v>973</v>
      </c>
      <c r="L68" s="1951">
        <v>1017</v>
      </c>
      <c r="M68" s="1951">
        <v>1055</v>
      </c>
      <c r="N68" s="1951">
        <v>1117</v>
      </c>
      <c r="O68" s="1951">
        <v>1118</v>
      </c>
      <c r="P68" s="1951">
        <v>1101</v>
      </c>
      <c r="Q68" s="1951">
        <v>1041</v>
      </c>
      <c r="R68" s="1951">
        <v>1009</v>
      </c>
    </row>
    <row r="69" spans="1:18" s="186" customFormat="1" ht="15" customHeight="1" x14ac:dyDescent="0.2">
      <c r="A69" s="5687"/>
      <c r="B69" s="5861"/>
      <c r="C69" s="2220" t="s">
        <v>160</v>
      </c>
      <c r="D69" s="2221">
        <f>SUM(D63:D68)</f>
        <v>3503</v>
      </c>
      <c r="E69" s="2221">
        <f t="shared" ref="E69:M69" si="10">SUM(E63:E68)</f>
        <v>3413</v>
      </c>
      <c r="F69" s="2221">
        <f t="shared" si="10"/>
        <v>3269</v>
      </c>
      <c r="G69" s="2221">
        <f t="shared" si="10"/>
        <v>3272</v>
      </c>
      <c r="H69" s="2221">
        <f t="shared" si="10"/>
        <v>3255</v>
      </c>
      <c r="I69" s="2221">
        <f t="shared" si="10"/>
        <v>3354</v>
      </c>
      <c r="J69" s="2221">
        <f t="shared" si="10"/>
        <v>3461</v>
      </c>
      <c r="K69" s="2221">
        <f t="shared" si="10"/>
        <v>3756</v>
      </c>
      <c r="L69" s="2221">
        <f t="shared" si="10"/>
        <v>3979</v>
      </c>
      <c r="M69" s="2222">
        <f t="shared" si="10"/>
        <v>4254</v>
      </c>
      <c r="N69" s="2222">
        <f>SUM(N63:N68)</f>
        <v>4573</v>
      </c>
      <c r="O69" s="2222">
        <f>SUM(O63:O68)</f>
        <v>4686</v>
      </c>
      <c r="P69" s="2222">
        <f>SUM(P63:P68)</f>
        <v>4695</v>
      </c>
      <c r="Q69" s="2222">
        <f>SUM(Q63:Q68)</f>
        <v>4643</v>
      </c>
      <c r="R69" s="2222">
        <f>SUM(R63:R68)</f>
        <v>4549</v>
      </c>
    </row>
    <row r="70" spans="1:18" s="186" customFormat="1" ht="15" customHeight="1" x14ac:dyDescent="0.2">
      <c r="A70" s="5770"/>
      <c r="B70" s="3560"/>
      <c r="C70" s="2214" t="s">
        <v>510</v>
      </c>
      <c r="D70" s="2215">
        <f>SUM(D69,D62,D50)</f>
        <v>12203</v>
      </c>
      <c r="E70" s="2215">
        <f t="shared" ref="E70:M70" si="11">SUM(E69,E62,E50)</f>
        <v>12093</v>
      </c>
      <c r="F70" s="2215">
        <f t="shared" si="11"/>
        <v>11948</v>
      </c>
      <c r="G70" s="2215">
        <f t="shared" si="11"/>
        <v>12096</v>
      </c>
      <c r="H70" s="2215">
        <f t="shared" si="11"/>
        <v>12200</v>
      </c>
      <c r="I70" s="2215">
        <f t="shared" si="11"/>
        <v>12545</v>
      </c>
      <c r="J70" s="2215">
        <f t="shared" si="11"/>
        <v>12769</v>
      </c>
      <c r="K70" s="2215">
        <f t="shared" si="11"/>
        <v>13388</v>
      </c>
      <c r="L70" s="2215">
        <f t="shared" si="11"/>
        <v>13841</v>
      </c>
      <c r="M70" s="2216">
        <f t="shared" si="11"/>
        <v>14547</v>
      </c>
      <c r="N70" s="2216">
        <f>SUM(N69,N62,N50)</f>
        <v>15315</v>
      </c>
      <c r="O70" s="2216">
        <f>SUM(O69,O62,O50)</f>
        <v>15582</v>
      </c>
      <c r="P70" s="2216">
        <f>SUM(P69,P62,P50)</f>
        <v>15677</v>
      </c>
      <c r="Q70" s="2216">
        <f>SUM(Q69,Q62,Q50)</f>
        <v>15778</v>
      </c>
      <c r="R70" s="2216">
        <f>SUM(R69,R62,R50)</f>
        <v>15486</v>
      </c>
    </row>
    <row r="71" spans="1:18" s="186" customFormat="1" ht="15" customHeight="1" x14ac:dyDescent="0.2">
      <c r="A71" s="5763" t="s">
        <v>431</v>
      </c>
      <c r="B71" s="5862" t="s">
        <v>5</v>
      </c>
      <c r="C71" s="1961" t="s">
        <v>503</v>
      </c>
      <c r="D71" s="1950"/>
      <c r="E71" s="1950"/>
      <c r="F71" s="1950"/>
      <c r="G71" s="1950"/>
      <c r="H71" s="1951"/>
      <c r="I71" s="1951"/>
      <c r="J71" s="1951"/>
      <c r="K71" s="1951"/>
      <c r="L71" s="1951">
        <v>60</v>
      </c>
      <c r="M71" s="1951">
        <v>79</v>
      </c>
      <c r="N71" s="1951">
        <v>123</v>
      </c>
      <c r="O71" s="1951">
        <v>139</v>
      </c>
      <c r="P71" s="1951">
        <v>173</v>
      </c>
      <c r="Q71" s="1951">
        <v>180</v>
      </c>
      <c r="R71" s="1951">
        <v>209</v>
      </c>
    </row>
    <row r="72" spans="1:18" s="186" customFormat="1" ht="15" customHeight="1" x14ac:dyDescent="0.2">
      <c r="A72" s="5764"/>
      <c r="B72" s="5860"/>
      <c r="C72" s="1961" t="s">
        <v>1579</v>
      </c>
      <c r="D72" s="1950"/>
      <c r="E72" s="1950"/>
      <c r="F72" s="1950"/>
      <c r="G72" s="1950"/>
      <c r="H72" s="1951"/>
      <c r="I72" s="1951"/>
      <c r="J72" s="1951"/>
      <c r="K72" s="1951"/>
      <c r="L72" s="1951"/>
      <c r="M72" s="1951"/>
      <c r="N72" s="1951"/>
      <c r="O72" s="1951"/>
      <c r="P72" s="1951"/>
      <c r="Q72" s="1951"/>
      <c r="R72" s="1951">
        <v>59</v>
      </c>
    </row>
    <row r="73" spans="1:18" s="186" customFormat="1" ht="15" customHeight="1" x14ac:dyDescent="0.2">
      <c r="A73" s="5764"/>
      <c r="B73" s="5861"/>
      <c r="C73" s="2220" t="s">
        <v>160</v>
      </c>
      <c r="D73" s="5146"/>
      <c r="E73" s="5146"/>
      <c r="F73" s="5146"/>
      <c r="G73" s="5146"/>
      <c r="H73" s="5146"/>
      <c r="I73" s="5146"/>
      <c r="J73" s="5146"/>
      <c r="K73" s="5146"/>
      <c r="L73" s="5146"/>
      <c r="M73" s="5147"/>
      <c r="N73" s="5147"/>
      <c r="O73" s="5147"/>
      <c r="P73" s="5147"/>
      <c r="Q73" s="5147"/>
      <c r="R73" s="2222">
        <f>SUM(R71:R72)</f>
        <v>268</v>
      </c>
    </row>
    <row r="74" spans="1:18" s="186" customFormat="1" ht="15" customHeight="1" x14ac:dyDescent="0.2">
      <c r="A74" s="5764"/>
      <c r="B74" s="5859" t="s">
        <v>6</v>
      </c>
      <c r="C74" s="1961" t="s">
        <v>504</v>
      </c>
      <c r="D74" s="1950"/>
      <c r="E74" s="1950"/>
      <c r="F74" s="1950"/>
      <c r="G74" s="1950"/>
      <c r="H74" s="1951"/>
      <c r="I74" s="1951"/>
      <c r="J74" s="1951"/>
      <c r="K74" s="1951"/>
      <c r="L74" s="1951">
        <v>58</v>
      </c>
      <c r="M74" s="1951">
        <v>80</v>
      </c>
      <c r="N74" s="1951">
        <v>120</v>
      </c>
      <c r="O74" s="1951">
        <v>140</v>
      </c>
      <c r="P74" s="1951">
        <v>163</v>
      </c>
      <c r="Q74" s="1951">
        <v>178</v>
      </c>
      <c r="R74" s="1951">
        <v>212</v>
      </c>
    </row>
    <row r="75" spans="1:18" s="186" customFormat="1" ht="15" customHeight="1" x14ac:dyDescent="0.2">
      <c r="A75" s="5764"/>
      <c r="B75" s="5860"/>
      <c r="C75" s="1961" t="s">
        <v>612</v>
      </c>
      <c r="D75" s="1950"/>
      <c r="E75" s="1950"/>
      <c r="F75" s="1950"/>
      <c r="G75" s="1950"/>
      <c r="H75" s="1951"/>
      <c r="I75" s="1951"/>
      <c r="J75" s="1951"/>
      <c r="K75" s="1951"/>
      <c r="L75" s="1951"/>
      <c r="M75" s="1951"/>
      <c r="N75" s="1951">
        <v>18</v>
      </c>
      <c r="O75" s="1951">
        <v>32</v>
      </c>
      <c r="P75" s="1951">
        <v>50</v>
      </c>
      <c r="Q75" s="1951">
        <v>69</v>
      </c>
      <c r="R75" s="1951">
        <v>89</v>
      </c>
    </row>
    <row r="76" spans="1:18" s="186" customFormat="1" ht="15" customHeight="1" x14ac:dyDescent="0.2">
      <c r="A76" s="5764"/>
      <c r="B76" s="5861"/>
      <c r="C76" s="2220" t="s">
        <v>160</v>
      </c>
      <c r="D76" s="2221"/>
      <c r="E76" s="2221"/>
      <c r="F76" s="2221"/>
      <c r="G76" s="2221"/>
      <c r="H76" s="2221"/>
      <c r="I76" s="2221"/>
      <c r="J76" s="2221"/>
      <c r="K76" s="2221"/>
      <c r="L76" s="2221">
        <f t="shared" ref="L76:R76" si="12">SUM(L74:L75)</f>
        <v>58</v>
      </c>
      <c r="M76" s="2222">
        <f t="shared" si="12"/>
        <v>80</v>
      </c>
      <c r="N76" s="2222">
        <f t="shared" si="12"/>
        <v>138</v>
      </c>
      <c r="O76" s="2222">
        <f t="shared" si="12"/>
        <v>172</v>
      </c>
      <c r="P76" s="2222">
        <f t="shared" si="12"/>
        <v>213</v>
      </c>
      <c r="Q76" s="2222">
        <f t="shared" si="12"/>
        <v>247</v>
      </c>
      <c r="R76" s="2222">
        <f t="shared" si="12"/>
        <v>301</v>
      </c>
    </row>
    <row r="77" spans="1:18" s="186" customFormat="1" ht="15" customHeight="1" x14ac:dyDescent="0.2">
      <c r="A77" s="5765"/>
      <c r="B77" s="5862" t="s">
        <v>11</v>
      </c>
      <c r="C77" s="1961" t="s">
        <v>505</v>
      </c>
      <c r="D77" s="1950"/>
      <c r="E77" s="1950"/>
      <c r="F77" s="1950"/>
      <c r="G77" s="1950"/>
      <c r="H77" s="1951"/>
      <c r="I77" s="1951"/>
      <c r="J77" s="1951"/>
      <c r="K77" s="1951"/>
      <c r="L77" s="1951">
        <v>55</v>
      </c>
      <c r="M77" s="1951">
        <v>69</v>
      </c>
      <c r="N77" s="1951">
        <v>116</v>
      </c>
      <c r="O77" s="1951">
        <v>147</v>
      </c>
      <c r="P77" s="1951">
        <v>208</v>
      </c>
      <c r="Q77" s="1951">
        <v>247</v>
      </c>
      <c r="R77" s="1951">
        <v>268</v>
      </c>
    </row>
    <row r="78" spans="1:18" s="186" customFormat="1" ht="15" customHeight="1" x14ac:dyDescent="0.2">
      <c r="A78" s="5765"/>
      <c r="B78" s="5860"/>
      <c r="C78" s="1961" t="s">
        <v>1582</v>
      </c>
      <c r="D78" s="1950"/>
      <c r="E78" s="1950"/>
      <c r="F78" s="1950"/>
      <c r="G78" s="1950"/>
      <c r="H78" s="1951"/>
      <c r="I78" s="1951"/>
      <c r="J78" s="1951"/>
      <c r="K78" s="1951"/>
      <c r="L78" s="1951"/>
      <c r="M78" s="1951"/>
      <c r="N78" s="1951"/>
      <c r="O78" s="1951"/>
      <c r="P78" s="1951"/>
      <c r="Q78" s="1951"/>
      <c r="R78" s="1951">
        <v>31</v>
      </c>
    </row>
    <row r="79" spans="1:18" s="186" customFormat="1" ht="15" customHeight="1" x14ac:dyDescent="0.2">
      <c r="A79" s="5765"/>
      <c r="B79" s="5861"/>
      <c r="C79" s="2220" t="s">
        <v>160</v>
      </c>
      <c r="D79" s="2221"/>
      <c r="E79" s="2221"/>
      <c r="F79" s="2221"/>
      <c r="G79" s="2221"/>
      <c r="H79" s="2221"/>
      <c r="I79" s="2221"/>
      <c r="J79" s="2221"/>
      <c r="K79" s="2221"/>
      <c r="L79" s="2221"/>
      <c r="M79" s="2222"/>
      <c r="N79" s="2222"/>
      <c r="O79" s="2222"/>
      <c r="P79" s="2222"/>
      <c r="Q79" s="2222"/>
      <c r="R79" s="2222">
        <f>SUM(R77:R78)</f>
        <v>299</v>
      </c>
    </row>
    <row r="80" spans="1:18" s="186" customFormat="1" ht="15" customHeight="1" x14ac:dyDescent="0.2">
      <c r="A80" s="5766"/>
      <c r="B80" s="3564"/>
      <c r="C80" s="2217" t="s">
        <v>510</v>
      </c>
      <c r="D80" s="2218"/>
      <c r="E80" s="2218"/>
      <c r="F80" s="2218"/>
      <c r="G80" s="2218"/>
      <c r="H80" s="2218"/>
      <c r="I80" s="2218"/>
      <c r="J80" s="2218"/>
      <c r="K80" s="2218"/>
      <c r="L80" s="2219">
        <f t="shared" ref="L80:Q80" si="13">SUM(L71,L76,L77)</f>
        <v>173</v>
      </c>
      <c r="M80" s="2219">
        <f t="shared" si="13"/>
        <v>228</v>
      </c>
      <c r="N80" s="2219">
        <f t="shared" si="13"/>
        <v>377</v>
      </c>
      <c r="O80" s="2219">
        <f t="shared" si="13"/>
        <v>458</v>
      </c>
      <c r="P80" s="2219">
        <f t="shared" si="13"/>
        <v>594</v>
      </c>
      <c r="Q80" s="2219">
        <f t="shared" si="13"/>
        <v>674</v>
      </c>
      <c r="R80" s="2219">
        <f>SUM(R73,R76,R79)</f>
        <v>868</v>
      </c>
    </row>
    <row r="81" spans="1:18" s="186" customFormat="1" ht="15" customHeight="1" x14ac:dyDescent="0.2">
      <c r="A81" s="5696" t="s">
        <v>442</v>
      </c>
      <c r="B81" s="5863" t="s">
        <v>6</v>
      </c>
      <c r="C81" s="1963" t="s">
        <v>456</v>
      </c>
      <c r="D81" s="1956">
        <v>834</v>
      </c>
      <c r="E81" s="1956">
        <v>867</v>
      </c>
      <c r="F81" s="1956">
        <v>895</v>
      </c>
      <c r="G81" s="1956">
        <v>919</v>
      </c>
      <c r="H81" s="1957">
        <v>963</v>
      </c>
      <c r="I81" s="1957">
        <v>999</v>
      </c>
      <c r="J81" s="1957">
        <v>940</v>
      </c>
      <c r="K81" s="1957">
        <v>982</v>
      </c>
      <c r="L81" s="1957">
        <v>995</v>
      </c>
      <c r="M81" s="1949">
        <v>1010</v>
      </c>
      <c r="N81" s="1949">
        <v>1019</v>
      </c>
      <c r="O81" s="1949">
        <v>1000</v>
      </c>
      <c r="P81" s="1949">
        <v>1018</v>
      </c>
      <c r="Q81" s="1949">
        <v>1028</v>
      </c>
      <c r="R81" s="1949">
        <v>1054</v>
      </c>
    </row>
    <row r="82" spans="1:18" s="186" customFormat="1" ht="15" customHeight="1" x14ac:dyDescent="0.2">
      <c r="A82" s="5697"/>
      <c r="B82" s="5863"/>
      <c r="C82" s="1961" t="s">
        <v>484</v>
      </c>
      <c r="D82" s="1950">
        <v>1012</v>
      </c>
      <c r="E82" s="1950">
        <v>1069</v>
      </c>
      <c r="F82" s="1950">
        <v>1141</v>
      </c>
      <c r="G82" s="1950">
        <v>1170</v>
      </c>
      <c r="H82" s="1951">
        <v>1186</v>
      </c>
      <c r="I82" s="1951">
        <v>1172</v>
      </c>
      <c r="J82" s="1951">
        <v>1109</v>
      </c>
      <c r="K82" s="1951">
        <v>1119</v>
      </c>
      <c r="L82" s="1951">
        <v>1079</v>
      </c>
      <c r="M82" s="1951">
        <v>1073</v>
      </c>
      <c r="N82" s="1951">
        <v>1091</v>
      </c>
      <c r="O82" s="1951">
        <v>1081</v>
      </c>
      <c r="P82" s="1951">
        <v>1085</v>
      </c>
      <c r="Q82" s="1951">
        <v>1085</v>
      </c>
      <c r="R82" s="1951">
        <v>1106</v>
      </c>
    </row>
    <row r="83" spans="1:18" s="186" customFormat="1" ht="15" customHeight="1" x14ac:dyDescent="0.2">
      <c r="A83" s="5697"/>
      <c r="B83" s="5863"/>
      <c r="C83" s="1961" t="s">
        <v>458</v>
      </c>
      <c r="D83" s="1950">
        <v>733</v>
      </c>
      <c r="E83" s="1950">
        <v>748</v>
      </c>
      <c r="F83" s="1950">
        <v>792</v>
      </c>
      <c r="G83" s="1950">
        <v>806</v>
      </c>
      <c r="H83" s="1951">
        <v>873</v>
      </c>
      <c r="I83" s="1951">
        <v>909</v>
      </c>
      <c r="J83" s="1951">
        <v>934</v>
      </c>
      <c r="K83" s="1951">
        <v>940</v>
      </c>
      <c r="L83" s="1951">
        <v>882</v>
      </c>
      <c r="M83" s="1951">
        <v>918</v>
      </c>
      <c r="N83" s="1951">
        <v>968</v>
      </c>
      <c r="O83" s="1951">
        <v>991</v>
      </c>
      <c r="P83" s="1951">
        <v>1013</v>
      </c>
      <c r="Q83" s="1951">
        <v>1014</v>
      </c>
      <c r="R83" s="1951">
        <v>1009</v>
      </c>
    </row>
    <row r="84" spans="1:18" s="186" customFormat="1" ht="15" customHeight="1" x14ac:dyDescent="0.2">
      <c r="A84" s="5697"/>
      <c r="B84" s="5863"/>
      <c r="C84" s="1961" t="s">
        <v>485</v>
      </c>
      <c r="D84" s="1950">
        <v>1829</v>
      </c>
      <c r="E84" s="1950">
        <v>1928</v>
      </c>
      <c r="F84" s="1950">
        <v>2042</v>
      </c>
      <c r="G84" s="1950">
        <v>2031</v>
      </c>
      <c r="H84" s="1951">
        <v>2037</v>
      </c>
      <c r="I84" s="1951">
        <v>2021</v>
      </c>
      <c r="J84" s="1951">
        <v>1949</v>
      </c>
      <c r="K84" s="1951">
        <v>1851</v>
      </c>
      <c r="L84" s="1951">
        <v>1824</v>
      </c>
      <c r="M84" s="1951">
        <v>1843</v>
      </c>
      <c r="N84" s="1951">
        <v>1863</v>
      </c>
      <c r="O84" s="1951">
        <v>1787</v>
      </c>
      <c r="P84" s="1951">
        <v>1738</v>
      </c>
      <c r="Q84" s="1951">
        <v>1721</v>
      </c>
      <c r="R84" s="1951">
        <v>1685</v>
      </c>
    </row>
    <row r="85" spans="1:18" s="186" customFormat="1" ht="15" customHeight="1" x14ac:dyDescent="0.2">
      <c r="A85" s="5697"/>
      <c r="B85" s="5863"/>
      <c r="C85" s="1961" t="s">
        <v>459</v>
      </c>
      <c r="D85" s="1950">
        <v>956</v>
      </c>
      <c r="E85" s="1950">
        <v>1009</v>
      </c>
      <c r="F85" s="1950">
        <v>994</v>
      </c>
      <c r="G85" s="1950">
        <v>1014</v>
      </c>
      <c r="H85" s="1951">
        <v>966</v>
      </c>
      <c r="I85" s="1951">
        <v>956</v>
      </c>
      <c r="J85" s="1951">
        <v>923</v>
      </c>
      <c r="K85" s="1951">
        <v>894</v>
      </c>
      <c r="L85" s="1951">
        <v>917</v>
      </c>
      <c r="M85" s="1951">
        <v>927</v>
      </c>
      <c r="N85" s="1951">
        <v>936</v>
      </c>
      <c r="O85" s="1951">
        <v>902</v>
      </c>
      <c r="P85" s="1951">
        <v>909</v>
      </c>
      <c r="Q85" s="1951">
        <v>884</v>
      </c>
      <c r="R85" s="1951">
        <v>891</v>
      </c>
    </row>
    <row r="86" spans="1:18" s="186" customFormat="1" ht="15" customHeight="1" x14ac:dyDescent="0.2">
      <c r="A86" s="5697"/>
      <c r="B86" s="5863"/>
      <c r="C86" s="1962" t="s">
        <v>486</v>
      </c>
      <c r="D86" s="1952">
        <v>290</v>
      </c>
      <c r="E86" s="1952">
        <v>298</v>
      </c>
      <c r="F86" s="1952">
        <v>313</v>
      </c>
      <c r="G86" s="1952">
        <v>326</v>
      </c>
      <c r="H86" s="1953">
        <v>363</v>
      </c>
      <c r="I86" s="1953">
        <v>356</v>
      </c>
      <c r="J86" s="1953">
        <v>351</v>
      </c>
      <c r="K86" s="1953">
        <v>352</v>
      </c>
      <c r="L86" s="1953">
        <v>359</v>
      </c>
      <c r="M86" s="1953">
        <v>355</v>
      </c>
      <c r="N86" s="1953">
        <v>360</v>
      </c>
      <c r="O86" s="1953">
        <v>387</v>
      </c>
      <c r="P86" s="1953">
        <v>430</v>
      </c>
      <c r="Q86" s="1953">
        <v>500</v>
      </c>
      <c r="R86" s="1953">
        <v>535</v>
      </c>
    </row>
    <row r="87" spans="1:18" s="186" customFormat="1" ht="15" customHeight="1" x14ac:dyDescent="0.2">
      <c r="A87" s="5697"/>
      <c r="B87" s="1964"/>
      <c r="C87" s="2220" t="s">
        <v>160</v>
      </c>
      <c r="D87" s="2221">
        <f>SUM(D81:D86)</f>
        <v>5654</v>
      </c>
      <c r="E87" s="2221">
        <f t="shared" ref="E87:M87" si="14">SUM(E81:E86)</f>
        <v>5919</v>
      </c>
      <c r="F87" s="2221">
        <f t="shared" si="14"/>
        <v>6177</v>
      </c>
      <c r="G87" s="2221">
        <f t="shared" si="14"/>
        <v>6266</v>
      </c>
      <c r="H87" s="2221">
        <f t="shared" si="14"/>
        <v>6388</v>
      </c>
      <c r="I87" s="2221">
        <f t="shared" si="14"/>
        <v>6413</v>
      </c>
      <c r="J87" s="2221">
        <f t="shared" si="14"/>
        <v>6206</v>
      </c>
      <c r="K87" s="2221">
        <f t="shared" si="14"/>
        <v>6138</v>
      </c>
      <c r="L87" s="2221">
        <f t="shared" si="14"/>
        <v>6056</v>
      </c>
      <c r="M87" s="2222">
        <f t="shared" si="14"/>
        <v>6126</v>
      </c>
      <c r="N87" s="2222">
        <f>SUM(N81:N86)</f>
        <v>6237</v>
      </c>
      <c r="O87" s="2222">
        <f>SUM(O81:O86)</f>
        <v>6148</v>
      </c>
      <c r="P87" s="2222">
        <f>SUM(P81:P86)</f>
        <v>6193</v>
      </c>
      <c r="Q87" s="2222">
        <f>SUM(Q81:Q86)</f>
        <v>6232</v>
      </c>
      <c r="R87" s="2222">
        <f>SUM(R81:R86)</f>
        <v>6280</v>
      </c>
    </row>
    <row r="88" spans="1:18" s="186" customFormat="1" ht="15" customHeight="1" x14ac:dyDescent="0.2">
      <c r="A88" s="5697"/>
      <c r="B88" s="5859" t="s">
        <v>11</v>
      </c>
      <c r="C88" s="1960" t="s">
        <v>478</v>
      </c>
      <c r="D88" s="1948">
        <v>753</v>
      </c>
      <c r="E88" s="1948">
        <v>786</v>
      </c>
      <c r="F88" s="1948">
        <v>856</v>
      </c>
      <c r="G88" s="1948">
        <v>950</v>
      </c>
      <c r="H88" s="1949">
        <v>965</v>
      </c>
      <c r="I88" s="1949">
        <v>971</v>
      </c>
      <c r="J88" s="1949">
        <v>949</v>
      </c>
      <c r="K88" s="1949">
        <v>933</v>
      </c>
      <c r="L88" s="1949">
        <v>918</v>
      </c>
      <c r="M88" s="1949">
        <v>922</v>
      </c>
      <c r="N88" s="1949">
        <v>928</v>
      </c>
      <c r="O88" s="1949">
        <v>931</v>
      </c>
      <c r="P88" s="1949">
        <v>923</v>
      </c>
      <c r="Q88" s="1949">
        <v>971</v>
      </c>
      <c r="R88" s="1949">
        <v>1004</v>
      </c>
    </row>
    <row r="89" spans="1:18" s="186" customFormat="1" ht="15" customHeight="1" x14ac:dyDescent="0.2">
      <c r="A89" s="5697"/>
      <c r="B89" s="5860"/>
      <c r="C89" s="1961" t="s">
        <v>487</v>
      </c>
      <c r="D89" s="1950">
        <v>450</v>
      </c>
      <c r="E89" s="1950">
        <v>515</v>
      </c>
      <c r="F89" s="1950">
        <v>579</v>
      </c>
      <c r="G89" s="1950">
        <v>652</v>
      </c>
      <c r="H89" s="1951">
        <v>644</v>
      </c>
      <c r="I89" s="1951">
        <v>689</v>
      </c>
      <c r="J89" s="1951">
        <v>672</v>
      </c>
      <c r="K89" s="1951">
        <v>714</v>
      </c>
      <c r="L89" s="1951">
        <v>707</v>
      </c>
      <c r="M89" s="1951">
        <v>704</v>
      </c>
      <c r="N89" s="1951">
        <v>659</v>
      </c>
      <c r="O89" s="1951">
        <v>619</v>
      </c>
      <c r="P89" s="1951">
        <v>591</v>
      </c>
      <c r="Q89" s="1951">
        <v>589</v>
      </c>
      <c r="R89" s="1951">
        <v>604</v>
      </c>
    </row>
    <row r="90" spans="1:18" s="186" customFormat="1" ht="15" customHeight="1" x14ac:dyDescent="0.2">
      <c r="A90" s="5697"/>
      <c r="B90" s="5860"/>
      <c r="C90" s="1961" t="s">
        <v>488</v>
      </c>
      <c r="D90" s="1950">
        <v>896</v>
      </c>
      <c r="E90" s="1950">
        <v>966</v>
      </c>
      <c r="F90" s="1950">
        <v>1102</v>
      </c>
      <c r="G90" s="1950">
        <v>1169</v>
      </c>
      <c r="H90" s="1951">
        <v>1195</v>
      </c>
      <c r="I90" s="1951">
        <v>1156</v>
      </c>
      <c r="J90" s="1951">
        <v>995</v>
      </c>
      <c r="K90" s="1951">
        <v>903</v>
      </c>
      <c r="L90" s="1951">
        <v>857</v>
      </c>
      <c r="M90" s="1951">
        <v>844</v>
      </c>
      <c r="N90" s="1951">
        <v>842</v>
      </c>
      <c r="O90" s="1951">
        <v>874</v>
      </c>
      <c r="P90" s="1951">
        <v>888</v>
      </c>
      <c r="Q90" s="1951">
        <v>920</v>
      </c>
      <c r="R90" s="1951">
        <v>948</v>
      </c>
    </row>
    <row r="91" spans="1:18" s="186" customFormat="1" ht="15" customHeight="1" x14ac:dyDescent="0.2">
      <c r="A91" s="5697"/>
      <c r="B91" s="5860"/>
      <c r="C91" s="1961" t="s">
        <v>489</v>
      </c>
      <c r="D91" s="1950">
        <v>1181</v>
      </c>
      <c r="E91" s="1950">
        <v>1290</v>
      </c>
      <c r="F91" s="1950">
        <v>1354</v>
      </c>
      <c r="G91" s="1950">
        <v>1402</v>
      </c>
      <c r="H91" s="1951">
        <v>1368</v>
      </c>
      <c r="I91" s="1951">
        <v>1303</v>
      </c>
      <c r="J91" s="1951">
        <v>1261</v>
      </c>
      <c r="K91" s="1951">
        <v>1284</v>
      </c>
      <c r="L91" s="1951">
        <v>1263</v>
      </c>
      <c r="M91" s="1951">
        <v>1241</v>
      </c>
      <c r="N91" s="1951">
        <v>1239</v>
      </c>
      <c r="O91" s="1951">
        <v>1243</v>
      </c>
      <c r="P91" s="1951">
        <v>1318</v>
      </c>
      <c r="Q91" s="1951">
        <v>1366</v>
      </c>
      <c r="R91" s="1951">
        <v>1456</v>
      </c>
    </row>
    <row r="92" spans="1:18" s="186" customFormat="1" ht="15" customHeight="1" x14ac:dyDescent="0.2">
      <c r="A92" s="5697"/>
      <c r="B92" s="5860"/>
      <c r="C92" s="1961" t="s">
        <v>490</v>
      </c>
      <c r="D92" s="1950">
        <v>1156</v>
      </c>
      <c r="E92" s="1950">
        <v>1273</v>
      </c>
      <c r="F92" s="1950">
        <v>1396</v>
      </c>
      <c r="G92" s="1950">
        <v>1431</v>
      </c>
      <c r="H92" s="1951">
        <v>1458</v>
      </c>
      <c r="I92" s="1951">
        <v>1384</v>
      </c>
      <c r="J92" s="1951">
        <v>1283</v>
      </c>
      <c r="K92" s="1951">
        <v>1237</v>
      </c>
      <c r="L92" s="1951">
        <v>1182</v>
      </c>
      <c r="M92" s="1951">
        <v>1158</v>
      </c>
      <c r="N92" s="1951">
        <v>1201</v>
      </c>
      <c r="O92" s="1951">
        <v>1254</v>
      </c>
      <c r="P92" s="1951">
        <v>1262</v>
      </c>
      <c r="Q92" s="1951">
        <v>1297</v>
      </c>
      <c r="R92" s="1951">
        <v>1314</v>
      </c>
    </row>
    <row r="93" spans="1:18" s="186" customFormat="1" ht="15" customHeight="1" x14ac:dyDescent="0.2">
      <c r="A93" s="5697"/>
      <c r="B93" s="5860"/>
      <c r="C93" s="1961" t="s">
        <v>491</v>
      </c>
      <c r="D93" s="1950">
        <v>556</v>
      </c>
      <c r="E93" s="1950">
        <v>528</v>
      </c>
      <c r="F93" s="1950">
        <v>497</v>
      </c>
      <c r="G93" s="1950">
        <v>521</v>
      </c>
      <c r="H93" s="1951">
        <v>571</v>
      </c>
      <c r="I93" s="1951">
        <v>599</v>
      </c>
      <c r="J93" s="1951">
        <v>666</v>
      </c>
      <c r="K93" s="1951">
        <v>775</v>
      </c>
      <c r="L93" s="1951">
        <v>840</v>
      </c>
      <c r="M93" s="1951">
        <v>867</v>
      </c>
      <c r="N93" s="1951">
        <v>859</v>
      </c>
      <c r="O93" s="1951">
        <v>827</v>
      </c>
      <c r="P93" s="1951">
        <v>826</v>
      </c>
      <c r="Q93" s="1951">
        <v>785</v>
      </c>
      <c r="R93" s="1951">
        <v>802</v>
      </c>
    </row>
    <row r="94" spans="1:18" s="186" customFormat="1" ht="15" customHeight="1" x14ac:dyDescent="0.2">
      <c r="A94" s="5697"/>
      <c r="B94" s="5860"/>
      <c r="C94" s="1961" t="s">
        <v>492</v>
      </c>
      <c r="D94" s="1950">
        <v>1042</v>
      </c>
      <c r="E94" s="1950">
        <v>1089</v>
      </c>
      <c r="F94" s="1950">
        <v>1104</v>
      </c>
      <c r="G94" s="1950">
        <v>1138</v>
      </c>
      <c r="H94" s="1951">
        <v>1117</v>
      </c>
      <c r="I94" s="1951">
        <v>1176</v>
      </c>
      <c r="J94" s="1951">
        <v>1182</v>
      </c>
      <c r="K94" s="1951">
        <v>1184</v>
      </c>
      <c r="L94" s="1951">
        <v>1135</v>
      </c>
      <c r="M94" s="1951">
        <v>1106</v>
      </c>
      <c r="N94" s="1951">
        <v>1135</v>
      </c>
      <c r="O94" s="1951">
        <v>1098</v>
      </c>
      <c r="P94" s="1951">
        <v>1070</v>
      </c>
      <c r="Q94" s="1951">
        <v>1018</v>
      </c>
      <c r="R94" s="1951">
        <v>1015</v>
      </c>
    </row>
    <row r="95" spans="1:18" s="186" customFormat="1" ht="15" customHeight="1" x14ac:dyDescent="0.2">
      <c r="A95" s="5697"/>
      <c r="B95" s="5860"/>
      <c r="C95" s="1961" t="s">
        <v>509</v>
      </c>
      <c r="D95" s="1950">
        <v>531</v>
      </c>
      <c r="E95" s="1950">
        <v>580</v>
      </c>
      <c r="F95" s="1950">
        <v>628</v>
      </c>
      <c r="G95" s="1950">
        <v>685</v>
      </c>
      <c r="H95" s="1951">
        <v>720</v>
      </c>
      <c r="I95" s="1951">
        <v>696</v>
      </c>
      <c r="J95" s="1951">
        <v>684</v>
      </c>
      <c r="K95" s="1951">
        <v>612</v>
      </c>
      <c r="L95" s="1951">
        <v>666</v>
      </c>
      <c r="M95" s="1951">
        <v>667</v>
      </c>
      <c r="N95" s="1951">
        <v>702</v>
      </c>
      <c r="O95" s="1951">
        <v>729</v>
      </c>
      <c r="P95" s="1951">
        <v>758</v>
      </c>
      <c r="Q95" s="1951">
        <v>743</v>
      </c>
      <c r="R95" s="1951">
        <v>769</v>
      </c>
    </row>
    <row r="96" spans="1:18" s="186" customFormat="1" ht="15" customHeight="1" x14ac:dyDescent="0.2">
      <c r="A96" s="5697"/>
      <c r="B96" s="5861"/>
      <c r="C96" s="2220" t="s">
        <v>160</v>
      </c>
      <c r="D96" s="2221">
        <f>SUM(D88:D95)</f>
        <v>6565</v>
      </c>
      <c r="E96" s="2221">
        <f t="shared" ref="E96:M96" si="15">SUM(E88:E95)</f>
        <v>7027</v>
      </c>
      <c r="F96" s="2221">
        <f t="shared" si="15"/>
        <v>7516</v>
      </c>
      <c r="G96" s="2221">
        <f t="shared" si="15"/>
        <v>7948</v>
      </c>
      <c r="H96" s="2221">
        <f t="shared" si="15"/>
        <v>8038</v>
      </c>
      <c r="I96" s="2221">
        <f t="shared" si="15"/>
        <v>7974</v>
      </c>
      <c r="J96" s="2221">
        <f t="shared" si="15"/>
        <v>7692</v>
      </c>
      <c r="K96" s="2221">
        <f t="shared" si="15"/>
        <v>7642</v>
      </c>
      <c r="L96" s="2221">
        <f t="shared" si="15"/>
        <v>7568</v>
      </c>
      <c r="M96" s="2222">
        <f t="shared" si="15"/>
        <v>7509</v>
      </c>
      <c r="N96" s="2222">
        <f>SUM(N88:N95)</f>
        <v>7565</v>
      </c>
      <c r="O96" s="2222">
        <f>SUM(O88:O95)</f>
        <v>7575</v>
      </c>
      <c r="P96" s="2222">
        <f>SUM(P88:P95)</f>
        <v>7636</v>
      </c>
      <c r="Q96" s="2222">
        <f>SUM(Q88:Q95)</f>
        <v>7689</v>
      </c>
      <c r="R96" s="2222">
        <f>SUM(R88:R95)</f>
        <v>7912</v>
      </c>
    </row>
    <row r="97" spans="1:18" s="186" customFormat="1" ht="15" customHeight="1" x14ac:dyDescent="0.2">
      <c r="A97" s="5697"/>
      <c r="B97" s="5860" t="s">
        <v>7</v>
      </c>
      <c r="C97" s="1963" t="s">
        <v>460</v>
      </c>
      <c r="D97" s="1956">
        <v>1337</v>
      </c>
      <c r="E97" s="1956">
        <v>1387</v>
      </c>
      <c r="F97" s="1956">
        <v>1477</v>
      </c>
      <c r="G97" s="1956">
        <v>1507</v>
      </c>
      <c r="H97" s="1957">
        <v>1523</v>
      </c>
      <c r="I97" s="1957">
        <v>1595</v>
      </c>
      <c r="J97" s="1957">
        <v>1530</v>
      </c>
      <c r="K97" s="1957">
        <v>1485</v>
      </c>
      <c r="L97" s="1957">
        <v>1400</v>
      </c>
      <c r="M97" s="1957">
        <v>1380</v>
      </c>
      <c r="N97" s="1957">
        <v>1362</v>
      </c>
      <c r="O97" s="1957">
        <v>1372</v>
      </c>
      <c r="P97" s="1957">
        <v>1340</v>
      </c>
      <c r="Q97" s="1957">
        <v>1365</v>
      </c>
      <c r="R97" s="1957">
        <v>1402</v>
      </c>
    </row>
    <row r="98" spans="1:18" s="186" customFormat="1" ht="15" customHeight="1" x14ac:dyDescent="0.2">
      <c r="A98" s="5697"/>
      <c r="B98" s="5860"/>
      <c r="C98" s="1961" t="s">
        <v>461</v>
      </c>
      <c r="D98" s="1950">
        <v>673</v>
      </c>
      <c r="E98" s="1950">
        <v>717</v>
      </c>
      <c r="F98" s="1950">
        <v>727</v>
      </c>
      <c r="G98" s="1950">
        <v>715</v>
      </c>
      <c r="H98" s="1951">
        <v>705</v>
      </c>
      <c r="I98" s="1951">
        <v>689</v>
      </c>
      <c r="J98" s="1951">
        <v>629</v>
      </c>
      <c r="K98" s="1951">
        <v>637</v>
      </c>
      <c r="L98" s="1951">
        <v>628</v>
      </c>
      <c r="M98" s="1951">
        <v>665</v>
      </c>
      <c r="N98" s="1951">
        <v>665</v>
      </c>
      <c r="O98" s="1951">
        <v>653</v>
      </c>
      <c r="P98" s="1951">
        <v>637</v>
      </c>
      <c r="Q98" s="1951">
        <v>637</v>
      </c>
      <c r="R98" s="1951">
        <v>609</v>
      </c>
    </row>
    <row r="99" spans="1:18" s="186" customFormat="1" ht="15" customHeight="1" x14ac:dyDescent="0.2">
      <c r="A99" s="5697"/>
      <c r="B99" s="5860"/>
      <c r="C99" s="1961" t="s">
        <v>462</v>
      </c>
      <c r="D99" s="1950">
        <v>650</v>
      </c>
      <c r="E99" s="1950">
        <v>688</v>
      </c>
      <c r="F99" s="1950">
        <v>724</v>
      </c>
      <c r="G99" s="1950">
        <v>701</v>
      </c>
      <c r="H99" s="1951">
        <v>698</v>
      </c>
      <c r="I99" s="1951">
        <v>675</v>
      </c>
      <c r="J99" s="1951">
        <v>624</v>
      </c>
      <c r="K99" s="1951">
        <v>583</v>
      </c>
      <c r="L99" s="1951">
        <v>572</v>
      </c>
      <c r="M99" s="1951">
        <v>578</v>
      </c>
      <c r="N99" s="1951">
        <v>622</v>
      </c>
      <c r="O99" s="1951">
        <v>635</v>
      </c>
      <c r="P99" s="1951">
        <v>659</v>
      </c>
      <c r="Q99" s="1951">
        <v>682</v>
      </c>
      <c r="R99" s="1951">
        <v>679</v>
      </c>
    </row>
    <row r="100" spans="1:18" s="186" customFormat="1" ht="15" customHeight="1" x14ac:dyDescent="0.2">
      <c r="A100" s="5697"/>
      <c r="B100" s="5860"/>
      <c r="C100" s="1961" t="s">
        <v>494</v>
      </c>
      <c r="D100" s="1950">
        <v>344</v>
      </c>
      <c r="E100" s="1950">
        <v>362</v>
      </c>
      <c r="F100" s="1950">
        <v>398</v>
      </c>
      <c r="G100" s="1950">
        <v>412</v>
      </c>
      <c r="H100" s="1951">
        <v>439</v>
      </c>
      <c r="I100" s="1951">
        <v>445</v>
      </c>
      <c r="J100" s="1951">
        <v>468</v>
      </c>
      <c r="K100" s="1951">
        <v>483</v>
      </c>
      <c r="L100" s="1951">
        <v>491</v>
      </c>
      <c r="M100" s="1951">
        <v>512</v>
      </c>
      <c r="N100" s="1951">
        <v>524</v>
      </c>
      <c r="O100" s="1951">
        <v>500</v>
      </c>
      <c r="P100" s="1951">
        <v>504</v>
      </c>
      <c r="Q100" s="1951">
        <v>509</v>
      </c>
      <c r="R100" s="1951">
        <v>498</v>
      </c>
    </row>
    <row r="101" spans="1:18" s="186" customFormat="1" ht="15" customHeight="1" x14ac:dyDescent="0.2">
      <c r="A101" s="5697"/>
      <c r="B101" s="5860"/>
      <c r="C101" s="2220" t="s">
        <v>160</v>
      </c>
      <c r="D101" s="3624">
        <f>SUM(D97:D100)</f>
        <v>3004</v>
      </c>
      <c r="E101" s="3624">
        <f t="shared" ref="E101:M101" si="16">SUM(E97:E100)</f>
        <v>3154</v>
      </c>
      <c r="F101" s="3624">
        <f t="shared" si="16"/>
        <v>3326</v>
      </c>
      <c r="G101" s="3624">
        <f t="shared" si="16"/>
        <v>3335</v>
      </c>
      <c r="H101" s="3624">
        <f t="shared" si="16"/>
        <v>3365</v>
      </c>
      <c r="I101" s="3624">
        <f t="shared" si="16"/>
        <v>3404</v>
      </c>
      <c r="J101" s="3624">
        <f t="shared" si="16"/>
        <v>3251</v>
      </c>
      <c r="K101" s="3624">
        <f t="shared" si="16"/>
        <v>3188</v>
      </c>
      <c r="L101" s="3624">
        <f t="shared" si="16"/>
        <v>3091</v>
      </c>
      <c r="M101" s="3625">
        <f t="shared" si="16"/>
        <v>3135</v>
      </c>
      <c r="N101" s="3625">
        <f>SUM(N97:N100)</f>
        <v>3173</v>
      </c>
      <c r="O101" s="3625">
        <f>SUM(O97:O100)</f>
        <v>3160</v>
      </c>
      <c r="P101" s="3625">
        <f>SUM(P97:P100)</f>
        <v>3140</v>
      </c>
      <c r="Q101" s="3625">
        <f>SUM(Q97:Q100)</f>
        <v>3193</v>
      </c>
      <c r="R101" s="3625">
        <f>SUM(R97:R100)</f>
        <v>3188</v>
      </c>
    </row>
    <row r="102" spans="1:18" s="186" customFormat="1" ht="15" customHeight="1" x14ac:dyDescent="0.2">
      <c r="A102" s="5768"/>
      <c r="B102" s="3568"/>
      <c r="C102" s="3569" t="s">
        <v>510</v>
      </c>
      <c r="D102" s="3622">
        <f>SUM(D101,D96,D87)</f>
        <v>15223</v>
      </c>
      <c r="E102" s="3622">
        <f t="shared" ref="E102:M102" si="17">SUM(E101,E96,E87)</f>
        <v>16100</v>
      </c>
      <c r="F102" s="3622">
        <f t="shared" si="17"/>
        <v>17019</v>
      </c>
      <c r="G102" s="3622">
        <f t="shared" si="17"/>
        <v>17549</v>
      </c>
      <c r="H102" s="3622">
        <f t="shared" si="17"/>
        <v>17791</v>
      </c>
      <c r="I102" s="3622">
        <f t="shared" si="17"/>
        <v>17791</v>
      </c>
      <c r="J102" s="3622">
        <f t="shared" si="17"/>
        <v>17149</v>
      </c>
      <c r="K102" s="3622">
        <f t="shared" si="17"/>
        <v>16968</v>
      </c>
      <c r="L102" s="3622">
        <f t="shared" si="17"/>
        <v>16715</v>
      </c>
      <c r="M102" s="3623">
        <f t="shared" si="17"/>
        <v>16770</v>
      </c>
      <c r="N102" s="3623">
        <f>SUM(N101,N96,N87)</f>
        <v>16975</v>
      </c>
      <c r="O102" s="3623">
        <f>SUM(O101,O96,O87)</f>
        <v>16883</v>
      </c>
      <c r="P102" s="3623">
        <f>SUM(P101,P96,P87)</f>
        <v>16969</v>
      </c>
      <c r="Q102" s="3623">
        <f>SUM(Q101,Q96,Q87)</f>
        <v>17114</v>
      </c>
      <c r="R102" s="3623">
        <f>SUM(R101,R96,R87)</f>
        <v>17380</v>
      </c>
    </row>
    <row r="103" spans="1:18" s="186" customFormat="1" ht="15" customHeight="1" x14ac:dyDescent="0.2">
      <c r="A103" s="491"/>
      <c r="B103" s="491"/>
      <c r="C103" s="491"/>
      <c r="D103" s="491"/>
      <c r="E103" s="491"/>
      <c r="F103" s="491"/>
      <c r="G103" s="491"/>
      <c r="H103" s="491"/>
      <c r="I103" s="491"/>
      <c r="J103" s="491"/>
      <c r="K103" s="491"/>
      <c r="L103" s="491"/>
      <c r="M103" s="491"/>
      <c r="N103" s="491"/>
      <c r="O103" s="491"/>
      <c r="P103" s="491"/>
    </row>
    <row r="104" spans="1:18" s="197" customFormat="1" ht="15" x14ac:dyDescent="0.25">
      <c r="A104" s="1959"/>
      <c r="B104" s="5655" t="s">
        <v>76</v>
      </c>
      <c r="C104" s="5657"/>
      <c r="D104" s="697">
        <f t="shared" ref="D104:R104" si="18">SUM(D24,D39,D70,D80,D102)</f>
        <v>42235</v>
      </c>
      <c r="E104" s="697">
        <f t="shared" si="18"/>
        <v>43246</v>
      </c>
      <c r="F104" s="697">
        <f t="shared" si="18"/>
        <v>44496</v>
      </c>
      <c r="G104" s="697">
        <f t="shared" si="18"/>
        <v>45448</v>
      </c>
      <c r="H104" s="697">
        <f t="shared" si="18"/>
        <v>46267</v>
      </c>
      <c r="I104" s="697">
        <f t="shared" si="18"/>
        <v>47386</v>
      </c>
      <c r="J104" s="697">
        <f t="shared" si="18"/>
        <v>47343</v>
      </c>
      <c r="K104" s="697">
        <f t="shared" si="18"/>
        <v>48596</v>
      </c>
      <c r="L104" s="697">
        <f t="shared" si="18"/>
        <v>49508</v>
      </c>
      <c r="M104" s="697">
        <f t="shared" si="18"/>
        <v>50928</v>
      </c>
      <c r="N104" s="697">
        <f t="shared" si="18"/>
        <v>52459</v>
      </c>
      <c r="O104" s="697">
        <f t="shared" si="18"/>
        <v>52898</v>
      </c>
      <c r="P104" s="697">
        <f t="shared" si="18"/>
        <v>53374</v>
      </c>
      <c r="Q104" s="697">
        <f t="shared" si="18"/>
        <v>53900</v>
      </c>
      <c r="R104" s="697">
        <f t="shared" si="18"/>
        <v>53989</v>
      </c>
    </row>
    <row r="105" spans="1:18" s="198" customFormat="1" ht="14.25" x14ac:dyDescent="0.2">
      <c r="B105" s="202" t="s">
        <v>128</v>
      </c>
      <c r="C105" s="202"/>
    </row>
    <row r="106" spans="1:18" x14ac:dyDescent="0.2">
      <c r="B106" s="240" t="s">
        <v>648</v>
      </c>
      <c r="C106" s="209"/>
    </row>
  </sheetData>
  <sheetProtection algorithmName="SHA-512" hashValue="xTePBUpADVLzMRsZC9udNnuEPaG8tiYt90YnWZk3DkIvkw9akvpG/aI65kmtUlFQOaZmMxAg83OTJjgqd+a2sw==" saltValue="VMLwLjx4j1S9IsO4BIx3bA==" spinCount="100000" sheet="1" objects="1" scenarios="1"/>
  <mergeCells count="22">
    <mergeCell ref="A81:A102"/>
    <mergeCell ref="B88:B96"/>
    <mergeCell ref="B97:B101"/>
    <mergeCell ref="B104:C104"/>
    <mergeCell ref="B81:B86"/>
    <mergeCell ref="B74:B76"/>
    <mergeCell ref="B15:B19"/>
    <mergeCell ref="B20:B23"/>
    <mergeCell ref="B25:B29"/>
    <mergeCell ref="A71:A80"/>
    <mergeCell ref="A40:A70"/>
    <mergeCell ref="B40:B50"/>
    <mergeCell ref="B51:B62"/>
    <mergeCell ref="B63:B69"/>
    <mergeCell ref="B71:B73"/>
    <mergeCell ref="B77:B79"/>
    <mergeCell ref="A1:C1"/>
    <mergeCell ref="A4:A24"/>
    <mergeCell ref="A25:A39"/>
    <mergeCell ref="B4:B13"/>
    <mergeCell ref="B30:B33"/>
    <mergeCell ref="B34:B38"/>
  </mergeCells>
  <printOptions horizontalCentered="1" verticalCentered="1"/>
  <pageMargins left="0.78740157480314965" right="0.78740157480314965" top="0.31496062992125984" bottom="0.15748031496062992" header="0" footer="0"/>
  <pageSetup scale="64" orientation="landscape" horizontalDpi="1200" verticalDpi="1200" r:id="rId1"/>
  <headerFooter alignWithMargins="0"/>
  <rowBreaks count="2" manualBreakCount="2">
    <brk id="39" max="16" man="1"/>
    <brk id="70" max="16" man="1"/>
  </rowBreaks>
  <ignoredErrors>
    <ignoredError sqref="D14:Q14 L76:Q76 Q8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  <pageSetUpPr fitToPage="1"/>
  </sheetPr>
  <dimension ref="A1:L89"/>
  <sheetViews>
    <sheetView topLeftCell="A4" zoomScaleNormal="100" workbookViewId="0">
      <selection activeCell="E12" sqref="E12"/>
    </sheetView>
  </sheetViews>
  <sheetFormatPr baseColWidth="10" defaultRowHeight="15" x14ac:dyDescent="0.25"/>
  <cols>
    <col min="1" max="1" width="22.140625" style="1984" customWidth="1"/>
    <col min="2" max="2" width="16.42578125" style="1269" bestFit="1" customWidth="1"/>
    <col min="3" max="3" width="11.42578125" style="1356"/>
    <col min="4" max="4" width="19.5703125" style="1356" customWidth="1"/>
    <col min="5" max="5" width="12.85546875" style="1356" customWidth="1"/>
    <col min="6" max="6" width="11.42578125" style="1356"/>
    <col min="7" max="7" width="22.5703125" style="1356" customWidth="1"/>
    <col min="8" max="8" width="12.85546875" style="1356" customWidth="1"/>
    <col min="9" max="9" width="11.42578125" style="1356"/>
    <col min="10" max="10" width="21.5703125" style="1356" bestFit="1" customWidth="1"/>
    <col min="11" max="11" width="15.5703125" style="1356" customWidth="1"/>
    <col min="12" max="16384" width="11.42578125" style="1356"/>
  </cols>
  <sheetData>
    <row r="1" spans="1:12" ht="45" customHeight="1" x14ac:dyDescent="0.25">
      <c r="A1" s="5238"/>
      <c r="B1" s="5238"/>
      <c r="C1" s="5238"/>
      <c r="D1" s="5238"/>
      <c r="E1" s="5238"/>
      <c r="F1" s="5627" t="s">
        <v>1578</v>
      </c>
      <c r="G1" s="5627"/>
      <c r="H1" s="5627"/>
      <c r="I1" s="5627"/>
      <c r="J1" s="5627"/>
      <c r="K1" s="5627"/>
    </row>
    <row r="2" spans="1:12" ht="21" x14ac:dyDescent="0.35">
      <c r="B2" s="2148"/>
      <c r="C2" s="2148"/>
      <c r="F2" s="5239" t="s">
        <v>735</v>
      </c>
      <c r="G2" s="3538"/>
      <c r="H2" s="2148"/>
      <c r="I2" s="2148"/>
      <c r="J2" s="2148"/>
      <c r="K2" s="5043"/>
    </row>
    <row r="3" spans="1:12" ht="18.75" x14ac:dyDescent="0.25">
      <c r="A3" s="2131"/>
      <c r="B3" s="2130"/>
      <c r="G3" s="4758"/>
    </row>
    <row r="4" spans="1:12" ht="15.75" thickBot="1" x14ac:dyDescent="0.3">
      <c r="A4" s="5632" t="s">
        <v>165</v>
      </c>
      <c r="B4" s="5632"/>
      <c r="D4" s="5633" t="s">
        <v>737</v>
      </c>
      <c r="E4" s="5633"/>
      <c r="F4" s="5318"/>
      <c r="G4" s="5634" t="s">
        <v>738</v>
      </c>
      <c r="H4" s="5634"/>
      <c r="I4" s="5318"/>
      <c r="J4" s="5638" t="s">
        <v>739</v>
      </c>
      <c r="K4" s="5638"/>
    </row>
    <row r="5" spans="1:12" s="1269" customFormat="1" ht="20.100000000000001" customHeight="1" x14ac:dyDescent="0.2">
      <c r="A5" s="2141" t="s">
        <v>683</v>
      </c>
      <c r="B5" s="2133" t="s">
        <v>684</v>
      </c>
      <c r="D5" s="2137" t="s">
        <v>683</v>
      </c>
      <c r="E5" s="2133" t="s">
        <v>684</v>
      </c>
      <c r="F5" s="4051"/>
      <c r="G5" s="2766" t="s">
        <v>1212</v>
      </c>
      <c r="H5" s="2134" t="s">
        <v>60</v>
      </c>
      <c r="I5" s="4063"/>
      <c r="J5" s="2137" t="s">
        <v>698</v>
      </c>
      <c r="K5" s="2133" t="s">
        <v>1281</v>
      </c>
    </row>
    <row r="6" spans="1:12" s="1269" customFormat="1" ht="20.100000000000001" customHeight="1" x14ac:dyDescent="0.2">
      <c r="A6" s="2141"/>
      <c r="B6" s="2133" t="s">
        <v>685</v>
      </c>
      <c r="D6" s="2138"/>
      <c r="E6" s="2134" t="s">
        <v>685</v>
      </c>
      <c r="F6" s="4051"/>
      <c r="G6" s="5635" t="s">
        <v>1482</v>
      </c>
      <c r="H6" s="2133" t="s">
        <v>684</v>
      </c>
      <c r="I6" s="4063"/>
      <c r="J6" s="2137"/>
      <c r="K6" s="2133" t="s">
        <v>686</v>
      </c>
    </row>
    <row r="7" spans="1:12" s="1269" customFormat="1" ht="20.100000000000001" customHeight="1" x14ac:dyDescent="0.2">
      <c r="A7" s="2138"/>
      <c r="B7" s="2134" t="s">
        <v>686</v>
      </c>
      <c r="D7" s="2137" t="s">
        <v>689</v>
      </c>
      <c r="E7" s="2133" t="s">
        <v>684</v>
      </c>
      <c r="G7" s="5636"/>
      <c r="H7" s="2134" t="s">
        <v>685</v>
      </c>
      <c r="I7" s="4063"/>
      <c r="J7" s="2137"/>
      <c r="K7" s="2133" t="s">
        <v>699</v>
      </c>
    </row>
    <row r="8" spans="1:12" s="1269" customFormat="1" ht="20.100000000000001" customHeight="1" x14ac:dyDescent="0.2">
      <c r="A8" s="2141" t="s">
        <v>687</v>
      </c>
      <c r="B8" s="2133" t="s">
        <v>684</v>
      </c>
      <c r="D8" s="2138"/>
      <c r="E8" s="2134" t="s">
        <v>685</v>
      </c>
      <c r="G8" s="1269" t="s">
        <v>1470</v>
      </c>
      <c r="H8" s="2133" t="s">
        <v>684</v>
      </c>
      <c r="I8" s="4063"/>
      <c r="J8" s="2138"/>
      <c r="K8" s="2134" t="s">
        <v>700</v>
      </c>
    </row>
    <row r="9" spans="1:12" s="1269" customFormat="1" ht="20.100000000000001" customHeight="1" x14ac:dyDescent="0.2">
      <c r="A9" s="2141"/>
      <c r="B9" s="2133" t="s">
        <v>685</v>
      </c>
      <c r="D9" s="2137" t="s">
        <v>690</v>
      </c>
      <c r="E9" s="2133" t="s">
        <v>684</v>
      </c>
      <c r="G9" s="2766"/>
      <c r="H9" s="2134" t="s">
        <v>685</v>
      </c>
      <c r="I9" s="4063"/>
      <c r="J9" s="2139" t="s">
        <v>812</v>
      </c>
      <c r="K9" s="2134" t="s">
        <v>685</v>
      </c>
    </row>
    <row r="10" spans="1:12" s="1269" customFormat="1" ht="20.100000000000001" customHeight="1" x14ac:dyDescent="0.2">
      <c r="A10" s="2141"/>
      <c r="B10" s="2136" t="s">
        <v>686</v>
      </c>
      <c r="D10" s="2138"/>
      <c r="E10" s="2134" t="s">
        <v>685</v>
      </c>
      <c r="G10" s="1269" t="s">
        <v>1471</v>
      </c>
      <c r="H10" s="2133" t="s">
        <v>684</v>
      </c>
      <c r="I10" s="4063"/>
      <c r="J10" s="2139" t="s">
        <v>701</v>
      </c>
      <c r="K10" s="2135" t="s">
        <v>60</v>
      </c>
      <c r="L10" s="4758"/>
    </row>
    <row r="11" spans="1:12" s="1269" customFormat="1" ht="20.100000000000001" customHeight="1" x14ac:dyDescent="0.2">
      <c r="A11" s="2138"/>
      <c r="B11" s="2134" t="s">
        <v>688</v>
      </c>
      <c r="D11" s="2137" t="s">
        <v>692</v>
      </c>
      <c r="E11" s="2133" t="s">
        <v>684</v>
      </c>
      <c r="G11" s="2766"/>
      <c r="H11" s="2134" t="s">
        <v>685</v>
      </c>
      <c r="I11" s="4063"/>
      <c r="J11" s="2137" t="s">
        <v>702</v>
      </c>
      <c r="K11" s="2133" t="s">
        <v>1663</v>
      </c>
      <c r="L11" s="4758"/>
    </row>
    <row r="12" spans="1:12" s="1269" customFormat="1" ht="20.100000000000001" customHeight="1" x14ac:dyDescent="0.2">
      <c r="A12" s="2141" t="s">
        <v>689</v>
      </c>
      <c r="B12" s="2133" t="s">
        <v>684</v>
      </c>
      <c r="D12" s="2138"/>
      <c r="E12" s="2768" t="s">
        <v>685</v>
      </c>
      <c r="G12" s="1269" t="s">
        <v>1472</v>
      </c>
      <c r="H12" s="4365" t="s">
        <v>684</v>
      </c>
      <c r="I12" s="4063"/>
      <c r="J12" s="2139" t="s">
        <v>1502</v>
      </c>
      <c r="K12" s="5105" t="s">
        <v>685</v>
      </c>
      <c r="L12" s="4758"/>
    </row>
    <row r="13" spans="1:12" s="1269" customFormat="1" ht="20.100000000000001" customHeight="1" x14ac:dyDescent="0.2">
      <c r="A13" s="2138"/>
      <c r="B13" s="2134" t="s">
        <v>685</v>
      </c>
      <c r="D13" s="2137" t="s">
        <v>693</v>
      </c>
      <c r="E13" s="2133" t="s">
        <v>684</v>
      </c>
      <c r="F13" s="4758"/>
      <c r="H13" s="2134" t="s">
        <v>685</v>
      </c>
      <c r="I13" s="4063"/>
      <c r="J13" s="2137" t="s">
        <v>860</v>
      </c>
      <c r="K13" s="2133" t="s">
        <v>685</v>
      </c>
      <c r="L13" s="4758"/>
    </row>
    <row r="14" spans="1:12" s="1269" customFormat="1" ht="20.100000000000001" customHeight="1" x14ac:dyDescent="0.2">
      <c r="A14" s="2141" t="s">
        <v>690</v>
      </c>
      <c r="B14" s="2133" t="s">
        <v>684</v>
      </c>
      <c r="D14" s="2138"/>
      <c r="E14" s="2134" t="s">
        <v>685</v>
      </c>
      <c r="F14" s="4758"/>
      <c r="G14" s="5637" t="s">
        <v>1473</v>
      </c>
      <c r="H14" s="2133" t="s">
        <v>684</v>
      </c>
      <c r="I14" s="4758"/>
      <c r="J14" s="2140" t="s">
        <v>703</v>
      </c>
      <c r="K14" s="2158" t="s">
        <v>685</v>
      </c>
      <c r="L14" s="4758"/>
    </row>
    <row r="15" spans="1:12" s="1269" customFormat="1" ht="20.100000000000001" customHeight="1" x14ac:dyDescent="0.2">
      <c r="A15" s="2138"/>
      <c r="B15" s="2134" t="s">
        <v>685</v>
      </c>
      <c r="D15" s="2137" t="s">
        <v>694</v>
      </c>
      <c r="E15" s="2133" t="s">
        <v>684</v>
      </c>
      <c r="F15" s="4758"/>
      <c r="G15" s="5636"/>
      <c r="H15" s="2134" t="s">
        <v>685</v>
      </c>
      <c r="I15" s="4758"/>
      <c r="J15" s="2139" t="s">
        <v>1577</v>
      </c>
      <c r="K15" s="5105" t="s">
        <v>51</v>
      </c>
    </row>
    <row r="16" spans="1:12" s="1269" customFormat="1" ht="20.100000000000001" customHeight="1" x14ac:dyDescent="0.2">
      <c r="A16" s="2141" t="s">
        <v>691</v>
      </c>
      <c r="B16" s="2133" t="s">
        <v>685</v>
      </c>
      <c r="D16" s="2138"/>
      <c r="E16" s="2134" t="s">
        <v>685</v>
      </c>
      <c r="F16" s="4758"/>
      <c r="G16" s="5637" t="s">
        <v>1474</v>
      </c>
      <c r="H16" s="2133" t="s">
        <v>684</v>
      </c>
      <c r="I16" s="4758"/>
      <c r="J16" s="2139" t="s">
        <v>704</v>
      </c>
      <c r="K16" s="2135" t="s">
        <v>51</v>
      </c>
      <c r="L16" s="4758"/>
    </row>
    <row r="17" spans="1:12" s="1269" customFormat="1" ht="20.100000000000001" customHeight="1" x14ac:dyDescent="0.2">
      <c r="A17" s="2138" t="s">
        <v>743</v>
      </c>
      <c r="B17" s="2134" t="s">
        <v>685</v>
      </c>
      <c r="C17" s="4758"/>
      <c r="D17" s="2141" t="s">
        <v>1203</v>
      </c>
      <c r="E17" s="2136" t="s">
        <v>51</v>
      </c>
      <c r="G17" s="5636"/>
      <c r="H17" s="2134" t="s">
        <v>685</v>
      </c>
      <c r="I17" s="4758"/>
      <c r="J17" s="2141"/>
      <c r="K17" s="2136"/>
      <c r="L17" s="4758"/>
    </row>
    <row r="18" spans="1:12" s="1269" customFormat="1" ht="20.100000000000001" customHeight="1" x14ac:dyDescent="0.2">
      <c r="A18" s="2141" t="s">
        <v>692</v>
      </c>
      <c r="B18" s="2133" t="s">
        <v>684</v>
      </c>
      <c r="C18" s="4758"/>
      <c r="D18" s="2138"/>
      <c r="E18" s="2134" t="s">
        <v>1202</v>
      </c>
      <c r="G18" s="5637" t="s">
        <v>1475</v>
      </c>
      <c r="H18" s="2133" t="s">
        <v>684</v>
      </c>
      <c r="I18" s="4758"/>
      <c r="J18" s="2141"/>
      <c r="K18" s="2136"/>
    </row>
    <row r="19" spans="1:12" s="1269" customFormat="1" ht="20.100000000000001" customHeight="1" x14ac:dyDescent="0.2">
      <c r="A19" s="2138"/>
      <c r="B19" s="2134" t="s">
        <v>685</v>
      </c>
      <c r="G19" s="5636"/>
      <c r="H19" s="2134" t="s">
        <v>685</v>
      </c>
      <c r="I19" s="4758"/>
    </row>
    <row r="20" spans="1:12" s="1269" customFormat="1" ht="20.100000000000001" customHeight="1" thickBot="1" x14ac:dyDescent="0.25">
      <c r="A20" s="2141" t="s">
        <v>693</v>
      </c>
      <c r="B20" s="2133" t="s">
        <v>684</v>
      </c>
      <c r="G20" s="5637" t="s">
        <v>1476</v>
      </c>
      <c r="H20" s="2133" t="s">
        <v>684</v>
      </c>
      <c r="I20" s="4758"/>
      <c r="J20" s="5639" t="s">
        <v>740</v>
      </c>
      <c r="K20" s="5639"/>
    </row>
    <row r="21" spans="1:12" s="1269" customFormat="1" ht="20.100000000000001" customHeight="1" x14ac:dyDescent="0.2">
      <c r="A21" s="2141"/>
      <c r="B21" s="2133" t="s">
        <v>685</v>
      </c>
      <c r="C21" s="4758"/>
      <c r="G21" s="5636"/>
      <c r="H21" s="2134" t="s">
        <v>685</v>
      </c>
      <c r="I21" s="4758"/>
      <c r="J21" s="5523" t="s">
        <v>1705</v>
      </c>
      <c r="K21" s="5524" t="s">
        <v>60</v>
      </c>
    </row>
    <row r="22" spans="1:12" s="1269" customFormat="1" x14ac:dyDescent="0.2">
      <c r="A22" s="2138"/>
      <c r="B22" s="2134" t="s">
        <v>686</v>
      </c>
      <c r="C22" s="4758"/>
      <c r="G22" s="5637" t="s">
        <v>1477</v>
      </c>
      <c r="H22" s="2133" t="s">
        <v>684</v>
      </c>
      <c r="I22" s="4356"/>
      <c r="J22" s="2137" t="s">
        <v>705</v>
      </c>
      <c r="K22" s="2133" t="s">
        <v>699</v>
      </c>
      <c r="L22" s="4758"/>
    </row>
    <row r="23" spans="1:12" s="1269" customFormat="1" ht="20.100000000000001" customHeight="1" x14ac:dyDescent="0.2">
      <c r="A23" s="2141" t="s">
        <v>694</v>
      </c>
      <c r="B23" s="2133" t="s">
        <v>684</v>
      </c>
      <c r="C23" s="4758"/>
      <c r="G23" s="5636"/>
      <c r="H23" s="2134" t="s">
        <v>685</v>
      </c>
      <c r="I23" s="4356"/>
      <c r="J23" s="2138"/>
      <c r="K23" s="2134" t="s">
        <v>700</v>
      </c>
      <c r="L23" s="4758"/>
    </row>
    <row r="24" spans="1:12" s="1269" customFormat="1" ht="20.100000000000001" customHeight="1" x14ac:dyDescent="0.2">
      <c r="A24" s="2138"/>
      <c r="B24" s="2134" t="s">
        <v>685</v>
      </c>
      <c r="C24" s="4758"/>
      <c r="G24" s="5640" t="s">
        <v>1478</v>
      </c>
      <c r="H24" s="2133" t="s">
        <v>684</v>
      </c>
      <c r="I24" s="4356"/>
      <c r="J24" s="2139" t="s">
        <v>706</v>
      </c>
      <c r="K24" s="2135" t="s">
        <v>685</v>
      </c>
      <c r="L24" s="4051"/>
    </row>
    <row r="25" spans="1:12" s="1269" customFormat="1" ht="20.100000000000001" customHeight="1" x14ac:dyDescent="0.2">
      <c r="A25" s="2141" t="s">
        <v>695</v>
      </c>
      <c r="B25" s="2133" t="s">
        <v>684</v>
      </c>
      <c r="C25" s="4758"/>
      <c r="G25" s="5631"/>
      <c r="H25" s="2134" t="s">
        <v>685</v>
      </c>
      <c r="I25" s="4356"/>
      <c r="J25" s="2138" t="s">
        <v>707</v>
      </c>
      <c r="K25" s="2134" t="s">
        <v>51</v>
      </c>
      <c r="L25" s="4051"/>
    </row>
    <row r="26" spans="1:12" s="1269" customFormat="1" ht="20.100000000000001" customHeight="1" x14ac:dyDescent="0.2">
      <c r="A26" s="2138"/>
      <c r="B26" s="2134" t="s">
        <v>685</v>
      </c>
      <c r="C26" s="4758"/>
      <c r="G26" s="5630" t="s">
        <v>1481</v>
      </c>
      <c r="H26" s="3355" t="s">
        <v>684</v>
      </c>
      <c r="I26" s="4758"/>
      <c r="J26" s="1269" t="s">
        <v>1676</v>
      </c>
      <c r="K26" s="2135" t="s">
        <v>60</v>
      </c>
      <c r="L26" s="4758"/>
    </row>
    <row r="27" spans="1:12" s="1269" customFormat="1" ht="20.100000000000001" customHeight="1" x14ac:dyDescent="0.2">
      <c r="A27" s="5628" t="s">
        <v>696</v>
      </c>
      <c r="B27" s="2133" t="s">
        <v>684</v>
      </c>
      <c r="C27" s="4758"/>
      <c r="G27" s="5631"/>
      <c r="H27" s="2134"/>
      <c r="I27" s="4758"/>
      <c r="J27" s="4268" t="s">
        <v>1398</v>
      </c>
      <c r="K27" s="2134" t="s">
        <v>1399</v>
      </c>
      <c r="L27" s="4758"/>
    </row>
    <row r="28" spans="1:12" s="1269" customFormat="1" ht="20.100000000000001" customHeight="1" x14ac:dyDescent="0.2">
      <c r="A28" s="5629"/>
      <c r="B28" s="2133" t="s">
        <v>685</v>
      </c>
      <c r="C28" s="4758"/>
      <c r="G28" s="5635" t="s">
        <v>1479</v>
      </c>
      <c r="H28" s="2133" t="s">
        <v>684</v>
      </c>
      <c r="I28" s="4758"/>
      <c r="L28" s="4758"/>
    </row>
    <row r="29" spans="1:12" s="1269" customFormat="1" ht="20.100000000000001" customHeight="1" x14ac:dyDescent="0.2">
      <c r="A29" s="2138"/>
      <c r="B29" s="2134" t="s">
        <v>1483</v>
      </c>
      <c r="C29" s="4758"/>
      <c r="G29" s="5636"/>
      <c r="H29" s="2134"/>
      <c r="I29" s="4758"/>
    </row>
    <row r="30" spans="1:12" s="1269" customFormat="1" ht="20.100000000000001" customHeight="1" x14ac:dyDescent="0.2">
      <c r="A30" s="2139" t="s">
        <v>697</v>
      </c>
      <c r="B30" s="2135" t="s">
        <v>685</v>
      </c>
      <c r="C30" s="4758"/>
      <c r="G30" s="5635" t="s">
        <v>1480</v>
      </c>
      <c r="H30" s="2133" t="s">
        <v>684</v>
      </c>
      <c r="I30" s="4758"/>
    </row>
    <row r="31" spans="1:12" s="1269" customFormat="1" ht="20.100000000000001" customHeight="1" x14ac:dyDescent="0.2">
      <c r="A31" s="3354" t="s">
        <v>1203</v>
      </c>
      <c r="B31" s="3355" t="s">
        <v>51</v>
      </c>
      <c r="C31" s="4758"/>
      <c r="G31" s="5636"/>
      <c r="H31" s="2134"/>
      <c r="I31" s="4758"/>
    </row>
    <row r="32" spans="1:12" s="1269" customFormat="1" ht="20.100000000000001" customHeight="1" x14ac:dyDescent="0.2">
      <c r="A32" s="2138"/>
      <c r="B32" s="2768" t="s">
        <v>1202</v>
      </c>
      <c r="C32" s="4759"/>
    </row>
    <row r="33" spans="1:3" s="1269" customFormat="1" ht="20.100000000000001" customHeight="1" x14ac:dyDescent="0.2">
      <c r="A33" s="2141" t="s">
        <v>741</v>
      </c>
      <c r="B33" s="2136" t="s">
        <v>736</v>
      </c>
      <c r="C33" s="4759"/>
    </row>
    <row r="34" spans="1:3" s="1269" customFormat="1" ht="20.100000000000001" customHeight="1" x14ac:dyDescent="0.2">
      <c r="A34" s="2138" t="s">
        <v>742</v>
      </c>
      <c r="B34" s="2134" t="s">
        <v>736</v>
      </c>
      <c r="C34" s="4759"/>
    </row>
    <row r="35" spans="1:3" s="1269" customFormat="1" ht="20.100000000000001" customHeight="1" x14ac:dyDescent="0.2">
      <c r="C35" s="4758"/>
    </row>
    <row r="36" spans="1:3" s="1269" customFormat="1" ht="20.100000000000001" customHeight="1" x14ac:dyDescent="0.2">
      <c r="A36" s="1984"/>
    </row>
    <row r="37" spans="1:3" s="1269" customFormat="1" ht="20.100000000000001" customHeight="1" x14ac:dyDescent="0.2">
      <c r="A37" s="2132"/>
    </row>
    <row r="38" spans="1:3" s="1269" customFormat="1" ht="20.100000000000001" customHeight="1" x14ac:dyDescent="0.2">
      <c r="A38" s="2132"/>
    </row>
    <row r="39" spans="1:3" s="1269" customFormat="1" ht="20.100000000000001" customHeight="1" x14ac:dyDescent="0.2">
      <c r="A39" s="2132"/>
    </row>
    <row r="40" spans="1:3" s="1269" customFormat="1" ht="20.100000000000001" customHeight="1" x14ac:dyDescent="0.2">
      <c r="A40" s="2132"/>
    </row>
    <row r="41" spans="1:3" s="1269" customFormat="1" ht="20.100000000000001" customHeight="1" x14ac:dyDescent="0.2">
      <c r="A41" s="2132"/>
    </row>
    <row r="42" spans="1:3" s="1269" customFormat="1" ht="20.100000000000001" customHeight="1" x14ac:dyDescent="0.2">
      <c r="A42" s="2132"/>
    </row>
    <row r="43" spans="1:3" s="1269" customFormat="1" ht="20.100000000000001" customHeight="1" x14ac:dyDescent="0.2">
      <c r="A43" s="2132"/>
    </row>
    <row r="44" spans="1:3" s="1269" customFormat="1" ht="20.100000000000001" customHeight="1" x14ac:dyDescent="0.2">
      <c r="A44" s="2132"/>
    </row>
    <row r="45" spans="1:3" s="1269" customFormat="1" ht="20.100000000000001" customHeight="1" x14ac:dyDescent="0.2">
      <c r="A45" s="2132"/>
    </row>
    <row r="46" spans="1:3" s="1269" customFormat="1" ht="20.100000000000001" customHeight="1" x14ac:dyDescent="0.2">
      <c r="A46" s="2132"/>
    </row>
    <row r="47" spans="1:3" s="1269" customFormat="1" ht="20.100000000000001" customHeight="1" x14ac:dyDescent="0.2">
      <c r="A47" s="2132"/>
    </row>
    <row r="48" spans="1:3" s="1269" customFormat="1" ht="20.100000000000001" customHeight="1" x14ac:dyDescent="0.2">
      <c r="A48" s="2132"/>
    </row>
    <row r="49" spans="1:1" s="1269" customFormat="1" ht="20.100000000000001" customHeight="1" x14ac:dyDescent="0.2">
      <c r="A49" s="1984"/>
    </row>
    <row r="50" spans="1:1" s="1269" customFormat="1" ht="20.100000000000001" customHeight="1" x14ac:dyDescent="0.2">
      <c r="A50" s="1984"/>
    </row>
    <row r="51" spans="1:1" s="1269" customFormat="1" ht="20.100000000000001" customHeight="1" x14ac:dyDescent="0.2">
      <c r="A51" s="1984"/>
    </row>
    <row r="52" spans="1:1" s="1269" customFormat="1" ht="20.100000000000001" customHeight="1" x14ac:dyDescent="0.2">
      <c r="A52" s="1984"/>
    </row>
    <row r="53" spans="1:1" s="1269" customFormat="1" ht="20.100000000000001" customHeight="1" x14ac:dyDescent="0.2">
      <c r="A53" s="1984"/>
    </row>
    <row r="54" spans="1:1" s="1269" customFormat="1" ht="20.100000000000001" customHeight="1" x14ac:dyDescent="0.2">
      <c r="A54" s="1984"/>
    </row>
    <row r="55" spans="1:1" s="1269" customFormat="1" ht="20.100000000000001" customHeight="1" x14ac:dyDescent="0.2">
      <c r="A55" s="1984"/>
    </row>
    <row r="56" spans="1:1" s="1269" customFormat="1" ht="20.100000000000001" customHeight="1" x14ac:dyDescent="0.2">
      <c r="A56" s="1984"/>
    </row>
    <row r="57" spans="1:1" s="1269" customFormat="1" ht="20.100000000000001" customHeight="1" x14ac:dyDescent="0.2">
      <c r="A57" s="1984"/>
    </row>
    <row r="58" spans="1:1" s="1269" customFormat="1" ht="20.100000000000001" customHeight="1" x14ac:dyDescent="0.2">
      <c r="A58" s="1984"/>
    </row>
    <row r="59" spans="1:1" s="1269" customFormat="1" ht="20.100000000000001" customHeight="1" x14ac:dyDescent="0.2">
      <c r="A59" s="1984"/>
    </row>
    <row r="60" spans="1:1" s="1269" customFormat="1" ht="20.100000000000001" customHeight="1" x14ac:dyDescent="0.2">
      <c r="A60" s="1984"/>
    </row>
    <row r="61" spans="1:1" s="1269" customFormat="1" ht="20.100000000000001" customHeight="1" x14ac:dyDescent="0.2">
      <c r="A61" s="1984"/>
    </row>
    <row r="62" spans="1:1" s="1269" customFormat="1" ht="20.100000000000001" customHeight="1" x14ac:dyDescent="0.2">
      <c r="A62" s="1984"/>
    </row>
    <row r="63" spans="1:1" s="1269" customFormat="1" ht="20.100000000000001" customHeight="1" x14ac:dyDescent="0.2">
      <c r="A63" s="1984"/>
    </row>
    <row r="64" spans="1:1" s="1269" customFormat="1" ht="20.100000000000001" customHeight="1" x14ac:dyDescent="0.2">
      <c r="A64" s="1984"/>
    </row>
    <row r="65" spans="1:1" s="1269" customFormat="1" ht="20.100000000000001" customHeight="1" x14ac:dyDescent="0.2">
      <c r="A65" s="1984"/>
    </row>
    <row r="66" spans="1:1" s="1269" customFormat="1" ht="20.100000000000001" customHeight="1" x14ac:dyDescent="0.2">
      <c r="A66" s="2132"/>
    </row>
    <row r="67" spans="1:1" s="1269" customFormat="1" ht="20.100000000000001" customHeight="1" x14ac:dyDescent="0.2">
      <c r="A67" s="2132"/>
    </row>
    <row r="68" spans="1:1" s="1269" customFormat="1" ht="20.100000000000001" customHeight="1" x14ac:dyDescent="0.2">
      <c r="A68" s="2132"/>
    </row>
    <row r="69" spans="1:1" s="1269" customFormat="1" ht="20.100000000000001" customHeight="1" x14ac:dyDescent="0.2">
      <c r="A69" s="2132"/>
    </row>
    <row r="70" spans="1:1" s="1269" customFormat="1" ht="20.100000000000001" customHeight="1" x14ac:dyDescent="0.2">
      <c r="A70" s="2132"/>
    </row>
    <row r="71" spans="1:1" s="1269" customFormat="1" ht="20.100000000000001" customHeight="1" x14ac:dyDescent="0.2">
      <c r="A71" s="1984"/>
    </row>
    <row r="72" spans="1:1" s="1269" customFormat="1" ht="20.100000000000001" customHeight="1" x14ac:dyDescent="0.2">
      <c r="A72" s="1984"/>
    </row>
    <row r="73" spans="1:1" s="1269" customFormat="1" ht="20.100000000000001" customHeight="1" x14ac:dyDescent="0.2">
      <c r="A73" s="1984"/>
    </row>
    <row r="74" spans="1:1" s="1269" customFormat="1" ht="20.100000000000001" customHeight="1" x14ac:dyDescent="0.2">
      <c r="A74" s="1984"/>
    </row>
    <row r="75" spans="1:1" s="1269" customFormat="1" ht="20.100000000000001" customHeight="1" x14ac:dyDescent="0.2">
      <c r="A75" s="1984"/>
    </row>
    <row r="76" spans="1:1" s="1269" customFormat="1" ht="20.100000000000001" customHeight="1" x14ac:dyDescent="0.2">
      <c r="A76" s="1984"/>
    </row>
    <row r="77" spans="1:1" s="1269" customFormat="1" ht="20.100000000000001" customHeight="1" x14ac:dyDescent="0.2">
      <c r="A77" s="1984"/>
    </row>
    <row r="78" spans="1:1" s="1269" customFormat="1" ht="20.100000000000001" customHeight="1" x14ac:dyDescent="0.2">
      <c r="A78" s="1984"/>
    </row>
    <row r="79" spans="1:1" s="1269" customFormat="1" ht="20.100000000000001" customHeight="1" x14ac:dyDescent="0.2">
      <c r="A79" s="1984"/>
    </row>
    <row r="80" spans="1:1" s="1269" customFormat="1" ht="20.100000000000001" customHeight="1" x14ac:dyDescent="0.2">
      <c r="A80" s="1984"/>
    </row>
    <row r="81" spans="1:11" s="1269" customFormat="1" ht="20.100000000000001" customHeight="1" x14ac:dyDescent="0.2">
      <c r="A81" s="1984"/>
    </row>
    <row r="82" spans="1:11" s="1269" customFormat="1" ht="20.100000000000001" customHeight="1" x14ac:dyDescent="0.2">
      <c r="A82" s="1984"/>
    </row>
    <row r="83" spans="1:11" s="1269" customFormat="1" ht="20.100000000000001" customHeight="1" x14ac:dyDescent="0.2">
      <c r="A83" s="1984"/>
    </row>
    <row r="84" spans="1:11" s="1269" customFormat="1" ht="20.100000000000001" customHeight="1" x14ac:dyDescent="0.2">
      <c r="A84" s="1984"/>
    </row>
    <row r="85" spans="1:11" x14ac:dyDescent="0.25">
      <c r="D85" s="1269"/>
      <c r="E85" s="1269"/>
      <c r="G85" s="1269"/>
      <c r="H85" s="1269"/>
      <c r="J85" s="1269"/>
      <c r="K85" s="1269"/>
    </row>
    <row r="86" spans="1:11" x14ac:dyDescent="0.25">
      <c r="D86" s="1269"/>
      <c r="E86" s="1269"/>
      <c r="G86" s="1269"/>
      <c r="H86" s="1269"/>
      <c r="J86" s="1269"/>
      <c r="K86" s="1269"/>
    </row>
    <row r="87" spans="1:11" x14ac:dyDescent="0.25">
      <c r="D87" s="1269"/>
      <c r="E87" s="1269"/>
      <c r="G87" s="1269"/>
      <c r="H87" s="1269"/>
    </row>
    <row r="88" spans="1:11" x14ac:dyDescent="0.25">
      <c r="G88" s="1269"/>
      <c r="H88" s="1269"/>
    </row>
    <row r="89" spans="1:11" x14ac:dyDescent="0.25">
      <c r="G89" s="1269"/>
      <c r="H89" s="1269"/>
    </row>
  </sheetData>
  <sheetProtection algorithmName="SHA-512" hashValue="5R2MG9BlXKrUePKr6e/oDIJB70CPgVdJ3TTpQOmwj4Mni3a+HNmV/8u68xLScN3cao5sf7lx6GD1DIcYmm8P8A==" saltValue="QiN/9PbdpWgy9pwe6sonSw==" spinCount="100000" sheet="1" objects="1" scenarios="1"/>
  <mergeCells count="17">
    <mergeCell ref="G30:G31"/>
    <mergeCell ref="J4:K4"/>
    <mergeCell ref="J20:K20"/>
    <mergeCell ref="G18:G19"/>
    <mergeCell ref="G20:G21"/>
    <mergeCell ref="G22:G23"/>
    <mergeCell ref="G24:G25"/>
    <mergeCell ref="F1:K1"/>
    <mergeCell ref="A27:A28"/>
    <mergeCell ref="G26:G27"/>
    <mergeCell ref="A4:B4"/>
    <mergeCell ref="D4:E4"/>
    <mergeCell ref="G4:H4"/>
    <mergeCell ref="G6:G7"/>
    <mergeCell ref="G16:G17"/>
    <mergeCell ref="G14:G15"/>
    <mergeCell ref="G28:G29"/>
  </mergeCells>
  <hyperlinks>
    <hyperlink ref="B5" location="'Aspirantes plan'!A1" display="Plan"/>
    <hyperlink ref="B6" location="'Aspirantes uni'!A1" display="División"/>
    <hyperlink ref="B7" location="'Asp x gen'!A1" display="Género"/>
    <hyperlink ref="B8" location="'Admitidos plan'!A1" display="Plan"/>
    <hyperlink ref="B9" location="'Admitidos uni'!A1" display="División"/>
    <hyperlink ref="B11" location="'Admitidos SE'!A1" display="Socioeconómicos"/>
    <hyperlink ref="B12" location="'Inscritos plan'!A1" display="Plan"/>
    <hyperlink ref="B13" location="'Inscritos uni'!A1" display="División"/>
    <hyperlink ref="B14" location="'Matrícula plan'!A1" display="Plan"/>
    <hyperlink ref="B15" location="'Matricula uni'!A1" display="División"/>
    <hyperlink ref="B16" location="'BAJAS-DEF uni'!A1" display="División"/>
    <hyperlink ref="B17" location="'BAJAS-REG uni'!A1" display="División"/>
    <hyperlink ref="B18" location="'ACTIVOS plan'!A1" display="Plan"/>
    <hyperlink ref="B19" location="'ACTIVOS uni'!A1" display="División"/>
    <hyperlink ref="B20" location="'EGRESO plan'!A1" display="Plan"/>
    <hyperlink ref="B21" location="'EGRESO uni'!A1" display="División"/>
    <hyperlink ref="B22" location="'egresados x gen'!A1" display="Género"/>
    <hyperlink ref="B23" location="'EGRESO-ACUM plan'!A1" display="Plan"/>
    <hyperlink ref="B24" location="'EGR-ACUM uni'!A1" display="División"/>
    <hyperlink ref="B25" location="'TITULADOS plan'!A1" display="Plan"/>
    <hyperlink ref="B26" location="'TITULADOS uni'!A1" display="División"/>
    <hyperlink ref="B27" location="'TRIM EGRESO plan'!A1" display="Plan"/>
    <hyperlink ref="B28" location="'TRIM EGRESO uni'!A1" display="División"/>
    <hyperlink ref="B29" location="'TRIM PROM (1978-15)'!A1" display="1978-2016"/>
    <hyperlink ref="B30" location="'Eficiencia terminal'!A1" display="División"/>
    <hyperlink ref="B33" location="'Activos Lic-Pos'!A1" display="Gráfica"/>
    <hyperlink ref="B34" location="'Egresados Lic-Pos'!A1" display="Gráfica"/>
    <hyperlink ref="K21" location="DEPORTES!A1" display="UAM"/>
    <hyperlink ref="K22" location="'ADMI X EDAD'!A1" display="Edad"/>
    <hyperlink ref="K23" location="'ADMI X ANTIG'!A1" display="Antigüedad"/>
    <hyperlink ref="K24" location="'RECURSOS EXT'!A1" display="División"/>
    <hyperlink ref="K25" location="Convenios!A1" display="Unidad"/>
    <hyperlink ref="H6" location="' 1 Manutención plan'!A1" display="Plan"/>
    <hyperlink ref="H7" location="'1 Manutención uni'!A1" display="División"/>
    <hyperlink ref="H23" location="'9 Posg_uni'!A1" display="División"/>
    <hyperlink ref="E5" location="'ASPI POSG plan'!A1" display="Plan"/>
    <hyperlink ref="E6" location="'ASPI-POS uni'!A1" display="División"/>
    <hyperlink ref="E7" location="'INSC-POSG plan'!A1" display="Plan"/>
    <hyperlink ref="E8" location="'INSC-POSG uni'!A1" display="División"/>
    <hyperlink ref="E9" location="'MATRICULA-POS plan'!A1" display="Plan"/>
    <hyperlink ref="E10" location="'MATRICULA-POS uni'!A1" display="División"/>
    <hyperlink ref="E11" location="'ACTIVOS-POS plan'!A1" display="Plan"/>
    <hyperlink ref="E12" location="'ACTIVOS-POS uni'!A1" display="División"/>
    <hyperlink ref="E13" location="'EGRESO-POS plan'!A1" display="Plan"/>
    <hyperlink ref="E14" location="'EGRESO-POs uni'!A1" display="División"/>
    <hyperlink ref="E15" location="'EGRESO POS ACUM plan'!A1" display="Plan"/>
    <hyperlink ref="E16" location="'EGRESO-POS ACUM uni'!A1" display="División"/>
    <hyperlink ref="K5" location="'Definitivo x categoría'!A1" display="Categoria"/>
    <hyperlink ref="K6" location="'Definitivo x género'!A1" display="Género"/>
    <hyperlink ref="K7" location="'ACAD x EDAD'!A1" display="Edad"/>
    <hyperlink ref="K8" location="'ACAD x ANTIG'!A1" display="Antigüedad"/>
    <hyperlink ref="K10" location="'becas y estímulos'!A1" display="UAM"/>
    <hyperlink ref="K11" location="'PTC-GRADO'!A1" display="División"/>
    <hyperlink ref="K12" location="'PRODEP PERFIL'!A1" display="División"/>
    <hyperlink ref="K13" location="SNI!A1" display="División"/>
    <hyperlink ref="K14" location="'Cuerpos Acad'!A1" display="División"/>
    <hyperlink ref="K15" location="'Act de Investigacion'!A1" display="Unidad"/>
    <hyperlink ref="K16" location="'TIPPA PROD TOTAL'!A1" display="Unidad"/>
    <hyperlink ref="K9" location="'Alumnos x PTC'!A1" display="División"/>
    <hyperlink ref="H8" location="'2 Excelencia_plan'!A1" display="Plan"/>
    <hyperlink ref="H9" location="'2 Excelencia_uni'!A1" display="División"/>
    <hyperlink ref="H10" location="'3 Gpos Vuln_plan'!A1" display="Plan"/>
    <hyperlink ref="H11" location="'3 Gpos Vuln_uni'!A1" display="División"/>
    <hyperlink ref="H24" location="'10 Difusión_plan'!A1" display="Plan"/>
    <hyperlink ref="H25" location="'10  Difusión_uni'!A1" display="División"/>
    <hyperlink ref="H22" location="'9 Posg_plan'!A1" display="Plan"/>
    <hyperlink ref="B31" location="'Planes de Lic.'!A1" display="Unidad"/>
    <hyperlink ref="E17" location="'Planes de Posgrado'!A1" display="Unidad"/>
    <hyperlink ref="E18" location="'planes de calidad resumen'!A1" display="Resumen"/>
    <hyperlink ref="B10" location="'Admitidos x gen'!A1" display="Género"/>
    <hyperlink ref="B32" location="'Planes de calidad-Resumen'!A1" display="Resumen"/>
    <hyperlink ref="H5" location="'Becas UAM pagadas'!A1" display="UAM"/>
    <hyperlink ref="H14" location="'5 Lenguas Ext plan'!A1" display="Plan"/>
    <hyperlink ref="H15" location="'5 Lenguas Ext uni'!A1" display="División"/>
    <hyperlink ref="H16" location="'6 Mov Inter Lic plan'!A1" display="Plan"/>
    <hyperlink ref="H17" location="'6 Mov Inter Lic uni'!A1" display="División"/>
    <hyperlink ref="H18" location="'7 Mov Nal Lic plan'!A1" display="Plan"/>
    <hyperlink ref="H19" location="'7 Mov Nal Lic uni'!A1" display="División"/>
    <hyperlink ref="H20" location="'8 Partic Lic plan'!A1" display="Plan"/>
    <hyperlink ref="H21" location="'8 Partic Lic uni'!A1" display="División"/>
    <hyperlink ref="H26" location="'11-12 Movilidad Posgrado'!A1" display="Plan"/>
    <hyperlink ref="H12" location="'4 Serv Social plan'!A1" display="Plan"/>
    <hyperlink ref="H28" location="'13 Estancias Posd'!A1" display="Plan"/>
    <hyperlink ref="H30" location="'14 Superacion Acad'!A1" display="Plan"/>
    <hyperlink ref="H13" location="'4 Serv social uni'!A1" display="División"/>
    <hyperlink ref="K27" location="Transparencia!A1" display="Consultas"/>
    <hyperlink ref="K26" location="Patentes!A1" display="UAM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r:id="rId1"/>
  <rowBreaks count="1" manualBreakCount="1">
    <brk id="42" max="7" man="1"/>
  </rowBreaks>
  <colBreaks count="1" manualBreakCount="1">
    <brk id="12" max="40" man="1"/>
  </col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51"/>
  <sheetViews>
    <sheetView showGridLines="0" zoomScaleNormal="100" zoomScaleSheetLayoutView="80" workbookViewId="0">
      <pane xSplit="2" ySplit="6" topLeftCell="C7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14" style="199" customWidth="1"/>
    <col min="2" max="2" width="9.140625" style="199" bestFit="1" customWidth="1"/>
    <col min="3" max="17" width="10.7109375" style="199" customWidth="1"/>
    <col min="18" max="254" width="11.42578125" style="199"/>
    <col min="255" max="255" width="1.7109375" style="199" customWidth="1"/>
    <col min="256" max="256" width="18" style="199" bestFit="1" customWidth="1"/>
    <col min="257" max="257" width="6" style="199" bestFit="1" customWidth="1"/>
    <col min="258" max="258" width="23.5703125" style="199" customWidth="1"/>
    <col min="259" max="259" width="13.85546875" style="199" customWidth="1"/>
    <col min="260" max="263" width="13.5703125" style="199" customWidth="1"/>
    <col min="264" max="265" width="11.42578125" style="199" customWidth="1"/>
    <col min="266" max="266" width="2.85546875" style="199" customWidth="1"/>
    <col min="267" max="510" width="11.42578125" style="199"/>
    <col min="511" max="511" width="1.7109375" style="199" customWidth="1"/>
    <col min="512" max="512" width="18" style="199" bestFit="1" customWidth="1"/>
    <col min="513" max="513" width="6" style="199" bestFit="1" customWidth="1"/>
    <col min="514" max="514" width="23.5703125" style="199" customWidth="1"/>
    <col min="515" max="515" width="13.85546875" style="199" customWidth="1"/>
    <col min="516" max="519" width="13.5703125" style="199" customWidth="1"/>
    <col min="520" max="521" width="11.42578125" style="199" customWidth="1"/>
    <col min="522" max="522" width="2.85546875" style="199" customWidth="1"/>
    <col min="523" max="766" width="11.42578125" style="199"/>
    <col min="767" max="767" width="1.7109375" style="199" customWidth="1"/>
    <col min="768" max="768" width="18" style="199" bestFit="1" customWidth="1"/>
    <col min="769" max="769" width="6" style="199" bestFit="1" customWidth="1"/>
    <col min="770" max="770" width="23.5703125" style="199" customWidth="1"/>
    <col min="771" max="771" width="13.85546875" style="199" customWidth="1"/>
    <col min="772" max="775" width="13.5703125" style="199" customWidth="1"/>
    <col min="776" max="777" width="11.42578125" style="199" customWidth="1"/>
    <col min="778" max="778" width="2.85546875" style="199" customWidth="1"/>
    <col min="779" max="1022" width="11.42578125" style="199"/>
    <col min="1023" max="1023" width="1.7109375" style="199" customWidth="1"/>
    <col min="1024" max="1024" width="18" style="199" bestFit="1" customWidth="1"/>
    <col min="1025" max="1025" width="6" style="199" bestFit="1" customWidth="1"/>
    <col min="1026" max="1026" width="23.5703125" style="199" customWidth="1"/>
    <col min="1027" max="1027" width="13.85546875" style="199" customWidth="1"/>
    <col min="1028" max="1031" width="13.5703125" style="199" customWidth="1"/>
    <col min="1032" max="1033" width="11.42578125" style="199" customWidth="1"/>
    <col min="1034" max="1034" width="2.85546875" style="199" customWidth="1"/>
    <col min="1035" max="1278" width="11.42578125" style="199"/>
    <col min="1279" max="1279" width="1.7109375" style="199" customWidth="1"/>
    <col min="1280" max="1280" width="18" style="199" bestFit="1" customWidth="1"/>
    <col min="1281" max="1281" width="6" style="199" bestFit="1" customWidth="1"/>
    <col min="1282" max="1282" width="23.5703125" style="199" customWidth="1"/>
    <col min="1283" max="1283" width="13.85546875" style="199" customWidth="1"/>
    <col min="1284" max="1287" width="13.5703125" style="199" customWidth="1"/>
    <col min="1288" max="1289" width="11.42578125" style="199" customWidth="1"/>
    <col min="1290" max="1290" width="2.85546875" style="199" customWidth="1"/>
    <col min="1291" max="1534" width="11.42578125" style="199"/>
    <col min="1535" max="1535" width="1.7109375" style="199" customWidth="1"/>
    <col min="1536" max="1536" width="18" style="199" bestFit="1" customWidth="1"/>
    <col min="1537" max="1537" width="6" style="199" bestFit="1" customWidth="1"/>
    <col min="1538" max="1538" width="23.5703125" style="199" customWidth="1"/>
    <col min="1539" max="1539" width="13.85546875" style="199" customWidth="1"/>
    <col min="1540" max="1543" width="13.5703125" style="199" customWidth="1"/>
    <col min="1544" max="1545" width="11.42578125" style="199" customWidth="1"/>
    <col min="1546" max="1546" width="2.85546875" style="199" customWidth="1"/>
    <col min="1547" max="1790" width="11.42578125" style="199"/>
    <col min="1791" max="1791" width="1.7109375" style="199" customWidth="1"/>
    <col min="1792" max="1792" width="18" style="199" bestFit="1" customWidth="1"/>
    <col min="1793" max="1793" width="6" style="199" bestFit="1" customWidth="1"/>
    <col min="1794" max="1794" width="23.5703125" style="199" customWidth="1"/>
    <col min="1795" max="1795" width="13.85546875" style="199" customWidth="1"/>
    <col min="1796" max="1799" width="13.5703125" style="199" customWidth="1"/>
    <col min="1800" max="1801" width="11.42578125" style="199" customWidth="1"/>
    <col min="1802" max="1802" width="2.85546875" style="199" customWidth="1"/>
    <col min="1803" max="2046" width="11.42578125" style="199"/>
    <col min="2047" max="2047" width="1.7109375" style="199" customWidth="1"/>
    <col min="2048" max="2048" width="18" style="199" bestFit="1" customWidth="1"/>
    <col min="2049" max="2049" width="6" style="199" bestFit="1" customWidth="1"/>
    <col min="2050" max="2050" width="23.5703125" style="199" customWidth="1"/>
    <col min="2051" max="2051" width="13.85546875" style="199" customWidth="1"/>
    <col min="2052" max="2055" width="13.5703125" style="199" customWidth="1"/>
    <col min="2056" max="2057" width="11.42578125" style="199" customWidth="1"/>
    <col min="2058" max="2058" width="2.85546875" style="199" customWidth="1"/>
    <col min="2059" max="2302" width="11.42578125" style="199"/>
    <col min="2303" max="2303" width="1.7109375" style="199" customWidth="1"/>
    <col min="2304" max="2304" width="18" style="199" bestFit="1" customWidth="1"/>
    <col min="2305" max="2305" width="6" style="199" bestFit="1" customWidth="1"/>
    <col min="2306" max="2306" width="23.5703125" style="199" customWidth="1"/>
    <col min="2307" max="2307" width="13.85546875" style="199" customWidth="1"/>
    <col min="2308" max="2311" width="13.5703125" style="199" customWidth="1"/>
    <col min="2312" max="2313" width="11.42578125" style="199" customWidth="1"/>
    <col min="2314" max="2314" width="2.85546875" style="199" customWidth="1"/>
    <col min="2315" max="2558" width="11.42578125" style="199"/>
    <col min="2559" max="2559" width="1.7109375" style="199" customWidth="1"/>
    <col min="2560" max="2560" width="18" style="199" bestFit="1" customWidth="1"/>
    <col min="2561" max="2561" width="6" style="199" bestFit="1" customWidth="1"/>
    <col min="2562" max="2562" width="23.5703125" style="199" customWidth="1"/>
    <col min="2563" max="2563" width="13.85546875" style="199" customWidth="1"/>
    <col min="2564" max="2567" width="13.5703125" style="199" customWidth="1"/>
    <col min="2568" max="2569" width="11.42578125" style="199" customWidth="1"/>
    <col min="2570" max="2570" width="2.85546875" style="199" customWidth="1"/>
    <col min="2571" max="2814" width="11.42578125" style="199"/>
    <col min="2815" max="2815" width="1.7109375" style="199" customWidth="1"/>
    <col min="2816" max="2816" width="18" style="199" bestFit="1" customWidth="1"/>
    <col min="2817" max="2817" width="6" style="199" bestFit="1" customWidth="1"/>
    <col min="2818" max="2818" width="23.5703125" style="199" customWidth="1"/>
    <col min="2819" max="2819" width="13.85546875" style="199" customWidth="1"/>
    <col min="2820" max="2823" width="13.5703125" style="199" customWidth="1"/>
    <col min="2824" max="2825" width="11.42578125" style="199" customWidth="1"/>
    <col min="2826" max="2826" width="2.85546875" style="199" customWidth="1"/>
    <col min="2827" max="3070" width="11.42578125" style="199"/>
    <col min="3071" max="3071" width="1.7109375" style="199" customWidth="1"/>
    <col min="3072" max="3072" width="18" style="199" bestFit="1" customWidth="1"/>
    <col min="3073" max="3073" width="6" style="199" bestFit="1" customWidth="1"/>
    <col min="3074" max="3074" width="23.5703125" style="199" customWidth="1"/>
    <col min="3075" max="3075" width="13.85546875" style="199" customWidth="1"/>
    <col min="3076" max="3079" width="13.5703125" style="199" customWidth="1"/>
    <col min="3080" max="3081" width="11.42578125" style="199" customWidth="1"/>
    <col min="3082" max="3082" width="2.85546875" style="199" customWidth="1"/>
    <col min="3083" max="3326" width="11.42578125" style="199"/>
    <col min="3327" max="3327" width="1.7109375" style="199" customWidth="1"/>
    <col min="3328" max="3328" width="18" style="199" bestFit="1" customWidth="1"/>
    <col min="3329" max="3329" width="6" style="199" bestFit="1" customWidth="1"/>
    <col min="3330" max="3330" width="23.5703125" style="199" customWidth="1"/>
    <col min="3331" max="3331" width="13.85546875" style="199" customWidth="1"/>
    <col min="3332" max="3335" width="13.5703125" style="199" customWidth="1"/>
    <col min="3336" max="3337" width="11.42578125" style="199" customWidth="1"/>
    <col min="3338" max="3338" width="2.85546875" style="199" customWidth="1"/>
    <col min="3339" max="3582" width="11.42578125" style="199"/>
    <col min="3583" max="3583" width="1.7109375" style="199" customWidth="1"/>
    <col min="3584" max="3584" width="18" style="199" bestFit="1" customWidth="1"/>
    <col min="3585" max="3585" width="6" style="199" bestFit="1" customWidth="1"/>
    <col min="3586" max="3586" width="23.5703125" style="199" customWidth="1"/>
    <col min="3587" max="3587" width="13.85546875" style="199" customWidth="1"/>
    <col min="3588" max="3591" width="13.5703125" style="199" customWidth="1"/>
    <col min="3592" max="3593" width="11.42578125" style="199" customWidth="1"/>
    <col min="3594" max="3594" width="2.85546875" style="199" customWidth="1"/>
    <col min="3595" max="3838" width="11.42578125" style="199"/>
    <col min="3839" max="3839" width="1.7109375" style="199" customWidth="1"/>
    <col min="3840" max="3840" width="18" style="199" bestFit="1" customWidth="1"/>
    <col min="3841" max="3841" width="6" style="199" bestFit="1" customWidth="1"/>
    <col min="3842" max="3842" width="23.5703125" style="199" customWidth="1"/>
    <col min="3843" max="3843" width="13.85546875" style="199" customWidth="1"/>
    <col min="3844" max="3847" width="13.5703125" style="199" customWidth="1"/>
    <col min="3848" max="3849" width="11.42578125" style="199" customWidth="1"/>
    <col min="3850" max="3850" width="2.85546875" style="199" customWidth="1"/>
    <col min="3851" max="4094" width="11.42578125" style="199"/>
    <col min="4095" max="4095" width="1.7109375" style="199" customWidth="1"/>
    <col min="4096" max="4096" width="18" style="199" bestFit="1" customWidth="1"/>
    <col min="4097" max="4097" width="6" style="199" bestFit="1" customWidth="1"/>
    <col min="4098" max="4098" width="23.5703125" style="199" customWidth="1"/>
    <col min="4099" max="4099" width="13.85546875" style="199" customWidth="1"/>
    <col min="4100" max="4103" width="13.5703125" style="199" customWidth="1"/>
    <col min="4104" max="4105" width="11.42578125" style="199" customWidth="1"/>
    <col min="4106" max="4106" width="2.85546875" style="199" customWidth="1"/>
    <col min="4107" max="4350" width="11.42578125" style="199"/>
    <col min="4351" max="4351" width="1.7109375" style="199" customWidth="1"/>
    <col min="4352" max="4352" width="18" style="199" bestFit="1" customWidth="1"/>
    <col min="4353" max="4353" width="6" style="199" bestFit="1" customWidth="1"/>
    <col min="4354" max="4354" width="23.5703125" style="199" customWidth="1"/>
    <col min="4355" max="4355" width="13.85546875" style="199" customWidth="1"/>
    <col min="4356" max="4359" width="13.5703125" style="199" customWidth="1"/>
    <col min="4360" max="4361" width="11.42578125" style="199" customWidth="1"/>
    <col min="4362" max="4362" width="2.85546875" style="199" customWidth="1"/>
    <col min="4363" max="4606" width="11.42578125" style="199"/>
    <col min="4607" max="4607" width="1.7109375" style="199" customWidth="1"/>
    <col min="4608" max="4608" width="18" style="199" bestFit="1" customWidth="1"/>
    <col min="4609" max="4609" width="6" style="199" bestFit="1" customWidth="1"/>
    <col min="4610" max="4610" width="23.5703125" style="199" customWidth="1"/>
    <col min="4611" max="4611" width="13.85546875" style="199" customWidth="1"/>
    <col min="4612" max="4615" width="13.5703125" style="199" customWidth="1"/>
    <col min="4616" max="4617" width="11.42578125" style="199" customWidth="1"/>
    <col min="4618" max="4618" width="2.85546875" style="199" customWidth="1"/>
    <col min="4619" max="4862" width="11.42578125" style="199"/>
    <col min="4863" max="4863" width="1.7109375" style="199" customWidth="1"/>
    <col min="4864" max="4864" width="18" style="199" bestFit="1" customWidth="1"/>
    <col min="4865" max="4865" width="6" style="199" bestFit="1" customWidth="1"/>
    <col min="4866" max="4866" width="23.5703125" style="199" customWidth="1"/>
    <col min="4867" max="4867" width="13.85546875" style="199" customWidth="1"/>
    <col min="4868" max="4871" width="13.5703125" style="199" customWidth="1"/>
    <col min="4872" max="4873" width="11.42578125" style="199" customWidth="1"/>
    <col min="4874" max="4874" width="2.85546875" style="199" customWidth="1"/>
    <col min="4875" max="5118" width="11.42578125" style="199"/>
    <col min="5119" max="5119" width="1.7109375" style="199" customWidth="1"/>
    <col min="5120" max="5120" width="18" style="199" bestFit="1" customWidth="1"/>
    <col min="5121" max="5121" width="6" style="199" bestFit="1" customWidth="1"/>
    <col min="5122" max="5122" width="23.5703125" style="199" customWidth="1"/>
    <col min="5123" max="5123" width="13.85546875" style="199" customWidth="1"/>
    <col min="5124" max="5127" width="13.5703125" style="199" customWidth="1"/>
    <col min="5128" max="5129" width="11.42578125" style="199" customWidth="1"/>
    <col min="5130" max="5130" width="2.85546875" style="199" customWidth="1"/>
    <col min="5131" max="5374" width="11.42578125" style="199"/>
    <col min="5375" max="5375" width="1.7109375" style="199" customWidth="1"/>
    <col min="5376" max="5376" width="18" style="199" bestFit="1" customWidth="1"/>
    <col min="5377" max="5377" width="6" style="199" bestFit="1" customWidth="1"/>
    <col min="5378" max="5378" width="23.5703125" style="199" customWidth="1"/>
    <col min="5379" max="5379" width="13.85546875" style="199" customWidth="1"/>
    <col min="5380" max="5383" width="13.5703125" style="199" customWidth="1"/>
    <col min="5384" max="5385" width="11.42578125" style="199" customWidth="1"/>
    <col min="5386" max="5386" width="2.85546875" style="199" customWidth="1"/>
    <col min="5387" max="5630" width="11.42578125" style="199"/>
    <col min="5631" max="5631" width="1.7109375" style="199" customWidth="1"/>
    <col min="5632" max="5632" width="18" style="199" bestFit="1" customWidth="1"/>
    <col min="5633" max="5633" width="6" style="199" bestFit="1" customWidth="1"/>
    <col min="5634" max="5634" width="23.5703125" style="199" customWidth="1"/>
    <col min="5635" max="5635" width="13.85546875" style="199" customWidth="1"/>
    <col min="5636" max="5639" width="13.5703125" style="199" customWidth="1"/>
    <col min="5640" max="5641" width="11.42578125" style="199" customWidth="1"/>
    <col min="5642" max="5642" width="2.85546875" style="199" customWidth="1"/>
    <col min="5643" max="5886" width="11.42578125" style="199"/>
    <col min="5887" max="5887" width="1.7109375" style="199" customWidth="1"/>
    <col min="5888" max="5888" width="18" style="199" bestFit="1" customWidth="1"/>
    <col min="5889" max="5889" width="6" style="199" bestFit="1" customWidth="1"/>
    <col min="5890" max="5890" width="23.5703125" style="199" customWidth="1"/>
    <col min="5891" max="5891" width="13.85546875" style="199" customWidth="1"/>
    <col min="5892" max="5895" width="13.5703125" style="199" customWidth="1"/>
    <col min="5896" max="5897" width="11.42578125" style="199" customWidth="1"/>
    <col min="5898" max="5898" width="2.85546875" style="199" customWidth="1"/>
    <col min="5899" max="6142" width="11.42578125" style="199"/>
    <col min="6143" max="6143" width="1.7109375" style="199" customWidth="1"/>
    <col min="6144" max="6144" width="18" style="199" bestFit="1" customWidth="1"/>
    <col min="6145" max="6145" width="6" style="199" bestFit="1" customWidth="1"/>
    <col min="6146" max="6146" width="23.5703125" style="199" customWidth="1"/>
    <col min="6147" max="6147" width="13.85546875" style="199" customWidth="1"/>
    <col min="6148" max="6151" width="13.5703125" style="199" customWidth="1"/>
    <col min="6152" max="6153" width="11.42578125" style="199" customWidth="1"/>
    <col min="6154" max="6154" width="2.85546875" style="199" customWidth="1"/>
    <col min="6155" max="6398" width="11.42578125" style="199"/>
    <col min="6399" max="6399" width="1.7109375" style="199" customWidth="1"/>
    <col min="6400" max="6400" width="18" style="199" bestFit="1" customWidth="1"/>
    <col min="6401" max="6401" width="6" style="199" bestFit="1" customWidth="1"/>
    <col min="6402" max="6402" width="23.5703125" style="199" customWidth="1"/>
    <col min="6403" max="6403" width="13.85546875" style="199" customWidth="1"/>
    <col min="6404" max="6407" width="13.5703125" style="199" customWidth="1"/>
    <col min="6408" max="6409" width="11.42578125" style="199" customWidth="1"/>
    <col min="6410" max="6410" width="2.85546875" style="199" customWidth="1"/>
    <col min="6411" max="6654" width="11.42578125" style="199"/>
    <col min="6655" max="6655" width="1.7109375" style="199" customWidth="1"/>
    <col min="6656" max="6656" width="18" style="199" bestFit="1" customWidth="1"/>
    <col min="6657" max="6657" width="6" style="199" bestFit="1" customWidth="1"/>
    <col min="6658" max="6658" width="23.5703125" style="199" customWidth="1"/>
    <col min="6659" max="6659" width="13.85546875" style="199" customWidth="1"/>
    <col min="6660" max="6663" width="13.5703125" style="199" customWidth="1"/>
    <col min="6664" max="6665" width="11.42578125" style="199" customWidth="1"/>
    <col min="6666" max="6666" width="2.85546875" style="199" customWidth="1"/>
    <col min="6667" max="6910" width="11.42578125" style="199"/>
    <col min="6911" max="6911" width="1.7109375" style="199" customWidth="1"/>
    <col min="6912" max="6912" width="18" style="199" bestFit="1" customWidth="1"/>
    <col min="6913" max="6913" width="6" style="199" bestFit="1" customWidth="1"/>
    <col min="6914" max="6914" width="23.5703125" style="199" customWidth="1"/>
    <col min="6915" max="6915" width="13.85546875" style="199" customWidth="1"/>
    <col min="6916" max="6919" width="13.5703125" style="199" customWidth="1"/>
    <col min="6920" max="6921" width="11.42578125" style="199" customWidth="1"/>
    <col min="6922" max="6922" width="2.85546875" style="199" customWidth="1"/>
    <col min="6923" max="7166" width="11.42578125" style="199"/>
    <col min="7167" max="7167" width="1.7109375" style="199" customWidth="1"/>
    <col min="7168" max="7168" width="18" style="199" bestFit="1" customWidth="1"/>
    <col min="7169" max="7169" width="6" style="199" bestFit="1" customWidth="1"/>
    <col min="7170" max="7170" width="23.5703125" style="199" customWidth="1"/>
    <col min="7171" max="7171" width="13.85546875" style="199" customWidth="1"/>
    <col min="7172" max="7175" width="13.5703125" style="199" customWidth="1"/>
    <col min="7176" max="7177" width="11.42578125" style="199" customWidth="1"/>
    <col min="7178" max="7178" width="2.85546875" style="199" customWidth="1"/>
    <col min="7179" max="7422" width="11.42578125" style="199"/>
    <col min="7423" max="7423" width="1.7109375" style="199" customWidth="1"/>
    <col min="7424" max="7424" width="18" style="199" bestFit="1" customWidth="1"/>
    <col min="7425" max="7425" width="6" style="199" bestFit="1" customWidth="1"/>
    <col min="7426" max="7426" width="23.5703125" style="199" customWidth="1"/>
    <col min="7427" max="7427" width="13.85546875" style="199" customWidth="1"/>
    <col min="7428" max="7431" width="13.5703125" style="199" customWidth="1"/>
    <col min="7432" max="7433" width="11.42578125" style="199" customWidth="1"/>
    <col min="7434" max="7434" width="2.85546875" style="199" customWidth="1"/>
    <col min="7435" max="7678" width="11.42578125" style="199"/>
    <col min="7679" max="7679" width="1.7109375" style="199" customWidth="1"/>
    <col min="7680" max="7680" width="18" style="199" bestFit="1" customWidth="1"/>
    <col min="7681" max="7681" width="6" style="199" bestFit="1" customWidth="1"/>
    <col min="7682" max="7682" width="23.5703125" style="199" customWidth="1"/>
    <col min="7683" max="7683" width="13.85546875" style="199" customWidth="1"/>
    <col min="7684" max="7687" width="13.5703125" style="199" customWidth="1"/>
    <col min="7688" max="7689" width="11.42578125" style="199" customWidth="1"/>
    <col min="7690" max="7690" width="2.85546875" style="199" customWidth="1"/>
    <col min="7691" max="7934" width="11.42578125" style="199"/>
    <col min="7935" max="7935" width="1.7109375" style="199" customWidth="1"/>
    <col min="7936" max="7936" width="18" style="199" bestFit="1" customWidth="1"/>
    <col min="7937" max="7937" width="6" style="199" bestFit="1" customWidth="1"/>
    <col min="7938" max="7938" width="23.5703125" style="199" customWidth="1"/>
    <col min="7939" max="7939" width="13.85546875" style="199" customWidth="1"/>
    <col min="7940" max="7943" width="13.5703125" style="199" customWidth="1"/>
    <col min="7944" max="7945" width="11.42578125" style="199" customWidth="1"/>
    <col min="7946" max="7946" width="2.85546875" style="199" customWidth="1"/>
    <col min="7947" max="8190" width="11.42578125" style="199"/>
    <col min="8191" max="8191" width="1.7109375" style="199" customWidth="1"/>
    <col min="8192" max="8192" width="18" style="199" bestFit="1" customWidth="1"/>
    <col min="8193" max="8193" width="6" style="199" bestFit="1" customWidth="1"/>
    <col min="8194" max="8194" width="23.5703125" style="199" customWidth="1"/>
    <col min="8195" max="8195" width="13.85546875" style="199" customWidth="1"/>
    <col min="8196" max="8199" width="13.5703125" style="199" customWidth="1"/>
    <col min="8200" max="8201" width="11.42578125" style="199" customWidth="1"/>
    <col min="8202" max="8202" width="2.85546875" style="199" customWidth="1"/>
    <col min="8203" max="8446" width="11.42578125" style="199"/>
    <col min="8447" max="8447" width="1.7109375" style="199" customWidth="1"/>
    <col min="8448" max="8448" width="18" style="199" bestFit="1" customWidth="1"/>
    <col min="8449" max="8449" width="6" style="199" bestFit="1" customWidth="1"/>
    <col min="8450" max="8450" width="23.5703125" style="199" customWidth="1"/>
    <col min="8451" max="8451" width="13.85546875" style="199" customWidth="1"/>
    <col min="8452" max="8455" width="13.5703125" style="199" customWidth="1"/>
    <col min="8456" max="8457" width="11.42578125" style="199" customWidth="1"/>
    <col min="8458" max="8458" width="2.85546875" style="199" customWidth="1"/>
    <col min="8459" max="8702" width="11.42578125" style="199"/>
    <col min="8703" max="8703" width="1.7109375" style="199" customWidth="1"/>
    <col min="8704" max="8704" width="18" style="199" bestFit="1" customWidth="1"/>
    <col min="8705" max="8705" width="6" style="199" bestFit="1" customWidth="1"/>
    <col min="8706" max="8706" width="23.5703125" style="199" customWidth="1"/>
    <col min="8707" max="8707" width="13.85546875" style="199" customWidth="1"/>
    <col min="8708" max="8711" width="13.5703125" style="199" customWidth="1"/>
    <col min="8712" max="8713" width="11.42578125" style="199" customWidth="1"/>
    <col min="8714" max="8714" width="2.85546875" style="199" customWidth="1"/>
    <col min="8715" max="8958" width="11.42578125" style="199"/>
    <col min="8959" max="8959" width="1.7109375" style="199" customWidth="1"/>
    <col min="8960" max="8960" width="18" style="199" bestFit="1" customWidth="1"/>
    <col min="8961" max="8961" width="6" style="199" bestFit="1" customWidth="1"/>
    <col min="8962" max="8962" width="23.5703125" style="199" customWidth="1"/>
    <col min="8963" max="8963" width="13.85546875" style="199" customWidth="1"/>
    <col min="8964" max="8967" width="13.5703125" style="199" customWidth="1"/>
    <col min="8968" max="8969" width="11.42578125" style="199" customWidth="1"/>
    <col min="8970" max="8970" width="2.85546875" style="199" customWidth="1"/>
    <col min="8971" max="9214" width="11.42578125" style="199"/>
    <col min="9215" max="9215" width="1.7109375" style="199" customWidth="1"/>
    <col min="9216" max="9216" width="18" style="199" bestFit="1" customWidth="1"/>
    <col min="9217" max="9217" width="6" style="199" bestFit="1" customWidth="1"/>
    <col min="9218" max="9218" width="23.5703125" style="199" customWidth="1"/>
    <col min="9219" max="9219" width="13.85546875" style="199" customWidth="1"/>
    <col min="9220" max="9223" width="13.5703125" style="199" customWidth="1"/>
    <col min="9224" max="9225" width="11.42578125" style="199" customWidth="1"/>
    <col min="9226" max="9226" width="2.85546875" style="199" customWidth="1"/>
    <col min="9227" max="9470" width="11.42578125" style="199"/>
    <col min="9471" max="9471" width="1.7109375" style="199" customWidth="1"/>
    <col min="9472" max="9472" width="18" style="199" bestFit="1" customWidth="1"/>
    <col min="9473" max="9473" width="6" style="199" bestFit="1" customWidth="1"/>
    <col min="9474" max="9474" width="23.5703125" style="199" customWidth="1"/>
    <col min="9475" max="9475" width="13.85546875" style="199" customWidth="1"/>
    <col min="9476" max="9479" width="13.5703125" style="199" customWidth="1"/>
    <col min="9480" max="9481" width="11.42578125" style="199" customWidth="1"/>
    <col min="9482" max="9482" width="2.85546875" style="199" customWidth="1"/>
    <col min="9483" max="9726" width="11.42578125" style="199"/>
    <col min="9727" max="9727" width="1.7109375" style="199" customWidth="1"/>
    <col min="9728" max="9728" width="18" style="199" bestFit="1" customWidth="1"/>
    <col min="9729" max="9729" width="6" style="199" bestFit="1" customWidth="1"/>
    <col min="9730" max="9730" width="23.5703125" style="199" customWidth="1"/>
    <col min="9731" max="9731" width="13.85546875" style="199" customWidth="1"/>
    <col min="9732" max="9735" width="13.5703125" style="199" customWidth="1"/>
    <col min="9736" max="9737" width="11.42578125" style="199" customWidth="1"/>
    <col min="9738" max="9738" width="2.85546875" style="199" customWidth="1"/>
    <col min="9739" max="9982" width="11.42578125" style="199"/>
    <col min="9983" max="9983" width="1.7109375" style="199" customWidth="1"/>
    <col min="9984" max="9984" width="18" style="199" bestFit="1" customWidth="1"/>
    <col min="9985" max="9985" width="6" style="199" bestFit="1" customWidth="1"/>
    <col min="9986" max="9986" width="23.5703125" style="199" customWidth="1"/>
    <col min="9987" max="9987" width="13.85546875" style="199" customWidth="1"/>
    <col min="9988" max="9991" width="13.5703125" style="199" customWidth="1"/>
    <col min="9992" max="9993" width="11.42578125" style="199" customWidth="1"/>
    <col min="9994" max="9994" width="2.85546875" style="199" customWidth="1"/>
    <col min="9995" max="10238" width="11.42578125" style="199"/>
    <col min="10239" max="10239" width="1.7109375" style="199" customWidth="1"/>
    <col min="10240" max="10240" width="18" style="199" bestFit="1" customWidth="1"/>
    <col min="10241" max="10241" width="6" style="199" bestFit="1" customWidth="1"/>
    <col min="10242" max="10242" width="23.5703125" style="199" customWidth="1"/>
    <col min="10243" max="10243" width="13.85546875" style="199" customWidth="1"/>
    <col min="10244" max="10247" width="13.5703125" style="199" customWidth="1"/>
    <col min="10248" max="10249" width="11.42578125" style="199" customWidth="1"/>
    <col min="10250" max="10250" width="2.85546875" style="199" customWidth="1"/>
    <col min="10251" max="10494" width="11.42578125" style="199"/>
    <col min="10495" max="10495" width="1.7109375" style="199" customWidth="1"/>
    <col min="10496" max="10496" width="18" style="199" bestFit="1" customWidth="1"/>
    <col min="10497" max="10497" width="6" style="199" bestFit="1" customWidth="1"/>
    <col min="10498" max="10498" width="23.5703125" style="199" customWidth="1"/>
    <col min="10499" max="10499" width="13.85546875" style="199" customWidth="1"/>
    <col min="10500" max="10503" width="13.5703125" style="199" customWidth="1"/>
    <col min="10504" max="10505" width="11.42578125" style="199" customWidth="1"/>
    <col min="10506" max="10506" width="2.85546875" style="199" customWidth="1"/>
    <col min="10507" max="10750" width="11.42578125" style="199"/>
    <col min="10751" max="10751" width="1.7109375" style="199" customWidth="1"/>
    <col min="10752" max="10752" width="18" style="199" bestFit="1" customWidth="1"/>
    <col min="10753" max="10753" width="6" style="199" bestFit="1" customWidth="1"/>
    <col min="10754" max="10754" width="23.5703125" style="199" customWidth="1"/>
    <col min="10755" max="10755" width="13.85546875" style="199" customWidth="1"/>
    <col min="10756" max="10759" width="13.5703125" style="199" customWidth="1"/>
    <col min="10760" max="10761" width="11.42578125" style="199" customWidth="1"/>
    <col min="10762" max="10762" width="2.85546875" style="199" customWidth="1"/>
    <col min="10763" max="11006" width="11.42578125" style="199"/>
    <col min="11007" max="11007" width="1.7109375" style="199" customWidth="1"/>
    <col min="11008" max="11008" width="18" style="199" bestFit="1" customWidth="1"/>
    <col min="11009" max="11009" width="6" style="199" bestFit="1" customWidth="1"/>
    <col min="11010" max="11010" width="23.5703125" style="199" customWidth="1"/>
    <col min="11011" max="11011" width="13.85546875" style="199" customWidth="1"/>
    <col min="11012" max="11015" width="13.5703125" style="199" customWidth="1"/>
    <col min="11016" max="11017" width="11.42578125" style="199" customWidth="1"/>
    <col min="11018" max="11018" width="2.85546875" style="199" customWidth="1"/>
    <col min="11019" max="11262" width="11.42578125" style="199"/>
    <col min="11263" max="11263" width="1.7109375" style="199" customWidth="1"/>
    <col min="11264" max="11264" width="18" style="199" bestFit="1" customWidth="1"/>
    <col min="11265" max="11265" width="6" style="199" bestFit="1" customWidth="1"/>
    <col min="11266" max="11266" width="23.5703125" style="199" customWidth="1"/>
    <col min="11267" max="11267" width="13.85546875" style="199" customWidth="1"/>
    <col min="11268" max="11271" width="13.5703125" style="199" customWidth="1"/>
    <col min="11272" max="11273" width="11.42578125" style="199" customWidth="1"/>
    <col min="11274" max="11274" width="2.85546875" style="199" customWidth="1"/>
    <col min="11275" max="11518" width="11.42578125" style="199"/>
    <col min="11519" max="11519" width="1.7109375" style="199" customWidth="1"/>
    <col min="11520" max="11520" width="18" style="199" bestFit="1" customWidth="1"/>
    <col min="11521" max="11521" width="6" style="199" bestFit="1" customWidth="1"/>
    <col min="11522" max="11522" width="23.5703125" style="199" customWidth="1"/>
    <col min="11523" max="11523" width="13.85546875" style="199" customWidth="1"/>
    <col min="11524" max="11527" width="13.5703125" style="199" customWidth="1"/>
    <col min="11528" max="11529" width="11.42578125" style="199" customWidth="1"/>
    <col min="11530" max="11530" width="2.85546875" style="199" customWidth="1"/>
    <col min="11531" max="11774" width="11.42578125" style="199"/>
    <col min="11775" max="11775" width="1.7109375" style="199" customWidth="1"/>
    <col min="11776" max="11776" width="18" style="199" bestFit="1" customWidth="1"/>
    <col min="11777" max="11777" width="6" style="199" bestFit="1" customWidth="1"/>
    <col min="11778" max="11778" width="23.5703125" style="199" customWidth="1"/>
    <col min="11779" max="11779" width="13.85546875" style="199" customWidth="1"/>
    <col min="11780" max="11783" width="13.5703125" style="199" customWidth="1"/>
    <col min="11784" max="11785" width="11.42578125" style="199" customWidth="1"/>
    <col min="11786" max="11786" width="2.85546875" style="199" customWidth="1"/>
    <col min="11787" max="12030" width="11.42578125" style="199"/>
    <col min="12031" max="12031" width="1.7109375" style="199" customWidth="1"/>
    <col min="12032" max="12032" width="18" style="199" bestFit="1" customWidth="1"/>
    <col min="12033" max="12033" width="6" style="199" bestFit="1" customWidth="1"/>
    <col min="12034" max="12034" width="23.5703125" style="199" customWidth="1"/>
    <col min="12035" max="12035" width="13.85546875" style="199" customWidth="1"/>
    <col min="12036" max="12039" width="13.5703125" style="199" customWidth="1"/>
    <col min="12040" max="12041" width="11.42578125" style="199" customWidth="1"/>
    <col min="12042" max="12042" width="2.85546875" style="199" customWidth="1"/>
    <col min="12043" max="12286" width="11.42578125" style="199"/>
    <col min="12287" max="12287" width="1.7109375" style="199" customWidth="1"/>
    <col min="12288" max="12288" width="18" style="199" bestFit="1" customWidth="1"/>
    <col min="12289" max="12289" width="6" style="199" bestFit="1" customWidth="1"/>
    <col min="12290" max="12290" width="23.5703125" style="199" customWidth="1"/>
    <col min="12291" max="12291" width="13.85546875" style="199" customWidth="1"/>
    <col min="12292" max="12295" width="13.5703125" style="199" customWidth="1"/>
    <col min="12296" max="12297" width="11.42578125" style="199" customWidth="1"/>
    <col min="12298" max="12298" width="2.85546875" style="199" customWidth="1"/>
    <col min="12299" max="12542" width="11.42578125" style="199"/>
    <col min="12543" max="12543" width="1.7109375" style="199" customWidth="1"/>
    <col min="12544" max="12544" width="18" style="199" bestFit="1" customWidth="1"/>
    <col min="12545" max="12545" width="6" style="199" bestFit="1" customWidth="1"/>
    <col min="12546" max="12546" width="23.5703125" style="199" customWidth="1"/>
    <col min="12547" max="12547" width="13.85546875" style="199" customWidth="1"/>
    <col min="12548" max="12551" width="13.5703125" style="199" customWidth="1"/>
    <col min="12552" max="12553" width="11.42578125" style="199" customWidth="1"/>
    <col min="12554" max="12554" width="2.85546875" style="199" customWidth="1"/>
    <col min="12555" max="12798" width="11.42578125" style="199"/>
    <col min="12799" max="12799" width="1.7109375" style="199" customWidth="1"/>
    <col min="12800" max="12800" width="18" style="199" bestFit="1" customWidth="1"/>
    <col min="12801" max="12801" width="6" style="199" bestFit="1" customWidth="1"/>
    <col min="12802" max="12802" width="23.5703125" style="199" customWidth="1"/>
    <col min="12803" max="12803" width="13.85546875" style="199" customWidth="1"/>
    <col min="12804" max="12807" width="13.5703125" style="199" customWidth="1"/>
    <col min="12808" max="12809" width="11.42578125" style="199" customWidth="1"/>
    <col min="12810" max="12810" width="2.85546875" style="199" customWidth="1"/>
    <col min="12811" max="13054" width="11.42578125" style="199"/>
    <col min="13055" max="13055" width="1.7109375" style="199" customWidth="1"/>
    <col min="13056" max="13056" width="18" style="199" bestFit="1" customWidth="1"/>
    <col min="13057" max="13057" width="6" style="199" bestFit="1" customWidth="1"/>
    <col min="13058" max="13058" width="23.5703125" style="199" customWidth="1"/>
    <col min="13059" max="13059" width="13.85546875" style="199" customWidth="1"/>
    <col min="13060" max="13063" width="13.5703125" style="199" customWidth="1"/>
    <col min="13064" max="13065" width="11.42578125" style="199" customWidth="1"/>
    <col min="13066" max="13066" width="2.85546875" style="199" customWidth="1"/>
    <col min="13067" max="13310" width="11.42578125" style="199"/>
    <col min="13311" max="13311" width="1.7109375" style="199" customWidth="1"/>
    <col min="13312" max="13312" width="18" style="199" bestFit="1" customWidth="1"/>
    <col min="13313" max="13313" width="6" style="199" bestFit="1" customWidth="1"/>
    <col min="13314" max="13314" width="23.5703125" style="199" customWidth="1"/>
    <col min="13315" max="13315" width="13.85546875" style="199" customWidth="1"/>
    <col min="13316" max="13319" width="13.5703125" style="199" customWidth="1"/>
    <col min="13320" max="13321" width="11.42578125" style="199" customWidth="1"/>
    <col min="13322" max="13322" width="2.85546875" style="199" customWidth="1"/>
    <col min="13323" max="13566" width="11.42578125" style="199"/>
    <col min="13567" max="13567" width="1.7109375" style="199" customWidth="1"/>
    <col min="13568" max="13568" width="18" style="199" bestFit="1" customWidth="1"/>
    <col min="13569" max="13569" width="6" style="199" bestFit="1" customWidth="1"/>
    <col min="13570" max="13570" width="23.5703125" style="199" customWidth="1"/>
    <col min="13571" max="13571" width="13.85546875" style="199" customWidth="1"/>
    <col min="13572" max="13575" width="13.5703125" style="199" customWidth="1"/>
    <col min="13576" max="13577" width="11.42578125" style="199" customWidth="1"/>
    <col min="13578" max="13578" width="2.85546875" style="199" customWidth="1"/>
    <col min="13579" max="13822" width="11.42578125" style="199"/>
    <col min="13823" max="13823" width="1.7109375" style="199" customWidth="1"/>
    <col min="13824" max="13824" width="18" style="199" bestFit="1" customWidth="1"/>
    <col min="13825" max="13825" width="6" style="199" bestFit="1" customWidth="1"/>
    <col min="13826" max="13826" width="23.5703125" style="199" customWidth="1"/>
    <col min="13827" max="13827" width="13.85546875" style="199" customWidth="1"/>
    <col min="13828" max="13831" width="13.5703125" style="199" customWidth="1"/>
    <col min="13832" max="13833" width="11.42578125" style="199" customWidth="1"/>
    <col min="13834" max="13834" width="2.85546875" style="199" customWidth="1"/>
    <col min="13835" max="14078" width="11.42578125" style="199"/>
    <col min="14079" max="14079" width="1.7109375" style="199" customWidth="1"/>
    <col min="14080" max="14080" width="18" style="199" bestFit="1" customWidth="1"/>
    <col min="14081" max="14081" width="6" style="199" bestFit="1" customWidth="1"/>
    <col min="14082" max="14082" width="23.5703125" style="199" customWidth="1"/>
    <col min="14083" max="14083" width="13.85546875" style="199" customWidth="1"/>
    <col min="14084" max="14087" width="13.5703125" style="199" customWidth="1"/>
    <col min="14088" max="14089" width="11.42578125" style="199" customWidth="1"/>
    <col min="14090" max="14090" width="2.85546875" style="199" customWidth="1"/>
    <col min="14091" max="14334" width="11.42578125" style="199"/>
    <col min="14335" max="14335" width="1.7109375" style="199" customWidth="1"/>
    <col min="14336" max="14336" width="18" style="199" bestFit="1" customWidth="1"/>
    <col min="14337" max="14337" width="6" style="199" bestFit="1" customWidth="1"/>
    <col min="14338" max="14338" width="23.5703125" style="199" customWidth="1"/>
    <col min="14339" max="14339" width="13.85546875" style="199" customWidth="1"/>
    <col min="14340" max="14343" width="13.5703125" style="199" customWidth="1"/>
    <col min="14344" max="14345" width="11.42578125" style="199" customWidth="1"/>
    <col min="14346" max="14346" width="2.85546875" style="199" customWidth="1"/>
    <col min="14347" max="14590" width="11.42578125" style="199"/>
    <col min="14591" max="14591" width="1.7109375" style="199" customWidth="1"/>
    <col min="14592" max="14592" width="18" style="199" bestFit="1" customWidth="1"/>
    <col min="14593" max="14593" width="6" style="199" bestFit="1" customWidth="1"/>
    <col min="14594" max="14594" width="23.5703125" style="199" customWidth="1"/>
    <col min="14595" max="14595" width="13.85546875" style="199" customWidth="1"/>
    <col min="14596" max="14599" width="13.5703125" style="199" customWidth="1"/>
    <col min="14600" max="14601" width="11.42578125" style="199" customWidth="1"/>
    <col min="14602" max="14602" width="2.85546875" style="199" customWidth="1"/>
    <col min="14603" max="14846" width="11.42578125" style="199"/>
    <col min="14847" max="14847" width="1.7109375" style="199" customWidth="1"/>
    <col min="14848" max="14848" width="18" style="199" bestFit="1" customWidth="1"/>
    <col min="14849" max="14849" width="6" style="199" bestFit="1" customWidth="1"/>
    <col min="14850" max="14850" width="23.5703125" style="199" customWidth="1"/>
    <col min="14851" max="14851" width="13.85546875" style="199" customWidth="1"/>
    <col min="14852" max="14855" width="13.5703125" style="199" customWidth="1"/>
    <col min="14856" max="14857" width="11.42578125" style="199" customWidth="1"/>
    <col min="14858" max="14858" width="2.85546875" style="199" customWidth="1"/>
    <col min="14859" max="15102" width="11.42578125" style="199"/>
    <col min="15103" max="15103" width="1.7109375" style="199" customWidth="1"/>
    <col min="15104" max="15104" width="18" style="199" bestFit="1" customWidth="1"/>
    <col min="15105" max="15105" width="6" style="199" bestFit="1" customWidth="1"/>
    <col min="15106" max="15106" width="23.5703125" style="199" customWidth="1"/>
    <col min="15107" max="15107" width="13.85546875" style="199" customWidth="1"/>
    <col min="15108" max="15111" width="13.5703125" style="199" customWidth="1"/>
    <col min="15112" max="15113" width="11.42578125" style="199" customWidth="1"/>
    <col min="15114" max="15114" width="2.85546875" style="199" customWidth="1"/>
    <col min="15115" max="15358" width="11.42578125" style="199"/>
    <col min="15359" max="15359" width="1.7109375" style="199" customWidth="1"/>
    <col min="15360" max="15360" width="18" style="199" bestFit="1" customWidth="1"/>
    <col min="15361" max="15361" width="6" style="199" bestFit="1" customWidth="1"/>
    <col min="15362" max="15362" width="23.5703125" style="199" customWidth="1"/>
    <col min="15363" max="15363" width="13.85546875" style="199" customWidth="1"/>
    <col min="15364" max="15367" width="13.5703125" style="199" customWidth="1"/>
    <col min="15368" max="15369" width="11.42578125" style="199" customWidth="1"/>
    <col min="15370" max="15370" width="2.85546875" style="199" customWidth="1"/>
    <col min="15371" max="15614" width="11.42578125" style="199"/>
    <col min="15615" max="15615" width="1.7109375" style="199" customWidth="1"/>
    <col min="15616" max="15616" width="18" style="199" bestFit="1" customWidth="1"/>
    <col min="15617" max="15617" width="6" style="199" bestFit="1" customWidth="1"/>
    <col min="15618" max="15618" width="23.5703125" style="199" customWidth="1"/>
    <col min="15619" max="15619" width="13.85546875" style="199" customWidth="1"/>
    <col min="15620" max="15623" width="13.5703125" style="199" customWidth="1"/>
    <col min="15624" max="15625" width="11.42578125" style="199" customWidth="1"/>
    <col min="15626" max="15626" width="2.85546875" style="199" customWidth="1"/>
    <col min="15627" max="15870" width="11.42578125" style="199"/>
    <col min="15871" max="15871" width="1.7109375" style="199" customWidth="1"/>
    <col min="15872" max="15872" width="18" style="199" bestFit="1" customWidth="1"/>
    <col min="15873" max="15873" width="6" style="199" bestFit="1" customWidth="1"/>
    <col min="15874" max="15874" width="23.5703125" style="199" customWidth="1"/>
    <col min="15875" max="15875" width="13.85546875" style="199" customWidth="1"/>
    <col min="15876" max="15879" width="13.5703125" style="199" customWidth="1"/>
    <col min="15880" max="15881" width="11.42578125" style="199" customWidth="1"/>
    <col min="15882" max="15882" width="2.85546875" style="199" customWidth="1"/>
    <col min="15883" max="16126" width="11.42578125" style="199"/>
    <col min="16127" max="16127" width="1.7109375" style="199" customWidth="1"/>
    <col min="16128" max="16128" width="18" style="199" bestFit="1" customWidth="1"/>
    <col min="16129" max="16129" width="6" style="199" bestFit="1" customWidth="1"/>
    <col min="16130" max="16130" width="23.5703125" style="199" customWidth="1"/>
    <col min="16131" max="16131" width="13.85546875" style="199" customWidth="1"/>
    <col min="16132" max="16135" width="13.5703125" style="199" customWidth="1"/>
    <col min="16136" max="16137" width="11.42578125" style="199" customWidth="1"/>
    <col min="16138" max="16138" width="2.85546875" style="199" customWidth="1"/>
    <col min="16139" max="16384" width="11.42578125" style="199"/>
  </cols>
  <sheetData>
    <row r="1" spans="1:17" s="198" customFormat="1" ht="14.25" x14ac:dyDescent="0.2">
      <c r="A1" s="924"/>
      <c r="B1" s="924"/>
      <c r="C1" s="924"/>
      <c r="D1" s="924"/>
      <c r="E1" s="924"/>
      <c r="F1" s="924"/>
      <c r="G1" s="924"/>
      <c r="H1" s="924"/>
      <c r="I1" s="924"/>
    </row>
    <row r="2" spans="1:17" s="186" customFormat="1" ht="15.75" x14ac:dyDescent="0.2">
      <c r="A2" s="224" t="s">
        <v>1270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</row>
    <row r="3" spans="1:17" s="186" customFormat="1" ht="15" x14ac:dyDescent="0.2">
      <c r="A3" s="2202" t="s">
        <v>783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s="198" customFormat="1" ht="15" x14ac:dyDescent="0.2">
      <c r="B4" s="207"/>
      <c r="C4" s="207"/>
      <c r="D4" s="207"/>
      <c r="E4" s="207"/>
      <c r="F4" s="207"/>
      <c r="G4" s="207"/>
    </row>
    <row r="5" spans="1:17" s="196" customFormat="1" ht="33" customHeight="1" x14ac:dyDescent="0.25">
      <c r="A5" s="5141" t="s">
        <v>16</v>
      </c>
      <c r="B5" s="5141" t="s">
        <v>4</v>
      </c>
      <c r="C5" s="1382">
        <v>2003</v>
      </c>
      <c r="D5" s="1382">
        <v>2004</v>
      </c>
      <c r="E5" s="1382">
        <v>2005</v>
      </c>
      <c r="F5" s="1382">
        <v>2006</v>
      </c>
      <c r="G5" s="1382">
        <v>2007</v>
      </c>
      <c r="H5" s="1382">
        <v>2008</v>
      </c>
      <c r="I5" s="1382">
        <v>2009</v>
      </c>
      <c r="J5" s="1382">
        <v>2010</v>
      </c>
      <c r="K5" s="1382">
        <v>2011</v>
      </c>
      <c r="L5" s="1382">
        <v>2012</v>
      </c>
      <c r="M5" s="1382">
        <v>2013</v>
      </c>
      <c r="N5" s="1382">
        <v>2014</v>
      </c>
      <c r="O5" s="1382">
        <v>2015</v>
      </c>
      <c r="P5" s="1382">
        <v>2016</v>
      </c>
      <c r="Q5" s="1382">
        <v>2017</v>
      </c>
    </row>
    <row r="6" spans="1:17" s="198" customFormat="1" ht="14.25" x14ac:dyDescent="0.2"/>
    <row r="7" spans="1:17" s="198" customFormat="1" ht="15" x14ac:dyDescent="0.2">
      <c r="A7" s="5689" t="s">
        <v>161</v>
      </c>
      <c r="B7" s="263" t="s">
        <v>5</v>
      </c>
      <c r="C7" s="264">
        <v>6155</v>
      </c>
      <c r="D7" s="264">
        <v>6518</v>
      </c>
      <c r="E7" s="537">
        <v>6814</v>
      </c>
      <c r="F7" s="537">
        <v>7139</v>
      </c>
      <c r="G7" s="537">
        <v>7357</v>
      </c>
      <c r="H7" s="537">
        <v>7629</v>
      </c>
      <c r="I7" s="537">
        <v>7768</v>
      </c>
      <c r="J7" s="537">
        <v>8348</v>
      </c>
      <c r="K7" s="537">
        <f>SUM('ACTIVOS plan'!L4:L13)</f>
        <v>8552</v>
      </c>
      <c r="L7" s="537">
        <f>SUM('ACTIVOS plan'!M4:M13)</f>
        <v>8481</v>
      </c>
      <c r="M7" s="537">
        <f>SUM('ACTIVOS plan'!N4:N13)</f>
        <v>8413</v>
      </c>
      <c r="N7" s="537">
        <f>SUM('ACTIVOS plan'!O4:O13)</f>
        <v>8142</v>
      </c>
      <c r="O7" s="537">
        <f>SUM('ACTIVOS plan'!P4:P13)</f>
        <v>7752</v>
      </c>
      <c r="P7" s="537">
        <f>SUM('ACTIVOS plan'!Q4:Q13)</f>
        <v>7437</v>
      </c>
      <c r="Q7" s="537">
        <f>SUM('ACTIVOS plan'!R4:R13)</f>
        <v>7030</v>
      </c>
    </row>
    <row r="8" spans="1:17" s="198" customFormat="1" ht="15" x14ac:dyDescent="0.2">
      <c r="A8" s="5690"/>
      <c r="B8" s="267" t="s">
        <v>6</v>
      </c>
      <c r="C8" s="268">
        <v>5400</v>
      </c>
      <c r="D8" s="268">
        <v>5345</v>
      </c>
      <c r="E8" s="538">
        <v>5288</v>
      </c>
      <c r="F8" s="538">
        <v>5172</v>
      </c>
      <c r="G8" s="538">
        <v>5225</v>
      </c>
      <c r="H8" s="538">
        <v>5433</v>
      </c>
      <c r="I8" s="538">
        <v>5519</v>
      </c>
      <c r="J8" s="538">
        <v>5629</v>
      </c>
      <c r="K8" s="538">
        <f>SUM('ACTIVOS plan'!L15:L18)</f>
        <v>5755</v>
      </c>
      <c r="L8" s="538">
        <f>SUM('ACTIVOS plan'!M15:M18)</f>
        <v>6150</v>
      </c>
      <c r="M8" s="538">
        <f>SUM('ACTIVOS plan'!N15:N18)</f>
        <v>6362</v>
      </c>
      <c r="N8" s="538">
        <f>SUM('ACTIVOS plan'!O15:O18)</f>
        <v>6375</v>
      </c>
      <c r="O8" s="538">
        <f>SUM('ACTIVOS plan'!P15:P18)</f>
        <v>6570</v>
      </c>
      <c r="P8" s="538">
        <f>SUM('ACTIVOS plan'!Q15:Q18)</f>
        <v>6697</v>
      </c>
      <c r="Q8" s="538">
        <f>SUM('ACTIVOS plan'!R15:R18)</f>
        <v>6638</v>
      </c>
    </row>
    <row r="9" spans="1:17" s="198" customFormat="1" ht="15" x14ac:dyDescent="0.2">
      <c r="A9" s="5690"/>
      <c r="B9" s="267" t="s">
        <v>7</v>
      </c>
      <c r="C9" s="268">
        <v>3254</v>
      </c>
      <c r="D9" s="268">
        <v>3190</v>
      </c>
      <c r="E9" s="538">
        <v>3224</v>
      </c>
      <c r="F9" s="538">
        <v>3205</v>
      </c>
      <c r="G9" s="538">
        <v>3132</v>
      </c>
      <c r="H9" s="538">
        <v>3117</v>
      </c>
      <c r="I9" s="538">
        <v>3084</v>
      </c>
      <c r="J9" s="538">
        <v>3058</v>
      </c>
      <c r="K9" s="538">
        <f>SUM('ACTIVOS plan'!L20:L22)</f>
        <v>3084</v>
      </c>
      <c r="L9" s="538">
        <f>SUM('ACTIVOS plan'!M20:M22)</f>
        <v>3224</v>
      </c>
      <c r="M9" s="538">
        <f>SUM('ACTIVOS plan'!N20:N22)</f>
        <v>3363</v>
      </c>
      <c r="N9" s="538">
        <f>SUM('ACTIVOS plan'!O20:O22)</f>
        <v>3449</v>
      </c>
      <c r="O9" s="538">
        <f>SUM('ACTIVOS plan'!P20:P22)</f>
        <v>3486</v>
      </c>
      <c r="P9" s="538">
        <f>SUM('ACTIVOS plan'!Q20:Q22)</f>
        <v>3503</v>
      </c>
      <c r="Q9" s="538">
        <f>SUM('ACTIVOS plan'!R20:R22)</f>
        <v>3581</v>
      </c>
    </row>
    <row r="10" spans="1:17" s="197" customFormat="1" ht="15" x14ac:dyDescent="0.25">
      <c r="A10" s="5691"/>
      <c r="B10" s="2231" t="s">
        <v>12</v>
      </c>
      <c r="C10" s="2232">
        <v>14809</v>
      </c>
      <c r="D10" s="2232">
        <v>15053</v>
      </c>
      <c r="E10" s="2233">
        <v>15326</v>
      </c>
      <c r="F10" s="2233">
        <v>15516</v>
      </c>
      <c r="G10" s="2233">
        <v>15714</v>
      </c>
      <c r="H10" s="2233">
        <v>16179</v>
      </c>
      <c r="I10" s="2233">
        <v>16371</v>
      </c>
      <c r="J10" s="2233">
        <f t="shared" ref="J10:O10" si="0">SUM(J7:J9)</f>
        <v>17035</v>
      </c>
      <c r="K10" s="2233">
        <f t="shared" si="0"/>
        <v>17391</v>
      </c>
      <c r="L10" s="2233">
        <f t="shared" si="0"/>
        <v>17855</v>
      </c>
      <c r="M10" s="2233">
        <f t="shared" si="0"/>
        <v>18138</v>
      </c>
      <c r="N10" s="2233">
        <f t="shared" si="0"/>
        <v>17966</v>
      </c>
      <c r="O10" s="2233">
        <f t="shared" si="0"/>
        <v>17808</v>
      </c>
      <c r="P10" s="2233">
        <f>SUM(P7:P9)</f>
        <v>17637</v>
      </c>
      <c r="Q10" s="2233">
        <f>SUM(Q7:Q9)</f>
        <v>17249</v>
      </c>
    </row>
    <row r="11" spans="1:17" s="197" customFormat="1" ht="15" x14ac:dyDescent="0.25"/>
    <row r="12" spans="1:17" s="197" customFormat="1" ht="15" x14ac:dyDescent="0.25">
      <c r="A12" s="5693" t="s">
        <v>407</v>
      </c>
      <c r="B12" s="263" t="s">
        <v>6</v>
      </c>
      <c r="C12" s="264"/>
      <c r="D12" s="264"/>
      <c r="E12" s="537">
        <v>111</v>
      </c>
      <c r="F12" s="537">
        <v>148</v>
      </c>
      <c r="G12" s="537">
        <v>242</v>
      </c>
      <c r="H12" s="537">
        <v>343</v>
      </c>
      <c r="I12" s="537">
        <v>401</v>
      </c>
      <c r="J12" s="537">
        <v>420</v>
      </c>
      <c r="K12" s="537">
        <f>SUM('ACTIVOS plan'!L25:L28)</f>
        <v>455</v>
      </c>
      <c r="L12" s="537">
        <f>SUM('ACTIVOS plan'!M25:M28)</f>
        <v>446</v>
      </c>
      <c r="M12" s="537">
        <f>SUM('ACTIVOS plan'!N25:N28)</f>
        <v>459</v>
      </c>
      <c r="N12" s="537">
        <f>SUM('ACTIVOS plan'!O25:O28)</f>
        <v>576</v>
      </c>
      <c r="O12" s="537">
        <f>SUM('ACTIVOS plan'!P25:P28)</f>
        <v>702</v>
      </c>
      <c r="P12" s="537">
        <f>SUM('ACTIVOS plan'!Q25:Q28)</f>
        <v>838</v>
      </c>
      <c r="Q12" s="537">
        <f>SUM('ACTIVOS plan'!R25:R28)</f>
        <v>958</v>
      </c>
    </row>
    <row r="13" spans="1:17" s="197" customFormat="1" ht="15" x14ac:dyDescent="0.25">
      <c r="A13" s="5694"/>
      <c r="B13" s="267" t="s">
        <v>9</v>
      </c>
      <c r="C13" s="268"/>
      <c r="D13" s="268"/>
      <c r="E13" s="538">
        <v>34</v>
      </c>
      <c r="F13" s="538">
        <v>61</v>
      </c>
      <c r="G13" s="538">
        <v>191</v>
      </c>
      <c r="H13" s="538">
        <v>314</v>
      </c>
      <c r="I13" s="538">
        <v>378</v>
      </c>
      <c r="J13" s="538">
        <v>462</v>
      </c>
      <c r="K13" s="538">
        <f>SUM('ACTIVOS plan'!L30:L32)</f>
        <v>539</v>
      </c>
      <c r="L13" s="538">
        <f>SUM('ACTIVOS plan'!M30:M32)</f>
        <v>603</v>
      </c>
      <c r="M13" s="538">
        <f>SUM('ACTIVOS plan'!N30:N32)</f>
        <v>629</v>
      </c>
      <c r="N13" s="538">
        <f>SUM('ACTIVOS plan'!O30:O32)</f>
        <v>711</v>
      </c>
      <c r="O13" s="538">
        <f>SUM('ACTIVOS plan'!P30:P32)</f>
        <v>816</v>
      </c>
      <c r="P13" s="538">
        <f>SUM('ACTIVOS plan'!Q30:Q32)</f>
        <v>933</v>
      </c>
      <c r="Q13" s="538">
        <f>SUM('ACTIVOS plan'!R30:R32)</f>
        <v>1039</v>
      </c>
    </row>
    <row r="14" spans="1:17" s="197" customFormat="1" ht="15" x14ac:dyDescent="0.25">
      <c r="A14" s="5694"/>
      <c r="B14" s="267" t="s">
        <v>74</v>
      </c>
      <c r="C14" s="268"/>
      <c r="D14" s="268"/>
      <c r="E14" s="538">
        <v>58</v>
      </c>
      <c r="F14" s="538">
        <v>78</v>
      </c>
      <c r="G14" s="538">
        <v>129</v>
      </c>
      <c r="H14" s="538">
        <v>214</v>
      </c>
      <c r="I14" s="538">
        <v>275</v>
      </c>
      <c r="J14" s="538">
        <v>323</v>
      </c>
      <c r="K14" s="538">
        <f>SUM('ACTIVOS plan'!L34:L37)</f>
        <v>394</v>
      </c>
      <c r="L14" s="538">
        <f>SUM('ACTIVOS plan'!M34:M37)</f>
        <v>479</v>
      </c>
      <c r="M14" s="538">
        <f>SUM('ACTIVOS plan'!N34:N37)</f>
        <v>566</v>
      </c>
      <c r="N14" s="538">
        <f>SUM('ACTIVOS plan'!O34:O37)</f>
        <v>722</v>
      </c>
      <c r="O14" s="538">
        <f>SUM('ACTIVOS plan'!P34:P37)</f>
        <v>808</v>
      </c>
      <c r="P14" s="538">
        <f>SUM('ACTIVOS plan'!Q34:Q37)</f>
        <v>926</v>
      </c>
      <c r="Q14" s="538">
        <f>SUM('ACTIVOS plan'!R34:R37)</f>
        <v>1009</v>
      </c>
    </row>
    <row r="15" spans="1:17" s="197" customFormat="1" ht="15" x14ac:dyDescent="0.25">
      <c r="A15" s="5695"/>
      <c r="B15" s="2228" t="s">
        <v>12</v>
      </c>
      <c r="C15" s="2229"/>
      <c r="D15" s="2229"/>
      <c r="E15" s="2230">
        <v>203</v>
      </c>
      <c r="F15" s="2230">
        <v>287</v>
      </c>
      <c r="G15" s="2230">
        <v>562</v>
      </c>
      <c r="H15" s="2230">
        <v>871</v>
      </c>
      <c r="I15" s="2230">
        <v>1054</v>
      </c>
      <c r="J15" s="2230">
        <f t="shared" ref="J15:O15" si="1">SUM(J12:J14)</f>
        <v>1205</v>
      </c>
      <c r="K15" s="2230">
        <f t="shared" si="1"/>
        <v>1388</v>
      </c>
      <c r="L15" s="2230">
        <f t="shared" si="1"/>
        <v>1528</v>
      </c>
      <c r="M15" s="2230">
        <f t="shared" si="1"/>
        <v>1654</v>
      </c>
      <c r="N15" s="2230">
        <f t="shared" si="1"/>
        <v>2009</v>
      </c>
      <c r="O15" s="2230">
        <f t="shared" si="1"/>
        <v>2326</v>
      </c>
      <c r="P15" s="2230">
        <f>SUM(P12:P14)</f>
        <v>2697</v>
      </c>
      <c r="Q15" s="2230">
        <f>SUM(Q12:Q14)</f>
        <v>3006</v>
      </c>
    </row>
    <row r="16" spans="1:17" s="197" customFormat="1" ht="15" x14ac:dyDescent="0.25"/>
    <row r="17" spans="1:17" s="198" customFormat="1" ht="15" x14ac:dyDescent="0.2">
      <c r="A17" s="5686" t="s">
        <v>162</v>
      </c>
      <c r="B17" s="263" t="s">
        <v>5</v>
      </c>
      <c r="C17" s="264">
        <v>3389</v>
      </c>
      <c r="D17" s="264">
        <v>3390</v>
      </c>
      <c r="E17" s="537">
        <v>3349</v>
      </c>
      <c r="F17" s="537">
        <v>3332</v>
      </c>
      <c r="G17" s="537">
        <v>3179</v>
      </c>
      <c r="H17" s="537">
        <v>3263</v>
      </c>
      <c r="I17" s="537">
        <v>3220</v>
      </c>
      <c r="J17" s="537">
        <v>3380</v>
      </c>
      <c r="K17" s="537">
        <f>SUM('ACTIVOS plan'!L40:L48)</f>
        <v>3534</v>
      </c>
      <c r="L17" s="537">
        <f>SUM('ACTIVOS plan'!M40:M48)</f>
        <v>3730</v>
      </c>
      <c r="M17" s="537">
        <f>SUM('ACTIVOS plan'!N40:N48)</f>
        <v>4097</v>
      </c>
      <c r="N17" s="537">
        <f>SUM('ACTIVOS plan'!O40:O48)</f>
        <v>4292</v>
      </c>
      <c r="O17" s="537">
        <f>SUM('ACTIVOS plan'!P40:P48)</f>
        <v>4385</v>
      </c>
      <c r="P17" s="537">
        <f>SUM('ACTIVOS plan'!Q40:Q49)</f>
        <v>4479</v>
      </c>
      <c r="Q17" s="537">
        <f>SUM('ACTIVOS plan'!R40:R49)</f>
        <v>4357</v>
      </c>
    </row>
    <row r="18" spans="1:17" s="198" customFormat="1" ht="15" x14ac:dyDescent="0.2">
      <c r="A18" s="5687"/>
      <c r="B18" s="267" t="s">
        <v>6</v>
      </c>
      <c r="C18" s="268">
        <v>5311</v>
      </c>
      <c r="D18" s="268">
        <v>5290</v>
      </c>
      <c r="E18" s="538">
        <v>5330</v>
      </c>
      <c r="F18" s="538">
        <v>5492</v>
      </c>
      <c r="G18" s="538">
        <v>5766</v>
      </c>
      <c r="H18" s="538">
        <v>5928</v>
      </c>
      <c r="I18" s="538">
        <v>6088</v>
      </c>
      <c r="J18" s="538">
        <v>6252</v>
      </c>
      <c r="K18" s="538">
        <f>SUM('ACTIVOS plan'!L51:L61)</f>
        <v>6328</v>
      </c>
      <c r="L18" s="538">
        <f>SUM('ACTIVOS plan'!M51:M61)</f>
        <v>6563</v>
      </c>
      <c r="M18" s="538">
        <f>SUM('ACTIVOS plan'!N51:N61)</f>
        <v>6645</v>
      </c>
      <c r="N18" s="538">
        <f>SUM('ACTIVOS plan'!O51:O61)</f>
        <v>6604</v>
      </c>
      <c r="O18" s="538">
        <f>SUM('ACTIVOS plan'!P51:P61)</f>
        <v>6597</v>
      </c>
      <c r="P18" s="538">
        <f>SUM('ACTIVOS plan'!Q51:Q61)</f>
        <v>6656</v>
      </c>
      <c r="Q18" s="538">
        <f>SUM('ACTIVOS plan'!R51:R61)</f>
        <v>6580</v>
      </c>
    </row>
    <row r="19" spans="1:17" s="198" customFormat="1" ht="15" x14ac:dyDescent="0.2">
      <c r="A19" s="5687"/>
      <c r="B19" s="267" t="s">
        <v>11</v>
      </c>
      <c r="C19" s="268">
        <v>3503</v>
      </c>
      <c r="D19" s="268">
        <v>3413</v>
      </c>
      <c r="E19" s="538">
        <v>3269</v>
      </c>
      <c r="F19" s="538">
        <v>3272</v>
      </c>
      <c r="G19" s="538">
        <v>3255</v>
      </c>
      <c r="H19" s="538">
        <v>3354</v>
      </c>
      <c r="I19" s="538">
        <v>3461</v>
      </c>
      <c r="J19" s="538">
        <v>3756</v>
      </c>
      <c r="K19" s="538">
        <f>SUM('ACTIVOS plan'!L63:L68)</f>
        <v>3979</v>
      </c>
      <c r="L19" s="538">
        <f>SUM('ACTIVOS plan'!M63:M68)</f>
        <v>4254</v>
      </c>
      <c r="M19" s="538">
        <f>SUM('ACTIVOS plan'!N63:N68)</f>
        <v>4573</v>
      </c>
      <c r="N19" s="538">
        <f>SUM('ACTIVOS plan'!O63:O68)</f>
        <v>4686</v>
      </c>
      <c r="O19" s="538">
        <f>SUM('ACTIVOS plan'!P63:P68)</f>
        <v>4695</v>
      </c>
      <c r="P19" s="538">
        <f>SUM('ACTIVOS plan'!Q63:Q68)</f>
        <v>4643</v>
      </c>
      <c r="Q19" s="538">
        <f>SUM('ACTIVOS plan'!R63:R68)</f>
        <v>4549</v>
      </c>
    </row>
    <row r="20" spans="1:17" s="197" customFormat="1" ht="15" x14ac:dyDescent="0.25">
      <c r="A20" s="5688"/>
      <c r="B20" s="2225" t="s">
        <v>12</v>
      </c>
      <c r="C20" s="2226">
        <v>12203</v>
      </c>
      <c r="D20" s="2226">
        <v>12093</v>
      </c>
      <c r="E20" s="2227">
        <v>11948</v>
      </c>
      <c r="F20" s="2227">
        <v>12096</v>
      </c>
      <c r="G20" s="2227">
        <v>12200</v>
      </c>
      <c r="H20" s="2227">
        <v>12545</v>
      </c>
      <c r="I20" s="2227">
        <v>12769</v>
      </c>
      <c r="J20" s="2227">
        <f t="shared" ref="J20:O20" si="2">SUM(J17:J19)</f>
        <v>13388</v>
      </c>
      <c r="K20" s="2227">
        <f t="shared" si="2"/>
        <v>13841</v>
      </c>
      <c r="L20" s="2227">
        <f t="shared" si="2"/>
        <v>14547</v>
      </c>
      <c r="M20" s="2227">
        <f t="shared" si="2"/>
        <v>15315</v>
      </c>
      <c r="N20" s="2227">
        <f t="shared" si="2"/>
        <v>15582</v>
      </c>
      <c r="O20" s="2227">
        <f t="shared" si="2"/>
        <v>15677</v>
      </c>
      <c r="P20" s="2227">
        <f>SUM(P17:P19)</f>
        <v>15778</v>
      </c>
      <c r="Q20" s="2227">
        <f>SUM(Q17:Q19)</f>
        <v>15486</v>
      </c>
    </row>
    <row r="21" spans="1:17" s="198" customFormat="1" ht="14.25" x14ac:dyDescent="0.2">
      <c r="C21" s="539"/>
      <c r="D21" s="539"/>
      <c r="E21" s="539"/>
      <c r="F21" s="539"/>
      <c r="G21" s="539"/>
      <c r="H21" s="539"/>
      <c r="I21" s="539"/>
      <c r="J21" s="539"/>
      <c r="K21" s="539"/>
      <c r="L21" s="539"/>
      <c r="M21" s="539"/>
      <c r="N21" s="539"/>
      <c r="O21" s="539"/>
      <c r="P21" s="539"/>
      <c r="Q21" s="539"/>
    </row>
    <row r="22" spans="1:17" s="198" customFormat="1" ht="15" x14ac:dyDescent="0.2">
      <c r="A22" s="5763" t="s">
        <v>408</v>
      </c>
      <c r="B22" s="263" t="s">
        <v>5</v>
      </c>
      <c r="C22" s="465"/>
      <c r="D22" s="464"/>
      <c r="E22" s="464"/>
      <c r="F22" s="464"/>
      <c r="G22" s="464"/>
      <c r="H22" s="464"/>
      <c r="I22" s="464"/>
      <c r="J22" s="466"/>
      <c r="K22" s="266">
        <f>SUM('ACTIVOS plan'!L71)</f>
        <v>60</v>
      </c>
      <c r="L22" s="266">
        <f>SUM('ACTIVOS plan'!M71)</f>
        <v>79</v>
      </c>
      <c r="M22" s="266">
        <f>SUM('ACTIVOS plan'!N71)</f>
        <v>123</v>
      </c>
      <c r="N22" s="266">
        <f>SUM('ACTIVOS plan'!O71)</f>
        <v>139</v>
      </c>
      <c r="O22" s="266">
        <f>SUM('ACTIVOS plan'!P71)</f>
        <v>173</v>
      </c>
      <c r="P22" s="266">
        <f>SUM('ACTIVOS plan'!Q71)</f>
        <v>180</v>
      </c>
      <c r="Q22" s="266">
        <f>SUM('ACTIVOS plan'!R71:R72)</f>
        <v>268</v>
      </c>
    </row>
    <row r="23" spans="1:17" s="198" customFormat="1" ht="15" x14ac:dyDescent="0.2">
      <c r="A23" s="5764"/>
      <c r="B23" s="267" t="s">
        <v>6</v>
      </c>
      <c r="C23" s="468"/>
      <c r="D23" s="467"/>
      <c r="E23" s="467"/>
      <c r="F23" s="467"/>
      <c r="G23" s="467"/>
      <c r="H23" s="467"/>
      <c r="I23" s="467"/>
      <c r="J23" s="469"/>
      <c r="K23" s="270">
        <f>SUM('ACTIVOS plan'!L74)</f>
        <v>58</v>
      </c>
      <c r="L23" s="270">
        <f>SUM('ACTIVOS plan'!M74)</f>
        <v>80</v>
      </c>
      <c r="M23" s="270">
        <f>SUM('ACTIVOS plan'!N74:N75)</f>
        <v>138</v>
      </c>
      <c r="N23" s="270">
        <f>SUM('ACTIVOS plan'!O74:O75)</f>
        <v>172</v>
      </c>
      <c r="O23" s="270">
        <f>SUM('ACTIVOS plan'!P74:P75)</f>
        <v>213</v>
      </c>
      <c r="P23" s="270">
        <f>SUM('ACTIVOS plan'!Q74:Q75)</f>
        <v>247</v>
      </c>
      <c r="Q23" s="270">
        <f>SUM('ACTIVOS plan'!R74:R75)</f>
        <v>301</v>
      </c>
    </row>
    <row r="24" spans="1:17" s="198" customFormat="1" ht="15" x14ac:dyDescent="0.2">
      <c r="A24" s="5764"/>
      <c r="B24" s="267" t="s">
        <v>11</v>
      </c>
      <c r="C24" s="468"/>
      <c r="D24" s="467"/>
      <c r="E24" s="467"/>
      <c r="F24" s="467"/>
      <c r="G24" s="467"/>
      <c r="H24" s="467"/>
      <c r="I24" s="467"/>
      <c r="J24" s="469"/>
      <c r="K24" s="270">
        <f>SUM('ACTIVOS plan'!L77)</f>
        <v>55</v>
      </c>
      <c r="L24" s="270">
        <f>SUM('ACTIVOS plan'!M77)</f>
        <v>69</v>
      </c>
      <c r="M24" s="270">
        <f>SUM('ACTIVOS plan'!N77)</f>
        <v>116</v>
      </c>
      <c r="N24" s="270">
        <f>SUM('ACTIVOS plan'!O77)</f>
        <v>147</v>
      </c>
      <c r="O24" s="270">
        <f>SUM('ACTIVOS plan'!P77)</f>
        <v>208</v>
      </c>
      <c r="P24" s="270">
        <f>SUM('ACTIVOS plan'!Q77)</f>
        <v>247</v>
      </c>
      <c r="Q24" s="270">
        <f>SUM('ACTIVOS plan'!R77:R78)</f>
        <v>299</v>
      </c>
    </row>
    <row r="25" spans="1:17" s="197" customFormat="1" ht="15" x14ac:dyDescent="0.25">
      <c r="A25" s="5864"/>
      <c r="B25" s="2223" t="s">
        <v>12</v>
      </c>
      <c r="C25" s="575"/>
      <c r="D25" s="576"/>
      <c r="E25" s="576"/>
      <c r="F25" s="576"/>
      <c r="G25" s="576"/>
      <c r="H25" s="576"/>
      <c r="I25" s="576"/>
      <c r="J25" s="577"/>
      <c r="K25" s="2234">
        <f t="shared" ref="K25:P25" si="3">SUM(K22:K24)</f>
        <v>173</v>
      </c>
      <c r="L25" s="2234">
        <f t="shared" si="3"/>
        <v>228</v>
      </c>
      <c r="M25" s="2234">
        <f t="shared" si="3"/>
        <v>377</v>
      </c>
      <c r="N25" s="2234">
        <f t="shared" si="3"/>
        <v>458</v>
      </c>
      <c r="O25" s="2234">
        <f t="shared" si="3"/>
        <v>594</v>
      </c>
      <c r="P25" s="2234">
        <f t="shared" si="3"/>
        <v>674</v>
      </c>
      <c r="Q25" s="2234">
        <f>SUM(Q22:Q24)</f>
        <v>868</v>
      </c>
    </row>
    <row r="26" spans="1:17" s="197" customFormat="1" ht="15" x14ac:dyDescent="0.25"/>
    <row r="27" spans="1:17" s="197" customFormat="1" ht="15" x14ac:dyDescent="0.25">
      <c r="A27" s="5696" t="s">
        <v>163</v>
      </c>
      <c r="B27" s="263" t="s">
        <v>6</v>
      </c>
      <c r="C27" s="264">
        <v>5654</v>
      </c>
      <c r="D27" s="264">
        <v>5919</v>
      </c>
      <c r="E27" s="537">
        <v>6177</v>
      </c>
      <c r="F27" s="537">
        <v>6266</v>
      </c>
      <c r="G27" s="537">
        <v>6388</v>
      </c>
      <c r="H27" s="537">
        <v>6413</v>
      </c>
      <c r="I27" s="537">
        <v>6206</v>
      </c>
      <c r="J27" s="537">
        <v>6138</v>
      </c>
      <c r="K27" s="537">
        <f>SUM('ACTIVOS plan'!L81:L86)</f>
        <v>6056</v>
      </c>
      <c r="L27" s="537">
        <f>SUM('ACTIVOS plan'!M81:M86)</f>
        <v>6126</v>
      </c>
      <c r="M27" s="537">
        <f>SUM('ACTIVOS plan'!N81:N86)</f>
        <v>6237</v>
      </c>
      <c r="N27" s="537">
        <f>SUM('ACTIVOS plan'!O81:O86)</f>
        <v>6148</v>
      </c>
      <c r="O27" s="537">
        <f>SUM('ACTIVOS plan'!P81:P86)</f>
        <v>6193</v>
      </c>
      <c r="P27" s="537">
        <f>SUM('ACTIVOS plan'!Q81:Q86)</f>
        <v>6232</v>
      </c>
      <c r="Q27" s="537">
        <f>SUM('ACTIVOS plan'!R81:R86)</f>
        <v>6280</v>
      </c>
    </row>
    <row r="28" spans="1:17" s="197" customFormat="1" ht="15" x14ac:dyDescent="0.25">
      <c r="A28" s="5697"/>
      <c r="B28" s="267" t="s">
        <v>11</v>
      </c>
      <c r="C28" s="268">
        <v>6565</v>
      </c>
      <c r="D28" s="268">
        <v>7027</v>
      </c>
      <c r="E28" s="538">
        <v>7516</v>
      </c>
      <c r="F28" s="538">
        <v>7948</v>
      </c>
      <c r="G28" s="538">
        <v>8038</v>
      </c>
      <c r="H28" s="538">
        <v>7974</v>
      </c>
      <c r="I28" s="538">
        <v>7692</v>
      </c>
      <c r="J28" s="538">
        <v>7642</v>
      </c>
      <c r="K28" s="538">
        <f>SUM('ACTIVOS plan'!L88:L95)</f>
        <v>7568</v>
      </c>
      <c r="L28" s="538">
        <f>SUM('ACTIVOS plan'!M88:M95)</f>
        <v>7509</v>
      </c>
      <c r="M28" s="538">
        <f>SUM('ACTIVOS plan'!N88:N95)</f>
        <v>7565</v>
      </c>
      <c r="N28" s="538">
        <f>SUM('ACTIVOS plan'!O88:O95)</f>
        <v>7575</v>
      </c>
      <c r="O28" s="538">
        <f>SUM('ACTIVOS plan'!P88:P95)</f>
        <v>7636</v>
      </c>
      <c r="P28" s="538">
        <f>SUM('ACTIVOS plan'!Q88:Q95)</f>
        <v>7689</v>
      </c>
      <c r="Q28" s="538">
        <f>SUM('ACTIVOS plan'!R88:R95)</f>
        <v>7912</v>
      </c>
    </row>
    <row r="29" spans="1:17" s="197" customFormat="1" ht="15" x14ac:dyDescent="0.25">
      <c r="A29" s="5697"/>
      <c r="B29" s="267" t="s">
        <v>7</v>
      </c>
      <c r="C29" s="268">
        <v>3004</v>
      </c>
      <c r="D29" s="268">
        <v>3154</v>
      </c>
      <c r="E29" s="538">
        <v>3326</v>
      </c>
      <c r="F29" s="538">
        <v>3335</v>
      </c>
      <c r="G29" s="538">
        <v>3365</v>
      </c>
      <c r="H29" s="538">
        <v>3404</v>
      </c>
      <c r="I29" s="538">
        <v>3251</v>
      </c>
      <c r="J29" s="538">
        <v>3188</v>
      </c>
      <c r="K29" s="538">
        <f>SUM('ACTIVOS plan'!L97:L100)</f>
        <v>3091</v>
      </c>
      <c r="L29" s="538">
        <f>SUM('ACTIVOS plan'!M97:M100)</f>
        <v>3135</v>
      </c>
      <c r="M29" s="538">
        <f>SUM('ACTIVOS plan'!N97:N100)</f>
        <v>3173</v>
      </c>
      <c r="N29" s="538">
        <f>SUM('ACTIVOS plan'!O97:O100)</f>
        <v>3160</v>
      </c>
      <c r="O29" s="538">
        <f>SUM('ACTIVOS plan'!P97:P100)</f>
        <v>3140</v>
      </c>
      <c r="P29" s="538">
        <f>SUM('ACTIVOS plan'!Q97:Q100)</f>
        <v>3193</v>
      </c>
      <c r="Q29" s="538">
        <f>SUM('ACTIVOS plan'!R97:R100)</f>
        <v>3188</v>
      </c>
    </row>
    <row r="30" spans="1:17" s="197" customFormat="1" ht="15" x14ac:dyDescent="0.25">
      <c r="A30" s="5698"/>
      <c r="B30" s="2235" t="s">
        <v>12</v>
      </c>
      <c r="C30" s="2236">
        <v>15223</v>
      </c>
      <c r="D30" s="2236">
        <v>16100</v>
      </c>
      <c r="E30" s="2237">
        <v>17019</v>
      </c>
      <c r="F30" s="2237">
        <v>17549</v>
      </c>
      <c r="G30" s="2237">
        <v>17791</v>
      </c>
      <c r="H30" s="2237">
        <v>17791</v>
      </c>
      <c r="I30" s="2237">
        <v>17149</v>
      </c>
      <c r="J30" s="2237">
        <f t="shared" ref="J30:O30" si="4">SUM(J27:J29)</f>
        <v>16968</v>
      </c>
      <c r="K30" s="2237">
        <f t="shared" si="4"/>
        <v>16715</v>
      </c>
      <c r="L30" s="2237">
        <f t="shared" si="4"/>
        <v>16770</v>
      </c>
      <c r="M30" s="2237">
        <f t="shared" si="4"/>
        <v>16975</v>
      </c>
      <c r="N30" s="2237">
        <f t="shared" si="4"/>
        <v>16883</v>
      </c>
      <c r="O30" s="2237">
        <f t="shared" si="4"/>
        <v>16969</v>
      </c>
      <c r="P30" s="2237">
        <f>SUM(P27:P29)</f>
        <v>17114</v>
      </c>
      <c r="Q30" s="2237">
        <f>SUM(Q27:Q29)</f>
        <v>17380</v>
      </c>
    </row>
    <row r="31" spans="1:17" s="198" customFormat="1" ht="14.25" x14ac:dyDescent="0.2">
      <c r="C31" s="539"/>
      <c r="D31" s="539"/>
      <c r="E31" s="539"/>
      <c r="F31" s="539"/>
      <c r="G31" s="539"/>
      <c r="H31" s="539"/>
      <c r="I31" s="539"/>
      <c r="J31" s="539"/>
      <c r="K31" s="539"/>
      <c r="L31" s="539"/>
      <c r="M31" s="539"/>
      <c r="N31" s="539"/>
      <c r="O31" s="539"/>
      <c r="P31" s="539"/>
      <c r="Q31" s="539"/>
    </row>
    <row r="32" spans="1:17" s="198" customFormat="1" ht="15" x14ac:dyDescent="0.2">
      <c r="A32" s="5683" t="s">
        <v>60</v>
      </c>
      <c r="B32" s="263" t="s">
        <v>5</v>
      </c>
      <c r="C32" s="264">
        <v>9544</v>
      </c>
      <c r="D32" s="264">
        <v>9908</v>
      </c>
      <c r="E32" s="537">
        <v>10163</v>
      </c>
      <c r="F32" s="537">
        <v>10471</v>
      </c>
      <c r="G32" s="537">
        <v>10536</v>
      </c>
      <c r="H32" s="537">
        <v>10892</v>
      </c>
      <c r="I32" s="537">
        <v>10988</v>
      </c>
      <c r="J32" s="537">
        <f>SUM(J7,J17)</f>
        <v>11728</v>
      </c>
      <c r="K32" s="537">
        <f t="shared" ref="K32:P32" si="5">SUM(K7,K17,K22)</f>
        <v>12146</v>
      </c>
      <c r="L32" s="537">
        <f t="shared" si="5"/>
        <v>12290</v>
      </c>
      <c r="M32" s="537">
        <f t="shared" si="5"/>
        <v>12633</v>
      </c>
      <c r="N32" s="537">
        <f t="shared" si="5"/>
        <v>12573</v>
      </c>
      <c r="O32" s="537">
        <f t="shared" si="5"/>
        <v>12310</v>
      </c>
      <c r="P32" s="537">
        <f t="shared" si="5"/>
        <v>12096</v>
      </c>
      <c r="Q32" s="537">
        <f>SUM(Q7,Q17,Q22)</f>
        <v>11655</v>
      </c>
    </row>
    <row r="33" spans="1:17" s="198" customFormat="1" ht="15" x14ac:dyDescent="0.2">
      <c r="A33" s="5684"/>
      <c r="B33" s="267" t="s">
        <v>6</v>
      </c>
      <c r="C33" s="268">
        <v>16365</v>
      </c>
      <c r="D33" s="268">
        <v>16554</v>
      </c>
      <c r="E33" s="538">
        <v>16906</v>
      </c>
      <c r="F33" s="538">
        <v>17078</v>
      </c>
      <c r="G33" s="538">
        <v>17621</v>
      </c>
      <c r="H33" s="538">
        <v>18117</v>
      </c>
      <c r="I33" s="538">
        <v>18214</v>
      </c>
      <c r="J33" s="538">
        <f>SUM(J8,J12,J18,J27)</f>
        <v>18439</v>
      </c>
      <c r="K33" s="538">
        <f t="shared" ref="K33:P33" si="6">SUM(K8,K12,K18,K27,K23)</f>
        <v>18652</v>
      </c>
      <c r="L33" s="538">
        <f t="shared" si="6"/>
        <v>19365</v>
      </c>
      <c r="M33" s="538">
        <f t="shared" si="6"/>
        <v>19841</v>
      </c>
      <c r="N33" s="538">
        <f t="shared" si="6"/>
        <v>19875</v>
      </c>
      <c r="O33" s="538">
        <f t="shared" si="6"/>
        <v>20275</v>
      </c>
      <c r="P33" s="538">
        <f t="shared" si="6"/>
        <v>20670</v>
      </c>
      <c r="Q33" s="538">
        <f>SUM(Q8,Q12,Q18,Q27,Q23)</f>
        <v>20757</v>
      </c>
    </row>
    <row r="34" spans="1:17" s="198" customFormat="1" ht="15" x14ac:dyDescent="0.2">
      <c r="A34" s="5684"/>
      <c r="B34" s="267" t="s">
        <v>11</v>
      </c>
      <c r="C34" s="268">
        <v>10068</v>
      </c>
      <c r="D34" s="268">
        <v>10440</v>
      </c>
      <c r="E34" s="538">
        <v>10785</v>
      </c>
      <c r="F34" s="538">
        <v>11220</v>
      </c>
      <c r="G34" s="538">
        <v>11293</v>
      </c>
      <c r="H34" s="538">
        <v>11328</v>
      </c>
      <c r="I34" s="538">
        <v>11153</v>
      </c>
      <c r="J34" s="538">
        <f>SUM(J19,J28)</f>
        <v>11398</v>
      </c>
      <c r="K34" s="538">
        <f t="shared" ref="K34:P34" si="7">SUM(K19,K28,K24)</f>
        <v>11602</v>
      </c>
      <c r="L34" s="538">
        <f t="shared" si="7"/>
        <v>11832</v>
      </c>
      <c r="M34" s="538">
        <f t="shared" si="7"/>
        <v>12254</v>
      </c>
      <c r="N34" s="538">
        <f t="shared" si="7"/>
        <v>12408</v>
      </c>
      <c r="O34" s="538">
        <f t="shared" si="7"/>
        <v>12539</v>
      </c>
      <c r="P34" s="538">
        <f t="shared" si="7"/>
        <v>12579</v>
      </c>
      <c r="Q34" s="538">
        <f>SUM(Q19,Q28,Q24)</f>
        <v>12760</v>
      </c>
    </row>
    <row r="35" spans="1:17" s="198" customFormat="1" ht="15" x14ac:dyDescent="0.2">
      <c r="A35" s="5684"/>
      <c r="B35" s="267" t="s">
        <v>7</v>
      </c>
      <c r="C35" s="268">
        <v>6258</v>
      </c>
      <c r="D35" s="268">
        <v>6344</v>
      </c>
      <c r="E35" s="538">
        <v>6550</v>
      </c>
      <c r="F35" s="538">
        <v>6540</v>
      </c>
      <c r="G35" s="538">
        <v>6497</v>
      </c>
      <c r="H35" s="538">
        <v>6521</v>
      </c>
      <c r="I35" s="538">
        <v>6335</v>
      </c>
      <c r="J35" s="538">
        <f t="shared" ref="J35:O35" si="8">SUM(J9,J29)</f>
        <v>6246</v>
      </c>
      <c r="K35" s="538">
        <f t="shared" si="8"/>
        <v>6175</v>
      </c>
      <c r="L35" s="538">
        <f t="shared" si="8"/>
        <v>6359</v>
      </c>
      <c r="M35" s="538">
        <f t="shared" si="8"/>
        <v>6536</v>
      </c>
      <c r="N35" s="538">
        <f t="shared" si="8"/>
        <v>6609</v>
      </c>
      <c r="O35" s="538">
        <f t="shared" si="8"/>
        <v>6626</v>
      </c>
      <c r="P35" s="538">
        <f>SUM(P9,P29)</f>
        <v>6696</v>
      </c>
      <c r="Q35" s="538">
        <f>SUM(Q9,Q29)</f>
        <v>6769</v>
      </c>
    </row>
    <row r="36" spans="1:17" s="198" customFormat="1" ht="15" x14ac:dyDescent="0.2">
      <c r="A36" s="5684"/>
      <c r="B36" s="267" t="s">
        <v>9</v>
      </c>
      <c r="C36" s="268"/>
      <c r="D36" s="268"/>
      <c r="E36" s="538">
        <v>34</v>
      </c>
      <c r="F36" s="538">
        <v>61</v>
      </c>
      <c r="G36" s="538">
        <v>191</v>
      </c>
      <c r="H36" s="538">
        <v>314</v>
      </c>
      <c r="I36" s="538">
        <v>378</v>
      </c>
      <c r="J36" s="538">
        <f t="shared" ref="J36:L37" si="9">SUM(J13)</f>
        <v>462</v>
      </c>
      <c r="K36" s="538">
        <f t="shared" si="9"/>
        <v>539</v>
      </c>
      <c r="L36" s="538">
        <f t="shared" si="9"/>
        <v>603</v>
      </c>
      <c r="M36" s="538">
        <f t="shared" ref="M36:O37" si="10">SUM(M13)</f>
        <v>629</v>
      </c>
      <c r="N36" s="538">
        <f t="shared" si="10"/>
        <v>711</v>
      </c>
      <c r="O36" s="538">
        <f t="shared" si="10"/>
        <v>816</v>
      </c>
      <c r="P36" s="538">
        <f>SUM(P13)</f>
        <v>933</v>
      </c>
      <c r="Q36" s="538">
        <f>SUM(Q13)</f>
        <v>1039</v>
      </c>
    </row>
    <row r="37" spans="1:17" s="198" customFormat="1" ht="15" x14ac:dyDescent="0.2">
      <c r="A37" s="5684"/>
      <c r="B37" s="277" t="s">
        <v>74</v>
      </c>
      <c r="C37" s="271"/>
      <c r="D37" s="271"/>
      <c r="E37" s="540">
        <v>58</v>
      </c>
      <c r="F37" s="540">
        <v>78</v>
      </c>
      <c r="G37" s="540">
        <v>129</v>
      </c>
      <c r="H37" s="540">
        <v>214</v>
      </c>
      <c r="I37" s="540">
        <v>275</v>
      </c>
      <c r="J37" s="540">
        <f t="shared" si="9"/>
        <v>323</v>
      </c>
      <c r="K37" s="540">
        <f t="shared" si="9"/>
        <v>394</v>
      </c>
      <c r="L37" s="540">
        <f t="shared" si="9"/>
        <v>479</v>
      </c>
      <c r="M37" s="540">
        <f t="shared" si="10"/>
        <v>566</v>
      </c>
      <c r="N37" s="540">
        <f t="shared" si="10"/>
        <v>722</v>
      </c>
      <c r="O37" s="540">
        <f t="shared" si="10"/>
        <v>808</v>
      </c>
      <c r="P37" s="540">
        <f>SUM(P14)</f>
        <v>926</v>
      </c>
      <c r="Q37" s="540">
        <f>SUM(Q14)</f>
        <v>1009</v>
      </c>
    </row>
    <row r="38" spans="1:17" s="197" customFormat="1" ht="15" x14ac:dyDescent="0.25">
      <c r="A38" s="5685"/>
      <c r="B38" s="568" t="s">
        <v>12</v>
      </c>
      <c r="C38" s="569">
        <v>42235</v>
      </c>
      <c r="D38" s="569">
        <v>43246</v>
      </c>
      <c r="E38" s="680">
        <v>44496</v>
      </c>
      <c r="F38" s="680">
        <v>45448</v>
      </c>
      <c r="G38" s="680">
        <v>46267</v>
      </c>
      <c r="H38" s="680">
        <v>47386</v>
      </c>
      <c r="I38" s="680">
        <v>47343</v>
      </c>
      <c r="J38" s="680">
        <f t="shared" ref="J38:O38" si="11">SUM(J32:J37)</f>
        <v>48596</v>
      </c>
      <c r="K38" s="680">
        <f t="shared" si="11"/>
        <v>49508</v>
      </c>
      <c r="L38" s="680">
        <f t="shared" si="11"/>
        <v>50928</v>
      </c>
      <c r="M38" s="680">
        <f t="shared" si="11"/>
        <v>52459</v>
      </c>
      <c r="N38" s="680">
        <f t="shared" si="11"/>
        <v>52898</v>
      </c>
      <c r="O38" s="680">
        <f t="shared" si="11"/>
        <v>53374</v>
      </c>
      <c r="P38" s="680">
        <f>SUM(P32:P37)</f>
        <v>53900</v>
      </c>
      <c r="Q38" s="680">
        <f>SUM(Q32:Q37)</f>
        <v>53989</v>
      </c>
    </row>
    <row r="39" spans="1:17" x14ac:dyDescent="0.2">
      <c r="A39" s="2565"/>
      <c r="B39" s="2565"/>
      <c r="C39" s="2603"/>
      <c r="D39" s="2603"/>
      <c r="E39" s="2603"/>
      <c r="F39" s="2603"/>
      <c r="G39" s="2603"/>
      <c r="H39" s="2603"/>
      <c r="I39" s="2603"/>
      <c r="J39" s="2604"/>
      <c r="K39" s="2604"/>
      <c r="L39" s="2605"/>
      <c r="M39" s="2605"/>
      <c r="N39" s="2604"/>
    </row>
    <row r="40" spans="1:17" x14ac:dyDescent="0.2">
      <c r="A40" s="240" t="s">
        <v>648</v>
      </c>
      <c r="B40" s="5085"/>
      <c r="C40" s="2606"/>
      <c r="D40" s="2606"/>
      <c r="E40" s="2606"/>
      <c r="F40" s="2606"/>
      <c r="G40" s="2606"/>
      <c r="H40" s="2606"/>
      <c r="I40" s="2606"/>
      <c r="J40" s="2606"/>
      <c r="K40" s="2606"/>
      <c r="L40" s="2606"/>
      <c r="M40" s="2606"/>
      <c r="N40" s="2606"/>
    </row>
    <row r="41" spans="1:17" x14ac:dyDescent="0.2">
      <c r="A41" s="373"/>
      <c r="B41" s="372"/>
      <c r="C41" s="371"/>
      <c r="D41" s="371"/>
      <c r="E41" s="371"/>
      <c r="F41" s="371"/>
      <c r="G41" s="371"/>
      <c r="H41" s="371"/>
      <c r="I41" s="371"/>
      <c r="J41" s="202"/>
      <c r="K41" s="202"/>
      <c r="L41" s="536"/>
      <c r="M41" s="536"/>
      <c r="N41" s="536"/>
    </row>
    <row r="42" spans="1:17" x14ac:dyDescent="0.2"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</row>
    <row r="43" spans="1:17" ht="14.25" x14ac:dyDescent="0.2">
      <c r="L43" s="198"/>
    </row>
    <row r="47" spans="1:17" x14ac:dyDescent="0.2">
      <c r="A47"/>
    </row>
    <row r="48" spans="1:17" x14ac:dyDescent="0.2">
      <c r="A48"/>
    </row>
    <row r="49" spans="1:1" x14ac:dyDescent="0.2">
      <c r="A49" s="10"/>
    </row>
    <row r="50" spans="1:1" x14ac:dyDescent="0.2">
      <c r="A50"/>
    </row>
    <row r="51" spans="1:1" x14ac:dyDescent="0.2">
      <c r="A51"/>
    </row>
  </sheetData>
  <sheetProtection algorithmName="SHA-512" hashValue="24PFFzzZdTNijtGh8HF84YRERnxoyJND+vJIZhyUK7p4Ui4QdhjrChlUkNZSGOYrLZ1EPukJCxZUd0LljbBMhA==" saltValue="J0J4gwGvxke43NZezEH1MQ==" spinCount="100000" sheet="1" objects="1" scenarios="1"/>
  <mergeCells count="6">
    <mergeCell ref="A7:A10"/>
    <mergeCell ref="A12:A15"/>
    <mergeCell ref="A17:A20"/>
    <mergeCell ref="A27:A30"/>
    <mergeCell ref="A32:A38"/>
    <mergeCell ref="A22:A25"/>
  </mergeCells>
  <printOptions horizontalCentered="1" verticalCentered="1"/>
  <pageMargins left="0.78740157480314965" right="0.27559055118110237" top="0.31496062992125984" bottom="0.15748031496062992" header="0" footer="0"/>
  <pageSetup scale="67" orientation="landscape" horizontalDpi="1200" verticalDpi="1200" r:id="rId1"/>
  <headerFooter alignWithMargins="0"/>
  <rowBreaks count="1" manualBreakCount="1">
    <brk id="40" max="13" man="1"/>
  </rowBreaks>
  <ignoredErrors>
    <ignoredError sqref="K7:K10 K17:K21 K12:K14 K27:K29 L7:L29 M7:Q7 M23:P23" formulaRange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CA105"/>
  <sheetViews>
    <sheetView showGridLines="0" zoomScaleNormal="100" workbookViewId="0">
      <pane xSplit="3" ySplit="4" topLeftCell="BH5" activePane="bottomRight" state="frozen"/>
      <selection sqref="A1:E1"/>
      <selection pane="topRight" sqref="A1:E1"/>
      <selection pane="bottomLeft" sqref="A1:E1"/>
      <selection pane="bottomRight" sqref="A1:C1"/>
    </sheetView>
  </sheetViews>
  <sheetFormatPr baseColWidth="10" defaultRowHeight="12.75" x14ac:dyDescent="0.2"/>
  <cols>
    <col min="1" max="1" width="14.7109375" style="987" customWidth="1"/>
    <col min="2" max="2" width="9.7109375" style="985" customWidth="1"/>
    <col min="3" max="3" width="37.5703125" style="985" bestFit="1" customWidth="1"/>
    <col min="4" max="79" width="8.7109375" style="985" customWidth="1"/>
    <col min="80" max="16384" width="11.42578125" style="985"/>
  </cols>
  <sheetData>
    <row r="1" spans="1:79" s="936" customFormat="1" ht="34.5" customHeight="1" x14ac:dyDescent="0.2">
      <c r="A1" s="5878" t="s">
        <v>1223</v>
      </c>
      <c r="B1" s="5878"/>
      <c r="C1" s="5878"/>
      <c r="D1" s="935"/>
      <c r="E1" s="935"/>
      <c r="F1" s="935"/>
      <c r="G1" s="935"/>
      <c r="H1" s="935"/>
      <c r="I1" s="935"/>
      <c r="J1" s="935"/>
      <c r="K1" s="935"/>
      <c r="L1" s="935"/>
      <c r="M1" s="935"/>
      <c r="N1" s="935"/>
      <c r="O1" s="935"/>
      <c r="P1" s="935"/>
      <c r="Q1" s="935"/>
      <c r="R1" s="935"/>
      <c r="S1" s="935"/>
      <c r="T1" s="935"/>
      <c r="U1" s="935"/>
      <c r="V1" s="935"/>
      <c r="W1" s="935"/>
      <c r="X1" s="935"/>
      <c r="Y1" s="935"/>
      <c r="Z1" s="935"/>
      <c r="AA1" s="935"/>
      <c r="AB1" s="935"/>
      <c r="AC1" s="935"/>
      <c r="AD1" s="935"/>
      <c r="AE1" s="935"/>
      <c r="AF1" s="935"/>
      <c r="AG1" s="935"/>
      <c r="AH1" s="935"/>
      <c r="AI1" s="935"/>
      <c r="AJ1" s="935"/>
      <c r="AK1" s="935"/>
      <c r="AL1" s="935"/>
      <c r="AM1" s="935"/>
      <c r="AN1" s="935"/>
      <c r="AO1" s="935"/>
      <c r="AP1" s="935"/>
      <c r="AQ1" s="935"/>
    </row>
    <row r="2" spans="1:79" s="936" customFormat="1" ht="15.75" x14ac:dyDescent="0.2">
      <c r="A2" s="935"/>
      <c r="C2" s="935"/>
      <c r="D2" s="935"/>
      <c r="E2" s="935"/>
      <c r="F2" s="935"/>
      <c r="G2" s="935"/>
      <c r="H2" s="935"/>
      <c r="I2" s="935"/>
      <c r="J2" s="935"/>
      <c r="K2" s="935"/>
      <c r="L2" s="935"/>
      <c r="M2" s="935"/>
      <c r="N2" s="935"/>
      <c r="O2" s="935"/>
      <c r="P2" s="935"/>
      <c r="Q2" s="935"/>
      <c r="R2" s="935"/>
      <c r="S2" s="935"/>
      <c r="T2" s="935"/>
      <c r="U2" s="935"/>
      <c r="V2" s="935"/>
      <c r="W2" s="935"/>
      <c r="X2" s="935"/>
      <c r="Y2" s="935"/>
      <c r="Z2" s="935"/>
      <c r="AA2" s="935"/>
      <c r="AB2" s="935"/>
      <c r="AC2" s="935"/>
      <c r="AD2" s="935"/>
      <c r="AE2" s="935"/>
      <c r="AF2" s="935"/>
      <c r="AG2" s="935"/>
      <c r="AH2" s="935"/>
      <c r="AI2" s="935"/>
      <c r="AJ2" s="935"/>
      <c r="AK2" s="935"/>
      <c r="AL2" s="935"/>
      <c r="AM2" s="935"/>
      <c r="AN2" s="935"/>
      <c r="AO2" s="935"/>
      <c r="AP2" s="935"/>
      <c r="AQ2" s="935"/>
    </row>
    <row r="3" spans="1:79" s="936" customFormat="1" ht="15" x14ac:dyDescent="0.2">
      <c r="A3" s="5865" t="s">
        <v>16</v>
      </c>
      <c r="B3" s="5865" t="s">
        <v>4</v>
      </c>
      <c r="C3" s="5865" t="s">
        <v>349</v>
      </c>
      <c r="D3" s="5866">
        <v>1999</v>
      </c>
      <c r="E3" s="5867"/>
      <c r="F3" s="5867"/>
      <c r="G3" s="5868"/>
      <c r="H3" s="5866">
        <v>2000</v>
      </c>
      <c r="I3" s="5867"/>
      <c r="J3" s="5867"/>
      <c r="K3" s="5868"/>
      <c r="L3" s="5866">
        <v>2001</v>
      </c>
      <c r="M3" s="5867"/>
      <c r="N3" s="5867"/>
      <c r="O3" s="5868"/>
      <c r="P3" s="5866">
        <v>2002</v>
      </c>
      <c r="Q3" s="5867"/>
      <c r="R3" s="5867"/>
      <c r="S3" s="5868"/>
      <c r="T3" s="5869">
        <v>2003</v>
      </c>
      <c r="U3" s="5870"/>
      <c r="V3" s="5870"/>
      <c r="W3" s="5871"/>
      <c r="X3" s="5866">
        <v>2004</v>
      </c>
      <c r="Y3" s="5867"/>
      <c r="Z3" s="5867"/>
      <c r="AA3" s="5868"/>
      <c r="AB3" s="5866">
        <v>2005</v>
      </c>
      <c r="AC3" s="5867"/>
      <c r="AD3" s="5867"/>
      <c r="AE3" s="5868"/>
      <c r="AF3" s="5866">
        <v>2006</v>
      </c>
      <c r="AG3" s="5867"/>
      <c r="AH3" s="5867"/>
      <c r="AI3" s="5868"/>
      <c r="AJ3" s="5866">
        <v>2007</v>
      </c>
      <c r="AK3" s="5867"/>
      <c r="AL3" s="5867"/>
      <c r="AM3" s="5868"/>
      <c r="AN3" s="5866">
        <v>2008</v>
      </c>
      <c r="AO3" s="5867"/>
      <c r="AP3" s="5867"/>
      <c r="AQ3" s="5868"/>
      <c r="AR3" s="5866">
        <v>2009</v>
      </c>
      <c r="AS3" s="5867"/>
      <c r="AT3" s="5867"/>
      <c r="AU3" s="5868"/>
      <c r="AV3" s="5866">
        <v>2010</v>
      </c>
      <c r="AW3" s="5867"/>
      <c r="AX3" s="5867"/>
      <c r="AY3" s="5868"/>
      <c r="AZ3" s="5866">
        <v>2011</v>
      </c>
      <c r="BA3" s="5867"/>
      <c r="BB3" s="5867"/>
      <c r="BC3" s="5868"/>
      <c r="BD3" s="5866">
        <v>2012</v>
      </c>
      <c r="BE3" s="5867"/>
      <c r="BF3" s="5867"/>
      <c r="BG3" s="5868"/>
      <c r="BH3" s="5866">
        <v>2013</v>
      </c>
      <c r="BI3" s="5867"/>
      <c r="BJ3" s="5867"/>
      <c r="BK3" s="5868"/>
      <c r="BL3" s="5866">
        <v>2014</v>
      </c>
      <c r="BM3" s="5867"/>
      <c r="BN3" s="5867"/>
      <c r="BO3" s="5868"/>
      <c r="BP3" s="5866">
        <v>2015</v>
      </c>
      <c r="BQ3" s="5867"/>
      <c r="BR3" s="5867"/>
      <c r="BS3" s="5868"/>
      <c r="BT3" s="5866">
        <v>2016</v>
      </c>
      <c r="BU3" s="5867"/>
      <c r="BV3" s="5867"/>
      <c r="BW3" s="5868"/>
      <c r="BX3" s="5866">
        <v>2017</v>
      </c>
      <c r="BY3" s="5867"/>
      <c r="BZ3" s="5867"/>
      <c r="CA3" s="5868"/>
    </row>
    <row r="4" spans="1:79" s="937" customFormat="1" ht="15.75" x14ac:dyDescent="0.2">
      <c r="A4" s="5865"/>
      <c r="B4" s="5865"/>
      <c r="C4" s="5865"/>
      <c r="D4" s="1915" t="s">
        <v>517</v>
      </c>
      <c r="E4" s="1918" t="s">
        <v>518</v>
      </c>
      <c r="F4" s="1916" t="s">
        <v>519</v>
      </c>
      <c r="G4" s="995" t="s">
        <v>160</v>
      </c>
      <c r="H4" s="1915" t="s">
        <v>517</v>
      </c>
      <c r="I4" s="1918" t="s">
        <v>518</v>
      </c>
      <c r="J4" s="1916" t="s">
        <v>519</v>
      </c>
      <c r="K4" s="995" t="s">
        <v>160</v>
      </c>
      <c r="L4" s="1915" t="s">
        <v>653</v>
      </c>
      <c r="M4" s="1918" t="s">
        <v>651</v>
      </c>
      <c r="N4" s="1916" t="s">
        <v>652</v>
      </c>
      <c r="O4" s="995" t="s">
        <v>160</v>
      </c>
      <c r="P4" s="1915" t="s">
        <v>653</v>
      </c>
      <c r="Q4" s="1918" t="s">
        <v>651</v>
      </c>
      <c r="R4" s="1916" t="s">
        <v>652</v>
      </c>
      <c r="S4" s="995" t="s">
        <v>160</v>
      </c>
      <c r="T4" s="4406" t="s">
        <v>653</v>
      </c>
      <c r="U4" s="4407" t="s">
        <v>651</v>
      </c>
      <c r="V4" s="4408" t="s">
        <v>652</v>
      </c>
      <c r="W4" s="995" t="s">
        <v>160</v>
      </c>
      <c r="X4" s="1915" t="s">
        <v>653</v>
      </c>
      <c r="Y4" s="1918" t="s">
        <v>651</v>
      </c>
      <c r="Z4" s="1916" t="s">
        <v>652</v>
      </c>
      <c r="AA4" s="995" t="s">
        <v>160</v>
      </c>
      <c r="AB4" s="1915" t="s">
        <v>653</v>
      </c>
      <c r="AC4" s="1918" t="s">
        <v>651</v>
      </c>
      <c r="AD4" s="1916" t="s">
        <v>652</v>
      </c>
      <c r="AE4" s="995" t="s">
        <v>160</v>
      </c>
      <c r="AF4" s="1915" t="s">
        <v>653</v>
      </c>
      <c r="AG4" s="1918" t="s">
        <v>651</v>
      </c>
      <c r="AH4" s="1916" t="s">
        <v>652</v>
      </c>
      <c r="AI4" s="995" t="s">
        <v>160</v>
      </c>
      <c r="AJ4" s="1915" t="s">
        <v>653</v>
      </c>
      <c r="AK4" s="1918" t="s">
        <v>651</v>
      </c>
      <c r="AL4" s="1916" t="s">
        <v>652</v>
      </c>
      <c r="AM4" s="995" t="s">
        <v>160</v>
      </c>
      <c r="AN4" s="1915" t="s">
        <v>653</v>
      </c>
      <c r="AO4" s="1918" t="s">
        <v>651</v>
      </c>
      <c r="AP4" s="1916" t="s">
        <v>652</v>
      </c>
      <c r="AQ4" s="995" t="s">
        <v>160</v>
      </c>
      <c r="AR4" s="1915" t="s">
        <v>653</v>
      </c>
      <c r="AS4" s="1918" t="s">
        <v>651</v>
      </c>
      <c r="AT4" s="1916" t="s">
        <v>652</v>
      </c>
      <c r="AU4" s="995" t="s">
        <v>160</v>
      </c>
      <c r="AV4" s="1915" t="s">
        <v>653</v>
      </c>
      <c r="AW4" s="1918" t="s">
        <v>651</v>
      </c>
      <c r="AX4" s="1916" t="s">
        <v>652</v>
      </c>
      <c r="AY4" s="995" t="s">
        <v>160</v>
      </c>
      <c r="AZ4" s="1915" t="s">
        <v>653</v>
      </c>
      <c r="BA4" s="1918" t="s">
        <v>651</v>
      </c>
      <c r="BB4" s="1916" t="s">
        <v>652</v>
      </c>
      <c r="BC4" s="995" t="s">
        <v>160</v>
      </c>
      <c r="BD4" s="1915" t="s">
        <v>653</v>
      </c>
      <c r="BE4" s="1918" t="s">
        <v>651</v>
      </c>
      <c r="BF4" s="1916" t="s">
        <v>652</v>
      </c>
      <c r="BG4" s="995" t="s">
        <v>160</v>
      </c>
      <c r="BH4" s="1915" t="s">
        <v>653</v>
      </c>
      <c r="BI4" s="1918" t="s">
        <v>651</v>
      </c>
      <c r="BJ4" s="1916" t="s">
        <v>652</v>
      </c>
      <c r="BK4" s="995" t="s">
        <v>160</v>
      </c>
      <c r="BL4" s="1915" t="s">
        <v>653</v>
      </c>
      <c r="BM4" s="1918" t="s">
        <v>651</v>
      </c>
      <c r="BN4" s="1916" t="s">
        <v>652</v>
      </c>
      <c r="BO4" s="995" t="s">
        <v>160</v>
      </c>
      <c r="BP4" s="1915" t="s">
        <v>653</v>
      </c>
      <c r="BQ4" s="1918" t="s">
        <v>651</v>
      </c>
      <c r="BR4" s="1916" t="s">
        <v>652</v>
      </c>
      <c r="BS4" s="995" t="s">
        <v>160</v>
      </c>
      <c r="BT4" s="1915" t="s">
        <v>653</v>
      </c>
      <c r="BU4" s="1918" t="s">
        <v>651</v>
      </c>
      <c r="BV4" s="1916" t="s">
        <v>652</v>
      </c>
      <c r="BW4" s="995" t="s">
        <v>160</v>
      </c>
      <c r="BX4" s="1915" t="s">
        <v>653</v>
      </c>
      <c r="BY4" s="1918" t="s">
        <v>651</v>
      </c>
      <c r="BZ4" s="1916" t="s">
        <v>652</v>
      </c>
      <c r="CA4" s="995" t="s">
        <v>160</v>
      </c>
    </row>
    <row r="5" spans="1:79" s="945" customFormat="1" ht="15" customHeight="1" x14ac:dyDescent="0.25">
      <c r="A5" s="5856" t="s">
        <v>3</v>
      </c>
      <c r="B5" s="5875" t="s">
        <v>5</v>
      </c>
      <c r="C5" s="938" t="s">
        <v>446</v>
      </c>
      <c r="D5" s="794">
        <v>12</v>
      </c>
      <c r="E5" s="795">
        <v>23</v>
      </c>
      <c r="F5" s="795">
        <v>5</v>
      </c>
      <c r="G5" s="939">
        <v>40</v>
      </c>
      <c r="H5" s="794">
        <v>12</v>
      </c>
      <c r="I5" s="795">
        <v>14</v>
      </c>
      <c r="J5" s="795">
        <v>3</v>
      </c>
      <c r="K5" s="939">
        <v>29</v>
      </c>
      <c r="L5" s="794">
        <v>10</v>
      </c>
      <c r="M5" s="795">
        <v>17</v>
      </c>
      <c r="N5" s="795">
        <v>4</v>
      </c>
      <c r="O5" s="939">
        <v>31</v>
      </c>
      <c r="P5" s="794">
        <v>10</v>
      </c>
      <c r="Q5" s="795">
        <v>12</v>
      </c>
      <c r="R5" s="795">
        <v>8</v>
      </c>
      <c r="S5" s="941">
        <v>30</v>
      </c>
      <c r="T5" s="794">
        <v>15</v>
      </c>
      <c r="U5" s="795">
        <v>16</v>
      </c>
      <c r="V5" s="795">
        <v>7</v>
      </c>
      <c r="W5" s="941">
        <f t="shared" ref="W5:W14" si="0">SUM(T5:V5)</f>
        <v>38</v>
      </c>
      <c r="X5" s="794">
        <v>5</v>
      </c>
      <c r="Y5" s="795">
        <v>14</v>
      </c>
      <c r="Z5" s="795">
        <v>15</v>
      </c>
      <c r="AA5" s="939">
        <f t="shared" ref="AA5:AA14" si="1">SUM(X5:Z5)</f>
        <v>34</v>
      </c>
      <c r="AB5" s="940">
        <v>8</v>
      </c>
      <c r="AC5" s="795">
        <v>14</v>
      </c>
      <c r="AD5" s="795">
        <v>10</v>
      </c>
      <c r="AE5" s="939">
        <f t="shared" ref="AE5:AE14" si="2">SUM(AB5:AD5)</f>
        <v>32</v>
      </c>
      <c r="AF5" s="940">
        <v>10</v>
      </c>
      <c r="AG5" s="795">
        <v>11</v>
      </c>
      <c r="AH5" s="795">
        <v>3</v>
      </c>
      <c r="AI5" s="941">
        <f t="shared" ref="AI5:AI14" si="3">SUM(AF5:AH5)</f>
        <v>24</v>
      </c>
      <c r="AJ5" s="940">
        <v>3</v>
      </c>
      <c r="AK5" s="795">
        <v>7</v>
      </c>
      <c r="AL5" s="827">
        <v>8</v>
      </c>
      <c r="AM5" s="941">
        <f t="shared" ref="AM5:AM14" si="4">SUM(AJ5:AL5)</f>
        <v>18</v>
      </c>
      <c r="AN5" s="940">
        <v>8</v>
      </c>
      <c r="AO5" s="795">
        <v>3</v>
      </c>
      <c r="AP5" s="827">
        <v>7</v>
      </c>
      <c r="AQ5" s="941">
        <f t="shared" ref="AQ5:AQ14" si="5">SUM(AN5:AP5)</f>
        <v>18</v>
      </c>
      <c r="AR5" s="944">
        <v>10</v>
      </c>
      <c r="AS5" s="942">
        <v>10</v>
      </c>
      <c r="AT5" s="942">
        <v>10</v>
      </c>
      <c r="AU5" s="943">
        <f>SUM(AR5:AT5)</f>
        <v>30</v>
      </c>
      <c r="AV5" s="942">
        <v>14</v>
      </c>
      <c r="AW5" s="942">
        <v>7</v>
      </c>
      <c r="AX5" s="942">
        <v>6</v>
      </c>
      <c r="AY5" s="943">
        <f>SUM(AV5:AX5)</f>
        <v>27</v>
      </c>
      <c r="AZ5" s="944">
        <v>11</v>
      </c>
      <c r="BA5" s="942">
        <v>15</v>
      </c>
      <c r="BB5" s="942">
        <v>16</v>
      </c>
      <c r="BC5" s="943">
        <v>42</v>
      </c>
      <c r="BD5" s="944">
        <v>8</v>
      </c>
      <c r="BE5" s="942">
        <v>11</v>
      </c>
      <c r="BF5" s="942">
        <v>21</v>
      </c>
      <c r="BG5" s="943">
        <f>SUM(BD5:BF5)</f>
        <v>40</v>
      </c>
      <c r="BH5" s="944">
        <v>15</v>
      </c>
      <c r="BI5" s="942">
        <v>19</v>
      </c>
      <c r="BJ5" s="942">
        <v>21</v>
      </c>
      <c r="BK5" s="943">
        <f>SUM(BH5:BJ5)</f>
        <v>55</v>
      </c>
      <c r="BL5" s="944">
        <v>19</v>
      </c>
      <c r="BM5" s="942">
        <v>24</v>
      </c>
      <c r="BN5" s="942">
        <v>15</v>
      </c>
      <c r="BO5" s="943">
        <f>SUM(BL5:BN5)</f>
        <v>58</v>
      </c>
      <c r="BP5" s="944">
        <v>22</v>
      </c>
      <c r="BQ5" s="942">
        <v>19</v>
      </c>
      <c r="BR5" s="942">
        <v>23</v>
      </c>
      <c r="BS5" s="943">
        <f>SUM(BP5:BR5)</f>
        <v>64</v>
      </c>
      <c r="BT5" s="944">
        <v>26</v>
      </c>
      <c r="BU5" s="942">
        <v>20</v>
      </c>
      <c r="BV5" s="942">
        <v>12</v>
      </c>
      <c r="BW5" s="943">
        <f>SUM(BT5:BV5)</f>
        <v>58</v>
      </c>
      <c r="BX5" s="944">
        <v>41</v>
      </c>
      <c r="BY5" s="942">
        <v>34</v>
      </c>
      <c r="BZ5" s="942">
        <v>25</v>
      </c>
      <c r="CA5" s="943">
        <f>SUM(BX5:BZ5)</f>
        <v>100</v>
      </c>
    </row>
    <row r="6" spans="1:79" s="945" customFormat="1" ht="15" customHeight="1" x14ac:dyDescent="0.25">
      <c r="A6" s="5857"/>
      <c r="B6" s="5876"/>
      <c r="C6" s="946" t="s">
        <v>447</v>
      </c>
      <c r="D6" s="800">
        <v>19</v>
      </c>
      <c r="E6" s="801">
        <v>22</v>
      </c>
      <c r="F6" s="801">
        <v>11</v>
      </c>
      <c r="G6" s="947">
        <v>52</v>
      </c>
      <c r="H6" s="800">
        <v>13</v>
      </c>
      <c r="I6" s="801">
        <v>21</v>
      </c>
      <c r="J6" s="801">
        <v>22</v>
      </c>
      <c r="K6" s="947">
        <v>56</v>
      </c>
      <c r="L6" s="800">
        <v>8</v>
      </c>
      <c r="M6" s="801">
        <v>18</v>
      </c>
      <c r="N6" s="801">
        <v>15</v>
      </c>
      <c r="O6" s="947">
        <v>41</v>
      </c>
      <c r="P6" s="800">
        <v>11</v>
      </c>
      <c r="Q6" s="801">
        <v>11</v>
      </c>
      <c r="R6" s="801">
        <v>8</v>
      </c>
      <c r="S6" s="949">
        <v>30</v>
      </c>
      <c r="T6" s="800">
        <v>12</v>
      </c>
      <c r="U6" s="801">
        <v>12</v>
      </c>
      <c r="V6" s="801">
        <v>10</v>
      </c>
      <c r="W6" s="949">
        <f t="shared" si="0"/>
        <v>34</v>
      </c>
      <c r="X6" s="800">
        <v>10</v>
      </c>
      <c r="Y6" s="801">
        <v>14</v>
      </c>
      <c r="Z6" s="801">
        <v>6</v>
      </c>
      <c r="AA6" s="947">
        <f t="shared" si="1"/>
        <v>30</v>
      </c>
      <c r="AB6" s="948">
        <v>5</v>
      </c>
      <c r="AC6" s="801">
        <v>9</v>
      </c>
      <c r="AD6" s="801">
        <v>14</v>
      </c>
      <c r="AE6" s="947">
        <f t="shared" si="2"/>
        <v>28</v>
      </c>
      <c r="AF6" s="948">
        <v>6</v>
      </c>
      <c r="AG6" s="801">
        <v>14</v>
      </c>
      <c r="AH6" s="801">
        <v>11</v>
      </c>
      <c r="AI6" s="949">
        <f t="shared" si="3"/>
        <v>31</v>
      </c>
      <c r="AJ6" s="948">
        <v>8</v>
      </c>
      <c r="AK6" s="801">
        <v>13</v>
      </c>
      <c r="AL6" s="829">
        <v>10</v>
      </c>
      <c r="AM6" s="949">
        <f t="shared" si="4"/>
        <v>31</v>
      </c>
      <c r="AN6" s="948">
        <v>5</v>
      </c>
      <c r="AO6" s="801">
        <v>6</v>
      </c>
      <c r="AP6" s="829">
        <v>8</v>
      </c>
      <c r="AQ6" s="949">
        <f t="shared" si="5"/>
        <v>19</v>
      </c>
      <c r="AR6" s="952">
        <v>6</v>
      </c>
      <c r="AS6" s="950">
        <v>18</v>
      </c>
      <c r="AT6" s="950">
        <v>9</v>
      </c>
      <c r="AU6" s="951">
        <f t="shared" ref="AU6:AU70" si="6">SUM(AR6:AT6)</f>
        <v>33</v>
      </c>
      <c r="AV6" s="950">
        <v>8</v>
      </c>
      <c r="AW6" s="950">
        <v>18</v>
      </c>
      <c r="AX6" s="950">
        <v>6</v>
      </c>
      <c r="AY6" s="951">
        <f t="shared" ref="AY6:AY70" si="7">SUM(AV6:AX6)</f>
        <v>32</v>
      </c>
      <c r="AZ6" s="952">
        <v>10</v>
      </c>
      <c r="BA6" s="950">
        <v>16</v>
      </c>
      <c r="BB6" s="950">
        <v>10</v>
      </c>
      <c r="BC6" s="951">
        <v>36</v>
      </c>
      <c r="BD6" s="952">
        <v>8</v>
      </c>
      <c r="BE6" s="950">
        <v>4</v>
      </c>
      <c r="BF6" s="950">
        <v>9</v>
      </c>
      <c r="BG6" s="951">
        <f t="shared" ref="BG6:BG93" si="8">SUM(BD6:BF6)</f>
        <v>21</v>
      </c>
      <c r="BH6" s="952">
        <v>15</v>
      </c>
      <c r="BI6" s="950">
        <v>27</v>
      </c>
      <c r="BJ6" s="950">
        <v>17</v>
      </c>
      <c r="BK6" s="951">
        <f t="shared" ref="BK6:BK14" si="9">SUM(BH6:BJ6)</f>
        <v>59</v>
      </c>
      <c r="BL6" s="952">
        <v>13</v>
      </c>
      <c r="BM6" s="950">
        <v>15</v>
      </c>
      <c r="BN6" s="950">
        <v>15</v>
      </c>
      <c r="BO6" s="951">
        <f t="shared" ref="BO6:BO14" si="10">SUM(BL6:BN6)</f>
        <v>43</v>
      </c>
      <c r="BP6" s="952">
        <v>26</v>
      </c>
      <c r="BQ6" s="950">
        <v>25</v>
      </c>
      <c r="BR6" s="950">
        <v>19</v>
      </c>
      <c r="BS6" s="951">
        <f t="shared" ref="BS6:BS14" si="11">SUM(BP6:BR6)</f>
        <v>70</v>
      </c>
      <c r="BT6" s="952">
        <v>23</v>
      </c>
      <c r="BU6" s="950">
        <v>27</v>
      </c>
      <c r="BV6" s="950">
        <v>14</v>
      </c>
      <c r="BW6" s="951">
        <f t="shared" ref="BW6:BW14" si="12">SUM(BT6:BV6)</f>
        <v>64</v>
      </c>
      <c r="BX6" s="952">
        <v>31</v>
      </c>
      <c r="BY6" s="950">
        <v>24</v>
      </c>
      <c r="BZ6" s="950">
        <v>28</v>
      </c>
      <c r="CA6" s="951">
        <f t="shared" ref="CA6:CA14" si="13">SUM(BX6:BZ6)</f>
        <v>83</v>
      </c>
    </row>
    <row r="7" spans="1:79" s="945" customFormat="1" ht="15" customHeight="1" x14ac:dyDescent="0.25">
      <c r="A7" s="5857"/>
      <c r="B7" s="5876"/>
      <c r="C7" s="946" t="s">
        <v>448</v>
      </c>
      <c r="D7" s="800">
        <v>18</v>
      </c>
      <c r="E7" s="801">
        <v>10</v>
      </c>
      <c r="F7" s="801">
        <v>7</v>
      </c>
      <c r="G7" s="947">
        <v>35</v>
      </c>
      <c r="H7" s="800">
        <v>6</v>
      </c>
      <c r="I7" s="801">
        <v>4</v>
      </c>
      <c r="J7" s="801">
        <v>6</v>
      </c>
      <c r="K7" s="947">
        <v>16</v>
      </c>
      <c r="L7" s="800">
        <v>18</v>
      </c>
      <c r="M7" s="801">
        <v>14</v>
      </c>
      <c r="N7" s="801">
        <v>6</v>
      </c>
      <c r="O7" s="947">
        <v>38</v>
      </c>
      <c r="P7" s="800">
        <v>6</v>
      </c>
      <c r="Q7" s="801">
        <v>3</v>
      </c>
      <c r="R7" s="801">
        <v>6</v>
      </c>
      <c r="S7" s="949">
        <v>15</v>
      </c>
      <c r="T7" s="800">
        <v>7</v>
      </c>
      <c r="U7" s="801">
        <v>8</v>
      </c>
      <c r="V7" s="801">
        <v>9</v>
      </c>
      <c r="W7" s="949">
        <f t="shared" si="0"/>
        <v>24</v>
      </c>
      <c r="X7" s="800">
        <v>7</v>
      </c>
      <c r="Y7" s="801">
        <v>16</v>
      </c>
      <c r="Z7" s="801">
        <v>7</v>
      </c>
      <c r="AA7" s="947">
        <f t="shared" si="1"/>
        <v>30</v>
      </c>
      <c r="AB7" s="948">
        <v>4</v>
      </c>
      <c r="AC7" s="801">
        <v>11</v>
      </c>
      <c r="AD7" s="801">
        <v>7</v>
      </c>
      <c r="AE7" s="947">
        <f t="shared" si="2"/>
        <v>22</v>
      </c>
      <c r="AF7" s="948">
        <v>2</v>
      </c>
      <c r="AG7" s="801">
        <v>9</v>
      </c>
      <c r="AH7" s="801">
        <v>9</v>
      </c>
      <c r="AI7" s="949">
        <f t="shared" si="3"/>
        <v>20</v>
      </c>
      <c r="AJ7" s="948">
        <v>2</v>
      </c>
      <c r="AK7" s="801">
        <v>13</v>
      </c>
      <c r="AL7" s="829">
        <v>11</v>
      </c>
      <c r="AM7" s="949">
        <f t="shared" si="4"/>
        <v>26</v>
      </c>
      <c r="AN7" s="948">
        <v>6</v>
      </c>
      <c r="AO7" s="801">
        <v>7</v>
      </c>
      <c r="AP7" s="829">
        <v>2</v>
      </c>
      <c r="AQ7" s="949">
        <f t="shared" si="5"/>
        <v>15</v>
      </c>
      <c r="AR7" s="952">
        <v>7</v>
      </c>
      <c r="AS7" s="950">
        <v>7</v>
      </c>
      <c r="AT7" s="950">
        <v>3</v>
      </c>
      <c r="AU7" s="951">
        <f t="shared" si="6"/>
        <v>17</v>
      </c>
      <c r="AV7" s="950">
        <v>4</v>
      </c>
      <c r="AW7" s="950">
        <v>4</v>
      </c>
      <c r="AX7" s="950">
        <v>1</v>
      </c>
      <c r="AY7" s="951">
        <f t="shared" si="7"/>
        <v>9</v>
      </c>
      <c r="AZ7" s="952">
        <v>6</v>
      </c>
      <c r="BA7" s="950">
        <v>5</v>
      </c>
      <c r="BB7" s="950">
        <v>4</v>
      </c>
      <c r="BC7" s="951">
        <v>15</v>
      </c>
      <c r="BD7" s="952">
        <v>1</v>
      </c>
      <c r="BE7" s="950">
        <v>8</v>
      </c>
      <c r="BF7" s="950">
        <v>1</v>
      </c>
      <c r="BG7" s="951">
        <f t="shared" si="8"/>
        <v>10</v>
      </c>
      <c r="BH7" s="952">
        <v>6</v>
      </c>
      <c r="BI7" s="950">
        <v>6</v>
      </c>
      <c r="BJ7" s="950">
        <v>5</v>
      </c>
      <c r="BK7" s="951">
        <f t="shared" si="9"/>
        <v>17</v>
      </c>
      <c r="BL7" s="952">
        <v>11</v>
      </c>
      <c r="BM7" s="950">
        <v>6</v>
      </c>
      <c r="BN7" s="950">
        <v>4</v>
      </c>
      <c r="BO7" s="951">
        <f t="shared" si="10"/>
        <v>21</v>
      </c>
      <c r="BP7" s="952">
        <v>4</v>
      </c>
      <c r="BQ7" s="950">
        <v>11</v>
      </c>
      <c r="BR7" s="950">
        <v>6</v>
      </c>
      <c r="BS7" s="951">
        <f t="shared" si="11"/>
        <v>21</v>
      </c>
      <c r="BT7" s="952">
        <v>7</v>
      </c>
      <c r="BU7" s="950">
        <v>16</v>
      </c>
      <c r="BV7" s="950">
        <v>7</v>
      </c>
      <c r="BW7" s="951">
        <f t="shared" si="12"/>
        <v>30</v>
      </c>
      <c r="BX7" s="952">
        <v>10</v>
      </c>
      <c r="BY7" s="950">
        <v>10</v>
      </c>
      <c r="BZ7" s="950">
        <v>13</v>
      </c>
      <c r="CA7" s="951">
        <f t="shared" si="13"/>
        <v>33</v>
      </c>
    </row>
    <row r="8" spans="1:79" s="945" customFormat="1" ht="15" customHeight="1" x14ac:dyDescent="0.25">
      <c r="A8" s="5857"/>
      <c r="B8" s="5876"/>
      <c r="C8" s="946" t="s">
        <v>449</v>
      </c>
      <c r="D8" s="800">
        <v>4</v>
      </c>
      <c r="E8" s="801">
        <v>8</v>
      </c>
      <c r="F8" s="801">
        <v>7</v>
      </c>
      <c r="G8" s="947">
        <v>19</v>
      </c>
      <c r="H8" s="800">
        <v>1</v>
      </c>
      <c r="I8" s="801">
        <v>5</v>
      </c>
      <c r="J8" s="801">
        <v>3</v>
      </c>
      <c r="K8" s="947">
        <v>9</v>
      </c>
      <c r="L8" s="800">
        <v>3</v>
      </c>
      <c r="M8" s="801">
        <v>2</v>
      </c>
      <c r="N8" s="801">
        <v>4</v>
      </c>
      <c r="O8" s="947">
        <v>9</v>
      </c>
      <c r="P8" s="800">
        <v>2</v>
      </c>
      <c r="Q8" s="801">
        <v>3</v>
      </c>
      <c r="R8" s="801">
        <v>5</v>
      </c>
      <c r="S8" s="949">
        <v>10</v>
      </c>
      <c r="T8" s="800">
        <v>2</v>
      </c>
      <c r="U8" s="801">
        <v>4</v>
      </c>
      <c r="V8" s="801">
        <v>4</v>
      </c>
      <c r="W8" s="949">
        <f t="shared" si="0"/>
        <v>10</v>
      </c>
      <c r="X8" s="800">
        <v>5</v>
      </c>
      <c r="Y8" s="801">
        <v>5</v>
      </c>
      <c r="Z8" s="801">
        <v>3</v>
      </c>
      <c r="AA8" s="947">
        <f t="shared" si="1"/>
        <v>13</v>
      </c>
      <c r="AB8" s="948">
        <v>2</v>
      </c>
      <c r="AC8" s="801">
        <v>4</v>
      </c>
      <c r="AD8" s="801">
        <v>10</v>
      </c>
      <c r="AE8" s="947">
        <f t="shared" si="2"/>
        <v>16</v>
      </c>
      <c r="AF8" s="948">
        <v>10</v>
      </c>
      <c r="AG8" s="801">
        <v>10</v>
      </c>
      <c r="AH8" s="801">
        <v>5</v>
      </c>
      <c r="AI8" s="949">
        <f t="shared" si="3"/>
        <v>25</v>
      </c>
      <c r="AJ8" s="948">
        <v>5</v>
      </c>
      <c r="AK8" s="801">
        <v>2</v>
      </c>
      <c r="AL8" s="829">
        <v>4</v>
      </c>
      <c r="AM8" s="949">
        <f t="shared" si="4"/>
        <v>11</v>
      </c>
      <c r="AN8" s="948">
        <v>5</v>
      </c>
      <c r="AO8" s="801">
        <v>7</v>
      </c>
      <c r="AP8" s="829">
        <v>3</v>
      </c>
      <c r="AQ8" s="949">
        <f t="shared" si="5"/>
        <v>15</v>
      </c>
      <c r="AR8" s="952">
        <v>6</v>
      </c>
      <c r="AS8" s="950">
        <v>6</v>
      </c>
      <c r="AT8" s="950">
        <v>8</v>
      </c>
      <c r="AU8" s="951">
        <f t="shared" si="6"/>
        <v>20</v>
      </c>
      <c r="AV8" s="950">
        <v>8</v>
      </c>
      <c r="AW8" s="950">
        <v>6</v>
      </c>
      <c r="AX8" s="950">
        <v>3</v>
      </c>
      <c r="AY8" s="951">
        <f t="shared" si="7"/>
        <v>17</v>
      </c>
      <c r="AZ8" s="952">
        <v>3</v>
      </c>
      <c r="BA8" s="950">
        <v>5</v>
      </c>
      <c r="BB8" s="950">
        <v>5</v>
      </c>
      <c r="BC8" s="951">
        <v>13</v>
      </c>
      <c r="BD8" s="952">
        <v>4</v>
      </c>
      <c r="BE8" s="950">
        <v>8</v>
      </c>
      <c r="BF8" s="950">
        <v>5</v>
      </c>
      <c r="BG8" s="951">
        <f t="shared" si="8"/>
        <v>17</v>
      </c>
      <c r="BH8" s="952">
        <v>3</v>
      </c>
      <c r="BI8" s="950">
        <v>7</v>
      </c>
      <c r="BJ8" s="950">
        <v>10</v>
      </c>
      <c r="BK8" s="951">
        <f t="shared" si="9"/>
        <v>20</v>
      </c>
      <c r="BL8" s="952">
        <v>13</v>
      </c>
      <c r="BM8" s="950">
        <v>12</v>
      </c>
      <c r="BN8" s="950">
        <v>9</v>
      </c>
      <c r="BO8" s="951">
        <f t="shared" si="10"/>
        <v>34</v>
      </c>
      <c r="BP8" s="952">
        <v>9</v>
      </c>
      <c r="BQ8" s="950">
        <v>4</v>
      </c>
      <c r="BR8" s="950">
        <v>7</v>
      </c>
      <c r="BS8" s="951">
        <f t="shared" si="11"/>
        <v>20</v>
      </c>
      <c r="BT8" s="952">
        <v>6</v>
      </c>
      <c r="BU8" s="950">
        <v>7</v>
      </c>
      <c r="BV8" s="950">
        <v>4</v>
      </c>
      <c r="BW8" s="951">
        <f t="shared" si="12"/>
        <v>17</v>
      </c>
      <c r="BX8" s="952">
        <v>8</v>
      </c>
      <c r="BY8" s="950">
        <v>6</v>
      </c>
      <c r="BZ8" s="950">
        <v>9</v>
      </c>
      <c r="CA8" s="951">
        <f t="shared" si="13"/>
        <v>23</v>
      </c>
    </row>
    <row r="9" spans="1:79" s="945" customFormat="1" ht="15" customHeight="1" x14ac:dyDescent="0.25">
      <c r="A9" s="5857"/>
      <c r="B9" s="5876"/>
      <c r="C9" s="946" t="s">
        <v>450</v>
      </c>
      <c r="D9" s="800">
        <v>26</v>
      </c>
      <c r="E9" s="801">
        <v>25</v>
      </c>
      <c r="F9" s="801">
        <v>23</v>
      </c>
      <c r="G9" s="947">
        <v>74</v>
      </c>
      <c r="H9" s="800">
        <v>16</v>
      </c>
      <c r="I9" s="801">
        <v>20</v>
      </c>
      <c r="J9" s="801">
        <v>20</v>
      </c>
      <c r="K9" s="947">
        <v>56</v>
      </c>
      <c r="L9" s="800">
        <v>16</v>
      </c>
      <c r="M9" s="801">
        <v>16</v>
      </c>
      <c r="N9" s="801">
        <v>18</v>
      </c>
      <c r="O9" s="947">
        <v>50</v>
      </c>
      <c r="P9" s="800">
        <v>22</v>
      </c>
      <c r="Q9" s="801">
        <v>25</v>
      </c>
      <c r="R9" s="801">
        <v>25</v>
      </c>
      <c r="S9" s="949">
        <v>72</v>
      </c>
      <c r="T9" s="800">
        <v>35</v>
      </c>
      <c r="U9" s="801">
        <v>32</v>
      </c>
      <c r="V9" s="801">
        <v>20</v>
      </c>
      <c r="W9" s="949">
        <f t="shared" si="0"/>
        <v>87</v>
      </c>
      <c r="X9" s="800">
        <v>12</v>
      </c>
      <c r="Y9" s="801">
        <v>33</v>
      </c>
      <c r="Z9" s="801">
        <v>23</v>
      </c>
      <c r="AA9" s="947">
        <f t="shared" si="1"/>
        <v>68</v>
      </c>
      <c r="AB9" s="948">
        <v>20</v>
      </c>
      <c r="AC9" s="801">
        <v>38</v>
      </c>
      <c r="AD9" s="801">
        <v>28</v>
      </c>
      <c r="AE9" s="947">
        <f t="shared" si="2"/>
        <v>86</v>
      </c>
      <c r="AF9" s="948">
        <v>24</v>
      </c>
      <c r="AG9" s="801">
        <v>27</v>
      </c>
      <c r="AH9" s="801">
        <v>37</v>
      </c>
      <c r="AI9" s="949">
        <f t="shared" si="3"/>
        <v>88</v>
      </c>
      <c r="AJ9" s="948">
        <v>24</v>
      </c>
      <c r="AK9" s="801">
        <v>31</v>
      </c>
      <c r="AL9" s="829">
        <v>26</v>
      </c>
      <c r="AM9" s="949">
        <f t="shared" si="4"/>
        <v>81</v>
      </c>
      <c r="AN9" s="948">
        <v>32</v>
      </c>
      <c r="AO9" s="801">
        <v>36</v>
      </c>
      <c r="AP9" s="829">
        <v>24</v>
      </c>
      <c r="AQ9" s="949">
        <f t="shared" si="5"/>
        <v>92</v>
      </c>
      <c r="AR9" s="952">
        <v>31</v>
      </c>
      <c r="AS9" s="950">
        <v>24</v>
      </c>
      <c r="AT9" s="950">
        <v>34</v>
      </c>
      <c r="AU9" s="951">
        <f t="shared" si="6"/>
        <v>89</v>
      </c>
      <c r="AV9" s="950">
        <v>31</v>
      </c>
      <c r="AW9" s="950">
        <v>32</v>
      </c>
      <c r="AX9" s="950">
        <v>26</v>
      </c>
      <c r="AY9" s="951">
        <f t="shared" si="7"/>
        <v>89</v>
      </c>
      <c r="AZ9" s="952">
        <v>23</v>
      </c>
      <c r="BA9" s="950">
        <v>25</v>
      </c>
      <c r="BB9" s="950">
        <v>23</v>
      </c>
      <c r="BC9" s="951">
        <v>71</v>
      </c>
      <c r="BD9" s="952">
        <v>23</v>
      </c>
      <c r="BE9" s="950">
        <v>19</v>
      </c>
      <c r="BF9" s="950">
        <v>27</v>
      </c>
      <c r="BG9" s="951">
        <f t="shared" si="8"/>
        <v>69</v>
      </c>
      <c r="BH9" s="952">
        <v>31</v>
      </c>
      <c r="BI9" s="950">
        <v>38</v>
      </c>
      <c r="BJ9" s="950">
        <v>42</v>
      </c>
      <c r="BK9" s="951">
        <f t="shared" si="9"/>
        <v>111</v>
      </c>
      <c r="BL9" s="952">
        <v>48</v>
      </c>
      <c r="BM9" s="950">
        <v>31</v>
      </c>
      <c r="BN9" s="950">
        <v>18</v>
      </c>
      <c r="BO9" s="951">
        <f t="shared" si="10"/>
        <v>97</v>
      </c>
      <c r="BP9" s="952">
        <v>28</v>
      </c>
      <c r="BQ9" s="950">
        <v>28</v>
      </c>
      <c r="BR9" s="950">
        <v>29</v>
      </c>
      <c r="BS9" s="951">
        <f t="shared" si="11"/>
        <v>85</v>
      </c>
      <c r="BT9" s="952">
        <v>31</v>
      </c>
      <c r="BU9" s="950">
        <v>36</v>
      </c>
      <c r="BV9" s="950">
        <v>23</v>
      </c>
      <c r="BW9" s="951">
        <f t="shared" si="12"/>
        <v>90</v>
      </c>
      <c r="BX9" s="952">
        <v>29</v>
      </c>
      <c r="BY9" s="950">
        <v>27</v>
      </c>
      <c r="BZ9" s="950">
        <v>27</v>
      </c>
      <c r="CA9" s="951">
        <f t="shared" si="13"/>
        <v>83</v>
      </c>
    </row>
    <row r="10" spans="1:79" s="945" customFormat="1" ht="15" customHeight="1" x14ac:dyDescent="0.25">
      <c r="A10" s="5857"/>
      <c r="B10" s="5876"/>
      <c r="C10" s="946" t="s">
        <v>451</v>
      </c>
      <c r="D10" s="800">
        <v>11</v>
      </c>
      <c r="E10" s="801">
        <v>10</v>
      </c>
      <c r="F10" s="801">
        <v>17</v>
      </c>
      <c r="G10" s="947">
        <v>38</v>
      </c>
      <c r="H10" s="800">
        <v>16</v>
      </c>
      <c r="I10" s="801">
        <v>14</v>
      </c>
      <c r="J10" s="801">
        <v>7</v>
      </c>
      <c r="K10" s="947">
        <v>37</v>
      </c>
      <c r="L10" s="800">
        <v>7</v>
      </c>
      <c r="M10" s="801">
        <v>10</v>
      </c>
      <c r="N10" s="801">
        <v>13</v>
      </c>
      <c r="O10" s="947">
        <v>30</v>
      </c>
      <c r="P10" s="800">
        <v>13</v>
      </c>
      <c r="Q10" s="801">
        <v>30</v>
      </c>
      <c r="R10" s="801">
        <v>18</v>
      </c>
      <c r="S10" s="949">
        <v>61</v>
      </c>
      <c r="T10" s="800">
        <v>20</v>
      </c>
      <c r="U10" s="801">
        <v>26</v>
      </c>
      <c r="V10" s="801">
        <v>15</v>
      </c>
      <c r="W10" s="949">
        <f t="shared" si="0"/>
        <v>61</v>
      </c>
      <c r="X10" s="800">
        <v>11</v>
      </c>
      <c r="Y10" s="801">
        <v>14</v>
      </c>
      <c r="Z10" s="801">
        <v>12</v>
      </c>
      <c r="AA10" s="947">
        <f t="shared" si="1"/>
        <v>37</v>
      </c>
      <c r="AB10" s="948">
        <v>14</v>
      </c>
      <c r="AC10" s="801">
        <v>6</v>
      </c>
      <c r="AD10" s="801">
        <v>16</v>
      </c>
      <c r="AE10" s="947">
        <f t="shared" si="2"/>
        <v>36</v>
      </c>
      <c r="AF10" s="948">
        <v>23</v>
      </c>
      <c r="AG10" s="801">
        <v>19</v>
      </c>
      <c r="AH10" s="801">
        <v>17</v>
      </c>
      <c r="AI10" s="949">
        <f t="shared" si="3"/>
        <v>59</v>
      </c>
      <c r="AJ10" s="948">
        <v>16</v>
      </c>
      <c r="AK10" s="801">
        <v>16</v>
      </c>
      <c r="AL10" s="829">
        <v>17</v>
      </c>
      <c r="AM10" s="949">
        <f t="shared" si="4"/>
        <v>49</v>
      </c>
      <c r="AN10" s="948">
        <v>15</v>
      </c>
      <c r="AO10" s="801">
        <v>19</v>
      </c>
      <c r="AP10" s="829">
        <v>17</v>
      </c>
      <c r="AQ10" s="949">
        <f t="shared" si="5"/>
        <v>51</v>
      </c>
      <c r="AR10" s="952">
        <v>13</v>
      </c>
      <c r="AS10" s="950">
        <v>14</v>
      </c>
      <c r="AT10" s="950">
        <v>16</v>
      </c>
      <c r="AU10" s="951">
        <f t="shared" si="6"/>
        <v>43</v>
      </c>
      <c r="AV10" s="950">
        <v>9</v>
      </c>
      <c r="AW10" s="950">
        <v>12</v>
      </c>
      <c r="AX10" s="950">
        <v>8</v>
      </c>
      <c r="AY10" s="951">
        <f t="shared" si="7"/>
        <v>29</v>
      </c>
      <c r="AZ10" s="952">
        <v>20</v>
      </c>
      <c r="BA10" s="950">
        <v>13</v>
      </c>
      <c r="BB10" s="950">
        <v>9</v>
      </c>
      <c r="BC10" s="951">
        <v>42</v>
      </c>
      <c r="BD10" s="952">
        <v>13</v>
      </c>
      <c r="BE10" s="950">
        <v>14</v>
      </c>
      <c r="BF10" s="950">
        <v>11</v>
      </c>
      <c r="BG10" s="951">
        <f t="shared" si="8"/>
        <v>38</v>
      </c>
      <c r="BH10" s="952">
        <v>12</v>
      </c>
      <c r="BI10" s="950">
        <v>24</v>
      </c>
      <c r="BJ10" s="950">
        <v>18</v>
      </c>
      <c r="BK10" s="951">
        <f t="shared" si="9"/>
        <v>54</v>
      </c>
      <c r="BL10" s="952">
        <v>20</v>
      </c>
      <c r="BM10" s="950">
        <v>4</v>
      </c>
      <c r="BN10" s="950">
        <v>15</v>
      </c>
      <c r="BO10" s="951">
        <f t="shared" si="10"/>
        <v>39</v>
      </c>
      <c r="BP10" s="952">
        <v>17</v>
      </c>
      <c r="BQ10" s="950">
        <v>13</v>
      </c>
      <c r="BR10" s="950">
        <v>13</v>
      </c>
      <c r="BS10" s="951">
        <f t="shared" si="11"/>
        <v>43</v>
      </c>
      <c r="BT10" s="952">
        <v>20</v>
      </c>
      <c r="BU10" s="950">
        <v>20</v>
      </c>
      <c r="BV10" s="950">
        <v>15</v>
      </c>
      <c r="BW10" s="951">
        <f t="shared" si="12"/>
        <v>55</v>
      </c>
      <c r="BX10" s="952">
        <v>20</v>
      </c>
      <c r="BY10" s="950">
        <v>19</v>
      </c>
      <c r="BZ10" s="950">
        <v>23</v>
      </c>
      <c r="CA10" s="951">
        <f t="shared" si="13"/>
        <v>62</v>
      </c>
    </row>
    <row r="11" spans="1:79" s="945" customFormat="1" ht="15" customHeight="1" x14ac:dyDescent="0.25">
      <c r="A11" s="5857"/>
      <c r="B11" s="5876"/>
      <c r="C11" s="946" t="s">
        <v>452</v>
      </c>
      <c r="D11" s="800">
        <v>5</v>
      </c>
      <c r="E11" s="801">
        <v>6</v>
      </c>
      <c r="F11" s="801">
        <v>6</v>
      </c>
      <c r="G11" s="947">
        <v>17</v>
      </c>
      <c r="H11" s="800">
        <v>9</v>
      </c>
      <c r="I11" s="801">
        <v>7</v>
      </c>
      <c r="J11" s="801">
        <v>8</v>
      </c>
      <c r="K11" s="947">
        <v>24</v>
      </c>
      <c r="L11" s="800">
        <v>17</v>
      </c>
      <c r="M11" s="801">
        <v>6</v>
      </c>
      <c r="N11" s="801">
        <v>2</v>
      </c>
      <c r="O11" s="947">
        <v>25</v>
      </c>
      <c r="P11" s="800">
        <v>3</v>
      </c>
      <c r="Q11" s="801">
        <v>3</v>
      </c>
      <c r="R11" s="801">
        <v>1</v>
      </c>
      <c r="S11" s="949">
        <v>7</v>
      </c>
      <c r="T11" s="800">
        <v>6</v>
      </c>
      <c r="U11" s="801">
        <v>2</v>
      </c>
      <c r="V11" s="801">
        <v>5</v>
      </c>
      <c r="W11" s="949">
        <f t="shared" si="0"/>
        <v>13</v>
      </c>
      <c r="X11" s="800">
        <v>2</v>
      </c>
      <c r="Y11" s="801">
        <v>3</v>
      </c>
      <c r="Z11" s="801">
        <v>2</v>
      </c>
      <c r="AA11" s="947">
        <f t="shared" si="1"/>
        <v>7</v>
      </c>
      <c r="AB11" s="948">
        <v>6</v>
      </c>
      <c r="AC11" s="801">
        <v>2</v>
      </c>
      <c r="AD11" s="801">
        <v>3</v>
      </c>
      <c r="AE11" s="947">
        <f t="shared" si="2"/>
        <v>11</v>
      </c>
      <c r="AF11" s="948">
        <v>5</v>
      </c>
      <c r="AG11" s="801">
        <v>1</v>
      </c>
      <c r="AH11" s="801">
        <v>3</v>
      </c>
      <c r="AI11" s="949">
        <f t="shared" si="3"/>
        <v>9</v>
      </c>
      <c r="AJ11" s="948">
        <v>2</v>
      </c>
      <c r="AK11" s="801">
        <v>2</v>
      </c>
      <c r="AL11" s="801"/>
      <c r="AM11" s="949">
        <f t="shared" si="4"/>
        <v>4</v>
      </c>
      <c r="AN11" s="948" t="s">
        <v>227</v>
      </c>
      <c r="AO11" s="801">
        <v>2</v>
      </c>
      <c r="AP11" s="801">
        <v>1</v>
      </c>
      <c r="AQ11" s="949">
        <f t="shared" si="5"/>
        <v>3</v>
      </c>
      <c r="AR11" s="952">
        <v>3</v>
      </c>
      <c r="AS11" s="950">
        <v>2</v>
      </c>
      <c r="AT11" s="950">
        <v>1</v>
      </c>
      <c r="AU11" s="951">
        <f t="shared" si="6"/>
        <v>6</v>
      </c>
      <c r="AV11" s="950">
        <v>2</v>
      </c>
      <c r="AW11" s="950">
        <v>1</v>
      </c>
      <c r="AX11" s="950">
        <v>2</v>
      </c>
      <c r="AY11" s="951">
        <f t="shared" si="7"/>
        <v>5</v>
      </c>
      <c r="AZ11" s="952">
        <v>1</v>
      </c>
      <c r="BA11" s="950">
        <v>2</v>
      </c>
      <c r="BB11" s="950">
        <v>2</v>
      </c>
      <c r="BC11" s="951">
        <v>5</v>
      </c>
      <c r="BD11" s="952">
        <v>2</v>
      </c>
      <c r="BE11" s="950">
        <v>1</v>
      </c>
      <c r="BF11" s="950">
        <v>1</v>
      </c>
      <c r="BG11" s="951">
        <f t="shared" si="8"/>
        <v>4</v>
      </c>
      <c r="BH11" s="952">
        <v>1</v>
      </c>
      <c r="BI11" s="950">
        <v>4</v>
      </c>
      <c r="BJ11" s="950">
        <v>4</v>
      </c>
      <c r="BK11" s="951">
        <f t="shared" si="9"/>
        <v>9</v>
      </c>
      <c r="BL11" s="952">
        <v>5</v>
      </c>
      <c r="BM11" s="950">
        <v>8</v>
      </c>
      <c r="BN11" s="950">
        <v>6</v>
      </c>
      <c r="BO11" s="951">
        <f t="shared" si="10"/>
        <v>19</v>
      </c>
      <c r="BP11" s="952">
        <v>4</v>
      </c>
      <c r="BQ11" s="950">
        <v>5</v>
      </c>
      <c r="BR11" s="950">
        <v>8</v>
      </c>
      <c r="BS11" s="951">
        <f t="shared" si="11"/>
        <v>17</v>
      </c>
      <c r="BT11" s="952">
        <v>5</v>
      </c>
      <c r="BU11" s="950">
        <v>6</v>
      </c>
      <c r="BV11" s="950">
        <v>3</v>
      </c>
      <c r="BW11" s="951">
        <f t="shared" si="12"/>
        <v>14</v>
      </c>
      <c r="BX11" s="952">
        <v>9</v>
      </c>
      <c r="BY11" s="950">
        <v>9</v>
      </c>
      <c r="BZ11" s="950">
        <v>5</v>
      </c>
      <c r="CA11" s="951">
        <f t="shared" si="13"/>
        <v>23</v>
      </c>
    </row>
    <row r="12" spans="1:79" s="945" customFormat="1" ht="15" customHeight="1" x14ac:dyDescent="0.25">
      <c r="A12" s="5857"/>
      <c r="B12" s="5876"/>
      <c r="C12" s="946" t="s">
        <v>453</v>
      </c>
      <c r="D12" s="800">
        <v>20</v>
      </c>
      <c r="E12" s="801">
        <v>15</v>
      </c>
      <c r="F12" s="801">
        <v>9</v>
      </c>
      <c r="G12" s="947">
        <v>44</v>
      </c>
      <c r="H12" s="800">
        <v>17</v>
      </c>
      <c r="I12" s="801">
        <v>19</v>
      </c>
      <c r="J12" s="801">
        <v>15</v>
      </c>
      <c r="K12" s="947">
        <v>51</v>
      </c>
      <c r="L12" s="800">
        <v>13</v>
      </c>
      <c r="M12" s="801">
        <v>10</v>
      </c>
      <c r="N12" s="801">
        <v>6</v>
      </c>
      <c r="O12" s="947">
        <v>29</v>
      </c>
      <c r="P12" s="800">
        <v>12</v>
      </c>
      <c r="Q12" s="801">
        <v>15</v>
      </c>
      <c r="R12" s="801">
        <v>8</v>
      </c>
      <c r="S12" s="949">
        <v>35</v>
      </c>
      <c r="T12" s="800">
        <v>24</v>
      </c>
      <c r="U12" s="801">
        <v>13</v>
      </c>
      <c r="V12" s="801">
        <v>6</v>
      </c>
      <c r="W12" s="949">
        <f t="shared" si="0"/>
        <v>43</v>
      </c>
      <c r="X12" s="800">
        <v>17</v>
      </c>
      <c r="Y12" s="801">
        <v>15</v>
      </c>
      <c r="Z12" s="801">
        <v>17</v>
      </c>
      <c r="AA12" s="947">
        <f t="shared" si="1"/>
        <v>49</v>
      </c>
      <c r="AB12" s="948">
        <v>24</v>
      </c>
      <c r="AC12" s="801">
        <v>15</v>
      </c>
      <c r="AD12" s="801">
        <v>17</v>
      </c>
      <c r="AE12" s="947">
        <f t="shared" si="2"/>
        <v>56</v>
      </c>
      <c r="AF12" s="948">
        <v>13</v>
      </c>
      <c r="AG12" s="801">
        <v>12</v>
      </c>
      <c r="AH12" s="801">
        <v>15</v>
      </c>
      <c r="AI12" s="949">
        <f t="shared" si="3"/>
        <v>40</v>
      </c>
      <c r="AJ12" s="948">
        <v>14</v>
      </c>
      <c r="AK12" s="801">
        <v>30</v>
      </c>
      <c r="AL12" s="829">
        <v>10</v>
      </c>
      <c r="AM12" s="949">
        <f t="shared" si="4"/>
        <v>54</v>
      </c>
      <c r="AN12" s="948">
        <v>13</v>
      </c>
      <c r="AO12" s="801">
        <v>12</v>
      </c>
      <c r="AP12" s="829">
        <v>28</v>
      </c>
      <c r="AQ12" s="949">
        <f t="shared" si="5"/>
        <v>53</v>
      </c>
      <c r="AR12" s="952">
        <v>3</v>
      </c>
      <c r="AS12" s="950">
        <v>22</v>
      </c>
      <c r="AT12" s="950">
        <v>7</v>
      </c>
      <c r="AU12" s="951">
        <f t="shared" si="6"/>
        <v>32</v>
      </c>
      <c r="AV12" s="950">
        <v>11</v>
      </c>
      <c r="AW12" s="950">
        <v>20</v>
      </c>
      <c r="AX12" s="950">
        <v>15</v>
      </c>
      <c r="AY12" s="951">
        <f t="shared" si="7"/>
        <v>46</v>
      </c>
      <c r="AZ12" s="952">
        <v>18</v>
      </c>
      <c r="BA12" s="950">
        <v>19</v>
      </c>
      <c r="BB12" s="950">
        <v>8</v>
      </c>
      <c r="BC12" s="951">
        <v>45</v>
      </c>
      <c r="BD12" s="952">
        <v>12</v>
      </c>
      <c r="BE12" s="950">
        <v>20</v>
      </c>
      <c r="BF12" s="950">
        <v>5</v>
      </c>
      <c r="BG12" s="951">
        <f t="shared" si="8"/>
        <v>37</v>
      </c>
      <c r="BH12" s="952">
        <v>18</v>
      </c>
      <c r="BI12" s="950">
        <v>16</v>
      </c>
      <c r="BJ12" s="950">
        <v>20</v>
      </c>
      <c r="BK12" s="951">
        <f t="shared" si="9"/>
        <v>54</v>
      </c>
      <c r="BL12" s="952">
        <v>33</v>
      </c>
      <c r="BM12" s="950">
        <v>36</v>
      </c>
      <c r="BN12" s="950">
        <v>15</v>
      </c>
      <c r="BO12" s="951">
        <f t="shared" si="10"/>
        <v>84</v>
      </c>
      <c r="BP12" s="952">
        <v>21</v>
      </c>
      <c r="BQ12" s="950">
        <v>23</v>
      </c>
      <c r="BR12" s="950">
        <v>29</v>
      </c>
      <c r="BS12" s="951">
        <f t="shared" si="11"/>
        <v>73</v>
      </c>
      <c r="BT12" s="952">
        <v>20</v>
      </c>
      <c r="BU12" s="950">
        <v>19</v>
      </c>
      <c r="BV12" s="950">
        <v>17</v>
      </c>
      <c r="BW12" s="951">
        <f t="shared" si="12"/>
        <v>56</v>
      </c>
      <c r="BX12" s="952">
        <v>20</v>
      </c>
      <c r="BY12" s="950">
        <v>22</v>
      </c>
      <c r="BZ12" s="950">
        <v>18</v>
      </c>
      <c r="CA12" s="951">
        <f t="shared" si="13"/>
        <v>60</v>
      </c>
    </row>
    <row r="13" spans="1:79" s="945" customFormat="1" ht="15" customHeight="1" x14ac:dyDescent="0.25">
      <c r="A13" s="5857"/>
      <c r="B13" s="5876"/>
      <c r="C13" s="946" t="s">
        <v>454</v>
      </c>
      <c r="D13" s="800">
        <v>31</v>
      </c>
      <c r="E13" s="801">
        <v>24</v>
      </c>
      <c r="F13" s="801">
        <v>39</v>
      </c>
      <c r="G13" s="947">
        <v>94</v>
      </c>
      <c r="H13" s="800">
        <v>14</v>
      </c>
      <c r="I13" s="801">
        <v>17</v>
      </c>
      <c r="J13" s="801">
        <v>26</v>
      </c>
      <c r="K13" s="947">
        <v>57</v>
      </c>
      <c r="L13" s="800">
        <v>27</v>
      </c>
      <c r="M13" s="801">
        <v>14</v>
      </c>
      <c r="N13" s="801">
        <v>24</v>
      </c>
      <c r="O13" s="947">
        <v>65</v>
      </c>
      <c r="P13" s="800">
        <v>24</v>
      </c>
      <c r="Q13" s="801">
        <v>31</v>
      </c>
      <c r="R13" s="801">
        <v>36</v>
      </c>
      <c r="S13" s="949">
        <v>91</v>
      </c>
      <c r="T13" s="800">
        <v>41</v>
      </c>
      <c r="U13" s="801">
        <v>37</v>
      </c>
      <c r="V13" s="801">
        <v>32</v>
      </c>
      <c r="W13" s="949">
        <f t="shared" si="0"/>
        <v>110</v>
      </c>
      <c r="X13" s="800">
        <v>36</v>
      </c>
      <c r="Y13" s="801">
        <v>30</v>
      </c>
      <c r="Z13" s="801">
        <v>34</v>
      </c>
      <c r="AA13" s="947">
        <f t="shared" si="1"/>
        <v>100</v>
      </c>
      <c r="AB13" s="948">
        <v>36</v>
      </c>
      <c r="AC13" s="801">
        <v>51</v>
      </c>
      <c r="AD13" s="801">
        <v>28</v>
      </c>
      <c r="AE13" s="947">
        <f t="shared" si="2"/>
        <v>115</v>
      </c>
      <c r="AF13" s="948">
        <v>38</v>
      </c>
      <c r="AG13" s="801">
        <v>30</v>
      </c>
      <c r="AH13" s="801">
        <v>24</v>
      </c>
      <c r="AI13" s="949">
        <f t="shared" si="3"/>
        <v>92</v>
      </c>
      <c r="AJ13" s="948">
        <v>28</v>
      </c>
      <c r="AK13" s="801">
        <v>26</v>
      </c>
      <c r="AL13" s="829">
        <v>9</v>
      </c>
      <c r="AM13" s="949">
        <f t="shared" si="4"/>
        <v>63</v>
      </c>
      <c r="AN13" s="948">
        <v>38</v>
      </c>
      <c r="AO13" s="801">
        <v>33</v>
      </c>
      <c r="AP13" s="829">
        <v>9</v>
      </c>
      <c r="AQ13" s="949">
        <f t="shared" si="5"/>
        <v>80</v>
      </c>
      <c r="AR13" s="952">
        <v>21</v>
      </c>
      <c r="AS13" s="950">
        <v>20</v>
      </c>
      <c r="AT13" s="950">
        <v>16</v>
      </c>
      <c r="AU13" s="951">
        <f t="shared" si="6"/>
        <v>57</v>
      </c>
      <c r="AV13" s="950">
        <v>22</v>
      </c>
      <c r="AW13" s="950">
        <v>18</v>
      </c>
      <c r="AX13" s="950">
        <v>15</v>
      </c>
      <c r="AY13" s="951">
        <f t="shared" si="7"/>
        <v>55</v>
      </c>
      <c r="AZ13" s="952">
        <v>19</v>
      </c>
      <c r="BA13" s="950">
        <v>29</v>
      </c>
      <c r="BB13" s="950">
        <v>23</v>
      </c>
      <c r="BC13" s="951">
        <v>71</v>
      </c>
      <c r="BD13" s="952">
        <v>24</v>
      </c>
      <c r="BE13" s="950">
        <v>30</v>
      </c>
      <c r="BF13" s="950">
        <v>17</v>
      </c>
      <c r="BG13" s="951">
        <f t="shared" si="8"/>
        <v>71</v>
      </c>
      <c r="BH13" s="952">
        <v>23</v>
      </c>
      <c r="BI13" s="950">
        <v>39</v>
      </c>
      <c r="BJ13" s="950">
        <v>14</v>
      </c>
      <c r="BK13" s="951">
        <f t="shared" si="9"/>
        <v>76</v>
      </c>
      <c r="BL13" s="952">
        <v>18</v>
      </c>
      <c r="BM13" s="950">
        <v>26</v>
      </c>
      <c r="BN13" s="950">
        <v>15</v>
      </c>
      <c r="BO13" s="951">
        <f t="shared" si="10"/>
        <v>59</v>
      </c>
      <c r="BP13" s="952">
        <v>19</v>
      </c>
      <c r="BQ13" s="950">
        <v>15</v>
      </c>
      <c r="BR13" s="950">
        <v>23</v>
      </c>
      <c r="BS13" s="951">
        <f t="shared" si="11"/>
        <v>57</v>
      </c>
      <c r="BT13" s="952">
        <v>25</v>
      </c>
      <c r="BU13" s="950">
        <v>26</v>
      </c>
      <c r="BV13" s="950">
        <v>6</v>
      </c>
      <c r="BW13" s="951">
        <f t="shared" si="12"/>
        <v>57</v>
      </c>
      <c r="BX13" s="952">
        <v>25</v>
      </c>
      <c r="BY13" s="950">
        <v>15</v>
      </c>
      <c r="BZ13" s="950">
        <v>22</v>
      </c>
      <c r="CA13" s="951">
        <f t="shared" si="13"/>
        <v>62</v>
      </c>
    </row>
    <row r="14" spans="1:79" s="945" customFormat="1" ht="15" customHeight="1" x14ac:dyDescent="0.25">
      <c r="A14" s="5857"/>
      <c r="B14" s="5876"/>
      <c r="C14" s="953" t="s">
        <v>506</v>
      </c>
      <c r="D14" s="809">
        <v>0</v>
      </c>
      <c r="E14" s="810">
        <v>0</v>
      </c>
      <c r="F14" s="810">
        <v>0</v>
      </c>
      <c r="G14" s="954">
        <v>0</v>
      </c>
      <c r="H14" s="809">
        <v>0</v>
      </c>
      <c r="I14" s="810">
        <v>0</v>
      </c>
      <c r="J14" s="810">
        <v>0</v>
      </c>
      <c r="K14" s="954">
        <v>0</v>
      </c>
      <c r="L14" s="809">
        <v>0</v>
      </c>
      <c r="M14" s="810">
        <v>0</v>
      </c>
      <c r="N14" s="810">
        <v>0</v>
      </c>
      <c r="O14" s="954">
        <v>0</v>
      </c>
      <c r="P14" s="809">
        <v>0</v>
      </c>
      <c r="Q14" s="810">
        <v>0</v>
      </c>
      <c r="R14" s="810">
        <v>0</v>
      </c>
      <c r="S14" s="956">
        <v>0</v>
      </c>
      <c r="T14" s="809" t="s">
        <v>227</v>
      </c>
      <c r="U14" s="810" t="s">
        <v>227</v>
      </c>
      <c r="V14" s="810" t="s">
        <v>227</v>
      </c>
      <c r="W14" s="956">
        <f t="shared" si="0"/>
        <v>0</v>
      </c>
      <c r="X14" s="809" t="s">
        <v>227</v>
      </c>
      <c r="Y14" s="810" t="s">
        <v>227</v>
      </c>
      <c r="Z14" s="810" t="s">
        <v>227</v>
      </c>
      <c r="AA14" s="954">
        <f t="shared" si="1"/>
        <v>0</v>
      </c>
      <c r="AB14" s="955" t="s">
        <v>227</v>
      </c>
      <c r="AC14" s="810" t="s">
        <v>227</v>
      </c>
      <c r="AD14" s="810" t="s">
        <v>227</v>
      </c>
      <c r="AE14" s="954">
        <f t="shared" si="2"/>
        <v>0</v>
      </c>
      <c r="AF14" s="955" t="s">
        <v>227</v>
      </c>
      <c r="AG14" s="810" t="s">
        <v>227</v>
      </c>
      <c r="AH14" s="810" t="s">
        <v>227</v>
      </c>
      <c r="AI14" s="956">
        <f t="shared" si="3"/>
        <v>0</v>
      </c>
      <c r="AJ14" s="955" t="s">
        <v>227</v>
      </c>
      <c r="AK14" s="810">
        <v>1</v>
      </c>
      <c r="AL14" s="853">
        <v>1</v>
      </c>
      <c r="AM14" s="956">
        <f t="shared" si="4"/>
        <v>2</v>
      </c>
      <c r="AN14" s="955">
        <v>4</v>
      </c>
      <c r="AO14" s="810">
        <v>9</v>
      </c>
      <c r="AP14" s="853">
        <v>3</v>
      </c>
      <c r="AQ14" s="956">
        <f t="shared" si="5"/>
        <v>16</v>
      </c>
      <c r="AR14" s="959">
        <v>5</v>
      </c>
      <c r="AS14" s="957">
        <v>12</v>
      </c>
      <c r="AT14" s="957">
        <v>6</v>
      </c>
      <c r="AU14" s="958">
        <f t="shared" si="6"/>
        <v>23</v>
      </c>
      <c r="AV14" s="957">
        <v>15</v>
      </c>
      <c r="AW14" s="957">
        <v>31</v>
      </c>
      <c r="AX14" s="957">
        <v>13</v>
      </c>
      <c r="AY14" s="958">
        <f t="shared" si="7"/>
        <v>59</v>
      </c>
      <c r="AZ14" s="959">
        <v>18</v>
      </c>
      <c r="BA14" s="957">
        <v>22</v>
      </c>
      <c r="BB14" s="957">
        <v>24</v>
      </c>
      <c r="BC14" s="958">
        <v>64</v>
      </c>
      <c r="BD14" s="959">
        <v>15</v>
      </c>
      <c r="BE14" s="957">
        <v>20</v>
      </c>
      <c r="BF14" s="957">
        <v>20</v>
      </c>
      <c r="BG14" s="958">
        <f t="shared" si="8"/>
        <v>55</v>
      </c>
      <c r="BH14" s="959">
        <v>19</v>
      </c>
      <c r="BI14" s="957">
        <v>25</v>
      </c>
      <c r="BJ14" s="957">
        <v>23</v>
      </c>
      <c r="BK14" s="958">
        <f t="shared" si="9"/>
        <v>67</v>
      </c>
      <c r="BL14" s="959">
        <v>51</v>
      </c>
      <c r="BM14" s="957">
        <v>39</v>
      </c>
      <c r="BN14" s="957">
        <v>30</v>
      </c>
      <c r="BO14" s="958">
        <f t="shared" si="10"/>
        <v>120</v>
      </c>
      <c r="BP14" s="959">
        <v>28</v>
      </c>
      <c r="BQ14" s="957">
        <v>31</v>
      </c>
      <c r="BR14" s="957">
        <v>18</v>
      </c>
      <c r="BS14" s="958">
        <f t="shared" si="11"/>
        <v>77</v>
      </c>
      <c r="BT14" s="959">
        <v>39</v>
      </c>
      <c r="BU14" s="957">
        <v>29</v>
      </c>
      <c r="BV14" s="957">
        <v>13</v>
      </c>
      <c r="BW14" s="958">
        <f t="shared" si="12"/>
        <v>81</v>
      </c>
      <c r="BX14" s="959">
        <v>29</v>
      </c>
      <c r="BY14" s="957">
        <v>38</v>
      </c>
      <c r="BZ14" s="957">
        <v>14</v>
      </c>
      <c r="CA14" s="958">
        <f t="shared" si="13"/>
        <v>81</v>
      </c>
    </row>
    <row r="15" spans="1:79" s="945" customFormat="1" ht="15" customHeight="1" x14ac:dyDescent="0.25">
      <c r="A15" s="5857"/>
      <c r="B15" s="5877"/>
      <c r="C15" s="960" t="s">
        <v>160</v>
      </c>
      <c r="D15" s="961">
        <v>146</v>
      </c>
      <c r="E15" s="962">
        <v>143</v>
      </c>
      <c r="F15" s="962">
        <v>124</v>
      </c>
      <c r="G15" s="963">
        <v>413</v>
      </c>
      <c r="H15" s="961">
        <v>104</v>
      </c>
      <c r="I15" s="962">
        <v>121</v>
      </c>
      <c r="J15" s="962">
        <v>110</v>
      </c>
      <c r="K15" s="963">
        <v>335</v>
      </c>
      <c r="L15" s="961">
        <v>119</v>
      </c>
      <c r="M15" s="962">
        <v>107</v>
      </c>
      <c r="N15" s="962">
        <v>92</v>
      </c>
      <c r="O15" s="963">
        <v>318</v>
      </c>
      <c r="P15" s="961">
        <v>103</v>
      </c>
      <c r="Q15" s="962">
        <v>133</v>
      </c>
      <c r="R15" s="962">
        <v>115</v>
      </c>
      <c r="S15" s="963">
        <v>351</v>
      </c>
      <c r="T15" s="961">
        <f t="shared" ref="T15:BC15" si="14">SUM(T5:T14)</f>
        <v>162</v>
      </c>
      <c r="U15" s="962">
        <f t="shared" si="14"/>
        <v>150</v>
      </c>
      <c r="V15" s="962">
        <f t="shared" si="14"/>
        <v>108</v>
      </c>
      <c r="W15" s="963">
        <f t="shared" si="14"/>
        <v>420</v>
      </c>
      <c r="X15" s="961">
        <f t="shared" si="14"/>
        <v>105</v>
      </c>
      <c r="Y15" s="962">
        <f t="shared" si="14"/>
        <v>144</v>
      </c>
      <c r="Z15" s="962">
        <f t="shared" si="14"/>
        <v>119</v>
      </c>
      <c r="AA15" s="963">
        <f t="shared" si="14"/>
        <v>368</v>
      </c>
      <c r="AB15" s="961">
        <f t="shared" si="14"/>
        <v>119</v>
      </c>
      <c r="AC15" s="962">
        <f t="shared" si="14"/>
        <v>150</v>
      </c>
      <c r="AD15" s="962">
        <f t="shared" si="14"/>
        <v>133</v>
      </c>
      <c r="AE15" s="963">
        <f t="shared" si="14"/>
        <v>402</v>
      </c>
      <c r="AF15" s="961">
        <f t="shared" si="14"/>
        <v>131</v>
      </c>
      <c r="AG15" s="962">
        <f t="shared" si="14"/>
        <v>133</v>
      </c>
      <c r="AH15" s="962">
        <f t="shared" si="14"/>
        <v>124</v>
      </c>
      <c r="AI15" s="963">
        <f t="shared" si="14"/>
        <v>388</v>
      </c>
      <c r="AJ15" s="961">
        <f t="shared" si="14"/>
        <v>102</v>
      </c>
      <c r="AK15" s="962">
        <f t="shared" si="14"/>
        <v>141</v>
      </c>
      <c r="AL15" s="962">
        <f t="shared" si="14"/>
        <v>96</v>
      </c>
      <c r="AM15" s="963">
        <f t="shared" si="14"/>
        <v>339</v>
      </c>
      <c r="AN15" s="961">
        <f t="shared" si="14"/>
        <v>126</v>
      </c>
      <c r="AO15" s="962">
        <f t="shared" si="14"/>
        <v>134</v>
      </c>
      <c r="AP15" s="962">
        <f t="shared" si="14"/>
        <v>102</v>
      </c>
      <c r="AQ15" s="963">
        <f t="shared" si="14"/>
        <v>362</v>
      </c>
      <c r="AR15" s="961">
        <f t="shared" si="14"/>
        <v>105</v>
      </c>
      <c r="AS15" s="962">
        <f t="shared" si="14"/>
        <v>135</v>
      </c>
      <c r="AT15" s="962">
        <f t="shared" si="14"/>
        <v>110</v>
      </c>
      <c r="AU15" s="963">
        <f t="shared" si="6"/>
        <v>350</v>
      </c>
      <c r="AV15" s="961">
        <f>SUM(AV5:AV14)</f>
        <v>124</v>
      </c>
      <c r="AW15" s="962">
        <f>SUM(AW5:AW14)</f>
        <v>149</v>
      </c>
      <c r="AX15" s="962">
        <f>SUM(AX5:AX14)</f>
        <v>95</v>
      </c>
      <c r="AY15" s="963">
        <f t="shared" si="7"/>
        <v>368</v>
      </c>
      <c r="AZ15" s="961">
        <f t="shared" si="14"/>
        <v>129</v>
      </c>
      <c r="BA15" s="962">
        <f t="shared" si="14"/>
        <v>151</v>
      </c>
      <c r="BB15" s="962">
        <f t="shared" si="14"/>
        <v>124</v>
      </c>
      <c r="BC15" s="963">
        <f t="shared" si="14"/>
        <v>404</v>
      </c>
      <c r="BD15" s="961">
        <f t="shared" ref="BD15:BJ15" si="15">SUM(BD5:BD14)</f>
        <v>110</v>
      </c>
      <c r="BE15" s="962">
        <f t="shared" si="15"/>
        <v>135</v>
      </c>
      <c r="BF15" s="962">
        <f t="shared" si="15"/>
        <v>117</v>
      </c>
      <c r="BG15" s="963">
        <f t="shared" si="15"/>
        <v>362</v>
      </c>
      <c r="BH15" s="961">
        <f t="shared" si="15"/>
        <v>143</v>
      </c>
      <c r="BI15" s="962">
        <f t="shared" si="15"/>
        <v>205</v>
      </c>
      <c r="BJ15" s="962">
        <f t="shared" si="15"/>
        <v>174</v>
      </c>
      <c r="BK15" s="963">
        <f t="shared" ref="BK15:BS15" si="16">SUM(BK5:BK14)</f>
        <v>522</v>
      </c>
      <c r="BL15" s="961">
        <f t="shared" si="16"/>
        <v>231</v>
      </c>
      <c r="BM15" s="962">
        <f t="shared" si="16"/>
        <v>201</v>
      </c>
      <c r="BN15" s="962">
        <f t="shared" si="16"/>
        <v>142</v>
      </c>
      <c r="BO15" s="963">
        <f t="shared" si="16"/>
        <v>574</v>
      </c>
      <c r="BP15" s="961">
        <f t="shared" si="16"/>
        <v>178</v>
      </c>
      <c r="BQ15" s="962">
        <f t="shared" si="16"/>
        <v>174</v>
      </c>
      <c r="BR15" s="962">
        <f t="shared" si="16"/>
        <v>175</v>
      </c>
      <c r="BS15" s="963">
        <f t="shared" si="16"/>
        <v>527</v>
      </c>
      <c r="BT15" s="961">
        <f t="shared" ref="BT15:CA15" si="17">SUM(BT5:BT14)</f>
        <v>202</v>
      </c>
      <c r="BU15" s="962">
        <f t="shared" si="17"/>
        <v>206</v>
      </c>
      <c r="BV15" s="962">
        <f t="shared" si="17"/>
        <v>114</v>
      </c>
      <c r="BW15" s="963">
        <f t="shared" si="17"/>
        <v>522</v>
      </c>
      <c r="BX15" s="961">
        <f>SUM(BX5:BX14)</f>
        <v>222</v>
      </c>
      <c r="BY15" s="962">
        <f t="shared" ref="BY15:BZ15" si="18">SUM(BY5:BY14)</f>
        <v>204</v>
      </c>
      <c r="BZ15" s="962">
        <f t="shared" si="18"/>
        <v>184</v>
      </c>
      <c r="CA15" s="963">
        <f t="shared" si="17"/>
        <v>610</v>
      </c>
    </row>
    <row r="16" spans="1:79" s="945" customFormat="1" ht="15" customHeight="1" x14ac:dyDescent="0.25">
      <c r="A16" s="5857"/>
      <c r="B16" s="5875" t="s">
        <v>6</v>
      </c>
      <c r="C16" s="938" t="s">
        <v>456</v>
      </c>
      <c r="D16" s="794">
        <v>43</v>
      </c>
      <c r="E16" s="795">
        <v>86</v>
      </c>
      <c r="F16" s="795">
        <v>67</v>
      </c>
      <c r="G16" s="939">
        <v>196</v>
      </c>
      <c r="H16" s="794">
        <v>64</v>
      </c>
      <c r="I16" s="795">
        <v>70</v>
      </c>
      <c r="J16" s="795">
        <v>36</v>
      </c>
      <c r="K16" s="939">
        <v>170</v>
      </c>
      <c r="L16" s="794">
        <v>50</v>
      </c>
      <c r="M16" s="795">
        <v>47</v>
      </c>
      <c r="N16" s="795">
        <v>66</v>
      </c>
      <c r="O16" s="939">
        <v>163</v>
      </c>
      <c r="P16" s="794">
        <v>63</v>
      </c>
      <c r="Q16" s="795">
        <v>67</v>
      </c>
      <c r="R16" s="795">
        <v>59</v>
      </c>
      <c r="S16" s="941">
        <v>189</v>
      </c>
      <c r="T16" s="794">
        <v>68</v>
      </c>
      <c r="U16" s="795">
        <v>84</v>
      </c>
      <c r="V16" s="795">
        <v>53</v>
      </c>
      <c r="W16" s="941">
        <f>SUM(T16:V16)</f>
        <v>205</v>
      </c>
      <c r="X16" s="794">
        <v>70</v>
      </c>
      <c r="Y16" s="795">
        <v>65</v>
      </c>
      <c r="Z16" s="795">
        <v>55</v>
      </c>
      <c r="AA16" s="939">
        <f>SUM(X16:Z16)</f>
        <v>190</v>
      </c>
      <c r="AB16" s="940">
        <v>62</v>
      </c>
      <c r="AC16" s="795">
        <v>61</v>
      </c>
      <c r="AD16" s="795">
        <v>40</v>
      </c>
      <c r="AE16" s="939">
        <f>SUM(AB16:AD16)</f>
        <v>163</v>
      </c>
      <c r="AF16" s="940">
        <v>58</v>
      </c>
      <c r="AG16" s="795">
        <v>52</v>
      </c>
      <c r="AH16" s="795">
        <v>41</v>
      </c>
      <c r="AI16" s="941">
        <f>SUM(AF16:AH16)</f>
        <v>151</v>
      </c>
      <c r="AJ16" s="940">
        <v>34</v>
      </c>
      <c r="AK16" s="795">
        <v>71</v>
      </c>
      <c r="AL16" s="827">
        <v>45</v>
      </c>
      <c r="AM16" s="941">
        <f>SUM(AJ16:AL16)</f>
        <v>150</v>
      </c>
      <c r="AN16" s="940">
        <v>52</v>
      </c>
      <c r="AO16" s="795">
        <v>59</v>
      </c>
      <c r="AP16" s="827">
        <v>42</v>
      </c>
      <c r="AQ16" s="941">
        <f>SUM(AN16:AP16)</f>
        <v>153</v>
      </c>
      <c r="AR16" s="944">
        <v>61</v>
      </c>
      <c r="AS16" s="942">
        <v>52</v>
      </c>
      <c r="AT16" s="942">
        <v>44</v>
      </c>
      <c r="AU16" s="943">
        <f t="shared" si="6"/>
        <v>157</v>
      </c>
      <c r="AV16" s="942">
        <v>45</v>
      </c>
      <c r="AW16" s="942">
        <v>53</v>
      </c>
      <c r="AX16" s="942">
        <v>38</v>
      </c>
      <c r="AY16" s="943">
        <f t="shared" si="7"/>
        <v>136</v>
      </c>
      <c r="AZ16" s="944">
        <v>56</v>
      </c>
      <c r="BA16" s="942">
        <v>48</v>
      </c>
      <c r="BB16" s="942">
        <v>37</v>
      </c>
      <c r="BC16" s="943">
        <v>141</v>
      </c>
      <c r="BD16" s="944">
        <v>68</v>
      </c>
      <c r="BE16" s="942">
        <v>64</v>
      </c>
      <c r="BF16" s="942">
        <v>49</v>
      </c>
      <c r="BG16" s="943">
        <f t="shared" si="8"/>
        <v>181</v>
      </c>
      <c r="BH16" s="944">
        <v>66</v>
      </c>
      <c r="BI16" s="942">
        <v>71</v>
      </c>
      <c r="BJ16" s="942">
        <v>73</v>
      </c>
      <c r="BK16" s="943">
        <f>SUM(BH16:BJ16)</f>
        <v>210</v>
      </c>
      <c r="BL16" s="944">
        <v>48</v>
      </c>
      <c r="BM16" s="942">
        <v>85</v>
      </c>
      <c r="BN16" s="942">
        <v>46</v>
      </c>
      <c r="BO16" s="943">
        <f>SUM(BL16:BN16)</f>
        <v>179</v>
      </c>
      <c r="BP16" s="944">
        <v>58</v>
      </c>
      <c r="BQ16" s="942">
        <v>84</v>
      </c>
      <c r="BR16" s="942">
        <v>48</v>
      </c>
      <c r="BS16" s="943">
        <f>SUM(BP16:BR16)</f>
        <v>190</v>
      </c>
      <c r="BT16" s="944">
        <v>51</v>
      </c>
      <c r="BU16" s="942">
        <v>67</v>
      </c>
      <c r="BV16" s="942">
        <v>51</v>
      </c>
      <c r="BW16" s="943">
        <f>SUM(BT16:BV16)</f>
        <v>169</v>
      </c>
      <c r="BX16" s="944">
        <v>57</v>
      </c>
      <c r="BY16" s="942">
        <v>80</v>
      </c>
      <c r="BZ16" s="942">
        <v>59</v>
      </c>
      <c r="CA16" s="943">
        <f>SUM(BX16:BZ16)</f>
        <v>196</v>
      </c>
    </row>
    <row r="17" spans="1:79" s="945" customFormat="1" ht="15" customHeight="1" x14ac:dyDescent="0.25">
      <c r="A17" s="5857"/>
      <c r="B17" s="5876"/>
      <c r="C17" s="946" t="s">
        <v>457</v>
      </c>
      <c r="D17" s="800">
        <v>86</v>
      </c>
      <c r="E17" s="801">
        <v>98</v>
      </c>
      <c r="F17" s="801">
        <v>62</v>
      </c>
      <c r="G17" s="947">
        <v>246</v>
      </c>
      <c r="H17" s="800">
        <v>106</v>
      </c>
      <c r="I17" s="801">
        <v>76</v>
      </c>
      <c r="J17" s="801">
        <v>71</v>
      </c>
      <c r="K17" s="947">
        <v>253</v>
      </c>
      <c r="L17" s="800">
        <v>92</v>
      </c>
      <c r="M17" s="801">
        <v>86</v>
      </c>
      <c r="N17" s="801">
        <v>73</v>
      </c>
      <c r="O17" s="947">
        <v>251</v>
      </c>
      <c r="P17" s="800">
        <v>94</v>
      </c>
      <c r="Q17" s="801">
        <v>74</v>
      </c>
      <c r="R17" s="801">
        <v>82</v>
      </c>
      <c r="S17" s="949">
        <v>250</v>
      </c>
      <c r="T17" s="800">
        <v>61</v>
      </c>
      <c r="U17" s="801">
        <v>123</v>
      </c>
      <c r="V17" s="801">
        <v>62</v>
      </c>
      <c r="W17" s="949">
        <f>SUM(T17:V17)</f>
        <v>246</v>
      </c>
      <c r="X17" s="800">
        <v>58</v>
      </c>
      <c r="Y17" s="801">
        <v>107</v>
      </c>
      <c r="Z17" s="801">
        <v>75</v>
      </c>
      <c r="AA17" s="947">
        <f>SUM(X17:Z17)</f>
        <v>240</v>
      </c>
      <c r="AB17" s="948">
        <v>88</v>
      </c>
      <c r="AC17" s="801">
        <v>93</v>
      </c>
      <c r="AD17" s="801">
        <v>66</v>
      </c>
      <c r="AE17" s="947">
        <f>SUM(AB17:AD17)</f>
        <v>247</v>
      </c>
      <c r="AF17" s="948">
        <v>64</v>
      </c>
      <c r="AG17" s="801">
        <v>95</v>
      </c>
      <c r="AH17" s="801">
        <v>62</v>
      </c>
      <c r="AI17" s="949">
        <f>SUM(AF17:AH17)</f>
        <v>221</v>
      </c>
      <c r="AJ17" s="948">
        <v>69</v>
      </c>
      <c r="AK17" s="801">
        <v>73</v>
      </c>
      <c r="AL17" s="829">
        <v>82</v>
      </c>
      <c r="AM17" s="949">
        <f>SUM(AJ17:AL17)</f>
        <v>224</v>
      </c>
      <c r="AN17" s="948">
        <v>72</v>
      </c>
      <c r="AO17" s="801">
        <v>81</v>
      </c>
      <c r="AP17" s="829">
        <v>66</v>
      </c>
      <c r="AQ17" s="949">
        <f>SUM(AN17:AP17)</f>
        <v>219</v>
      </c>
      <c r="AR17" s="952">
        <v>65</v>
      </c>
      <c r="AS17" s="950">
        <v>102</v>
      </c>
      <c r="AT17" s="950">
        <v>67</v>
      </c>
      <c r="AU17" s="951">
        <f t="shared" si="6"/>
        <v>234</v>
      </c>
      <c r="AV17" s="950">
        <v>68</v>
      </c>
      <c r="AW17" s="950">
        <v>109</v>
      </c>
      <c r="AX17" s="950">
        <v>60</v>
      </c>
      <c r="AY17" s="951">
        <f t="shared" si="7"/>
        <v>237</v>
      </c>
      <c r="AZ17" s="952">
        <v>49</v>
      </c>
      <c r="BA17" s="950">
        <v>66</v>
      </c>
      <c r="BB17" s="950">
        <v>54</v>
      </c>
      <c r="BC17" s="951">
        <v>169</v>
      </c>
      <c r="BD17" s="952">
        <v>57</v>
      </c>
      <c r="BE17" s="950">
        <v>87</v>
      </c>
      <c r="BF17" s="950">
        <v>86</v>
      </c>
      <c r="BG17" s="951">
        <f t="shared" si="8"/>
        <v>230</v>
      </c>
      <c r="BH17" s="952">
        <v>105</v>
      </c>
      <c r="BI17" s="950">
        <v>149</v>
      </c>
      <c r="BJ17" s="950">
        <v>93</v>
      </c>
      <c r="BK17" s="951">
        <f>SUM(BH17:BJ17)</f>
        <v>347</v>
      </c>
      <c r="BL17" s="952">
        <v>77</v>
      </c>
      <c r="BM17" s="950">
        <f>80-2</f>
        <v>78</v>
      </c>
      <c r="BN17" s="950">
        <v>82</v>
      </c>
      <c r="BO17" s="951">
        <f>SUM(BL17:BN17)</f>
        <v>237</v>
      </c>
      <c r="BP17" s="952">
        <v>64</v>
      </c>
      <c r="BQ17" s="950">
        <v>104</v>
      </c>
      <c r="BR17" s="950">
        <v>103</v>
      </c>
      <c r="BS17" s="951">
        <f>SUM(BP17:BR17)</f>
        <v>271</v>
      </c>
      <c r="BT17" s="952">
        <v>77</v>
      </c>
      <c r="BU17" s="950">
        <v>131</v>
      </c>
      <c r="BV17" s="950">
        <v>76</v>
      </c>
      <c r="BW17" s="951">
        <f>SUM(BT17:BV17)</f>
        <v>284</v>
      </c>
      <c r="BX17" s="952">
        <v>86</v>
      </c>
      <c r="BY17" s="950">
        <v>106</v>
      </c>
      <c r="BZ17" s="950">
        <v>106</v>
      </c>
      <c r="CA17" s="951">
        <f>SUM(BX17:BZ17)</f>
        <v>298</v>
      </c>
    </row>
    <row r="18" spans="1:79" s="945" customFormat="1" ht="15" customHeight="1" x14ac:dyDescent="0.25">
      <c r="A18" s="5857"/>
      <c r="B18" s="5876"/>
      <c r="C18" s="946" t="s">
        <v>458</v>
      </c>
      <c r="D18" s="800">
        <v>40</v>
      </c>
      <c r="E18" s="801">
        <v>30</v>
      </c>
      <c r="F18" s="801">
        <v>19</v>
      </c>
      <c r="G18" s="947">
        <v>89</v>
      </c>
      <c r="H18" s="800">
        <v>38</v>
      </c>
      <c r="I18" s="801">
        <v>36</v>
      </c>
      <c r="J18" s="801">
        <v>34</v>
      </c>
      <c r="K18" s="947">
        <v>108</v>
      </c>
      <c r="L18" s="800">
        <v>43</v>
      </c>
      <c r="M18" s="801">
        <v>29</v>
      </c>
      <c r="N18" s="801">
        <v>26</v>
      </c>
      <c r="O18" s="947">
        <v>98</v>
      </c>
      <c r="P18" s="800">
        <v>26</v>
      </c>
      <c r="Q18" s="801">
        <v>36</v>
      </c>
      <c r="R18" s="801">
        <v>28</v>
      </c>
      <c r="S18" s="949">
        <v>90</v>
      </c>
      <c r="T18" s="800">
        <v>27</v>
      </c>
      <c r="U18" s="801">
        <v>29</v>
      </c>
      <c r="V18" s="801">
        <v>48</v>
      </c>
      <c r="W18" s="949">
        <f>SUM(T18:V18)</f>
        <v>104</v>
      </c>
      <c r="X18" s="800">
        <v>29</v>
      </c>
      <c r="Y18" s="801">
        <v>32</v>
      </c>
      <c r="Z18" s="801">
        <v>17</v>
      </c>
      <c r="AA18" s="947">
        <f>SUM(X18:Z18)</f>
        <v>78</v>
      </c>
      <c r="AB18" s="948">
        <v>25</v>
      </c>
      <c r="AC18" s="801">
        <v>25</v>
      </c>
      <c r="AD18" s="801">
        <v>24</v>
      </c>
      <c r="AE18" s="947">
        <f>SUM(AB18:AD18)</f>
        <v>74</v>
      </c>
      <c r="AF18" s="948">
        <v>23</v>
      </c>
      <c r="AG18" s="801">
        <v>15</v>
      </c>
      <c r="AH18" s="801">
        <v>31</v>
      </c>
      <c r="AI18" s="949">
        <f>SUM(AF18:AH18)</f>
        <v>69</v>
      </c>
      <c r="AJ18" s="948">
        <v>25</v>
      </c>
      <c r="AK18" s="801">
        <v>25</v>
      </c>
      <c r="AL18" s="829">
        <v>6</v>
      </c>
      <c r="AM18" s="949">
        <f>SUM(AJ18:AL18)</f>
        <v>56</v>
      </c>
      <c r="AN18" s="948">
        <v>27</v>
      </c>
      <c r="AO18" s="801">
        <v>17</v>
      </c>
      <c r="AP18" s="829">
        <v>10</v>
      </c>
      <c r="AQ18" s="949">
        <f>SUM(AN18:AP18)</f>
        <v>54</v>
      </c>
      <c r="AR18" s="952">
        <v>21</v>
      </c>
      <c r="AS18" s="950">
        <v>29</v>
      </c>
      <c r="AT18" s="950">
        <v>5</v>
      </c>
      <c r="AU18" s="951">
        <f t="shared" si="6"/>
        <v>55</v>
      </c>
      <c r="AV18" s="950">
        <v>11</v>
      </c>
      <c r="AW18" s="950">
        <v>41</v>
      </c>
      <c r="AX18" s="950">
        <v>9</v>
      </c>
      <c r="AY18" s="951">
        <f t="shared" si="7"/>
        <v>61</v>
      </c>
      <c r="AZ18" s="952">
        <v>19</v>
      </c>
      <c r="BA18" s="950">
        <v>19</v>
      </c>
      <c r="BB18" s="950">
        <v>13</v>
      </c>
      <c r="BC18" s="951">
        <v>51</v>
      </c>
      <c r="BD18" s="952">
        <v>15</v>
      </c>
      <c r="BE18" s="950">
        <v>28</v>
      </c>
      <c r="BF18" s="950">
        <v>13</v>
      </c>
      <c r="BG18" s="951">
        <f t="shared" si="8"/>
        <v>56</v>
      </c>
      <c r="BH18" s="952">
        <v>34</v>
      </c>
      <c r="BI18" s="950">
        <v>29</v>
      </c>
      <c r="BJ18" s="950">
        <v>11</v>
      </c>
      <c r="BK18" s="951">
        <f>SUM(BH18:BJ18)</f>
        <v>74</v>
      </c>
      <c r="BL18" s="952">
        <v>14</v>
      </c>
      <c r="BM18" s="950">
        <v>28</v>
      </c>
      <c r="BN18" s="950">
        <v>13</v>
      </c>
      <c r="BO18" s="951">
        <f>SUM(BL18:BN18)</f>
        <v>55</v>
      </c>
      <c r="BP18" s="952">
        <v>15</v>
      </c>
      <c r="BQ18" s="950">
        <v>36</v>
      </c>
      <c r="BR18" s="950">
        <v>23</v>
      </c>
      <c r="BS18" s="951">
        <f>SUM(BP18:BR18)</f>
        <v>74</v>
      </c>
      <c r="BT18" s="952">
        <v>27</v>
      </c>
      <c r="BU18" s="950">
        <v>24</v>
      </c>
      <c r="BV18" s="950">
        <v>12</v>
      </c>
      <c r="BW18" s="951">
        <f>SUM(BT18:BV18)</f>
        <v>63</v>
      </c>
      <c r="BX18" s="952">
        <v>24</v>
      </c>
      <c r="BY18" s="950">
        <v>30</v>
      </c>
      <c r="BZ18" s="950">
        <v>18</v>
      </c>
      <c r="CA18" s="951">
        <f>SUM(BX18:BZ18)</f>
        <v>72</v>
      </c>
    </row>
    <row r="19" spans="1:79" s="945" customFormat="1" ht="15" customHeight="1" x14ac:dyDescent="0.25">
      <c r="A19" s="5857"/>
      <c r="B19" s="5876"/>
      <c r="C19" s="953" t="s">
        <v>459</v>
      </c>
      <c r="D19" s="809">
        <v>29</v>
      </c>
      <c r="E19" s="810">
        <v>20</v>
      </c>
      <c r="F19" s="810">
        <v>31</v>
      </c>
      <c r="G19" s="954">
        <v>80</v>
      </c>
      <c r="H19" s="809">
        <v>27</v>
      </c>
      <c r="I19" s="810">
        <v>37</v>
      </c>
      <c r="J19" s="810">
        <v>25</v>
      </c>
      <c r="K19" s="954">
        <v>89</v>
      </c>
      <c r="L19" s="809">
        <v>16</v>
      </c>
      <c r="M19" s="810">
        <v>31</v>
      </c>
      <c r="N19" s="810">
        <v>49</v>
      </c>
      <c r="O19" s="954">
        <v>96</v>
      </c>
      <c r="P19" s="809">
        <v>15</v>
      </c>
      <c r="Q19" s="810">
        <v>25</v>
      </c>
      <c r="R19" s="810">
        <v>16</v>
      </c>
      <c r="S19" s="956">
        <v>56</v>
      </c>
      <c r="T19" s="809">
        <v>24</v>
      </c>
      <c r="U19" s="810">
        <v>22</v>
      </c>
      <c r="V19" s="810">
        <v>26</v>
      </c>
      <c r="W19" s="956">
        <f>SUM(T19:V19)</f>
        <v>72</v>
      </c>
      <c r="X19" s="809">
        <v>35</v>
      </c>
      <c r="Y19" s="810">
        <v>34</v>
      </c>
      <c r="Z19" s="810">
        <v>14</v>
      </c>
      <c r="AA19" s="954">
        <f>SUM(X19:Z19)</f>
        <v>83</v>
      </c>
      <c r="AB19" s="955">
        <v>14</v>
      </c>
      <c r="AC19" s="810">
        <v>24</v>
      </c>
      <c r="AD19" s="810">
        <v>15</v>
      </c>
      <c r="AE19" s="954">
        <f>SUM(AB19:AD19)</f>
        <v>53</v>
      </c>
      <c r="AF19" s="955">
        <v>21</v>
      </c>
      <c r="AG19" s="810">
        <v>14</v>
      </c>
      <c r="AH19" s="810">
        <v>25</v>
      </c>
      <c r="AI19" s="956">
        <f>SUM(AF19:AH19)</f>
        <v>60</v>
      </c>
      <c r="AJ19" s="955">
        <v>28</v>
      </c>
      <c r="AK19" s="810">
        <v>15</v>
      </c>
      <c r="AL19" s="853">
        <v>15</v>
      </c>
      <c r="AM19" s="956">
        <f>SUM(AJ19:AL19)</f>
        <v>58</v>
      </c>
      <c r="AN19" s="955">
        <v>19</v>
      </c>
      <c r="AO19" s="810">
        <v>23</v>
      </c>
      <c r="AP19" s="853">
        <v>21</v>
      </c>
      <c r="AQ19" s="956">
        <f>SUM(AN19:AP19)</f>
        <v>63</v>
      </c>
      <c r="AR19" s="959">
        <v>25</v>
      </c>
      <c r="AS19" s="957">
        <v>19</v>
      </c>
      <c r="AT19" s="957">
        <v>10</v>
      </c>
      <c r="AU19" s="958">
        <f t="shared" si="6"/>
        <v>54</v>
      </c>
      <c r="AV19" s="957">
        <v>15</v>
      </c>
      <c r="AW19" s="957">
        <v>32</v>
      </c>
      <c r="AX19" s="957">
        <v>22</v>
      </c>
      <c r="AY19" s="958">
        <f t="shared" si="7"/>
        <v>69</v>
      </c>
      <c r="AZ19" s="959">
        <v>32</v>
      </c>
      <c r="BA19" s="957">
        <v>29</v>
      </c>
      <c r="BB19" s="957">
        <v>17</v>
      </c>
      <c r="BC19" s="958">
        <v>78</v>
      </c>
      <c r="BD19" s="959">
        <v>20</v>
      </c>
      <c r="BE19" s="957">
        <v>19</v>
      </c>
      <c r="BF19" s="957">
        <v>18</v>
      </c>
      <c r="BG19" s="958">
        <f t="shared" si="8"/>
        <v>57</v>
      </c>
      <c r="BH19" s="959">
        <v>38</v>
      </c>
      <c r="BI19" s="957">
        <v>32</v>
      </c>
      <c r="BJ19" s="957">
        <v>23</v>
      </c>
      <c r="BK19" s="958">
        <f>SUM(BH19:BJ19)</f>
        <v>93</v>
      </c>
      <c r="BL19" s="959">
        <v>38</v>
      </c>
      <c r="BM19" s="957">
        <v>33</v>
      </c>
      <c r="BN19" s="957">
        <v>19</v>
      </c>
      <c r="BO19" s="958">
        <f>SUM(BL19:BN19)</f>
        <v>90</v>
      </c>
      <c r="BP19" s="959">
        <v>27</v>
      </c>
      <c r="BQ19" s="957">
        <v>34</v>
      </c>
      <c r="BR19" s="957">
        <v>33</v>
      </c>
      <c r="BS19" s="958">
        <f>SUM(BP19:BR19)</f>
        <v>94</v>
      </c>
      <c r="BT19" s="959">
        <v>30</v>
      </c>
      <c r="BU19" s="957">
        <v>26</v>
      </c>
      <c r="BV19" s="957">
        <v>6</v>
      </c>
      <c r="BW19" s="958">
        <f>SUM(BT19:BV19)</f>
        <v>62</v>
      </c>
      <c r="BX19" s="959">
        <v>38</v>
      </c>
      <c r="BY19" s="957">
        <v>26</v>
      </c>
      <c r="BZ19" s="957">
        <v>26</v>
      </c>
      <c r="CA19" s="958">
        <f>SUM(BX19:BZ19)</f>
        <v>90</v>
      </c>
    </row>
    <row r="20" spans="1:79" s="945" customFormat="1" ht="15" customHeight="1" x14ac:dyDescent="0.25">
      <c r="A20" s="5857"/>
      <c r="B20" s="5877"/>
      <c r="C20" s="960" t="s">
        <v>160</v>
      </c>
      <c r="D20" s="961">
        <v>198</v>
      </c>
      <c r="E20" s="962">
        <v>234</v>
      </c>
      <c r="F20" s="962">
        <v>179</v>
      </c>
      <c r="G20" s="963">
        <v>611</v>
      </c>
      <c r="H20" s="961">
        <v>235</v>
      </c>
      <c r="I20" s="962">
        <v>219</v>
      </c>
      <c r="J20" s="962">
        <v>166</v>
      </c>
      <c r="K20" s="963">
        <v>620</v>
      </c>
      <c r="L20" s="961">
        <v>201</v>
      </c>
      <c r="M20" s="962">
        <v>193</v>
      </c>
      <c r="N20" s="962">
        <v>214</v>
      </c>
      <c r="O20" s="963">
        <v>608</v>
      </c>
      <c r="P20" s="961">
        <v>198</v>
      </c>
      <c r="Q20" s="962">
        <v>202</v>
      </c>
      <c r="R20" s="962">
        <v>185</v>
      </c>
      <c r="S20" s="963">
        <v>585</v>
      </c>
      <c r="T20" s="961">
        <f t="shared" ref="T20:BC20" si="19">SUM(T16:T19)</f>
        <v>180</v>
      </c>
      <c r="U20" s="962">
        <f t="shared" si="19"/>
        <v>258</v>
      </c>
      <c r="V20" s="962">
        <f t="shared" si="19"/>
        <v>189</v>
      </c>
      <c r="W20" s="963">
        <f t="shared" si="19"/>
        <v>627</v>
      </c>
      <c r="X20" s="961">
        <f t="shared" si="19"/>
        <v>192</v>
      </c>
      <c r="Y20" s="962">
        <f t="shared" si="19"/>
        <v>238</v>
      </c>
      <c r="Z20" s="962">
        <f t="shared" si="19"/>
        <v>161</v>
      </c>
      <c r="AA20" s="963">
        <f t="shared" si="19"/>
        <v>591</v>
      </c>
      <c r="AB20" s="961">
        <f t="shared" si="19"/>
        <v>189</v>
      </c>
      <c r="AC20" s="962">
        <f t="shared" si="19"/>
        <v>203</v>
      </c>
      <c r="AD20" s="962">
        <f t="shared" si="19"/>
        <v>145</v>
      </c>
      <c r="AE20" s="963">
        <f t="shared" si="19"/>
        <v>537</v>
      </c>
      <c r="AF20" s="961">
        <f t="shared" si="19"/>
        <v>166</v>
      </c>
      <c r="AG20" s="962">
        <f t="shared" si="19"/>
        <v>176</v>
      </c>
      <c r="AH20" s="962">
        <f t="shared" si="19"/>
        <v>159</v>
      </c>
      <c r="AI20" s="963">
        <f t="shared" si="19"/>
        <v>501</v>
      </c>
      <c r="AJ20" s="961">
        <f t="shared" si="19"/>
        <v>156</v>
      </c>
      <c r="AK20" s="962">
        <f t="shared" si="19"/>
        <v>184</v>
      </c>
      <c r="AL20" s="962">
        <f t="shared" si="19"/>
        <v>148</v>
      </c>
      <c r="AM20" s="963">
        <f t="shared" si="19"/>
        <v>488</v>
      </c>
      <c r="AN20" s="961">
        <f t="shared" si="19"/>
        <v>170</v>
      </c>
      <c r="AO20" s="962">
        <f t="shared" si="19"/>
        <v>180</v>
      </c>
      <c r="AP20" s="962">
        <f t="shared" si="19"/>
        <v>139</v>
      </c>
      <c r="AQ20" s="963">
        <f t="shared" si="19"/>
        <v>489</v>
      </c>
      <c r="AR20" s="961">
        <f t="shared" si="19"/>
        <v>172</v>
      </c>
      <c r="AS20" s="962">
        <f t="shared" si="19"/>
        <v>202</v>
      </c>
      <c r="AT20" s="962">
        <f t="shared" si="19"/>
        <v>126</v>
      </c>
      <c r="AU20" s="963">
        <f t="shared" si="6"/>
        <v>500</v>
      </c>
      <c r="AV20" s="961">
        <f>SUM(AV16:AV19)</f>
        <v>139</v>
      </c>
      <c r="AW20" s="962">
        <f>SUM(AW16:AW19)</f>
        <v>235</v>
      </c>
      <c r="AX20" s="962">
        <f>SUM(AX16:AX19)</f>
        <v>129</v>
      </c>
      <c r="AY20" s="963">
        <f t="shared" si="7"/>
        <v>503</v>
      </c>
      <c r="AZ20" s="961">
        <f t="shared" si="19"/>
        <v>156</v>
      </c>
      <c r="BA20" s="962">
        <f t="shared" si="19"/>
        <v>162</v>
      </c>
      <c r="BB20" s="962">
        <f t="shared" si="19"/>
        <v>121</v>
      </c>
      <c r="BC20" s="963">
        <f t="shared" si="19"/>
        <v>439</v>
      </c>
      <c r="BD20" s="961">
        <f t="shared" ref="BD20:BK20" si="20">SUM(BD16:BD19)</f>
        <v>160</v>
      </c>
      <c r="BE20" s="962">
        <f t="shared" si="20"/>
        <v>198</v>
      </c>
      <c r="BF20" s="962">
        <f t="shared" si="20"/>
        <v>166</v>
      </c>
      <c r="BG20" s="963">
        <f t="shared" si="20"/>
        <v>524</v>
      </c>
      <c r="BH20" s="961">
        <f t="shared" si="20"/>
        <v>243</v>
      </c>
      <c r="BI20" s="962">
        <f t="shared" si="20"/>
        <v>281</v>
      </c>
      <c r="BJ20" s="962">
        <f t="shared" si="20"/>
        <v>200</v>
      </c>
      <c r="BK20" s="963">
        <f t="shared" si="20"/>
        <v>724</v>
      </c>
      <c r="BL20" s="961">
        <f t="shared" ref="BL20:BS20" si="21">SUM(BL16:BL19)</f>
        <v>177</v>
      </c>
      <c r="BM20" s="962">
        <f t="shared" si="21"/>
        <v>224</v>
      </c>
      <c r="BN20" s="962">
        <f t="shared" si="21"/>
        <v>160</v>
      </c>
      <c r="BO20" s="963">
        <f t="shared" si="21"/>
        <v>561</v>
      </c>
      <c r="BP20" s="961">
        <f t="shared" si="21"/>
        <v>164</v>
      </c>
      <c r="BQ20" s="962">
        <f t="shared" si="21"/>
        <v>258</v>
      </c>
      <c r="BR20" s="962">
        <f t="shared" si="21"/>
        <v>207</v>
      </c>
      <c r="BS20" s="963">
        <f t="shared" si="21"/>
        <v>629</v>
      </c>
      <c r="BT20" s="961">
        <f t="shared" ref="BT20:CA20" si="22">SUM(BT16:BT19)</f>
        <v>185</v>
      </c>
      <c r="BU20" s="962">
        <f t="shared" si="22"/>
        <v>248</v>
      </c>
      <c r="BV20" s="962">
        <f t="shared" si="22"/>
        <v>145</v>
      </c>
      <c r="BW20" s="963">
        <f t="shared" si="22"/>
        <v>578</v>
      </c>
      <c r="BX20" s="961">
        <f>SUM(BX16:BX19)</f>
        <v>205</v>
      </c>
      <c r="BY20" s="962">
        <f t="shared" ref="BY20:BZ20" si="23">SUM(BY16:BY19)</f>
        <v>242</v>
      </c>
      <c r="BZ20" s="962">
        <f t="shared" si="23"/>
        <v>209</v>
      </c>
      <c r="CA20" s="963">
        <f t="shared" si="22"/>
        <v>656</v>
      </c>
    </row>
    <row r="21" spans="1:79" s="945" customFormat="1" ht="15" customHeight="1" x14ac:dyDescent="0.25">
      <c r="A21" s="5857"/>
      <c r="B21" s="5875" t="s">
        <v>7</v>
      </c>
      <c r="C21" s="938" t="s">
        <v>460</v>
      </c>
      <c r="D21" s="794">
        <v>52</v>
      </c>
      <c r="E21" s="795">
        <v>46</v>
      </c>
      <c r="F21" s="795">
        <v>63</v>
      </c>
      <c r="G21" s="939">
        <v>161</v>
      </c>
      <c r="H21" s="794">
        <v>68</v>
      </c>
      <c r="I21" s="795">
        <v>23</v>
      </c>
      <c r="J21" s="795">
        <v>61</v>
      </c>
      <c r="K21" s="939">
        <v>152</v>
      </c>
      <c r="L21" s="794">
        <v>49</v>
      </c>
      <c r="M21" s="795">
        <v>56</v>
      </c>
      <c r="N21" s="795">
        <v>63</v>
      </c>
      <c r="O21" s="939">
        <v>168</v>
      </c>
      <c r="P21" s="794">
        <v>34</v>
      </c>
      <c r="Q21" s="795">
        <v>52</v>
      </c>
      <c r="R21" s="795">
        <v>46</v>
      </c>
      <c r="S21" s="941">
        <v>132</v>
      </c>
      <c r="T21" s="794">
        <v>30</v>
      </c>
      <c r="U21" s="795">
        <v>59</v>
      </c>
      <c r="V21" s="795">
        <v>55</v>
      </c>
      <c r="W21" s="941">
        <f>SUM(T21:V21)</f>
        <v>144</v>
      </c>
      <c r="X21" s="794">
        <v>38</v>
      </c>
      <c r="Y21" s="795">
        <v>45</v>
      </c>
      <c r="Z21" s="795">
        <v>44</v>
      </c>
      <c r="AA21" s="939">
        <f>SUM(X21:Z21)</f>
        <v>127</v>
      </c>
      <c r="AB21" s="940">
        <v>29</v>
      </c>
      <c r="AC21" s="795">
        <v>69</v>
      </c>
      <c r="AD21" s="795">
        <v>37</v>
      </c>
      <c r="AE21" s="939">
        <f>SUM(AB21:AD21)</f>
        <v>135</v>
      </c>
      <c r="AF21" s="940">
        <v>36</v>
      </c>
      <c r="AG21" s="795">
        <v>39</v>
      </c>
      <c r="AH21" s="795">
        <v>44</v>
      </c>
      <c r="AI21" s="941">
        <f>SUM(AF21:AH21)</f>
        <v>119</v>
      </c>
      <c r="AJ21" s="940">
        <v>64</v>
      </c>
      <c r="AK21" s="795">
        <v>38</v>
      </c>
      <c r="AL21" s="827">
        <v>43</v>
      </c>
      <c r="AM21" s="941">
        <f>SUM(AJ21:AL21)</f>
        <v>145</v>
      </c>
      <c r="AN21" s="940">
        <v>41</v>
      </c>
      <c r="AO21" s="795">
        <v>57</v>
      </c>
      <c r="AP21" s="827">
        <v>46</v>
      </c>
      <c r="AQ21" s="941">
        <f>SUM(AN21:AP21)</f>
        <v>144</v>
      </c>
      <c r="AR21" s="944">
        <v>61</v>
      </c>
      <c r="AS21" s="942">
        <v>60</v>
      </c>
      <c r="AT21" s="942">
        <v>28</v>
      </c>
      <c r="AU21" s="943">
        <f t="shared" si="6"/>
        <v>149</v>
      </c>
      <c r="AV21" s="942">
        <v>46</v>
      </c>
      <c r="AW21" s="942">
        <v>42</v>
      </c>
      <c r="AX21" s="942">
        <v>29</v>
      </c>
      <c r="AY21" s="943">
        <f t="shared" si="7"/>
        <v>117</v>
      </c>
      <c r="AZ21" s="944">
        <v>36</v>
      </c>
      <c r="BA21" s="942">
        <v>40</v>
      </c>
      <c r="BB21" s="942">
        <v>15</v>
      </c>
      <c r="BC21" s="943">
        <v>91</v>
      </c>
      <c r="BD21" s="944">
        <v>29</v>
      </c>
      <c r="BE21" s="942">
        <v>43</v>
      </c>
      <c r="BF21" s="942">
        <v>13</v>
      </c>
      <c r="BG21" s="943">
        <f t="shared" si="8"/>
        <v>85</v>
      </c>
      <c r="BH21" s="944">
        <v>48</v>
      </c>
      <c r="BI21" s="942">
        <v>61</v>
      </c>
      <c r="BJ21" s="942">
        <v>28</v>
      </c>
      <c r="BK21" s="943">
        <f>SUM(BH21:BJ21)</f>
        <v>137</v>
      </c>
      <c r="BL21" s="944">
        <v>33</v>
      </c>
      <c r="BM21" s="942">
        <v>59</v>
      </c>
      <c r="BN21" s="942">
        <v>26</v>
      </c>
      <c r="BO21" s="943">
        <f>SUM(BL21:BN21)</f>
        <v>118</v>
      </c>
      <c r="BP21" s="944">
        <v>53</v>
      </c>
      <c r="BQ21" s="942">
        <v>50</v>
      </c>
      <c r="BR21" s="942">
        <v>33</v>
      </c>
      <c r="BS21" s="943">
        <f>SUM(BP21:BR21)</f>
        <v>136</v>
      </c>
      <c r="BT21" s="944">
        <v>37</v>
      </c>
      <c r="BU21" s="942">
        <v>52</v>
      </c>
      <c r="BV21" s="942">
        <v>17</v>
      </c>
      <c r="BW21" s="943">
        <f>SUM(BT21:BV21)</f>
        <v>106</v>
      </c>
      <c r="BX21" s="944">
        <v>41</v>
      </c>
      <c r="BY21" s="942">
        <v>61</v>
      </c>
      <c r="BZ21" s="942">
        <v>35</v>
      </c>
      <c r="CA21" s="943">
        <f>SUM(BX21:BZ21)</f>
        <v>137</v>
      </c>
    </row>
    <row r="22" spans="1:79" s="945" customFormat="1" ht="15" customHeight="1" x14ac:dyDescent="0.25">
      <c r="A22" s="5857"/>
      <c r="B22" s="5876"/>
      <c r="C22" s="946" t="s">
        <v>461</v>
      </c>
      <c r="D22" s="800">
        <v>61</v>
      </c>
      <c r="E22" s="801">
        <v>42</v>
      </c>
      <c r="F22" s="801">
        <v>52</v>
      </c>
      <c r="G22" s="947">
        <v>155</v>
      </c>
      <c r="H22" s="800">
        <v>49</v>
      </c>
      <c r="I22" s="801">
        <v>53</v>
      </c>
      <c r="J22" s="801">
        <v>58</v>
      </c>
      <c r="K22" s="947">
        <v>160</v>
      </c>
      <c r="L22" s="800">
        <v>78</v>
      </c>
      <c r="M22" s="801">
        <v>43</v>
      </c>
      <c r="N22" s="801">
        <v>41</v>
      </c>
      <c r="O22" s="947">
        <v>162</v>
      </c>
      <c r="P22" s="800">
        <v>61</v>
      </c>
      <c r="Q22" s="801">
        <v>32</v>
      </c>
      <c r="R22" s="801">
        <v>45</v>
      </c>
      <c r="S22" s="949">
        <v>138</v>
      </c>
      <c r="T22" s="800">
        <v>54</v>
      </c>
      <c r="U22" s="801">
        <v>72</v>
      </c>
      <c r="V22" s="801">
        <v>53</v>
      </c>
      <c r="W22" s="949">
        <f>SUM(T22:V22)</f>
        <v>179</v>
      </c>
      <c r="X22" s="800">
        <v>49</v>
      </c>
      <c r="Y22" s="801">
        <v>37</v>
      </c>
      <c r="Z22" s="801">
        <v>27</v>
      </c>
      <c r="AA22" s="947">
        <f>SUM(X22:Z22)</f>
        <v>113</v>
      </c>
      <c r="AB22" s="948">
        <v>43</v>
      </c>
      <c r="AC22" s="801">
        <v>51</v>
      </c>
      <c r="AD22" s="801">
        <v>51</v>
      </c>
      <c r="AE22" s="947">
        <f>SUM(AB22:AD22)</f>
        <v>145</v>
      </c>
      <c r="AF22" s="948">
        <v>57</v>
      </c>
      <c r="AG22" s="801">
        <v>61</v>
      </c>
      <c r="AH22" s="801">
        <v>52</v>
      </c>
      <c r="AI22" s="949">
        <f>SUM(AF22:AH22)</f>
        <v>170</v>
      </c>
      <c r="AJ22" s="948">
        <v>69</v>
      </c>
      <c r="AK22" s="801">
        <v>61</v>
      </c>
      <c r="AL22" s="829">
        <v>35</v>
      </c>
      <c r="AM22" s="949">
        <f>SUM(AJ22:AL22)</f>
        <v>165</v>
      </c>
      <c r="AN22" s="948">
        <v>37</v>
      </c>
      <c r="AO22" s="801">
        <v>46</v>
      </c>
      <c r="AP22" s="829">
        <v>43</v>
      </c>
      <c r="AQ22" s="949">
        <f>SUM(AN22:AP22)</f>
        <v>126</v>
      </c>
      <c r="AR22" s="952">
        <v>60</v>
      </c>
      <c r="AS22" s="950">
        <v>66</v>
      </c>
      <c r="AT22" s="950">
        <v>33</v>
      </c>
      <c r="AU22" s="951">
        <f t="shared" si="6"/>
        <v>159</v>
      </c>
      <c r="AV22" s="950">
        <v>44</v>
      </c>
      <c r="AW22" s="950">
        <v>34</v>
      </c>
      <c r="AX22" s="950">
        <v>42</v>
      </c>
      <c r="AY22" s="951">
        <f t="shared" si="7"/>
        <v>120</v>
      </c>
      <c r="AZ22" s="952">
        <v>28</v>
      </c>
      <c r="BA22" s="950">
        <v>49</v>
      </c>
      <c r="BB22" s="950">
        <v>6</v>
      </c>
      <c r="BC22" s="951">
        <v>83</v>
      </c>
      <c r="BD22" s="952">
        <v>45</v>
      </c>
      <c r="BE22" s="950">
        <v>44</v>
      </c>
      <c r="BF22" s="950">
        <v>16</v>
      </c>
      <c r="BG22" s="951">
        <f t="shared" si="8"/>
        <v>105</v>
      </c>
      <c r="BH22" s="952">
        <v>36</v>
      </c>
      <c r="BI22" s="950">
        <v>59</v>
      </c>
      <c r="BJ22" s="950">
        <v>12</v>
      </c>
      <c r="BK22" s="951">
        <f>SUM(BH22:BJ22)</f>
        <v>107</v>
      </c>
      <c r="BL22" s="952">
        <v>46</v>
      </c>
      <c r="BM22" s="950">
        <v>67</v>
      </c>
      <c r="BN22" s="950">
        <v>14</v>
      </c>
      <c r="BO22" s="951">
        <f>SUM(BL22:BN22)</f>
        <v>127</v>
      </c>
      <c r="BP22" s="952">
        <v>44</v>
      </c>
      <c r="BQ22" s="950">
        <v>49</v>
      </c>
      <c r="BR22" s="950">
        <v>17</v>
      </c>
      <c r="BS22" s="951">
        <f>SUM(BP22:BR22)</f>
        <v>110</v>
      </c>
      <c r="BT22" s="952">
        <v>43</v>
      </c>
      <c r="BU22" s="950">
        <v>56</v>
      </c>
      <c r="BV22" s="950">
        <v>23</v>
      </c>
      <c r="BW22" s="951">
        <f>SUM(BT22:BV22)</f>
        <v>122</v>
      </c>
      <c r="BX22" s="952">
        <v>65</v>
      </c>
      <c r="BY22" s="950">
        <v>68</v>
      </c>
      <c r="BZ22" s="950">
        <v>27</v>
      </c>
      <c r="CA22" s="951">
        <f>SUM(BX22:BZ22)</f>
        <v>160</v>
      </c>
    </row>
    <row r="23" spans="1:79" s="945" customFormat="1" ht="15" customHeight="1" x14ac:dyDescent="0.25">
      <c r="A23" s="5857"/>
      <c r="B23" s="5876"/>
      <c r="C23" s="953" t="s">
        <v>462</v>
      </c>
      <c r="D23" s="809">
        <v>16</v>
      </c>
      <c r="E23" s="810">
        <v>22</v>
      </c>
      <c r="F23" s="810">
        <v>31</v>
      </c>
      <c r="G23" s="954">
        <v>69</v>
      </c>
      <c r="H23" s="809">
        <v>41</v>
      </c>
      <c r="I23" s="810">
        <v>22</v>
      </c>
      <c r="J23" s="810">
        <v>36</v>
      </c>
      <c r="K23" s="954">
        <v>99</v>
      </c>
      <c r="L23" s="809">
        <v>8</v>
      </c>
      <c r="M23" s="810">
        <v>15</v>
      </c>
      <c r="N23" s="810">
        <v>17</v>
      </c>
      <c r="O23" s="954">
        <v>40</v>
      </c>
      <c r="P23" s="809">
        <v>11</v>
      </c>
      <c r="Q23" s="810">
        <v>20</v>
      </c>
      <c r="R23" s="810">
        <v>21</v>
      </c>
      <c r="S23" s="956">
        <v>52</v>
      </c>
      <c r="T23" s="809">
        <v>51</v>
      </c>
      <c r="U23" s="810">
        <v>22</v>
      </c>
      <c r="V23" s="810">
        <v>24</v>
      </c>
      <c r="W23" s="956">
        <f>SUM(T23:V23)</f>
        <v>97</v>
      </c>
      <c r="X23" s="809">
        <v>23</v>
      </c>
      <c r="Y23" s="810">
        <v>34</v>
      </c>
      <c r="Z23" s="810">
        <v>22</v>
      </c>
      <c r="AA23" s="954">
        <f>SUM(X23:Z23)</f>
        <v>79</v>
      </c>
      <c r="AB23" s="955">
        <v>26</v>
      </c>
      <c r="AC23" s="810">
        <v>24</v>
      </c>
      <c r="AD23" s="810">
        <v>22</v>
      </c>
      <c r="AE23" s="954">
        <f>SUM(AB23:AD23)</f>
        <v>72</v>
      </c>
      <c r="AF23" s="955">
        <v>35</v>
      </c>
      <c r="AG23" s="810">
        <v>19</v>
      </c>
      <c r="AH23" s="810">
        <v>15</v>
      </c>
      <c r="AI23" s="956">
        <f>SUM(AF23:AH23)</f>
        <v>69</v>
      </c>
      <c r="AJ23" s="955">
        <v>19</v>
      </c>
      <c r="AK23" s="810">
        <v>27</v>
      </c>
      <c r="AL23" s="853">
        <v>13</v>
      </c>
      <c r="AM23" s="956">
        <f>SUM(AJ23:AL23)</f>
        <v>59</v>
      </c>
      <c r="AN23" s="955">
        <v>7</v>
      </c>
      <c r="AO23" s="810">
        <v>42</v>
      </c>
      <c r="AP23" s="853">
        <v>23</v>
      </c>
      <c r="AQ23" s="956">
        <f>SUM(AN23:AP23)</f>
        <v>72</v>
      </c>
      <c r="AR23" s="959">
        <v>26</v>
      </c>
      <c r="AS23" s="957">
        <v>17</v>
      </c>
      <c r="AT23" s="957">
        <v>13</v>
      </c>
      <c r="AU23" s="958">
        <f t="shared" si="6"/>
        <v>56</v>
      </c>
      <c r="AV23" s="957">
        <v>18</v>
      </c>
      <c r="AW23" s="957">
        <v>24</v>
      </c>
      <c r="AX23" s="957">
        <v>42</v>
      </c>
      <c r="AY23" s="958">
        <f t="shared" si="7"/>
        <v>84</v>
      </c>
      <c r="AZ23" s="959">
        <v>19</v>
      </c>
      <c r="BA23" s="957">
        <v>39</v>
      </c>
      <c r="BB23" s="957">
        <v>10</v>
      </c>
      <c r="BC23" s="958">
        <v>68</v>
      </c>
      <c r="BD23" s="959">
        <v>22</v>
      </c>
      <c r="BE23" s="957">
        <v>33</v>
      </c>
      <c r="BF23" s="957">
        <v>8</v>
      </c>
      <c r="BG23" s="958">
        <f t="shared" si="8"/>
        <v>63</v>
      </c>
      <c r="BH23" s="959">
        <v>29</v>
      </c>
      <c r="BI23" s="957">
        <v>51</v>
      </c>
      <c r="BJ23" s="957">
        <v>9</v>
      </c>
      <c r="BK23" s="958">
        <f>SUM(BH23:BJ23)</f>
        <v>89</v>
      </c>
      <c r="BL23" s="959">
        <v>48</v>
      </c>
      <c r="BM23" s="957">
        <v>39</v>
      </c>
      <c r="BN23" s="957">
        <v>13</v>
      </c>
      <c r="BO23" s="958">
        <f>SUM(BL23:BN23)</f>
        <v>100</v>
      </c>
      <c r="BP23" s="959">
        <v>34</v>
      </c>
      <c r="BQ23" s="957">
        <v>45</v>
      </c>
      <c r="BR23" s="957">
        <v>18</v>
      </c>
      <c r="BS23" s="958">
        <f>SUM(BP23:BR23)</f>
        <v>97</v>
      </c>
      <c r="BT23" s="959">
        <v>30</v>
      </c>
      <c r="BU23" s="957">
        <v>40</v>
      </c>
      <c r="BV23" s="957">
        <v>30</v>
      </c>
      <c r="BW23" s="958">
        <f>SUM(BT23:BV23)</f>
        <v>100</v>
      </c>
      <c r="BX23" s="959">
        <v>44</v>
      </c>
      <c r="BY23" s="957">
        <v>48</v>
      </c>
      <c r="BZ23" s="957">
        <v>20</v>
      </c>
      <c r="CA23" s="958">
        <f>SUM(BX23:BZ23)</f>
        <v>112</v>
      </c>
    </row>
    <row r="24" spans="1:79" s="945" customFormat="1" ht="15" customHeight="1" x14ac:dyDescent="0.25">
      <c r="A24" s="5857"/>
      <c r="B24" s="5877"/>
      <c r="C24" s="960" t="s">
        <v>160</v>
      </c>
      <c r="D24" s="961">
        <v>129</v>
      </c>
      <c r="E24" s="962">
        <v>110</v>
      </c>
      <c r="F24" s="962">
        <v>146</v>
      </c>
      <c r="G24" s="963">
        <v>385</v>
      </c>
      <c r="H24" s="961">
        <v>158</v>
      </c>
      <c r="I24" s="962">
        <v>98</v>
      </c>
      <c r="J24" s="962">
        <v>155</v>
      </c>
      <c r="K24" s="963">
        <v>411</v>
      </c>
      <c r="L24" s="961">
        <v>135</v>
      </c>
      <c r="M24" s="962">
        <v>114</v>
      </c>
      <c r="N24" s="962">
        <v>121</v>
      </c>
      <c r="O24" s="963">
        <v>370</v>
      </c>
      <c r="P24" s="961">
        <v>106</v>
      </c>
      <c r="Q24" s="962">
        <v>104</v>
      </c>
      <c r="R24" s="962">
        <v>112</v>
      </c>
      <c r="S24" s="963">
        <v>322</v>
      </c>
      <c r="T24" s="961">
        <f t="shared" ref="T24:BC24" si="24">SUM(T21:T23)</f>
        <v>135</v>
      </c>
      <c r="U24" s="962">
        <f t="shared" si="24"/>
        <v>153</v>
      </c>
      <c r="V24" s="962">
        <f t="shared" si="24"/>
        <v>132</v>
      </c>
      <c r="W24" s="963">
        <f t="shared" si="24"/>
        <v>420</v>
      </c>
      <c r="X24" s="961">
        <f t="shared" si="24"/>
        <v>110</v>
      </c>
      <c r="Y24" s="962">
        <f t="shared" si="24"/>
        <v>116</v>
      </c>
      <c r="Z24" s="962">
        <f t="shared" si="24"/>
        <v>93</v>
      </c>
      <c r="AA24" s="963">
        <f t="shared" si="24"/>
        <v>319</v>
      </c>
      <c r="AB24" s="961">
        <f t="shared" si="24"/>
        <v>98</v>
      </c>
      <c r="AC24" s="962">
        <f t="shared" si="24"/>
        <v>144</v>
      </c>
      <c r="AD24" s="962">
        <f t="shared" si="24"/>
        <v>110</v>
      </c>
      <c r="AE24" s="963">
        <f t="shared" si="24"/>
        <v>352</v>
      </c>
      <c r="AF24" s="961">
        <f t="shared" si="24"/>
        <v>128</v>
      </c>
      <c r="AG24" s="962">
        <f t="shared" si="24"/>
        <v>119</v>
      </c>
      <c r="AH24" s="962">
        <f t="shared" si="24"/>
        <v>111</v>
      </c>
      <c r="AI24" s="963">
        <f t="shared" si="24"/>
        <v>358</v>
      </c>
      <c r="AJ24" s="961">
        <f t="shared" si="24"/>
        <v>152</v>
      </c>
      <c r="AK24" s="962">
        <f t="shared" si="24"/>
        <v>126</v>
      </c>
      <c r="AL24" s="962">
        <f t="shared" si="24"/>
        <v>91</v>
      </c>
      <c r="AM24" s="963">
        <f t="shared" si="24"/>
        <v>369</v>
      </c>
      <c r="AN24" s="961">
        <f t="shared" si="24"/>
        <v>85</v>
      </c>
      <c r="AO24" s="962">
        <f t="shared" si="24"/>
        <v>145</v>
      </c>
      <c r="AP24" s="962">
        <f t="shared" si="24"/>
        <v>112</v>
      </c>
      <c r="AQ24" s="963">
        <f t="shared" si="24"/>
        <v>342</v>
      </c>
      <c r="AR24" s="961">
        <f t="shared" si="24"/>
        <v>147</v>
      </c>
      <c r="AS24" s="962">
        <f t="shared" si="24"/>
        <v>143</v>
      </c>
      <c r="AT24" s="962">
        <f t="shared" si="24"/>
        <v>74</v>
      </c>
      <c r="AU24" s="963">
        <f t="shared" si="6"/>
        <v>364</v>
      </c>
      <c r="AV24" s="961">
        <f>SUM(AV21:AV23)</f>
        <v>108</v>
      </c>
      <c r="AW24" s="962">
        <f>SUM(AW21:AW23)</f>
        <v>100</v>
      </c>
      <c r="AX24" s="962">
        <f>SUM(AX21:AX23)</f>
        <v>113</v>
      </c>
      <c r="AY24" s="963">
        <f t="shared" si="7"/>
        <v>321</v>
      </c>
      <c r="AZ24" s="961">
        <f t="shared" si="24"/>
        <v>83</v>
      </c>
      <c r="BA24" s="962">
        <f t="shared" si="24"/>
        <v>128</v>
      </c>
      <c r="BB24" s="962">
        <f t="shared" si="24"/>
        <v>31</v>
      </c>
      <c r="BC24" s="963">
        <f t="shared" si="24"/>
        <v>242</v>
      </c>
      <c r="BD24" s="961">
        <f t="shared" ref="BD24:BK24" si="25">SUM(BD21:BD23)</f>
        <v>96</v>
      </c>
      <c r="BE24" s="962">
        <f t="shared" si="25"/>
        <v>120</v>
      </c>
      <c r="BF24" s="962">
        <f t="shared" si="25"/>
        <v>37</v>
      </c>
      <c r="BG24" s="963">
        <f t="shared" si="25"/>
        <v>253</v>
      </c>
      <c r="BH24" s="961">
        <f t="shared" si="25"/>
        <v>113</v>
      </c>
      <c r="BI24" s="962">
        <f t="shared" si="25"/>
        <v>171</v>
      </c>
      <c r="BJ24" s="962">
        <f t="shared" si="25"/>
        <v>49</v>
      </c>
      <c r="BK24" s="963">
        <f t="shared" si="25"/>
        <v>333</v>
      </c>
      <c r="BL24" s="961">
        <f t="shared" ref="BL24:BS24" si="26">SUM(BL21:BL23)</f>
        <v>127</v>
      </c>
      <c r="BM24" s="962">
        <f t="shared" si="26"/>
        <v>165</v>
      </c>
      <c r="BN24" s="962">
        <f t="shared" si="26"/>
        <v>53</v>
      </c>
      <c r="BO24" s="963">
        <f t="shared" si="26"/>
        <v>345</v>
      </c>
      <c r="BP24" s="961">
        <f t="shared" si="26"/>
        <v>131</v>
      </c>
      <c r="BQ24" s="962">
        <f t="shared" si="26"/>
        <v>144</v>
      </c>
      <c r="BR24" s="962">
        <f t="shared" si="26"/>
        <v>68</v>
      </c>
      <c r="BS24" s="963">
        <f t="shared" si="26"/>
        <v>343</v>
      </c>
      <c r="BT24" s="961">
        <f t="shared" ref="BT24:CA24" si="27">SUM(BT21:BT23)</f>
        <v>110</v>
      </c>
      <c r="BU24" s="962">
        <f t="shared" si="27"/>
        <v>148</v>
      </c>
      <c r="BV24" s="962">
        <f t="shared" si="27"/>
        <v>70</v>
      </c>
      <c r="BW24" s="963">
        <f t="shared" si="27"/>
        <v>328</v>
      </c>
      <c r="BX24" s="961">
        <f>SUM(BX21:BX23)</f>
        <v>150</v>
      </c>
      <c r="BY24" s="962">
        <f t="shared" ref="BY24:BZ24" si="28">SUM(BY21:BY23)</f>
        <v>177</v>
      </c>
      <c r="BZ24" s="962">
        <f t="shared" si="28"/>
        <v>82</v>
      </c>
      <c r="CA24" s="963">
        <f t="shared" si="27"/>
        <v>409</v>
      </c>
    </row>
    <row r="25" spans="1:79" s="945" customFormat="1" ht="15" customHeight="1" x14ac:dyDescent="0.25">
      <c r="A25" s="5858"/>
      <c r="B25" s="3573"/>
      <c r="C25" s="3574" t="s">
        <v>444</v>
      </c>
      <c r="D25" s="3575">
        <v>473</v>
      </c>
      <c r="E25" s="3576">
        <v>487</v>
      </c>
      <c r="F25" s="3576">
        <v>449</v>
      </c>
      <c r="G25" s="3577">
        <v>1409</v>
      </c>
      <c r="H25" s="3575">
        <v>497</v>
      </c>
      <c r="I25" s="3576">
        <v>438</v>
      </c>
      <c r="J25" s="3576">
        <v>431</v>
      </c>
      <c r="K25" s="3577">
        <v>1366</v>
      </c>
      <c r="L25" s="3575">
        <v>455</v>
      </c>
      <c r="M25" s="3576">
        <v>414</v>
      </c>
      <c r="N25" s="3576">
        <v>427</v>
      </c>
      <c r="O25" s="3577">
        <v>1296</v>
      </c>
      <c r="P25" s="3575">
        <v>407</v>
      </c>
      <c r="Q25" s="3576">
        <v>439</v>
      </c>
      <c r="R25" s="3576">
        <v>412</v>
      </c>
      <c r="S25" s="3577">
        <v>1258</v>
      </c>
      <c r="T25" s="4409">
        <f t="shared" ref="T25:AQ25" si="29">SUM(T24,T20,T15)</f>
        <v>477</v>
      </c>
      <c r="U25" s="4410">
        <f t="shared" si="29"/>
        <v>561</v>
      </c>
      <c r="V25" s="4410">
        <f t="shared" si="29"/>
        <v>429</v>
      </c>
      <c r="W25" s="4411">
        <f t="shared" si="29"/>
        <v>1467</v>
      </c>
      <c r="X25" s="3575">
        <f t="shared" si="29"/>
        <v>407</v>
      </c>
      <c r="Y25" s="3576">
        <f t="shared" si="29"/>
        <v>498</v>
      </c>
      <c r="Z25" s="3576">
        <f t="shared" si="29"/>
        <v>373</v>
      </c>
      <c r="AA25" s="3577">
        <f t="shared" si="29"/>
        <v>1278</v>
      </c>
      <c r="AB25" s="3575">
        <f t="shared" si="29"/>
        <v>406</v>
      </c>
      <c r="AC25" s="3576">
        <f t="shared" si="29"/>
        <v>497</v>
      </c>
      <c r="AD25" s="3576">
        <f t="shared" si="29"/>
        <v>388</v>
      </c>
      <c r="AE25" s="3577">
        <f t="shared" si="29"/>
        <v>1291</v>
      </c>
      <c r="AF25" s="3575">
        <f t="shared" si="29"/>
        <v>425</v>
      </c>
      <c r="AG25" s="3576">
        <f t="shared" si="29"/>
        <v>428</v>
      </c>
      <c r="AH25" s="3576">
        <f t="shared" si="29"/>
        <v>394</v>
      </c>
      <c r="AI25" s="3577">
        <f t="shared" si="29"/>
        <v>1247</v>
      </c>
      <c r="AJ25" s="3575">
        <f t="shared" si="29"/>
        <v>410</v>
      </c>
      <c r="AK25" s="3576">
        <f t="shared" si="29"/>
        <v>451</v>
      </c>
      <c r="AL25" s="3576">
        <f t="shared" si="29"/>
        <v>335</v>
      </c>
      <c r="AM25" s="3577">
        <f t="shared" si="29"/>
        <v>1196</v>
      </c>
      <c r="AN25" s="4409">
        <f t="shared" si="29"/>
        <v>381</v>
      </c>
      <c r="AO25" s="4410">
        <f t="shared" si="29"/>
        <v>459</v>
      </c>
      <c r="AP25" s="4410">
        <f t="shared" si="29"/>
        <v>353</v>
      </c>
      <c r="AQ25" s="4411">
        <f t="shared" si="29"/>
        <v>1193</v>
      </c>
      <c r="AR25" s="4415">
        <f>SUM(AR24,AR20,AR15)</f>
        <v>424</v>
      </c>
      <c r="AS25" s="4416">
        <f>SUM(AS24,AS20,AS15)</f>
        <v>480</v>
      </c>
      <c r="AT25" s="4416">
        <f>SUM(AT24,AT20,AT15)</f>
        <v>310</v>
      </c>
      <c r="AU25" s="4417">
        <f t="shared" si="6"/>
        <v>1214</v>
      </c>
      <c r="AV25" s="3759">
        <f>SUM(AV24,AV20,AV15)</f>
        <v>371</v>
      </c>
      <c r="AW25" s="3760">
        <f>SUM(AW24,AW20,AW15)</f>
        <v>484</v>
      </c>
      <c r="AX25" s="3760">
        <f>SUM(AX24,AX20,AX15)</f>
        <v>337</v>
      </c>
      <c r="AY25" s="3761">
        <f t="shared" si="7"/>
        <v>1192</v>
      </c>
      <c r="AZ25" s="3575">
        <f t="shared" ref="AZ25:BO25" si="30">SUM(AZ24,AZ20,AZ15)</f>
        <v>368</v>
      </c>
      <c r="BA25" s="3576">
        <f t="shared" si="30"/>
        <v>441</v>
      </c>
      <c r="BB25" s="3576">
        <f t="shared" si="30"/>
        <v>276</v>
      </c>
      <c r="BC25" s="3577">
        <f t="shared" si="30"/>
        <v>1085</v>
      </c>
      <c r="BD25" s="3575">
        <f t="shared" si="30"/>
        <v>366</v>
      </c>
      <c r="BE25" s="3576">
        <f t="shared" si="30"/>
        <v>453</v>
      </c>
      <c r="BF25" s="3576">
        <f t="shared" si="30"/>
        <v>320</v>
      </c>
      <c r="BG25" s="3577">
        <f t="shared" si="30"/>
        <v>1139</v>
      </c>
      <c r="BH25" s="3575">
        <f t="shared" si="30"/>
        <v>499</v>
      </c>
      <c r="BI25" s="3576">
        <f t="shared" si="30"/>
        <v>657</v>
      </c>
      <c r="BJ25" s="3576">
        <f t="shared" si="30"/>
        <v>423</v>
      </c>
      <c r="BK25" s="3577">
        <f t="shared" si="30"/>
        <v>1579</v>
      </c>
      <c r="BL25" s="3575">
        <f t="shared" si="30"/>
        <v>535</v>
      </c>
      <c r="BM25" s="3576">
        <f t="shared" si="30"/>
        <v>590</v>
      </c>
      <c r="BN25" s="3576">
        <f t="shared" si="30"/>
        <v>355</v>
      </c>
      <c r="BO25" s="3577">
        <f t="shared" si="30"/>
        <v>1480</v>
      </c>
      <c r="BP25" s="3575">
        <f t="shared" ref="BP25:BW25" si="31">SUM(BP24,BP20,BP15)</f>
        <v>473</v>
      </c>
      <c r="BQ25" s="3576">
        <f t="shared" si="31"/>
        <v>576</v>
      </c>
      <c r="BR25" s="3576">
        <f t="shared" si="31"/>
        <v>450</v>
      </c>
      <c r="BS25" s="3577">
        <f t="shared" si="31"/>
        <v>1499</v>
      </c>
      <c r="BT25" s="3575">
        <f t="shared" si="31"/>
        <v>497</v>
      </c>
      <c r="BU25" s="3576">
        <f t="shared" si="31"/>
        <v>602</v>
      </c>
      <c r="BV25" s="3576">
        <f t="shared" si="31"/>
        <v>329</v>
      </c>
      <c r="BW25" s="3577">
        <f t="shared" si="31"/>
        <v>1428</v>
      </c>
      <c r="BX25" s="3575">
        <f t="shared" ref="BX25:CA25" si="32">SUM(BX24,BX20,BX15)</f>
        <v>577</v>
      </c>
      <c r="BY25" s="3576">
        <f t="shared" si="32"/>
        <v>623</v>
      </c>
      <c r="BZ25" s="3576">
        <f t="shared" si="32"/>
        <v>475</v>
      </c>
      <c r="CA25" s="3577">
        <f t="shared" si="32"/>
        <v>1675</v>
      </c>
    </row>
    <row r="26" spans="1:79" s="945" customFormat="1" ht="15" customHeight="1" x14ac:dyDescent="0.25">
      <c r="A26" s="5693" t="s">
        <v>8</v>
      </c>
      <c r="B26" s="5872" t="s">
        <v>6</v>
      </c>
      <c r="C26" s="964" t="s">
        <v>456</v>
      </c>
      <c r="D26" s="965"/>
      <c r="E26" s="965"/>
      <c r="F26" s="965"/>
      <c r="G26" s="966"/>
      <c r="H26" s="965"/>
      <c r="I26" s="965"/>
      <c r="J26" s="965"/>
      <c r="K26" s="966"/>
      <c r="L26" s="965"/>
      <c r="M26" s="965"/>
      <c r="N26" s="965"/>
      <c r="O26" s="966"/>
      <c r="P26" s="3656"/>
      <c r="Q26" s="965"/>
      <c r="R26" s="965"/>
      <c r="S26" s="966"/>
      <c r="T26" s="3656"/>
      <c r="U26" s="965"/>
      <c r="V26" s="965"/>
      <c r="W26" s="966"/>
      <c r="X26" s="965"/>
      <c r="Y26" s="965"/>
      <c r="Z26" s="965"/>
      <c r="AA26" s="966"/>
      <c r="AB26" s="965"/>
      <c r="AC26" s="965"/>
      <c r="AD26" s="965"/>
      <c r="AE26" s="966"/>
      <c r="AF26" s="3656"/>
      <c r="AG26" s="965"/>
      <c r="AH26" s="965"/>
      <c r="AI26" s="966"/>
      <c r="AJ26" s="965"/>
      <c r="AK26" s="965"/>
      <c r="AL26" s="965"/>
      <c r="AM26" s="966"/>
      <c r="AN26" s="3656"/>
      <c r="AO26" s="965"/>
      <c r="AP26" s="965"/>
      <c r="AQ26" s="966"/>
      <c r="AR26" s="944" t="s">
        <v>227</v>
      </c>
      <c r="AS26" s="942" t="s">
        <v>227</v>
      </c>
      <c r="AT26" s="942">
        <v>30</v>
      </c>
      <c r="AU26" s="967">
        <f t="shared" si="6"/>
        <v>30</v>
      </c>
      <c r="AV26" s="944">
        <v>1</v>
      </c>
      <c r="AW26" s="942">
        <v>2</v>
      </c>
      <c r="AX26" s="942">
        <v>21</v>
      </c>
      <c r="AY26" s="967">
        <f t="shared" si="7"/>
        <v>24</v>
      </c>
      <c r="AZ26" s="944">
        <v>5</v>
      </c>
      <c r="BA26" s="942">
        <v>31</v>
      </c>
      <c r="BB26" s="942">
        <v>4</v>
      </c>
      <c r="BC26" s="943">
        <v>40</v>
      </c>
      <c r="BD26" s="944">
        <v>7</v>
      </c>
      <c r="BE26" s="942">
        <v>15</v>
      </c>
      <c r="BF26" s="942">
        <v>8</v>
      </c>
      <c r="BG26" s="943">
        <f t="shared" si="8"/>
        <v>30</v>
      </c>
      <c r="BH26" s="944">
        <v>15</v>
      </c>
      <c r="BI26" s="942">
        <v>17</v>
      </c>
      <c r="BJ26" s="942"/>
      <c r="BK26" s="943">
        <f>SUM(BH26:BJ26)</f>
        <v>32</v>
      </c>
      <c r="BL26" s="944">
        <v>4</v>
      </c>
      <c r="BM26" s="942">
        <v>16</v>
      </c>
      <c r="BN26" s="942">
        <v>4</v>
      </c>
      <c r="BO26" s="943">
        <f>SUM(BL26:BN26)</f>
        <v>24</v>
      </c>
      <c r="BP26" s="944">
        <v>0</v>
      </c>
      <c r="BQ26" s="942">
        <v>13</v>
      </c>
      <c r="BR26" s="942">
        <v>2</v>
      </c>
      <c r="BS26" s="943">
        <f>SUM(BP26:BR26)</f>
        <v>15</v>
      </c>
      <c r="BT26" s="944">
        <v>3</v>
      </c>
      <c r="BU26" s="942">
        <v>17</v>
      </c>
      <c r="BV26" s="942">
        <v>2</v>
      </c>
      <c r="BW26" s="943">
        <f>SUM(BT26:BV26)</f>
        <v>22</v>
      </c>
      <c r="BX26" s="944">
        <v>2</v>
      </c>
      <c r="BY26" s="942">
        <v>14</v>
      </c>
      <c r="BZ26" s="942">
        <v>2</v>
      </c>
      <c r="CA26" s="943">
        <f>SUM(BX26:BZ26)</f>
        <v>18</v>
      </c>
    </row>
    <row r="27" spans="1:79" s="945" customFormat="1" ht="15" customHeight="1" x14ac:dyDescent="0.25">
      <c r="A27" s="5694"/>
      <c r="B27" s="5873"/>
      <c r="C27" s="3456" t="s">
        <v>457</v>
      </c>
      <c r="D27" s="3457"/>
      <c r="E27" s="3457"/>
      <c r="F27" s="3457"/>
      <c r="G27" s="3458"/>
      <c r="H27" s="3457"/>
      <c r="I27" s="3457"/>
      <c r="J27" s="3457"/>
      <c r="K27" s="3458"/>
      <c r="L27" s="3457"/>
      <c r="M27" s="3457"/>
      <c r="N27" s="3457"/>
      <c r="O27" s="3458"/>
      <c r="P27" s="3657"/>
      <c r="Q27" s="3457"/>
      <c r="R27" s="3457"/>
      <c r="S27" s="3458"/>
      <c r="T27" s="3657"/>
      <c r="U27" s="3457"/>
      <c r="V27" s="3457"/>
      <c r="W27" s="3458"/>
      <c r="X27" s="3457"/>
      <c r="Y27" s="3457"/>
      <c r="Z27" s="3457"/>
      <c r="AA27" s="3458"/>
      <c r="AB27" s="3457"/>
      <c r="AC27" s="3457"/>
      <c r="AD27" s="3457"/>
      <c r="AE27" s="3458"/>
      <c r="AF27" s="3657"/>
      <c r="AG27" s="3457"/>
      <c r="AH27" s="3457"/>
      <c r="AI27" s="3458"/>
      <c r="AJ27" s="3457"/>
      <c r="AK27" s="3457"/>
      <c r="AL27" s="3457"/>
      <c r="AM27" s="3458"/>
      <c r="AN27" s="3657"/>
      <c r="AO27" s="3457"/>
      <c r="AP27" s="3457"/>
      <c r="AQ27" s="3458"/>
      <c r="AR27" s="3459"/>
      <c r="AS27" s="3460">
        <v>16</v>
      </c>
      <c r="AT27" s="3460">
        <v>1</v>
      </c>
      <c r="AU27" s="3461">
        <f>SUM(AS27:AT27)</f>
        <v>17</v>
      </c>
      <c r="AV27" s="3459"/>
      <c r="AW27" s="3460">
        <v>1</v>
      </c>
      <c r="AX27" s="3460">
        <v>3</v>
      </c>
      <c r="AY27" s="3461">
        <f>SUM(AW27:AX27)</f>
        <v>4</v>
      </c>
      <c r="AZ27" s="3459"/>
      <c r="BA27" s="3460"/>
      <c r="BB27" s="3460"/>
      <c r="BC27" s="3462"/>
      <c r="BD27" s="3459"/>
      <c r="BE27" s="3460"/>
      <c r="BF27" s="3460"/>
      <c r="BG27" s="3462"/>
      <c r="BH27" s="3459"/>
      <c r="BI27" s="3460"/>
      <c r="BJ27" s="3460"/>
      <c r="BK27" s="3462"/>
      <c r="BL27" s="3459"/>
      <c r="BM27" s="3460">
        <v>2</v>
      </c>
      <c r="BN27" s="3460">
        <v>0</v>
      </c>
      <c r="BO27" s="3462">
        <f>SUM(BL27:BN27)</f>
        <v>2</v>
      </c>
      <c r="BP27" s="3459"/>
      <c r="BQ27" s="3460"/>
      <c r="BR27" s="3460"/>
      <c r="BS27" s="3462">
        <f>SUM(BP27:BR27)</f>
        <v>0</v>
      </c>
      <c r="BT27" s="3459"/>
      <c r="BU27" s="3460"/>
      <c r="BV27" s="3460"/>
      <c r="BW27" s="3462">
        <f>SUM(BT27:BV27)</f>
        <v>0</v>
      </c>
      <c r="BX27" s="3459"/>
      <c r="BY27" s="3460"/>
      <c r="BZ27" s="3460"/>
      <c r="CA27" s="3462">
        <f>SUM(BX27:BZ27)</f>
        <v>0</v>
      </c>
    </row>
    <row r="28" spans="1:79" s="945" customFormat="1" ht="15" customHeight="1" x14ac:dyDescent="0.25">
      <c r="A28" s="5694"/>
      <c r="B28" s="5873"/>
      <c r="C28" s="968" t="s">
        <v>495</v>
      </c>
      <c r="D28" s="969"/>
      <c r="E28" s="969"/>
      <c r="F28" s="969"/>
      <c r="G28" s="970"/>
      <c r="H28" s="969"/>
      <c r="I28" s="969"/>
      <c r="J28" s="969"/>
      <c r="K28" s="970"/>
      <c r="L28" s="969"/>
      <c r="M28" s="969"/>
      <c r="N28" s="969"/>
      <c r="O28" s="970"/>
      <c r="P28" s="3658"/>
      <c r="Q28" s="969"/>
      <c r="R28" s="969"/>
      <c r="S28" s="970"/>
      <c r="T28" s="3658"/>
      <c r="U28" s="969"/>
      <c r="V28" s="969"/>
      <c r="W28" s="970"/>
      <c r="X28" s="969"/>
      <c r="Y28" s="969"/>
      <c r="Z28" s="969"/>
      <c r="AA28" s="970"/>
      <c r="AB28" s="969"/>
      <c r="AC28" s="969"/>
      <c r="AD28" s="969"/>
      <c r="AE28" s="970"/>
      <c r="AF28" s="3658"/>
      <c r="AG28" s="969"/>
      <c r="AH28" s="969"/>
      <c r="AI28" s="970"/>
      <c r="AJ28" s="969"/>
      <c r="AK28" s="969"/>
      <c r="AL28" s="969"/>
      <c r="AM28" s="970"/>
      <c r="AN28" s="3658"/>
      <c r="AO28" s="969"/>
      <c r="AP28" s="969"/>
      <c r="AQ28" s="970"/>
      <c r="AR28" s="952"/>
      <c r="AS28" s="950"/>
      <c r="AT28" s="950"/>
      <c r="AU28" s="971">
        <f t="shared" si="6"/>
        <v>0</v>
      </c>
      <c r="AV28" s="952"/>
      <c r="AW28" s="950"/>
      <c r="AX28" s="950"/>
      <c r="AY28" s="971">
        <f t="shared" si="7"/>
        <v>0</v>
      </c>
      <c r="AZ28" s="952"/>
      <c r="BA28" s="950">
        <v>7</v>
      </c>
      <c r="BB28" s="950">
        <v>1</v>
      </c>
      <c r="BC28" s="951">
        <v>8</v>
      </c>
      <c r="BD28" s="952">
        <v>1</v>
      </c>
      <c r="BE28" s="950">
        <v>12</v>
      </c>
      <c r="BF28" s="950">
        <v>4</v>
      </c>
      <c r="BG28" s="951">
        <f t="shared" si="8"/>
        <v>17</v>
      </c>
      <c r="BH28" s="952">
        <v>1</v>
      </c>
      <c r="BI28" s="950">
        <v>3</v>
      </c>
      <c r="BJ28" s="950"/>
      <c r="BK28" s="951">
        <f>SUM(BH28:BJ28)</f>
        <v>4</v>
      </c>
      <c r="BL28" s="952"/>
      <c r="BM28" s="950">
        <v>1</v>
      </c>
      <c r="BN28" s="950">
        <v>3</v>
      </c>
      <c r="BO28" s="951">
        <f>SUM(BL28:BN28)</f>
        <v>4</v>
      </c>
      <c r="BP28" s="952">
        <v>2</v>
      </c>
      <c r="BQ28" s="950">
        <v>0</v>
      </c>
      <c r="BR28" s="950">
        <v>0</v>
      </c>
      <c r="BS28" s="951">
        <f>SUM(BP28:BR28)</f>
        <v>2</v>
      </c>
      <c r="BT28" s="952">
        <v>0</v>
      </c>
      <c r="BU28" s="950">
        <v>3</v>
      </c>
      <c r="BV28" s="950">
        <v>0</v>
      </c>
      <c r="BW28" s="951">
        <f>SUM(BT28:BV28)</f>
        <v>3</v>
      </c>
      <c r="BX28" s="952">
        <v>2</v>
      </c>
      <c r="BY28" s="950">
        <v>8</v>
      </c>
      <c r="BZ28" s="950">
        <v>1</v>
      </c>
      <c r="CA28" s="951">
        <f>SUM(BX28:BZ28)</f>
        <v>11</v>
      </c>
    </row>
    <row r="29" spans="1:79" s="945" customFormat="1" ht="15" customHeight="1" x14ac:dyDescent="0.25">
      <c r="A29" s="5694"/>
      <c r="B29" s="5873"/>
      <c r="C29" s="953" t="s">
        <v>496</v>
      </c>
      <c r="D29" s="809"/>
      <c r="E29" s="810"/>
      <c r="F29" s="810"/>
      <c r="G29" s="954"/>
      <c r="H29" s="809"/>
      <c r="I29" s="810"/>
      <c r="J29" s="810"/>
      <c r="K29" s="954"/>
      <c r="L29" s="809"/>
      <c r="M29" s="810"/>
      <c r="N29" s="810"/>
      <c r="O29" s="954"/>
      <c r="P29" s="809"/>
      <c r="Q29" s="810"/>
      <c r="R29" s="810"/>
      <c r="S29" s="956"/>
      <c r="T29" s="809"/>
      <c r="U29" s="810"/>
      <c r="V29" s="810"/>
      <c r="W29" s="956"/>
      <c r="X29" s="809"/>
      <c r="Y29" s="810"/>
      <c r="Z29" s="810"/>
      <c r="AA29" s="954"/>
      <c r="AB29" s="955"/>
      <c r="AC29" s="810"/>
      <c r="AD29" s="810"/>
      <c r="AE29" s="954"/>
      <c r="AF29" s="955"/>
      <c r="AG29" s="810"/>
      <c r="AH29" s="810"/>
      <c r="AI29" s="956"/>
      <c r="AJ29" s="955"/>
      <c r="AK29" s="810"/>
      <c r="AL29" s="853"/>
      <c r="AM29" s="956"/>
      <c r="AN29" s="955"/>
      <c r="AO29" s="810"/>
      <c r="AP29" s="853"/>
      <c r="AQ29" s="956"/>
      <c r="AR29" s="959" t="s">
        <v>227</v>
      </c>
      <c r="AS29" s="957"/>
      <c r="AT29" s="957"/>
      <c r="AU29" s="958">
        <f t="shared" si="6"/>
        <v>0</v>
      </c>
      <c r="AV29" s="957"/>
      <c r="AW29" s="957"/>
      <c r="AX29" s="957"/>
      <c r="AY29" s="958">
        <f t="shared" si="7"/>
        <v>0</v>
      </c>
      <c r="AZ29" s="959"/>
      <c r="BA29" s="957">
        <v>1</v>
      </c>
      <c r="BB29" s="957">
        <v>2</v>
      </c>
      <c r="BC29" s="958">
        <v>3</v>
      </c>
      <c r="BD29" s="959">
        <v>4</v>
      </c>
      <c r="BE29" s="957">
        <v>2</v>
      </c>
      <c r="BF29" s="957">
        <v>1</v>
      </c>
      <c r="BG29" s="958">
        <f t="shared" si="8"/>
        <v>7</v>
      </c>
      <c r="BH29" s="959">
        <v>1</v>
      </c>
      <c r="BI29" s="957">
        <v>4</v>
      </c>
      <c r="BJ29" s="957">
        <v>2</v>
      </c>
      <c r="BK29" s="958">
        <f>SUM(BH29:BJ29)</f>
        <v>7</v>
      </c>
      <c r="BL29" s="959">
        <v>1</v>
      </c>
      <c r="BM29" s="957">
        <v>1</v>
      </c>
      <c r="BN29" s="957">
        <v>1</v>
      </c>
      <c r="BO29" s="958">
        <f>SUM(BL29:BN29)</f>
        <v>3</v>
      </c>
      <c r="BP29" s="959">
        <v>4</v>
      </c>
      <c r="BQ29" s="957">
        <v>5</v>
      </c>
      <c r="BR29" s="957">
        <v>2</v>
      </c>
      <c r="BS29" s="958">
        <f>SUM(BP29:BR29)</f>
        <v>11</v>
      </c>
      <c r="BT29" s="959">
        <v>3</v>
      </c>
      <c r="BU29" s="957">
        <v>3</v>
      </c>
      <c r="BV29" s="957">
        <v>1</v>
      </c>
      <c r="BW29" s="958">
        <f>SUM(BT29:BV29)</f>
        <v>7</v>
      </c>
      <c r="BX29" s="959">
        <v>1</v>
      </c>
      <c r="BY29" s="957">
        <v>5</v>
      </c>
      <c r="BZ29" s="957">
        <v>1</v>
      </c>
      <c r="CA29" s="958">
        <f>SUM(BX29:BZ29)</f>
        <v>7</v>
      </c>
    </row>
    <row r="30" spans="1:79" s="945" customFormat="1" ht="15" customHeight="1" x14ac:dyDescent="0.25">
      <c r="A30" s="5694"/>
      <c r="B30" s="5874"/>
      <c r="C30" s="960" t="s">
        <v>160</v>
      </c>
      <c r="D30" s="961"/>
      <c r="E30" s="962"/>
      <c r="F30" s="962"/>
      <c r="G30" s="963"/>
      <c r="H30" s="961"/>
      <c r="I30" s="962"/>
      <c r="J30" s="962"/>
      <c r="K30" s="963"/>
      <c r="L30" s="961"/>
      <c r="M30" s="962"/>
      <c r="N30" s="962"/>
      <c r="O30" s="963"/>
      <c r="P30" s="961"/>
      <c r="Q30" s="962"/>
      <c r="R30" s="962"/>
      <c r="S30" s="963"/>
      <c r="T30" s="961"/>
      <c r="U30" s="962"/>
      <c r="V30" s="962"/>
      <c r="W30" s="963"/>
      <c r="X30" s="961"/>
      <c r="Y30" s="962"/>
      <c r="Z30" s="962"/>
      <c r="AA30" s="963"/>
      <c r="AB30" s="961"/>
      <c r="AC30" s="962"/>
      <c r="AD30" s="962"/>
      <c r="AE30" s="963"/>
      <c r="AF30" s="961"/>
      <c r="AG30" s="962"/>
      <c r="AH30" s="962"/>
      <c r="AI30" s="963"/>
      <c r="AJ30" s="961"/>
      <c r="AK30" s="962"/>
      <c r="AL30" s="962"/>
      <c r="AM30" s="963"/>
      <c r="AN30" s="961"/>
      <c r="AO30" s="962"/>
      <c r="AP30" s="962"/>
      <c r="AQ30" s="963"/>
      <c r="AR30" s="961">
        <f>SUM(AR26:AR29)</f>
        <v>0</v>
      </c>
      <c r="AS30" s="962">
        <f>SUM(AS26:AS29)</f>
        <v>16</v>
      </c>
      <c r="AT30" s="962">
        <f>SUM(AT26:AT29)</f>
        <v>31</v>
      </c>
      <c r="AU30" s="963">
        <f t="shared" si="6"/>
        <v>47</v>
      </c>
      <c r="AV30" s="961">
        <f>SUM(AV26:AV29)</f>
        <v>1</v>
      </c>
      <c r="AW30" s="962">
        <f>SUM(AW26:AW29)</f>
        <v>3</v>
      </c>
      <c r="AX30" s="962">
        <f>SUM(AX26:AX29)</f>
        <v>24</v>
      </c>
      <c r="AY30" s="963">
        <f t="shared" si="7"/>
        <v>28</v>
      </c>
      <c r="AZ30" s="961">
        <f>SUM(AZ26:AZ29)</f>
        <v>5</v>
      </c>
      <c r="BA30" s="962">
        <f>SUM(BA26:BA29)</f>
        <v>39</v>
      </c>
      <c r="BB30" s="962">
        <f>SUM(BB26:BB29)</f>
        <v>7</v>
      </c>
      <c r="BC30" s="963">
        <f>SUM(BC26:BC29)</f>
        <v>51</v>
      </c>
      <c r="BD30" s="961">
        <f t="shared" ref="BD30:BK30" si="33">SUM(BD26:BD29)</f>
        <v>12</v>
      </c>
      <c r="BE30" s="962">
        <f t="shared" si="33"/>
        <v>29</v>
      </c>
      <c r="BF30" s="962">
        <f t="shared" si="33"/>
        <v>13</v>
      </c>
      <c r="BG30" s="963">
        <f t="shared" si="33"/>
        <v>54</v>
      </c>
      <c r="BH30" s="961">
        <f t="shared" si="33"/>
        <v>17</v>
      </c>
      <c r="BI30" s="962">
        <f t="shared" si="33"/>
        <v>24</v>
      </c>
      <c r="BJ30" s="962">
        <f t="shared" si="33"/>
        <v>2</v>
      </c>
      <c r="BK30" s="963">
        <f t="shared" si="33"/>
        <v>43</v>
      </c>
      <c r="BL30" s="961">
        <f t="shared" ref="BL30:BS30" si="34">SUM(BL26:BL29)</f>
        <v>5</v>
      </c>
      <c r="BM30" s="962">
        <f t="shared" si="34"/>
        <v>20</v>
      </c>
      <c r="BN30" s="962">
        <f t="shared" si="34"/>
        <v>8</v>
      </c>
      <c r="BO30" s="963">
        <f t="shared" si="34"/>
        <v>33</v>
      </c>
      <c r="BP30" s="961">
        <f t="shared" si="34"/>
        <v>6</v>
      </c>
      <c r="BQ30" s="962">
        <f t="shared" si="34"/>
        <v>18</v>
      </c>
      <c r="BR30" s="962">
        <f t="shared" si="34"/>
        <v>4</v>
      </c>
      <c r="BS30" s="963">
        <f t="shared" si="34"/>
        <v>28</v>
      </c>
      <c r="BT30" s="961">
        <f t="shared" ref="BT30:CA30" si="35">SUM(BT26:BT29)</f>
        <v>6</v>
      </c>
      <c r="BU30" s="962">
        <f t="shared" si="35"/>
        <v>23</v>
      </c>
      <c r="BV30" s="962">
        <f t="shared" si="35"/>
        <v>3</v>
      </c>
      <c r="BW30" s="963">
        <f t="shared" si="35"/>
        <v>32</v>
      </c>
      <c r="BX30" s="961">
        <f>SUM(BX26:BX29)</f>
        <v>5</v>
      </c>
      <c r="BY30" s="962">
        <f t="shared" ref="BY30:BZ30" si="36">SUM(BY26:BY29)</f>
        <v>27</v>
      </c>
      <c r="BZ30" s="962">
        <f t="shared" si="36"/>
        <v>4</v>
      </c>
      <c r="CA30" s="963">
        <f t="shared" si="35"/>
        <v>36</v>
      </c>
    </row>
    <row r="31" spans="1:79" s="945" customFormat="1" ht="15" customHeight="1" x14ac:dyDescent="0.25">
      <c r="A31" s="5694"/>
      <c r="B31" s="5872" t="s">
        <v>9</v>
      </c>
      <c r="C31" s="964" t="s">
        <v>497</v>
      </c>
      <c r="D31" s="965"/>
      <c r="E31" s="965"/>
      <c r="F31" s="965"/>
      <c r="G31" s="966"/>
      <c r="H31" s="965"/>
      <c r="I31" s="965"/>
      <c r="J31" s="965"/>
      <c r="K31" s="966"/>
      <c r="L31" s="965"/>
      <c r="M31" s="965"/>
      <c r="N31" s="965"/>
      <c r="O31" s="966"/>
      <c r="P31" s="3656"/>
      <c r="Q31" s="965"/>
      <c r="R31" s="965"/>
      <c r="S31" s="966"/>
      <c r="T31" s="3656"/>
      <c r="U31" s="965"/>
      <c r="V31" s="965"/>
      <c r="W31" s="966"/>
      <c r="X31" s="965"/>
      <c r="Y31" s="965"/>
      <c r="Z31" s="965"/>
      <c r="AA31" s="966"/>
      <c r="AB31" s="965"/>
      <c r="AC31" s="965"/>
      <c r="AD31" s="965"/>
      <c r="AE31" s="966"/>
      <c r="AF31" s="3656"/>
      <c r="AG31" s="965"/>
      <c r="AH31" s="965"/>
      <c r="AI31" s="966"/>
      <c r="AJ31" s="965"/>
      <c r="AK31" s="965"/>
      <c r="AL31" s="965"/>
      <c r="AM31" s="966"/>
      <c r="AN31" s="3656"/>
      <c r="AO31" s="965"/>
      <c r="AP31" s="965"/>
      <c r="AQ31" s="966"/>
      <c r="AR31" s="944" t="s">
        <v>227</v>
      </c>
      <c r="AS31" s="942" t="s">
        <v>227</v>
      </c>
      <c r="AT31" s="942">
        <v>9</v>
      </c>
      <c r="AU31" s="967">
        <f t="shared" si="6"/>
        <v>9</v>
      </c>
      <c r="AV31" s="944"/>
      <c r="AW31" s="942">
        <v>4</v>
      </c>
      <c r="AX31" s="942">
        <v>11</v>
      </c>
      <c r="AY31" s="967">
        <f t="shared" si="7"/>
        <v>15</v>
      </c>
      <c r="AZ31" s="944">
        <v>2</v>
      </c>
      <c r="BA31" s="942">
        <v>4</v>
      </c>
      <c r="BB31" s="942">
        <v>9</v>
      </c>
      <c r="BC31" s="943">
        <v>15</v>
      </c>
      <c r="BD31" s="944">
        <v>1</v>
      </c>
      <c r="BE31" s="942">
        <v>13</v>
      </c>
      <c r="BF31" s="942">
        <v>5</v>
      </c>
      <c r="BG31" s="943">
        <f t="shared" si="8"/>
        <v>19</v>
      </c>
      <c r="BH31" s="944">
        <v>2</v>
      </c>
      <c r="BI31" s="942">
        <v>3</v>
      </c>
      <c r="BJ31" s="942">
        <v>1</v>
      </c>
      <c r="BK31" s="943">
        <f>SUM(BH31:BJ31)</f>
        <v>6</v>
      </c>
      <c r="BL31" s="944">
        <v>4</v>
      </c>
      <c r="BM31" s="942">
        <v>4</v>
      </c>
      <c r="BN31" s="942">
        <v>3</v>
      </c>
      <c r="BO31" s="943">
        <f>SUM(BL31:BN31)</f>
        <v>11</v>
      </c>
      <c r="BP31" s="944">
        <v>3</v>
      </c>
      <c r="BQ31" s="942">
        <v>6</v>
      </c>
      <c r="BR31" s="942">
        <v>0</v>
      </c>
      <c r="BS31" s="943">
        <f>SUM(BP31:BR31)</f>
        <v>9</v>
      </c>
      <c r="BT31" s="944">
        <v>7</v>
      </c>
      <c r="BU31" s="942">
        <v>1</v>
      </c>
      <c r="BV31" s="942">
        <v>6</v>
      </c>
      <c r="BW31" s="943">
        <f>SUM(BT31:BV31)</f>
        <v>14</v>
      </c>
      <c r="BX31" s="944">
        <v>8</v>
      </c>
      <c r="BY31" s="942">
        <v>8</v>
      </c>
      <c r="BZ31" s="942">
        <v>3</v>
      </c>
      <c r="CA31" s="943">
        <f>SUM(BX31:BZ31)</f>
        <v>19</v>
      </c>
    </row>
    <row r="32" spans="1:79" s="945" customFormat="1" ht="15" customHeight="1" x14ac:dyDescent="0.25">
      <c r="A32" s="5694"/>
      <c r="B32" s="5873"/>
      <c r="C32" s="968" t="s">
        <v>511</v>
      </c>
      <c r="D32" s="969"/>
      <c r="E32" s="969"/>
      <c r="F32" s="969"/>
      <c r="G32" s="970"/>
      <c r="H32" s="969"/>
      <c r="I32" s="969"/>
      <c r="J32" s="969"/>
      <c r="K32" s="970"/>
      <c r="L32" s="969"/>
      <c r="M32" s="969"/>
      <c r="N32" s="969"/>
      <c r="O32" s="970"/>
      <c r="P32" s="3658"/>
      <c r="Q32" s="969"/>
      <c r="R32" s="969"/>
      <c r="S32" s="970"/>
      <c r="T32" s="3658"/>
      <c r="U32" s="969"/>
      <c r="V32" s="969"/>
      <c r="W32" s="970"/>
      <c r="X32" s="969"/>
      <c r="Y32" s="969"/>
      <c r="Z32" s="969"/>
      <c r="AA32" s="970"/>
      <c r="AB32" s="969"/>
      <c r="AC32" s="969"/>
      <c r="AD32" s="969"/>
      <c r="AE32" s="970"/>
      <c r="AF32" s="3658"/>
      <c r="AG32" s="969"/>
      <c r="AH32" s="969"/>
      <c r="AI32" s="970"/>
      <c r="AJ32" s="969"/>
      <c r="AK32" s="969"/>
      <c r="AL32" s="969"/>
      <c r="AM32" s="970"/>
      <c r="AN32" s="3658"/>
      <c r="AO32" s="969"/>
      <c r="AP32" s="969"/>
      <c r="AQ32" s="970"/>
      <c r="AR32" s="952"/>
      <c r="AS32" s="950"/>
      <c r="AT32" s="950"/>
      <c r="AU32" s="971">
        <f t="shared" si="6"/>
        <v>0</v>
      </c>
      <c r="AV32" s="952"/>
      <c r="AW32" s="950"/>
      <c r="AX32" s="950"/>
      <c r="AY32" s="971">
        <f t="shared" si="7"/>
        <v>0</v>
      </c>
      <c r="AZ32" s="952"/>
      <c r="BA32" s="950">
        <v>1</v>
      </c>
      <c r="BB32" s="950">
        <v>1</v>
      </c>
      <c r="BC32" s="951">
        <v>2</v>
      </c>
      <c r="BD32" s="952">
        <v>0</v>
      </c>
      <c r="BE32" s="950">
        <v>1</v>
      </c>
      <c r="BF32" s="950">
        <v>1</v>
      </c>
      <c r="BG32" s="951">
        <f t="shared" si="8"/>
        <v>2</v>
      </c>
      <c r="BH32" s="952"/>
      <c r="BI32" s="950"/>
      <c r="BJ32" s="950"/>
      <c r="BK32" s="951">
        <f>SUM(BH32:BJ32)</f>
        <v>0</v>
      </c>
      <c r="BL32" s="952"/>
      <c r="BM32" s="950">
        <v>2</v>
      </c>
      <c r="BN32" s="950"/>
      <c r="BO32" s="951">
        <f>SUM(BL32:BN32)</f>
        <v>2</v>
      </c>
      <c r="BP32" s="952">
        <v>3</v>
      </c>
      <c r="BQ32" s="950">
        <v>4</v>
      </c>
      <c r="BR32" s="950">
        <v>0</v>
      </c>
      <c r="BS32" s="951">
        <f>SUM(BP32:BR32)</f>
        <v>7</v>
      </c>
      <c r="BT32" s="952">
        <v>2</v>
      </c>
      <c r="BU32" s="950">
        <v>5</v>
      </c>
      <c r="BV32" s="950">
        <v>0</v>
      </c>
      <c r="BW32" s="951">
        <f>SUM(BT32:BV32)</f>
        <v>7</v>
      </c>
      <c r="BX32" s="952">
        <v>3</v>
      </c>
      <c r="BY32" s="950">
        <v>3</v>
      </c>
      <c r="BZ32" s="950">
        <v>1</v>
      </c>
      <c r="CA32" s="951">
        <f>SUM(BX32:BZ32)</f>
        <v>7</v>
      </c>
    </row>
    <row r="33" spans="1:79" s="945" customFormat="1" ht="15" customHeight="1" x14ac:dyDescent="0.25">
      <c r="A33" s="5694"/>
      <c r="B33" s="5873"/>
      <c r="C33" s="953" t="s">
        <v>499</v>
      </c>
      <c r="D33" s="809"/>
      <c r="E33" s="810"/>
      <c r="F33" s="810"/>
      <c r="G33" s="954"/>
      <c r="H33" s="809"/>
      <c r="I33" s="810"/>
      <c r="J33" s="810"/>
      <c r="K33" s="954"/>
      <c r="L33" s="809"/>
      <c r="M33" s="810"/>
      <c r="N33" s="810"/>
      <c r="O33" s="954"/>
      <c r="P33" s="809"/>
      <c r="Q33" s="810"/>
      <c r="R33" s="810"/>
      <c r="S33" s="956"/>
      <c r="T33" s="809"/>
      <c r="U33" s="810"/>
      <c r="V33" s="810"/>
      <c r="W33" s="956"/>
      <c r="X33" s="809"/>
      <c r="Y33" s="810"/>
      <c r="Z33" s="810"/>
      <c r="AA33" s="954"/>
      <c r="AB33" s="955"/>
      <c r="AC33" s="810"/>
      <c r="AD33" s="810"/>
      <c r="AE33" s="954"/>
      <c r="AF33" s="955"/>
      <c r="AG33" s="810"/>
      <c r="AH33" s="810"/>
      <c r="AI33" s="956"/>
      <c r="AJ33" s="955"/>
      <c r="AK33" s="810"/>
      <c r="AL33" s="853"/>
      <c r="AM33" s="956"/>
      <c r="AN33" s="955"/>
      <c r="AO33" s="810"/>
      <c r="AP33" s="853"/>
      <c r="AQ33" s="956"/>
      <c r="AR33" s="959"/>
      <c r="AS33" s="957"/>
      <c r="AT33" s="957"/>
      <c r="AU33" s="958">
        <f t="shared" si="6"/>
        <v>0</v>
      </c>
      <c r="AV33" s="957"/>
      <c r="AW33" s="957"/>
      <c r="AX33" s="957"/>
      <c r="AY33" s="958">
        <f t="shared" si="7"/>
        <v>0</v>
      </c>
      <c r="AZ33" s="959"/>
      <c r="BA33" s="957">
        <v>11</v>
      </c>
      <c r="BB33" s="957">
        <v>4</v>
      </c>
      <c r="BC33" s="958">
        <v>15</v>
      </c>
      <c r="BD33" s="959">
        <v>4</v>
      </c>
      <c r="BE33" s="957">
        <v>18</v>
      </c>
      <c r="BF33" s="957">
        <v>5</v>
      </c>
      <c r="BG33" s="958">
        <f t="shared" si="8"/>
        <v>27</v>
      </c>
      <c r="BH33" s="959">
        <v>2</v>
      </c>
      <c r="BI33" s="957">
        <v>13</v>
      </c>
      <c r="BJ33" s="957"/>
      <c r="BK33" s="958">
        <f>SUM(BH33:BJ33)</f>
        <v>15</v>
      </c>
      <c r="BL33" s="959">
        <v>1</v>
      </c>
      <c r="BM33" s="957">
        <v>14</v>
      </c>
      <c r="BN33" s="957">
        <v>3</v>
      </c>
      <c r="BO33" s="958">
        <f>SUM(BL33:BN33)</f>
        <v>18</v>
      </c>
      <c r="BP33" s="959">
        <v>4</v>
      </c>
      <c r="BQ33" s="957">
        <v>7</v>
      </c>
      <c r="BR33" s="957">
        <v>2</v>
      </c>
      <c r="BS33" s="958">
        <f>SUM(BP33:BR33)</f>
        <v>13</v>
      </c>
      <c r="BT33" s="959">
        <v>4</v>
      </c>
      <c r="BU33" s="957">
        <v>12</v>
      </c>
      <c r="BV33" s="957">
        <v>2</v>
      </c>
      <c r="BW33" s="958">
        <f>SUM(BT33:BV33)</f>
        <v>18</v>
      </c>
      <c r="BX33" s="959">
        <v>6</v>
      </c>
      <c r="BY33" s="957">
        <v>16</v>
      </c>
      <c r="BZ33" s="957">
        <v>7</v>
      </c>
      <c r="CA33" s="958">
        <f>SUM(BX33:BZ33)</f>
        <v>29</v>
      </c>
    </row>
    <row r="34" spans="1:79" s="945" customFormat="1" ht="15" customHeight="1" x14ac:dyDescent="0.25">
      <c r="A34" s="5694"/>
      <c r="B34" s="5874"/>
      <c r="C34" s="960" t="s">
        <v>160</v>
      </c>
      <c r="D34" s="961"/>
      <c r="E34" s="962"/>
      <c r="F34" s="962"/>
      <c r="G34" s="963"/>
      <c r="H34" s="961"/>
      <c r="I34" s="962"/>
      <c r="J34" s="962"/>
      <c r="K34" s="963"/>
      <c r="L34" s="961"/>
      <c r="M34" s="962"/>
      <c r="N34" s="962"/>
      <c r="O34" s="963"/>
      <c r="P34" s="961"/>
      <c r="Q34" s="962"/>
      <c r="R34" s="962"/>
      <c r="S34" s="963"/>
      <c r="T34" s="961"/>
      <c r="U34" s="962"/>
      <c r="V34" s="962"/>
      <c r="W34" s="963"/>
      <c r="X34" s="961"/>
      <c r="Y34" s="962"/>
      <c r="Z34" s="962"/>
      <c r="AA34" s="963"/>
      <c r="AB34" s="961"/>
      <c r="AC34" s="962"/>
      <c r="AD34" s="962"/>
      <c r="AE34" s="963"/>
      <c r="AF34" s="961"/>
      <c r="AG34" s="962"/>
      <c r="AH34" s="962"/>
      <c r="AI34" s="963"/>
      <c r="AJ34" s="961"/>
      <c r="AK34" s="962"/>
      <c r="AL34" s="962"/>
      <c r="AM34" s="963"/>
      <c r="AN34" s="961"/>
      <c r="AO34" s="962"/>
      <c r="AP34" s="962"/>
      <c r="AQ34" s="963"/>
      <c r="AR34" s="961">
        <f>SUM(AR33)</f>
        <v>0</v>
      </c>
      <c r="AS34" s="962">
        <f>SUM(AS33)</f>
        <v>0</v>
      </c>
      <c r="AT34" s="962">
        <f>SUM(AT31:AT33)</f>
        <v>9</v>
      </c>
      <c r="AU34" s="963">
        <f t="shared" si="6"/>
        <v>9</v>
      </c>
      <c r="AV34" s="961">
        <f>SUM(AV31:AV33)</f>
        <v>0</v>
      </c>
      <c r="AW34" s="962">
        <f>SUM(AW31:AW33)</f>
        <v>4</v>
      </c>
      <c r="AX34" s="962">
        <f>SUM(AX31:AX33)</f>
        <v>11</v>
      </c>
      <c r="AY34" s="963">
        <f t="shared" si="7"/>
        <v>15</v>
      </c>
      <c r="AZ34" s="961">
        <f>SUM(AZ31:AZ33)</f>
        <v>2</v>
      </c>
      <c r="BA34" s="962">
        <f>SUM(BA31:BA33)</f>
        <v>16</v>
      </c>
      <c r="BB34" s="962">
        <f>SUM(BB31:BB33)</f>
        <v>14</v>
      </c>
      <c r="BC34" s="963">
        <f>SUM(BC31:BC33)</f>
        <v>32</v>
      </c>
      <c r="BD34" s="961">
        <f t="shared" ref="BD34:BK34" si="37">SUM(BD31:BD33)</f>
        <v>5</v>
      </c>
      <c r="BE34" s="962">
        <f t="shared" si="37"/>
        <v>32</v>
      </c>
      <c r="BF34" s="962">
        <f t="shared" si="37"/>
        <v>11</v>
      </c>
      <c r="BG34" s="963">
        <f t="shared" si="37"/>
        <v>48</v>
      </c>
      <c r="BH34" s="961">
        <f t="shared" si="37"/>
        <v>4</v>
      </c>
      <c r="BI34" s="962">
        <f t="shared" si="37"/>
        <v>16</v>
      </c>
      <c r="BJ34" s="962">
        <f t="shared" si="37"/>
        <v>1</v>
      </c>
      <c r="BK34" s="963">
        <f t="shared" si="37"/>
        <v>21</v>
      </c>
      <c r="BL34" s="961">
        <f t="shared" ref="BL34:BS34" si="38">SUM(BL31:BL33)</f>
        <v>5</v>
      </c>
      <c r="BM34" s="962">
        <f t="shared" si="38"/>
        <v>20</v>
      </c>
      <c r="BN34" s="962">
        <f t="shared" si="38"/>
        <v>6</v>
      </c>
      <c r="BO34" s="963">
        <f t="shared" si="38"/>
        <v>31</v>
      </c>
      <c r="BP34" s="961">
        <f t="shared" si="38"/>
        <v>10</v>
      </c>
      <c r="BQ34" s="962">
        <f t="shared" si="38"/>
        <v>17</v>
      </c>
      <c r="BR34" s="962">
        <f t="shared" si="38"/>
        <v>2</v>
      </c>
      <c r="BS34" s="963">
        <f t="shared" si="38"/>
        <v>29</v>
      </c>
      <c r="BT34" s="961">
        <f>SUM(BT31:BT33)</f>
        <v>13</v>
      </c>
      <c r="BU34" s="962">
        <f>SUM(BU31:BU33)</f>
        <v>18</v>
      </c>
      <c r="BV34" s="962">
        <f>SUM(BV31:BV33)</f>
        <v>8</v>
      </c>
      <c r="BW34" s="963">
        <f>SUM(BW31:BW33)</f>
        <v>39</v>
      </c>
      <c r="BX34" s="961">
        <f>SUM(BX31:BX33)</f>
        <v>17</v>
      </c>
      <c r="BY34" s="962">
        <f t="shared" ref="BY34:BZ34" si="39">SUM(BY31:BY33)</f>
        <v>27</v>
      </c>
      <c r="BZ34" s="962">
        <f t="shared" si="39"/>
        <v>11</v>
      </c>
      <c r="CA34" s="963">
        <f>SUM(CA31:CA33)</f>
        <v>55</v>
      </c>
    </row>
    <row r="35" spans="1:79" s="945" customFormat="1" ht="15" customHeight="1" x14ac:dyDescent="0.25">
      <c r="A35" s="5694"/>
      <c r="B35" s="5872" t="s">
        <v>74</v>
      </c>
      <c r="C35" s="964" t="s">
        <v>512</v>
      </c>
      <c r="D35" s="965"/>
      <c r="E35" s="965"/>
      <c r="F35" s="965"/>
      <c r="G35" s="966"/>
      <c r="H35" s="965"/>
      <c r="I35" s="965"/>
      <c r="J35" s="965"/>
      <c r="K35" s="966"/>
      <c r="L35" s="965"/>
      <c r="M35" s="965"/>
      <c r="N35" s="965"/>
      <c r="O35" s="966"/>
      <c r="P35" s="3656"/>
      <c r="Q35" s="965"/>
      <c r="R35" s="965"/>
      <c r="S35" s="966"/>
      <c r="T35" s="3656"/>
      <c r="U35" s="965"/>
      <c r="V35" s="965"/>
      <c r="W35" s="966"/>
      <c r="X35" s="965"/>
      <c r="Y35" s="965"/>
      <c r="Z35" s="965"/>
      <c r="AA35" s="966"/>
      <c r="AB35" s="965"/>
      <c r="AC35" s="965"/>
      <c r="AD35" s="965"/>
      <c r="AE35" s="966"/>
      <c r="AF35" s="3656"/>
      <c r="AG35" s="965"/>
      <c r="AH35" s="965"/>
      <c r="AI35" s="966"/>
      <c r="AJ35" s="965"/>
      <c r="AK35" s="965"/>
      <c r="AL35" s="965"/>
      <c r="AM35" s="966"/>
      <c r="AN35" s="3656"/>
      <c r="AO35" s="965"/>
      <c r="AP35" s="965"/>
      <c r="AQ35" s="966"/>
      <c r="AR35" s="944" t="s">
        <v>227</v>
      </c>
      <c r="AS35" s="942">
        <v>10</v>
      </c>
      <c r="AT35" s="942" t="s">
        <v>227</v>
      </c>
      <c r="AU35" s="967">
        <f t="shared" si="6"/>
        <v>10</v>
      </c>
      <c r="AV35" s="944">
        <v>1</v>
      </c>
      <c r="AW35" s="942">
        <v>5</v>
      </c>
      <c r="AX35" s="942">
        <v>3</v>
      </c>
      <c r="AY35" s="967">
        <f t="shared" si="7"/>
        <v>9</v>
      </c>
      <c r="AZ35" s="944">
        <v>3</v>
      </c>
      <c r="BA35" s="942">
        <v>7</v>
      </c>
      <c r="BB35" s="942"/>
      <c r="BC35" s="943">
        <v>10</v>
      </c>
      <c r="BD35" s="944">
        <v>1</v>
      </c>
      <c r="BE35" s="942">
        <v>3</v>
      </c>
      <c r="BF35" s="942">
        <v>9</v>
      </c>
      <c r="BG35" s="943">
        <f t="shared" si="8"/>
        <v>13</v>
      </c>
      <c r="BH35" s="944">
        <v>3</v>
      </c>
      <c r="BI35" s="942">
        <v>5</v>
      </c>
      <c r="BJ35" s="942">
        <v>2</v>
      </c>
      <c r="BK35" s="943">
        <f>SUM(BH35:BJ35)</f>
        <v>10</v>
      </c>
      <c r="BL35" s="944">
        <v>1</v>
      </c>
      <c r="BM35" s="942">
        <v>6</v>
      </c>
      <c r="BN35" s="942">
        <v>3</v>
      </c>
      <c r="BO35" s="943">
        <f>SUM(BL35:BN35)</f>
        <v>10</v>
      </c>
      <c r="BP35" s="944">
        <v>0</v>
      </c>
      <c r="BQ35" s="942">
        <v>4</v>
      </c>
      <c r="BR35" s="942">
        <v>2</v>
      </c>
      <c r="BS35" s="943">
        <f>SUM(BP35:BR35)</f>
        <v>6</v>
      </c>
      <c r="BT35" s="944">
        <v>2</v>
      </c>
      <c r="BU35" s="942">
        <v>5</v>
      </c>
      <c r="BV35" s="942">
        <v>1</v>
      </c>
      <c r="BW35" s="943">
        <f>SUM(BT35:BV35)</f>
        <v>8</v>
      </c>
      <c r="BX35" s="944">
        <v>2</v>
      </c>
      <c r="BY35" s="942">
        <v>2</v>
      </c>
      <c r="BZ35" s="942">
        <v>1</v>
      </c>
      <c r="CA35" s="943">
        <f>SUM(BX35:BZ35)</f>
        <v>5</v>
      </c>
    </row>
    <row r="36" spans="1:79" s="945" customFormat="1" ht="15" customHeight="1" x14ac:dyDescent="0.25">
      <c r="A36" s="5694"/>
      <c r="B36" s="5873"/>
      <c r="C36" s="953" t="s">
        <v>500</v>
      </c>
      <c r="D36" s="809"/>
      <c r="E36" s="810"/>
      <c r="F36" s="810"/>
      <c r="G36" s="954"/>
      <c r="H36" s="809"/>
      <c r="I36" s="810"/>
      <c r="J36" s="810"/>
      <c r="K36" s="954"/>
      <c r="L36" s="809"/>
      <c r="M36" s="810"/>
      <c r="N36" s="810"/>
      <c r="O36" s="954"/>
      <c r="P36" s="809"/>
      <c r="Q36" s="810"/>
      <c r="R36" s="810"/>
      <c r="S36" s="956"/>
      <c r="T36" s="809"/>
      <c r="U36" s="810"/>
      <c r="V36" s="810"/>
      <c r="W36" s="956"/>
      <c r="X36" s="809"/>
      <c r="Y36" s="810"/>
      <c r="Z36" s="810"/>
      <c r="AA36" s="954"/>
      <c r="AB36" s="955"/>
      <c r="AC36" s="810"/>
      <c r="AD36" s="810"/>
      <c r="AE36" s="954"/>
      <c r="AF36" s="955"/>
      <c r="AG36" s="810"/>
      <c r="AH36" s="810"/>
      <c r="AI36" s="956"/>
      <c r="AJ36" s="955"/>
      <c r="AK36" s="810"/>
      <c r="AL36" s="853"/>
      <c r="AM36" s="956"/>
      <c r="AN36" s="955"/>
      <c r="AO36" s="810"/>
      <c r="AP36" s="853"/>
      <c r="AQ36" s="956"/>
      <c r="AR36" s="959" t="s">
        <v>227</v>
      </c>
      <c r="AS36" s="957">
        <v>1</v>
      </c>
      <c r="AT36" s="957" t="s">
        <v>227</v>
      </c>
      <c r="AU36" s="958">
        <f t="shared" si="6"/>
        <v>1</v>
      </c>
      <c r="AV36" s="957"/>
      <c r="AW36" s="957">
        <v>1</v>
      </c>
      <c r="AX36" s="957" t="s">
        <v>227</v>
      </c>
      <c r="AY36" s="958">
        <f t="shared" si="7"/>
        <v>1</v>
      </c>
      <c r="AZ36" s="959"/>
      <c r="BA36" s="957"/>
      <c r="BB36" s="957">
        <v>1</v>
      </c>
      <c r="BC36" s="958">
        <v>1</v>
      </c>
      <c r="BD36" s="959">
        <v>0</v>
      </c>
      <c r="BE36" s="957">
        <v>2</v>
      </c>
      <c r="BF36" s="957">
        <v>2</v>
      </c>
      <c r="BG36" s="958">
        <f t="shared" si="8"/>
        <v>4</v>
      </c>
      <c r="BH36" s="959">
        <v>2</v>
      </c>
      <c r="BI36" s="957">
        <v>1</v>
      </c>
      <c r="BJ36" s="957"/>
      <c r="BK36" s="958">
        <f>SUM(BH36:BJ36)</f>
        <v>3</v>
      </c>
      <c r="BL36" s="959">
        <v>2</v>
      </c>
      <c r="BM36" s="957">
        <v>1</v>
      </c>
      <c r="BN36" s="957">
        <v>0</v>
      </c>
      <c r="BO36" s="958">
        <f>SUM(BL36:BN36)</f>
        <v>3</v>
      </c>
      <c r="BP36" s="959">
        <v>2</v>
      </c>
      <c r="BQ36" s="957">
        <v>3</v>
      </c>
      <c r="BR36" s="957">
        <v>2</v>
      </c>
      <c r="BS36" s="958">
        <f>SUM(BP36:BR36)</f>
        <v>7</v>
      </c>
      <c r="BT36" s="959">
        <v>2</v>
      </c>
      <c r="BU36" s="957">
        <v>1</v>
      </c>
      <c r="BV36" s="957">
        <v>3</v>
      </c>
      <c r="BW36" s="958">
        <f>SUM(BT36:BV36)</f>
        <v>6</v>
      </c>
      <c r="BX36" s="959">
        <v>4</v>
      </c>
      <c r="BY36" s="957">
        <v>3</v>
      </c>
      <c r="BZ36" s="957">
        <v>2</v>
      </c>
      <c r="CA36" s="958">
        <f>SUM(BX36:BZ36)</f>
        <v>9</v>
      </c>
    </row>
    <row r="37" spans="1:79" s="945" customFormat="1" ht="15" customHeight="1" x14ac:dyDescent="0.25">
      <c r="A37" s="5694"/>
      <c r="B37" s="5873"/>
      <c r="C37" s="953" t="s">
        <v>501</v>
      </c>
      <c r="D37" s="809"/>
      <c r="E37" s="810"/>
      <c r="F37" s="810"/>
      <c r="G37" s="954"/>
      <c r="H37" s="809"/>
      <c r="I37" s="810"/>
      <c r="J37" s="810"/>
      <c r="K37" s="954"/>
      <c r="L37" s="809"/>
      <c r="M37" s="810"/>
      <c r="N37" s="810"/>
      <c r="O37" s="954"/>
      <c r="P37" s="809"/>
      <c r="Q37" s="810"/>
      <c r="R37" s="810"/>
      <c r="S37" s="956"/>
      <c r="T37" s="809"/>
      <c r="U37" s="810"/>
      <c r="V37" s="810"/>
      <c r="W37" s="956"/>
      <c r="X37" s="809"/>
      <c r="Y37" s="810"/>
      <c r="Z37" s="810"/>
      <c r="AA37" s="954"/>
      <c r="AB37" s="955"/>
      <c r="AC37" s="810"/>
      <c r="AD37" s="810"/>
      <c r="AE37" s="954"/>
      <c r="AF37" s="955"/>
      <c r="AG37" s="810"/>
      <c r="AH37" s="810"/>
      <c r="AI37" s="956"/>
      <c r="AJ37" s="955"/>
      <c r="AK37" s="810"/>
      <c r="AL37" s="853"/>
      <c r="AM37" s="956"/>
      <c r="AN37" s="955"/>
      <c r="AO37" s="810"/>
      <c r="AP37" s="853"/>
      <c r="AQ37" s="956"/>
      <c r="AR37" s="959"/>
      <c r="AS37" s="957"/>
      <c r="AT37" s="957"/>
      <c r="AU37" s="958">
        <f t="shared" si="6"/>
        <v>0</v>
      </c>
      <c r="AV37" s="957"/>
      <c r="AW37" s="957"/>
      <c r="AX37" s="957"/>
      <c r="AY37" s="958">
        <f t="shared" si="7"/>
        <v>0</v>
      </c>
      <c r="AZ37" s="959"/>
      <c r="BA37" s="957"/>
      <c r="BB37" s="957"/>
      <c r="BC37" s="958"/>
      <c r="BD37" s="959">
        <v>0</v>
      </c>
      <c r="BE37" s="957">
        <v>0</v>
      </c>
      <c r="BF37" s="957">
        <v>1</v>
      </c>
      <c r="BG37" s="958">
        <f t="shared" si="8"/>
        <v>1</v>
      </c>
      <c r="BH37" s="959">
        <v>1</v>
      </c>
      <c r="BI37" s="957">
        <v>1</v>
      </c>
      <c r="BJ37" s="957"/>
      <c r="BK37" s="958">
        <f>SUM(BH37:BJ37)</f>
        <v>2</v>
      </c>
      <c r="BL37" s="959">
        <v>3</v>
      </c>
      <c r="BM37" s="957">
        <v>2</v>
      </c>
      <c r="BN37" s="957">
        <v>0</v>
      </c>
      <c r="BO37" s="958">
        <f>SUM(BL37:BN37)</f>
        <v>5</v>
      </c>
      <c r="BP37" s="959">
        <v>2</v>
      </c>
      <c r="BQ37" s="957">
        <v>2</v>
      </c>
      <c r="BR37" s="957">
        <v>3</v>
      </c>
      <c r="BS37" s="958">
        <f>SUM(BP37:BR37)</f>
        <v>7</v>
      </c>
      <c r="BT37" s="959">
        <v>2</v>
      </c>
      <c r="BU37" s="957">
        <v>7</v>
      </c>
      <c r="BV37" s="957">
        <v>0</v>
      </c>
      <c r="BW37" s="958">
        <f>SUM(BT37:BV37)</f>
        <v>9</v>
      </c>
      <c r="BX37" s="959">
        <v>2</v>
      </c>
      <c r="BY37" s="957">
        <v>4</v>
      </c>
      <c r="BZ37" s="957">
        <v>2</v>
      </c>
      <c r="CA37" s="958">
        <f>SUM(BX37:BZ37)</f>
        <v>8</v>
      </c>
    </row>
    <row r="38" spans="1:79" s="945" customFormat="1" ht="15" customHeight="1" x14ac:dyDescent="0.25">
      <c r="A38" s="5694"/>
      <c r="B38" s="5873"/>
      <c r="C38" s="953" t="s">
        <v>502</v>
      </c>
      <c r="D38" s="809"/>
      <c r="E38" s="810"/>
      <c r="F38" s="810"/>
      <c r="G38" s="954"/>
      <c r="H38" s="809"/>
      <c r="I38" s="810"/>
      <c r="J38" s="810"/>
      <c r="K38" s="954"/>
      <c r="L38" s="809"/>
      <c r="M38" s="810"/>
      <c r="N38" s="810"/>
      <c r="O38" s="954"/>
      <c r="P38" s="809"/>
      <c r="Q38" s="810"/>
      <c r="R38" s="810"/>
      <c r="S38" s="956"/>
      <c r="T38" s="809"/>
      <c r="U38" s="810"/>
      <c r="V38" s="810"/>
      <c r="W38" s="956"/>
      <c r="X38" s="809"/>
      <c r="Y38" s="810"/>
      <c r="Z38" s="810"/>
      <c r="AA38" s="954"/>
      <c r="AB38" s="955"/>
      <c r="AC38" s="810"/>
      <c r="AD38" s="810"/>
      <c r="AE38" s="954"/>
      <c r="AF38" s="955"/>
      <c r="AG38" s="810"/>
      <c r="AH38" s="810"/>
      <c r="AI38" s="956"/>
      <c r="AJ38" s="955"/>
      <c r="AK38" s="810"/>
      <c r="AL38" s="853"/>
      <c r="AM38" s="956"/>
      <c r="AN38" s="955"/>
      <c r="AO38" s="810"/>
      <c r="AP38" s="853"/>
      <c r="AQ38" s="956"/>
      <c r="AR38" s="959"/>
      <c r="AS38" s="957"/>
      <c r="AT38" s="957"/>
      <c r="AU38" s="958">
        <f t="shared" si="6"/>
        <v>0</v>
      </c>
      <c r="AV38" s="957"/>
      <c r="AW38" s="957"/>
      <c r="AX38" s="957"/>
      <c r="AY38" s="958">
        <f t="shared" si="7"/>
        <v>0</v>
      </c>
      <c r="AZ38" s="959"/>
      <c r="BA38" s="957"/>
      <c r="BB38" s="957"/>
      <c r="BC38" s="958"/>
      <c r="BD38" s="959"/>
      <c r="BE38" s="957"/>
      <c r="BF38" s="957"/>
      <c r="BG38" s="958"/>
      <c r="BH38" s="959"/>
      <c r="BI38" s="957"/>
      <c r="BJ38" s="957"/>
      <c r="BK38" s="958"/>
      <c r="BL38" s="959">
        <v>0</v>
      </c>
      <c r="BM38" s="957">
        <v>0</v>
      </c>
      <c r="BN38" s="957">
        <v>4</v>
      </c>
      <c r="BO38" s="958">
        <f>SUM(BL38:BN38)</f>
        <v>4</v>
      </c>
      <c r="BP38" s="959">
        <v>2</v>
      </c>
      <c r="BQ38" s="957">
        <v>1</v>
      </c>
      <c r="BR38" s="957">
        <v>1</v>
      </c>
      <c r="BS38" s="958">
        <f>SUM(BP38:BR38)</f>
        <v>4</v>
      </c>
      <c r="BT38" s="959">
        <v>11</v>
      </c>
      <c r="BU38" s="957">
        <v>7</v>
      </c>
      <c r="BV38" s="957">
        <v>1</v>
      </c>
      <c r="BW38" s="958">
        <f>SUM(BT38:BV38)</f>
        <v>19</v>
      </c>
      <c r="BX38" s="959">
        <v>11</v>
      </c>
      <c r="BY38" s="957">
        <v>7</v>
      </c>
      <c r="BZ38" s="957">
        <v>3</v>
      </c>
      <c r="CA38" s="958">
        <f>SUM(BX38:BZ38)</f>
        <v>21</v>
      </c>
    </row>
    <row r="39" spans="1:79" s="945" customFormat="1" ht="15" customHeight="1" x14ac:dyDescent="0.25">
      <c r="A39" s="5694"/>
      <c r="B39" s="5873"/>
      <c r="C39" s="960" t="s">
        <v>160</v>
      </c>
      <c r="D39" s="961"/>
      <c r="E39" s="962"/>
      <c r="F39" s="962"/>
      <c r="G39" s="963"/>
      <c r="H39" s="961"/>
      <c r="I39" s="962"/>
      <c r="J39" s="962"/>
      <c r="K39" s="963"/>
      <c r="L39" s="961"/>
      <c r="M39" s="962"/>
      <c r="N39" s="962"/>
      <c r="O39" s="963"/>
      <c r="P39" s="961"/>
      <c r="Q39" s="962"/>
      <c r="R39" s="962"/>
      <c r="S39" s="963"/>
      <c r="T39" s="961"/>
      <c r="U39" s="962"/>
      <c r="V39" s="962"/>
      <c r="W39" s="963"/>
      <c r="X39" s="961"/>
      <c r="Y39" s="962"/>
      <c r="Z39" s="962"/>
      <c r="AA39" s="963"/>
      <c r="AB39" s="961"/>
      <c r="AC39" s="962"/>
      <c r="AD39" s="962"/>
      <c r="AE39" s="963"/>
      <c r="AF39" s="961"/>
      <c r="AG39" s="962"/>
      <c r="AH39" s="962"/>
      <c r="AI39" s="963"/>
      <c r="AJ39" s="961"/>
      <c r="AK39" s="962"/>
      <c r="AL39" s="962"/>
      <c r="AM39" s="963"/>
      <c r="AN39" s="961"/>
      <c r="AO39" s="962"/>
      <c r="AP39" s="962"/>
      <c r="AQ39" s="963"/>
      <c r="AR39" s="961">
        <f>SUM(AR35:AR36)</f>
        <v>0</v>
      </c>
      <c r="AS39" s="962">
        <f>SUM(AS35:AS36)</f>
        <v>11</v>
      </c>
      <c r="AT39" s="962">
        <f>SUM(AT35:AT36)</f>
        <v>0</v>
      </c>
      <c r="AU39" s="963">
        <f t="shared" si="6"/>
        <v>11</v>
      </c>
      <c r="AV39" s="961">
        <f>SUM(AV35:AV36)</f>
        <v>1</v>
      </c>
      <c r="AW39" s="962">
        <f>SUM(AW35:AW36)</f>
        <v>6</v>
      </c>
      <c r="AX39" s="962">
        <f>SUM(AX35:AX36)</f>
        <v>3</v>
      </c>
      <c r="AY39" s="963">
        <f t="shared" si="7"/>
        <v>10</v>
      </c>
      <c r="AZ39" s="961">
        <f>SUM(AZ35:AZ36)</f>
        <v>3</v>
      </c>
      <c r="BA39" s="962">
        <f>SUM(BA35:BA36)</f>
        <v>7</v>
      </c>
      <c r="BB39" s="962">
        <f>SUM(BB35:BB36)</f>
        <v>1</v>
      </c>
      <c r="BC39" s="963">
        <f>SUM(BC35:BC36)</f>
        <v>11</v>
      </c>
      <c r="BD39" s="961">
        <f t="shared" ref="BD39:BK39" si="40">SUM(BD35:BD37)</f>
        <v>1</v>
      </c>
      <c r="BE39" s="962">
        <f t="shared" si="40"/>
        <v>5</v>
      </c>
      <c r="BF39" s="962">
        <f t="shared" si="40"/>
        <v>12</v>
      </c>
      <c r="BG39" s="963">
        <f t="shared" si="40"/>
        <v>18</v>
      </c>
      <c r="BH39" s="961">
        <f t="shared" si="40"/>
        <v>6</v>
      </c>
      <c r="BI39" s="962">
        <f t="shared" si="40"/>
        <v>7</v>
      </c>
      <c r="BJ39" s="962">
        <f t="shared" si="40"/>
        <v>2</v>
      </c>
      <c r="BK39" s="963">
        <f t="shared" si="40"/>
        <v>15</v>
      </c>
      <c r="BL39" s="961">
        <f t="shared" ref="BL39:BS39" si="41">SUM(BL35:BL38)</f>
        <v>6</v>
      </c>
      <c r="BM39" s="962">
        <f t="shared" si="41"/>
        <v>9</v>
      </c>
      <c r="BN39" s="962">
        <f t="shared" si="41"/>
        <v>7</v>
      </c>
      <c r="BO39" s="963">
        <f t="shared" si="41"/>
        <v>22</v>
      </c>
      <c r="BP39" s="961">
        <f t="shared" si="41"/>
        <v>6</v>
      </c>
      <c r="BQ39" s="962">
        <f t="shared" si="41"/>
        <v>10</v>
      </c>
      <c r="BR39" s="962">
        <f t="shared" si="41"/>
        <v>8</v>
      </c>
      <c r="BS39" s="963">
        <f t="shared" si="41"/>
        <v>24</v>
      </c>
      <c r="BT39" s="961">
        <f t="shared" ref="BT39:CA39" si="42">SUM(BT35:BT38)</f>
        <v>17</v>
      </c>
      <c r="BU39" s="962">
        <f t="shared" si="42"/>
        <v>20</v>
      </c>
      <c r="BV39" s="962">
        <f t="shared" si="42"/>
        <v>5</v>
      </c>
      <c r="BW39" s="963">
        <f t="shared" si="42"/>
        <v>42</v>
      </c>
      <c r="BX39" s="961">
        <f>SUM(BX35:BX38)</f>
        <v>19</v>
      </c>
      <c r="BY39" s="962">
        <f t="shared" ref="BY39:BZ39" si="43">SUM(BY35:BY38)</f>
        <v>16</v>
      </c>
      <c r="BZ39" s="962">
        <f t="shared" si="43"/>
        <v>8</v>
      </c>
      <c r="CA39" s="963">
        <f t="shared" si="42"/>
        <v>43</v>
      </c>
    </row>
    <row r="40" spans="1:79" s="945" customFormat="1" ht="15" customHeight="1" x14ac:dyDescent="0.25">
      <c r="A40" s="5762"/>
      <c r="B40" s="3582"/>
      <c r="C40" s="3578" t="s">
        <v>444</v>
      </c>
      <c r="D40" s="3579"/>
      <c r="E40" s="3580"/>
      <c r="F40" s="3580"/>
      <c r="G40" s="3581"/>
      <c r="H40" s="3579"/>
      <c r="I40" s="3580"/>
      <c r="J40" s="3580"/>
      <c r="K40" s="3581"/>
      <c r="L40" s="3579"/>
      <c r="M40" s="3580"/>
      <c r="N40" s="3580"/>
      <c r="O40" s="3581"/>
      <c r="P40" s="3579"/>
      <c r="Q40" s="3580"/>
      <c r="R40" s="3580"/>
      <c r="S40" s="3581"/>
      <c r="T40" s="4412"/>
      <c r="U40" s="4413"/>
      <c r="V40" s="4413"/>
      <c r="W40" s="4414"/>
      <c r="X40" s="3579"/>
      <c r="Y40" s="3580"/>
      <c r="Z40" s="3580"/>
      <c r="AA40" s="3581"/>
      <c r="AB40" s="3579"/>
      <c r="AC40" s="3580"/>
      <c r="AD40" s="3580"/>
      <c r="AE40" s="3581"/>
      <c r="AF40" s="3579"/>
      <c r="AG40" s="3580"/>
      <c r="AH40" s="3580"/>
      <c r="AI40" s="3581"/>
      <c r="AJ40" s="3579"/>
      <c r="AK40" s="3580"/>
      <c r="AL40" s="3580"/>
      <c r="AM40" s="3581"/>
      <c r="AN40" s="4412"/>
      <c r="AO40" s="4413"/>
      <c r="AP40" s="4413"/>
      <c r="AQ40" s="4414"/>
      <c r="AR40" s="4418">
        <f>SUM(AR30,AR34,AR39)</f>
        <v>0</v>
      </c>
      <c r="AS40" s="4419">
        <f>SUM(AS30,AS34,AS39)</f>
        <v>27</v>
      </c>
      <c r="AT40" s="4419">
        <f>SUM(AT30,AT34,AT39)</f>
        <v>40</v>
      </c>
      <c r="AU40" s="4420">
        <f t="shared" si="6"/>
        <v>67</v>
      </c>
      <c r="AV40" s="3762">
        <f>SUM(AV30,AV34,AV39)</f>
        <v>2</v>
      </c>
      <c r="AW40" s="3763">
        <f>SUM(AW30,AW34,AW39)</f>
        <v>13</v>
      </c>
      <c r="AX40" s="3763">
        <f>SUM(AX30,AX34,AX39)</f>
        <v>38</v>
      </c>
      <c r="AY40" s="3764">
        <f t="shared" si="7"/>
        <v>53</v>
      </c>
      <c r="AZ40" s="3579">
        <f t="shared" ref="AZ40:BO40" si="44">SUM(AZ30,AZ34,AZ39)</f>
        <v>10</v>
      </c>
      <c r="BA40" s="3580">
        <f t="shared" si="44"/>
        <v>62</v>
      </c>
      <c r="BB40" s="3580">
        <f t="shared" si="44"/>
        <v>22</v>
      </c>
      <c r="BC40" s="3581">
        <f t="shared" si="44"/>
        <v>94</v>
      </c>
      <c r="BD40" s="3579">
        <f t="shared" si="44"/>
        <v>18</v>
      </c>
      <c r="BE40" s="3580">
        <f t="shared" si="44"/>
        <v>66</v>
      </c>
      <c r="BF40" s="3580">
        <f t="shared" si="44"/>
        <v>36</v>
      </c>
      <c r="BG40" s="3581">
        <f t="shared" si="44"/>
        <v>120</v>
      </c>
      <c r="BH40" s="3579">
        <f t="shared" si="44"/>
        <v>27</v>
      </c>
      <c r="BI40" s="3580">
        <f t="shared" si="44"/>
        <v>47</v>
      </c>
      <c r="BJ40" s="3580">
        <f t="shared" si="44"/>
        <v>5</v>
      </c>
      <c r="BK40" s="3581">
        <f t="shared" si="44"/>
        <v>79</v>
      </c>
      <c r="BL40" s="3579">
        <f t="shared" si="44"/>
        <v>16</v>
      </c>
      <c r="BM40" s="3580">
        <f t="shared" si="44"/>
        <v>49</v>
      </c>
      <c r="BN40" s="3580">
        <f t="shared" si="44"/>
        <v>21</v>
      </c>
      <c r="BO40" s="3581">
        <f t="shared" si="44"/>
        <v>86</v>
      </c>
      <c r="BP40" s="3579">
        <f t="shared" ref="BP40:BW40" si="45">SUM(BP30,BP34,BP39)</f>
        <v>22</v>
      </c>
      <c r="BQ40" s="3580">
        <f t="shared" si="45"/>
        <v>45</v>
      </c>
      <c r="BR40" s="3580">
        <f t="shared" si="45"/>
        <v>14</v>
      </c>
      <c r="BS40" s="3581">
        <f t="shared" si="45"/>
        <v>81</v>
      </c>
      <c r="BT40" s="3579">
        <f t="shared" si="45"/>
        <v>36</v>
      </c>
      <c r="BU40" s="3580">
        <f t="shared" si="45"/>
        <v>61</v>
      </c>
      <c r="BV40" s="3580">
        <f t="shared" si="45"/>
        <v>16</v>
      </c>
      <c r="BW40" s="3581">
        <f t="shared" si="45"/>
        <v>113</v>
      </c>
      <c r="BX40" s="3579">
        <f t="shared" ref="BX40:CA40" si="46">SUM(BX30,BX34,BX39)</f>
        <v>41</v>
      </c>
      <c r="BY40" s="3580">
        <f t="shared" si="46"/>
        <v>70</v>
      </c>
      <c r="BZ40" s="3580">
        <f t="shared" si="46"/>
        <v>23</v>
      </c>
      <c r="CA40" s="3581">
        <f t="shared" si="46"/>
        <v>134</v>
      </c>
    </row>
    <row r="41" spans="1:79" s="945" customFormat="1" ht="15" customHeight="1" x14ac:dyDescent="0.25">
      <c r="A41" s="5686" t="s">
        <v>75</v>
      </c>
      <c r="B41" s="5881" t="s">
        <v>5</v>
      </c>
      <c r="C41" s="938" t="s">
        <v>463</v>
      </c>
      <c r="D41" s="794">
        <v>22</v>
      </c>
      <c r="E41" s="795">
        <v>13</v>
      </c>
      <c r="F41" s="795">
        <v>3</v>
      </c>
      <c r="G41" s="939">
        <v>38</v>
      </c>
      <c r="H41" s="794">
        <v>10</v>
      </c>
      <c r="I41" s="795">
        <v>9</v>
      </c>
      <c r="J41" s="795">
        <v>6</v>
      </c>
      <c r="K41" s="939">
        <v>25</v>
      </c>
      <c r="L41" s="794">
        <v>22</v>
      </c>
      <c r="M41" s="795">
        <v>15</v>
      </c>
      <c r="N41" s="795">
        <v>10</v>
      </c>
      <c r="O41" s="939">
        <v>47</v>
      </c>
      <c r="P41" s="794">
        <v>6</v>
      </c>
      <c r="Q41" s="795">
        <v>17</v>
      </c>
      <c r="R41" s="795">
        <v>6</v>
      </c>
      <c r="S41" s="941">
        <v>29</v>
      </c>
      <c r="T41" s="794">
        <v>10</v>
      </c>
      <c r="U41" s="795">
        <v>8</v>
      </c>
      <c r="V41" s="795">
        <v>6</v>
      </c>
      <c r="W41" s="941">
        <f t="shared" ref="W41:W49" si="47">SUM(T41:V41)</f>
        <v>24</v>
      </c>
      <c r="X41" s="794">
        <v>13</v>
      </c>
      <c r="Y41" s="795">
        <v>14</v>
      </c>
      <c r="Z41" s="795">
        <v>5</v>
      </c>
      <c r="AA41" s="939">
        <f t="shared" ref="AA41:AA49" si="48">SUM(X41:Z41)</f>
        <v>32</v>
      </c>
      <c r="AB41" s="940">
        <v>11</v>
      </c>
      <c r="AC41" s="795">
        <v>19</v>
      </c>
      <c r="AD41" s="795">
        <v>3</v>
      </c>
      <c r="AE41" s="939">
        <f t="shared" ref="AE41:AE49" si="49">SUM(AB41:AD41)</f>
        <v>33</v>
      </c>
      <c r="AF41" s="940">
        <v>7</v>
      </c>
      <c r="AG41" s="795">
        <v>33</v>
      </c>
      <c r="AH41" s="795">
        <v>14</v>
      </c>
      <c r="AI41" s="941">
        <f t="shared" ref="AI41:AI49" si="50">SUM(AF41:AH41)</f>
        <v>54</v>
      </c>
      <c r="AJ41" s="940">
        <v>3</v>
      </c>
      <c r="AK41" s="795">
        <v>20</v>
      </c>
      <c r="AL41" s="827">
        <v>8</v>
      </c>
      <c r="AM41" s="941">
        <f t="shared" ref="AM41:AM49" si="51">SUM(AJ41:AL41)</f>
        <v>31</v>
      </c>
      <c r="AN41" s="940">
        <v>12</v>
      </c>
      <c r="AO41" s="795">
        <v>15</v>
      </c>
      <c r="AP41" s="827">
        <v>5</v>
      </c>
      <c r="AQ41" s="941">
        <f t="shared" ref="AQ41:AQ49" si="52">SUM(AN41:AP41)</f>
        <v>32</v>
      </c>
      <c r="AR41" s="944">
        <v>11</v>
      </c>
      <c r="AS41" s="942">
        <v>18</v>
      </c>
      <c r="AT41" s="942">
        <v>9</v>
      </c>
      <c r="AU41" s="943">
        <f t="shared" si="6"/>
        <v>38</v>
      </c>
      <c r="AV41" s="942">
        <v>12</v>
      </c>
      <c r="AW41" s="942">
        <v>27</v>
      </c>
      <c r="AX41" s="942">
        <v>9</v>
      </c>
      <c r="AY41" s="943">
        <f t="shared" si="7"/>
        <v>48</v>
      </c>
      <c r="AZ41" s="944">
        <v>10</v>
      </c>
      <c r="BA41" s="942">
        <v>9</v>
      </c>
      <c r="BB41" s="942">
        <v>9</v>
      </c>
      <c r="BC41" s="943">
        <v>28</v>
      </c>
      <c r="BD41" s="944">
        <v>8</v>
      </c>
      <c r="BE41" s="942">
        <v>13</v>
      </c>
      <c r="BF41" s="942">
        <v>6</v>
      </c>
      <c r="BG41" s="943">
        <f t="shared" si="8"/>
        <v>27</v>
      </c>
      <c r="BH41" s="944">
        <v>5</v>
      </c>
      <c r="BI41" s="942">
        <v>7</v>
      </c>
      <c r="BJ41" s="942">
        <v>10</v>
      </c>
      <c r="BK41" s="943">
        <f t="shared" ref="BK41:BK49" si="53">SUM(BH41:BJ41)</f>
        <v>22</v>
      </c>
      <c r="BL41" s="944">
        <v>6</v>
      </c>
      <c r="BM41" s="942">
        <v>18</v>
      </c>
      <c r="BN41" s="942">
        <v>9</v>
      </c>
      <c r="BO41" s="943">
        <f t="shared" ref="BO41:BO49" si="54">SUM(BL41:BN41)</f>
        <v>33</v>
      </c>
      <c r="BP41" s="944">
        <v>7</v>
      </c>
      <c r="BQ41" s="942">
        <v>3</v>
      </c>
      <c r="BR41" s="942">
        <v>12</v>
      </c>
      <c r="BS41" s="943">
        <f t="shared" ref="BS41:BS49" si="55">SUM(BP41:BR41)</f>
        <v>22</v>
      </c>
      <c r="BT41" s="944">
        <v>9</v>
      </c>
      <c r="BU41" s="942">
        <v>15</v>
      </c>
      <c r="BV41" s="942">
        <v>5</v>
      </c>
      <c r="BW41" s="943">
        <f t="shared" ref="BW41:BW49" si="56">SUM(BT41:BV41)</f>
        <v>29</v>
      </c>
      <c r="BX41" s="944">
        <v>14</v>
      </c>
      <c r="BY41" s="942">
        <v>10</v>
      </c>
      <c r="BZ41" s="942">
        <v>13</v>
      </c>
      <c r="CA41" s="943">
        <f t="shared" ref="CA41:CA49" si="57">SUM(BX41:BZ41)</f>
        <v>37</v>
      </c>
    </row>
    <row r="42" spans="1:79" s="945" customFormat="1" ht="15" customHeight="1" x14ac:dyDescent="0.25">
      <c r="A42" s="5687"/>
      <c r="B42" s="5882"/>
      <c r="C42" s="946" t="s">
        <v>464</v>
      </c>
      <c r="D42" s="800">
        <v>0</v>
      </c>
      <c r="E42" s="801">
        <v>0</v>
      </c>
      <c r="F42" s="801">
        <v>0</v>
      </c>
      <c r="G42" s="947">
        <v>0</v>
      </c>
      <c r="H42" s="800">
        <v>2</v>
      </c>
      <c r="I42" s="801">
        <v>4</v>
      </c>
      <c r="J42" s="801">
        <v>0</v>
      </c>
      <c r="K42" s="947">
        <v>6</v>
      </c>
      <c r="L42" s="800">
        <v>3</v>
      </c>
      <c r="M42" s="801">
        <v>1</v>
      </c>
      <c r="N42" s="801">
        <v>1</v>
      </c>
      <c r="O42" s="947">
        <v>5</v>
      </c>
      <c r="P42" s="800">
        <v>1</v>
      </c>
      <c r="Q42" s="801">
        <v>2</v>
      </c>
      <c r="R42" s="801">
        <v>1</v>
      </c>
      <c r="S42" s="949">
        <v>4</v>
      </c>
      <c r="T42" s="800">
        <v>2</v>
      </c>
      <c r="U42" s="801">
        <v>1</v>
      </c>
      <c r="V42" s="801">
        <v>5</v>
      </c>
      <c r="W42" s="949">
        <f t="shared" si="47"/>
        <v>8</v>
      </c>
      <c r="X42" s="800">
        <v>2</v>
      </c>
      <c r="Y42" s="801">
        <v>3</v>
      </c>
      <c r="Z42" s="801">
        <v>1</v>
      </c>
      <c r="AA42" s="947">
        <f t="shared" si="48"/>
        <v>6</v>
      </c>
      <c r="AB42" s="948">
        <v>1</v>
      </c>
      <c r="AC42" s="801">
        <v>2</v>
      </c>
      <c r="AD42" s="801">
        <v>5</v>
      </c>
      <c r="AE42" s="947">
        <f t="shared" si="49"/>
        <v>8</v>
      </c>
      <c r="AF42" s="948">
        <v>2</v>
      </c>
      <c r="AG42" s="801">
        <v>1</v>
      </c>
      <c r="AH42" s="801">
        <v>1</v>
      </c>
      <c r="AI42" s="949">
        <f t="shared" si="50"/>
        <v>4</v>
      </c>
      <c r="AJ42" s="948" t="s">
        <v>227</v>
      </c>
      <c r="AK42" s="801">
        <v>2</v>
      </c>
      <c r="AL42" s="829">
        <v>3</v>
      </c>
      <c r="AM42" s="949">
        <f t="shared" si="51"/>
        <v>5</v>
      </c>
      <c r="AN42" s="948"/>
      <c r="AO42" s="801"/>
      <c r="AP42" s="829"/>
      <c r="AQ42" s="949">
        <f t="shared" si="52"/>
        <v>0</v>
      </c>
      <c r="AR42" s="952">
        <v>5</v>
      </c>
      <c r="AS42" s="950">
        <v>1</v>
      </c>
      <c r="AT42" s="950">
        <v>1</v>
      </c>
      <c r="AU42" s="951">
        <f t="shared" si="6"/>
        <v>7</v>
      </c>
      <c r="AV42" s="950">
        <v>2</v>
      </c>
      <c r="AW42" s="950">
        <v>4</v>
      </c>
      <c r="AX42" s="950">
        <v>3</v>
      </c>
      <c r="AY42" s="951">
        <f t="shared" si="7"/>
        <v>9</v>
      </c>
      <c r="AZ42" s="952">
        <v>1</v>
      </c>
      <c r="BA42" s="950"/>
      <c r="BB42" s="950">
        <v>4</v>
      </c>
      <c r="BC42" s="951">
        <v>5</v>
      </c>
      <c r="BD42" s="952">
        <v>3</v>
      </c>
      <c r="BE42" s="950">
        <v>2</v>
      </c>
      <c r="BF42" s="950">
        <v>1</v>
      </c>
      <c r="BG42" s="951">
        <f t="shared" si="8"/>
        <v>6</v>
      </c>
      <c r="BH42" s="952"/>
      <c r="BI42" s="950"/>
      <c r="BJ42" s="950"/>
      <c r="BK42" s="951">
        <f t="shared" si="53"/>
        <v>0</v>
      </c>
      <c r="BL42" s="952">
        <v>3</v>
      </c>
      <c r="BM42" s="950">
        <v>10</v>
      </c>
      <c r="BN42" s="950">
        <v>2</v>
      </c>
      <c r="BO42" s="951">
        <f t="shared" si="54"/>
        <v>15</v>
      </c>
      <c r="BP42" s="952">
        <v>6</v>
      </c>
      <c r="BQ42" s="950">
        <v>2</v>
      </c>
      <c r="BR42" s="950">
        <v>2</v>
      </c>
      <c r="BS42" s="951">
        <f t="shared" si="55"/>
        <v>10</v>
      </c>
      <c r="BT42" s="952">
        <v>2</v>
      </c>
      <c r="BU42" s="950">
        <v>1</v>
      </c>
      <c r="BV42" s="950">
        <v>3</v>
      </c>
      <c r="BW42" s="951">
        <f t="shared" si="56"/>
        <v>6</v>
      </c>
      <c r="BX42" s="952">
        <v>3</v>
      </c>
      <c r="BY42" s="950">
        <v>4</v>
      </c>
      <c r="BZ42" s="950">
        <v>0</v>
      </c>
      <c r="CA42" s="951">
        <f t="shared" si="57"/>
        <v>7</v>
      </c>
    </row>
    <row r="43" spans="1:79" s="945" customFormat="1" ht="15" customHeight="1" x14ac:dyDescent="0.25">
      <c r="A43" s="5687"/>
      <c r="B43" s="5882"/>
      <c r="C43" s="946" t="s">
        <v>453</v>
      </c>
      <c r="D43" s="800">
        <v>6</v>
      </c>
      <c r="E43" s="801">
        <v>6</v>
      </c>
      <c r="F43" s="801">
        <v>3</v>
      </c>
      <c r="G43" s="947">
        <v>15</v>
      </c>
      <c r="H43" s="800">
        <v>9</v>
      </c>
      <c r="I43" s="801">
        <v>7</v>
      </c>
      <c r="J43" s="801">
        <v>5</v>
      </c>
      <c r="K43" s="947">
        <v>21</v>
      </c>
      <c r="L43" s="800">
        <v>7</v>
      </c>
      <c r="M43" s="801">
        <v>10</v>
      </c>
      <c r="N43" s="801">
        <v>7</v>
      </c>
      <c r="O43" s="947">
        <v>24</v>
      </c>
      <c r="P43" s="800">
        <v>5</v>
      </c>
      <c r="Q43" s="801">
        <v>7</v>
      </c>
      <c r="R43" s="801">
        <v>7</v>
      </c>
      <c r="S43" s="949">
        <v>19</v>
      </c>
      <c r="T43" s="800">
        <v>15</v>
      </c>
      <c r="U43" s="801">
        <v>14</v>
      </c>
      <c r="V43" s="801">
        <v>10</v>
      </c>
      <c r="W43" s="949">
        <f t="shared" si="47"/>
        <v>39</v>
      </c>
      <c r="X43" s="800">
        <v>9</v>
      </c>
      <c r="Y43" s="801">
        <v>15</v>
      </c>
      <c r="Z43" s="801">
        <v>11</v>
      </c>
      <c r="AA43" s="947">
        <f t="shared" si="48"/>
        <v>35</v>
      </c>
      <c r="AB43" s="948">
        <v>13</v>
      </c>
      <c r="AC43" s="801">
        <v>20</v>
      </c>
      <c r="AD43" s="801">
        <v>6</v>
      </c>
      <c r="AE43" s="947">
        <f t="shared" si="49"/>
        <v>39</v>
      </c>
      <c r="AF43" s="948">
        <v>5</v>
      </c>
      <c r="AG43" s="801">
        <v>9</v>
      </c>
      <c r="AH43" s="801">
        <v>9</v>
      </c>
      <c r="AI43" s="949">
        <f t="shared" si="50"/>
        <v>23</v>
      </c>
      <c r="AJ43" s="948">
        <v>7</v>
      </c>
      <c r="AK43" s="801">
        <v>7</v>
      </c>
      <c r="AL43" s="829">
        <v>6</v>
      </c>
      <c r="AM43" s="949">
        <f t="shared" si="51"/>
        <v>20</v>
      </c>
      <c r="AN43" s="948">
        <v>12</v>
      </c>
      <c r="AO43" s="801">
        <v>8</v>
      </c>
      <c r="AP43" s="829">
        <v>1</v>
      </c>
      <c r="AQ43" s="949">
        <f t="shared" si="52"/>
        <v>21</v>
      </c>
      <c r="AR43" s="952">
        <v>3</v>
      </c>
      <c r="AS43" s="950">
        <v>9</v>
      </c>
      <c r="AT43" s="950">
        <v>5</v>
      </c>
      <c r="AU43" s="951">
        <f t="shared" si="6"/>
        <v>17</v>
      </c>
      <c r="AV43" s="950">
        <v>3</v>
      </c>
      <c r="AW43" s="950">
        <v>12</v>
      </c>
      <c r="AX43" s="950">
        <v>6</v>
      </c>
      <c r="AY43" s="951">
        <f t="shared" si="7"/>
        <v>21</v>
      </c>
      <c r="AZ43" s="952">
        <v>6</v>
      </c>
      <c r="BA43" s="950">
        <v>10</v>
      </c>
      <c r="BB43" s="950">
        <v>9</v>
      </c>
      <c r="BC43" s="951">
        <v>25</v>
      </c>
      <c r="BD43" s="952">
        <v>3</v>
      </c>
      <c r="BE43" s="950">
        <v>8</v>
      </c>
      <c r="BF43" s="950">
        <v>11</v>
      </c>
      <c r="BG43" s="951">
        <f t="shared" si="8"/>
        <v>22</v>
      </c>
      <c r="BH43" s="952">
        <v>8</v>
      </c>
      <c r="BI43" s="950">
        <v>8</v>
      </c>
      <c r="BJ43" s="950">
        <v>5</v>
      </c>
      <c r="BK43" s="951">
        <f t="shared" si="53"/>
        <v>21</v>
      </c>
      <c r="BL43" s="952">
        <v>2</v>
      </c>
      <c r="BM43" s="950">
        <v>6</v>
      </c>
      <c r="BN43" s="950">
        <v>4</v>
      </c>
      <c r="BO43" s="951">
        <f t="shared" si="54"/>
        <v>12</v>
      </c>
      <c r="BP43" s="952">
        <v>3</v>
      </c>
      <c r="BQ43" s="950">
        <v>12</v>
      </c>
      <c r="BR43" s="950">
        <v>4</v>
      </c>
      <c r="BS43" s="951">
        <f t="shared" si="55"/>
        <v>19</v>
      </c>
      <c r="BT43" s="952">
        <v>14</v>
      </c>
      <c r="BU43" s="950">
        <v>8</v>
      </c>
      <c r="BV43" s="950">
        <v>13</v>
      </c>
      <c r="BW43" s="951">
        <f t="shared" si="56"/>
        <v>35</v>
      </c>
      <c r="BX43" s="952">
        <v>10</v>
      </c>
      <c r="BY43" s="950">
        <v>11</v>
      </c>
      <c r="BZ43" s="950">
        <v>13</v>
      </c>
      <c r="CA43" s="951">
        <f t="shared" si="57"/>
        <v>34</v>
      </c>
    </row>
    <row r="44" spans="1:79" s="945" customFormat="1" ht="15" customHeight="1" x14ac:dyDescent="0.25">
      <c r="A44" s="5687"/>
      <c r="B44" s="5882"/>
      <c r="C44" s="946" t="s">
        <v>513</v>
      </c>
      <c r="D44" s="800">
        <v>7</v>
      </c>
      <c r="E44" s="801">
        <v>7</v>
      </c>
      <c r="F44" s="801">
        <v>6</v>
      </c>
      <c r="G44" s="947">
        <v>20</v>
      </c>
      <c r="H44" s="800">
        <v>2</v>
      </c>
      <c r="I44" s="801">
        <v>2</v>
      </c>
      <c r="J44" s="801">
        <v>8</v>
      </c>
      <c r="K44" s="947">
        <v>12</v>
      </c>
      <c r="L44" s="800">
        <v>8</v>
      </c>
      <c r="M44" s="801">
        <v>3</v>
      </c>
      <c r="N44" s="801">
        <v>4</v>
      </c>
      <c r="O44" s="947">
        <v>15</v>
      </c>
      <c r="P44" s="800">
        <v>6</v>
      </c>
      <c r="Q44" s="801">
        <v>1</v>
      </c>
      <c r="R44" s="801">
        <v>1</v>
      </c>
      <c r="S44" s="949">
        <v>8</v>
      </c>
      <c r="T44" s="800">
        <v>3</v>
      </c>
      <c r="U44" s="801">
        <v>3</v>
      </c>
      <c r="V44" s="801">
        <v>7</v>
      </c>
      <c r="W44" s="949">
        <f t="shared" si="47"/>
        <v>13</v>
      </c>
      <c r="X44" s="800">
        <v>2</v>
      </c>
      <c r="Y44" s="801">
        <v>4</v>
      </c>
      <c r="Z44" s="801">
        <v>4</v>
      </c>
      <c r="AA44" s="947">
        <f t="shared" si="48"/>
        <v>10</v>
      </c>
      <c r="AB44" s="948">
        <v>6</v>
      </c>
      <c r="AC44" s="801">
        <v>3</v>
      </c>
      <c r="AD44" s="801">
        <v>11</v>
      </c>
      <c r="AE44" s="947">
        <f t="shared" si="49"/>
        <v>20</v>
      </c>
      <c r="AF44" s="948">
        <v>5</v>
      </c>
      <c r="AG44" s="801">
        <v>10</v>
      </c>
      <c r="AH44" s="801">
        <v>8</v>
      </c>
      <c r="AI44" s="949">
        <f t="shared" si="50"/>
        <v>23</v>
      </c>
      <c r="AJ44" s="948">
        <v>3</v>
      </c>
      <c r="AK44" s="801">
        <v>6</v>
      </c>
      <c r="AL44" s="829">
        <v>1</v>
      </c>
      <c r="AM44" s="949">
        <f t="shared" si="51"/>
        <v>10</v>
      </c>
      <c r="AN44" s="948">
        <v>6</v>
      </c>
      <c r="AO44" s="801">
        <v>3</v>
      </c>
      <c r="AP44" s="829">
        <v>5</v>
      </c>
      <c r="AQ44" s="949">
        <f t="shared" si="52"/>
        <v>14</v>
      </c>
      <c r="AR44" s="952">
        <v>4</v>
      </c>
      <c r="AS44" s="950">
        <v>5</v>
      </c>
      <c r="AT44" s="950">
        <v>4</v>
      </c>
      <c r="AU44" s="951">
        <f t="shared" si="6"/>
        <v>13</v>
      </c>
      <c r="AV44" s="950">
        <v>3</v>
      </c>
      <c r="AW44" s="950">
        <v>3</v>
      </c>
      <c r="AX44" s="950">
        <v>11</v>
      </c>
      <c r="AY44" s="951">
        <f t="shared" si="7"/>
        <v>17</v>
      </c>
      <c r="AZ44" s="952">
        <v>4</v>
      </c>
      <c r="BA44" s="950">
        <v>4</v>
      </c>
      <c r="BB44" s="950">
        <v>9</v>
      </c>
      <c r="BC44" s="951">
        <v>17</v>
      </c>
      <c r="BD44" s="952">
        <v>6</v>
      </c>
      <c r="BE44" s="950">
        <v>8</v>
      </c>
      <c r="BF44" s="950">
        <v>6</v>
      </c>
      <c r="BG44" s="951">
        <f t="shared" si="8"/>
        <v>20</v>
      </c>
      <c r="BH44" s="952">
        <v>3</v>
      </c>
      <c r="BI44" s="950">
        <v>5</v>
      </c>
      <c r="BJ44" s="950">
        <v>6</v>
      </c>
      <c r="BK44" s="951">
        <f t="shared" si="53"/>
        <v>14</v>
      </c>
      <c r="BL44" s="952">
        <v>5</v>
      </c>
      <c r="BM44" s="950">
        <v>4</v>
      </c>
      <c r="BN44" s="950">
        <v>4</v>
      </c>
      <c r="BO44" s="951">
        <f t="shared" si="54"/>
        <v>13</v>
      </c>
      <c r="BP44" s="952">
        <v>6</v>
      </c>
      <c r="BQ44" s="950">
        <v>10</v>
      </c>
      <c r="BR44" s="950">
        <v>8</v>
      </c>
      <c r="BS44" s="951">
        <f t="shared" si="55"/>
        <v>24</v>
      </c>
      <c r="BT44" s="952">
        <v>8</v>
      </c>
      <c r="BU44" s="950">
        <v>14</v>
      </c>
      <c r="BV44" s="950">
        <v>7</v>
      </c>
      <c r="BW44" s="951">
        <f t="shared" si="56"/>
        <v>29</v>
      </c>
      <c r="BX44" s="952">
        <v>6</v>
      </c>
      <c r="BY44" s="950">
        <v>10</v>
      </c>
      <c r="BZ44" s="950">
        <v>4</v>
      </c>
      <c r="CA44" s="951">
        <f t="shared" si="57"/>
        <v>20</v>
      </c>
    </row>
    <row r="45" spans="1:79" s="945" customFormat="1" ht="15" customHeight="1" x14ac:dyDescent="0.25">
      <c r="A45" s="5687"/>
      <c r="B45" s="5882"/>
      <c r="C45" s="946" t="s">
        <v>466</v>
      </c>
      <c r="D45" s="800">
        <v>1</v>
      </c>
      <c r="E45" s="801">
        <v>3</v>
      </c>
      <c r="F45" s="801">
        <v>3</v>
      </c>
      <c r="G45" s="947">
        <v>7</v>
      </c>
      <c r="H45" s="800">
        <v>3</v>
      </c>
      <c r="I45" s="801">
        <v>2</v>
      </c>
      <c r="J45" s="801">
        <v>2</v>
      </c>
      <c r="K45" s="947">
        <v>7</v>
      </c>
      <c r="L45" s="800">
        <v>2</v>
      </c>
      <c r="M45" s="801">
        <v>2</v>
      </c>
      <c r="N45" s="801">
        <v>2</v>
      </c>
      <c r="O45" s="947">
        <v>6</v>
      </c>
      <c r="P45" s="800">
        <v>3</v>
      </c>
      <c r="Q45" s="801">
        <v>1</v>
      </c>
      <c r="R45" s="801">
        <v>3</v>
      </c>
      <c r="S45" s="949">
        <v>7</v>
      </c>
      <c r="T45" s="800">
        <v>2</v>
      </c>
      <c r="U45" s="801">
        <v>2</v>
      </c>
      <c r="V45" s="801">
        <v>1</v>
      </c>
      <c r="W45" s="949">
        <f t="shared" si="47"/>
        <v>5</v>
      </c>
      <c r="X45" s="800">
        <v>6</v>
      </c>
      <c r="Y45" s="801">
        <v>4</v>
      </c>
      <c r="Z45" s="801">
        <v>6</v>
      </c>
      <c r="AA45" s="947">
        <f t="shared" si="48"/>
        <v>16</v>
      </c>
      <c r="AB45" s="948">
        <v>2</v>
      </c>
      <c r="AC45" s="801">
        <v>3</v>
      </c>
      <c r="AD45" s="801">
        <v>1</v>
      </c>
      <c r="AE45" s="947">
        <f t="shared" si="49"/>
        <v>6</v>
      </c>
      <c r="AF45" s="948">
        <v>4</v>
      </c>
      <c r="AG45" s="801">
        <v>6</v>
      </c>
      <c r="AH45" s="801">
        <v>5</v>
      </c>
      <c r="AI45" s="949">
        <f t="shared" si="50"/>
        <v>15</v>
      </c>
      <c r="AJ45" s="948">
        <v>3</v>
      </c>
      <c r="AK45" s="801">
        <v>2</v>
      </c>
      <c r="AL45" s="829">
        <v>4</v>
      </c>
      <c r="AM45" s="949">
        <f t="shared" si="51"/>
        <v>9</v>
      </c>
      <c r="AN45" s="948">
        <v>5</v>
      </c>
      <c r="AO45" s="801">
        <v>4</v>
      </c>
      <c r="AP45" s="829">
        <v>2</v>
      </c>
      <c r="AQ45" s="949">
        <f t="shared" si="52"/>
        <v>11</v>
      </c>
      <c r="AR45" s="952">
        <v>3</v>
      </c>
      <c r="AS45" s="950">
        <v>3</v>
      </c>
      <c r="AT45" s="950" t="s">
        <v>227</v>
      </c>
      <c r="AU45" s="951">
        <f t="shared" si="6"/>
        <v>6</v>
      </c>
      <c r="AV45" s="950">
        <v>5</v>
      </c>
      <c r="AW45" s="950">
        <v>6</v>
      </c>
      <c r="AX45" s="950">
        <v>2</v>
      </c>
      <c r="AY45" s="951">
        <f t="shared" si="7"/>
        <v>13</v>
      </c>
      <c r="AZ45" s="952">
        <v>5</v>
      </c>
      <c r="BA45" s="950">
        <v>1</v>
      </c>
      <c r="BB45" s="950">
        <v>4</v>
      </c>
      <c r="BC45" s="951">
        <v>10</v>
      </c>
      <c r="BD45" s="952">
        <v>5</v>
      </c>
      <c r="BE45" s="950">
        <v>2</v>
      </c>
      <c r="BF45" s="950">
        <v>2</v>
      </c>
      <c r="BG45" s="951">
        <f t="shared" si="8"/>
        <v>9</v>
      </c>
      <c r="BH45" s="952">
        <v>3</v>
      </c>
      <c r="BI45" s="950">
        <v>6</v>
      </c>
      <c r="BJ45" s="950">
        <v>2</v>
      </c>
      <c r="BK45" s="951">
        <f t="shared" si="53"/>
        <v>11</v>
      </c>
      <c r="BL45" s="952">
        <v>4</v>
      </c>
      <c r="BM45" s="950">
        <v>5</v>
      </c>
      <c r="BN45" s="950">
        <v>8</v>
      </c>
      <c r="BO45" s="951">
        <f t="shared" si="54"/>
        <v>17</v>
      </c>
      <c r="BP45" s="952">
        <v>4</v>
      </c>
      <c r="BQ45" s="950">
        <v>7</v>
      </c>
      <c r="BR45" s="950">
        <v>10</v>
      </c>
      <c r="BS45" s="951">
        <f t="shared" si="55"/>
        <v>21</v>
      </c>
      <c r="BT45" s="952">
        <v>8</v>
      </c>
      <c r="BU45" s="950">
        <v>8</v>
      </c>
      <c r="BV45" s="950">
        <v>11</v>
      </c>
      <c r="BW45" s="951">
        <f t="shared" si="56"/>
        <v>27</v>
      </c>
      <c r="BX45" s="952">
        <v>10</v>
      </c>
      <c r="BY45" s="950">
        <v>4</v>
      </c>
      <c r="BZ45" s="950">
        <v>12</v>
      </c>
      <c r="CA45" s="951">
        <f t="shared" si="57"/>
        <v>26</v>
      </c>
    </row>
    <row r="46" spans="1:79" s="945" customFormat="1" ht="15" customHeight="1" x14ac:dyDescent="0.25">
      <c r="A46" s="5687"/>
      <c r="B46" s="5882"/>
      <c r="C46" s="946" t="s">
        <v>454</v>
      </c>
      <c r="D46" s="800">
        <v>20</v>
      </c>
      <c r="E46" s="801">
        <v>32</v>
      </c>
      <c r="F46" s="801">
        <v>25</v>
      </c>
      <c r="G46" s="947">
        <v>77</v>
      </c>
      <c r="H46" s="800">
        <v>20</v>
      </c>
      <c r="I46" s="801">
        <v>24</v>
      </c>
      <c r="J46" s="801">
        <v>8</v>
      </c>
      <c r="K46" s="947">
        <v>52</v>
      </c>
      <c r="L46" s="800">
        <v>22</v>
      </c>
      <c r="M46" s="801">
        <v>34</v>
      </c>
      <c r="N46" s="801">
        <v>22</v>
      </c>
      <c r="O46" s="947">
        <v>78</v>
      </c>
      <c r="P46" s="800">
        <v>17</v>
      </c>
      <c r="Q46" s="801">
        <v>18</v>
      </c>
      <c r="R46" s="801">
        <v>17</v>
      </c>
      <c r="S46" s="949">
        <v>52</v>
      </c>
      <c r="T46" s="800">
        <v>22</v>
      </c>
      <c r="U46" s="801">
        <v>25</v>
      </c>
      <c r="V46" s="801">
        <v>23</v>
      </c>
      <c r="W46" s="949">
        <f t="shared" si="47"/>
        <v>70</v>
      </c>
      <c r="X46" s="800">
        <v>25</v>
      </c>
      <c r="Y46" s="801">
        <v>31</v>
      </c>
      <c r="Z46" s="801">
        <v>11</v>
      </c>
      <c r="AA46" s="947">
        <f t="shared" si="48"/>
        <v>67</v>
      </c>
      <c r="AB46" s="948">
        <v>18</v>
      </c>
      <c r="AC46" s="801">
        <v>11</v>
      </c>
      <c r="AD46" s="801">
        <v>10</v>
      </c>
      <c r="AE46" s="947">
        <f t="shared" si="49"/>
        <v>39</v>
      </c>
      <c r="AF46" s="948">
        <v>26</v>
      </c>
      <c r="AG46" s="801">
        <v>20</v>
      </c>
      <c r="AH46" s="801">
        <v>17</v>
      </c>
      <c r="AI46" s="949">
        <f t="shared" si="50"/>
        <v>63</v>
      </c>
      <c r="AJ46" s="948">
        <v>17</v>
      </c>
      <c r="AK46" s="801">
        <v>10</v>
      </c>
      <c r="AL46" s="829">
        <v>5</v>
      </c>
      <c r="AM46" s="949">
        <f t="shared" si="51"/>
        <v>32</v>
      </c>
      <c r="AN46" s="948">
        <v>16</v>
      </c>
      <c r="AO46" s="801">
        <v>14</v>
      </c>
      <c r="AP46" s="829">
        <v>14</v>
      </c>
      <c r="AQ46" s="949">
        <f t="shared" si="52"/>
        <v>44</v>
      </c>
      <c r="AR46" s="952">
        <v>15</v>
      </c>
      <c r="AS46" s="950">
        <v>10</v>
      </c>
      <c r="AT46" s="950">
        <v>8</v>
      </c>
      <c r="AU46" s="951">
        <f t="shared" si="6"/>
        <v>33</v>
      </c>
      <c r="AV46" s="950">
        <v>16</v>
      </c>
      <c r="AW46" s="950">
        <v>17</v>
      </c>
      <c r="AX46" s="950">
        <v>14</v>
      </c>
      <c r="AY46" s="951">
        <f t="shared" si="7"/>
        <v>47</v>
      </c>
      <c r="AZ46" s="952">
        <v>4</v>
      </c>
      <c r="BA46" s="950">
        <v>11</v>
      </c>
      <c r="BB46" s="950">
        <v>13</v>
      </c>
      <c r="BC46" s="951">
        <v>28</v>
      </c>
      <c r="BD46" s="952">
        <v>14</v>
      </c>
      <c r="BE46" s="950">
        <v>20</v>
      </c>
      <c r="BF46" s="950">
        <v>11</v>
      </c>
      <c r="BG46" s="951">
        <f t="shared" si="8"/>
        <v>45</v>
      </c>
      <c r="BH46" s="952">
        <v>4</v>
      </c>
      <c r="BI46" s="950">
        <v>7</v>
      </c>
      <c r="BJ46" s="950">
        <v>11</v>
      </c>
      <c r="BK46" s="951">
        <f t="shared" si="53"/>
        <v>22</v>
      </c>
      <c r="BL46" s="952">
        <v>7</v>
      </c>
      <c r="BM46" s="950">
        <v>14</v>
      </c>
      <c r="BN46" s="950">
        <v>16</v>
      </c>
      <c r="BO46" s="951">
        <f t="shared" si="54"/>
        <v>37</v>
      </c>
      <c r="BP46" s="952">
        <v>11</v>
      </c>
      <c r="BQ46" s="950">
        <v>8</v>
      </c>
      <c r="BR46" s="950">
        <v>8</v>
      </c>
      <c r="BS46" s="951">
        <f t="shared" si="55"/>
        <v>27</v>
      </c>
      <c r="BT46" s="952">
        <v>4</v>
      </c>
      <c r="BU46" s="950">
        <v>12</v>
      </c>
      <c r="BV46" s="950">
        <v>12</v>
      </c>
      <c r="BW46" s="951">
        <f t="shared" si="56"/>
        <v>28</v>
      </c>
      <c r="BX46" s="952">
        <v>11</v>
      </c>
      <c r="BY46" s="950">
        <v>12</v>
      </c>
      <c r="BZ46" s="950">
        <v>8</v>
      </c>
      <c r="CA46" s="951">
        <f t="shared" si="57"/>
        <v>31</v>
      </c>
    </row>
    <row r="47" spans="1:79" s="945" customFormat="1" ht="15" customHeight="1" x14ac:dyDescent="0.25">
      <c r="A47" s="5687"/>
      <c r="B47" s="5882"/>
      <c r="C47" s="946" t="s">
        <v>467</v>
      </c>
      <c r="D47" s="800">
        <v>5</v>
      </c>
      <c r="E47" s="801">
        <v>3</v>
      </c>
      <c r="F47" s="801">
        <v>4</v>
      </c>
      <c r="G47" s="947">
        <v>12</v>
      </c>
      <c r="H47" s="800">
        <v>5</v>
      </c>
      <c r="I47" s="801">
        <v>4</v>
      </c>
      <c r="J47" s="801">
        <v>4</v>
      </c>
      <c r="K47" s="947">
        <v>13</v>
      </c>
      <c r="L47" s="800">
        <v>2</v>
      </c>
      <c r="M47" s="801">
        <v>7</v>
      </c>
      <c r="N47" s="801">
        <v>8</v>
      </c>
      <c r="O47" s="947">
        <v>17</v>
      </c>
      <c r="P47" s="800">
        <v>1</v>
      </c>
      <c r="Q47" s="801">
        <v>2</v>
      </c>
      <c r="R47" s="801">
        <v>2</v>
      </c>
      <c r="S47" s="949">
        <v>5</v>
      </c>
      <c r="T47" s="800">
        <v>2</v>
      </c>
      <c r="U47" s="801">
        <v>2</v>
      </c>
      <c r="V47" s="801" t="s">
        <v>227</v>
      </c>
      <c r="W47" s="949">
        <f t="shared" si="47"/>
        <v>4</v>
      </c>
      <c r="X47" s="800">
        <v>6</v>
      </c>
      <c r="Y47" s="801">
        <v>9</v>
      </c>
      <c r="Z47" s="801">
        <v>2</v>
      </c>
      <c r="AA47" s="947">
        <f t="shared" si="48"/>
        <v>17</v>
      </c>
      <c r="AB47" s="948">
        <v>12</v>
      </c>
      <c r="AC47" s="801">
        <v>5</v>
      </c>
      <c r="AD47" s="801">
        <v>7</v>
      </c>
      <c r="AE47" s="947">
        <f t="shared" si="49"/>
        <v>24</v>
      </c>
      <c r="AF47" s="948">
        <v>7</v>
      </c>
      <c r="AG47" s="801">
        <v>7</v>
      </c>
      <c r="AH47" s="801">
        <v>7</v>
      </c>
      <c r="AI47" s="949">
        <f t="shared" si="50"/>
        <v>21</v>
      </c>
      <c r="AJ47" s="948">
        <v>7</v>
      </c>
      <c r="AK47" s="801">
        <v>8</v>
      </c>
      <c r="AL47" s="829">
        <v>5</v>
      </c>
      <c r="AM47" s="949">
        <f t="shared" si="51"/>
        <v>20</v>
      </c>
      <c r="AN47" s="948">
        <v>4</v>
      </c>
      <c r="AO47" s="801">
        <v>4</v>
      </c>
      <c r="AP47" s="829" t="s">
        <v>227</v>
      </c>
      <c r="AQ47" s="949">
        <f t="shared" si="52"/>
        <v>8</v>
      </c>
      <c r="AR47" s="952">
        <v>6</v>
      </c>
      <c r="AS47" s="950">
        <v>3</v>
      </c>
      <c r="AT47" s="950">
        <v>1</v>
      </c>
      <c r="AU47" s="951">
        <f t="shared" si="6"/>
        <v>10</v>
      </c>
      <c r="AV47" s="950">
        <v>7</v>
      </c>
      <c r="AW47" s="950">
        <v>7</v>
      </c>
      <c r="AX47" s="950">
        <v>3</v>
      </c>
      <c r="AY47" s="951">
        <f t="shared" si="7"/>
        <v>17</v>
      </c>
      <c r="AZ47" s="952">
        <v>7</v>
      </c>
      <c r="BA47" s="950">
        <v>5</v>
      </c>
      <c r="BB47" s="950">
        <v>3</v>
      </c>
      <c r="BC47" s="951">
        <v>15</v>
      </c>
      <c r="BD47" s="952">
        <v>5</v>
      </c>
      <c r="BE47" s="950">
        <v>7</v>
      </c>
      <c r="BF47" s="950">
        <v>4</v>
      </c>
      <c r="BG47" s="951">
        <f t="shared" si="8"/>
        <v>16</v>
      </c>
      <c r="BH47" s="952">
        <v>8</v>
      </c>
      <c r="BI47" s="950">
        <v>11</v>
      </c>
      <c r="BJ47" s="950">
        <v>6</v>
      </c>
      <c r="BK47" s="951">
        <f t="shared" si="53"/>
        <v>25</v>
      </c>
      <c r="BL47" s="952">
        <v>16</v>
      </c>
      <c r="BM47" s="950">
        <v>14</v>
      </c>
      <c r="BN47" s="950">
        <v>8</v>
      </c>
      <c r="BO47" s="951">
        <f t="shared" si="54"/>
        <v>38</v>
      </c>
      <c r="BP47" s="952">
        <v>3</v>
      </c>
      <c r="BQ47" s="950">
        <v>6</v>
      </c>
      <c r="BR47" s="950">
        <v>3</v>
      </c>
      <c r="BS47" s="951">
        <f t="shared" si="55"/>
        <v>12</v>
      </c>
      <c r="BT47" s="952">
        <v>6</v>
      </c>
      <c r="BU47" s="950">
        <v>4</v>
      </c>
      <c r="BV47" s="950">
        <v>8</v>
      </c>
      <c r="BW47" s="951">
        <f t="shared" si="56"/>
        <v>18</v>
      </c>
      <c r="BX47" s="952">
        <v>8</v>
      </c>
      <c r="BY47" s="950">
        <v>6</v>
      </c>
      <c r="BZ47" s="950">
        <v>9</v>
      </c>
      <c r="CA47" s="951">
        <f t="shared" si="57"/>
        <v>23</v>
      </c>
    </row>
    <row r="48" spans="1:79" s="945" customFormat="1" ht="15" customHeight="1" x14ac:dyDescent="0.25">
      <c r="A48" s="5687"/>
      <c r="B48" s="5882"/>
      <c r="C48" s="946" t="s">
        <v>468</v>
      </c>
      <c r="D48" s="800">
        <v>3</v>
      </c>
      <c r="E48" s="801">
        <v>2</v>
      </c>
      <c r="F48" s="801">
        <v>0</v>
      </c>
      <c r="G48" s="947">
        <v>5</v>
      </c>
      <c r="H48" s="800">
        <v>1</v>
      </c>
      <c r="I48" s="801">
        <v>2</v>
      </c>
      <c r="J48" s="801">
        <v>2</v>
      </c>
      <c r="K48" s="947">
        <v>5</v>
      </c>
      <c r="L48" s="800">
        <v>3</v>
      </c>
      <c r="M48" s="801">
        <v>5</v>
      </c>
      <c r="N48" s="801">
        <v>1</v>
      </c>
      <c r="O48" s="947">
        <v>9</v>
      </c>
      <c r="P48" s="800">
        <v>1</v>
      </c>
      <c r="Q48" s="801">
        <v>2</v>
      </c>
      <c r="R48" s="801">
        <v>3</v>
      </c>
      <c r="S48" s="949">
        <v>6</v>
      </c>
      <c r="T48" s="800">
        <v>1</v>
      </c>
      <c r="U48" s="801">
        <v>5</v>
      </c>
      <c r="V48" s="801" t="s">
        <v>227</v>
      </c>
      <c r="W48" s="949">
        <f t="shared" si="47"/>
        <v>6</v>
      </c>
      <c r="X48" s="800">
        <v>5</v>
      </c>
      <c r="Y48" s="801">
        <v>4</v>
      </c>
      <c r="Z48" s="801">
        <v>7</v>
      </c>
      <c r="AA48" s="947">
        <f t="shared" si="48"/>
        <v>16</v>
      </c>
      <c r="AB48" s="948">
        <v>6</v>
      </c>
      <c r="AC48" s="801">
        <v>2</v>
      </c>
      <c r="AD48" s="801">
        <v>1</v>
      </c>
      <c r="AE48" s="947">
        <f t="shared" si="49"/>
        <v>9</v>
      </c>
      <c r="AF48" s="948" t="s">
        <v>227</v>
      </c>
      <c r="AG48" s="801">
        <v>4</v>
      </c>
      <c r="AH48" s="801">
        <v>1</v>
      </c>
      <c r="AI48" s="949">
        <f t="shared" si="50"/>
        <v>5</v>
      </c>
      <c r="AJ48" s="948">
        <v>2</v>
      </c>
      <c r="AK48" s="801">
        <v>3</v>
      </c>
      <c r="AL48" s="801"/>
      <c r="AM48" s="949">
        <f t="shared" si="51"/>
        <v>5</v>
      </c>
      <c r="AN48" s="948" t="s">
        <v>227</v>
      </c>
      <c r="AO48" s="801">
        <v>1</v>
      </c>
      <c r="AP48" s="801">
        <v>1</v>
      </c>
      <c r="AQ48" s="949">
        <f t="shared" si="52"/>
        <v>2</v>
      </c>
      <c r="AR48" s="952">
        <v>3</v>
      </c>
      <c r="AS48" s="950">
        <v>2</v>
      </c>
      <c r="AT48" s="950">
        <v>3</v>
      </c>
      <c r="AU48" s="951">
        <f t="shared" si="6"/>
        <v>8</v>
      </c>
      <c r="AV48" s="950">
        <v>2</v>
      </c>
      <c r="AW48" s="950">
        <v>4</v>
      </c>
      <c r="AX48" s="950">
        <v>1</v>
      </c>
      <c r="AY48" s="951">
        <f t="shared" si="7"/>
        <v>7</v>
      </c>
      <c r="AZ48" s="952">
        <v>3</v>
      </c>
      <c r="BA48" s="950">
        <v>3</v>
      </c>
      <c r="BB48" s="950">
        <v>5</v>
      </c>
      <c r="BC48" s="951">
        <v>11</v>
      </c>
      <c r="BD48" s="952">
        <v>1</v>
      </c>
      <c r="BE48" s="950">
        <v>8</v>
      </c>
      <c r="BF48" s="950">
        <v>5</v>
      </c>
      <c r="BG48" s="951">
        <f t="shared" si="8"/>
        <v>14</v>
      </c>
      <c r="BH48" s="952">
        <v>1</v>
      </c>
      <c r="BI48" s="950">
        <v>3</v>
      </c>
      <c r="BJ48" s="950">
        <v>6</v>
      </c>
      <c r="BK48" s="951">
        <f t="shared" si="53"/>
        <v>10</v>
      </c>
      <c r="BL48" s="952">
        <v>3</v>
      </c>
      <c r="BM48" s="950">
        <v>2</v>
      </c>
      <c r="BN48" s="950">
        <v>6</v>
      </c>
      <c r="BO48" s="951">
        <f t="shared" si="54"/>
        <v>11</v>
      </c>
      <c r="BP48" s="952">
        <v>1</v>
      </c>
      <c r="BQ48" s="950">
        <v>4</v>
      </c>
      <c r="BR48" s="950">
        <v>6</v>
      </c>
      <c r="BS48" s="951">
        <f t="shared" si="55"/>
        <v>11</v>
      </c>
      <c r="BT48" s="952">
        <v>4</v>
      </c>
      <c r="BU48" s="950">
        <v>4</v>
      </c>
      <c r="BV48" s="950">
        <v>9</v>
      </c>
      <c r="BW48" s="951">
        <f t="shared" si="56"/>
        <v>17</v>
      </c>
      <c r="BX48" s="952">
        <v>3</v>
      </c>
      <c r="BY48" s="950">
        <v>5</v>
      </c>
      <c r="BZ48" s="950">
        <v>6</v>
      </c>
      <c r="CA48" s="951">
        <f t="shared" si="57"/>
        <v>14</v>
      </c>
    </row>
    <row r="49" spans="1:79" s="945" customFormat="1" ht="15" customHeight="1" x14ac:dyDescent="0.25">
      <c r="A49" s="5687"/>
      <c r="B49" s="5882"/>
      <c r="C49" s="953" t="s">
        <v>469</v>
      </c>
      <c r="D49" s="809">
        <v>19</v>
      </c>
      <c r="E49" s="810">
        <v>30</v>
      </c>
      <c r="F49" s="810">
        <v>29</v>
      </c>
      <c r="G49" s="954">
        <v>78</v>
      </c>
      <c r="H49" s="809">
        <v>26</v>
      </c>
      <c r="I49" s="810">
        <v>15</v>
      </c>
      <c r="J49" s="810">
        <v>13</v>
      </c>
      <c r="K49" s="954">
        <v>54</v>
      </c>
      <c r="L49" s="809">
        <v>16</v>
      </c>
      <c r="M49" s="810">
        <v>17</v>
      </c>
      <c r="N49" s="810">
        <v>24</v>
      </c>
      <c r="O49" s="954">
        <v>57</v>
      </c>
      <c r="P49" s="809">
        <v>14</v>
      </c>
      <c r="Q49" s="810">
        <v>13</v>
      </c>
      <c r="R49" s="810">
        <v>25</v>
      </c>
      <c r="S49" s="956">
        <v>52</v>
      </c>
      <c r="T49" s="809">
        <v>21</v>
      </c>
      <c r="U49" s="810">
        <v>19</v>
      </c>
      <c r="V49" s="810">
        <v>13</v>
      </c>
      <c r="W49" s="956">
        <f t="shared" si="47"/>
        <v>53</v>
      </c>
      <c r="X49" s="809">
        <v>19</v>
      </c>
      <c r="Y49" s="810">
        <v>9</v>
      </c>
      <c r="Z49" s="810">
        <v>19</v>
      </c>
      <c r="AA49" s="954">
        <f t="shared" si="48"/>
        <v>47</v>
      </c>
      <c r="AB49" s="955">
        <v>24</v>
      </c>
      <c r="AC49" s="810">
        <v>21</v>
      </c>
      <c r="AD49" s="810">
        <v>20</v>
      </c>
      <c r="AE49" s="954">
        <f t="shared" si="49"/>
        <v>65</v>
      </c>
      <c r="AF49" s="955">
        <v>37</v>
      </c>
      <c r="AG49" s="810">
        <v>14</v>
      </c>
      <c r="AH49" s="810">
        <v>17</v>
      </c>
      <c r="AI49" s="956">
        <f t="shared" si="50"/>
        <v>68</v>
      </c>
      <c r="AJ49" s="955">
        <v>12</v>
      </c>
      <c r="AK49" s="810">
        <v>13</v>
      </c>
      <c r="AL49" s="853">
        <v>16</v>
      </c>
      <c r="AM49" s="956">
        <f t="shared" si="51"/>
        <v>41</v>
      </c>
      <c r="AN49" s="955">
        <v>13</v>
      </c>
      <c r="AO49" s="810">
        <v>10</v>
      </c>
      <c r="AP49" s="853">
        <v>8</v>
      </c>
      <c r="AQ49" s="956">
        <f t="shared" si="52"/>
        <v>31</v>
      </c>
      <c r="AR49" s="959">
        <v>8</v>
      </c>
      <c r="AS49" s="957">
        <v>19</v>
      </c>
      <c r="AT49" s="957">
        <v>8</v>
      </c>
      <c r="AU49" s="958">
        <f t="shared" si="6"/>
        <v>35</v>
      </c>
      <c r="AV49" s="957">
        <v>13</v>
      </c>
      <c r="AW49" s="957">
        <v>32</v>
      </c>
      <c r="AX49" s="957">
        <v>15</v>
      </c>
      <c r="AY49" s="958">
        <f t="shared" si="7"/>
        <v>60</v>
      </c>
      <c r="AZ49" s="959">
        <v>17</v>
      </c>
      <c r="BA49" s="957">
        <v>14</v>
      </c>
      <c r="BB49" s="957">
        <v>9</v>
      </c>
      <c r="BC49" s="958">
        <v>40</v>
      </c>
      <c r="BD49" s="959">
        <v>22</v>
      </c>
      <c r="BE49" s="957">
        <v>17</v>
      </c>
      <c r="BF49" s="957">
        <v>4</v>
      </c>
      <c r="BG49" s="958">
        <f t="shared" si="8"/>
        <v>43</v>
      </c>
      <c r="BH49" s="959">
        <v>12</v>
      </c>
      <c r="BI49" s="957">
        <v>11</v>
      </c>
      <c r="BJ49" s="957">
        <v>15</v>
      </c>
      <c r="BK49" s="958">
        <f t="shared" si="53"/>
        <v>38</v>
      </c>
      <c r="BL49" s="959">
        <v>12</v>
      </c>
      <c r="BM49" s="957">
        <v>13</v>
      </c>
      <c r="BN49" s="957">
        <v>11</v>
      </c>
      <c r="BO49" s="958">
        <f t="shared" si="54"/>
        <v>36</v>
      </c>
      <c r="BP49" s="959">
        <v>5</v>
      </c>
      <c r="BQ49" s="957">
        <v>11</v>
      </c>
      <c r="BR49" s="957">
        <v>11</v>
      </c>
      <c r="BS49" s="958">
        <f t="shared" si="55"/>
        <v>27</v>
      </c>
      <c r="BT49" s="959">
        <v>6</v>
      </c>
      <c r="BU49" s="957">
        <v>13</v>
      </c>
      <c r="BV49" s="957">
        <v>20</v>
      </c>
      <c r="BW49" s="958">
        <f t="shared" si="56"/>
        <v>39</v>
      </c>
      <c r="BX49" s="959">
        <v>10</v>
      </c>
      <c r="BY49" s="957">
        <v>19</v>
      </c>
      <c r="BZ49" s="957">
        <v>21</v>
      </c>
      <c r="CA49" s="958">
        <f t="shared" si="57"/>
        <v>50</v>
      </c>
    </row>
    <row r="50" spans="1:79" s="945" customFormat="1" ht="15" customHeight="1" x14ac:dyDescent="0.25">
      <c r="A50" s="5687"/>
      <c r="B50" s="5883"/>
      <c r="C50" s="960" t="s">
        <v>160</v>
      </c>
      <c r="D50" s="961">
        <v>83</v>
      </c>
      <c r="E50" s="962">
        <v>96</v>
      </c>
      <c r="F50" s="962">
        <v>73</v>
      </c>
      <c r="G50" s="963">
        <v>252</v>
      </c>
      <c r="H50" s="961">
        <v>78</v>
      </c>
      <c r="I50" s="962">
        <v>69</v>
      </c>
      <c r="J50" s="962">
        <v>48</v>
      </c>
      <c r="K50" s="963">
        <v>195</v>
      </c>
      <c r="L50" s="961">
        <v>85</v>
      </c>
      <c r="M50" s="962">
        <v>94</v>
      </c>
      <c r="N50" s="962">
        <v>79</v>
      </c>
      <c r="O50" s="963">
        <v>258</v>
      </c>
      <c r="P50" s="961">
        <v>54</v>
      </c>
      <c r="Q50" s="962">
        <v>63</v>
      </c>
      <c r="R50" s="962">
        <v>65</v>
      </c>
      <c r="S50" s="963">
        <v>182</v>
      </c>
      <c r="T50" s="961">
        <f t="shared" ref="T50:BC50" si="58">SUM(T41:T49)</f>
        <v>78</v>
      </c>
      <c r="U50" s="962">
        <f t="shared" si="58"/>
        <v>79</v>
      </c>
      <c r="V50" s="962">
        <f t="shared" si="58"/>
        <v>65</v>
      </c>
      <c r="W50" s="963">
        <f t="shared" si="58"/>
        <v>222</v>
      </c>
      <c r="X50" s="961">
        <f t="shared" si="58"/>
        <v>87</v>
      </c>
      <c r="Y50" s="962">
        <f t="shared" si="58"/>
        <v>93</v>
      </c>
      <c r="Z50" s="962">
        <f t="shared" si="58"/>
        <v>66</v>
      </c>
      <c r="AA50" s="963">
        <f t="shared" si="58"/>
        <v>246</v>
      </c>
      <c r="AB50" s="961">
        <f t="shared" si="58"/>
        <v>93</v>
      </c>
      <c r="AC50" s="962">
        <f t="shared" si="58"/>
        <v>86</v>
      </c>
      <c r="AD50" s="962">
        <f t="shared" si="58"/>
        <v>64</v>
      </c>
      <c r="AE50" s="963">
        <f t="shared" si="58"/>
        <v>243</v>
      </c>
      <c r="AF50" s="961">
        <f t="shared" si="58"/>
        <v>93</v>
      </c>
      <c r="AG50" s="962">
        <f t="shared" si="58"/>
        <v>104</v>
      </c>
      <c r="AH50" s="962">
        <f t="shared" si="58"/>
        <v>79</v>
      </c>
      <c r="AI50" s="963">
        <f t="shared" si="58"/>
        <v>276</v>
      </c>
      <c r="AJ50" s="961">
        <f t="shared" si="58"/>
        <v>54</v>
      </c>
      <c r="AK50" s="962">
        <f t="shared" si="58"/>
        <v>71</v>
      </c>
      <c r="AL50" s="962">
        <f t="shared" si="58"/>
        <v>48</v>
      </c>
      <c r="AM50" s="963">
        <f t="shared" si="58"/>
        <v>173</v>
      </c>
      <c r="AN50" s="961">
        <f t="shared" si="58"/>
        <v>68</v>
      </c>
      <c r="AO50" s="962">
        <f t="shared" si="58"/>
        <v>59</v>
      </c>
      <c r="AP50" s="962">
        <f t="shared" si="58"/>
        <v>36</v>
      </c>
      <c r="AQ50" s="963">
        <f t="shared" si="58"/>
        <v>163</v>
      </c>
      <c r="AR50" s="961">
        <f t="shared" si="58"/>
        <v>58</v>
      </c>
      <c r="AS50" s="962">
        <f t="shared" si="58"/>
        <v>70</v>
      </c>
      <c r="AT50" s="962">
        <f t="shared" si="58"/>
        <v>39</v>
      </c>
      <c r="AU50" s="963">
        <f t="shared" si="6"/>
        <v>167</v>
      </c>
      <c r="AV50" s="961">
        <f>SUM(AV41:AV49)</f>
        <v>63</v>
      </c>
      <c r="AW50" s="962">
        <f>SUM(AW41:AW49)</f>
        <v>112</v>
      </c>
      <c r="AX50" s="962">
        <f>SUM(AX41:AX49)</f>
        <v>64</v>
      </c>
      <c r="AY50" s="963">
        <f t="shared" si="7"/>
        <v>239</v>
      </c>
      <c r="AZ50" s="961">
        <f t="shared" si="58"/>
        <v>57</v>
      </c>
      <c r="BA50" s="962">
        <f t="shared" si="58"/>
        <v>57</v>
      </c>
      <c r="BB50" s="962">
        <f t="shared" si="58"/>
        <v>65</v>
      </c>
      <c r="BC50" s="963">
        <f t="shared" si="58"/>
        <v>179</v>
      </c>
      <c r="BD50" s="961">
        <f t="shared" ref="BD50:BK50" si="59">SUM(BD41:BD49)</f>
        <v>67</v>
      </c>
      <c r="BE50" s="962">
        <f t="shared" si="59"/>
        <v>85</v>
      </c>
      <c r="BF50" s="962">
        <f t="shared" si="59"/>
        <v>50</v>
      </c>
      <c r="BG50" s="963">
        <f t="shared" si="59"/>
        <v>202</v>
      </c>
      <c r="BH50" s="961">
        <f t="shared" si="59"/>
        <v>44</v>
      </c>
      <c r="BI50" s="962">
        <f t="shared" si="59"/>
        <v>58</v>
      </c>
      <c r="BJ50" s="962">
        <f t="shared" si="59"/>
        <v>61</v>
      </c>
      <c r="BK50" s="963">
        <f t="shared" si="59"/>
        <v>163</v>
      </c>
      <c r="BL50" s="961">
        <f t="shared" ref="BL50:BS50" si="60">SUM(BL41:BL49)</f>
        <v>58</v>
      </c>
      <c r="BM50" s="962">
        <f t="shared" si="60"/>
        <v>86</v>
      </c>
      <c r="BN50" s="962">
        <f t="shared" si="60"/>
        <v>68</v>
      </c>
      <c r="BO50" s="963">
        <f t="shared" si="60"/>
        <v>212</v>
      </c>
      <c r="BP50" s="961">
        <f t="shared" si="60"/>
        <v>46</v>
      </c>
      <c r="BQ50" s="962">
        <f t="shared" si="60"/>
        <v>63</v>
      </c>
      <c r="BR50" s="962">
        <f t="shared" si="60"/>
        <v>64</v>
      </c>
      <c r="BS50" s="963">
        <f t="shared" si="60"/>
        <v>173</v>
      </c>
      <c r="BT50" s="961">
        <f>SUM(BT41:BT49)</f>
        <v>61</v>
      </c>
      <c r="BU50" s="962">
        <f>SUM(BU41:BU49)</f>
        <v>79</v>
      </c>
      <c r="BV50" s="962">
        <f>SUM(BV41:BV49)</f>
        <v>88</v>
      </c>
      <c r="BW50" s="963">
        <f>SUM(BW41:BW49)</f>
        <v>228</v>
      </c>
      <c r="BX50" s="961">
        <f>SUM(BX41:BX49)</f>
        <v>75</v>
      </c>
      <c r="BY50" s="962">
        <f t="shared" ref="BY50:BZ50" si="61">SUM(BY41:BY49)</f>
        <v>81</v>
      </c>
      <c r="BZ50" s="962">
        <f t="shared" si="61"/>
        <v>86</v>
      </c>
      <c r="CA50" s="963">
        <f>SUM(CA41:CA49)</f>
        <v>242</v>
      </c>
    </row>
    <row r="51" spans="1:79" s="945" customFormat="1" ht="15" customHeight="1" x14ac:dyDescent="0.25">
      <c r="A51" s="5687"/>
      <c r="B51" s="5881" t="s">
        <v>6</v>
      </c>
      <c r="C51" s="938" t="s">
        <v>456</v>
      </c>
      <c r="D51" s="794">
        <v>51</v>
      </c>
      <c r="E51" s="795">
        <v>66</v>
      </c>
      <c r="F51" s="795">
        <v>29</v>
      </c>
      <c r="G51" s="939">
        <v>146</v>
      </c>
      <c r="H51" s="794">
        <v>45</v>
      </c>
      <c r="I51" s="795">
        <v>47</v>
      </c>
      <c r="J51" s="795">
        <v>33</v>
      </c>
      <c r="K51" s="939">
        <v>125</v>
      </c>
      <c r="L51" s="794">
        <v>63</v>
      </c>
      <c r="M51" s="795">
        <v>42</v>
      </c>
      <c r="N51" s="795">
        <v>41</v>
      </c>
      <c r="O51" s="939">
        <v>146</v>
      </c>
      <c r="P51" s="794">
        <v>51</v>
      </c>
      <c r="Q51" s="795">
        <v>57</v>
      </c>
      <c r="R51" s="795">
        <v>48</v>
      </c>
      <c r="S51" s="941">
        <v>156</v>
      </c>
      <c r="T51" s="794">
        <v>37</v>
      </c>
      <c r="U51" s="795">
        <v>39</v>
      </c>
      <c r="V51" s="795">
        <v>28</v>
      </c>
      <c r="W51" s="941">
        <f t="shared" ref="W51:W61" si="62">SUM(T51:V51)</f>
        <v>104</v>
      </c>
      <c r="X51" s="794">
        <v>54</v>
      </c>
      <c r="Y51" s="795">
        <v>51</v>
      </c>
      <c r="Z51" s="795">
        <v>53</v>
      </c>
      <c r="AA51" s="939">
        <f t="shared" ref="AA51:AA61" si="63">SUM(X51:Z51)</f>
        <v>158</v>
      </c>
      <c r="AB51" s="940">
        <v>69</v>
      </c>
      <c r="AC51" s="795">
        <v>44</v>
      </c>
      <c r="AD51" s="795">
        <v>50</v>
      </c>
      <c r="AE51" s="939">
        <f t="shared" ref="AE51:AE61" si="64">SUM(AB51:AD51)</f>
        <v>163</v>
      </c>
      <c r="AF51" s="940">
        <v>31</v>
      </c>
      <c r="AG51" s="795">
        <v>59</v>
      </c>
      <c r="AH51" s="795">
        <v>40</v>
      </c>
      <c r="AI51" s="941">
        <f t="shared" ref="AI51:AI61" si="65">SUM(AF51:AH51)</f>
        <v>130</v>
      </c>
      <c r="AJ51" s="940">
        <v>54</v>
      </c>
      <c r="AK51" s="795">
        <v>31</v>
      </c>
      <c r="AL51" s="827">
        <v>32</v>
      </c>
      <c r="AM51" s="941">
        <f t="shared" ref="AM51:AM61" si="66">SUM(AJ51:AL51)</f>
        <v>117</v>
      </c>
      <c r="AN51" s="940">
        <v>57</v>
      </c>
      <c r="AO51" s="795">
        <v>43</v>
      </c>
      <c r="AP51" s="827">
        <v>23</v>
      </c>
      <c r="AQ51" s="941">
        <f t="shared" ref="AQ51:AQ61" si="67">SUM(AN51:AP51)</f>
        <v>123</v>
      </c>
      <c r="AR51" s="944">
        <v>50</v>
      </c>
      <c r="AS51" s="942">
        <v>46</v>
      </c>
      <c r="AT51" s="942">
        <v>17</v>
      </c>
      <c r="AU51" s="943">
        <f t="shared" si="6"/>
        <v>113</v>
      </c>
      <c r="AV51" s="942">
        <v>56</v>
      </c>
      <c r="AW51" s="942">
        <v>60</v>
      </c>
      <c r="AX51" s="942">
        <v>36</v>
      </c>
      <c r="AY51" s="943">
        <f t="shared" si="7"/>
        <v>152</v>
      </c>
      <c r="AZ51" s="972">
        <v>58</v>
      </c>
      <c r="BA51" s="973">
        <v>35</v>
      </c>
      <c r="BB51" s="973">
        <v>32</v>
      </c>
      <c r="BC51" s="974">
        <v>125</v>
      </c>
      <c r="BD51" s="972">
        <v>40</v>
      </c>
      <c r="BE51" s="973">
        <v>58</v>
      </c>
      <c r="BF51" s="973">
        <v>35</v>
      </c>
      <c r="BG51" s="974">
        <f t="shared" si="8"/>
        <v>133</v>
      </c>
      <c r="BH51" s="972">
        <v>72</v>
      </c>
      <c r="BI51" s="973">
        <v>65</v>
      </c>
      <c r="BJ51" s="973">
        <v>53</v>
      </c>
      <c r="BK51" s="974">
        <f t="shared" ref="BK51:BK61" si="68">SUM(BH51:BJ51)</f>
        <v>190</v>
      </c>
      <c r="BL51" s="972">
        <v>48</v>
      </c>
      <c r="BM51" s="973">
        <v>57</v>
      </c>
      <c r="BN51" s="973">
        <v>42</v>
      </c>
      <c r="BO51" s="974">
        <f t="shared" ref="BO51:BO61" si="69">SUM(BL51:BN51)</f>
        <v>147</v>
      </c>
      <c r="BP51" s="972">
        <v>54</v>
      </c>
      <c r="BQ51" s="973">
        <v>60</v>
      </c>
      <c r="BR51" s="973">
        <v>37</v>
      </c>
      <c r="BS51" s="974">
        <f t="shared" ref="BS51:BS61" si="70">SUM(BP51:BR51)</f>
        <v>151</v>
      </c>
      <c r="BT51" s="972">
        <v>29</v>
      </c>
      <c r="BU51" s="973">
        <v>62</v>
      </c>
      <c r="BV51" s="973">
        <v>32</v>
      </c>
      <c r="BW51" s="974">
        <f t="shared" ref="BW51:BW61" si="71">SUM(BT51:BV51)</f>
        <v>123</v>
      </c>
      <c r="BX51" s="972">
        <v>37</v>
      </c>
      <c r="BY51" s="973">
        <v>46</v>
      </c>
      <c r="BZ51" s="973">
        <v>47</v>
      </c>
      <c r="CA51" s="974">
        <f t="shared" ref="CA51:CA61" si="72">SUM(BX51:BZ51)</f>
        <v>130</v>
      </c>
    </row>
    <row r="52" spans="1:79" s="945" customFormat="1" ht="15" customHeight="1" x14ac:dyDescent="0.25">
      <c r="A52" s="5687"/>
      <c r="B52" s="5882"/>
      <c r="C52" s="946" t="s">
        <v>470</v>
      </c>
      <c r="D52" s="800">
        <v>9</v>
      </c>
      <c r="E52" s="801">
        <v>13</v>
      </c>
      <c r="F52" s="801">
        <v>16</v>
      </c>
      <c r="G52" s="947">
        <v>38</v>
      </c>
      <c r="H52" s="800">
        <v>9</v>
      </c>
      <c r="I52" s="801">
        <v>14</v>
      </c>
      <c r="J52" s="801">
        <v>26</v>
      </c>
      <c r="K52" s="947">
        <v>49</v>
      </c>
      <c r="L52" s="800">
        <v>13</v>
      </c>
      <c r="M52" s="801">
        <v>6</v>
      </c>
      <c r="N52" s="801">
        <v>8</v>
      </c>
      <c r="O52" s="947">
        <v>27</v>
      </c>
      <c r="P52" s="800">
        <v>10</v>
      </c>
      <c r="Q52" s="801">
        <v>6</v>
      </c>
      <c r="R52" s="801">
        <v>10</v>
      </c>
      <c r="S52" s="949">
        <v>26</v>
      </c>
      <c r="T52" s="800">
        <v>13</v>
      </c>
      <c r="U52" s="801">
        <v>16</v>
      </c>
      <c r="V52" s="801">
        <v>21</v>
      </c>
      <c r="W52" s="949">
        <f t="shared" si="62"/>
        <v>50</v>
      </c>
      <c r="X52" s="800">
        <v>16</v>
      </c>
      <c r="Y52" s="801">
        <v>8</v>
      </c>
      <c r="Z52" s="801">
        <v>16</v>
      </c>
      <c r="AA52" s="947">
        <f t="shared" si="63"/>
        <v>40</v>
      </c>
      <c r="AB52" s="948">
        <v>13</v>
      </c>
      <c r="AC52" s="801">
        <v>4</v>
      </c>
      <c r="AD52" s="801">
        <v>3</v>
      </c>
      <c r="AE52" s="947">
        <f t="shared" si="64"/>
        <v>20</v>
      </c>
      <c r="AF52" s="948">
        <v>9</v>
      </c>
      <c r="AG52" s="801">
        <v>4</v>
      </c>
      <c r="AH52" s="801">
        <v>10</v>
      </c>
      <c r="AI52" s="949">
        <f t="shared" si="65"/>
        <v>23</v>
      </c>
      <c r="AJ52" s="948">
        <v>9</v>
      </c>
      <c r="AK52" s="801">
        <v>6</v>
      </c>
      <c r="AL52" s="829">
        <v>5</v>
      </c>
      <c r="AM52" s="949">
        <f t="shared" si="66"/>
        <v>20</v>
      </c>
      <c r="AN52" s="948">
        <v>10</v>
      </c>
      <c r="AO52" s="801">
        <v>8</v>
      </c>
      <c r="AP52" s="829">
        <v>12</v>
      </c>
      <c r="AQ52" s="949">
        <f t="shared" si="67"/>
        <v>30</v>
      </c>
      <c r="AR52" s="952">
        <v>6</v>
      </c>
      <c r="AS52" s="950">
        <v>9</v>
      </c>
      <c r="AT52" s="950">
        <v>9</v>
      </c>
      <c r="AU52" s="951">
        <f t="shared" si="6"/>
        <v>24</v>
      </c>
      <c r="AV52" s="950">
        <v>4</v>
      </c>
      <c r="AW52" s="950">
        <v>6</v>
      </c>
      <c r="AX52" s="950">
        <v>9</v>
      </c>
      <c r="AY52" s="951">
        <f t="shared" si="7"/>
        <v>19</v>
      </c>
      <c r="AZ52" s="975">
        <v>8</v>
      </c>
      <c r="BA52" s="976">
        <v>11</v>
      </c>
      <c r="BB52" s="976">
        <v>4</v>
      </c>
      <c r="BC52" s="977">
        <v>23</v>
      </c>
      <c r="BD52" s="975">
        <v>8</v>
      </c>
      <c r="BE52" s="976">
        <v>16</v>
      </c>
      <c r="BF52" s="976">
        <v>16</v>
      </c>
      <c r="BG52" s="977">
        <f t="shared" si="8"/>
        <v>40</v>
      </c>
      <c r="BH52" s="975">
        <v>14</v>
      </c>
      <c r="BI52" s="976">
        <v>9</v>
      </c>
      <c r="BJ52" s="976">
        <v>11</v>
      </c>
      <c r="BK52" s="977">
        <f t="shared" si="68"/>
        <v>34</v>
      </c>
      <c r="BL52" s="975">
        <v>11</v>
      </c>
      <c r="BM52" s="976">
        <v>11</v>
      </c>
      <c r="BN52" s="976">
        <v>6</v>
      </c>
      <c r="BO52" s="977">
        <f t="shared" si="69"/>
        <v>28</v>
      </c>
      <c r="BP52" s="975">
        <v>16</v>
      </c>
      <c r="BQ52" s="976">
        <v>7</v>
      </c>
      <c r="BR52" s="976">
        <v>9</v>
      </c>
      <c r="BS52" s="977">
        <f t="shared" si="70"/>
        <v>32</v>
      </c>
      <c r="BT52" s="975">
        <v>7</v>
      </c>
      <c r="BU52" s="976">
        <v>21</v>
      </c>
      <c r="BV52" s="976">
        <v>6</v>
      </c>
      <c r="BW52" s="977">
        <f t="shared" si="71"/>
        <v>34</v>
      </c>
      <c r="BX52" s="975">
        <v>14</v>
      </c>
      <c r="BY52" s="976">
        <v>5</v>
      </c>
      <c r="BZ52" s="976">
        <v>10</v>
      </c>
      <c r="CA52" s="977">
        <f t="shared" si="72"/>
        <v>29</v>
      </c>
    </row>
    <row r="53" spans="1:79" s="945" customFormat="1" ht="15" customHeight="1" x14ac:dyDescent="0.25">
      <c r="A53" s="5687"/>
      <c r="B53" s="5882"/>
      <c r="C53" s="946" t="s">
        <v>471</v>
      </c>
      <c r="D53" s="948">
        <v>5</v>
      </c>
      <c r="E53" s="978">
        <v>4</v>
      </c>
      <c r="F53" s="801">
        <v>7</v>
      </c>
      <c r="G53" s="947">
        <v>16</v>
      </c>
      <c r="H53" s="948">
        <v>7</v>
      </c>
      <c r="I53" s="978">
        <v>9</v>
      </c>
      <c r="J53" s="801">
        <v>9</v>
      </c>
      <c r="K53" s="947">
        <v>25</v>
      </c>
      <c r="L53" s="948">
        <v>4</v>
      </c>
      <c r="M53" s="978">
        <v>9</v>
      </c>
      <c r="N53" s="801">
        <v>3</v>
      </c>
      <c r="O53" s="947">
        <v>16</v>
      </c>
      <c r="P53" s="948">
        <v>8</v>
      </c>
      <c r="Q53" s="978">
        <v>2</v>
      </c>
      <c r="R53" s="801">
        <v>8</v>
      </c>
      <c r="S53" s="949">
        <v>18</v>
      </c>
      <c r="T53" s="948">
        <v>7</v>
      </c>
      <c r="U53" s="978">
        <v>10</v>
      </c>
      <c r="V53" s="801">
        <v>8</v>
      </c>
      <c r="W53" s="949">
        <f t="shared" si="62"/>
        <v>25</v>
      </c>
      <c r="X53" s="948">
        <v>8</v>
      </c>
      <c r="Y53" s="978">
        <v>13</v>
      </c>
      <c r="Z53" s="801">
        <v>6</v>
      </c>
      <c r="AA53" s="947">
        <f t="shared" si="63"/>
        <v>27</v>
      </c>
      <c r="AB53" s="948">
        <v>10</v>
      </c>
      <c r="AC53" s="978">
        <v>16</v>
      </c>
      <c r="AD53" s="801">
        <v>9</v>
      </c>
      <c r="AE53" s="947">
        <f t="shared" si="64"/>
        <v>35</v>
      </c>
      <c r="AF53" s="948">
        <v>6</v>
      </c>
      <c r="AG53" s="978">
        <v>9</v>
      </c>
      <c r="AH53" s="801">
        <v>12</v>
      </c>
      <c r="AI53" s="949">
        <f t="shared" si="65"/>
        <v>27</v>
      </c>
      <c r="AJ53" s="948">
        <v>7</v>
      </c>
      <c r="AK53" s="978">
        <v>10</v>
      </c>
      <c r="AL53" s="829">
        <v>9</v>
      </c>
      <c r="AM53" s="949">
        <f t="shared" si="66"/>
        <v>26</v>
      </c>
      <c r="AN53" s="948">
        <v>2</v>
      </c>
      <c r="AO53" s="978">
        <v>9</v>
      </c>
      <c r="AP53" s="829">
        <v>8</v>
      </c>
      <c r="AQ53" s="949">
        <f t="shared" si="67"/>
        <v>19</v>
      </c>
      <c r="AR53" s="952">
        <v>7</v>
      </c>
      <c r="AS53" s="950">
        <v>8</v>
      </c>
      <c r="AT53" s="950">
        <v>14</v>
      </c>
      <c r="AU53" s="951">
        <f t="shared" si="6"/>
        <v>29</v>
      </c>
      <c r="AV53" s="950">
        <v>8</v>
      </c>
      <c r="AW53" s="950">
        <v>10</v>
      </c>
      <c r="AX53" s="950">
        <v>12</v>
      </c>
      <c r="AY53" s="951">
        <f t="shared" si="7"/>
        <v>30</v>
      </c>
      <c r="AZ53" s="975">
        <v>13</v>
      </c>
      <c r="BA53" s="976">
        <v>8</v>
      </c>
      <c r="BB53" s="976">
        <v>11</v>
      </c>
      <c r="BC53" s="977">
        <v>32</v>
      </c>
      <c r="BD53" s="975">
        <v>16</v>
      </c>
      <c r="BE53" s="976">
        <v>15</v>
      </c>
      <c r="BF53" s="976">
        <v>8</v>
      </c>
      <c r="BG53" s="977">
        <f t="shared" si="8"/>
        <v>39</v>
      </c>
      <c r="BH53" s="975">
        <v>14</v>
      </c>
      <c r="BI53" s="976">
        <v>13</v>
      </c>
      <c r="BJ53" s="976">
        <v>14</v>
      </c>
      <c r="BK53" s="977">
        <f t="shared" si="68"/>
        <v>41</v>
      </c>
      <c r="BL53" s="975">
        <v>8</v>
      </c>
      <c r="BM53" s="976">
        <v>7</v>
      </c>
      <c r="BN53" s="976">
        <v>9</v>
      </c>
      <c r="BO53" s="977">
        <f t="shared" si="69"/>
        <v>24</v>
      </c>
      <c r="BP53" s="975">
        <v>14</v>
      </c>
      <c r="BQ53" s="976">
        <v>7</v>
      </c>
      <c r="BR53" s="976">
        <v>9</v>
      </c>
      <c r="BS53" s="977">
        <f t="shared" si="70"/>
        <v>30</v>
      </c>
      <c r="BT53" s="975">
        <v>9</v>
      </c>
      <c r="BU53" s="976">
        <v>3</v>
      </c>
      <c r="BV53" s="976">
        <v>6</v>
      </c>
      <c r="BW53" s="977">
        <f t="shared" si="71"/>
        <v>18</v>
      </c>
      <c r="BX53" s="975">
        <v>7</v>
      </c>
      <c r="BY53" s="976">
        <v>11</v>
      </c>
      <c r="BZ53" s="976">
        <v>7</v>
      </c>
      <c r="CA53" s="977">
        <f t="shared" si="72"/>
        <v>25</v>
      </c>
    </row>
    <row r="54" spans="1:79" s="945" customFormat="1" ht="15" customHeight="1" x14ac:dyDescent="0.25">
      <c r="A54" s="5687"/>
      <c r="B54" s="5882"/>
      <c r="C54" s="946" t="s">
        <v>472</v>
      </c>
      <c r="D54" s="948">
        <v>3</v>
      </c>
      <c r="E54" s="978">
        <v>6</v>
      </c>
      <c r="F54" s="801">
        <v>3</v>
      </c>
      <c r="G54" s="947">
        <v>12</v>
      </c>
      <c r="H54" s="948">
        <v>7</v>
      </c>
      <c r="I54" s="978">
        <v>11</v>
      </c>
      <c r="J54" s="801">
        <v>6</v>
      </c>
      <c r="K54" s="947">
        <v>24</v>
      </c>
      <c r="L54" s="948">
        <v>8</v>
      </c>
      <c r="M54" s="978">
        <v>6</v>
      </c>
      <c r="N54" s="801">
        <v>5</v>
      </c>
      <c r="O54" s="947">
        <v>19</v>
      </c>
      <c r="P54" s="948">
        <v>6</v>
      </c>
      <c r="Q54" s="978">
        <v>9</v>
      </c>
      <c r="R54" s="801">
        <v>5</v>
      </c>
      <c r="S54" s="949">
        <v>20</v>
      </c>
      <c r="T54" s="948">
        <v>6</v>
      </c>
      <c r="U54" s="978">
        <v>7</v>
      </c>
      <c r="V54" s="801">
        <v>5</v>
      </c>
      <c r="W54" s="949">
        <f t="shared" si="62"/>
        <v>18</v>
      </c>
      <c r="X54" s="948">
        <v>10</v>
      </c>
      <c r="Y54" s="978">
        <v>10</v>
      </c>
      <c r="Z54" s="801">
        <v>6</v>
      </c>
      <c r="AA54" s="947">
        <f t="shared" si="63"/>
        <v>26</v>
      </c>
      <c r="AB54" s="948">
        <v>4</v>
      </c>
      <c r="AC54" s="978">
        <v>7</v>
      </c>
      <c r="AD54" s="801">
        <v>6</v>
      </c>
      <c r="AE54" s="947">
        <f t="shared" si="64"/>
        <v>17</v>
      </c>
      <c r="AF54" s="948">
        <v>10</v>
      </c>
      <c r="AG54" s="978">
        <v>18</v>
      </c>
      <c r="AH54" s="801">
        <v>8</v>
      </c>
      <c r="AI54" s="949">
        <f t="shared" si="65"/>
        <v>36</v>
      </c>
      <c r="AJ54" s="948">
        <v>13</v>
      </c>
      <c r="AK54" s="978">
        <v>10</v>
      </c>
      <c r="AL54" s="829">
        <v>6</v>
      </c>
      <c r="AM54" s="949">
        <f t="shared" si="66"/>
        <v>29</v>
      </c>
      <c r="AN54" s="948">
        <v>6</v>
      </c>
      <c r="AO54" s="978">
        <v>12</v>
      </c>
      <c r="AP54" s="829">
        <v>8</v>
      </c>
      <c r="AQ54" s="949">
        <f t="shared" si="67"/>
        <v>26</v>
      </c>
      <c r="AR54" s="952">
        <v>6</v>
      </c>
      <c r="AS54" s="950">
        <v>16</v>
      </c>
      <c r="AT54" s="950">
        <v>11</v>
      </c>
      <c r="AU54" s="951">
        <f t="shared" si="6"/>
        <v>33</v>
      </c>
      <c r="AV54" s="950">
        <v>14</v>
      </c>
      <c r="AW54" s="950">
        <v>13</v>
      </c>
      <c r="AX54" s="950">
        <v>12</v>
      </c>
      <c r="AY54" s="951">
        <f t="shared" si="7"/>
        <v>39</v>
      </c>
      <c r="AZ54" s="975">
        <v>5</v>
      </c>
      <c r="BA54" s="976">
        <v>20</v>
      </c>
      <c r="BB54" s="976">
        <v>14</v>
      </c>
      <c r="BC54" s="977">
        <v>39</v>
      </c>
      <c r="BD54" s="975">
        <v>10</v>
      </c>
      <c r="BE54" s="976">
        <v>6</v>
      </c>
      <c r="BF54" s="976">
        <v>9</v>
      </c>
      <c r="BG54" s="977">
        <f t="shared" si="8"/>
        <v>25</v>
      </c>
      <c r="BH54" s="975">
        <v>13</v>
      </c>
      <c r="BI54" s="976">
        <v>20</v>
      </c>
      <c r="BJ54" s="976">
        <v>10</v>
      </c>
      <c r="BK54" s="977">
        <f t="shared" si="68"/>
        <v>43</v>
      </c>
      <c r="BL54" s="975">
        <v>10</v>
      </c>
      <c r="BM54" s="976">
        <v>15</v>
      </c>
      <c r="BN54" s="976">
        <v>4</v>
      </c>
      <c r="BO54" s="977">
        <f t="shared" si="69"/>
        <v>29</v>
      </c>
      <c r="BP54" s="975">
        <v>12</v>
      </c>
      <c r="BQ54" s="976">
        <v>14</v>
      </c>
      <c r="BR54" s="976">
        <v>16</v>
      </c>
      <c r="BS54" s="977">
        <f t="shared" si="70"/>
        <v>42</v>
      </c>
      <c r="BT54" s="975">
        <v>12</v>
      </c>
      <c r="BU54" s="976">
        <v>17</v>
      </c>
      <c r="BV54" s="976">
        <v>11</v>
      </c>
      <c r="BW54" s="977">
        <f t="shared" si="71"/>
        <v>40</v>
      </c>
      <c r="BX54" s="975">
        <v>9</v>
      </c>
      <c r="BY54" s="976">
        <v>10</v>
      </c>
      <c r="BZ54" s="976">
        <v>9</v>
      </c>
      <c r="CA54" s="977">
        <f t="shared" si="72"/>
        <v>28</v>
      </c>
    </row>
    <row r="55" spans="1:79" s="945" customFormat="1" ht="15" customHeight="1" x14ac:dyDescent="0.25">
      <c r="A55" s="5687"/>
      <c r="B55" s="5882"/>
      <c r="C55" s="946" t="s">
        <v>458</v>
      </c>
      <c r="D55" s="800">
        <v>23</v>
      </c>
      <c r="E55" s="801">
        <v>30</v>
      </c>
      <c r="F55" s="801">
        <v>19</v>
      </c>
      <c r="G55" s="947">
        <v>72</v>
      </c>
      <c r="H55" s="800">
        <v>25</v>
      </c>
      <c r="I55" s="801">
        <v>35</v>
      </c>
      <c r="J55" s="801">
        <v>15</v>
      </c>
      <c r="K55" s="947">
        <v>75</v>
      </c>
      <c r="L55" s="800">
        <v>17</v>
      </c>
      <c r="M55" s="801">
        <v>16</v>
      </c>
      <c r="N55" s="801">
        <v>6</v>
      </c>
      <c r="O55" s="947">
        <v>39</v>
      </c>
      <c r="P55" s="800">
        <v>14</v>
      </c>
      <c r="Q55" s="801">
        <v>18</v>
      </c>
      <c r="R55" s="801">
        <v>10</v>
      </c>
      <c r="S55" s="949">
        <v>42</v>
      </c>
      <c r="T55" s="800">
        <v>13</v>
      </c>
      <c r="U55" s="801">
        <v>20</v>
      </c>
      <c r="V55" s="801">
        <v>16</v>
      </c>
      <c r="W55" s="949">
        <f t="shared" si="62"/>
        <v>49</v>
      </c>
      <c r="X55" s="800">
        <v>13</v>
      </c>
      <c r="Y55" s="801">
        <v>15</v>
      </c>
      <c r="Z55" s="801">
        <v>12</v>
      </c>
      <c r="AA55" s="947">
        <f t="shared" si="63"/>
        <v>40</v>
      </c>
      <c r="AB55" s="948">
        <v>19</v>
      </c>
      <c r="AC55" s="801">
        <v>17</v>
      </c>
      <c r="AD55" s="801">
        <v>5</v>
      </c>
      <c r="AE55" s="947">
        <f t="shared" si="64"/>
        <v>41</v>
      </c>
      <c r="AF55" s="948">
        <v>19</v>
      </c>
      <c r="AG55" s="801">
        <v>18</v>
      </c>
      <c r="AH55" s="801">
        <v>21</v>
      </c>
      <c r="AI55" s="949">
        <f t="shared" si="65"/>
        <v>58</v>
      </c>
      <c r="AJ55" s="948">
        <v>21</v>
      </c>
      <c r="AK55" s="801">
        <v>13</v>
      </c>
      <c r="AL55" s="829">
        <v>13</v>
      </c>
      <c r="AM55" s="949">
        <f t="shared" si="66"/>
        <v>47</v>
      </c>
      <c r="AN55" s="948">
        <v>10</v>
      </c>
      <c r="AO55" s="801">
        <v>11</v>
      </c>
      <c r="AP55" s="829">
        <v>10</v>
      </c>
      <c r="AQ55" s="949">
        <f t="shared" si="67"/>
        <v>31</v>
      </c>
      <c r="AR55" s="952">
        <v>19</v>
      </c>
      <c r="AS55" s="950">
        <v>25</v>
      </c>
      <c r="AT55" s="950">
        <v>3</v>
      </c>
      <c r="AU55" s="951">
        <f t="shared" si="6"/>
        <v>47</v>
      </c>
      <c r="AV55" s="950">
        <v>11</v>
      </c>
      <c r="AW55" s="950">
        <v>43</v>
      </c>
      <c r="AX55" s="950">
        <v>19</v>
      </c>
      <c r="AY55" s="951">
        <f t="shared" si="7"/>
        <v>73</v>
      </c>
      <c r="AZ55" s="975">
        <v>4</v>
      </c>
      <c r="BA55" s="976">
        <v>18</v>
      </c>
      <c r="BB55" s="976">
        <v>12</v>
      </c>
      <c r="BC55" s="977">
        <v>34</v>
      </c>
      <c r="BD55" s="975">
        <v>2</v>
      </c>
      <c r="BE55" s="976">
        <v>19</v>
      </c>
      <c r="BF55" s="976">
        <v>17</v>
      </c>
      <c r="BG55" s="977">
        <f t="shared" si="8"/>
        <v>38</v>
      </c>
      <c r="BH55" s="975">
        <v>7</v>
      </c>
      <c r="BI55" s="976">
        <v>29</v>
      </c>
      <c r="BJ55" s="976">
        <v>23</v>
      </c>
      <c r="BK55" s="977">
        <f t="shared" si="68"/>
        <v>59</v>
      </c>
      <c r="BL55" s="975">
        <v>10</v>
      </c>
      <c r="BM55" s="976">
        <v>19</v>
      </c>
      <c r="BN55" s="976">
        <v>13</v>
      </c>
      <c r="BO55" s="977">
        <f t="shared" si="69"/>
        <v>42</v>
      </c>
      <c r="BP55" s="975">
        <v>11</v>
      </c>
      <c r="BQ55" s="976">
        <v>18</v>
      </c>
      <c r="BR55" s="976">
        <v>31</v>
      </c>
      <c r="BS55" s="977">
        <f t="shared" si="70"/>
        <v>60</v>
      </c>
      <c r="BT55" s="975">
        <v>6</v>
      </c>
      <c r="BU55" s="976">
        <v>19</v>
      </c>
      <c r="BV55" s="976">
        <v>16</v>
      </c>
      <c r="BW55" s="977">
        <f t="shared" si="71"/>
        <v>41</v>
      </c>
      <c r="BX55" s="975">
        <v>8</v>
      </c>
      <c r="BY55" s="976">
        <v>35</v>
      </c>
      <c r="BZ55" s="976">
        <v>17</v>
      </c>
      <c r="CA55" s="977">
        <f t="shared" si="72"/>
        <v>60</v>
      </c>
    </row>
    <row r="56" spans="1:79" s="945" customFormat="1" ht="15" customHeight="1" x14ac:dyDescent="0.25">
      <c r="A56" s="5687"/>
      <c r="B56" s="5882"/>
      <c r="C56" s="946" t="s">
        <v>459</v>
      </c>
      <c r="D56" s="800">
        <v>14</v>
      </c>
      <c r="E56" s="801">
        <v>26</v>
      </c>
      <c r="F56" s="801">
        <v>10</v>
      </c>
      <c r="G56" s="947">
        <v>50</v>
      </c>
      <c r="H56" s="800">
        <v>11</v>
      </c>
      <c r="I56" s="801">
        <v>24</v>
      </c>
      <c r="J56" s="801">
        <v>29</v>
      </c>
      <c r="K56" s="947">
        <v>64</v>
      </c>
      <c r="L56" s="800">
        <v>33</v>
      </c>
      <c r="M56" s="801">
        <v>19</v>
      </c>
      <c r="N56" s="801">
        <v>17</v>
      </c>
      <c r="O56" s="947">
        <v>69</v>
      </c>
      <c r="P56" s="800">
        <v>17</v>
      </c>
      <c r="Q56" s="801">
        <v>23</v>
      </c>
      <c r="R56" s="801">
        <v>22</v>
      </c>
      <c r="S56" s="949">
        <v>62</v>
      </c>
      <c r="T56" s="800">
        <v>22</v>
      </c>
      <c r="U56" s="801">
        <v>21</v>
      </c>
      <c r="V56" s="801">
        <v>14</v>
      </c>
      <c r="W56" s="949">
        <f t="shared" si="62"/>
        <v>57</v>
      </c>
      <c r="X56" s="800">
        <v>17</v>
      </c>
      <c r="Y56" s="801">
        <v>16</v>
      </c>
      <c r="Z56" s="801">
        <v>19</v>
      </c>
      <c r="AA56" s="947">
        <f t="shared" si="63"/>
        <v>52</v>
      </c>
      <c r="AB56" s="948">
        <v>21</v>
      </c>
      <c r="AC56" s="801">
        <v>14</v>
      </c>
      <c r="AD56" s="801">
        <v>15</v>
      </c>
      <c r="AE56" s="947">
        <f t="shared" si="64"/>
        <v>50</v>
      </c>
      <c r="AF56" s="948">
        <v>7</v>
      </c>
      <c r="AG56" s="801">
        <v>18</v>
      </c>
      <c r="AH56" s="801">
        <v>17</v>
      </c>
      <c r="AI56" s="949">
        <f t="shared" si="65"/>
        <v>42</v>
      </c>
      <c r="AJ56" s="948">
        <v>17</v>
      </c>
      <c r="AK56" s="801">
        <v>14</v>
      </c>
      <c r="AL56" s="829">
        <v>9</v>
      </c>
      <c r="AM56" s="949">
        <f t="shared" si="66"/>
        <v>40</v>
      </c>
      <c r="AN56" s="948">
        <v>10</v>
      </c>
      <c r="AO56" s="801">
        <v>13</v>
      </c>
      <c r="AP56" s="829">
        <v>12</v>
      </c>
      <c r="AQ56" s="949">
        <f t="shared" si="67"/>
        <v>35</v>
      </c>
      <c r="AR56" s="952">
        <v>6</v>
      </c>
      <c r="AS56" s="950">
        <v>14</v>
      </c>
      <c r="AT56" s="950">
        <v>8</v>
      </c>
      <c r="AU56" s="951">
        <f t="shared" si="6"/>
        <v>28</v>
      </c>
      <c r="AV56" s="950">
        <v>17</v>
      </c>
      <c r="AW56" s="950">
        <v>15</v>
      </c>
      <c r="AX56" s="950">
        <v>16</v>
      </c>
      <c r="AY56" s="951">
        <f t="shared" si="7"/>
        <v>48</v>
      </c>
      <c r="AZ56" s="975">
        <v>3</v>
      </c>
      <c r="BA56" s="976">
        <v>13</v>
      </c>
      <c r="BB56" s="976">
        <v>22</v>
      </c>
      <c r="BC56" s="977">
        <v>38</v>
      </c>
      <c r="BD56" s="975">
        <v>9</v>
      </c>
      <c r="BE56" s="976">
        <v>7</v>
      </c>
      <c r="BF56" s="976">
        <v>11</v>
      </c>
      <c r="BG56" s="977">
        <f t="shared" si="8"/>
        <v>27</v>
      </c>
      <c r="BH56" s="975">
        <v>15</v>
      </c>
      <c r="BI56" s="976">
        <v>12</v>
      </c>
      <c r="BJ56" s="976">
        <v>19</v>
      </c>
      <c r="BK56" s="977">
        <f t="shared" si="68"/>
        <v>46</v>
      </c>
      <c r="BL56" s="975">
        <v>11</v>
      </c>
      <c r="BM56" s="976">
        <v>16</v>
      </c>
      <c r="BN56" s="976">
        <v>25</v>
      </c>
      <c r="BO56" s="977">
        <f t="shared" si="69"/>
        <v>52</v>
      </c>
      <c r="BP56" s="975">
        <v>11</v>
      </c>
      <c r="BQ56" s="976">
        <v>12</v>
      </c>
      <c r="BR56" s="976">
        <v>18</v>
      </c>
      <c r="BS56" s="977">
        <f t="shared" si="70"/>
        <v>41</v>
      </c>
      <c r="BT56" s="975">
        <v>10</v>
      </c>
      <c r="BU56" s="976">
        <v>16</v>
      </c>
      <c r="BV56" s="976">
        <v>14</v>
      </c>
      <c r="BW56" s="977">
        <f t="shared" si="71"/>
        <v>40</v>
      </c>
      <c r="BX56" s="975">
        <v>15</v>
      </c>
      <c r="BY56" s="976">
        <v>17</v>
      </c>
      <c r="BZ56" s="976">
        <v>16</v>
      </c>
      <c r="CA56" s="977">
        <f t="shared" si="72"/>
        <v>48</v>
      </c>
    </row>
    <row r="57" spans="1:79" s="945" customFormat="1" ht="15" customHeight="1" x14ac:dyDescent="0.25">
      <c r="A57" s="5687"/>
      <c r="B57" s="5882"/>
      <c r="C57" s="946" t="s">
        <v>473</v>
      </c>
      <c r="D57" s="800">
        <v>3</v>
      </c>
      <c r="E57" s="801">
        <v>4</v>
      </c>
      <c r="F57" s="801">
        <v>4</v>
      </c>
      <c r="G57" s="947">
        <v>11</v>
      </c>
      <c r="H57" s="800">
        <v>12</v>
      </c>
      <c r="I57" s="801">
        <v>17</v>
      </c>
      <c r="J57" s="801">
        <v>10</v>
      </c>
      <c r="K57" s="947">
        <v>39</v>
      </c>
      <c r="L57" s="800">
        <v>8</v>
      </c>
      <c r="M57" s="801">
        <v>11</v>
      </c>
      <c r="N57" s="801">
        <v>10</v>
      </c>
      <c r="O57" s="947">
        <v>29</v>
      </c>
      <c r="P57" s="800">
        <v>17</v>
      </c>
      <c r="Q57" s="801">
        <v>7</v>
      </c>
      <c r="R57" s="801">
        <v>9</v>
      </c>
      <c r="S57" s="949">
        <v>33</v>
      </c>
      <c r="T57" s="800">
        <v>16</v>
      </c>
      <c r="U57" s="801">
        <v>13</v>
      </c>
      <c r="V57" s="801">
        <v>11</v>
      </c>
      <c r="W57" s="949">
        <f t="shared" si="62"/>
        <v>40</v>
      </c>
      <c r="X57" s="800">
        <v>10</v>
      </c>
      <c r="Y57" s="801">
        <v>15</v>
      </c>
      <c r="Z57" s="801">
        <v>12</v>
      </c>
      <c r="AA57" s="947">
        <f t="shared" si="63"/>
        <v>37</v>
      </c>
      <c r="AB57" s="948">
        <v>20</v>
      </c>
      <c r="AC57" s="801">
        <v>12</v>
      </c>
      <c r="AD57" s="801">
        <v>4</v>
      </c>
      <c r="AE57" s="947">
        <f t="shared" si="64"/>
        <v>36</v>
      </c>
      <c r="AF57" s="948">
        <v>19</v>
      </c>
      <c r="AG57" s="801">
        <v>14</v>
      </c>
      <c r="AH57" s="801">
        <v>10</v>
      </c>
      <c r="AI57" s="949">
        <f t="shared" si="65"/>
        <v>43</v>
      </c>
      <c r="AJ57" s="948">
        <v>6</v>
      </c>
      <c r="AK57" s="801">
        <v>13</v>
      </c>
      <c r="AL57" s="829">
        <v>13</v>
      </c>
      <c r="AM57" s="949">
        <f t="shared" si="66"/>
        <v>32</v>
      </c>
      <c r="AN57" s="948">
        <v>12</v>
      </c>
      <c r="AO57" s="801">
        <v>14</v>
      </c>
      <c r="AP57" s="829">
        <v>7</v>
      </c>
      <c r="AQ57" s="949">
        <f t="shared" si="67"/>
        <v>33</v>
      </c>
      <c r="AR57" s="952">
        <v>11</v>
      </c>
      <c r="AS57" s="950">
        <v>16</v>
      </c>
      <c r="AT57" s="950">
        <v>6</v>
      </c>
      <c r="AU57" s="951">
        <f t="shared" si="6"/>
        <v>33</v>
      </c>
      <c r="AV57" s="950">
        <v>6</v>
      </c>
      <c r="AW57" s="950">
        <v>24</v>
      </c>
      <c r="AX57" s="950">
        <v>6</v>
      </c>
      <c r="AY57" s="951">
        <f t="shared" si="7"/>
        <v>36</v>
      </c>
      <c r="AZ57" s="975">
        <v>8</v>
      </c>
      <c r="BA57" s="976">
        <v>6</v>
      </c>
      <c r="BB57" s="976">
        <v>11</v>
      </c>
      <c r="BC57" s="977">
        <v>25</v>
      </c>
      <c r="BD57" s="975">
        <v>8</v>
      </c>
      <c r="BE57" s="976">
        <v>16</v>
      </c>
      <c r="BF57" s="976">
        <v>11</v>
      </c>
      <c r="BG57" s="977">
        <f t="shared" si="8"/>
        <v>35</v>
      </c>
      <c r="BH57" s="975">
        <v>5</v>
      </c>
      <c r="BI57" s="976">
        <v>16</v>
      </c>
      <c r="BJ57" s="976">
        <v>13</v>
      </c>
      <c r="BK57" s="977">
        <f t="shared" si="68"/>
        <v>34</v>
      </c>
      <c r="BL57" s="975">
        <v>10</v>
      </c>
      <c r="BM57" s="976">
        <v>11</v>
      </c>
      <c r="BN57" s="976">
        <v>14</v>
      </c>
      <c r="BO57" s="977">
        <f t="shared" si="69"/>
        <v>35</v>
      </c>
      <c r="BP57" s="975">
        <v>8</v>
      </c>
      <c r="BQ57" s="976">
        <v>19</v>
      </c>
      <c r="BR57" s="976">
        <v>13</v>
      </c>
      <c r="BS57" s="977">
        <f t="shared" si="70"/>
        <v>40</v>
      </c>
      <c r="BT57" s="975">
        <v>7</v>
      </c>
      <c r="BU57" s="976">
        <v>9</v>
      </c>
      <c r="BV57" s="976">
        <v>14</v>
      </c>
      <c r="BW57" s="977">
        <f t="shared" si="71"/>
        <v>30</v>
      </c>
      <c r="BX57" s="975">
        <v>13</v>
      </c>
      <c r="BY57" s="976">
        <v>7</v>
      </c>
      <c r="BZ57" s="976">
        <v>13</v>
      </c>
      <c r="CA57" s="977">
        <f t="shared" si="72"/>
        <v>33</v>
      </c>
    </row>
    <row r="58" spans="1:79" s="945" customFormat="1" ht="15" customHeight="1" x14ac:dyDescent="0.25">
      <c r="A58" s="5687"/>
      <c r="B58" s="5882"/>
      <c r="C58" s="946" t="s">
        <v>474</v>
      </c>
      <c r="D58" s="800">
        <v>2</v>
      </c>
      <c r="E58" s="801">
        <v>1</v>
      </c>
      <c r="F58" s="801">
        <v>3</v>
      </c>
      <c r="G58" s="947">
        <v>6</v>
      </c>
      <c r="H58" s="800">
        <v>2</v>
      </c>
      <c r="I58" s="801">
        <v>2</v>
      </c>
      <c r="J58" s="801">
        <v>1</v>
      </c>
      <c r="K58" s="947">
        <v>5</v>
      </c>
      <c r="L58" s="800">
        <v>0</v>
      </c>
      <c r="M58" s="801">
        <v>1</v>
      </c>
      <c r="N58" s="801">
        <v>2</v>
      </c>
      <c r="O58" s="947">
        <v>3</v>
      </c>
      <c r="P58" s="800">
        <v>7</v>
      </c>
      <c r="Q58" s="801">
        <v>1</v>
      </c>
      <c r="R58" s="801">
        <v>2</v>
      </c>
      <c r="S58" s="949">
        <v>10</v>
      </c>
      <c r="T58" s="800">
        <v>1</v>
      </c>
      <c r="U58" s="801">
        <v>7</v>
      </c>
      <c r="V58" s="801">
        <v>3</v>
      </c>
      <c r="W58" s="949">
        <f t="shared" si="62"/>
        <v>11</v>
      </c>
      <c r="X58" s="800">
        <v>2</v>
      </c>
      <c r="Y58" s="801">
        <v>6</v>
      </c>
      <c r="Z58" s="801">
        <v>6</v>
      </c>
      <c r="AA58" s="947">
        <f t="shared" si="63"/>
        <v>14</v>
      </c>
      <c r="AB58" s="948">
        <v>3</v>
      </c>
      <c r="AC58" s="801">
        <v>5</v>
      </c>
      <c r="AD58" s="801">
        <v>2</v>
      </c>
      <c r="AE58" s="947">
        <f t="shared" si="64"/>
        <v>10</v>
      </c>
      <c r="AF58" s="948" t="s">
        <v>227</v>
      </c>
      <c r="AG58" s="801">
        <v>7</v>
      </c>
      <c r="AH58" s="801">
        <v>3</v>
      </c>
      <c r="AI58" s="949">
        <f t="shared" si="65"/>
        <v>10</v>
      </c>
      <c r="AJ58" s="948">
        <v>1</v>
      </c>
      <c r="AK58" s="801">
        <v>6</v>
      </c>
      <c r="AL58" s="829">
        <v>5</v>
      </c>
      <c r="AM58" s="949">
        <f t="shared" si="66"/>
        <v>12</v>
      </c>
      <c r="AN58" s="948">
        <v>1</v>
      </c>
      <c r="AO58" s="801">
        <v>14</v>
      </c>
      <c r="AP58" s="829">
        <v>2</v>
      </c>
      <c r="AQ58" s="949">
        <f t="shared" si="67"/>
        <v>17</v>
      </c>
      <c r="AR58" s="952" t="s">
        <v>227</v>
      </c>
      <c r="AS58" s="950">
        <v>13</v>
      </c>
      <c r="AT58" s="950">
        <v>1</v>
      </c>
      <c r="AU58" s="951">
        <f t="shared" si="6"/>
        <v>14</v>
      </c>
      <c r="AV58" s="950">
        <v>3</v>
      </c>
      <c r="AW58" s="950">
        <v>7</v>
      </c>
      <c r="AX58" s="950" t="s">
        <v>227</v>
      </c>
      <c r="AY58" s="951">
        <f t="shared" si="7"/>
        <v>10</v>
      </c>
      <c r="AZ58" s="975">
        <v>2</v>
      </c>
      <c r="BA58" s="976">
        <v>5</v>
      </c>
      <c r="BB58" s="976">
        <v>6</v>
      </c>
      <c r="BC58" s="977">
        <v>13</v>
      </c>
      <c r="BD58" s="975">
        <v>5</v>
      </c>
      <c r="BE58" s="976">
        <v>7</v>
      </c>
      <c r="BF58" s="976">
        <v>5</v>
      </c>
      <c r="BG58" s="977">
        <f t="shared" si="8"/>
        <v>17</v>
      </c>
      <c r="BH58" s="975">
        <v>3</v>
      </c>
      <c r="BI58" s="976">
        <v>8</v>
      </c>
      <c r="BJ58" s="976">
        <v>5</v>
      </c>
      <c r="BK58" s="977">
        <f t="shared" si="68"/>
        <v>16</v>
      </c>
      <c r="BL58" s="975">
        <v>4</v>
      </c>
      <c r="BM58" s="976">
        <v>6</v>
      </c>
      <c r="BN58" s="976">
        <v>3</v>
      </c>
      <c r="BO58" s="977">
        <f t="shared" si="69"/>
        <v>13</v>
      </c>
      <c r="BP58" s="975">
        <v>6</v>
      </c>
      <c r="BQ58" s="976">
        <v>9</v>
      </c>
      <c r="BR58" s="976">
        <v>6</v>
      </c>
      <c r="BS58" s="977">
        <f t="shared" si="70"/>
        <v>21</v>
      </c>
      <c r="BT58" s="975">
        <v>7</v>
      </c>
      <c r="BU58" s="976">
        <v>13</v>
      </c>
      <c r="BV58" s="976">
        <v>1</v>
      </c>
      <c r="BW58" s="977">
        <f t="shared" si="71"/>
        <v>21</v>
      </c>
      <c r="BX58" s="975">
        <v>3</v>
      </c>
      <c r="BY58" s="976">
        <v>11</v>
      </c>
      <c r="BZ58" s="976">
        <v>9</v>
      </c>
      <c r="CA58" s="977">
        <f t="shared" si="72"/>
        <v>23</v>
      </c>
    </row>
    <row r="59" spans="1:79" s="945" customFormat="1" ht="15" customHeight="1" x14ac:dyDescent="0.25">
      <c r="A59" s="5687"/>
      <c r="B59" s="5882"/>
      <c r="C59" s="946" t="s">
        <v>475</v>
      </c>
      <c r="D59" s="800">
        <v>29</v>
      </c>
      <c r="E59" s="801">
        <v>36</v>
      </c>
      <c r="F59" s="801">
        <v>28</v>
      </c>
      <c r="G59" s="947">
        <v>93</v>
      </c>
      <c r="H59" s="800">
        <v>16</v>
      </c>
      <c r="I59" s="801">
        <v>16</v>
      </c>
      <c r="J59" s="801">
        <v>14</v>
      </c>
      <c r="K59" s="947">
        <v>46</v>
      </c>
      <c r="L59" s="800">
        <v>15</v>
      </c>
      <c r="M59" s="801">
        <v>23</v>
      </c>
      <c r="N59" s="801">
        <v>7</v>
      </c>
      <c r="O59" s="947">
        <v>45</v>
      </c>
      <c r="P59" s="800">
        <v>14</v>
      </c>
      <c r="Q59" s="801">
        <v>30</v>
      </c>
      <c r="R59" s="801">
        <v>28</v>
      </c>
      <c r="S59" s="949">
        <v>72</v>
      </c>
      <c r="T59" s="800">
        <v>34</v>
      </c>
      <c r="U59" s="801">
        <v>25</v>
      </c>
      <c r="V59" s="801">
        <v>14</v>
      </c>
      <c r="W59" s="949">
        <f t="shared" si="62"/>
        <v>73</v>
      </c>
      <c r="X59" s="800">
        <v>21</v>
      </c>
      <c r="Y59" s="801">
        <v>31</v>
      </c>
      <c r="Z59" s="801">
        <v>13</v>
      </c>
      <c r="AA59" s="947">
        <f t="shared" si="63"/>
        <v>65</v>
      </c>
      <c r="AB59" s="948">
        <v>12</v>
      </c>
      <c r="AC59" s="801">
        <v>26</v>
      </c>
      <c r="AD59" s="801">
        <v>12</v>
      </c>
      <c r="AE59" s="947">
        <f t="shared" si="64"/>
        <v>50</v>
      </c>
      <c r="AF59" s="948">
        <v>19</v>
      </c>
      <c r="AG59" s="801">
        <v>24</v>
      </c>
      <c r="AH59" s="801">
        <v>6</v>
      </c>
      <c r="AI59" s="949">
        <f t="shared" si="65"/>
        <v>49</v>
      </c>
      <c r="AJ59" s="948">
        <v>17</v>
      </c>
      <c r="AK59" s="801">
        <v>20</v>
      </c>
      <c r="AL59" s="829">
        <v>13</v>
      </c>
      <c r="AM59" s="949">
        <f t="shared" si="66"/>
        <v>50</v>
      </c>
      <c r="AN59" s="948">
        <v>15</v>
      </c>
      <c r="AO59" s="801">
        <v>14</v>
      </c>
      <c r="AP59" s="829">
        <v>6</v>
      </c>
      <c r="AQ59" s="949">
        <f t="shared" si="67"/>
        <v>35</v>
      </c>
      <c r="AR59" s="952">
        <v>8</v>
      </c>
      <c r="AS59" s="950">
        <v>12</v>
      </c>
      <c r="AT59" s="950">
        <v>13</v>
      </c>
      <c r="AU59" s="951">
        <f t="shared" si="6"/>
        <v>33</v>
      </c>
      <c r="AV59" s="950">
        <v>14</v>
      </c>
      <c r="AW59" s="950">
        <v>25</v>
      </c>
      <c r="AX59" s="950">
        <v>5</v>
      </c>
      <c r="AY59" s="951">
        <f t="shared" si="7"/>
        <v>44</v>
      </c>
      <c r="AZ59" s="975">
        <v>13</v>
      </c>
      <c r="BA59" s="976">
        <v>24</v>
      </c>
      <c r="BB59" s="976">
        <v>7</v>
      </c>
      <c r="BC59" s="977">
        <v>44</v>
      </c>
      <c r="BD59" s="975">
        <v>15</v>
      </c>
      <c r="BE59" s="976">
        <v>20</v>
      </c>
      <c r="BF59" s="976">
        <v>20</v>
      </c>
      <c r="BG59" s="977">
        <f t="shared" si="8"/>
        <v>55</v>
      </c>
      <c r="BH59" s="975">
        <v>16</v>
      </c>
      <c r="BI59" s="976">
        <v>40</v>
      </c>
      <c r="BJ59" s="976">
        <v>22</v>
      </c>
      <c r="BK59" s="977">
        <f t="shared" si="68"/>
        <v>78</v>
      </c>
      <c r="BL59" s="975">
        <v>21</v>
      </c>
      <c r="BM59" s="976">
        <v>13</v>
      </c>
      <c r="BN59" s="976">
        <v>18</v>
      </c>
      <c r="BO59" s="977">
        <f t="shared" si="69"/>
        <v>52</v>
      </c>
      <c r="BP59" s="975">
        <v>19</v>
      </c>
      <c r="BQ59" s="976">
        <v>18</v>
      </c>
      <c r="BR59" s="976">
        <v>21</v>
      </c>
      <c r="BS59" s="977">
        <f t="shared" si="70"/>
        <v>58</v>
      </c>
      <c r="BT59" s="975">
        <v>14</v>
      </c>
      <c r="BU59" s="976">
        <v>11</v>
      </c>
      <c r="BV59" s="976">
        <v>11</v>
      </c>
      <c r="BW59" s="977">
        <f t="shared" si="71"/>
        <v>36</v>
      </c>
      <c r="BX59" s="975">
        <v>22</v>
      </c>
      <c r="BY59" s="976">
        <v>18</v>
      </c>
      <c r="BZ59" s="976">
        <v>21</v>
      </c>
      <c r="CA59" s="977">
        <f t="shared" si="72"/>
        <v>61</v>
      </c>
    </row>
    <row r="60" spans="1:79" s="945" customFormat="1" ht="15" customHeight="1" x14ac:dyDescent="0.25">
      <c r="A60" s="5687"/>
      <c r="B60" s="5882"/>
      <c r="C60" s="946" t="s">
        <v>476</v>
      </c>
      <c r="D60" s="800">
        <v>48</v>
      </c>
      <c r="E60" s="801">
        <v>41</v>
      </c>
      <c r="F60" s="801">
        <v>7</v>
      </c>
      <c r="G60" s="947">
        <v>96</v>
      </c>
      <c r="H60" s="800">
        <v>12</v>
      </c>
      <c r="I60" s="801">
        <v>27</v>
      </c>
      <c r="J60" s="801">
        <v>7</v>
      </c>
      <c r="K60" s="947">
        <v>46</v>
      </c>
      <c r="L60" s="800">
        <v>18</v>
      </c>
      <c r="M60" s="801">
        <v>50</v>
      </c>
      <c r="N60" s="801">
        <v>7</v>
      </c>
      <c r="O60" s="947">
        <v>75</v>
      </c>
      <c r="P60" s="800">
        <v>52</v>
      </c>
      <c r="Q60" s="801">
        <v>47</v>
      </c>
      <c r="R60" s="801">
        <v>4</v>
      </c>
      <c r="S60" s="949">
        <v>103</v>
      </c>
      <c r="T60" s="800">
        <v>44</v>
      </c>
      <c r="U60" s="801">
        <v>43</v>
      </c>
      <c r="V60" s="801">
        <v>4</v>
      </c>
      <c r="W60" s="949">
        <f t="shared" si="62"/>
        <v>91</v>
      </c>
      <c r="X60" s="800">
        <v>47</v>
      </c>
      <c r="Y60" s="801">
        <v>43</v>
      </c>
      <c r="Z60" s="801">
        <v>12</v>
      </c>
      <c r="AA60" s="947">
        <f t="shared" si="63"/>
        <v>102</v>
      </c>
      <c r="AB60" s="948">
        <v>47</v>
      </c>
      <c r="AC60" s="801">
        <v>38</v>
      </c>
      <c r="AD60" s="801">
        <v>4</v>
      </c>
      <c r="AE60" s="947">
        <f t="shared" si="64"/>
        <v>89</v>
      </c>
      <c r="AF60" s="948">
        <v>33</v>
      </c>
      <c r="AG60" s="801">
        <v>45</v>
      </c>
      <c r="AH60" s="801">
        <v>2</v>
      </c>
      <c r="AI60" s="949">
        <f t="shared" si="65"/>
        <v>80</v>
      </c>
      <c r="AJ60" s="948">
        <v>31</v>
      </c>
      <c r="AK60" s="801">
        <v>57</v>
      </c>
      <c r="AL60" s="829">
        <v>2</v>
      </c>
      <c r="AM60" s="949">
        <f t="shared" si="66"/>
        <v>90</v>
      </c>
      <c r="AN60" s="948">
        <v>33</v>
      </c>
      <c r="AO60" s="801">
        <v>43</v>
      </c>
      <c r="AP60" s="829">
        <v>3</v>
      </c>
      <c r="AQ60" s="949">
        <f t="shared" si="67"/>
        <v>79</v>
      </c>
      <c r="AR60" s="952">
        <v>56</v>
      </c>
      <c r="AS60" s="950">
        <v>56</v>
      </c>
      <c r="AT60" s="950">
        <v>10</v>
      </c>
      <c r="AU60" s="951">
        <f t="shared" si="6"/>
        <v>122</v>
      </c>
      <c r="AV60" s="950">
        <v>58</v>
      </c>
      <c r="AW60" s="950">
        <v>32</v>
      </c>
      <c r="AX60" s="950">
        <v>3</v>
      </c>
      <c r="AY60" s="951">
        <f t="shared" si="7"/>
        <v>93</v>
      </c>
      <c r="AZ60" s="975">
        <v>55</v>
      </c>
      <c r="BA60" s="976">
        <v>37</v>
      </c>
      <c r="BB60" s="976">
        <v>13</v>
      </c>
      <c r="BC60" s="977">
        <v>105</v>
      </c>
      <c r="BD60" s="975">
        <v>80</v>
      </c>
      <c r="BE60" s="976">
        <v>54</v>
      </c>
      <c r="BF60" s="976">
        <v>15</v>
      </c>
      <c r="BG60" s="977">
        <f t="shared" si="8"/>
        <v>149</v>
      </c>
      <c r="BH60" s="975">
        <v>49</v>
      </c>
      <c r="BI60" s="976">
        <v>59</v>
      </c>
      <c r="BJ60" s="976">
        <v>12</v>
      </c>
      <c r="BK60" s="977">
        <f t="shared" si="68"/>
        <v>120</v>
      </c>
      <c r="BL60" s="975">
        <v>76</v>
      </c>
      <c r="BM60" s="976">
        <v>43</v>
      </c>
      <c r="BN60" s="976">
        <v>3</v>
      </c>
      <c r="BO60" s="977">
        <f t="shared" si="69"/>
        <v>122</v>
      </c>
      <c r="BP60" s="975">
        <v>47</v>
      </c>
      <c r="BQ60" s="976">
        <v>39</v>
      </c>
      <c r="BR60" s="976">
        <v>2</v>
      </c>
      <c r="BS60" s="977">
        <f t="shared" si="70"/>
        <v>88</v>
      </c>
      <c r="BT60" s="975">
        <v>45</v>
      </c>
      <c r="BU60" s="976">
        <v>83</v>
      </c>
      <c r="BV60" s="976">
        <v>9</v>
      </c>
      <c r="BW60" s="977">
        <f t="shared" si="71"/>
        <v>137</v>
      </c>
      <c r="BX60" s="975">
        <v>40</v>
      </c>
      <c r="BY60" s="976">
        <v>62</v>
      </c>
      <c r="BZ60" s="976">
        <v>4</v>
      </c>
      <c r="CA60" s="977">
        <f t="shared" si="72"/>
        <v>106</v>
      </c>
    </row>
    <row r="61" spans="1:79" s="945" customFormat="1" ht="15" customHeight="1" x14ac:dyDescent="0.25">
      <c r="A61" s="5687"/>
      <c r="B61" s="5882"/>
      <c r="C61" s="953" t="s">
        <v>477</v>
      </c>
      <c r="D61" s="809">
        <v>0</v>
      </c>
      <c r="E61" s="810">
        <v>0</v>
      </c>
      <c r="F61" s="810">
        <v>0</v>
      </c>
      <c r="G61" s="954">
        <v>0</v>
      </c>
      <c r="H61" s="809">
        <v>0</v>
      </c>
      <c r="I61" s="810">
        <v>0</v>
      </c>
      <c r="J61" s="810">
        <v>0</v>
      </c>
      <c r="K61" s="954">
        <v>0</v>
      </c>
      <c r="L61" s="809">
        <v>0</v>
      </c>
      <c r="M61" s="810">
        <v>0</v>
      </c>
      <c r="N61" s="810">
        <v>0</v>
      </c>
      <c r="O61" s="954">
        <v>0</v>
      </c>
      <c r="P61" s="809">
        <v>0</v>
      </c>
      <c r="Q61" s="810">
        <v>0</v>
      </c>
      <c r="R61" s="810">
        <v>0</v>
      </c>
      <c r="S61" s="956">
        <v>0</v>
      </c>
      <c r="T61" s="809" t="s">
        <v>227</v>
      </c>
      <c r="U61" s="810" t="s">
        <v>227</v>
      </c>
      <c r="V61" s="810" t="s">
        <v>227</v>
      </c>
      <c r="W61" s="956">
        <f t="shared" si="62"/>
        <v>0</v>
      </c>
      <c r="X61" s="809" t="s">
        <v>227</v>
      </c>
      <c r="Y61" s="810" t="s">
        <v>227</v>
      </c>
      <c r="Z61" s="810" t="s">
        <v>227</v>
      </c>
      <c r="AA61" s="954">
        <f t="shared" si="63"/>
        <v>0</v>
      </c>
      <c r="AB61" s="955" t="s">
        <v>227</v>
      </c>
      <c r="AC61" s="810" t="s">
        <v>227</v>
      </c>
      <c r="AD61" s="810" t="s">
        <v>227</v>
      </c>
      <c r="AE61" s="954">
        <f t="shared" si="64"/>
        <v>0</v>
      </c>
      <c r="AF61" s="955" t="s">
        <v>227</v>
      </c>
      <c r="AG61" s="810">
        <v>1</v>
      </c>
      <c r="AH61" s="810">
        <v>2</v>
      </c>
      <c r="AI61" s="956">
        <f t="shared" si="65"/>
        <v>3</v>
      </c>
      <c r="AJ61" s="955">
        <v>1</v>
      </c>
      <c r="AK61" s="810">
        <v>1</v>
      </c>
      <c r="AL61" s="853">
        <v>4</v>
      </c>
      <c r="AM61" s="956">
        <f t="shared" si="66"/>
        <v>6</v>
      </c>
      <c r="AN61" s="955">
        <v>1</v>
      </c>
      <c r="AO61" s="810">
        <v>3</v>
      </c>
      <c r="AP61" s="853">
        <v>4</v>
      </c>
      <c r="AQ61" s="956">
        <f t="shared" si="67"/>
        <v>8</v>
      </c>
      <c r="AR61" s="959">
        <v>3</v>
      </c>
      <c r="AS61" s="957">
        <v>1</v>
      </c>
      <c r="AT61" s="957">
        <v>2</v>
      </c>
      <c r="AU61" s="958">
        <f t="shared" si="6"/>
        <v>6</v>
      </c>
      <c r="AV61" s="957">
        <v>1</v>
      </c>
      <c r="AW61" s="957">
        <v>1</v>
      </c>
      <c r="AX61" s="957">
        <v>1</v>
      </c>
      <c r="AY61" s="958">
        <f t="shared" si="7"/>
        <v>3</v>
      </c>
      <c r="AZ61" s="959">
        <v>3</v>
      </c>
      <c r="BA61" s="957">
        <v>1</v>
      </c>
      <c r="BB61" s="957"/>
      <c r="BC61" s="958">
        <v>4</v>
      </c>
      <c r="BD61" s="959">
        <v>2</v>
      </c>
      <c r="BE61" s="957">
        <v>3</v>
      </c>
      <c r="BF61" s="957">
        <v>2</v>
      </c>
      <c r="BG61" s="958">
        <f t="shared" si="8"/>
        <v>7</v>
      </c>
      <c r="BH61" s="959">
        <v>1</v>
      </c>
      <c r="BI61" s="957">
        <v>2</v>
      </c>
      <c r="BJ61" s="957">
        <v>4</v>
      </c>
      <c r="BK61" s="958">
        <f t="shared" si="68"/>
        <v>7</v>
      </c>
      <c r="BL61" s="959">
        <v>2</v>
      </c>
      <c r="BM61" s="957">
        <v>3</v>
      </c>
      <c r="BN61" s="957">
        <v>3</v>
      </c>
      <c r="BO61" s="958">
        <f t="shared" si="69"/>
        <v>8</v>
      </c>
      <c r="BP61" s="959">
        <v>1</v>
      </c>
      <c r="BQ61" s="957">
        <v>5</v>
      </c>
      <c r="BR61" s="957">
        <v>5</v>
      </c>
      <c r="BS61" s="958">
        <f t="shared" si="70"/>
        <v>11</v>
      </c>
      <c r="BT61" s="959">
        <v>3</v>
      </c>
      <c r="BU61" s="957">
        <v>4</v>
      </c>
      <c r="BV61" s="957">
        <v>4</v>
      </c>
      <c r="BW61" s="958">
        <f t="shared" si="71"/>
        <v>11</v>
      </c>
      <c r="BX61" s="959">
        <v>6</v>
      </c>
      <c r="BY61" s="957">
        <v>8</v>
      </c>
      <c r="BZ61" s="957">
        <v>2</v>
      </c>
      <c r="CA61" s="958">
        <f t="shared" si="72"/>
        <v>16</v>
      </c>
    </row>
    <row r="62" spans="1:79" s="945" customFormat="1" ht="15" customHeight="1" x14ac:dyDescent="0.25">
      <c r="A62" s="5687"/>
      <c r="B62" s="5883"/>
      <c r="C62" s="960" t="s">
        <v>160</v>
      </c>
      <c r="D62" s="961">
        <v>187</v>
      </c>
      <c r="E62" s="962">
        <v>227</v>
      </c>
      <c r="F62" s="962">
        <v>126</v>
      </c>
      <c r="G62" s="963">
        <v>540</v>
      </c>
      <c r="H62" s="961">
        <v>146</v>
      </c>
      <c r="I62" s="962">
        <v>202</v>
      </c>
      <c r="J62" s="962">
        <v>150</v>
      </c>
      <c r="K62" s="963">
        <v>498</v>
      </c>
      <c r="L62" s="961">
        <v>179</v>
      </c>
      <c r="M62" s="962">
        <v>183</v>
      </c>
      <c r="N62" s="962">
        <v>106</v>
      </c>
      <c r="O62" s="963">
        <v>468</v>
      </c>
      <c r="P62" s="961">
        <v>196</v>
      </c>
      <c r="Q62" s="962">
        <v>200</v>
      </c>
      <c r="R62" s="962">
        <v>146</v>
      </c>
      <c r="S62" s="963">
        <v>542</v>
      </c>
      <c r="T62" s="961">
        <f t="shared" ref="T62:BC62" si="73">SUM(T51:T61)</f>
        <v>193</v>
      </c>
      <c r="U62" s="962">
        <f t="shared" si="73"/>
        <v>201</v>
      </c>
      <c r="V62" s="962">
        <f t="shared" si="73"/>
        <v>124</v>
      </c>
      <c r="W62" s="963">
        <f t="shared" si="73"/>
        <v>518</v>
      </c>
      <c r="X62" s="961">
        <f t="shared" si="73"/>
        <v>198</v>
      </c>
      <c r="Y62" s="962">
        <f t="shared" si="73"/>
        <v>208</v>
      </c>
      <c r="Z62" s="962">
        <f t="shared" si="73"/>
        <v>155</v>
      </c>
      <c r="AA62" s="963">
        <f t="shared" si="73"/>
        <v>561</v>
      </c>
      <c r="AB62" s="961">
        <f t="shared" si="73"/>
        <v>218</v>
      </c>
      <c r="AC62" s="962">
        <f t="shared" si="73"/>
        <v>183</v>
      </c>
      <c r="AD62" s="962">
        <f t="shared" si="73"/>
        <v>110</v>
      </c>
      <c r="AE62" s="963">
        <f t="shared" si="73"/>
        <v>511</v>
      </c>
      <c r="AF62" s="961">
        <f t="shared" si="73"/>
        <v>153</v>
      </c>
      <c r="AG62" s="962">
        <f t="shared" si="73"/>
        <v>217</v>
      </c>
      <c r="AH62" s="962">
        <f t="shared" si="73"/>
        <v>131</v>
      </c>
      <c r="AI62" s="963">
        <f t="shared" si="73"/>
        <v>501</v>
      </c>
      <c r="AJ62" s="961">
        <f t="shared" si="73"/>
        <v>177</v>
      </c>
      <c r="AK62" s="962">
        <f t="shared" si="73"/>
        <v>181</v>
      </c>
      <c r="AL62" s="962">
        <f t="shared" si="73"/>
        <v>111</v>
      </c>
      <c r="AM62" s="963">
        <f t="shared" si="73"/>
        <v>469</v>
      </c>
      <c r="AN62" s="961">
        <f t="shared" si="73"/>
        <v>157</v>
      </c>
      <c r="AO62" s="962">
        <f t="shared" si="73"/>
        <v>184</v>
      </c>
      <c r="AP62" s="962">
        <f t="shared" si="73"/>
        <v>95</v>
      </c>
      <c r="AQ62" s="963">
        <f t="shared" si="73"/>
        <v>436</v>
      </c>
      <c r="AR62" s="961">
        <f t="shared" si="73"/>
        <v>172</v>
      </c>
      <c r="AS62" s="962">
        <f t="shared" si="73"/>
        <v>216</v>
      </c>
      <c r="AT62" s="962">
        <f t="shared" si="73"/>
        <v>94</v>
      </c>
      <c r="AU62" s="963">
        <f t="shared" si="6"/>
        <v>482</v>
      </c>
      <c r="AV62" s="961">
        <f>SUM(AV51:AV61)</f>
        <v>192</v>
      </c>
      <c r="AW62" s="962">
        <f>SUM(AW51:AW61)</f>
        <v>236</v>
      </c>
      <c r="AX62" s="962">
        <f>SUM(AX51:AX61)</f>
        <v>119</v>
      </c>
      <c r="AY62" s="963">
        <f t="shared" si="7"/>
        <v>547</v>
      </c>
      <c r="AZ62" s="961">
        <f t="shared" si="73"/>
        <v>172</v>
      </c>
      <c r="BA62" s="962">
        <f t="shared" si="73"/>
        <v>178</v>
      </c>
      <c r="BB62" s="962">
        <f t="shared" si="73"/>
        <v>132</v>
      </c>
      <c r="BC62" s="963">
        <f t="shared" si="73"/>
        <v>482</v>
      </c>
      <c r="BD62" s="961">
        <f t="shared" ref="BD62:BK62" si="74">SUM(BD51:BD61)</f>
        <v>195</v>
      </c>
      <c r="BE62" s="962">
        <f t="shared" si="74"/>
        <v>221</v>
      </c>
      <c r="BF62" s="962">
        <f t="shared" si="74"/>
        <v>149</v>
      </c>
      <c r="BG62" s="963">
        <f t="shared" si="74"/>
        <v>565</v>
      </c>
      <c r="BH62" s="961">
        <f t="shared" si="74"/>
        <v>209</v>
      </c>
      <c r="BI62" s="962">
        <f t="shared" si="74"/>
        <v>273</v>
      </c>
      <c r="BJ62" s="962">
        <f t="shared" si="74"/>
        <v>186</v>
      </c>
      <c r="BK62" s="963">
        <f t="shared" si="74"/>
        <v>668</v>
      </c>
      <c r="BL62" s="961">
        <f t="shared" ref="BL62:BS62" si="75">SUM(BL51:BL61)</f>
        <v>211</v>
      </c>
      <c r="BM62" s="962">
        <f t="shared" si="75"/>
        <v>201</v>
      </c>
      <c r="BN62" s="962">
        <f t="shared" si="75"/>
        <v>140</v>
      </c>
      <c r="BO62" s="963">
        <f t="shared" si="75"/>
        <v>552</v>
      </c>
      <c r="BP62" s="961">
        <f t="shared" si="75"/>
        <v>199</v>
      </c>
      <c r="BQ62" s="962">
        <f t="shared" si="75"/>
        <v>208</v>
      </c>
      <c r="BR62" s="962">
        <f t="shared" si="75"/>
        <v>167</v>
      </c>
      <c r="BS62" s="963">
        <f t="shared" si="75"/>
        <v>574</v>
      </c>
      <c r="BT62" s="961">
        <f>SUM(BT51:BT61)</f>
        <v>149</v>
      </c>
      <c r="BU62" s="962">
        <f>SUM(BU51:BU61)</f>
        <v>258</v>
      </c>
      <c r="BV62" s="962">
        <f>SUM(BV51:BV61)</f>
        <v>124</v>
      </c>
      <c r="BW62" s="963">
        <f>SUM(BW51:BW61)</f>
        <v>531</v>
      </c>
      <c r="BX62" s="961">
        <f>SUM(BX51:BX61)</f>
        <v>174</v>
      </c>
      <c r="BY62" s="962">
        <f t="shared" ref="BY62:BZ62" si="76">SUM(BY51:BY61)</f>
        <v>230</v>
      </c>
      <c r="BZ62" s="962">
        <f t="shared" si="76"/>
        <v>155</v>
      </c>
      <c r="CA62" s="963">
        <f>SUM(CA51:CA61)</f>
        <v>559</v>
      </c>
    </row>
    <row r="63" spans="1:79" s="945" customFormat="1" ht="15" customHeight="1" x14ac:dyDescent="0.25">
      <c r="A63" s="5687"/>
      <c r="B63" s="5882" t="s">
        <v>11</v>
      </c>
      <c r="C63" s="938" t="s">
        <v>478</v>
      </c>
      <c r="D63" s="794">
        <v>11</v>
      </c>
      <c r="E63" s="795">
        <v>10</v>
      </c>
      <c r="F63" s="795">
        <v>6</v>
      </c>
      <c r="G63" s="939">
        <v>27</v>
      </c>
      <c r="H63" s="794">
        <v>13</v>
      </c>
      <c r="I63" s="795">
        <v>8</v>
      </c>
      <c r="J63" s="795">
        <v>7</v>
      </c>
      <c r="K63" s="939">
        <v>28</v>
      </c>
      <c r="L63" s="794">
        <v>16</v>
      </c>
      <c r="M63" s="795">
        <v>20</v>
      </c>
      <c r="N63" s="795">
        <v>5</v>
      </c>
      <c r="O63" s="939">
        <v>41</v>
      </c>
      <c r="P63" s="794">
        <v>13</v>
      </c>
      <c r="Q63" s="795">
        <v>13</v>
      </c>
      <c r="R63" s="795">
        <v>12</v>
      </c>
      <c r="S63" s="941">
        <v>38</v>
      </c>
      <c r="T63" s="794">
        <v>16</v>
      </c>
      <c r="U63" s="795">
        <v>20</v>
      </c>
      <c r="V63" s="795">
        <v>14</v>
      </c>
      <c r="W63" s="941">
        <f t="shared" ref="W63:W68" si="77">SUM(T63:V63)</f>
        <v>50</v>
      </c>
      <c r="X63" s="794">
        <v>33</v>
      </c>
      <c r="Y63" s="795">
        <v>23</v>
      </c>
      <c r="Z63" s="795">
        <v>15</v>
      </c>
      <c r="AA63" s="939">
        <f t="shared" ref="AA63:AA68" si="78">SUM(X63:Z63)</f>
        <v>71</v>
      </c>
      <c r="AB63" s="940">
        <v>22</v>
      </c>
      <c r="AC63" s="795">
        <v>11</v>
      </c>
      <c r="AD63" s="795">
        <v>29</v>
      </c>
      <c r="AE63" s="939">
        <f t="shared" ref="AE63:AE68" si="79">SUM(AB63:AD63)</f>
        <v>62</v>
      </c>
      <c r="AF63" s="940">
        <v>29</v>
      </c>
      <c r="AG63" s="795">
        <v>21</v>
      </c>
      <c r="AH63" s="795">
        <v>12</v>
      </c>
      <c r="AI63" s="941">
        <f t="shared" ref="AI63:AI68" si="80">SUM(AF63:AH63)</f>
        <v>62</v>
      </c>
      <c r="AJ63" s="940">
        <v>24</v>
      </c>
      <c r="AK63" s="795">
        <v>18</v>
      </c>
      <c r="AL63" s="827">
        <v>6</v>
      </c>
      <c r="AM63" s="941">
        <f t="shared" ref="AM63:AM68" si="81">SUM(AJ63:AL63)</f>
        <v>48</v>
      </c>
      <c r="AN63" s="940">
        <v>16</v>
      </c>
      <c r="AO63" s="795">
        <v>24</v>
      </c>
      <c r="AP63" s="827">
        <v>15</v>
      </c>
      <c r="AQ63" s="941">
        <f t="shared" ref="AQ63:AQ68" si="82">SUM(AN63:AP63)</f>
        <v>55</v>
      </c>
      <c r="AR63" s="944">
        <v>17</v>
      </c>
      <c r="AS63" s="942">
        <v>20</v>
      </c>
      <c r="AT63" s="942">
        <v>19</v>
      </c>
      <c r="AU63" s="943">
        <f t="shared" si="6"/>
        <v>56</v>
      </c>
      <c r="AV63" s="942">
        <v>30</v>
      </c>
      <c r="AW63" s="942">
        <v>17</v>
      </c>
      <c r="AX63" s="942">
        <v>6</v>
      </c>
      <c r="AY63" s="943">
        <f t="shared" si="7"/>
        <v>53</v>
      </c>
      <c r="AZ63" s="944">
        <v>20</v>
      </c>
      <c r="BA63" s="942">
        <v>15</v>
      </c>
      <c r="BB63" s="942">
        <v>12</v>
      </c>
      <c r="BC63" s="943">
        <v>47</v>
      </c>
      <c r="BD63" s="944">
        <v>30</v>
      </c>
      <c r="BE63" s="942">
        <v>29</v>
      </c>
      <c r="BF63" s="942">
        <v>13</v>
      </c>
      <c r="BG63" s="943">
        <f t="shared" si="8"/>
        <v>72</v>
      </c>
      <c r="BH63" s="944">
        <v>21</v>
      </c>
      <c r="BI63" s="942">
        <v>25</v>
      </c>
      <c r="BJ63" s="942">
        <v>46</v>
      </c>
      <c r="BK63" s="943">
        <f t="shared" ref="BK63:BK68" si="83">SUM(BH63:BJ63)</f>
        <v>92</v>
      </c>
      <c r="BL63" s="944">
        <v>27</v>
      </c>
      <c r="BM63" s="942">
        <v>26</v>
      </c>
      <c r="BN63" s="942">
        <v>30</v>
      </c>
      <c r="BO63" s="943">
        <f t="shared" ref="BO63:BO68" si="84">SUM(BL63:BN63)</f>
        <v>83</v>
      </c>
      <c r="BP63" s="944">
        <v>22</v>
      </c>
      <c r="BQ63" s="942">
        <v>34</v>
      </c>
      <c r="BR63" s="942">
        <v>39</v>
      </c>
      <c r="BS63" s="943">
        <f t="shared" ref="BS63:BS68" si="85">SUM(BP63:BR63)</f>
        <v>95</v>
      </c>
      <c r="BT63" s="944">
        <v>39</v>
      </c>
      <c r="BU63" s="942">
        <v>36</v>
      </c>
      <c r="BV63" s="942">
        <v>35</v>
      </c>
      <c r="BW63" s="943">
        <f t="shared" ref="BW63:BW68" si="86">SUM(BT63:BV63)</f>
        <v>110</v>
      </c>
      <c r="BX63" s="944">
        <v>26</v>
      </c>
      <c r="BY63" s="942">
        <v>31</v>
      </c>
      <c r="BZ63" s="942">
        <v>37</v>
      </c>
      <c r="CA63" s="943">
        <f t="shared" ref="CA63:CA68" si="87">SUM(BX63:BZ63)</f>
        <v>94</v>
      </c>
    </row>
    <row r="64" spans="1:79" s="945" customFormat="1" ht="15" customHeight="1" x14ac:dyDescent="0.25">
      <c r="A64" s="5687"/>
      <c r="B64" s="5882"/>
      <c r="C64" s="946" t="s">
        <v>479</v>
      </c>
      <c r="D64" s="800">
        <v>10</v>
      </c>
      <c r="E64" s="801">
        <v>7</v>
      </c>
      <c r="F64" s="801">
        <v>7</v>
      </c>
      <c r="G64" s="947">
        <v>24</v>
      </c>
      <c r="H64" s="800">
        <v>4</v>
      </c>
      <c r="I64" s="801">
        <v>3</v>
      </c>
      <c r="J64" s="801">
        <v>4</v>
      </c>
      <c r="K64" s="947">
        <v>11</v>
      </c>
      <c r="L64" s="800">
        <v>7</v>
      </c>
      <c r="M64" s="801">
        <v>12</v>
      </c>
      <c r="N64" s="801">
        <v>4</v>
      </c>
      <c r="O64" s="947">
        <v>23</v>
      </c>
      <c r="P64" s="800">
        <v>18</v>
      </c>
      <c r="Q64" s="801">
        <v>11</v>
      </c>
      <c r="R64" s="801">
        <v>13</v>
      </c>
      <c r="S64" s="949">
        <v>42</v>
      </c>
      <c r="T64" s="800">
        <v>18</v>
      </c>
      <c r="U64" s="801">
        <v>27</v>
      </c>
      <c r="V64" s="801">
        <v>6</v>
      </c>
      <c r="W64" s="949">
        <f t="shared" si="77"/>
        <v>51</v>
      </c>
      <c r="X64" s="800">
        <v>14</v>
      </c>
      <c r="Y64" s="801">
        <v>20</v>
      </c>
      <c r="Z64" s="801">
        <v>17</v>
      </c>
      <c r="AA64" s="947">
        <f t="shared" si="78"/>
        <v>51</v>
      </c>
      <c r="AB64" s="948">
        <v>12</v>
      </c>
      <c r="AC64" s="801">
        <v>21</v>
      </c>
      <c r="AD64" s="801">
        <v>10</v>
      </c>
      <c r="AE64" s="947">
        <f t="shared" si="79"/>
        <v>43</v>
      </c>
      <c r="AF64" s="948">
        <v>23</v>
      </c>
      <c r="AG64" s="801">
        <v>14</v>
      </c>
      <c r="AH64" s="801">
        <v>19</v>
      </c>
      <c r="AI64" s="949">
        <f t="shared" si="80"/>
        <v>56</v>
      </c>
      <c r="AJ64" s="948">
        <v>26</v>
      </c>
      <c r="AK64" s="801">
        <v>20</v>
      </c>
      <c r="AL64" s="829">
        <v>16</v>
      </c>
      <c r="AM64" s="949">
        <f t="shared" si="81"/>
        <v>62</v>
      </c>
      <c r="AN64" s="948">
        <v>26</v>
      </c>
      <c r="AO64" s="801">
        <v>25</v>
      </c>
      <c r="AP64" s="829">
        <v>12</v>
      </c>
      <c r="AQ64" s="949">
        <f t="shared" si="82"/>
        <v>63</v>
      </c>
      <c r="AR64" s="952">
        <v>14</v>
      </c>
      <c r="AS64" s="950">
        <v>27</v>
      </c>
      <c r="AT64" s="950">
        <v>17</v>
      </c>
      <c r="AU64" s="951">
        <f t="shared" si="6"/>
        <v>58</v>
      </c>
      <c r="AV64" s="950">
        <v>20</v>
      </c>
      <c r="AW64" s="950">
        <v>19</v>
      </c>
      <c r="AX64" s="950">
        <v>9</v>
      </c>
      <c r="AY64" s="951">
        <f t="shared" si="7"/>
        <v>48</v>
      </c>
      <c r="AZ64" s="952">
        <v>20</v>
      </c>
      <c r="BA64" s="950">
        <v>18</v>
      </c>
      <c r="BB64" s="950">
        <v>14</v>
      </c>
      <c r="BC64" s="951">
        <v>52</v>
      </c>
      <c r="BD64" s="952">
        <v>16</v>
      </c>
      <c r="BE64" s="950">
        <v>22</v>
      </c>
      <c r="BF64" s="950">
        <v>3</v>
      </c>
      <c r="BG64" s="951">
        <f t="shared" si="8"/>
        <v>41</v>
      </c>
      <c r="BH64" s="952">
        <v>18</v>
      </c>
      <c r="BI64" s="950">
        <v>18</v>
      </c>
      <c r="BJ64" s="950">
        <v>16</v>
      </c>
      <c r="BK64" s="951">
        <f t="shared" si="83"/>
        <v>52</v>
      </c>
      <c r="BL64" s="952">
        <v>21</v>
      </c>
      <c r="BM64" s="950">
        <v>22</v>
      </c>
      <c r="BN64" s="950">
        <v>21</v>
      </c>
      <c r="BO64" s="951">
        <f t="shared" si="84"/>
        <v>64</v>
      </c>
      <c r="BP64" s="952">
        <v>20</v>
      </c>
      <c r="BQ64" s="950">
        <v>14</v>
      </c>
      <c r="BR64" s="950">
        <v>22</v>
      </c>
      <c r="BS64" s="951">
        <f t="shared" si="85"/>
        <v>56</v>
      </c>
      <c r="BT64" s="952">
        <v>23</v>
      </c>
      <c r="BU64" s="950">
        <v>22</v>
      </c>
      <c r="BV64" s="950">
        <v>18</v>
      </c>
      <c r="BW64" s="951">
        <f t="shared" si="86"/>
        <v>63</v>
      </c>
      <c r="BX64" s="952">
        <v>22</v>
      </c>
      <c r="BY64" s="950">
        <v>20</v>
      </c>
      <c r="BZ64" s="950">
        <v>17</v>
      </c>
      <c r="CA64" s="951">
        <f t="shared" si="87"/>
        <v>59</v>
      </c>
    </row>
    <row r="65" spans="1:79" s="945" customFormat="1" ht="15" customHeight="1" x14ac:dyDescent="0.25">
      <c r="A65" s="5687"/>
      <c r="B65" s="5882"/>
      <c r="C65" s="946" t="s">
        <v>480</v>
      </c>
      <c r="D65" s="800">
        <v>7</v>
      </c>
      <c r="E65" s="801">
        <v>7</v>
      </c>
      <c r="F65" s="801">
        <v>5</v>
      </c>
      <c r="G65" s="947">
        <v>19</v>
      </c>
      <c r="H65" s="800">
        <v>6</v>
      </c>
      <c r="I65" s="801">
        <v>4</v>
      </c>
      <c r="J65" s="801">
        <v>6</v>
      </c>
      <c r="K65" s="947">
        <v>16</v>
      </c>
      <c r="L65" s="800">
        <v>7</v>
      </c>
      <c r="M65" s="801">
        <v>8</v>
      </c>
      <c r="N65" s="801">
        <v>4</v>
      </c>
      <c r="O65" s="947">
        <v>19</v>
      </c>
      <c r="P65" s="800">
        <v>9</v>
      </c>
      <c r="Q65" s="801">
        <v>4</v>
      </c>
      <c r="R65" s="801">
        <v>10</v>
      </c>
      <c r="S65" s="949">
        <v>23</v>
      </c>
      <c r="T65" s="800">
        <v>3</v>
      </c>
      <c r="U65" s="801">
        <v>8</v>
      </c>
      <c r="V65" s="801">
        <v>5</v>
      </c>
      <c r="W65" s="949">
        <f t="shared" si="77"/>
        <v>16</v>
      </c>
      <c r="X65" s="800">
        <v>8</v>
      </c>
      <c r="Y65" s="801">
        <v>9</v>
      </c>
      <c r="Z65" s="801">
        <v>9</v>
      </c>
      <c r="AA65" s="947">
        <f t="shared" si="78"/>
        <v>26</v>
      </c>
      <c r="AB65" s="948">
        <v>7</v>
      </c>
      <c r="AC65" s="801">
        <v>7</v>
      </c>
      <c r="AD65" s="801">
        <v>11</v>
      </c>
      <c r="AE65" s="947">
        <f t="shared" si="79"/>
        <v>25</v>
      </c>
      <c r="AF65" s="948">
        <v>11</v>
      </c>
      <c r="AG65" s="801">
        <v>2</v>
      </c>
      <c r="AH65" s="801">
        <v>13</v>
      </c>
      <c r="AI65" s="949">
        <f t="shared" si="80"/>
        <v>26</v>
      </c>
      <c r="AJ65" s="948">
        <v>7</v>
      </c>
      <c r="AK65" s="801">
        <v>11</v>
      </c>
      <c r="AL65" s="829">
        <v>8</v>
      </c>
      <c r="AM65" s="949">
        <f t="shared" si="81"/>
        <v>26</v>
      </c>
      <c r="AN65" s="948">
        <v>7</v>
      </c>
      <c r="AO65" s="801">
        <v>6</v>
      </c>
      <c r="AP65" s="829">
        <v>14</v>
      </c>
      <c r="AQ65" s="949">
        <f t="shared" si="82"/>
        <v>27</v>
      </c>
      <c r="AR65" s="952">
        <v>9</v>
      </c>
      <c r="AS65" s="950">
        <v>6</v>
      </c>
      <c r="AT65" s="950">
        <v>3</v>
      </c>
      <c r="AU65" s="951">
        <f t="shared" si="6"/>
        <v>18</v>
      </c>
      <c r="AV65" s="950">
        <v>6</v>
      </c>
      <c r="AW65" s="950">
        <v>8</v>
      </c>
      <c r="AX65" s="950">
        <v>9</v>
      </c>
      <c r="AY65" s="951">
        <f t="shared" si="7"/>
        <v>23</v>
      </c>
      <c r="AZ65" s="952">
        <v>5</v>
      </c>
      <c r="BA65" s="950">
        <v>8</v>
      </c>
      <c r="BB65" s="950">
        <v>4</v>
      </c>
      <c r="BC65" s="951">
        <v>17</v>
      </c>
      <c r="BD65" s="952">
        <v>12</v>
      </c>
      <c r="BE65" s="950">
        <v>12</v>
      </c>
      <c r="BF65" s="950">
        <v>7</v>
      </c>
      <c r="BG65" s="951">
        <f t="shared" si="8"/>
        <v>31</v>
      </c>
      <c r="BH65" s="952">
        <v>9</v>
      </c>
      <c r="BI65" s="950">
        <v>12</v>
      </c>
      <c r="BJ65" s="950">
        <v>14</v>
      </c>
      <c r="BK65" s="951">
        <f t="shared" si="83"/>
        <v>35</v>
      </c>
      <c r="BL65" s="952">
        <v>6</v>
      </c>
      <c r="BM65" s="950">
        <v>12</v>
      </c>
      <c r="BN65" s="950">
        <v>2</v>
      </c>
      <c r="BO65" s="951">
        <f t="shared" si="84"/>
        <v>20</v>
      </c>
      <c r="BP65" s="952">
        <v>17</v>
      </c>
      <c r="BQ65" s="950">
        <v>9</v>
      </c>
      <c r="BR65" s="950">
        <v>15</v>
      </c>
      <c r="BS65" s="951">
        <f t="shared" si="85"/>
        <v>41</v>
      </c>
      <c r="BT65" s="952">
        <v>12</v>
      </c>
      <c r="BU65" s="950">
        <v>20</v>
      </c>
      <c r="BV65" s="950">
        <v>14</v>
      </c>
      <c r="BW65" s="951">
        <f t="shared" si="86"/>
        <v>46</v>
      </c>
      <c r="BX65" s="952">
        <v>27</v>
      </c>
      <c r="BY65" s="950">
        <v>25</v>
      </c>
      <c r="BZ65" s="950">
        <v>26</v>
      </c>
      <c r="CA65" s="951">
        <f t="shared" si="87"/>
        <v>78</v>
      </c>
    </row>
    <row r="66" spans="1:79" s="945" customFormat="1" ht="15" customHeight="1" x14ac:dyDescent="0.25">
      <c r="A66" s="5687"/>
      <c r="B66" s="5882"/>
      <c r="C66" s="946" t="s">
        <v>481</v>
      </c>
      <c r="D66" s="800">
        <v>3</v>
      </c>
      <c r="E66" s="801">
        <v>0</v>
      </c>
      <c r="F66" s="801">
        <v>1</v>
      </c>
      <c r="G66" s="947">
        <v>4</v>
      </c>
      <c r="H66" s="800">
        <v>3</v>
      </c>
      <c r="I66" s="801">
        <v>3</v>
      </c>
      <c r="J66" s="801">
        <v>6</v>
      </c>
      <c r="K66" s="947">
        <v>12</v>
      </c>
      <c r="L66" s="800">
        <v>2</v>
      </c>
      <c r="M66" s="801">
        <v>6</v>
      </c>
      <c r="N66" s="801">
        <v>1</v>
      </c>
      <c r="O66" s="947">
        <v>9</v>
      </c>
      <c r="P66" s="800">
        <v>6</v>
      </c>
      <c r="Q66" s="801">
        <v>1</v>
      </c>
      <c r="R66" s="801">
        <v>7</v>
      </c>
      <c r="S66" s="949">
        <v>14</v>
      </c>
      <c r="T66" s="800">
        <v>2</v>
      </c>
      <c r="U66" s="801">
        <v>4</v>
      </c>
      <c r="V66" s="801">
        <v>6</v>
      </c>
      <c r="W66" s="949">
        <f t="shared" si="77"/>
        <v>12</v>
      </c>
      <c r="X66" s="800">
        <v>6</v>
      </c>
      <c r="Y66" s="801">
        <v>8</v>
      </c>
      <c r="Z66" s="801">
        <v>3</v>
      </c>
      <c r="AA66" s="947">
        <f t="shared" si="78"/>
        <v>17</v>
      </c>
      <c r="AB66" s="948">
        <v>5</v>
      </c>
      <c r="AC66" s="801">
        <v>6</v>
      </c>
      <c r="AD66" s="801">
        <v>2</v>
      </c>
      <c r="AE66" s="947">
        <f t="shared" si="79"/>
        <v>13</v>
      </c>
      <c r="AF66" s="948">
        <v>5</v>
      </c>
      <c r="AG66" s="801">
        <v>3</v>
      </c>
      <c r="AH66" s="801">
        <v>2</v>
      </c>
      <c r="AI66" s="949">
        <f t="shared" si="80"/>
        <v>10</v>
      </c>
      <c r="AJ66" s="948">
        <v>2</v>
      </c>
      <c r="AK66" s="801" t="s">
        <v>227</v>
      </c>
      <c r="AL66" s="829">
        <v>4</v>
      </c>
      <c r="AM66" s="949">
        <f t="shared" si="81"/>
        <v>6</v>
      </c>
      <c r="AN66" s="948">
        <v>7</v>
      </c>
      <c r="AO66" s="801">
        <v>4</v>
      </c>
      <c r="AP66" s="829">
        <v>1</v>
      </c>
      <c r="AQ66" s="949">
        <f t="shared" si="82"/>
        <v>12</v>
      </c>
      <c r="AR66" s="952">
        <v>2</v>
      </c>
      <c r="AS66" s="950">
        <v>3</v>
      </c>
      <c r="AT66" s="950">
        <v>1</v>
      </c>
      <c r="AU66" s="951">
        <f t="shared" si="6"/>
        <v>6</v>
      </c>
      <c r="AV66" s="950">
        <v>4</v>
      </c>
      <c r="AW66" s="950">
        <v>4</v>
      </c>
      <c r="AX66" s="950">
        <v>3</v>
      </c>
      <c r="AY66" s="951">
        <f t="shared" si="7"/>
        <v>11</v>
      </c>
      <c r="AZ66" s="952">
        <v>3</v>
      </c>
      <c r="BA66" s="950">
        <v>4</v>
      </c>
      <c r="BB66" s="950">
        <v>1</v>
      </c>
      <c r="BC66" s="951">
        <v>8</v>
      </c>
      <c r="BD66" s="952">
        <v>6</v>
      </c>
      <c r="BE66" s="950">
        <v>7</v>
      </c>
      <c r="BF66" s="950">
        <v>1</v>
      </c>
      <c r="BG66" s="951">
        <f t="shared" si="8"/>
        <v>14</v>
      </c>
      <c r="BH66" s="952">
        <v>2</v>
      </c>
      <c r="BI66" s="950">
        <v>8</v>
      </c>
      <c r="BJ66" s="950">
        <v>5</v>
      </c>
      <c r="BK66" s="951">
        <f t="shared" si="83"/>
        <v>15</v>
      </c>
      <c r="BL66" s="952">
        <v>4</v>
      </c>
      <c r="BM66" s="950">
        <v>5</v>
      </c>
      <c r="BN66" s="950">
        <v>5</v>
      </c>
      <c r="BO66" s="951">
        <f t="shared" si="84"/>
        <v>14</v>
      </c>
      <c r="BP66" s="952">
        <v>6</v>
      </c>
      <c r="BQ66" s="950">
        <v>8</v>
      </c>
      <c r="BR66" s="950">
        <v>11</v>
      </c>
      <c r="BS66" s="951">
        <f t="shared" si="85"/>
        <v>25</v>
      </c>
      <c r="BT66" s="952">
        <v>8</v>
      </c>
      <c r="BU66" s="950">
        <v>8</v>
      </c>
      <c r="BV66" s="950">
        <v>8</v>
      </c>
      <c r="BW66" s="951">
        <f t="shared" si="86"/>
        <v>24</v>
      </c>
      <c r="BX66" s="952">
        <v>13</v>
      </c>
      <c r="BY66" s="950">
        <v>16</v>
      </c>
      <c r="BZ66" s="950">
        <v>12</v>
      </c>
      <c r="CA66" s="951">
        <f t="shared" si="87"/>
        <v>41</v>
      </c>
    </row>
    <row r="67" spans="1:79" s="945" customFormat="1" ht="15" customHeight="1" x14ac:dyDescent="0.25">
      <c r="A67" s="5687"/>
      <c r="B67" s="5882"/>
      <c r="C67" s="946" t="s">
        <v>514</v>
      </c>
      <c r="D67" s="800">
        <v>35</v>
      </c>
      <c r="E67" s="801">
        <v>12</v>
      </c>
      <c r="F67" s="801">
        <v>12</v>
      </c>
      <c r="G67" s="947">
        <v>59</v>
      </c>
      <c r="H67" s="800">
        <v>23</v>
      </c>
      <c r="I67" s="801">
        <v>13</v>
      </c>
      <c r="J67" s="801">
        <v>7</v>
      </c>
      <c r="K67" s="947">
        <v>43</v>
      </c>
      <c r="L67" s="800">
        <v>26</v>
      </c>
      <c r="M67" s="801">
        <v>24</v>
      </c>
      <c r="N67" s="801">
        <v>7</v>
      </c>
      <c r="O67" s="947">
        <v>57</v>
      </c>
      <c r="P67" s="800">
        <v>20</v>
      </c>
      <c r="Q67" s="801">
        <v>28</v>
      </c>
      <c r="R67" s="801">
        <v>9</v>
      </c>
      <c r="S67" s="949">
        <v>57</v>
      </c>
      <c r="T67" s="800">
        <v>17</v>
      </c>
      <c r="U67" s="801">
        <v>40</v>
      </c>
      <c r="V67" s="801">
        <v>19</v>
      </c>
      <c r="W67" s="949">
        <f t="shared" si="77"/>
        <v>76</v>
      </c>
      <c r="X67" s="800">
        <v>37</v>
      </c>
      <c r="Y67" s="801">
        <v>45</v>
      </c>
      <c r="Z67" s="801">
        <v>29</v>
      </c>
      <c r="AA67" s="947">
        <f t="shared" si="78"/>
        <v>111</v>
      </c>
      <c r="AB67" s="948">
        <v>46</v>
      </c>
      <c r="AC67" s="801">
        <v>35</v>
      </c>
      <c r="AD67" s="801">
        <v>20</v>
      </c>
      <c r="AE67" s="947">
        <f t="shared" si="79"/>
        <v>101</v>
      </c>
      <c r="AF67" s="948">
        <v>37</v>
      </c>
      <c r="AG67" s="801">
        <v>34</v>
      </c>
      <c r="AH67" s="801">
        <v>19</v>
      </c>
      <c r="AI67" s="949">
        <f t="shared" si="80"/>
        <v>90</v>
      </c>
      <c r="AJ67" s="948">
        <v>32</v>
      </c>
      <c r="AK67" s="801">
        <v>36</v>
      </c>
      <c r="AL67" s="829">
        <v>21</v>
      </c>
      <c r="AM67" s="949">
        <f t="shared" si="81"/>
        <v>89</v>
      </c>
      <c r="AN67" s="948">
        <v>25</v>
      </c>
      <c r="AO67" s="801">
        <v>28</v>
      </c>
      <c r="AP67" s="829">
        <v>16</v>
      </c>
      <c r="AQ67" s="949">
        <f t="shared" si="82"/>
        <v>69</v>
      </c>
      <c r="AR67" s="952">
        <v>17</v>
      </c>
      <c r="AS67" s="950">
        <v>16</v>
      </c>
      <c r="AT67" s="950">
        <v>12</v>
      </c>
      <c r="AU67" s="951">
        <f t="shared" si="6"/>
        <v>45</v>
      </c>
      <c r="AV67" s="950">
        <v>32</v>
      </c>
      <c r="AW67" s="950">
        <v>29</v>
      </c>
      <c r="AX67" s="950">
        <v>40</v>
      </c>
      <c r="AY67" s="951">
        <f t="shared" si="7"/>
        <v>101</v>
      </c>
      <c r="AZ67" s="952">
        <v>20</v>
      </c>
      <c r="BA67" s="950">
        <v>23</v>
      </c>
      <c r="BB67" s="950">
        <v>14</v>
      </c>
      <c r="BC67" s="951">
        <v>57</v>
      </c>
      <c r="BD67" s="952">
        <v>20</v>
      </c>
      <c r="BE67" s="950">
        <v>22</v>
      </c>
      <c r="BF67" s="950">
        <v>24</v>
      </c>
      <c r="BG67" s="951">
        <f t="shared" si="8"/>
        <v>66</v>
      </c>
      <c r="BH67" s="952">
        <v>13</v>
      </c>
      <c r="BI67" s="950">
        <v>27</v>
      </c>
      <c r="BJ67" s="950">
        <v>39</v>
      </c>
      <c r="BK67" s="951">
        <f t="shared" si="83"/>
        <v>79</v>
      </c>
      <c r="BL67" s="952">
        <v>29</v>
      </c>
      <c r="BM67" s="950">
        <v>29</v>
      </c>
      <c r="BN67" s="950">
        <v>18</v>
      </c>
      <c r="BO67" s="951">
        <f t="shared" si="84"/>
        <v>76</v>
      </c>
      <c r="BP67" s="952">
        <v>20</v>
      </c>
      <c r="BQ67" s="950">
        <v>31</v>
      </c>
      <c r="BR67" s="950">
        <v>34</v>
      </c>
      <c r="BS67" s="951">
        <f t="shared" si="85"/>
        <v>85</v>
      </c>
      <c r="BT67" s="952">
        <v>42</v>
      </c>
      <c r="BU67" s="950">
        <v>26</v>
      </c>
      <c r="BV67" s="950">
        <v>26</v>
      </c>
      <c r="BW67" s="951">
        <f t="shared" si="86"/>
        <v>94</v>
      </c>
      <c r="BX67" s="952">
        <v>33</v>
      </c>
      <c r="BY67" s="950">
        <v>31</v>
      </c>
      <c r="BZ67" s="950">
        <v>40</v>
      </c>
      <c r="CA67" s="951">
        <f t="shared" si="87"/>
        <v>104</v>
      </c>
    </row>
    <row r="68" spans="1:79" s="945" customFormat="1" ht="15" customHeight="1" x14ac:dyDescent="0.25">
      <c r="A68" s="5687"/>
      <c r="B68" s="5882"/>
      <c r="C68" s="953" t="s">
        <v>483</v>
      </c>
      <c r="D68" s="809">
        <v>33</v>
      </c>
      <c r="E68" s="810">
        <v>19</v>
      </c>
      <c r="F68" s="810">
        <v>13</v>
      </c>
      <c r="G68" s="954">
        <v>65</v>
      </c>
      <c r="H68" s="809">
        <v>15</v>
      </c>
      <c r="I68" s="810">
        <v>13</v>
      </c>
      <c r="J68" s="810">
        <v>21</v>
      </c>
      <c r="K68" s="954">
        <v>49</v>
      </c>
      <c r="L68" s="809">
        <v>37</v>
      </c>
      <c r="M68" s="810">
        <v>17</v>
      </c>
      <c r="N68" s="810">
        <v>14</v>
      </c>
      <c r="O68" s="954">
        <v>68</v>
      </c>
      <c r="P68" s="809">
        <v>24</v>
      </c>
      <c r="Q68" s="810">
        <v>18</v>
      </c>
      <c r="R68" s="810">
        <v>12</v>
      </c>
      <c r="S68" s="956">
        <v>54</v>
      </c>
      <c r="T68" s="809">
        <v>33</v>
      </c>
      <c r="U68" s="810">
        <v>26</v>
      </c>
      <c r="V68" s="810">
        <v>36</v>
      </c>
      <c r="W68" s="956">
        <f t="shared" si="77"/>
        <v>95</v>
      </c>
      <c r="X68" s="809">
        <v>20</v>
      </c>
      <c r="Y68" s="810">
        <v>38</v>
      </c>
      <c r="Z68" s="810">
        <v>47</v>
      </c>
      <c r="AA68" s="954">
        <f t="shared" si="78"/>
        <v>105</v>
      </c>
      <c r="AB68" s="955">
        <v>32</v>
      </c>
      <c r="AC68" s="810">
        <v>33</v>
      </c>
      <c r="AD68" s="810">
        <v>34</v>
      </c>
      <c r="AE68" s="954">
        <f t="shared" si="79"/>
        <v>99</v>
      </c>
      <c r="AF68" s="955">
        <v>45</v>
      </c>
      <c r="AG68" s="810">
        <v>49</v>
      </c>
      <c r="AH68" s="810">
        <v>35</v>
      </c>
      <c r="AI68" s="956">
        <f t="shared" si="80"/>
        <v>129</v>
      </c>
      <c r="AJ68" s="955">
        <v>28</v>
      </c>
      <c r="AK68" s="810">
        <v>29</v>
      </c>
      <c r="AL68" s="853">
        <v>23</v>
      </c>
      <c r="AM68" s="956">
        <f t="shared" si="81"/>
        <v>80</v>
      </c>
      <c r="AN68" s="955">
        <v>31</v>
      </c>
      <c r="AO68" s="810">
        <v>37</v>
      </c>
      <c r="AP68" s="853">
        <v>53</v>
      </c>
      <c r="AQ68" s="956">
        <f t="shared" si="82"/>
        <v>121</v>
      </c>
      <c r="AR68" s="959">
        <v>33</v>
      </c>
      <c r="AS68" s="957">
        <v>16</v>
      </c>
      <c r="AT68" s="957">
        <v>15</v>
      </c>
      <c r="AU68" s="958">
        <f t="shared" si="6"/>
        <v>64</v>
      </c>
      <c r="AV68" s="957">
        <v>19</v>
      </c>
      <c r="AW68" s="957">
        <v>24</v>
      </c>
      <c r="AX68" s="957">
        <v>24</v>
      </c>
      <c r="AY68" s="958">
        <f t="shared" si="7"/>
        <v>67</v>
      </c>
      <c r="AZ68" s="959">
        <v>33</v>
      </c>
      <c r="BA68" s="957">
        <v>25</v>
      </c>
      <c r="BB68" s="957">
        <v>16</v>
      </c>
      <c r="BC68" s="958">
        <v>74</v>
      </c>
      <c r="BD68" s="959">
        <v>19</v>
      </c>
      <c r="BE68" s="957">
        <v>25</v>
      </c>
      <c r="BF68" s="957">
        <v>29</v>
      </c>
      <c r="BG68" s="958">
        <f t="shared" si="8"/>
        <v>73</v>
      </c>
      <c r="BH68" s="959">
        <v>23</v>
      </c>
      <c r="BI68" s="957">
        <v>35</v>
      </c>
      <c r="BJ68" s="957">
        <v>23</v>
      </c>
      <c r="BK68" s="958">
        <f t="shared" si="83"/>
        <v>81</v>
      </c>
      <c r="BL68" s="959">
        <v>22</v>
      </c>
      <c r="BM68" s="957">
        <v>48</v>
      </c>
      <c r="BN68" s="957">
        <v>18</v>
      </c>
      <c r="BO68" s="958">
        <f t="shared" si="84"/>
        <v>88</v>
      </c>
      <c r="BP68" s="959">
        <v>22</v>
      </c>
      <c r="BQ68" s="957">
        <v>31</v>
      </c>
      <c r="BR68" s="957">
        <v>30</v>
      </c>
      <c r="BS68" s="958">
        <f t="shared" si="85"/>
        <v>83</v>
      </c>
      <c r="BT68" s="959">
        <v>30</v>
      </c>
      <c r="BU68" s="957">
        <v>41</v>
      </c>
      <c r="BV68" s="957">
        <v>25</v>
      </c>
      <c r="BW68" s="958">
        <f t="shared" si="86"/>
        <v>96</v>
      </c>
      <c r="BX68" s="959">
        <v>30</v>
      </c>
      <c r="BY68" s="957">
        <v>35</v>
      </c>
      <c r="BZ68" s="957">
        <v>14</v>
      </c>
      <c r="CA68" s="958">
        <f t="shared" si="87"/>
        <v>79</v>
      </c>
    </row>
    <row r="69" spans="1:79" s="945" customFormat="1" ht="15" customHeight="1" x14ac:dyDescent="0.25">
      <c r="A69" s="5687"/>
      <c r="B69" s="5883"/>
      <c r="C69" s="960" t="s">
        <v>160</v>
      </c>
      <c r="D69" s="961">
        <v>99</v>
      </c>
      <c r="E69" s="962">
        <v>55</v>
      </c>
      <c r="F69" s="962">
        <v>44</v>
      </c>
      <c r="G69" s="963">
        <v>198</v>
      </c>
      <c r="H69" s="961">
        <v>64</v>
      </c>
      <c r="I69" s="962">
        <v>44</v>
      </c>
      <c r="J69" s="962">
        <v>51</v>
      </c>
      <c r="K69" s="963">
        <v>159</v>
      </c>
      <c r="L69" s="961">
        <v>95</v>
      </c>
      <c r="M69" s="962">
        <v>87</v>
      </c>
      <c r="N69" s="962">
        <v>35</v>
      </c>
      <c r="O69" s="963">
        <v>217</v>
      </c>
      <c r="P69" s="961">
        <v>90</v>
      </c>
      <c r="Q69" s="962">
        <v>75</v>
      </c>
      <c r="R69" s="962">
        <v>63</v>
      </c>
      <c r="S69" s="963">
        <v>228</v>
      </c>
      <c r="T69" s="961">
        <f t="shared" ref="T69:BC69" si="88">SUM(T63:T68)</f>
        <v>89</v>
      </c>
      <c r="U69" s="962">
        <f t="shared" si="88"/>
        <v>125</v>
      </c>
      <c r="V69" s="962">
        <f t="shared" si="88"/>
        <v>86</v>
      </c>
      <c r="W69" s="963">
        <f t="shared" si="88"/>
        <v>300</v>
      </c>
      <c r="X69" s="961">
        <f t="shared" si="88"/>
        <v>118</v>
      </c>
      <c r="Y69" s="962">
        <f t="shared" si="88"/>
        <v>143</v>
      </c>
      <c r="Z69" s="962">
        <f t="shared" si="88"/>
        <v>120</v>
      </c>
      <c r="AA69" s="963">
        <f t="shared" si="88"/>
        <v>381</v>
      </c>
      <c r="AB69" s="961">
        <f t="shared" si="88"/>
        <v>124</v>
      </c>
      <c r="AC69" s="962">
        <f t="shared" si="88"/>
        <v>113</v>
      </c>
      <c r="AD69" s="962">
        <f t="shared" si="88"/>
        <v>106</v>
      </c>
      <c r="AE69" s="963">
        <f t="shared" si="88"/>
        <v>343</v>
      </c>
      <c r="AF69" s="961">
        <f t="shared" si="88"/>
        <v>150</v>
      </c>
      <c r="AG69" s="962">
        <f t="shared" si="88"/>
        <v>123</v>
      </c>
      <c r="AH69" s="962">
        <f t="shared" si="88"/>
        <v>100</v>
      </c>
      <c r="AI69" s="963">
        <f t="shared" si="88"/>
        <v>373</v>
      </c>
      <c r="AJ69" s="961">
        <f t="shared" si="88"/>
        <v>119</v>
      </c>
      <c r="AK69" s="962">
        <f t="shared" si="88"/>
        <v>114</v>
      </c>
      <c r="AL69" s="962">
        <f t="shared" si="88"/>
        <v>78</v>
      </c>
      <c r="AM69" s="963">
        <f t="shared" si="88"/>
        <v>311</v>
      </c>
      <c r="AN69" s="961">
        <f t="shared" si="88"/>
        <v>112</v>
      </c>
      <c r="AO69" s="962">
        <f t="shared" si="88"/>
        <v>124</v>
      </c>
      <c r="AP69" s="962">
        <f t="shared" si="88"/>
        <v>111</v>
      </c>
      <c r="AQ69" s="963">
        <f t="shared" si="88"/>
        <v>347</v>
      </c>
      <c r="AR69" s="961">
        <f t="shared" si="88"/>
        <v>92</v>
      </c>
      <c r="AS69" s="962">
        <f t="shared" si="88"/>
        <v>88</v>
      </c>
      <c r="AT69" s="962">
        <f t="shared" si="88"/>
        <v>67</v>
      </c>
      <c r="AU69" s="963">
        <f t="shared" si="6"/>
        <v>247</v>
      </c>
      <c r="AV69" s="961">
        <f>SUM(AV63:AV68)</f>
        <v>111</v>
      </c>
      <c r="AW69" s="962">
        <f>SUM(AW63:AW68)</f>
        <v>101</v>
      </c>
      <c r="AX69" s="962">
        <f>SUM(AX63:AX68)</f>
        <v>91</v>
      </c>
      <c r="AY69" s="963">
        <f t="shared" si="7"/>
        <v>303</v>
      </c>
      <c r="AZ69" s="961">
        <f t="shared" si="88"/>
        <v>101</v>
      </c>
      <c r="BA69" s="962">
        <f t="shared" si="88"/>
        <v>93</v>
      </c>
      <c r="BB69" s="962">
        <f t="shared" si="88"/>
        <v>61</v>
      </c>
      <c r="BC69" s="963">
        <f t="shared" si="88"/>
        <v>255</v>
      </c>
      <c r="BD69" s="961">
        <f t="shared" ref="BD69:BK69" si="89">SUM(BD63:BD68)</f>
        <v>103</v>
      </c>
      <c r="BE69" s="962">
        <f t="shared" si="89"/>
        <v>117</v>
      </c>
      <c r="BF69" s="962">
        <f t="shared" si="89"/>
        <v>77</v>
      </c>
      <c r="BG69" s="963">
        <f t="shared" si="89"/>
        <v>297</v>
      </c>
      <c r="BH69" s="961">
        <f t="shared" si="89"/>
        <v>86</v>
      </c>
      <c r="BI69" s="962">
        <f t="shared" si="89"/>
        <v>125</v>
      </c>
      <c r="BJ69" s="962">
        <f t="shared" si="89"/>
        <v>143</v>
      </c>
      <c r="BK69" s="963">
        <f t="shared" si="89"/>
        <v>354</v>
      </c>
      <c r="BL69" s="961">
        <f t="shared" ref="BL69:BS69" si="90">SUM(BL63:BL68)</f>
        <v>109</v>
      </c>
      <c r="BM69" s="962">
        <f t="shared" si="90"/>
        <v>142</v>
      </c>
      <c r="BN69" s="962">
        <f t="shared" si="90"/>
        <v>94</v>
      </c>
      <c r="BO69" s="963">
        <f t="shared" si="90"/>
        <v>345</v>
      </c>
      <c r="BP69" s="961">
        <f t="shared" si="90"/>
        <v>107</v>
      </c>
      <c r="BQ69" s="962">
        <f t="shared" si="90"/>
        <v>127</v>
      </c>
      <c r="BR69" s="962">
        <f t="shared" si="90"/>
        <v>151</v>
      </c>
      <c r="BS69" s="963">
        <f t="shared" si="90"/>
        <v>385</v>
      </c>
      <c r="BT69" s="961">
        <f t="shared" ref="BT69:CA69" si="91">SUM(BT63:BT68)</f>
        <v>154</v>
      </c>
      <c r="BU69" s="962">
        <f t="shared" si="91"/>
        <v>153</v>
      </c>
      <c r="BV69" s="962">
        <f t="shared" si="91"/>
        <v>126</v>
      </c>
      <c r="BW69" s="963">
        <f t="shared" si="91"/>
        <v>433</v>
      </c>
      <c r="BX69" s="961">
        <f>SUM(BX63:BX68)</f>
        <v>151</v>
      </c>
      <c r="BY69" s="962">
        <f t="shared" ref="BY69:BZ69" si="92">SUM(BY63:BY68)</f>
        <v>158</v>
      </c>
      <c r="BZ69" s="962">
        <f t="shared" si="92"/>
        <v>146</v>
      </c>
      <c r="CA69" s="963">
        <f t="shared" si="91"/>
        <v>455</v>
      </c>
    </row>
    <row r="70" spans="1:79" s="945" customFormat="1" ht="15" customHeight="1" x14ac:dyDescent="0.25">
      <c r="A70" s="5770"/>
      <c r="B70" s="3587"/>
      <c r="C70" s="3583" t="s">
        <v>444</v>
      </c>
      <c r="D70" s="4400">
        <v>369</v>
      </c>
      <c r="E70" s="4401">
        <v>378</v>
      </c>
      <c r="F70" s="4401">
        <v>243</v>
      </c>
      <c r="G70" s="4402">
        <v>990</v>
      </c>
      <c r="H70" s="3584">
        <v>288</v>
      </c>
      <c r="I70" s="3585">
        <v>315</v>
      </c>
      <c r="J70" s="3585">
        <v>249</v>
      </c>
      <c r="K70" s="3586">
        <v>852</v>
      </c>
      <c r="L70" s="3584">
        <v>359</v>
      </c>
      <c r="M70" s="3585">
        <v>364</v>
      </c>
      <c r="N70" s="3585">
        <v>220</v>
      </c>
      <c r="O70" s="3586">
        <v>943</v>
      </c>
      <c r="P70" s="3584">
        <v>340</v>
      </c>
      <c r="Q70" s="3585">
        <v>338</v>
      </c>
      <c r="R70" s="3585">
        <v>274</v>
      </c>
      <c r="S70" s="3586">
        <v>952</v>
      </c>
      <c r="T70" s="4400">
        <f t="shared" ref="T70:BC70" si="93">SUM(T69,T62,T50)</f>
        <v>360</v>
      </c>
      <c r="U70" s="4401">
        <f t="shared" si="93"/>
        <v>405</v>
      </c>
      <c r="V70" s="4401">
        <f t="shared" si="93"/>
        <v>275</v>
      </c>
      <c r="W70" s="4402">
        <f t="shared" si="93"/>
        <v>1040</v>
      </c>
      <c r="X70" s="3584">
        <f t="shared" si="93"/>
        <v>403</v>
      </c>
      <c r="Y70" s="3585">
        <f t="shared" si="93"/>
        <v>444</v>
      </c>
      <c r="Z70" s="3585">
        <f t="shared" si="93"/>
        <v>341</v>
      </c>
      <c r="AA70" s="3586">
        <f t="shared" si="93"/>
        <v>1188</v>
      </c>
      <c r="AB70" s="3584">
        <f t="shared" si="93"/>
        <v>435</v>
      </c>
      <c r="AC70" s="3585">
        <f t="shared" si="93"/>
        <v>382</v>
      </c>
      <c r="AD70" s="3585">
        <f t="shared" si="93"/>
        <v>280</v>
      </c>
      <c r="AE70" s="3586">
        <f t="shared" si="93"/>
        <v>1097</v>
      </c>
      <c r="AF70" s="3584">
        <f t="shared" si="93"/>
        <v>396</v>
      </c>
      <c r="AG70" s="3585">
        <f t="shared" si="93"/>
        <v>444</v>
      </c>
      <c r="AH70" s="3585">
        <f t="shared" si="93"/>
        <v>310</v>
      </c>
      <c r="AI70" s="3586">
        <f t="shared" si="93"/>
        <v>1150</v>
      </c>
      <c r="AJ70" s="3584">
        <f t="shared" si="93"/>
        <v>350</v>
      </c>
      <c r="AK70" s="3585">
        <f t="shared" si="93"/>
        <v>366</v>
      </c>
      <c r="AL70" s="3585">
        <f t="shared" si="93"/>
        <v>237</v>
      </c>
      <c r="AM70" s="3586">
        <f t="shared" si="93"/>
        <v>953</v>
      </c>
      <c r="AN70" s="4400">
        <f t="shared" si="93"/>
        <v>337</v>
      </c>
      <c r="AO70" s="4401">
        <f t="shared" si="93"/>
        <v>367</v>
      </c>
      <c r="AP70" s="4401">
        <f t="shared" si="93"/>
        <v>242</v>
      </c>
      <c r="AQ70" s="4402">
        <f t="shared" si="93"/>
        <v>946</v>
      </c>
      <c r="AR70" s="4421">
        <f t="shared" si="93"/>
        <v>322</v>
      </c>
      <c r="AS70" s="4422">
        <f t="shared" si="93"/>
        <v>374</v>
      </c>
      <c r="AT70" s="4422">
        <f t="shared" si="93"/>
        <v>200</v>
      </c>
      <c r="AU70" s="4423">
        <f t="shared" si="6"/>
        <v>896</v>
      </c>
      <c r="AV70" s="3765">
        <f>SUM(AV69,AV62,AV50)</f>
        <v>366</v>
      </c>
      <c r="AW70" s="3766">
        <f>SUM(AW69,AW62,AW50)</f>
        <v>449</v>
      </c>
      <c r="AX70" s="3766">
        <f>SUM(AX69,AX62,AX50)</f>
        <v>274</v>
      </c>
      <c r="AY70" s="3767">
        <f t="shared" si="7"/>
        <v>1089</v>
      </c>
      <c r="AZ70" s="3584">
        <f t="shared" si="93"/>
        <v>330</v>
      </c>
      <c r="BA70" s="3585">
        <f t="shared" si="93"/>
        <v>328</v>
      </c>
      <c r="BB70" s="3585">
        <f t="shared" si="93"/>
        <v>258</v>
      </c>
      <c r="BC70" s="3586">
        <f t="shared" si="93"/>
        <v>916</v>
      </c>
      <c r="BD70" s="3584">
        <f t="shared" ref="BD70:BK70" si="94">SUM(BD69,BD62,BD50)</f>
        <v>365</v>
      </c>
      <c r="BE70" s="3585">
        <f t="shared" si="94"/>
        <v>423</v>
      </c>
      <c r="BF70" s="3585">
        <f t="shared" si="94"/>
        <v>276</v>
      </c>
      <c r="BG70" s="3586">
        <f t="shared" si="94"/>
        <v>1064</v>
      </c>
      <c r="BH70" s="3584">
        <f t="shared" si="94"/>
        <v>339</v>
      </c>
      <c r="BI70" s="3585">
        <f t="shared" si="94"/>
        <v>456</v>
      </c>
      <c r="BJ70" s="3585">
        <f t="shared" si="94"/>
        <v>390</v>
      </c>
      <c r="BK70" s="3586">
        <f t="shared" si="94"/>
        <v>1185</v>
      </c>
      <c r="BL70" s="3584">
        <f t="shared" ref="BL70:BS70" si="95">SUM(BL69,BL62,BL50)</f>
        <v>378</v>
      </c>
      <c r="BM70" s="3585">
        <f t="shared" si="95"/>
        <v>429</v>
      </c>
      <c r="BN70" s="3585">
        <f t="shared" si="95"/>
        <v>302</v>
      </c>
      <c r="BO70" s="3586">
        <f t="shared" si="95"/>
        <v>1109</v>
      </c>
      <c r="BP70" s="3584">
        <f t="shared" si="95"/>
        <v>352</v>
      </c>
      <c r="BQ70" s="3585">
        <f t="shared" si="95"/>
        <v>398</v>
      </c>
      <c r="BR70" s="3585">
        <f t="shared" si="95"/>
        <v>382</v>
      </c>
      <c r="BS70" s="3586">
        <f t="shared" si="95"/>
        <v>1132</v>
      </c>
      <c r="BT70" s="3584">
        <f t="shared" ref="BT70:CA70" si="96">SUM(BT69,BT62,BT50)</f>
        <v>364</v>
      </c>
      <c r="BU70" s="3585">
        <f t="shared" si="96"/>
        <v>490</v>
      </c>
      <c r="BV70" s="3585">
        <f t="shared" si="96"/>
        <v>338</v>
      </c>
      <c r="BW70" s="3586">
        <f t="shared" si="96"/>
        <v>1192</v>
      </c>
      <c r="BX70" s="3584">
        <f t="shared" si="96"/>
        <v>400</v>
      </c>
      <c r="BY70" s="3585">
        <f t="shared" si="96"/>
        <v>469</v>
      </c>
      <c r="BZ70" s="3585">
        <f t="shared" si="96"/>
        <v>387</v>
      </c>
      <c r="CA70" s="3586">
        <f t="shared" si="96"/>
        <v>1256</v>
      </c>
    </row>
    <row r="71" spans="1:79" s="945" customFormat="1" ht="15" customHeight="1" x14ac:dyDescent="0.25">
      <c r="A71" s="5763" t="s">
        <v>325</v>
      </c>
      <c r="B71" s="5887" t="s">
        <v>5</v>
      </c>
      <c r="C71" s="953" t="s">
        <v>503</v>
      </c>
      <c r="D71" s="4166"/>
      <c r="E71" s="4167"/>
      <c r="F71" s="4167"/>
      <c r="G71" s="4168"/>
      <c r="H71" s="4166"/>
      <c r="I71" s="4167"/>
      <c r="J71" s="4167"/>
      <c r="K71" s="4167"/>
      <c r="L71" s="4166"/>
      <c r="M71" s="4167"/>
      <c r="N71" s="4167"/>
      <c r="O71" s="4167"/>
      <c r="P71" s="4166"/>
      <c r="Q71" s="4167"/>
      <c r="R71" s="4167"/>
      <c r="S71" s="4168"/>
      <c r="T71" s="4166"/>
      <c r="U71" s="4167"/>
      <c r="V71" s="4167"/>
      <c r="W71" s="4168"/>
      <c r="X71" s="4166"/>
      <c r="Y71" s="4167"/>
      <c r="Z71" s="4167"/>
      <c r="AA71" s="4167"/>
      <c r="AB71" s="4166"/>
      <c r="AC71" s="4167"/>
      <c r="AD71" s="4167"/>
      <c r="AE71" s="4167"/>
      <c r="AF71" s="4166"/>
      <c r="AG71" s="4167"/>
      <c r="AH71" s="4167"/>
      <c r="AI71" s="4168"/>
      <c r="AJ71" s="4166"/>
      <c r="AK71" s="4167"/>
      <c r="AL71" s="4167"/>
      <c r="AM71" s="4168"/>
      <c r="AN71" s="4166"/>
      <c r="AO71" s="4167"/>
      <c r="AP71" s="4167"/>
      <c r="AQ71" s="4168"/>
      <c r="AR71" s="4424"/>
      <c r="AS71" s="4169"/>
      <c r="AT71" s="4169"/>
      <c r="AU71" s="4170"/>
      <c r="AV71" s="4169"/>
      <c r="AW71" s="4169"/>
      <c r="AX71" s="4169"/>
      <c r="AY71" s="4170"/>
      <c r="AZ71" s="4166"/>
      <c r="BA71" s="4167"/>
      <c r="BB71" s="4167"/>
      <c r="BC71" s="4168"/>
      <c r="BD71" s="4166"/>
      <c r="BE71" s="4167"/>
      <c r="BF71" s="4167"/>
      <c r="BG71" s="4168"/>
      <c r="BH71" s="4166"/>
      <c r="BI71" s="4167"/>
      <c r="BJ71" s="4167"/>
      <c r="BK71" s="4168"/>
      <c r="BL71" s="4166"/>
      <c r="BM71" s="4167"/>
      <c r="BN71" s="4167"/>
      <c r="BO71" s="4168"/>
      <c r="BP71" s="4172">
        <v>8</v>
      </c>
      <c r="BQ71" s="4173">
        <v>9</v>
      </c>
      <c r="BR71" s="4173">
        <v>3</v>
      </c>
      <c r="BS71" s="4174">
        <f>SUM(BP71:BR71)</f>
        <v>20</v>
      </c>
      <c r="BT71" s="4172">
        <v>1</v>
      </c>
      <c r="BU71" s="4173">
        <v>4</v>
      </c>
      <c r="BV71" s="4173"/>
      <c r="BW71" s="4174">
        <f>SUM(BT71:BV71)</f>
        <v>5</v>
      </c>
      <c r="BX71" s="4172">
        <v>4</v>
      </c>
      <c r="BY71" s="4173">
        <v>6</v>
      </c>
      <c r="BZ71" s="4173">
        <v>3</v>
      </c>
      <c r="CA71" s="4174">
        <f>SUM(BX71:BZ71)</f>
        <v>13</v>
      </c>
    </row>
    <row r="72" spans="1:79" s="945" customFormat="1" ht="15" customHeight="1" x14ac:dyDescent="0.25">
      <c r="A72" s="5764"/>
      <c r="B72" s="5861"/>
      <c r="C72" s="960" t="s">
        <v>160</v>
      </c>
      <c r="D72" s="961"/>
      <c r="E72" s="962"/>
      <c r="F72" s="962"/>
      <c r="G72" s="963"/>
      <c r="H72" s="961"/>
      <c r="I72" s="962"/>
      <c r="J72" s="962"/>
      <c r="K72" s="963"/>
      <c r="L72" s="961"/>
      <c r="M72" s="962"/>
      <c r="N72" s="962"/>
      <c r="O72" s="963"/>
      <c r="P72" s="961"/>
      <c r="Q72" s="962"/>
      <c r="R72" s="962"/>
      <c r="S72" s="963"/>
      <c r="T72" s="961"/>
      <c r="U72" s="962"/>
      <c r="V72" s="962"/>
      <c r="W72" s="963"/>
      <c r="X72" s="961"/>
      <c r="Y72" s="962"/>
      <c r="Z72" s="962"/>
      <c r="AA72" s="963"/>
      <c r="AB72" s="961"/>
      <c r="AC72" s="962"/>
      <c r="AD72" s="962"/>
      <c r="AE72" s="963"/>
      <c r="AF72" s="961"/>
      <c r="AG72" s="962"/>
      <c r="AH72" s="962"/>
      <c r="AI72" s="963"/>
      <c r="AJ72" s="961"/>
      <c r="AK72" s="962"/>
      <c r="AL72" s="962"/>
      <c r="AM72" s="963"/>
      <c r="AN72" s="961"/>
      <c r="AO72" s="962"/>
      <c r="AP72" s="962"/>
      <c r="AQ72" s="963"/>
      <c r="AR72" s="961"/>
      <c r="AS72" s="962"/>
      <c r="AT72" s="962"/>
      <c r="AU72" s="963"/>
      <c r="AV72" s="961"/>
      <c r="AW72" s="962"/>
      <c r="AX72" s="962"/>
      <c r="AY72" s="963"/>
      <c r="AZ72" s="961"/>
      <c r="BA72" s="962"/>
      <c r="BB72" s="962"/>
      <c r="BC72" s="963"/>
      <c r="BD72" s="961"/>
      <c r="BE72" s="962"/>
      <c r="BF72" s="962"/>
      <c r="BG72" s="963"/>
      <c r="BH72" s="961"/>
      <c r="BI72" s="962"/>
      <c r="BJ72" s="962"/>
      <c r="BK72" s="963"/>
      <c r="BL72" s="961"/>
      <c r="BM72" s="962"/>
      <c r="BN72" s="962"/>
      <c r="BO72" s="963"/>
      <c r="BP72" s="961">
        <f t="shared" ref="BP72:BW72" si="97">SUM(BP71)</f>
        <v>8</v>
      </c>
      <c r="BQ72" s="962">
        <f t="shared" si="97"/>
        <v>9</v>
      </c>
      <c r="BR72" s="962">
        <f t="shared" si="97"/>
        <v>3</v>
      </c>
      <c r="BS72" s="963">
        <f t="shared" si="97"/>
        <v>20</v>
      </c>
      <c r="BT72" s="961">
        <f t="shared" si="97"/>
        <v>1</v>
      </c>
      <c r="BU72" s="962">
        <f t="shared" si="97"/>
        <v>4</v>
      </c>
      <c r="BV72" s="962">
        <f t="shared" si="97"/>
        <v>0</v>
      </c>
      <c r="BW72" s="963">
        <f t="shared" si="97"/>
        <v>5</v>
      </c>
      <c r="BX72" s="961">
        <f>SUM(BX71)</f>
        <v>4</v>
      </c>
      <c r="BY72" s="962">
        <f t="shared" ref="BY72:BZ72" si="98">SUM(BY71)</f>
        <v>6</v>
      </c>
      <c r="BZ72" s="962">
        <f t="shared" si="98"/>
        <v>3</v>
      </c>
      <c r="CA72" s="963">
        <f t="shared" ref="CA72" si="99">SUM(CA71)</f>
        <v>13</v>
      </c>
    </row>
    <row r="73" spans="1:79" s="945" customFormat="1" ht="15" customHeight="1" x14ac:dyDescent="0.25">
      <c r="A73" s="5764"/>
      <c r="B73" s="5859" t="s">
        <v>6</v>
      </c>
      <c r="C73" s="946" t="s">
        <v>504</v>
      </c>
      <c r="D73" s="800"/>
      <c r="E73" s="801"/>
      <c r="F73" s="801"/>
      <c r="G73" s="949"/>
      <c r="H73" s="800"/>
      <c r="I73" s="801"/>
      <c r="J73" s="801"/>
      <c r="K73" s="947"/>
      <c r="L73" s="800"/>
      <c r="M73" s="801"/>
      <c r="N73" s="801"/>
      <c r="O73" s="947"/>
      <c r="P73" s="800"/>
      <c r="Q73" s="801"/>
      <c r="R73" s="801"/>
      <c r="S73" s="949"/>
      <c r="T73" s="800"/>
      <c r="U73" s="801"/>
      <c r="V73" s="801"/>
      <c r="W73" s="949"/>
      <c r="X73" s="800"/>
      <c r="Y73" s="801"/>
      <c r="Z73" s="801"/>
      <c r="AA73" s="947"/>
      <c r="AB73" s="948"/>
      <c r="AC73" s="801"/>
      <c r="AD73" s="801"/>
      <c r="AE73" s="947"/>
      <c r="AF73" s="948"/>
      <c r="AG73" s="801"/>
      <c r="AH73" s="801"/>
      <c r="AI73" s="949"/>
      <c r="AJ73" s="948"/>
      <c r="AK73" s="801"/>
      <c r="AL73" s="829"/>
      <c r="AM73" s="949"/>
      <c r="AN73" s="948"/>
      <c r="AO73" s="801"/>
      <c r="AP73" s="829"/>
      <c r="AQ73" s="949"/>
      <c r="AR73" s="952"/>
      <c r="AS73" s="950"/>
      <c r="AT73" s="950"/>
      <c r="AU73" s="951"/>
      <c r="AV73" s="950"/>
      <c r="AW73" s="950"/>
      <c r="AX73" s="950"/>
      <c r="AY73" s="951"/>
      <c r="AZ73" s="952"/>
      <c r="BA73" s="950"/>
      <c r="BB73" s="950"/>
      <c r="BC73" s="951"/>
      <c r="BD73" s="952"/>
      <c r="BE73" s="950"/>
      <c r="BF73" s="950"/>
      <c r="BG73" s="951"/>
      <c r="BH73" s="952"/>
      <c r="BI73" s="950"/>
      <c r="BJ73" s="950"/>
      <c r="BK73" s="951"/>
      <c r="BL73" s="952"/>
      <c r="BM73" s="950"/>
      <c r="BN73" s="950"/>
      <c r="BO73" s="951"/>
      <c r="BP73" s="952">
        <v>10</v>
      </c>
      <c r="BQ73" s="950">
        <v>21</v>
      </c>
      <c r="BR73" s="950">
        <v>1</v>
      </c>
      <c r="BS73" s="951">
        <f>SUM(BP73:BR73)</f>
        <v>32</v>
      </c>
      <c r="BT73" s="952"/>
      <c r="BU73" s="950">
        <v>10</v>
      </c>
      <c r="BV73" s="950"/>
      <c r="BW73" s="951">
        <f>SUM(BT73:BV73)</f>
        <v>10</v>
      </c>
      <c r="BX73" s="952">
        <v>8</v>
      </c>
      <c r="BY73" s="950">
        <v>23</v>
      </c>
      <c r="BZ73" s="950">
        <v>0</v>
      </c>
      <c r="CA73" s="951">
        <f>SUM(BX73:BZ73)</f>
        <v>31</v>
      </c>
    </row>
    <row r="74" spans="1:79" s="945" customFormat="1" ht="15" customHeight="1" x14ac:dyDescent="0.25">
      <c r="A74" s="5764"/>
      <c r="B74" s="5860"/>
      <c r="C74" s="946" t="s">
        <v>612</v>
      </c>
      <c r="D74" s="800"/>
      <c r="E74" s="801"/>
      <c r="F74" s="801"/>
      <c r="G74" s="949"/>
      <c r="H74" s="800"/>
      <c r="I74" s="801"/>
      <c r="J74" s="801"/>
      <c r="K74" s="947"/>
      <c r="L74" s="800"/>
      <c r="M74" s="801"/>
      <c r="N74" s="801"/>
      <c r="O74" s="947"/>
      <c r="P74" s="800"/>
      <c r="Q74" s="801"/>
      <c r="R74" s="801"/>
      <c r="S74" s="949"/>
      <c r="T74" s="800"/>
      <c r="U74" s="801"/>
      <c r="V74" s="801"/>
      <c r="W74" s="949"/>
      <c r="X74" s="800"/>
      <c r="Y74" s="801"/>
      <c r="Z74" s="801"/>
      <c r="AA74" s="947"/>
      <c r="AB74" s="948"/>
      <c r="AC74" s="801"/>
      <c r="AD74" s="801"/>
      <c r="AE74" s="947"/>
      <c r="AF74" s="948"/>
      <c r="AG74" s="801"/>
      <c r="AH74" s="801"/>
      <c r="AI74" s="949"/>
      <c r="AJ74" s="948"/>
      <c r="AK74" s="801"/>
      <c r="AL74" s="829"/>
      <c r="AM74" s="949"/>
      <c r="AN74" s="948"/>
      <c r="AO74" s="801"/>
      <c r="AP74" s="829"/>
      <c r="AQ74" s="949"/>
      <c r="AR74" s="952"/>
      <c r="AS74" s="950"/>
      <c r="AT74" s="950"/>
      <c r="AU74" s="951"/>
      <c r="AV74" s="950"/>
      <c r="AW74" s="950"/>
      <c r="AX74" s="950"/>
      <c r="AY74" s="951"/>
      <c r="AZ74" s="952"/>
      <c r="BA74" s="950"/>
      <c r="BB74" s="950"/>
      <c r="BC74" s="951"/>
      <c r="BD74" s="952"/>
      <c r="BE74" s="950"/>
      <c r="BF74" s="950"/>
      <c r="BG74" s="951"/>
      <c r="BH74" s="952"/>
      <c r="BI74" s="950"/>
      <c r="BJ74" s="950"/>
      <c r="BK74" s="951"/>
      <c r="BL74" s="952"/>
      <c r="BM74" s="950"/>
      <c r="BN74" s="950"/>
      <c r="BO74" s="951"/>
      <c r="BP74" s="952"/>
      <c r="BQ74" s="950"/>
      <c r="BR74" s="950"/>
      <c r="BS74" s="951"/>
      <c r="BT74" s="952"/>
      <c r="BU74" s="950"/>
      <c r="BV74" s="950"/>
      <c r="BW74" s="951"/>
      <c r="BX74" s="952">
        <v>0</v>
      </c>
      <c r="BY74" s="950">
        <v>0</v>
      </c>
      <c r="BZ74" s="950">
        <v>7</v>
      </c>
      <c r="CA74" s="951">
        <f>SUM(BX74:BZ74)</f>
        <v>7</v>
      </c>
    </row>
    <row r="75" spans="1:79" s="945" customFormat="1" ht="15" customHeight="1" x14ac:dyDescent="0.25">
      <c r="A75" s="5764"/>
      <c r="B75" s="5861"/>
      <c r="C75" s="960" t="s">
        <v>160</v>
      </c>
      <c r="D75" s="961"/>
      <c r="E75" s="962"/>
      <c r="F75" s="962"/>
      <c r="G75" s="963"/>
      <c r="H75" s="961"/>
      <c r="I75" s="962"/>
      <c r="J75" s="962"/>
      <c r="K75" s="963"/>
      <c r="L75" s="961"/>
      <c r="M75" s="962"/>
      <c r="N75" s="962"/>
      <c r="O75" s="963"/>
      <c r="P75" s="961"/>
      <c r="Q75" s="962"/>
      <c r="R75" s="962"/>
      <c r="S75" s="963"/>
      <c r="T75" s="961"/>
      <c r="U75" s="962"/>
      <c r="V75" s="962"/>
      <c r="W75" s="963"/>
      <c r="X75" s="961"/>
      <c r="Y75" s="962"/>
      <c r="Z75" s="962"/>
      <c r="AA75" s="963"/>
      <c r="AB75" s="961"/>
      <c r="AC75" s="962"/>
      <c r="AD75" s="962"/>
      <c r="AE75" s="963"/>
      <c r="AF75" s="961"/>
      <c r="AG75" s="962"/>
      <c r="AH75" s="962"/>
      <c r="AI75" s="963"/>
      <c r="AJ75" s="961"/>
      <c r="AK75" s="962"/>
      <c r="AL75" s="962"/>
      <c r="AM75" s="963"/>
      <c r="AN75" s="961"/>
      <c r="AO75" s="962"/>
      <c r="AP75" s="962"/>
      <c r="AQ75" s="963"/>
      <c r="AR75" s="961"/>
      <c r="AS75" s="962"/>
      <c r="AT75" s="962"/>
      <c r="AU75" s="963"/>
      <c r="AV75" s="961"/>
      <c r="AW75" s="962"/>
      <c r="AX75" s="962"/>
      <c r="AY75" s="963"/>
      <c r="AZ75" s="961"/>
      <c r="BA75" s="962"/>
      <c r="BB75" s="962"/>
      <c r="BC75" s="963"/>
      <c r="BD75" s="961"/>
      <c r="BE75" s="962"/>
      <c r="BF75" s="962"/>
      <c r="BG75" s="963"/>
      <c r="BH75" s="961"/>
      <c r="BI75" s="962"/>
      <c r="BJ75" s="962"/>
      <c r="BK75" s="963"/>
      <c r="BL75" s="961"/>
      <c r="BM75" s="962"/>
      <c r="BN75" s="962"/>
      <c r="BO75" s="963"/>
      <c r="BP75" s="961">
        <f t="shared" ref="BP75:BW75" si="100">SUM(BP73:BP74)</f>
        <v>10</v>
      </c>
      <c r="BQ75" s="962">
        <f t="shared" si="100"/>
        <v>21</v>
      </c>
      <c r="BR75" s="962">
        <f t="shared" si="100"/>
        <v>1</v>
      </c>
      <c r="BS75" s="963">
        <f t="shared" si="100"/>
        <v>32</v>
      </c>
      <c r="BT75" s="961">
        <f t="shared" si="100"/>
        <v>0</v>
      </c>
      <c r="BU75" s="962">
        <f t="shared" si="100"/>
        <v>10</v>
      </c>
      <c r="BV75" s="962">
        <f t="shared" si="100"/>
        <v>0</v>
      </c>
      <c r="BW75" s="963">
        <f t="shared" si="100"/>
        <v>10</v>
      </c>
      <c r="BX75" s="961">
        <f>SUM(BX73:BX74)</f>
        <v>8</v>
      </c>
      <c r="BY75" s="962">
        <f t="shared" ref="BY75:BZ75" si="101">SUM(BY73:BY74)</f>
        <v>23</v>
      </c>
      <c r="BZ75" s="962">
        <f t="shared" si="101"/>
        <v>7</v>
      </c>
      <c r="CA75" s="963">
        <f t="shared" ref="CA75" si="102">SUM(CA73:CA74)</f>
        <v>38</v>
      </c>
    </row>
    <row r="76" spans="1:79" s="945" customFormat="1" ht="15" customHeight="1" x14ac:dyDescent="0.25">
      <c r="A76" s="5765"/>
      <c r="B76" s="5887" t="s">
        <v>11</v>
      </c>
      <c r="C76" s="953" t="s">
        <v>505</v>
      </c>
      <c r="D76" s="4166"/>
      <c r="E76" s="4167"/>
      <c r="F76" s="4167"/>
      <c r="G76" s="4168"/>
      <c r="H76" s="4166"/>
      <c r="I76" s="4167"/>
      <c r="J76" s="4167"/>
      <c r="K76" s="4167"/>
      <c r="L76" s="4166"/>
      <c r="M76" s="4167"/>
      <c r="N76" s="4167"/>
      <c r="O76" s="4167"/>
      <c r="P76" s="4166"/>
      <c r="Q76" s="4167"/>
      <c r="R76" s="4167"/>
      <c r="S76" s="4168"/>
      <c r="T76" s="4166"/>
      <c r="U76" s="4167"/>
      <c r="V76" s="4167"/>
      <c r="W76" s="4168"/>
      <c r="X76" s="4166"/>
      <c r="Y76" s="4167"/>
      <c r="Z76" s="4167"/>
      <c r="AA76" s="4167"/>
      <c r="AB76" s="4166"/>
      <c r="AC76" s="4167"/>
      <c r="AD76" s="4167"/>
      <c r="AE76" s="4167"/>
      <c r="AF76" s="4166"/>
      <c r="AG76" s="4167"/>
      <c r="AH76" s="4167"/>
      <c r="AI76" s="4168"/>
      <c r="AJ76" s="4166"/>
      <c r="AK76" s="4167"/>
      <c r="AL76" s="4167"/>
      <c r="AM76" s="4168"/>
      <c r="AN76" s="4166"/>
      <c r="AO76" s="4167"/>
      <c r="AP76" s="4167"/>
      <c r="AQ76" s="4168"/>
      <c r="AR76" s="4424"/>
      <c r="AS76" s="4169"/>
      <c r="AT76" s="4169"/>
      <c r="AU76" s="4170"/>
      <c r="AV76" s="4169"/>
      <c r="AW76" s="4169"/>
      <c r="AX76" s="4169"/>
      <c r="AY76" s="4170"/>
      <c r="AZ76" s="4166"/>
      <c r="BA76" s="4167"/>
      <c r="BB76" s="4167"/>
      <c r="BC76" s="4168"/>
      <c r="BD76" s="4166"/>
      <c r="BE76" s="4167"/>
      <c r="BF76" s="4167"/>
      <c r="BG76" s="4168"/>
      <c r="BH76" s="4166"/>
      <c r="BI76" s="4167"/>
      <c r="BJ76" s="4167"/>
      <c r="BK76" s="4168"/>
      <c r="BL76" s="4166"/>
      <c r="BM76" s="4167"/>
      <c r="BN76" s="4167"/>
      <c r="BO76" s="4168"/>
      <c r="BP76" s="4172">
        <v>9</v>
      </c>
      <c r="BQ76" s="4173">
        <v>14</v>
      </c>
      <c r="BR76" s="4173"/>
      <c r="BS76" s="4174">
        <f>SUM(BP76:BR76)</f>
        <v>23</v>
      </c>
      <c r="BT76" s="4172">
        <v>5</v>
      </c>
      <c r="BU76" s="4173">
        <v>9</v>
      </c>
      <c r="BV76" s="4173"/>
      <c r="BW76" s="4174">
        <f>SUM(BT76:BV76)</f>
        <v>14</v>
      </c>
      <c r="BX76" s="4172">
        <v>11</v>
      </c>
      <c r="BY76" s="4173">
        <v>12</v>
      </c>
      <c r="BZ76" s="4173">
        <v>7</v>
      </c>
      <c r="CA76" s="4174">
        <f>SUM(BX76:BZ76)</f>
        <v>30</v>
      </c>
    </row>
    <row r="77" spans="1:79" s="945" customFormat="1" ht="15" customHeight="1" x14ac:dyDescent="0.25">
      <c r="A77" s="5765"/>
      <c r="B77" s="5861"/>
      <c r="C77" s="960" t="s">
        <v>160</v>
      </c>
      <c r="D77" s="961"/>
      <c r="E77" s="962"/>
      <c r="F77" s="962"/>
      <c r="G77" s="963"/>
      <c r="H77" s="961"/>
      <c r="I77" s="962"/>
      <c r="J77" s="962"/>
      <c r="K77" s="963"/>
      <c r="L77" s="961"/>
      <c r="M77" s="962"/>
      <c r="N77" s="962"/>
      <c r="O77" s="963"/>
      <c r="P77" s="961"/>
      <c r="Q77" s="962"/>
      <c r="R77" s="962"/>
      <c r="S77" s="963"/>
      <c r="T77" s="961"/>
      <c r="U77" s="962"/>
      <c r="V77" s="962"/>
      <c r="W77" s="963"/>
      <c r="X77" s="961"/>
      <c r="Y77" s="962"/>
      <c r="Z77" s="962"/>
      <c r="AA77" s="963"/>
      <c r="AB77" s="961"/>
      <c r="AC77" s="962"/>
      <c r="AD77" s="962"/>
      <c r="AE77" s="963"/>
      <c r="AF77" s="961"/>
      <c r="AG77" s="962"/>
      <c r="AH77" s="962"/>
      <c r="AI77" s="963"/>
      <c r="AJ77" s="961"/>
      <c r="AK77" s="962"/>
      <c r="AL77" s="962"/>
      <c r="AM77" s="963"/>
      <c r="AN77" s="961"/>
      <c r="AO77" s="962"/>
      <c r="AP77" s="962"/>
      <c r="AQ77" s="963"/>
      <c r="AR77" s="961"/>
      <c r="AS77" s="962"/>
      <c r="AT77" s="962"/>
      <c r="AU77" s="963"/>
      <c r="AV77" s="961"/>
      <c r="AW77" s="962"/>
      <c r="AX77" s="962"/>
      <c r="AY77" s="963"/>
      <c r="AZ77" s="961"/>
      <c r="BA77" s="962"/>
      <c r="BB77" s="962"/>
      <c r="BC77" s="963"/>
      <c r="BD77" s="961"/>
      <c r="BE77" s="962"/>
      <c r="BF77" s="962"/>
      <c r="BG77" s="963"/>
      <c r="BH77" s="961"/>
      <c r="BI77" s="962"/>
      <c r="BJ77" s="962"/>
      <c r="BK77" s="963"/>
      <c r="BL77" s="961"/>
      <c r="BM77" s="962"/>
      <c r="BN77" s="962"/>
      <c r="BO77" s="963"/>
      <c r="BP77" s="961">
        <f t="shared" ref="BP77:BW77" si="103">SUM(BP76)</f>
        <v>9</v>
      </c>
      <c r="BQ77" s="962">
        <f t="shared" si="103"/>
        <v>14</v>
      </c>
      <c r="BR77" s="962">
        <f t="shared" si="103"/>
        <v>0</v>
      </c>
      <c r="BS77" s="963">
        <f t="shared" si="103"/>
        <v>23</v>
      </c>
      <c r="BT77" s="961">
        <f t="shared" si="103"/>
        <v>5</v>
      </c>
      <c r="BU77" s="962">
        <f t="shared" si="103"/>
        <v>9</v>
      </c>
      <c r="BV77" s="962">
        <f t="shared" si="103"/>
        <v>0</v>
      </c>
      <c r="BW77" s="963">
        <f t="shared" si="103"/>
        <v>14</v>
      </c>
      <c r="BX77" s="961">
        <f>SUM(BX76)</f>
        <v>11</v>
      </c>
      <c r="BY77" s="962">
        <f t="shared" ref="BY77:BZ77" si="104">SUM(BY76)</f>
        <v>12</v>
      </c>
      <c r="BZ77" s="962">
        <f t="shared" si="104"/>
        <v>7</v>
      </c>
      <c r="CA77" s="963">
        <f t="shared" ref="CA77" si="105">SUM(CA76)</f>
        <v>30</v>
      </c>
    </row>
    <row r="78" spans="1:79" s="945" customFormat="1" ht="15" customHeight="1" x14ac:dyDescent="0.25">
      <c r="A78" s="5766"/>
      <c r="B78" s="3564"/>
      <c r="C78" s="2217" t="s">
        <v>510</v>
      </c>
      <c r="D78" s="4166"/>
      <c r="E78" s="4167"/>
      <c r="F78" s="4167"/>
      <c r="G78" s="4168"/>
      <c r="H78" s="4166"/>
      <c r="I78" s="4167"/>
      <c r="J78" s="4167"/>
      <c r="K78" s="4167"/>
      <c r="L78" s="4166"/>
      <c r="M78" s="4167"/>
      <c r="N78" s="4167"/>
      <c r="O78" s="4167"/>
      <c r="P78" s="4166"/>
      <c r="Q78" s="4167"/>
      <c r="R78" s="4167"/>
      <c r="S78" s="4168"/>
      <c r="T78" s="4166"/>
      <c r="U78" s="4167"/>
      <c r="V78" s="4167"/>
      <c r="W78" s="4168"/>
      <c r="X78" s="4166"/>
      <c r="Y78" s="4167"/>
      <c r="Z78" s="4167"/>
      <c r="AA78" s="4167"/>
      <c r="AB78" s="4166"/>
      <c r="AC78" s="4167"/>
      <c r="AD78" s="4167"/>
      <c r="AE78" s="4167"/>
      <c r="AF78" s="4166"/>
      <c r="AG78" s="4167"/>
      <c r="AH78" s="4167"/>
      <c r="AI78" s="4168"/>
      <c r="AJ78" s="4166"/>
      <c r="AK78" s="4167"/>
      <c r="AL78" s="4167"/>
      <c r="AM78" s="4168"/>
      <c r="AN78" s="4166"/>
      <c r="AO78" s="4167"/>
      <c r="AP78" s="4167"/>
      <c r="AQ78" s="4168"/>
      <c r="AR78" s="4424"/>
      <c r="AS78" s="4169"/>
      <c r="AT78" s="4169"/>
      <c r="AU78" s="4170"/>
      <c r="AV78" s="4169"/>
      <c r="AW78" s="4169"/>
      <c r="AX78" s="4169"/>
      <c r="AY78" s="4170"/>
      <c r="AZ78" s="4166"/>
      <c r="BA78" s="4167"/>
      <c r="BB78" s="4167"/>
      <c r="BC78" s="4168"/>
      <c r="BD78" s="4166"/>
      <c r="BE78" s="4167"/>
      <c r="BF78" s="4167"/>
      <c r="BG78" s="4168"/>
      <c r="BH78" s="4166"/>
      <c r="BI78" s="4167"/>
      <c r="BJ78" s="4167"/>
      <c r="BK78" s="4168"/>
      <c r="BL78" s="4166"/>
      <c r="BM78" s="4167"/>
      <c r="BN78" s="4167"/>
      <c r="BO78" s="4168"/>
      <c r="BP78" s="4175">
        <f t="shared" ref="BP78:BW78" si="106">SUM(BP77,BP75,BP72)</f>
        <v>27</v>
      </c>
      <c r="BQ78" s="4176">
        <f t="shared" si="106"/>
        <v>44</v>
      </c>
      <c r="BR78" s="4176">
        <f t="shared" si="106"/>
        <v>4</v>
      </c>
      <c r="BS78" s="4177">
        <f t="shared" si="106"/>
        <v>75</v>
      </c>
      <c r="BT78" s="4175">
        <f t="shared" si="106"/>
        <v>6</v>
      </c>
      <c r="BU78" s="4176">
        <f t="shared" si="106"/>
        <v>23</v>
      </c>
      <c r="BV78" s="4176">
        <f t="shared" si="106"/>
        <v>0</v>
      </c>
      <c r="BW78" s="4177">
        <f t="shared" si="106"/>
        <v>29</v>
      </c>
      <c r="BX78" s="4175">
        <f t="shared" ref="BX78:CA78" si="107">SUM(BX77,BX75,BX72)</f>
        <v>23</v>
      </c>
      <c r="BY78" s="4176">
        <f t="shared" si="107"/>
        <v>41</v>
      </c>
      <c r="BZ78" s="4176">
        <f t="shared" si="107"/>
        <v>17</v>
      </c>
      <c r="CA78" s="4177">
        <f t="shared" si="107"/>
        <v>81</v>
      </c>
    </row>
    <row r="79" spans="1:79" s="945" customFormat="1" ht="15" customHeight="1" x14ac:dyDescent="0.25">
      <c r="A79" s="5696" t="s">
        <v>10</v>
      </c>
      <c r="B79" s="5884" t="s">
        <v>6</v>
      </c>
      <c r="C79" s="938" t="s">
        <v>456</v>
      </c>
      <c r="D79" s="794">
        <v>72</v>
      </c>
      <c r="E79" s="795">
        <v>79</v>
      </c>
      <c r="F79" s="795"/>
      <c r="G79" s="941">
        <v>151</v>
      </c>
      <c r="H79" s="794">
        <v>55</v>
      </c>
      <c r="I79" s="795">
        <v>79</v>
      </c>
      <c r="J79" s="795"/>
      <c r="K79" s="939">
        <v>134</v>
      </c>
      <c r="L79" s="794">
        <v>47</v>
      </c>
      <c r="M79" s="795">
        <v>35</v>
      </c>
      <c r="N79" s="795"/>
      <c r="O79" s="939">
        <v>82</v>
      </c>
      <c r="P79" s="794">
        <v>76</v>
      </c>
      <c r="Q79" s="795">
        <v>61</v>
      </c>
      <c r="R79" s="795"/>
      <c r="S79" s="941">
        <v>137</v>
      </c>
      <c r="T79" s="794">
        <v>54</v>
      </c>
      <c r="U79" s="795">
        <v>60</v>
      </c>
      <c r="V79" s="795" t="s">
        <v>227</v>
      </c>
      <c r="W79" s="941">
        <f t="shared" ref="W79:W84" si="108">SUM(T79:V79)</f>
        <v>114</v>
      </c>
      <c r="X79" s="794">
        <v>53</v>
      </c>
      <c r="Y79" s="795">
        <v>59</v>
      </c>
      <c r="Z79" s="795" t="s">
        <v>227</v>
      </c>
      <c r="AA79" s="939">
        <f t="shared" ref="AA79:AA84" si="109">SUM(X79:Z79)</f>
        <v>112</v>
      </c>
      <c r="AB79" s="940">
        <v>46</v>
      </c>
      <c r="AC79" s="795">
        <v>49</v>
      </c>
      <c r="AD79" s="795" t="s">
        <v>227</v>
      </c>
      <c r="AE79" s="939">
        <f t="shared" ref="AE79:AE84" si="110">SUM(AB79:AD79)</f>
        <v>95</v>
      </c>
      <c r="AF79" s="940">
        <v>50</v>
      </c>
      <c r="AG79" s="795">
        <v>53</v>
      </c>
      <c r="AH79" s="795" t="s">
        <v>227</v>
      </c>
      <c r="AI79" s="941">
        <f t="shared" ref="AI79:AI84" si="111">SUM(AF79:AH79)</f>
        <v>103</v>
      </c>
      <c r="AJ79" s="940">
        <v>49</v>
      </c>
      <c r="AK79" s="795">
        <v>66</v>
      </c>
      <c r="AL79" s="795"/>
      <c r="AM79" s="941">
        <f t="shared" ref="AM79:AM84" si="112">SUM(AJ79:AL79)</f>
        <v>115</v>
      </c>
      <c r="AN79" s="940">
        <v>91</v>
      </c>
      <c r="AO79" s="795">
        <v>63</v>
      </c>
      <c r="AP79" s="795" t="s">
        <v>227</v>
      </c>
      <c r="AQ79" s="941">
        <f t="shared" ref="AQ79:AQ84" si="113">SUM(AN79:AP79)</f>
        <v>154</v>
      </c>
      <c r="AR79" s="944">
        <v>56</v>
      </c>
      <c r="AS79" s="942">
        <v>28</v>
      </c>
      <c r="AT79" s="942" t="s">
        <v>227</v>
      </c>
      <c r="AU79" s="943">
        <f t="shared" ref="AU79:AU100" si="114">SUM(AR79:AT79)</f>
        <v>84</v>
      </c>
      <c r="AV79" s="942">
        <v>55</v>
      </c>
      <c r="AW79" s="942">
        <v>58</v>
      </c>
      <c r="AX79" s="942" t="s">
        <v>227</v>
      </c>
      <c r="AY79" s="943">
        <f t="shared" ref="AY79:AY100" si="115">SUM(AV79:AX79)</f>
        <v>113</v>
      </c>
      <c r="AZ79" s="944">
        <v>59</v>
      </c>
      <c r="BA79" s="942">
        <v>60</v>
      </c>
      <c r="BB79" s="942"/>
      <c r="BC79" s="943">
        <f t="shared" ref="BC79:BC84" si="116">SUM(AZ79:BB79)</f>
        <v>119</v>
      </c>
      <c r="BD79" s="944">
        <v>51</v>
      </c>
      <c r="BE79" s="942">
        <v>76</v>
      </c>
      <c r="BF79" s="942">
        <v>3</v>
      </c>
      <c r="BG79" s="943">
        <f t="shared" si="8"/>
        <v>130</v>
      </c>
      <c r="BH79" s="944">
        <v>53</v>
      </c>
      <c r="BI79" s="942">
        <v>92</v>
      </c>
      <c r="BJ79" s="942">
        <v>4</v>
      </c>
      <c r="BK79" s="943">
        <f t="shared" ref="BK79:BK84" si="117">SUM(BH79:BJ79)</f>
        <v>149</v>
      </c>
      <c r="BL79" s="944">
        <v>41</v>
      </c>
      <c r="BM79" s="942">
        <v>65</v>
      </c>
      <c r="BN79" s="942"/>
      <c r="BO79" s="943">
        <f t="shared" ref="BO79:BO84" si="118">SUM(BL79:BN79)</f>
        <v>106</v>
      </c>
      <c r="BP79" s="944">
        <v>49</v>
      </c>
      <c r="BQ79" s="942">
        <v>62</v>
      </c>
      <c r="BR79" s="942">
        <v>1</v>
      </c>
      <c r="BS79" s="943">
        <f t="shared" ref="BS79:BS84" si="119">SUM(BP79:BR79)</f>
        <v>112</v>
      </c>
      <c r="BT79" s="944">
        <v>42</v>
      </c>
      <c r="BU79" s="942">
        <v>82</v>
      </c>
      <c r="BV79" s="942"/>
      <c r="BW79" s="943">
        <f t="shared" ref="BW79:BW84" si="120">SUM(BT79:BV79)</f>
        <v>124</v>
      </c>
      <c r="BX79" s="944">
        <v>51</v>
      </c>
      <c r="BY79" s="942">
        <v>52</v>
      </c>
      <c r="BZ79" s="942"/>
      <c r="CA79" s="943">
        <f t="shared" ref="CA79:CA84" si="121">SUM(BX79:BZ79)</f>
        <v>103</v>
      </c>
    </row>
    <row r="80" spans="1:79" s="945" customFormat="1" ht="15" customHeight="1" x14ac:dyDescent="0.25">
      <c r="A80" s="5697"/>
      <c r="B80" s="5885"/>
      <c r="C80" s="946" t="s">
        <v>484</v>
      </c>
      <c r="D80" s="800">
        <v>82</v>
      </c>
      <c r="E80" s="801">
        <v>80</v>
      </c>
      <c r="F80" s="801"/>
      <c r="G80" s="949">
        <v>162</v>
      </c>
      <c r="H80" s="800">
        <v>76</v>
      </c>
      <c r="I80" s="801">
        <v>101</v>
      </c>
      <c r="J80" s="801"/>
      <c r="K80" s="947">
        <v>177</v>
      </c>
      <c r="L80" s="800">
        <v>72</v>
      </c>
      <c r="M80" s="801">
        <v>124</v>
      </c>
      <c r="N80" s="801"/>
      <c r="O80" s="947">
        <v>196</v>
      </c>
      <c r="P80" s="800">
        <v>73</v>
      </c>
      <c r="Q80" s="801">
        <v>85</v>
      </c>
      <c r="R80" s="801"/>
      <c r="S80" s="949">
        <v>158</v>
      </c>
      <c r="T80" s="800">
        <v>66</v>
      </c>
      <c r="U80" s="801">
        <v>114</v>
      </c>
      <c r="V80" s="801" t="s">
        <v>227</v>
      </c>
      <c r="W80" s="949">
        <f t="shared" si="108"/>
        <v>180</v>
      </c>
      <c r="X80" s="800">
        <v>60</v>
      </c>
      <c r="Y80" s="801">
        <v>87</v>
      </c>
      <c r="Z80" s="801" t="s">
        <v>227</v>
      </c>
      <c r="AA80" s="947">
        <f t="shared" si="109"/>
        <v>147</v>
      </c>
      <c r="AB80" s="948">
        <v>50</v>
      </c>
      <c r="AC80" s="801">
        <v>87</v>
      </c>
      <c r="AD80" s="801" t="s">
        <v>227</v>
      </c>
      <c r="AE80" s="947">
        <f t="shared" si="110"/>
        <v>137</v>
      </c>
      <c r="AF80" s="948">
        <v>50</v>
      </c>
      <c r="AG80" s="801">
        <v>97</v>
      </c>
      <c r="AH80" s="801" t="s">
        <v>227</v>
      </c>
      <c r="AI80" s="949">
        <f t="shared" si="111"/>
        <v>147</v>
      </c>
      <c r="AJ80" s="948">
        <v>81</v>
      </c>
      <c r="AK80" s="801">
        <v>109</v>
      </c>
      <c r="AL80" s="801"/>
      <c r="AM80" s="949">
        <f t="shared" si="112"/>
        <v>190</v>
      </c>
      <c r="AN80" s="948">
        <v>111</v>
      </c>
      <c r="AO80" s="801">
        <v>110</v>
      </c>
      <c r="AP80" s="801" t="s">
        <v>227</v>
      </c>
      <c r="AQ80" s="949">
        <f t="shared" si="113"/>
        <v>221</v>
      </c>
      <c r="AR80" s="952">
        <v>66</v>
      </c>
      <c r="AS80" s="950">
        <v>127</v>
      </c>
      <c r="AT80" s="950" t="s">
        <v>227</v>
      </c>
      <c r="AU80" s="951">
        <f t="shared" si="114"/>
        <v>193</v>
      </c>
      <c r="AV80" s="950">
        <v>90</v>
      </c>
      <c r="AW80" s="950">
        <v>103</v>
      </c>
      <c r="AX80" s="950" t="s">
        <v>227</v>
      </c>
      <c r="AY80" s="951">
        <f t="shared" si="115"/>
        <v>193</v>
      </c>
      <c r="AZ80" s="952">
        <v>49</v>
      </c>
      <c r="BA80" s="950">
        <v>127</v>
      </c>
      <c r="BB80" s="950"/>
      <c r="BC80" s="951">
        <f t="shared" si="116"/>
        <v>176</v>
      </c>
      <c r="BD80" s="952">
        <v>75</v>
      </c>
      <c r="BE80" s="950">
        <v>95</v>
      </c>
      <c r="BF80" s="950"/>
      <c r="BG80" s="951">
        <f t="shared" si="8"/>
        <v>170</v>
      </c>
      <c r="BH80" s="952">
        <v>74</v>
      </c>
      <c r="BI80" s="950">
        <v>103</v>
      </c>
      <c r="BJ80" s="950"/>
      <c r="BK80" s="951">
        <f t="shared" si="117"/>
        <v>177</v>
      </c>
      <c r="BL80" s="952">
        <v>84</v>
      </c>
      <c r="BM80" s="950">
        <v>90</v>
      </c>
      <c r="BN80" s="950"/>
      <c r="BO80" s="951">
        <f t="shared" si="118"/>
        <v>174</v>
      </c>
      <c r="BP80" s="952">
        <v>48</v>
      </c>
      <c r="BQ80" s="950">
        <v>123</v>
      </c>
      <c r="BR80" s="950">
        <v>0</v>
      </c>
      <c r="BS80" s="951">
        <f t="shared" si="119"/>
        <v>171</v>
      </c>
      <c r="BT80" s="952">
        <v>76</v>
      </c>
      <c r="BU80" s="950">
        <v>106</v>
      </c>
      <c r="BV80" s="950"/>
      <c r="BW80" s="951">
        <f t="shared" si="120"/>
        <v>182</v>
      </c>
      <c r="BX80" s="952">
        <v>68</v>
      </c>
      <c r="BY80" s="950">
        <v>104</v>
      </c>
      <c r="BZ80" s="950"/>
      <c r="CA80" s="951">
        <f t="shared" si="121"/>
        <v>172</v>
      </c>
    </row>
    <row r="81" spans="1:79" s="945" customFormat="1" ht="15" customHeight="1" x14ac:dyDescent="0.25">
      <c r="A81" s="5697"/>
      <c r="B81" s="5885"/>
      <c r="C81" s="946" t="s">
        <v>458</v>
      </c>
      <c r="D81" s="800">
        <v>32</v>
      </c>
      <c r="E81" s="801">
        <v>46</v>
      </c>
      <c r="F81" s="801"/>
      <c r="G81" s="949">
        <v>78</v>
      </c>
      <c r="H81" s="800">
        <v>29</v>
      </c>
      <c r="I81" s="801">
        <v>33</v>
      </c>
      <c r="J81" s="801"/>
      <c r="K81" s="947">
        <v>62</v>
      </c>
      <c r="L81" s="800">
        <v>24</v>
      </c>
      <c r="M81" s="801">
        <v>22</v>
      </c>
      <c r="N81" s="801"/>
      <c r="O81" s="947">
        <v>46</v>
      </c>
      <c r="P81" s="800">
        <v>26</v>
      </c>
      <c r="Q81" s="801">
        <v>48</v>
      </c>
      <c r="R81" s="801"/>
      <c r="S81" s="949">
        <v>74</v>
      </c>
      <c r="T81" s="800">
        <v>36</v>
      </c>
      <c r="U81" s="801">
        <v>33</v>
      </c>
      <c r="V81" s="801" t="s">
        <v>227</v>
      </c>
      <c r="W81" s="949">
        <f t="shared" si="108"/>
        <v>69</v>
      </c>
      <c r="X81" s="800">
        <v>23</v>
      </c>
      <c r="Y81" s="801">
        <v>25</v>
      </c>
      <c r="Z81" s="801" t="s">
        <v>227</v>
      </c>
      <c r="AA81" s="947">
        <f t="shared" si="109"/>
        <v>48</v>
      </c>
      <c r="AB81" s="948">
        <v>38</v>
      </c>
      <c r="AC81" s="801">
        <v>33</v>
      </c>
      <c r="AD81" s="801" t="s">
        <v>227</v>
      </c>
      <c r="AE81" s="947">
        <f t="shared" si="110"/>
        <v>71</v>
      </c>
      <c r="AF81" s="948">
        <v>28</v>
      </c>
      <c r="AG81" s="801">
        <v>18</v>
      </c>
      <c r="AH81" s="801" t="s">
        <v>227</v>
      </c>
      <c r="AI81" s="949">
        <f t="shared" si="111"/>
        <v>46</v>
      </c>
      <c r="AJ81" s="948">
        <v>27</v>
      </c>
      <c r="AK81" s="801">
        <v>36</v>
      </c>
      <c r="AL81" s="801"/>
      <c r="AM81" s="949">
        <f t="shared" si="112"/>
        <v>63</v>
      </c>
      <c r="AN81" s="948">
        <v>31</v>
      </c>
      <c r="AO81" s="801">
        <v>36</v>
      </c>
      <c r="AP81" s="801" t="s">
        <v>227</v>
      </c>
      <c r="AQ81" s="949">
        <f t="shared" si="113"/>
        <v>67</v>
      </c>
      <c r="AR81" s="952">
        <v>28</v>
      </c>
      <c r="AS81" s="950">
        <v>58</v>
      </c>
      <c r="AT81" s="950" t="s">
        <v>227</v>
      </c>
      <c r="AU81" s="951">
        <f t="shared" si="114"/>
        <v>86</v>
      </c>
      <c r="AV81" s="950">
        <v>86</v>
      </c>
      <c r="AW81" s="950">
        <v>40</v>
      </c>
      <c r="AX81" s="950" t="s">
        <v>227</v>
      </c>
      <c r="AY81" s="951">
        <f t="shared" si="115"/>
        <v>126</v>
      </c>
      <c r="AZ81" s="952">
        <v>37</v>
      </c>
      <c r="BA81" s="950">
        <v>39</v>
      </c>
      <c r="BB81" s="950">
        <v>2</v>
      </c>
      <c r="BC81" s="951">
        <f t="shared" si="116"/>
        <v>78</v>
      </c>
      <c r="BD81" s="952">
        <v>49</v>
      </c>
      <c r="BE81" s="950">
        <v>31</v>
      </c>
      <c r="BF81" s="950">
        <v>1</v>
      </c>
      <c r="BG81" s="951">
        <f t="shared" si="8"/>
        <v>81</v>
      </c>
      <c r="BH81" s="952">
        <v>23</v>
      </c>
      <c r="BI81" s="950">
        <v>34</v>
      </c>
      <c r="BJ81" s="950">
        <v>5</v>
      </c>
      <c r="BK81" s="951">
        <f t="shared" si="117"/>
        <v>62</v>
      </c>
      <c r="BL81" s="952">
        <v>26</v>
      </c>
      <c r="BM81" s="950">
        <v>44</v>
      </c>
      <c r="BN81" s="950">
        <v>4</v>
      </c>
      <c r="BO81" s="951">
        <f t="shared" si="118"/>
        <v>74</v>
      </c>
      <c r="BP81" s="952">
        <v>38</v>
      </c>
      <c r="BQ81" s="950">
        <v>39</v>
      </c>
      <c r="BR81" s="950">
        <v>4</v>
      </c>
      <c r="BS81" s="951">
        <f t="shared" si="119"/>
        <v>81</v>
      </c>
      <c r="BT81" s="952">
        <v>42</v>
      </c>
      <c r="BU81" s="950">
        <v>50</v>
      </c>
      <c r="BV81" s="950">
        <v>3</v>
      </c>
      <c r="BW81" s="951">
        <f t="shared" si="120"/>
        <v>95</v>
      </c>
      <c r="BX81" s="952">
        <v>34</v>
      </c>
      <c r="BY81" s="950">
        <v>32</v>
      </c>
      <c r="BZ81" s="950"/>
      <c r="CA81" s="951">
        <f t="shared" si="121"/>
        <v>66</v>
      </c>
    </row>
    <row r="82" spans="1:79" s="945" customFormat="1" ht="15" customHeight="1" x14ac:dyDescent="0.25">
      <c r="A82" s="5697"/>
      <c r="B82" s="5885"/>
      <c r="C82" s="946" t="s">
        <v>485</v>
      </c>
      <c r="D82" s="800">
        <v>149</v>
      </c>
      <c r="E82" s="801">
        <v>141</v>
      </c>
      <c r="F82" s="801"/>
      <c r="G82" s="949">
        <v>290</v>
      </c>
      <c r="H82" s="800">
        <v>139</v>
      </c>
      <c r="I82" s="801">
        <v>173</v>
      </c>
      <c r="J82" s="801"/>
      <c r="K82" s="947">
        <v>312</v>
      </c>
      <c r="L82" s="800">
        <v>144</v>
      </c>
      <c r="M82" s="801">
        <v>181</v>
      </c>
      <c r="N82" s="801"/>
      <c r="O82" s="947">
        <v>325</v>
      </c>
      <c r="P82" s="800">
        <v>159</v>
      </c>
      <c r="Q82" s="801">
        <v>164</v>
      </c>
      <c r="R82" s="801"/>
      <c r="S82" s="949">
        <v>323</v>
      </c>
      <c r="T82" s="800">
        <v>165</v>
      </c>
      <c r="U82" s="801">
        <v>137</v>
      </c>
      <c r="V82" s="801" t="s">
        <v>227</v>
      </c>
      <c r="W82" s="949">
        <f t="shared" si="108"/>
        <v>302</v>
      </c>
      <c r="X82" s="800">
        <v>145</v>
      </c>
      <c r="Y82" s="801">
        <v>141</v>
      </c>
      <c r="Z82" s="801" t="s">
        <v>227</v>
      </c>
      <c r="AA82" s="947">
        <f t="shared" si="109"/>
        <v>286</v>
      </c>
      <c r="AB82" s="948">
        <v>120</v>
      </c>
      <c r="AC82" s="801">
        <v>157</v>
      </c>
      <c r="AD82" s="801" t="s">
        <v>227</v>
      </c>
      <c r="AE82" s="947">
        <f t="shared" si="110"/>
        <v>277</v>
      </c>
      <c r="AF82" s="948">
        <v>160</v>
      </c>
      <c r="AG82" s="801">
        <v>135</v>
      </c>
      <c r="AH82" s="801" t="s">
        <v>227</v>
      </c>
      <c r="AI82" s="949">
        <f t="shared" si="111"/>
        <v>295</v>
      </c>
      <c r="AJ82" s="948">
        <v>140</v>
      </c>
      <c r="AK82" s="801">
        <v>147</v>
      </c>
      <c r="AL82" s="801"/>
      <c r="AM82" s="949">
        <f t="shared" si="112"/>
        <v>287</v>
      </c>
      <c r="AN82" s="948">
        <v>185</v>
      </c>
      <c r="AO82" s="801">
        <v>180</v>
      </c>
      <c r="AP82" s="801" t="s">
        <v>227</v>
      </c>
      <c r="AQ82" s="949">
        <f t="shared" si="113"/>
        <v>365</v>
      </c>
      <c r="AR82" s="952">
        <v>184</v>
      </c>
      <c r="AS82" s="950">
        <v>200</v>
      </c>
      <c r="AT82" s="950" t="s">
        <v>227</v>
      </c>
      <c r="AU82" s="951">
        <f t="shared" si="114"/>
        <v>384</v>
      </c>
      <c r="AV82" s="950">
        <v>137</v>
      </c>
      <c r="AW82" s="950">
        <v>151</v>
      </c>
      <c r="AX82" s="950" t="s">
        <v>227</v>
      </c>
      <c r="AY82" s="951">
        <f t="shared" si="115"/>
        <v>288</v>
      </c>
      <c r="AZ82" s="952">
        <v>139</v>
      </c>
      <c r="BA82" s="950">
        <v>135</v>
      </c>
      <c r="BB82" s="950"/>
      <c r="BC82" s="951">
        <f t="shared" si="116"/>
        <v>274</v>
      </c>
      <c r="BD82" s="952">
        <v>109</v>
      </c>
      <c r="BE82" s="950">
        <v>151</v>
      </c>
      <c r="BF82" s="950"/>
      <c r="BG82" s="951">
        <f t="shared" si="8"/>
        <v>260</v>
      </c>
      <c r="BH82" s="952">
        <v>148</v>
      </c>
      <c r="BI82" s="950">
        <v>185</v>
      </c>
      <c r="BJ82" s="950"/>
      <c r="BK82" s="951">
        <f t="shared" si="117"/>
        <v>333</v>
      </c>
      <c r="BL82" s="952">
        <v>137</v>
      </c>
      <c r="BM82" s="950">
        <v>158</v>
      </c>
      <c r="BN82" s="950"/>
      <c r="BO82" s="951">
        <f t="shared" si="118"/>
        <v>295</v>
      </c>
      <c r="BP82" s="952">
        <v>153</v>
      </c>
      <c r="BQ82" s="950">
        <v>132</v>
      </c>
      <c r="BR82" s="950">
        <v>0</v>
      </c>
      <c r="BS82" s="951">
        <f t="shared" si="119"/>
        <v>285</v>
      </c>
      <c r="BT82" s="952">
        <v>156</v>
      </c>
      <c r="BU82" s="950">
        <v>148</v>
      </c>
      <c r="BV82" s="950"/>
      <c r="BW82" s="951">
        <f t="shared" si="120"/>
        <v>304</v>
      </c>
      <c r="BX82" s="952">
        <v>106</v>
      </c>
      <c r="BY82" s="950">
        <v>176</v>
      </c>
      <c r="BZ82" s="950"/>
      <c r="CA82" s="951">
        <f t="shared" si="121"/>
        <v>282</v>
      </c>
    </row>
    <row r="83" spans="1:79" s="945" customFormat="1" ht="15" customHeight="1" x14ac:dyDescent="0.25">
      <c r="A83" s="5697"/>
      <c r="B83" s="5885"/>
      <c r="C83" s="946" t="s">
        <v>459</v>
      </c>
      <c r="D83" s="800">
        <v>40</v>
      </c>
      <c r="E83" s="801">
        <v>50</v>
      </c>
      <c r="F83" s="801"/>
      <c r="G83" s="949">
        <v>90</v>
      </c>
      <c r="H83" s="800">
        <v>44</v>
      </c>
      <c r="I83" s="801">
        <v>41</v>
      </c>
      <c r="J83" s="801"/>
      <c r="K83" s="947">
        <v>85</v>
      </c>
      <c r="L83" s="800">
        <v>44</v>
      </c>
      <c r="M83" s="801">
        <v>57</v>
      </c>
      <c r="N83" s="801"/>
      <c r="O83" s="947">
        <v>101</v>
      </c>
      <c r="P83" s="800">
        <v>66</v>
      </c>
      <c r="Q83" s="801">
        <v>87</v>
      </c>
      <c r="R83" s="801"/>
      <c r="S83" s="949">
        <v>153</v>
      </c>
      <c r="T83" s="800">
        <v>48</v>
      </c>
      <c r="U83" s="801">
        <v>66</v>
      </c>
      <c r="V83" s="801" t="s">
        <v>227</v>
      </c>
      <c r="W83" s="949">
        <f t="shared" si="108"/>
        <v>114</v>
      </c>
      <c r="X83" s="800">
        <v>47</v>
      </c>
      <c r="Y83" s="801">
        <v>54</v>
      </c>
      <c r="Z83" s="801" t="s">
        <v>227</v>
      </c>
      <c r="AA83" s="947">
        <f t="shared" si="109"/>
        <v>101</v>
      </c>
      <c r="AB83" s="948">
        <v>55</v>
      </c>
      <c r="AC83" s="801">
        <v>60</v>
      </c>
      <c r="AD83" s="801" t="s">
        <v>227</v>
      </c>
      <c r="AE83" s="947">
        <f t="shared" si="110"/>
        <v>115</v>
      </c>
      <c r="AF83" s="948">
        <v>78</v>
      </c>
      <c r="AG83" s="801">
        <v>65</v>
      </c>
      <c r="AH83" s="801" t="s">
        <v>227</v>
      </c>
      <c r="AI83" s="949">
        <f t="shared" si="111"/>
        <v>143</v>
      </c>
      <c r="AJ83" s="948">
        <v>31</v>
      </c>
      <c r="AK83" s="801">
        <v>71</v>
      </c>
      <c r="AL83" s="801"/>
      <c r="AM83" s="949">
        <f t="shared" si="112"/>
        <v>102</v>
      </c>
      <c r="AN83" s="948">
        <v>48</v>
      </c>
      <c r="AO83" s="801">
        <v>99</v>
      </c>
      <c r="AP83" s="801" t="s">
        <v>227</v>
      </c>
      <c r="AQ83" s="949">
        <f t="shared" si="113"/>
        <v>147</v>
      </c>
      <c r="AR83" s="952">
        <v>51</v>
      </c>
      <c r="AS83" s="950">
        <v>83</v>
      </c>
      <c r="AT83" s="950" t="s">
        <v>227</v>
      </c>
      <c r="AU83" s="951">
        <f t="shared" si="114"/>
        <v>134</v>
      </c>
      <c r="AV83" s="950">
        <v>46</v>
      </c>
      <c r="AW83" s="950">
        <v>73</v>
      </c>
      <c r="AX83" s="950" t="s">
        <v>227</v>
      </c>
      <c r="AY83" s="951">
        <f t="shared" si="115"/>
        <v>119</v>
      </c>
      <c r="AZ83" s="952">
        <v>48</v>
      </c>
      <c r="BA83" s="950">
        <v>67</v>
      </c>
      <c r="BB83" s="950">
        <v>1</v>
      </c>
      <c r="BC83" s="951">
        <f t="shared" si="116"/>
        <v>116</v>
      </c>
      <c r="BD83" s="952">
        <v>48</v>
      </c>
      <c r="BE83" s="950">
        <v>59</v>
      </c>
      <c r="BF83" s="950"/>
      <c r="BG83" s="951">
        <f t="shared" si="8"/>
        <v>107</v>
      </c>
      <c r="BH83" s="952">
        <v>71</v>
      </c>
      <c r="BI83" s="950">
        <v>63</v>
      </c>
      <c r="BJ83" s="950"/>
      <c r="BK83" s="951">
        <f t="shared" si="117"/>
        <v>134</v>
      </c>
      <c r="BL83" s="952">
        <v>53</v>
      </c>
      <c r="BM83" s="950">
        <v>64</v>
      </c>
      <c r="BN83" s="950"/>
      <c r="BO83" s="951">
        <f t="shared" si="118"/>
        <v>117</v>
      </c>
      <c r="BP83" s="952">
        <v>57</v>
      </c>
      <c r="BQ83" s="950">
        <v>70</v>
      </c>
      <c r="BR83" s="950">
        <v>0</v>
      </c>
      <c r="BS83" s="951">
        <f t="shared" si="119"/>
        <v>127</v>
      </c>
      <c r="BT83" s="952">
        <v>56</v>
      </c>
      <c r="BU83" s="950">
        <v>59</v>
      </c>
      <c r="BV83" s="950"/>
      <c r="BW83" s="951">
        <f t="shared" si="120"/>
        <v>115</v>
      </c>
      <c r="BX83" s="952">
        <v>51</v>
      </c>
      <c r="BY83" s="950">
        <v>39</v>
      </c>
      <c r="BZ83" s="950"/>
      <c r="CA83" s="951">
        <f t="shared" si="121"/>
        <v>90</v>
      </c>
    </row>
    <row r="84" spans="1:79" s="945" customFormat="1" ht="15" customHeight="1" x14ac:dyDescent="0.25">
      <c r="A84" s="5697"/>
      <c r="B84" s="5885"/>
      <c r="C84" s="953" t="s">
        <v>486</v>
      </c>
      <c r="D84" s="809">
        <v>0</v>
      </c>
      <c r="E84" s="810">
        <v>0</v>
      </c>
      <c r="F84" s="810"/>
      <c r="G84" s="956">
        <v>0</v>
      </c>
      <c r="H84" s="809">
        <v>0</v>
      </c>
      <c r="I84" s="810">
        <v>0</v>
      </c>
      <c r="J84" s="810"/>
      <c r="K84" s="954">
        <v>0</v>
      </c>
      <c r="L84" s="809">
        <v>0</v>
      </c>
      <c r="M84" s="810">
        <v>13</v>
      </c>
      <c r="N84" s="810"/>
      <c r="O84" s="954">
        <v>13</v>
      </c>
      <c r="P84" s="809">
        <v>3</v>
      </c>
      <c r="Q84" s="810">
        <v>16</v>
      </c>
      <c r="R84" s="810"/>
      <c r="S84" s="956">
        <v>19</v>
      </c>
      <c r="T84" s="809">
        <v>21</v>
      </c>
      <c r="U84" s="810">
        <v>18</v>
      </c>
      <c r="V84" s="810" t="s">
        <v>227</v>
      </c>
      <c r="W84" s="956">
        <f t="shared" si="108"/>
        <v>39</v>
      </c>
      <c r="X84" s="809">
        <v>9</v>
      </c>
      <c r="Y84" s="810">
        <v>14</v>
      </c>
      <c r="Z84" s="810" t="s">
        <v>227</v>
      </c>
      <c r="AA84" s="954">
        <f t="shared" si="109"/>
        <v>23</v>
      </c>
      <c r="AB84" s="955">
        <v>12</v>
      </c>
      <c r="AC84" s="810">
        <v>25</v>
      </c>
      <c r="AD84" s="810" t="s">
        <v>227</v>
      </c>
      <c r="AE84" s="954">
        <f t="shared" si="110"/>
        <v>37</v>
      </c>
      <c r="AF84" s="955">
        <v>23</v>
      </c>
      <c r="AG84" s="810">
        <v>4</v>
      </c>
      <c r="AH84" s="810" t="s">
        <v>227</v>
      </c>
      <c r="AI84" s="956">
        <f t="shared" si="111"/>
        <v>27</v>
      </c>
      <c r="AJ84" s="955">
        <v>13</v>
      </c>
      <c r="AK84" s="810">
        <v>26</v>
      </c>
      <c r="AL84" s="853"/>
      <c r="AM84" s="956">
        <f t="shared" si="112"/>
        <v>39</v>
      </c>
      <c r="AN84" s="955">
        <v>19</v>
      </c>
      <c r="AO84" s="810">
        <v>20</v>
      </c>
      <c r="AP84" s="853" t="s">
        <v>227</v>
      </c>
      <c r="AQ84" s="956">
        <f t="shared" si="113"/>
        <v>39</v>
      </c>
      <c r="AR84" s="959">
        <v>21</v>
      </c>
      <c r="AS84" s="957">
        <v>24</v>
      </c>
      <c r="AT84" s="957">
        <v>1</v>
      </c>
      <c r="AU84" s="958">
        <f t="shared" si="114"/>
        <v>46</v>
      </c>
      <c r="AV84" s="957">
        <v>17</v>
      </c>
      <c r="AW84" s="957">
        <v>29</v>
      </c>
      <c r="AX84" s="957" t="s">
        <v>227</v>
      </c>
      <c r="AY84" s="958">
        <f t="shared" si="115"/>
        <v>46</v>
      </c>
      <c r="AZ84" s="959">
        <v>25</v>
      </c>
      <c r="BA84" s="957">
        <v>28</v>
      </c>
      <c r="BB84" s="957"/>
      <c r="BC84" s="958">
        <f t="shared" si="116"/>
        <v>53</v>
      </c>
      <c r="BD84" s="959">
        <v>19</v>
      </c>
      <c r="BE84" s="957">
        <v>27</v>
      </c>
      <c r="BF84" s="957"/>
      <c r="BG84" s="958">
        <f t="shared" si="8"/>
        <v>46</v>
      </c>
      <c r="BH84" s="959">
        <v>26</v>
      </c>
      <c r="BI84" s="957">
        <v>29</v>
      </c>
      <c r="BJ84" s="957"/>
      <c r="BK84" s="958">
        <f t="shared" si="117"/>
        <v>55</v>
      </c>
      <c r="BL84" s="959">
        <v>25</v>
      </c>
      <c r="BM84" s="957">
        <v>17</v>
      </c>
      <c r="BN84" s="957"/>
      <c r="BO84" s="958">
        <f t="shared" si="118"/>
        <v>42</v>
      </c>
      <c r="BP84" s="959">
        <v>17</v>
      </c>
      <c r="BQ84" s="957">
        <v>14</v>
      </c>
      <c r="BR84" s="957">
        <v>2</v>
      </c>
      <c r="BS84" s="958">
        <f t="shared" si="119"/>
        <v>33</v>
      </c>
      <c r="BT84" s="959">
        <v>18</v>
      </c>
      <c r="BU84" s="957">
        <v>26</v>
      </c>
      <c r="BV84" s="957">
        <v>1</v>
      </c>
      <c r="BW84" s="958">
        <f t="shared" si="120"/>
        <v>45</v>
      </c>
      <c r="BX84" s="959">
        <v>27</v>
      </c>
      <c r="BY84" s="957">
        <v>20</v>
      </c>
      <c r="BZ84" s="957"/>
      <c r="CA84" s="958">
        <f t="shared" si="121"/>
        <v>47</v>
      </c>
    </row>
    <row r="85" spans="1:79" s="945" customFormat="1" ht="15" customHeight="1" x14ac:dyDescent="0.25">
      <c r="A85" s="5697"/>
      <c r="B85" s="5886"/>
      <c r="C85" s="960" t="s">
        <v>160</v>
      </c>
      <c r="D85" s="961">
        <v>375</v>
      </c>
      <c r="E85" s="962">
        <v>396</v>
      </c>
      <c r="F85" s="962"/>
      <c r="G85" s="963">
        <v>771</v>
      </c>
      <c r="H85" s="961">
        <v>343</v>
      </c>
      <c r="I85" s="962">
        <v>427</v>
      </c>
      <c r="J85" s="962"/>
      <c r="K85" s="963">
        <v>770</v>
      </c>
      <c r="L85" s="961">
        <v>331</v>
      </c>
      <c r="M85" s="962">
        <v>432</v>
      </c>
      <c r="N85" s="962"/>
      <c r="O85" s="963">
        <v>763</v>
      </c>
      <c r="P85" s="961">
        <v>403</v>
      </c>
      <c r="Q85" s="962">
        <v>461</v>
      </c>
      <c r="R85" s="962"/>
      <c r="S85" s="963">
        <v>864</v>
      </c>
      <c r="T85" s="961">
        <f t="shared" ref="T85:BB85" si="122">SUM(T79:T84)</f>
        <v>390</v>
      </c>
      <c r="U85" s="962">
        <f t="shared" si="122"/>
        <v>428</v>
      </c>
      <c r="V85" s="962">
        <f t="shared" si="122"/>
        <v>0</v>
      </c>
      <c r="W85" s="963">
        <f t="shared" si="122"/>
        <v>818</v>
      </c>
      <c r="X85" s="961">
        <f t="shared" si="122"/>
        <v>337</v>
      </c>
      <c r="Y85" s="962">
        <f t="shared" si="122"/>
        <v>380</v>
      </c>
      <c r="Z85" s="962">
        <f t="shared" si="122"/>
        <v>0</v>
      </c>
      <c r="AA85" s="963">
        <f t="shared" si="122"/>
        <v>717</v>
      </c>
      <c r="AB85" s="961">
        <f t="shared" si="122"/>
        <v>321</v>
      </c>
      <c r="AC85" s="962">
        <f t="shared" si="122"/>
        <v>411</v>
      </c>
      <c r="AD85" s="962">
        <f t="shared" si="122"/>
        <v>0</v>
      </c>
      <c r="AE85" s="963">
        <f t="shared" si="122"/>
        <v>732</v>
      </c>
      <c r="AF85" s="961">
        <f t="shared" si="122"/>
        <v>389</v>
      </c>
      <c r="AG85" s="962">
        <f t="shared" si="122"/>
        <v>372</v>
      </c>
      <c r="AH85" s="962">
        <f t="shared" si="122"/>
        <v>0</v>
      </c>
      <c r="AI85" s="963">
        <f t="shared" si="122"/>
        <v>761</v>
      </c>
      <c r="AJ85" s="961">
        <f t="shared" si="122"/>
        <v>341</v>
      </c>
      <c r="AK85" s="962">
        <f t="shared" si="122"/>
        <v>455</v>
      </c>
      <c r="AL85" s="962">
        <f t="shared" si="122"/>
        <v>0</v>
      </c>
      <c r="AM85" s="963">
        <f t="shared" si="122"/>
        <v>796</v>
      </c>
      <c r="AN85" s="961">
        <f t="shared" si="122"/>
        <v>485</v>
      </c>
      <c r="AO85" s="962">
        <f t="shared" si="122"/>
        <v>508</v>
      </c>
      <c r="AP85" s="962">
        <f t="shared" si="122"/>
        <v>0</v>
      </c>
      <c r="AQ85" s="963">
        <f t="shared" si="122"/>
        <v>993</v>
      </c>
      <c r="AR85" s="961">
        <f t="shared" si="122"/>
        <v>406</v>
      </c>
      <c r="AS85" s="962">
        <f t="shared" si="122"/>
        <v>520</v>
      </c>
      <c r="AT85" s="962">
        <f t="shared" si="122"/>
        <v>1</v>
      </c>
      <c r="AU85" s="963">
        <f t="shared" si="114"/>
        <v>927</v>
      </c>
      <c r="AV85" s="961">
        <f>SUM(AV79:AV84)</f>
        <v>431</v>
      </c>
      <c r="AW85" s="962">
        <f>SUM(AW79:AW84)</f>
        <v>454</v>
      </c>
      <c r="AX85" s="962">
        <f>SUM(AX79:AX84)</f>
        <v>0</v>
      </c>
      <c r="AY85" s="963">
        <f t="shared" si="115"/>
        <v>885</v>
      </c>
      <c r="AZ85" s="961">
        <f t="shared" si="122"/>
        <v>357</v>
      </c>
      <c r="BA85" s="962">
        <f t="shared" si="122"/>
        <v>456</v>
      </c>
      <c r="BB85" s="962">
        <f t="shared" si="122"/>
        <v>3</v>
      </c>
      <c r="BC85" s="963">
        <f t="shared" ref="BC85:BK85" si="123">SUM(BC79:BC84)</f>
        <v>816</v>
      </c>
      <c r="BD85" s="961">
        <f t="shared" si="123"/>
        <v>351</v>
      </c>
      <c r="BE85" s="962">
        <f t="shared" si="123"/>
        <v>439</v>
      </c>
      <c r="BF85" s="962">
        <f t="shared" si="123"/>
        <v>4</v>
      </c>
      <c r="BG85" s="963">
        <f t="shared" si="123"/>
        <v>794</v>
      </c>
      <c r="BH85" s="961">
        <f t="shared" si="123"/>
        <v>395</v>
      </c>
      <c r="BI85" s="962">
        <f t="shared" si="123"/>
        <v>506</v>
      </c>
      <c r="BJ85" s="962">
        <f t="shared" si="123"/>
        <v>9</v>
      </c>
      <c r="BK85" s="963">
        <f t="shared" si="123"/>
        <v>910</v>
      </c>
      <c r="BL85" s="961">
        <f t="shared" ref="BL85:BS85" si="124">SUM(BL79:BL84)</f>
        <v>366</v>
      </c>
      <c r="BM85" s="962">
        <f t="shared" si="124"/>
        <v>438</v>
      </c>
      <c r="BN85" s="962">
        <f t="shared" si="124"/>
        <v>4</v>
      </c>
      <c r="BO85" s="963">
        <f t="shared" si="124"/>
        <v>808</v>
      </c>
      <c r="BP85" s="961">
        <f t="shared" si="124"/>
        <v>362</v>
      </c>
      <c r="BQ85" s="962">
        <f t="shared" si="124"/>
        <v>440</v>
      </c>
      <c r="BR85" s="962">
        <f t="shared" si="124"/>
        <v>7</v>
      </c>
      <c r="BS85" s="963">
        <f t="shared" si="124"/>
        <v>809</v>
      </c>
      <c r="BT85" s="961">
        <f>SUM(BT79:BT84)</f>
        <v>390</v>
      </c>
      <c r="BU85" s="962">
        <f>SUM(BU79:BU84)</f>
        <v>471</v>
      </c>
      <c r="BV85" s="962">
        <f>SUM(BV79:BV84)</f>
        <v>4</v>
      </c>
      <c r="BW85" s="963">
        <f>SUM(BW79:BW84)</f>
        <v>865</v>
      </c>
      <c r="BX85" s="961">
        <f>SUM(BX79:BX84)</f>
        <v>337</v>
      </c>
      <c r="BY85" s="962">
        <f t="shared" ref="BY85:BZ85" si="125">SUM(BY79:BY84)</f>
        <v>423</v>
      </c>
      <c r="BZ85" s="962">
        <f t="shared" si="125"/>
        <v>0</v>
      </c>
      <c r="CA85" s="963">
        <f>SUM(CA79:CA84)</f>
        <v>760</v>
      </c>
    </row>
    <row r="86" spans="1:79" s="945" customFormat="1" ht="15" customHeight="1" x14ac:dyDescent="0.25">
      <c r="A86" s="5697"/>
      <c r="B86" s="5885" t="s">
        <v>11</v>
      </c>
      <c r="C86" s="938" t="s">
        <v>478</v>
      </c>
      <c r="D86" s="794">
        <v>25</v>
      </c>
      <c r="E86" s="795">
        <v>62</v>
      </c>
      <c r="F86" s="795">
        <v>35</v>
      </c>
      <c r="G86" s="941">
        <v>122</v>
      </c>
      <c r="H86" s="794">
        <v>52</v>
      </c>
      <c r="I86" s="795">
        <v>77</v>
      </c>
      <c r="J86" s="795">
        <v>33</v>
      </c>
      <c r="K86" s="939">
        <v>162</v>
      </c>
      <c r="L86" s="794">
        <v>43</v>
      </c>
      <c r="M86" s="795">
        <v>50</v>
      </c>
      <c r="N86" s="795">
        <v>61</v>
      </c>
      <c r="O86" s="939">
        <v>154</v>
      </c>
      <c r="P86" s="794">
        <v>37</v>
      </c>
      <c r="Q86" s="795">
        <v>65</v>
      </c>
      <c r="R86" s="795">
        <v>37</v>
      </c>
      <c r="S86" s="941">
        <v>139</v>
      </c>
      <c r="T86" s="794">
        <v>36</v>
      </c>
      <c r="U86" s="795">
        <v>42</v>
      </c>
      <c r="V86" s="795">
        <v>24</v>
      </c>
      <c r="W86" s="941">
        <f t="shared" ref="W86:W93" si="126">SUM(T86:V86)</f>
        <v>102</v>
      </c>
      <c r="X86" s="794">
        <v>33</v>
      </c>
      <c r="Y86" s="795">
        <v>45</v>
      </c>
      <c r="Z86" s="795">
        <v>27</v>
      </c>
      <c r="AA86" s="939">
        <f t="shared" ref="AA86:AA93" si="127">SUM(X86:Z86)</f>
        <v>105</v>
      </c>
      <c r="AB86" s="940">
        <v>28</v>
      </c>
      <c r="AC86" s="795">
        <v>50</v>
      </c>
      <c r="AD86" s="795">
        <v>25</v>
      </c>
      <c r="AE86" s="939">
        <f t="shared" ref="AE86:AE93" si="128">SUM(AB86:AD86)</f>
        <v>103</v>
      </c>
      <c r="AF86" s="940">
        <v>36</v>
      </c>
      <c r="AG86" s="795">
        <v>41</v>
      </c>
      <c r="AH86" s="795">
        <v>31</v>
      </c>
      <c r="AI86" s="941">
        <f t="shared" ref="AI86:AI93" si="129">SUM(AF86:AH86)</f>
        <v>108</v>
      </c>
      <c r="AJ86" s="940">
        <v>39</v>
      </c>
      <c r="AK86" s="795">
        <v>51</v>
      </c>
      <c r="AL86" s="827">
        <v>18</v>
      </c>
      <c r="AM86" s="941">
        <f t="shared" ref="AM86:AM93" si="130">SUM(AJ86:AL86)</f>
        <v>108</v>
      </c>
      <c r="AN86" s="940">
        <v>36</v>
      </c>
      <c r="AO86" s="795">
        <v>39</v>
      </c>
      <c r="AP86" s="827">
        <v>47</v>
      </c>
      <c r="AQ86" s="941">
        <f t="shared" ref="AQ86:AQ93" si="131">SUM(AN86:AP86)</f>
        <v>122</v>
      </c>
      <c r="AR86" s="944">
        <v>18</v>
      </c>
      <c r="AS86" s="942">
        <v>95</v>
      </c>
      <c r="AT86" s="942">
        <v>47</v>
      </c>
      <c r="AU86" s="943">
        <f t="shared" si="114"/>
        <v>160</v>
      </c>
      <c r="AV86" s="942">
        <v>42</v>
      </c>
      <c r="AW86" s="942">
        <v>70</v>
      </c>
      <c r="AX86" s="942">
        <v>33</v>
      </c>
      <c r="AY86" s="943">
        <f t="shared" si="115"/>
        <v>145</v>
      </c>
      <c r="AZ86" s="944">
        <v>48</v>
      </c>
      <c r="BA86" s="942">
        <v>70</v>
      </c>
      <c r="BB86" s="942">
        <v>31</v>
      </c>
      <c r="BC86" s="943">
        <f>SUM(AZ86:BB86)</f>
        <v>149</v>
      </c>
      <c r="BD86" s="944">
        <v>53</v>
      </c>
      <c r="BE86" s="942">
        <v>64</v>
      </c>
      <c r="BF86" s="942">
        <v>34</v>
      </c>
      <c r="BG86" s="943">
        <f t="shared" si="8"/>
        <v>151</v>
      </c>
      <c r="BH86" s="944">
        <v>57</v>
      </c>
      <c r="BI86" s="942">
        <v>55</v>
      </c>
      <c r="BJ86" s="942">
        <v>33</v>
      </c>
      <c r="BK86" s="943">
        <f t="shared" ref="BK86:BK93" si="132">SUM(BH86:BJ86)</f>
        <v>145</v>
      </c>
      <c r="BL86" s="944">
        <v>45</v>
      </c>
      <c r="BM86" s="942">
        <v>66</v>
      </c>
      <c r="BN86" s="942">
        <v>49</v>
      </c>
      <c r="BO86" s="943">
        <f t="shared" ref="BO86:BO93" si="133">SUM(BL86:BN86)</f>
        <v>160</v>
      </c>
      <c r="BP86" s="944">
        <v>42</v>
      </c>
      <c r="BQ86" s="942">
        <v>41</v>
      </c>
      <c r="BR86" s="942">
        <v>28</v>
      </c>
      <c r="BS86" s="943">
        <f t="shared" ref="BS86:BS93" si="134">SUM(BP86:BR86)</f>
        <v>111</v>
      </c>
      <c r="BT86" s="944">
        <v>49</v>
      </c>
      <c r="BU86" s="942">
        <v>43</v>
      </c>
      <c r="BV86" s="942">
        <v>38</v>
      </c>
      <c r="BW86" s="943">
        <f t="shared" ref="BW86:BW93" si="135">SUM(BT86:BV86)</f>
        <v>130</v>
      </c>
      <c r="BX86" s="944">
        <v>45</v>
      </c>
      <c r="BY86" s="942">
        <v>70</v>
      </c>
      <c r="BZ86" s="942">
        <v>45</v>
      </c>
      <c r="CA86" s="943">
        <f t="shared" ref="CA86:CA93" si="136">SUM(BX86:BZ86)</f>
        <v>160</v>
      </c>
    </row>
    <row r="87" spans="1:79" s="945" customFormat="1" ht="15" customHeight="1" x14ac:dyDescent="0.25">
      <c r="A87" s="5697"/>
      <c r="B87" s="5885"/>
      <c r="C87" s="946" t="s">
        <v>487</v>
      </c>
      <c r="D87" s="800">
        <v>18</v>
      </c>
      <c r="E87" s="801">
        <v>35</v>
      </c>
      <c r="F87" s="801">
        <v>0</v>
      </c>
      <c r="G87" s="949">
        <v>53</v>
      </c>
      <c r="H87" s="800">
        <v>31</v>
      </c>
      <c r="I87" s="801">
        <v>39</v>
      </c>
      <c r="J87" s="801">
        <v>44</v>
      </c>
      <c r="K87" s="947">
        <v>114</v>
      </c>
      <c r="L87" s="800">
        <v>26</v>
      </c>
      <c r="M87" s="801">
        <v>35</v>
      </c>
      <c r="N87" s="801">
        <v>16</v>
      </c>
      <c r="O87" s="947">
        <v>77</v>
      </c>
      <c r="P87" s="800">
        <v>35</v>
      </c>
      <c r="Q87" s="801">
        <v>67</v>
      </c>
      <c r="R87" s="801">
        <v>16</v>
      </c>
      <c r="S87" s="949">
        <v>118</v>
      </c>
      <c r="T87" s="800">
        <v>26</v>
      </c>
      <c r="U87" s="801">
        <v>39</v>
      </c>
      <c r="V87" s="801">
        <v>16</v>
      </c>
      <c r="W87" s="949">
        <f t="shared" si="126"/>
        <v>81</v>
      </c>
      <c r="X87" s="800">
        <v>23</v>
      </c>
      <c r="Y87" s="801">
        <v>28</v>
      </c>
      <c r="Z87" s="801">
        <v>15</v>
      </c>
      <c r="AA87" s="947">
        <f t="shared" si="127"/>
        <v>66</v>
      </c>
      <c r="AB87" s="948">
        <v>16</v>
      </c>
      <c r="AC87" s="801">
        <v>22</v>
      </c>
      <c r="AD87" s="801">
        <v>2</v>
      </c>
      <c r="AE87" s="947">
        <f t="shared" si="128"/>
        <v>40</v>
      </c>
      <c r="AF87" s="948">
        <v>32</v>
      </c>
      <c r="AG87" s="801">
        <v>32</v>
      </c>
      <c r="AH87" s="801">
        <v>7</v>
      </c>
      <c r="AI87" s="949">
        <f t="shared" si="129"/>
        <v>71</v>
      </c>
      <c r="AJ87" s="948">
        <v>22</v>
      </c>
      <c r="AK87" s="801">
        <v>39</v>
      </c>
      <c r="AL87" s="829">
        <v>22</v>
      </c>
      <c r="AM87" s="949">
        <f t="shared" si="130"/>
        <v>83</v>
      </c>
      <c r="AN87" s="948">
        <v>44</v>
      </c>
      <c r="AO87" s="801">
        <v>52</v>
      </c>
      <c r="AP87" s="829">
        <v>26</v>
      </c>
      <c r="AQ87" s="949">
        <f t="shared" si="131"/>
        <v>122</v>
      </c>
      <c r="AR87" s="952">
        <v>41</v>
      </c>
      <c r="AS87" s="950">
        <v>44</v>
      </c>
      <c r="AT87" s="950">
        <v>7</v>
      </c>
      <c r="AU87" s="951">
        <f t="shared" si="114"/>
        <v>92</v>
      </c>
      <c r="AV87" s="950">
        <v>44</v>
      </c>
      <c r="AW87" s="950">
        <v>49</v>
      </c>
      <c r="AX87" s="950">
        <v>20</v>
      </c>
      <c r="AY87" s="951">
        <f t="shared" si="115"/>
        <v>113</v>
      </c>
      <c r="AZ87" s="952">
        <v>47</v>
      </c>
      <c r="BA87" s="950">
        <v>46</v>
      </c>
      <c r="BB87" s="950">
        <v>19</v>
      </c>
      <c r="BC87" s="951">
        <f>SUM(AZ87:BB87)</f>
        <v>112</v>
      </c>
      <c r="BD87" s="952">
        <v>52</v>
      </c>
      <c r="BE87" s="950">
        <v>63</v>
      </c>
      <c r="BF87" s="950">
        <v>25</v>
      </c>
      <c r="BG87" s="951">
        <f t="shared" si="8"/>
        <v>140</v>
      </c>
      <c r="BH87" s="952">
        <v>41</v>
      </c>
      <c r="BI87" s="950">
        <v>62</v>
      </c>
      <c r="BJ87" s="950">
        <v>23</v>
      </c>
      <c r="BK87" s="951">
        <f t="shared" si="132"/>
        <v>126</v>
      </c>
      <c r="BL87" s="952">
        <v>19</v>
      </c>
      <c r="BM87" s="950">
        <v>74</v>
      </c>
      <c r="BN87" s="950">
        <v>19</v>
      </c>
      <c r="BO87" s="951">
        <f t="shared" si="133"/>
        <v>112</v>
      </c>
      <c r="BP87" s="952">
        <v>29</v>
      </c>
      <c r="BQ87" s="950">
        <v>53</v>
      </c>
      <c r="BR87" s="950">
        <v>27</v>
      </c>
      <c r="BS87" s="951">
        <f t="shared" si="134"/>
        <v>109</v>
      </c>
      <c r="BT87" s="952">
        <v>31</v>
      </c>
      <c r="BU87" s="950">
        <v>50</v>
      </c>
      <c r="BV87" s="950">
        <v>20</v>
      </c>
      <c r="BW87" s="951">
        <f t="shared" si="135"/>
        <v>101</v>
      </c>
      <c r="BX87" s="952">
        <v>45</v>
      </c>
      <c r="BY87" s="950">
        <v>39</v>
      </c>
      <c r="BZ87" s="950">
        <v>17</v>
      </c>
      <c r="CA87" s="951">
        <f t="shared" si="136"/>
        <v>101</v>
      </c>
    </row>
    <row r="88" spans="1:79" s="945" customFormat="1" ht="15" customHeight="1" x14ac:dyDescent="0.25">
      <c r="A88" s="5697"/>
      <c r="B88" s="5885"/>
      <c r="C88" s="946" t="s">
        <v>488</v>
      </c>
      <c r="D88" s="800">
        <v>87</v>
      </c>
      <c r="E88" s="801">
        <v>95</v>
      </c>
      <c r="F88" s="801">
        <v>54</v>
      </c>
      <c r="G88" s="949">
        <v>236</v>
      </c>
      <c r="H88" s="800">
        <v>84</v>
      </c>
      <c r="I88" s="801">
        <v>96</v>
      </c>
      <c r="J88" s="801">
        <v>63</v>
      </c>
      <c r="K88" s="947">
        <v>243</v>
      </c>
      <c r="L88" s="800">
        <v>77</v>
      </c>
      <c r="M88" s="801">
        <v>108</v>
      </c>
      <c r="N88" s="801">
        <v>52</v>
      </c>
      <c r="O88" s="947">
        <v>237</v>
      </c>
      <c r="P88" s="800">
        <v>72</v>
      </c>
      <c r="Q88" s="801">
        <v>102</v>
      </c>
      <c r="R88" s="801">
        <v>62</v>
      </c>
      <c r="S88" s="949">
        <v>236</v>
      </c>
      <c r="T88" s="800">
        <v>78</v>
      </c>
      <c r="U88" s="801">
        <v>75</v>
      </c>
      <c r="V88" s="801">
        <v>59</v>
      </c>
      <c r="W88" s="949">
        <f t="shared" si="126"/>
        <v>212</v>
      </c>
      <c r="X88" s="800">
        <v>39</v>
      </c>
      <c r="Y88" s="801">
        <v>68</v>
      </c>
      <c r="Z88" s="801">
        <v>32</v>
      </c>
      <c r="AA88" s="947">
        <f t="shared" si="127"/>
        <v>139</v>
      </c>
      <c r="AB88" s="948">
        <v>54</v>
      </c>
      <c r="AC88" s="801">
        <v>69</v>
      </c>
      <c r="AD88" s="801">
        <v>22</v>
      </c>
      <c r="AE88" s="947">
        <f t="shared" si="128"/>
        <v>145</v>
      </c>
      <c r="AF88" s="948">
        <v>47</v>
      </c>
      <c r="AG88" s="801">
        <v>66</v>
      </c>
      <c r="AH88" s="801">
        <v>31</v>
      </c>
      <c r="AI88" s="949">
        <f t="shared" si="129"/>
        <v>144</v>
      </c>
      <c r="AJ88" s="948">
        <v>56</v>
      </c>
      <c r="AK88" s="801">
        <v>87</v>
      </c>
      <c r="AL88" s="829">
        <v>55</v>
      </c>
      <c r="AM88" s="949">
        <f t="shared" si="130"/>
        <v>198</v>
      </c>
      <c r="AN88" s="948">
        <v>109</v>
      </c>
      <c r="AO88" s="801">
        <v>112</v>
      </c>
      <c r="AP88" s="829">
        <v>58</v>
      </c>
      <c r="AQ88" s="949">
        <f t="shared" si="131"/>
        <v>279</v>
      </c>
      <c r="AR88" s="952">
        <v>97</v>
      </c>
      <c r="AS88" s="950">
        <v>95</v>
      </c>
      <c r="AT88" s="950">
        <v>53</v>
      </c>
      <c r="AU88" s="951">
        <f t="shared" si="114"/>
        <v>245</v>
      </c>
      <c r="AV88" s="950">
        <v>65</v>
      </c>
      <c r="AW88" s="950">
        <v>84</v>
      </c>
      <c r="AX88" s="950">
        <v>42</v>
      </c>
      <c r="AY88" s="951">
        <f t="shared" si="115"/>
        <v>191</v>
      </c>
      <c r="AZ88" s="952">
        <v>59</v>
      </c>
      <c r="BA88" s="950">
        <v>75</v>
      </c>
      <c r="BB88" s="950">
        <v>19</v>
      </c>
      <c r="BC88" s="951">
        <f t="shared" ref="BC88:BC93" si="137">SUM(AZ88:BB88)</f>
        <v>153</v>
      </c>
      <c r="BD88" s="952">
        <v>60</v>
      </c>
      <c r="BE88" s="950">
        <v>71</v>
      </c>
      <c r="BF88" s="950">
        <v>32</v>
      </c>
      <c r="BG88" s="951">
        <f t="shared" si="8"/>
        <v>163</v>
      </c>
      <c r="BH88" s="952">
        <v>48</v>
      </c>
      <c r="BI88" s="950">
        <v>57</v>
      </c>
      <c r="BJ88" s="950">
        <v>28</v>
      </c>
      <c r="BK88" s="951">
        <f t="shared" si="132"/>
        <v>133</v>
      </c>
      <c r="BL88" s="952">
        <v>57</v>
      </c>
      <c r="BM88" s="950">
        <v>74</v>
      </c>
      <c r="BN88" s="950">
        <v>14</v>
      </c>
      <c r="BO88" s="951">
        <f t="shared" si="133"/>
        <v>145</v>
      </c>
      <c r="BP88" s="952">
        <v>69</v>
      </c>
      <c r="BQ88" s="950">
        <v>58</v>
      </c>
      <c r="BR88" s="950">
        <v>29</v>
      </c>
      <c r="BS88" s="951">
        <f t="shared" si="134"/>
        <v>156</v>
      </c>
      <c r="BT88" s="952">
        <v>59</v>
      </c>
      <c r="BU88" s="950">
        <v>69</v>
      </c>
      <c r="BV88" s="950">
        <v>16</v>
      </c>
      <c r="BW88" s="951">
        <f t="shared" si="135"/>
        <v>144</v>
      </c>
      <c r="BX88" s="952">
        <v>47</v>
      </c>
      <c r="BY88" s="950">
        <v>70</v>
      </c>
      <c r="BZ88" s="950">
        <v>20</v>
      </c>
      <c r="CA88" s="951">
        <f t="shared" si="136"/>
        <v>137</v>
      </c>
    </row>
    <row r="89" spans="1:79" s="945" customFormat="1" ht="15" customHeight="1" x14ac:dyDescent="0.25">
      <c r="A89" s="5697"/>
      <c r="B89" s="5885"/>
      <c r="C89" s="946" t="s">
        <v>489</v>
      </c>
      <c r="D89" s="800">
        <v>66</v>
      </c>
      <c r="E89" s="801">
        <v>35</v>
      </c>
      <c r="F89" s="801">
        <v>72</v>
      </c>
      <c r="G89" s="949">
        <v>173</v>
      </c>
      <c r="H89" s="800">
        <v>61</v>
      </c>
      <c r="I89" s="801">
        <v>52</v>
      </c>
      <c r="J89" s="801">
        <v>54</v>
      </c>
      <c r="K89" s="947">
        <v>167</v>
      </c>
      <c r="L89" s="800">
        <v>50</v>
      </c>
      <c r="M89" s="801">
        <v>54</v>
      </c>
      <c r="N89" s="801">
        <v>61</v>
      </c>
      <c r="O89" s="947">
        <v>165</v>
      </c>
      <c r="P89" s="800">
        <v>57</v>
      </c>
      <c r="Q89" s="801">
        <v>61</v>
      </c>
      <c r="R89" s="801">
        <v>76</v>
      </c>
      <c r="S89" s="949">
        <v>194</v>
      </c>
      <c r="T89" s="800">
        <v>42</v>
      </c>
      <c r="U89" s="801">
        <v>58</v>
      </c>
      <c r="V89" s="801">
        <v>54</v>
      </c>
      <c r="W89" s="949">
        <f t="shared" si="126"/>
        <v>154</v>
      </c>
      <c r="X89" s="800">
        <v>50</v>
      </c>
      <c r="Y89" s="801">
        <v>66</v>
      </c>
      <c r="Z89" s="801">
        <v>43</v>
      </c>
      <c r="AA89" s="947">
        <f t="shared" si="127"/>
        <v>159</v>
      </c>
      <c r="AB89" s="948">
        <v>36</v>
      </c>
      <c r="AC89" s="801">
        <v>64</v>
      </c>
      <c r="AD89" s="801">
        <v>62</v>
      </c>
      <c r="AE89" s="947">
        <f t="shared" si="128"/>
        <v>162</v>
      </c>
      <c r="AF89" s="948">
        <v>36</v>
      </c>
      <c r="AG89" s="801">
        <v>61</v>
      </c>
      <c r="AH89" s="801">
        <v>73</v>
      </c>
      <c r="AI89" s="949">
        <f t="shared" si="129"/>
        <v>170</v>
      </c>
      <c r="AJ89" s="948">
        <v>44</v>
      </c>
      <c r="AK89" s="801">
        <v>71</v>
      </c>
      <c r="AL89" s="829">
        <v>67</v>
      </c>
      <c r="AM89" s="949">
        <f t="shared" si="130"/>
        <v>182</v>
      </c>
      <c r="AN89" s="948">
        <v>45</v>
      </c>
      <c r="AO89" s="801">
        <v>83</v>
      </c>
      <c r="AP89" s="829">
        <v>60</v>
      </c>
      <c r="AQ89" s="949">
        <f t="shared" si="131"/>
        <v>188</v>
      </c>
      <c r="AR89" s="952">
        <v>41</v>
      </c>
      <c r="AS89" s="950">
        <v>74</v>
      </c>
      <c r="AT89" s="950">
        <v>54</v>
      </c>
      <c r="AU89" s="951">
        <f t="shared" si="114"/>
        <v>169</v>
      </c>
      <c r="AV89" s="950">
        <v>56</v>
      </c>
      <c r="AW89" s="950">
        <v>71</v>
      </c>
      <c r="AX89" s="950">
        <v>77</v>
      </c>
      <c r="AY89" s="951">
        <f t="shared" si="115"/>
        <v>204</v>
      </c>
      <c r="AZ89" s="952">
        <v>50</v>
      </c>
      <c r="BA89" s="950">
        <v>73</v>
      </c>
      <c r="BB89" s="950">
        <v>51</v>
      </c>
      <c r="BC89" s="951">
        <f t="shared" si="137"/>
        <v>174</v>
      </c>
      <c r="BD89" s="952">
        <v>58</v>
      </c>
      <c r="BE89" s="950">
        <v>86</v>
      </c>
      <c r="BF89" s="950">
        <v>84</v>
      </c>
      <c r="BG89" s="951">
        <f t="shared" si="8"/>
        <v>228</v>
      </c>
      <c r="BH89" s="952">
        <v>56</v>
      </c>
      <c r="BI89" s="950">
        <v>70</v>
      </c>
      <c r="BJ89" s="950">
        <v>52</v>
      </c>
      <c r="BK89" s="951">
        <f t="shared" si="132"/>
        <v>178</v>
      </c>
      <c r="BL89" s="952">
        <v>47</v>
      </c>
      <c r="BM89" s="950">
        <v>54</v>
      </c>
      <c r="BN89" s="950">
        <v>57</v>
      </c>
      <c r="BO89" s="951">
        <f t="shared" si="133"/>
        <v>158</v>
      </c>
      <c r="BP89" s="952">
        <v>43</v>
      </c>
      <c r="BQ89" s="950">
        <v>65</v>
      </c>
      <c r="BR89" s="950">
        <v>64</v>
      </c>
      <c r="BS89" s="951">
        <f t="shared" si="134"/>
        <v>172</v>
      </c>
      <c r="BT89" s="952">
        <v>39</v>
      </c>
      <c r="BU89" s="950">
        <v>61</v>
      </c>
      <c r="BV89" s="950">
        <v>51</v>
      </c>
      <c r="BW89" s="951">
        <f t="shared" si="135"/>
        <v>151</v>
      </c>
      <c r="BX89" s="952">
        <v>44</v>
      </c>
      <c r="BY89" s="950">
        <v>73</v>
      </c>
      <c r="BZ89" s="950">
        <v>89</v>
      </c>
      <c r="CA89" s="951">
        <f t="shared" si="136"/>
        <v>206</v>
      </c>
    </row>
    <row r="90" spans="1:79" s="945" customFormat="1" ht="15" customHeight="1" x14ac:dyDescent="0.25">
      <c r="A90" s="5697"/>
      <c r="B90" s="5885"/>
      <c r="C90" s="946" t="s">
        <v>490</v>
      </c>
      <c r="D90" s="800">
        <v>46</v>
      </c>
      <c r="E90" s="801">
        <v>63</v>
      </c>
      <c r="F90" s="801">
        <v>30</v>
      </c>
      <c r="G90" s="949">
        <v>139</v>
      </c>
      <c r="H90" s="800">
        <v>48</v>
      </c>
      <c r="I90" s="801">
        <v>58</v>
      </c>
      <c r="J90" s="801">
        <v>35</v>
      </c>
      <c r="K90" s="947">
        <v>141</v>
      </c>
      <c r="L90" s="800">
        <v>52</v>
      </c>
      <c r="M90" s="801">
        <v>55</v>
      </c>
      <c r="N90" s="801">
        <v>60</v>
      </c>
      <c r="O90" s="947">
        <v>167</v>
      </c>
      <c r="P90" s="800">
        <v>49</v>
      </c>
      <c r="Q90" s="801">
        <v>82</v>
      </c>
      <c r="R90" s="801">
        <v>64</v>
      </c>
      <c r="S90" s="949">
        <v>195</v>
      </c>
      <c r="T90" s="800">
        <v>49</v>
      </c>
      <c r="U90" s="801">
        <v>62</v>
      </c>
      <c r="V90" s="801">
        <v>46</v>
      </c>
      <c r="W90" s="949">
        <f t="shared" si="126"/>
        <v>157</v>
      </c>
      <c r="X90" s="800">
        <v>33</v>
      </c>
      <c r="Y90" s="801">
        <v>60</v>
      </c>
      <c r="Z90" s="801">
        <v>25</v>
      </c>
      <c r="AA90" s="947">
        <f t="shared" si="127"/>
        <v>118</v>
      </c>
      <c r="AB90" s="948">
        <v>49</v>
      </c>
      <c r="AC90" s="801">
        <v>73</v>
      </c>
      <c r="AD90" s="801">
        <v>56</v>
      </c>
      <c r="AE90" s="947">
        <f t="shared" si="128"/>
        <v>178</v>
      </c>
      <c r="AF90" s="948">
        <v>38</v>
      </c>
      <c r="AG90" s="801">
        <v>77</v>
      </c>
      <c r="AH90" s="801">
        <v>55</v>
      </c>
      <c r="AI90" s="949">
        <f t="shared" si="129"/>
        <v>170</v>
      </c>
      <c r="AJ90" s="948">
        <v>66</v>
      </c>
      <c r="AK90" s="801">
        <v>66</v>
      </c>
      <c r="AL90" s="829">
        <v>63</v>
      </c>
      <c r="AM90" s="949">
        <f t="shared" si="130"/>
        <v>195</v>
      </c>
      <c r="AN90" s="948">
        <v>65</v>
      </c>
      <c r="AO90" s="801">
        <v>73</v>
      </c>
      <c r="AP90" s="829">
        <v>71</v>
      </c>
      <c r="AQ90" s="949">
        <f t="shared" si="131"/>
        <v>209</v>
      </c>
      <c r="AR90" s="952">
        <v>59</v>
      </c>
      <c r="AS90" s="950">
        <v>78</v>
      </c>
      <c r="AT90" s="950">
        <v>67</v>
      </c>
      <c r="AU90" s="951">
        <f t="shared" si="114"/>
        <v>204</v>
      </c>
      <c r="AV90" s="950">
        <v>54</v>
      </c>
      <c r="AW90" s="950">
        <v>71</v>
      </c>
      <c r="AX90" s="950">
        <v>68</v>
      </c>
      <c r="AY90" s="951">
        <f t="shared" si="115"/>
        <v>193</v>
      </c>
      <c r="AZ90" s="952">
        <v>65</v>
      </c>
      <c r="BA90" s="950">
        <v>72</v>
      </c>
      <c r="BB90" s="950">
        <v>65</v>
      </c>
      <c r="BC90" s="951">
        <f t="shared" si="137"/>
        <v>202</v>
      </c>
      <c r="BD90" s="952">
        <v>49</v>
      </c>
      <c r="BE90" s="950">
        <v>64</v>
      </c>
      <c r="BF90" s="950">
        <v>38</v>
      </c>
      <c r="BG90" s="951">
        <f t="shared" si="8"/>
        <v>151</v>
      </c>
      <c r="BH90" s="952">
        <v>43</v>
      </c>
      <c r="BI90" s="950">
        <v>50</v>
      </c>
      <c r="BJ90" s="950">
        <v>54</v>
      </c>
      <c r="BK90" s="951">
        <f t="shared" si="132"/>
        <v>147</v>
      </c>
      <c r="BL90" s="952">
        <v>48</v>
      </c>
      <c r="BM90" s="950">
        <v>60</v>
      </c>
      <c r="BN90" s="950">
        <v>51</v>
      </c>
      <c r="BO90" s="951">
        <f t="shared" si="133"/>
        <v>159</v>
      </c>
      <c r="BP90" s="952">
        <v>52</v>
      </c>
      <c r="BQ90" s="950">
        <v>48</v>
      </c>
      <c r="BR90" s="950">
        <v>49</v>
      </c>
      <c r="BS90" s="951">
        <f t="shared" si="134"/>
        <v>149</v>
      </c>
      <c r="BT90" s="952">
        <v>53</v>
      </c>
      <c r="BU90" s="950">
        <v>78</v>
      </c>
      <c r="BV90" s="950">
        <v>51</v>
      </c>
      <c r="BW90" s="951">
        <f t="shared" si="135"/>
        <v>182</v>
      </c>
      <c r="BX90" s="952">
        <v>45</v>
      </c>
      <c r="BY90" s="950">
        <v>54</v>
      </c>
      <c r="BZ90" s="950">
        <v>17</v>
      </c>
      <c r="CA90" s="951">
        <f t="shared" si="136"/>
        <v>116</v>
      </c>
    </row>
    <row r="91" spans="1:79" s="945" customFormat="1" ht="15" customHeight="1" x14ac:dyDescent="0.25">
      <c r="A91" s="5697"/>
      <c r="B91" s="5885"/>
      <c r="C91" s="946" t="s">
        <v>491</v>
      </c>
      <c r="D91" s="800">
        <v>21</v>
      </c>
      <c r="E91" s="801">
        <v>20</v>
      </c>
      <c r="F91" s="801">
        <v>14</v>
      </c>
      <c r="G91" s="949">
        <v>55</v>
      </c>
      <c r="H91" s="800">
        <v>25</v>
      </c>
      <c r="I91" s="801">
        <v>30</v>
      </c>
      <c r="J91" s="801">
        <v>21</v>
      </c>
      <c r="K91" s="947">
        <v>76</v>
      </c>
      <c r="L91" s="800">
        <v>22</v>
      </c>
      <c r="M91" s="801">
        <v>31</v>
      </c>
      <c r="N91" s="801">
        <v>12</v>
      </c>
      <c r="O91" s="947">
        <v>65</v>
      </c>
      <c r="P91" s="800">
        <v>23</v>
      </c>
      <c r="Q91" s="801">
        <v>42</v>
      </c>
      <c r="R91" s="801">
        <v>27</v>
      </c>
      <c r="S91" s="949">
        <v>92</v>
      </c>
      <c r="T91" s="800">
        <v>20</v>
      </c>
      <c r="U91" s="801">
        <v>33</v>
      </c>
      <c r="V91" s="801">
        <v>16</v>
      </c>
      <c r="W91" s="949">
        <f t="shared" si="126"/>
        <v>69</v>
      </c>
      <c r="X91" s="800">
        <v>21</v>
      </c>
      <c r="Y91" s="801">
        <v>22</v>
      </c>
      <c r="Z91" s="801">
        <v>7</v>
      </c>
      <c r="AA91" s="947">
        <f t="shared" si="127"/>
        <v>50</v>
      </c>
      <c r="AB91" s="948">
        <v>15</v>
      </c>
      <c r="AC91" s="801">
        <v>15</v>
      </c>
      <c r="AD91" s="801">
        <v>12</v>
      </c>
      <c r="AE91" s="947">
        <f t="shared" si="128"/>
        <v>42</v>
      </c>
      <c r="AF91" s="948">
        <v>15</v>
      </c>
      <c r="AG91" s="801">
        <v>30</v>
      </c>
      <c r="AH91" s="801">
        <v>16</v>
      </c>
      <c r="AI91" s="949">
        <f t="shared" si="129"/>
        <v>61</v>
      </c>
      <c r="AJ91" s="948">
        <v>45</v>
      </c>
      <c r="AK91" s="801">
        <v>20</v>
      </c>
      <c r="AL91" s="829">
        <v>9</v>
      </c>
      <c r="AM91" s="949">
        <f t="shared" si="130"/>
        <v>74</v>
      </c>
      <c r="AN91" s="948">
        <v>13</v>
      </c>
      <c r="AO91" s="801">
        <v>19</v>
      </c>
      <c r="AP91" s="829">
        <v>10</v>
      </c>
      <c r="AQ91" s="949">
        <f t="shared" si="131"/>
        <v>42</v>
      </c>
      <c r="AR91" s="952">
        <v>8</v>
      </c>
      <c r="AS91" s="950">
        <v>20</v>
      </c>
      <c r="AT91" s="950">
        <v>15</v>
      </c>
      <c r="AU91" s="951">
        <f t="shared" si="114"/>
        <v>43</v>
      </c>
      <c r="AV91" s="950">
        <v>20</v>
      </c>
      <c r="AW91" s="950">
        <v>30</v>
      </c>
      <c r="AX91" s="950">
        <v>19</v>
      </c>
      <c r="AY91" s="951">
        <f t="shared" si="115"/>
        <v>69</v>
      </c>
      <c r="AZ91" s="952">
        <v>27</v>
      </c>
      <c r="BA91" s="950">
        <v>36</v>
      </c>
      <c r="BB91" s="950">
        <v>21</v>
      </c>
      <c r="BC91" s="951">
        <f t="shared" si="137"/>
        <v>84</v>
      </c>
      <c r="BD91" s="952">
        <v>37</v>
      </c>
      <c r="BE91" s="950">
        <v>55</v>
      </c>
      <c r="BF91" s="950">
        <v>19</v>
      </c>
      <c r="BG91" s="951">
        <f t="shared" si="8"/>
        <v>111</v>
      </c>
      <c r="BH91" s="952">
        <v>33</v>
      </c>
      <c r="BI91" s="950">
        <v>50</v>
      </c>
      <c r="BJ91" s="950">
        <v>30</v>
      </c>
      <c r="BK91" s="951">
        <f t="shared" si="132"/>
        <v>113</v>
      </c>
      <c r="BL91" s="952">
        <v>32</v>
      </c>
      <c r="BM91" s="950">
        <v>49</v>
      </c>
      <c r="BN91" s="950">
        <v>29</v>
      </c>
      <c r="BO91" s="951">
        <f t="shared" si="133"/>
        <v>110</v>
      </c>
      <c r="BP91" s="952">
        <v>51</v>
      </c>
      <c r="BQ91" s="950">
        <v>56</v>
      </c>
      <c r="BR91" s="950">
        <v>20</v>
      </c>
      <c r="BS91" s="951">
        <f t="shared" si="134"/>
        <v>127</v>
      </c>
      <c r="BT91" s="952">
        <v>33</v>
      </c>
      <c r="BU91" s="950">
        <v>47</v>
      </c>
      <c r="BV91" s="950">
        <v>39</v>
      </c>
      <c r="BW91" s="951">
        <f t="shared" si="135"/>
        <v>119</v>
      </c>
      <c r="BX91" s="952">
        <v>37</v>
      </c>
      <c r="BY91" s="950">
        <v>47</v>
      </c>
      <c r="BZ91" s="950">
        <v>20</v>
      </c>
      <c r="CA91" s="951">
        <f t="shared" si="136"/>
        <v>104</v>
      </c>
    </row>
    <row r="92" spans="1:79" s="945" customFormat="1" ht="15" customHeight="1" x14ac:dyDescent="0.25">
      <c r="A92" s="5697"/>
      <c r="B92" s="5885"/>
      <c r="C92" s="946" t="s">
        <v>492</v>
      </c>
      <c r="D92" s="800">
        <v>9</v>
      </c>
      <c r="E92" s="801">
        <v>99</v>
      </c>
      <c r="F92" s="801">
        <v>60</v>
      </c>
      <c r="G92" s="949">
        <v>168</v>
      </c>
      <c r="H92" s="800">
        <v>18</v>
      </c>
      <c r="I92" s="801">
        <v>105</v>
      </c>
      <c r="J92" s="801">
        <v>57</v>
      </c>
      <c r="K92" s="947">
        <v>180</v>
      </c>
      <c r="L92" s="800">
        <v>8</v>
      </c>
      <c r="M92" s="801">
        <v>51</v>
      </c>
      <c r="N92" s="801">
        <v>74</v>
      </c>
      <c r="O92" s="947">
        <v>133</v>
      </c>
      <c r="P92" s="800">
        <v>26</v>
      </c>
      <c r="Q92" s="801">
        <v>65</v>
      </c>
      <c r="R92" s="801">
        <v>54</v>
      </c>
      <c r="S92" s="949">
        <v>145</v>
      </c>
      <c r="T92" s="800">
        <v>63</v>
      </c>
      <c r="U92" s="801" t="s">
        <v>227</v>
      </c>
      <c r="V92" s="801">
        <v>84</v>
      </c>
      <c r="W92" s="949">
        <f t="shared" si="126"/>
        <v>147</v>
      </c>
      <c r="X92" s="800" t="s">
        <v>227</v>
      </c>
      <c r="Y92" s="801">
        <v>45</v>
      </c>
      <c r="Z92" s="801">
        <v>124</v>
      </c>
      <c r="AA92" s="947">
        <f t="shared" si="127"/>
        <v>169</v>
      </c>
      <c r="AB92" s="948" t="s">
        <v>227</v>
      </c>
      <c r="AC92" s="801">
        <v>51</v>
      </c>
      <c r="AD92" s="801">
        <v>87</v>
      </c>
      <c r="AE92" s="947">
        <f t="shared" si="128"/>
        <v>138</v>
      </c>
      <c r="AF92" s="948" t="s">
        <v>227</v>
      </c>
      <c r="AG92" s="801">
        <v>49</v>
      </c>
      <c r="AH92" s="801">
        <v>78</v>
      </c>
      <c r="AI92" s="949">
        <f t="shared" si="129"/>
        <v>127</v>
      </c>
      <c r="AJ92" s="948" t="s">
        <v>227</v>
      </c>
      <c r="AK92" s="801">
        <v>42</v>
      </c>
      <c r="AL92" s="829">
        <v>96</v>
      </c>
      <c r="AM92" s="949">
        <f t="shared" si="130"/>
        <v>138</v>
      </c>
      <c r="AN92" s="948">
        <v>65</v>
      </c>
      <c r="AO92" s="801">
        <v>1</v>
      </c>
      <c r="AP92" s="829">
        <v>82</v>
      </c>
      <c r="AQ92" s="949">
        <f t="shared" si="131"/>
        <v>148</v>
      </c>
      <c r="AR92" s="952" t="s">
        <v>227</v>
      </c>
      <c r="AS92" s="950">
        <v>71</v>
      </c>
      <c r="AT92" s="950">
        <v>104</v>
      </c>
      <c r="AU92" s="951">
        <f t="shared" si="114"/>
        <v>175</v>
      </c>
      <c r="AV92" s="950" t="s">
        <v>227</v>
      </c>
      <c r="AW92" s="950">
        <v>91</v>
      </c>
      <c r="AX92" s="950">
        <v>99</v>
      </c>
      <c r="AY92" s="951">
        <f t="shared" si="115"/>
        <v>190</v>
      </c>
      <c r="AZ92" s="952"/>
      <c r="BA92" s="950">
        <v>63</v>
      </c>
      <c r="BB92" s="950">
        <v>101</v>
      </c>
      <c r="BC92" s="951">
        <f t="shared" si="137"/>
        <v>164</v>
      </c>
      <c r="BD92" s="952">
        <v>1</v>
      </c>
      <c r="BE92" s="950">
        <v>66</v>
      </c>
      <c r="BF92" s="950">
        <v>67</v>
      </c>
      <c r="BG92" s="951">
        <f t="shared" si="8"/>
        <v>134</v>
      </c>
      <c r="BH92" s="952">
        <v>2</v>
      </c>
      <c r="BI92" s="950">
        <v>57</v>
      </c>
      <c r="BJ92" s="950">
        <v>121</v>
      </c>
      <c r="BK92" s="951">
        <f t="shared" si="132"/>
        <v>180</v>
      </c>
      <c r="BL92" s="952">
        <v>0</v>
      </c>
      <c r="BM92" s="950">
        <v>62</v>
      </c>
      <c r="BN92" s="950">
        <v>106</v>
      </c>
      <c r="BO92" s="951">
        <f t="shared" si="133"/>
        <v>168</v>
      </c>
      <c r="BP92" s="952">
        <v>0</v>
      </c>
      <c r="BQ92" s="950">
        <v>73</v>
      </c>
      <c r="BR92" s="950">
        <v>115</v>
      </c>
      <c r="BS92" s="951">
        <f t="shared" si="134"/>
        <v>188</v>
      </c>
      <c r="BT92" s="952">
        <v>0</v>
      </c>
      <c r="BU92" s="950">
        <v>42</v>
      </c>
      <c r="BV92" s="950">
        <v>89</v>
      </c>
      <c r="BW92" s="951">
        <f t="shared" si="135"/>
        <v>131</v>
      </c>
      <c r="BX92" s="952">
        <v>0</v>
      </c>
      <c r="BY92" s="950">
        <v>50</v>
      </c>
      <c r="BZ92" s="950">
        <v>101</v>
      </c>
      <c r="CA92" s="951">
        <f t="shared" si="136"/>
        <v>151</v>
      </c>
    </row>
    <row r="93" spans="1:79" s="945" customFormat="1" ht="15" customHeight="1" x14ac:dyDescent="0.25">
      <c r="A93" s="5697"/>
      <c r="B93" s="5885"/>
      <c r="C93" s="953" t="s">
        <v>493</v>
      </c>
      <c r="D93" s="809">
        <v>29</v>
      </c>
      <c r="E93" s="810">
        <v>44</v>
      </c>
      <c r="F93" s="810">
        <v>24</v>
      </c>
      <c r="G93" s="956">
        <v>97</v>
      </c>
      <c r="H93" s="809">
        <v>27</v>
      </c>
      <c r="I93" s="810">
        <v>44</v>
      </c>
      <c r="J93" s="810">
        <v>23</v>
      </c>
      <c r="K93" s="954">
        <v>94</v>
      </c>
      <c r="L93" s="809">
        <v>27</v>
      </c>
      <c r="M93" s="810">
        <v>51</v>
      </c>
      <c r="N93" s="810">
        <v>23</v>
      </c>
      <c r="O93" s="954">
        <v>101</v>
      </c>
      <c r="P93" s="809">
        <v>42</v>
      </c>
      <c r="Q93" s="810">
        <v>71</v>
      </c>
      <c r="R93" s="810">
        <v>21</v>
      </c>
      <c r="S93" s="956">
        <v>134</v>
      </c>
      <c r="T93" s="809">
        <v>29</v>
      </c>
      <c r="U93" s="810">
        <v>42</v>
      </c>
      <c r="V93" s="810">
        <v>20</v>
      </c>
      <c r="W93" s="956">
        <f t="shared" si="126"/>
        <v>91</v>
      </c>
      <c r="X93" s="809">
        <v>36</v>
      </c>
      <c r="Y93" s="810">
        <v>44</v>
      </c>
      <c r="Z93" s="810">
        <v>18</v>
      </c>
      <c r="AA93" s="954">
        <f t="shared" si="127"/>
        <v>98</v>
      </c>
      <c r="AB93" s="955">
        <v>25</v>
      </c>
      <c r="AC93" s="810">
        <v>39</v>
      </c>
      <c r="AD93" s="810">
        <v>22</v>
      </c>
      <c r="AE93" s="954">
        <f t="shared" si="128"/>
        <v>86</v>
      </c>
      <c r="AF93" s="955">
        <v>40</v>
      </c>
      <c r="AG93" s="810">
        <v>55</v>
      </c>
      <c r="AH93" s="810">
        <v>12</v>
      </c>
      <c r="AI93" s="956">
        <f t="shared" si="129"/>
        <v>107</v>
      </c>
      <c r="AJ93" s="955">
        <v>56</v>
      </c>
      <c r="AK93" s="810">
        <v>42</v>
      </c>
      <c r="AL93" s="853">
        <v>30</v>
      </c>
      <c r="AM93" s="956">
        <f t="shared" si="130"/>
        <v>128</v>
      </c>
      <c r="AN93" s="955">
        <v>51</v>
      </c>
      <c r="AO93" s="810">
        <v>53</v>
      </c>
      <c r="AP93" s="853">
        <v>12</v>
      </c>
      <c r="AQ93" s="956">
        <f t="shared" si="131"/>
        <v>116</v>
      </c>
      <c r="AR93" s="959">
        <v>59</v>
      </c>
      <c r="AS93" s="957">
        <v>86</v>
      </c>
      <c r="AT93" s="957">
        <v>51</v>
      </c>
      <c r="AU93" s="958">
        <f t="shared" si="114"/>
        <v>196</v>
      </c>
      <c r="AV93" s="957">
        <v>61</v>
      </c>
      <c r="AW93" s="957">
        <v>9</v>
      </c>
      <c r="AX93" s="957">
        <v>15</v>
      </c>
      <c r="AY93" s="958">
        <f t="shared" si="115"/>
        <v>85</v>
      </c>
      <c r="AZ93" s="959">
        <v>52</v>
      </c>
      <c r="BA93" s="957">
        <v>42</v>
      </c>
      <c r="BB93" s="957">
        <v>28</v>
      </c>
      <c r="BC93" s="958">
        <f t="shared" si="137"/>
        <v>122</v>
      </c>
      <c r="BD93" s="959">
        <v>42</v>
      </c>
      <c r="BE93" s="957">
        <v>54</v>
      </c>
      <c r="BF93" s="957">
        <v>11</v>
      </c>
      <c r="BG93" s="958">
        <f t="shared" si="8"/>
        <v>107</v>
      </c>
      <c r="BH93" s="959">
        <v>44</v>
      </c>
      <c r="BI93" s="957">
        <v>49</v>
      </c>
      <c r="BJ93" s="957">
        <v>30</v>
      </c>
      <c r="BK93" s="958">
        <f t="shared" si="132"/>
        <v>123</v>
      </c>
      <c r="BL93" s="959">
        <v>33</v>
      </c>
      <c r="BM93" s="957">
        <v>50</v>
      </c>
      <c r="BN93" s="957">
        <v>32</v>
      </c>
      <c r="BO93" s="958">
        <f t="shared" si="133"/>
        <v>115</v>
      </c>
      <c r="BP93" s="959">
        <v>55</v>
      </c>
      <c r="BQ93" s="957">
        <v>50</v>
      </c>
      <c r="BR93" s="957">
        <v>26</v>
      </c>
      <c r="BS93" s="958">
        <f t="shared" si="134"/>
        <v>131</v>
      </c>
      <c r="BT93" s="959">
        <v>38</v>
      </c>
      <c r="BU93" s="957">
        <v>66</v>
      </c>
      <c r="BV93" s="957">
        <v>8</v>
      </c>
      <c r="BW93" s="958">
        <f t="shared" si="135"/>
        <v>112</v>
      </c>
      <c r="BX93" s="959">
        <v>48</v>
      </c>
      <c r="BY93" s="957">
        <v>62</v>
      </c>
      <c r="BZ93" s="957">
        <v>36</v>
      </c>
      <c r="CA93" s="958">
        <f t="shared" si="136"/>
        <v>146</v>
      </c>
    </row>
    <row r="94" spans="1:79" s="945" customFormat="1" ht="15" customHeight="1" x14ac:dyDescent="0.25">
      <c r="A94" s="5697"/>
      <c r="B94" s="5886"/>
      <c r="C94" s="960" t="s">
        <v>160</v>
      </c>
      <c r="D94" s="961">
        <v>301</v>
      </c>
      <c r="E94" s="962">
        <v>453</v>
      </c>
      <c r="F94" s="962">
        <v>289</v>
      </c>
      <c r="G94" s="963">
        <v>1043</v>
      </c>
      <c r="H94" s="961">
        <v>346</v>
      </c>
      <c r="I94" s="962">
        <v>501</v>
      </c>
      <c r="J94" s="962">
        <v>330</v>
      </c>
      <c r="K94" s="963">
        <v>1177</v>
      </c>
      <c r="L94" s="961">
        <v>305</v>
      </c>
      <c r="M94" s="962">
        <v>435</v>
      </c>
      <c r="N94" s="962">
        <v>359</v>
      </c>
      <c r="O94" s="963">
        <v>1099</v>
      </c>
      <c r="P94" s="961">
        <v>341</v>
      </c>
      <c r="Q94" s="962">
        <v>555</v>
      </c>
      <c r="R94" s="962">
        <v>357</v>
      </c>
      <c r="S94" s="963">
        <v>1253</v>
      </c>
      <c r="T94" s="961">
        <f t="shared" ref="T94:BB94" si="138">SUM(T86:T93)</f>
        <v>343</v>
      </c>
      <c r="U94" s="962">
        <f t="shared" si="138"/>
        <v>351</v>
      </c>
      <c r="V94" s="962">
        <f t="shared" si="138"/>
        <v>319</v>
      </c>
      <c r="W94" s="963">
        <f t="shared" si="138"/>
        <v>1013</v>
      </c>
      <c r="X94" s="961">
        <f t="shared" si="138"/>
        <v>235</v>
      </c>
      <c r="Y94" s="962">
        <f t="shared" si="138"/>
        <v>378</v>
      </c>
      <c r="Z94" s="962">
        <f t="shared" si="138"/>
        <v>291</v>
      </c>
      <c r="AA94" s="963">
        <f t="shared" si="138"/>
        <v>904</v>
      </c>
      <c r="AB94" s="961">
        <f t="shared" si="138"/>
        <v>223</v>
      </c>
      <c r="AC94" s="962">
        <f t="shared" si="138"/>
        <v>383</v>
      </c>
      <c r="AD94" s="962">
        <f t="shared" si="138"/>
        <v>288</v>
      </c>
      <c r="AE94" s="963">
        <f t="shared" si="138"/>
        <v>894</v>
      </c>
      <c r="AF94" s="961">
        <f t="shared" si="138"/>
        <v>244</v>
      </c>
      <c r="AG94" s="962">
        <f t="shared" si="138"/>
        <v>411</v>
      </c>
      <c r="AH94" s="962">
        <f t="shared" si="138"/>
        <v>303</v>
      </c>
      <c r="AI94" s="963">
        <f t="shared" si="138"/>
        <v>958</v>
      </c>
      <c r="AJ94" s="961">
        <f t="shared" si="138"/>
        <v>328</v>
      </c>
      <c r="AK94" s="962">
        <f t="shared" si="138"/>
        <v>418</v>
      </c>
      <c r="AL94" s="962">
        <f t="shared" si="138"/>
        <v>360</v>
      </c>
      <c r="AM94" s="963">
        <f t="shared" si="138"/>
        <v>1106</v>
      </c>
      <c r="AN94" s="961">
        <f t="shared" si="138"/>
        <v>428</v>
      </c>
      <c r="AO94" s="962">
        <f t="shared" si="138"/>
        <v>432</v>
      </c>
      <c r="AP94" s="962">
        <f t="shared" si="138"/>
        <v>366</v>
      </c>
      <c r="AQ94" s="963">
        <f t="shared" si="138"/>
        <v>1226</v>
      </c>
      <c r="AR94" s="961">
        <f t="shared" si="138"/>
        <v>323</v>
      </c>
      <c r="AS94" s="962">
        <f t="shared" si="138"/>
        <v>563</v>
      </c>
      <c r="AT94" s="962">
        <f t="shared" si="138"/>
        <v>398</v>
      </c>
      <c r="AU94" s="963">
        <f t="shared" si="114"/>
        <v>1284</v>
      </c>
      <c r="AV94" s="961">
        <f>SUM(AV86:AV93)</f>
        <v>342</v>
      </c>
      <c r="AW94" s="962">
        <f>SUM(AW86:AW93)</f>
        <v>475</v>
      </c>
      <c r="AX94" s="962">
        <f>SUM(AX86:AX93)</f>
        <v>373</v>
      </c>
      <c r="AY94" s="963">
        <f t="shared" si="115"/>
        <v>1190</v>
      </c>
      <c r="AZ94" s="961">
        <f t="shared" si="138"/>
        <v>348</v>
      </c>
      <c r="BA94" s="962">
        <f t="shared" si="138"/>
        <v>477</v>
      </c>
      <c r="BB94" s="962">
        <f t="shared" si="138"/>
        <v>335</v>
      </c>
      <c r="BC94" s="963">
        <f t="shared" ref="BC94:BK94" si="139">SUM(BC86:BC93)</f>
        <v>1160</v>
      </c>
      <c r="BD94" s="961">
        <f t="shared" si="139"/>
        <v>352</v>
      </c>
      <c r="BE94" s="962">
        <f t="shared" si="139"/>
        <v>523</v>
      </c>
      <c r="BF94" s="962">
        <f t="shared" si="139"/>
        <v>310</v>
      </c>
      <c r="BG94" s="963">
        <f t="shared" si="139"/>
        <v>1185</v>
      </c>
      <c r="BH94" s="961">
        <f t="shared" si="139"/>
        <v>324</v>
      </c>
      <c r="BI94" s="962">
        <f t="shared" si="139"/>
        <v>450</v>
      </c>
      <c r="BJ94" s="962">
        <f t="shared" si="139"/>
        <v>371</v>
      </c>
      <c r="BK94" s="963">
        <f t="shared" si="139"/>
        <v>1145</v>
      </c>
      <c r="BL94" s="961">
        <f t="shared" ref="BL94:BS94" si="140">SUM(BL86:BL93)</f>
        <v>281</v>
      </c>
      <c r="BM94" s="962">
        <f t="shared" si="140"/>
        <v>489</v>
      </c>
      <c r="BN94" s="962">
        <f t="shared" si="140"/>
        <v>357</v>
      </c>
      <c r="BO94" s="963">
        <f t="shared" si="140"/>
        <v>1127</v>
      </c>
      <c r="BP94" s="961">
        <f t="shared" si="140"/>
        <v>341</v>
      </c>
      <c r="BQ94" s="962">
        <f t="shared" si="140"/>
        <v>444</v>
      </c>
      <c r="BR94" s="962">
        <f t="shared" si="140"/>
        <v>358</v>
      </c>
      <c r="BS94" s="963">
        <f t="shared" si="140"/>
        <v>1143</v>
      </c>
      <c r="BT94" s="961">
        <f>SUM(BT86:BT93)</f>
        <v>302</v>
      </c>
      <c r="BU94" s="962">
        <f>SUM(BU86:BU93)</f>
        <v>456</v>
      </c>
      <c r="BV94" s="962">
        <f>SUM(BV86:BV93)</f>
        <v>312</v>
      </c>
      <c r="BW94" s="963">
        <f>SUM(BW86:BW93)</f>
        <v>1070</v>
      </c>
      <c r="BX94" s="961">
        <f>SUM(BX86:BX93)</f>
        <v>311</v>
      </c>
      <c r="BY94" s="962">
        <f t="shared" ref="BY94:BZ94" si="141">SUM(BY86:BY93)</f>
        <v>465</v>
      </c>
      <c r="BZ94" s="962">
        <f t="shared" si="141"/>
        <v>345</v>
      </c>
      <c r="CA94" s="963">
        <f>SUM(CA86:CA93)</f>
        <v>1121</v>
      </c>
    </row>
    <row r="95" spans="1:79" s="945" customFormat="1" ht="15" customHeight="1" x14ac:dyDescent="0.25">
      <c r="A95" s="5697"/>
      <c r="B95" s="5884" t="s">
        <v>7</v>
      </c>
      <c r="C95" s="938" t="s">
        <v>460</v>
      </c>
      <c r="D95" s="794">
        <v>48</v>
      </c>
      <c r="E95" s="795">
        <v>35</v>
      </c>
      <c r="F95" s="795"/>
      <c r="G95" s="941">
        <v>83</v>
      </c>
      <c r="H95" s="794">
        <v>57</v>
      </c>
      <c r="I95" s="795">
        <v>86</v>
      </c>
      <c r="J95" s="795"/>
      <c r="K95" s="939">
        <v>143</v>
      </c>
      <c r="L95" s="794">
        <v>33</v>
      </c>
      <c r="M95" s="795">
        <v>78</v>
      </c>
      <c r="N95" s="795"/>
      <c r="O95" s="939">
        <v>111</v>
      </c>
      <c r="P95" s="794">
        <v>74</v>
      </c>
      <c r="Q95" s="795">
        <v>34</v>
      </c>
      <c r="R95" s="795"/>
      <c r="S95" s="941">
        <v>108</v>
      </c>
      <c r="T95" s="794">
        <v>73</v>
      </c>
      <c r="U95" s="795">
        <v>68</v>
      </c>
      <c r="V95" s="795" t="s">
        <v>227</v>
      </c>
      <c r="W95" s="941">
        <f>SUM(T95:V95)</f>
        <v>141</v>
      </c>
      <c r="X95" s="794">
        <v>54</v>
      </c>
      <c r="Y95" s="795">
        <v>93</v>
      </c>
      <c r="Z95" s="795" t="s">
        <v>227</v>
      </c>
      <c r="AA95" s="939">
        <f>SUM(X95:Z95)</f>
        <v>147</v>
      </c>
      <c r="AB95" s="940">
        <v>49</v>
      </c>
      <c r="AC95" s="795">
        <v>105</v>
      </c>
      <c r="AD95" s="795" t="s">
        <v>227</v>
      </c>
      <c r="AE95" s="939">
        <f>SUM(AB95:AD95)</f>
        <v>154</v>
      </c>
      <c r="AF95" s="940">
        <v>60</v>
      </c>
      <c r="AG95" s="795">
        <v>117</v>
      </c>
      <c r="AH95" s="795" t="s">
        <v>227</v>
      </c>
      <c r="AI95" s="941">
        <f>SUM(AF95:AH95)</f>
        <v>177</v>
      </c>
      <c r="AJ95" s="940">
        <v>48</v>
      </c>
      <c r="AK95" s="795">
        <v>82</v>
      </c>
      <c r="AL95" s="795"/>
      <c r="AM95" s="941">
        <f>SUM(AJ95:AL95)</f>
        <v>130</v>
      </c>
      <c r="AN95" s="940">
        <v>67</v>
      </c>
      <c r="AO95" s="795">
        <v>144</v>
      </c>
      <c r="AP95" s="795" t="s">
        <v>227</v>
      </c>
      <c r="AQ95" s="941">
        <f>SUM(AN95:AP95)</f>
        <v>211</v>
      </c>
      <c r="AR95" s="944">
        <v>86</v>
      </c>
      <c r="AS95" s="942">
        <v>124</v>
      </c>
      <c r="AT95" s="942" t="s">
        <v>227</v>
      </c>
      <c r="AU95" s="943">
        <f t="shared" si="114"/>
        <v>210</v>
      </c>
      <c r="AV95" s="942">
        <v>103</v>
      </c>
      <c r="AW95" s="942">
        <v>105</v>
      </c>
      <c r="AX95" s="942"/>
      <c r="AY95" s="943">
        <f t="shared" si="115"/>
        <v>208</v>
      </c>
      <c r="AZ95" s="944">
        <v>89</v>
      </c>
      <c r="BA95" s="942">
        <v>100</v>
      </c>
      <c r="BB95" s="942"/>
      <c r="BC95" s="943">
        <v>189</v>
      </c>
      <c r="BD95" s="944">
        <v>78</v>
      </c>
      <c r="BE95" s="942">
        <v>103</v>
      </c>
      <c r="BF95" s="942"/>
      <c r="BG95" s="943">
        <f>SUM(BD95:BF95)</f>
        <v>181</v>
      </c>
      <c r="BH95" s="944">
        <v>88</v>
      </c>
      <c r="BI95" s="942">
        <v>82</v>
      </c>
      <c r="BJ95" s="942"/>
      <c r="BK95" s="943">
        <f>SUM(BH95:BJ95)</f>
        <v>170</v>
      </c>
      <c r="BL95" s="944">
        <v>116</v>
      </c>
      <c r="BM95" s="942">
        <v>93</v>
      </c>
      <c r="BN95" s="942"/>
      <c r="BO95" s="943">
        <f>SUM(BL95:BN95)</f>
        <v>209</v>
      </c>
      <c r="BP95" s="944">
        <v>105</v>
      </c>
      <c r="BQ95" s="942">
        <v>63</v>
      </c>
      <c r="BR95" s="942"/>
      <c r="BS95" s="943">
        <f>SUM(BP95:BR95)</f>
        <v>168</v>
      </c>
      <c r="BT95" s="944">
        <v>76</v>
      </c>
      <c r="BU95" s="942">
        <v>69</v>
      </c>
      <c r="BV95" s="942"/>
      <c r="BW95" s="943">
        <f>SUM(BT95:BV95)</f>
        <v>145</v>
      </c>
      <c r="BX95" s="944">
        <v>92</v>
      </c>
      <c r="BY95" s="942">
        <v>69</v>
      </c>
      <c r="BZ95" s="942"/>
      <c r="CA95" s="943">
        <f>SUM(BX95:BZ95)</f>
        <v>161</v>
      </c>
    </row>
    <row r="96" spans="1:79" s="945" customFormat="1" ht="15" customHeight="1" x14ac:dyDescent="0.25">
      <c r="A96" s="5697"/>
      <c r="B96" s="5885"/>
      <c r="C96" s="946" t="s">
        <v>461</v>
      </c>
      <c r="D96" s="800">
        <v>51</v>
      </c>
      <c r="E96" s="801">
        <v>45</v>
      </c>
      <c r="F96" s="801"/>
      <c r="G96" s="949">
        <v>96</v>
      </c>
      <c r="H96" s="800">
        <v>48</v>
      </c>
      <c r="I96" s="801">
        <v>59</v>
      </c>
      <c r="J96" s="801"/>
      <c r="K96" s="947">
        <v>107</v>
      </c>
      <c r="L96" s="800">
        <v>59</v>
      </c>
      <c r="M96" s="801">
        <v>57</v>
      </c>
      <c r="N96" s="801"/>
      <c r="O96" s="947">
        <v>116</v>
      </c>
      <c r="P96" s="800">
        <v>74</v>
      </c>
      <c r="Q96" s="801">
        <v>69</v>
      </c>
      <c r="R96" s="801"/>
      <c r="S96" s="949">
        <v>143</v>
      </c>
      <c r="T96" s="800">
        <v>35</v>
      </c>
      <c r="U96" s="801">
        <v>38</v>
      </c>
      <c r="V96" s="801" t="s">
        <v>227</v>
      </c>
      <c r="W96" s="949">
        <f>SUM(T96:V96)</f>
        <v>73</v>
      </c>
      <c r="X96" s="800">
        <v>31</v>
      </c>
      <c r="Y96" s="801">
        <v>72</v>
      </c>
      <c r="Z96" s="801" t="s">
        <v>227</v>
      </c>
      <c r="AA96" s="947">
        <f>SUM(X96:Z96)</f>
        <v>103</v>
      </c>
      <c r="AB96" s="948">
        <v>55</v>
      </c>
      <c r="AC96" s="801">
        <v>61</v>
      </c>
      <c r="AD96" s="801" t="s">
        <v>227</v>
      </c>
      <c r="AE96" s="947">
        <f>SUM(AB96:AD96)</f>
        <v>116</v>
      </c>
      <c r="AF96" s="948">
        <v>55</v>
      </c>
      <c r="AG96" s="801">
        <v>60</v>
      </c>
      <c r="AH96" s="801" t="s">
        <v>227</v>
      </c>
      <c r="AI96" s="949">
        <f>SUM(AF96:AH96)</f>
        <v>115</v>
      </c>
      <c r="AJ96" s="948">
        <v>41</v>
      </c>
      <c r="AK96" s="801">
        <v>81</v>
      </c>
      <c r="AL96" s="801"/>
      <c r="AM96" s="949">
        <f>SUM(AJ96:AL96)</f>
        <v>122</v>
      </c>
      <c r="AN96" s="948">
        <v>56</v>
      </c>
      <c r="AO96" s="801">
        <v>79</v>
      </c>
      <c r="AP96" s="801" t="s">
        <v>227</v>
      </c>
      <c r="AQ96" s="949">
        <f>SUM(AN96:AP96)</f>
        <v>135</v>
      </c>
      <c r="AR96" s="952">
        <v>48</v>
      </c>
      <c r="AS96" s="950">
        <v>54</v>
      </c>
      <c r="AT96" s="950" t="s">
        <v>227</v>
      </c>
      <c r="AU96" s="951">
        <f t="shared" si="114"/>
        <v>102</v>
      </c>
      <c r="AV96" s="950">
        <v>40</v>
      </c>
      <c r="AW96" s="950">
        <v>52</v>
      </c>
      <c r="AX96" s="950"/>
      <c r="AY96" s="951">
        <f t="shared" si="115"/>
        <v>92</v>
      </c>
      <c r="AZ96" s="952">
        <v>43</v>
      </c>
      <c r="BA96" s="950">
        <v>29</v>
      </c>
      <c r="BB96" s="950"/>
      <c r="BC96" s="951">
        <v>72</v>
      </c>
      <c r="BD96" s="952">
        <v>42</v>
      </c>
      <c r="BE96" s="950">
        <v>52</v>
      </c>
      <c r="BF96" s="950"/>
      <c r="BG96" s="951">
        <f>SUM(BD96:BF96)</f>
        <v>94</v>
      </c>
      <c r="BH96" s="952">
        <v>55</v>
      </c>
      <c r="BI96" s="950">
        <v>56</v>
      </c>
      <c r="BJ96" s="950"/>
      <c r="BK96" s="951">
        <f>SUM(BH96:BJ96)</f>
        <v>111</v>
      </c>
      <c r="BL96" s="952">
        <v>55</v>
      </c>
      <c r="BM96" s="950">
        <v>66</v>
      </c>
      <c r="BN96" s="950"/>
      <c r="BO96" s="951">
        <f>SUM(BL96:BN96)</f>
        <v>121</v>
      </c>
      <c r="BP96" s="952">
        <v>42</v>
      </c>
      <c r="BQ96" s="950">
        <v>53</v>
      </c>
      <c r="BR96" s="950"/>
      <c r="BS96" s="951">
        <f>SUM(BP96:BR96)</f>
        <v>95</v>
      </c>
      <c r="BT96" s="952">
        <v>45</v>
      </c>
      <c r="BU96" s="950">
        <v>79</v>
      </c>
      <c r="BV96" s="950"/>
      <c r="BW96" s="951">
        <f>SUM(BT96:BV96)</f>
        <v>124</v>
      </c>
      <c r="BX96" s="952">
        <v>24</v>
      </c>
      <c r="BY96" s="950">
        <v>61</v>
      </c>
      <c r="BZ96" s="950"/>
      <c r="CA96" s="951">
        <f>SUM(BX96:BZ96)</f>
        <v>85</v>
      </c>
    </row>
    <row r="97" spans="1:79" s="945" customFormat="1" ht="15" customHeight="1" x14ac:dyDescent="0.25">
      <c r="A97" s="5697"/>
      <c r="B97" s="5885"/>
      <c r="C97" s="946" t="s">
        <v>462</v>
      </c>
      <c r="D97" s="800">
        <v>44</v>
      </c>
      <c r="E97" s="801">
        <v>48</v>
      </c>
      <c r="F97" s="801"/>
      <c r="G97" s="949">
        <v>92</v>
      </c>
      <c r="H97" s="800">
        <v>22</v>
      </c>
      <c r="I97" s="801">
        <v>73</v>
      </c>
      <c r="J97" s="801"/>
      <c r="K97" s="947">
        <v>95</v>
      </c>
      <c r="L97" s="800">
        <v>57</v>
      </c>
      <c r="M97" s="801">
        <v>51</v>
      </c>
      <c r="N97" s="801"/>
      <c r="O97" s="947">
        <v>108</v>
      </c>
      <c r="P97" s="800">
        <v>63</v>
      </c>
      <c r="Q97" s="801">
        <v>55</v>
      </c>
      <c r="R97" s="801"/>
      <c r="S97" s="949">
        <v>118</v>
      </c>
      <c r="T97" s="800">
        <v>55</v>
      </c>
      <c r="U97" s="801">
        <v>42</v>
      </c>
      <c r="V97" s="801" t="s">
        <v>227</v>
      </c>
      <c r="W97" s="949">
        <f>SUM(T97:V97)</f>
        <v>97</v>
      </c>
      <c r="X97" s="800">
        <v>30</v>
      </c>
      <c r="Y97" s="801">
        <v>48</v>
      </c>
      <c r="Z97" s="801" t="s">
        <v>227</v>
      </c>
      <c r="AA97" s="947">
        <f>SUM(X97:Z97)</f>
        <v>78</v>
      </c>
      <c r="AB97" s="948">
        <v>41</v>
      </c>
      <c r="AC97" s="801">
        <v>62</v>
      </c>
      <c r="AD97" s="801" t="s">
        <v>227</v>
      </c>
      <c r="AE97" s="947">
        <f>SUM(AB97:AD97)</f>
        <v>103</v>
      </c>
      <c r="AF97" s="948">
        <v>41</v>
      </c>
      <c r="AG97" s="801">
        <v>45</v>
      </c>
      <c r="AH97" s="801" t="s">
        <v>227</v>
      </c>
      <c r="AI97" s="949">
        <f>SUM(AF97:AH97)</f>
        <v>86</v>
      </c>
      <c r="AJ97" s="948">
        <v>23</v>
      </c>
      <c r="AK97" s="801">
        <v>67</v>
      </c>
      <c r="AL97" s="801"/>
      <c r="AM97" s="949">
        <f>SUM(AJ97:AL97)</f>
        <v>90</v>
      </c>
      <c r="AN97" s="948">
        <v>36</v>
      </c>
      <c r="AO97" s="801">
        <v>62</v>
      </c>
      <c r="AP97" s="801" t="s">
        <v>227</v>
      </c>
      <c r="AQ97" s="949">
        <f>SUM(AN97:AP97)</f>
        <v>98</v>
      </c>
      <c r="AR97" s="952">
        <v>57</v>
      </c>
      <c r="AS97" s="950">
        <v>50</v>
      </c>
      <c r="AT97" s="950" t="s">
        <v>227</v>
      </c>
      <c r="AU97" s="951">
        <f t="shared" si="114"/>
        <v>107</v>
      </c>
      <c r="AV97" s="950">
        <v>28</v>
      </c>
      <c r="AW97" s="950">
        <v>51</v>
      </c>
      <c r="AX97" s="950"/>
      <c r="AY97" s="951">
        <f t="shared" si="115"/>
        <v>79</v>
      </c>
      <c r="AZ97" s="952">
        <v>31</v>
      </c>
      <c r="BA97" s="950">
        <v>44</v>
      </c>
      <c r="BB97" s="950"/>
      <c r="BC97" s="951">
        <v>75</v>
      </c>
      <c r="BD97" s="952">
        <v>24</v>
      </c>
      <c r="BE97" s="950">
        <v>22</v>
      </c>
      <c r="BF97" s="950"/>
      <c r="BG97" s="951">
        <f>SUM(BD97:BF97)</f>
        <v>46</v>
      </c>
      <c r="BH97" s="952">
        <v>45</v>
      </c>
      <c r="BI97" s="950">
        <v>31</v>
      </c>
      <c r="BJ97" s="950"/>
      <c r="BK97" s="951">
        <f>SUM(BH97:BJ97)</f>
        <v>76</v>
      </c>
      <c r="BL97" s="952">
        <v>24</v>
      </c>
      <c r="BM97" s="950">
        <v>49</v>
      </c>
      <c r="BN97" s="950"/>
      <c r="BO97" s="951">
        <f>SUM(BL97:BN97)</f>
        <v>73</v>
      </c>
      <c r="BP97" s="952">
        <v>22</v>
      </c>
      <c r="BQ97" s="950">
        <v>50</v>
      </c>
      <c r="BR97" s="950"/>
      <c r="BS97" s="951">
        <f>SUM(BP97:BR97)</f>
        <v>72</v>
      </c>
      <c r="BT97" s="952">
        <v>26</v>
      </c>
      <c r="BU97" s="950">
        <v>69</v>
      </c>
      <c r="BV97" s="950"/>
      <c r="BW97" s="951">
        <f>SUM(BT97:BV97)</f>
        <v>95</v>
      </c>
      <c r="BX97" s="952">
        <v>46</v>
      </c>
      <c r="BY97" s="950">
        <v>45</v>
      </c>
      <c r="BZ97" s="950"/>
      <c r="CA97" s="951">
        <f>SUM(BX97:BZ97)</f>
        <v>91</v>
      </c>
    </row>
    <row r="98" spans="1:79" s="945" customFormat="1" ht="15" customHeight="1" x14ac:dyDescent="0.25">
      <c r="A98" s="5697"/>
      <c r="B98" s="5885"/>
      <c r="C98" s="953" t="s">
        <v>494</v>
      </c>
      <c r="D98" s="809">
        <v>20</v>
      </c>
      <c r="E98" s="810">
        <v>22</v>
      </c>
      <c r="F98" s="810"/>
      <c r="G98" s="956">
        <v>42</v>
      </c>
      <c r="H98" s="809">
        <v>28</v>
      </c>
      <c r="I98" s="810">
        <v>24</v>
      </c>
      <c r="J98" s="810"/>
      <c r="K98" s="954">
        <v>52</v>
      </c>
      <c r="L98" s="809">
        <v>17</v>
      </c>
      <c r="M98" s="810">
        <v>38</v>
      </c>
      <c r="N98" s="810"/>
      <c r="O98" s="954">
        <v>55</v>
      </c>
      <c r="P98" s="809">
        <v>20</v>
      </c>
      <c r="Q98" s="810">
        <v>16</v>
      </c>
      <c r="R98" s="810"/>
      <c r="S98" s="956">
        <v>36</v>
      </c>
      <c r="T98" s="809">
        <v>24</v>
      </c>
      <c r="U98" s="810">
        <v>20</v>
      </c>
      <c r="V98" s="810" t="s">
        <v>227</v>
      </c>
      <c r="W98" s="956">
        <f>SUM(T98:V98)</f>
        <v>44</v>
      </c>
      <c r="X98" s="809">
        <v>17</v>
      </c>
      <c r="Y98" s="810">
        <v>13</v>
      </c>
      <c r="Z98" s="810" t="s">
        <v>227</v>
      </c>
      <c r="AA98" s="954">
        <f>SUM(X98:Z98)</f>
        <v>30</v>
      </c>
      <c r="AB98" s="955">
        <v>19</v>
      </c>
      <c r="AC98" s="810">
        <v>28</v>
      </c>
      <c r="AD98" s="810" t="s">
        <v>227</v>
      </c>
      <c r="AE98" s="954">
        <f>SUM(AB98:AD98)</f>
        <v>47</v>
      </c>
      <c r="AF98" s="955">
        <v>21</v>
      </c>
      <c r="AG98" s="810">
        <v>25</v>
      </c>
      <c r="AH98" s="810" t="s">
        <v>227</v>
      </c>
      <c r="AI98" s="956">
        <f>SUM(AF98:AH98)</f>
        <v>46</v>
      </c>
      <c r="AJ98" s="955">
        <v>10</v>
      </c>
      <c r="AK98" s="810">
        <v>23</v>
      </c>
      <c r="AL98" s="853"/>
      <c r="AM98" s="956">
        <f>SUM(AJ98:AL98)</f>
        <v>33</v>
      </c>
      <c r="AN98" s="955">
        <v>24</v>
      </c>
      <c r="AO98" s="810">
        <v>31</v>
      </c>
      <c r="AP98" s="853" t="s">
        <v>227</v>
      </c>
      <c r="AQ98" s="956">
        <f>SUM(AN98:AP98)</f>
        <v>55</v>
      </c>
      <c r="AR98" s="959">
        <v>14</v>
      </c>
      <c r="AS98" s="957">
        <v>30</v>
      </c>
      <c r="AT98" s="957" t="s">
        <v>227</v>
      </c>
      <c r="AU98" s="958">
        <f t="shared" si="114"/>
        <v>44</v>
      </c>
      <c r="AV98" s="957">
        <v>30</v>
      </c>
      <c r="AW98" s="957">
        <v>36</v>
      </c>
      <c r="AX98" s="957"/>
      <c r="AY98" s="958">
        <f t="shared" si="115"/>
        <v>66</v>
      </c>
      <c r="AZ98" s="959">
        <v>19</v>
      </c>
      <c r="BA98" s="957">
        <v>22</v>
      </c>
      <c r="BB98" s="957"/>
      <c r="BC98" s="958">
        <v>41</v>
      </c>
      <c r="BD98" s="959">
        <v>24</v>
      </c>
      <c r="BE98" s="957">
        <v>27</v>
      </c>
      <c r="BF98" s="957"/>
      <c r="BG98" s="958">
        <f>SUM(BD98:BF98)</f>
        <v>51</v>
      </c>
      <c r="BH98" s="959">
        <v>35</v>
      </c>
      <c r="BI98" s="957">
        <v>44</v>
      </c>
      <c r="BJ98" s="957"/>
      <c r="BK98" s="958">
        <f>SUM(BH98:BJ98)</f>
        <v>79</v>
      </c>
      <c r="BL98" s="959">
        <v>14</v>
      </c>
      <c r="BM98" s="957">
        <v>36</v>
      </c>
      <c r="BN98" s="957"/>
      <c r="BO98" s="958">
        <f>SUM(BL98:BN98)</f>
        <v>50</v>
      </c>
      <c r="BP98" s="959">
        <v>52</v>
      </c>
      <c r="BQ98" s="957">
        <v>21</v>
      </c>
      <c r="BR98" s="957"/>
      <c r="BS98" s="958">
        <f>SUM(BP98:BR98)</f>
        <v>73</v>
      </c>
      <c r="BT98" s="959">
        <v>48</v>
      </c>
      <c r="BU98" s="957">
        <v>36</v>
      </c>
      <c r="BV98" s="957"/>
      <c r="BW98" s="958">
        <f>SUM(BT98:BV98)</f>
        <v>84</v>
      </c>
      <c r="BX98" s="959">
        <v>29</v>
      </c>
      <c r="BY98" s="957">
        <v>34</v>
      </c>
      <c r="BZ98" s="957"/>
      <c r="CA98" s="958">
        <f>SUM(BX98:BZ98)</f>
        <v>63</v>
      </c>
    </row>
    <row r="99" spans="1:79" s="945" customFormat="1" ht="15" customHeight="1" x14ac:dyDescent="0.25">
      <c r="A99" s="5697"/>
      <c r="B99" s="5886"/>
      <c r="C99" s="960" t="s">
        <v>160</v>
      </c>
      <c r="D99" s="961">
        <v>163</v>
      </c>
      <c r="E99" s="962">
        <v>150</v>
      </c>
      <c r="F99" s="962"/>
      <c r="G99" s="963">
        <v>313</v>
      </c>
      <c r="H99" s="961">
        <v>155</v>
      </c>
      <c r="I99" s="962">
        <v>242</v>
      </c>
      <c r="J99" s="962"/>
      <c r="K99" s="963">
        <v>397</v>
      </c>
      <c r="L99" s="961">
        <v>166</v>
      </c>
      <c r="M99" s="962">
        <v>224</v>
      </c>
      <c r="N99" s="962"/>
      <c r="O99" s="963">
        <v>390</v>
      </c>
      <c r="P99" s="961">
        <v>231</v>
      </c>
      <c r="Q99" s="962">
        <v>174</v>
      </c>
      <c r="R99" s="962"/>
      <c r="S99" s="963">
        <v>405</v>
      </c>
      <c r="T99" s="961">
        <f t="shared" ref="T99:BB99" si="142">SUM(T95:T98)</f>
        <v>187</v>
      </c>
      <c r="U99" s="962">
        <f t="shared" si="142"/>
        <v>168</v>
      </c>
      <c r="V99" s="962">
        <f t="shared" si="142"/>
        <v>0</v>
      </c>
      <c r="W99" s="963">
        <f t="shared" si="142"/>
        <v>355</v>
      </c>
      <c r="X99" s="961">
        <f t="shared" si="142"/>
        <v>132</v>
      </c>
      <c r="Y99" s="962">
        <f t="shared" si="142"/>
        <v>226</v>
      </c>
      <c r="Z99" s="962">
        <f t="shared" si="142"/>
        <v>0</v>
      </c>
      <c r="AA99" s="963">
        <f t="shared" si="142"/>
        <v>358</v>
      </c>
      <c r="AB99" s="961">
        <f t="shared" si="142"/>
        <v>164</v>
      </c>
      <c r="AC99" s="962">
        <f t="shared" si="142"/>
        <v>256</v>
      </c>
      <c r="AD99" s="962">
        <f t="shared" si="142"/>
        <v>0</v>
      </c>
      <c r="AE99" s="963">
        <f t="shared" si="142"/>
        <v>420</v>
      </c>
      <c r="AF99" s="961">
        <f t="shared" si="142"/>
        <v>177</v>
      </c>
      <c r="AG99" s="962">
        <f t="shared" si="142"/>
        <v>247</v>
      </c>
      <c r="AH99" s="962">
        <f t="shared" si="142"/>
        <v>0</v>
      </c>
      <c r="AI99" s="963">
        <f t="shared" si="142"/>
        <v>424</v>
      </c>
      <c r="AJ99" s="961">
        <f t="shared" si="142"/>
        <v>122</v>
      </c>
      <c r="AK99" s="962">
        <f t="shared" si="142"/>
        <v>253</v>
      </c>
      <c r="AL99" s="962">
        <f t="shared" si="142"/>
        <v>0</v>
      </c>
      <c r="AM99" s="963">
        <f t="shared" si="142"/>
        <v>375</v>
      </c>
      <c r="AN99" s="961">
        <f t="shared" si="142"/>
        <v>183</v>
      </c>
      <c r="AO99" s="962">
        <f t="shared" si="142"/>
        <v>316</v>
      </c>
      <c r="AP99" s="962">
        <f t="shared" si="142"/>
        <v>0</v>
      </c>
      <c r="AQ99" s="963">
        <f t="shared" si="142"/>
        <v>499</v>
      </c>
      <c r="AR99" s="961">
        <f t="shared" si="142"/>
        <v>205</v>
      </c>
      <c r="AS99" s="962">
        <f t="shared" si="142"/>
        <v>258</v>
      </c>
      <c r="AT99" s="962">
        <f t="shared" si="142"/>
        <v>0</v>
      </c>
      <c r="AU99" s="963">
        <f t="shared" si="114"/>
        <v>463</v>
      </c>
      <c r="AV99" s="961">
        <f>SUM(AV95:AV98)</f>
        <v>201</v>
      </c>
      <c r="AW99" s="962">
        <f>SUM(AW95:AW98)</f>
        <v>244</v>
      </c>
      <c r="AX99" s="962">
        <f>SUM(AX95:AX98)</f>
        <v>0</v>
      </c>
      <c r="AY99" s="963">
        <f t="shared" si="115"/>
        <v>445</v>
      </c>
      <c r="AZ99" s="961">
        <f t="shared" si="142"/>
        <v>182</v>
      </c>
      <c r="BA99" s="962">
        <f t="shared" si="142"/>
        <v>195</v>
      </c>
      <c r="BB99" s="962">
        <f t="shared" si="142"/>
        <v>0</v>
      </c>
      <c r="BC99" s="963">
        <f t="shared" ref="BC99:BK99" si="143">SUM(BC95:BC98)</f>
        <v>377</v>
      </c>
      <c r="BD99" s="961">
        <f t="shared" si="143"/>
        <v>168</v>
      </c>
      <c r="BE99" s="962">
        <f t="shared" si="143"/>
        <v>204</v>
      </c>
      <c r="BF99" s="962">
        <f t="shared" si="143"/>
        <v>0</v>
      </c>
      <c r="BG99" s="963">
        <f t="shared" si="143"/>
        <v>372</v>
      </c>
      <c r="BH99" s="961">
        <f t="shared" si="143"/>
        <v>223</v>
      </c>
      <c r="BI99" s="962">
        <f t="shared" si="143"/>
        <v>213</v>
      </c>
      <c r="BJ99" s="962">
        <f t="shared" si="143"/>
        <v>0</v>
      </c>
      <c r="BK99" s="963">
        <f t="shared" si="143"/>
        <v>436</v>
      </c>
      <c r="BL99" s="961">
        <f t="shared" ref="BL99:BS99" si="144">SUM(BL95:BL98)</f>
        <v>209</v>
      </c>
      <c r="BM99" s="962">
        <f t="shared" si="144"/>
        <v>244</v>
      </c>
      <c r="BN99" s="962">
        <f t="shared" si="144"/>
        <v>0</v>
      </c>
      <c r="BO99" s="963">
        <f t="shared" si="144"/>
        <v>453</v>
      </c>
      <c r="BP99" s="961">
        <f t="shared" si="144"/>
        <v>221</v>
      </c>
      <c r="BQ99" s="962">
        <f t="shared" si="144"/>
        <v>187</v>
      </c>
      <c r="BR99" s="962">
        <f t="shared" si="144"/>
        <v>0</v>
      </c>
      <c r="BS99" s="963">
        <f t="shared" si="144"/>
        <v>408</v>
      </c>
      <c r="BT99" s="961">
        <f t="shared" ref="BT99:CA99" si="145">SUM(BT95:BT98)</f>
        <v>195</v>
      </c>
      <c r="BU99" s="962">
        <f t="shared" si="145"/>
        <v>253</v>
      </c>
      <c r="BV99" s="962">
        <f t="shared" si="145"/>
        <v>0</v>
      </c>
      <c r="BW99" s="963">
        <f t="shared" si="145"/>
        <v>448</v>
      </c>
      <c r="BX99" s="961">
        <f>SUM(BX95:BX98)</f>
        <v>191</v>
      </c>
      <c r="BY99" s="962">
        <f t="shared" ref="BY99:BZ99" si="146">SUM(BY95:BY98)</f>
        <v>209</v>
      </c>
      <c r="BZ99" s="962">
        <f t="shared" si="146"/>
        <v>0</v>
      </c>
      <c r="CA99" s="963">
        <f t="shared" si="145"/>
        <v>400</v>
      </c>
    </row>
    <row r="100" spans="1:79" s="945" customFormat="1" ht="15" customHeight="1" x14ac:dyDescent="0.25">
      <c r="A100" s="5768"/>
      <c r="B100" s="3592"/>
      <c r="C100" s="3588" t="s">
        <v>444</v>
      </c>
      <c r="D100" s="4403">
        <v>839</v>
      </c>
      <c r="E100" s="4404">
        <v>999</v>
      </c>
      <c r="F100" s="4404">
        <v>289</v>
      </c>
      <c r="G100" s="4405">
        <v>2127</v>
      </c>
      <c r="H100" s="3589">
        <v>844</v>
      </c>
      <c r="I100" s="3590">
        <v>1170</v>
      </c>
      <c r="J100" s="3590">
        <v>330</v>
      </c>
      <c r="K100" s="3591">
        <v>2344</v>
      </c>
      <c r="L100" s="3589">
        <v>802</v>
      </c>
      <c r="M100" s="3590">
        <v>1091</v>
      </c>
      <c r="N100" s="3590">
        <v>359</v>
      </c>
      <c r="O100" s="3591">
        <v>2252</v>
      </c>
      <c r="P100" s="3589">
        <v>975</v>
      </c>
      <c r="Q100" s="3590">
        <v>1190</v>
      </c>
      <c r="R100" s="3590">
        <v>357</v>
      </c>
      <c r="S100" s="3591">
        <v>2522</v>
      </c>
      <c r="T100" s="4403">
        <f t="shared" ref="T100:BB100" si="147">SUM(T99,T94,T85)</f>
        <v>920</v>
      </c>
      <c r="U100" s="4404">
        <f t="shared" si="147"/>
        <v>947</v>
      </c>
      <c r="V100" s="4404">
        <f t="shared" si="147"/>
        <v>319</v>
      </c>
      <c r="W100" s="4405">
        <f t="shared" si="147"/>
        <v>2186</v>
      </c>
      <c r="X100" s="3589">
        <f t="shared" si="147"/>
        <v>704</v>
      </c>
      <c r="Y100" s="3590">
        <f t="shared" si="147"/>
        <v>984</v>
      </c>
      <c r="Z100" s="3590">
        <f t="shared" si="147"/>
        <v>291</v>
      </c>
      <c r="AA100" s="3591">
        <f t="shared" si="147"/>
        <v>1979</v>
      </c>
      <c r="AB100" s="3589">
        <f t="shared" si="147"/>
        <v>708</v>
      </c>
      <c r="AC100" s="3590">
        <f t="shared" si="147"/>
        <v>1050</v>
      </c>
      <c r="AD100" s="3590">
        <f t="shared" si="147"/>
        <v>288</v>
      </c>
      <c r="AE100" s="3591">
        <f t="shared" si="147"/>
        <v>2046</v>
      </c>
      <c r="AF100" s="3589">
        <f t="shared" si="147"/>
        <v>810</v>
      </c>
      <c r="AG100" s="3590">
        <f t="shared" si="147"/>
        <v>1030</v>
      </c>
      <c r="AH100" s="3590">
        <f t="shared" si="147"/>
        <v>303</v>
      </c>
      <c r="AI100" s="3591">
        <f t="shared" si="147"/>
        <v>2143</v>
      </c>
      <c r="AJ100" s="3589">
        <f t="shared" si="147"/>
        <v>791</v>
      </c>
      <c r="AK100" s="3590">
        <f t="shared" si="147"/>
        <v>1126</v>
      </c>
      <c r="AL100" s="3590">
        <f t="shared" si="147"/>
        <v>360</v>
      </c>
      <c r="AM100" s="3591">
        <f t="shared" si="147"/>
        <v>2277</v>
      </c>
      <c r="AN100" s="4403">
        <f t="shared" si="147"/>
        <v>1096</v>
      </c>
      <c r="AO100" s="4404">
        <f t="shared" si="147"/>
        <v>1256</v>
      </c>
      <c r="AP100" s="4404">
        <f t="shared" si="147"/>
        <v>366</v>
      </c>
      <c r="AQ100" s="4405">
        <f t="shared" si="147"/>
        <v>2718</v>
      </c>
      <c r="AR100" s="4425">
        <f t="shared" si="147"/>
        <v>934</v>
      </c>
      <c r="AS100" s="4426">
        <f t="shared" si="147"/>
        <v>1341</v>
      </c>
      <c r="AT100" s="4426">
        <f t="shared" si="147"/>
        <v>399</v>
      </c>
      <c r="AU100" s="4427">
        <f t="shared" si="114"/>
        <v>2674</v>
      </c>
      <c r="AV100" s="3768">
        <f>SUM(AV99,AV94,AV85)</f>
        <v>974</v>
      </c>
      <c r="AW100" s="3769">
        <f>SUM(AW99,AW94,AW85)</f>
        <v>1173</v>
      </c>
      <c r="AX100" s="3769">
        <f>SUM(AX99,AX94,AX85)</f>
        <v>373</v>
      </c>
      <c r="AY100" s="3770">
        <f t="shared" si="115"/>
        <v>2520</v>
      </c>
      <c r="AZ100" s="3589">
        <f t="shared" si="147"/>
        <v>887</v>
      </c>
      <c r="BA100" s="3590">
        <f t="shared" si="147"/>
        <v>1128</v>
      </c>
      <c r="BB100" s="3590">
        <f t="shared" si="147"/>
        <v>338</v>
      </c>
      <c r="BC100" s="3591">
        <f>SUM(BC85,BC94,BC99)</f>
        <v>2353</v>
      </c>
      <c r="BD100" s="3589">
        <f t="shared" ref="BD100:BK100" si="148">SUM(BD99,BD94,BD85)</f>
        <v>871</v>
      </c>
      <c r="BE100" s="3590">
        <f t="shared" si="148"/>
        <v>1166</v>
      </c>
      <c r="BF100" s="3590">
        <f t="shared" si="148"/>
        <v>314</v>
      </c>
      <c r="BG100" s="3591">
        <f t="shared" si="148"/>
        <v>2351</v>
      </c>
      <c r="BH100" s="3589">
        <f t="shared" si="148"/>
        <v>942</v>
      </c>
      <c r="BI100" s="3590">
        <f t="shared" si="148"/>
        <v>1169</v>
      </c>
      <c r="BJ100" s="3590">
        <f t="shared" si="148"/>
        <v>380</v>
      </c>
      <c r="BK100" s="3591">
        <f t="shared" si="148"/>
        <v>2491</v>
      </c>
      <c r="BL100" s="3589">
        <f t="shared" ref="BL100:BS100" si="149">SUM(BL99,BL94,BL85)</f>
        <v>856</v>
      </c>
      <c r="BM100" s="3590">
        <f t="shared" si="149"/>
        <v>1171</v>
      </c>
      <c r="BN100" s="3590">
        <f t="shared" si="149"/>
        <v>361</v>
      </c>
      <c r="BO100" s="3591">
        <f t="shared" si="149"/>
        <v>2388</v>
      </c>
      <c r="BP100" s="3589">
        <f t="shared" si="149"/>
        <v>924</v>
      </c>
      <c r="BQ100" s="3590">
        <f t="shared" si="149"/>
        <v>1071</v>
      </c>
      <c r="BR100" s="3590">
        <f t="shared" si="149"/>
        <v>365</v>
      </c>
      <c r="BS100" s="3591">
        <f t="shared" si="149"/>
        <v>2360</v>
      </c>
      <c r="BT100" s="3589">
        <f t="shared" ref="BT100:CA100" si="150">SUM(BT99,BT94,BT85)</f>
        <v>887</v>
      </c>
      <c r="BU100" s="3590">
        <f t="shared" si="150"/>
        <v>1180</v>
      </c>
      <c r="BV100" s="3590">
        <f t="shared" si="150"/>
        <v>316</v>
      </c>
      <c r="BW100" s="3591">
        <f t="shared" si="150"/>
        <v>2383</v>
      </c>
      <c r="BX100" s="3589">
        <f t="shared" si="150"/>
        <v>839</v>
      </c>
      <c r="BY100" s="3590">
        <f t="shared" si="150"/>
        <v>1097</v>
      </c>
      <c r="BZ100" s="3590">
        <f t="shared" si="150"/>
        <v>345</v>
      </c>
      <c r="CA100" s="3591">
        <f t="shared" si="150"/>
        <v>2281</v>
      </c>
    </row>
    <row r="101" spans="1:79" s="945" customFormat="1" ht="15" customHeight="1" x14ac:dyDescent="0.2"/>
    <row r="102" spans="1:79" s="945" customFormat="1" ht="15" customHeight="1" x14ac:dyDescent="0.25">
      <c r="A102" s="188"/>
      <c r="B102" s="5879" t="s">
        <v>76</v>
      </c>
      <c r="C102" s="5880"/>
      <c r="D102" s="979">
        <f t="shared" ref="D102:AT102" si="151">SUM(D25,D40,D70,D100)</f>
        <v>1681</v>
      </c>
      <c r="E102" s="980">
        <f t="shared" si="151"/>
        <v>1864</v>
      </c>
      <c r="F102" s="980">
        <f t="shared" si="151"/>
        <v>981</v>
      </c>
      <c r="G102" s="981">
        <f t="shared" si="151"/>
        <v>4526</v>
      </c>
      <c r="H102" s="979">
        <f t="shared" si="151"/>
        <v>1629</v>
      </c>
      <c r="I102" s="980">
        <f t="shared" si="151"/>
        <v>1923</v>
      </c>
      <c r="J102" s="980">
        <f t="shared" si="151"/>
        <v>1010</v>
      </c>
      <c r="K102" s="981">
        <f t="shared" si="151"/>
        <v>4562</v>
      </c>
      <c r="L102" s="979">
        <f t="shared" si="151"/>
        <v>1616</v>
      </c>
      <c r="M102" s="980">
        <f t="shared" si="151"/>
        <v>1869</v>
      </c>
      <c r="N102" s="980">
        <f t="shared" si="151"/>
        <v>1006</v>
      </c>
      <c r="O102" s="981">
        <f t="shared" si="151"/>
        <v>4491</v>
      </c>
      <c r="P102" s="979">
        <f t="shared" si="151"/>
        <v>1722</v>
      </c>
      <c r="Q102" s="980">
        <f t="shared" si="151"/>
        <v>1967</v>
      </c>
      <c r="R102" s="980">
        <f t="shared" si="151"/>
        <v>1043</v>
      </c>
      <c r="S102" s="981">
        <f t="shared" si="151"/>
        <v>4732</v>
      </c>
      <c r="T102" s="979">
        <f t="shared" si="151"/>
        <v>1757</v>
      </c>
      <c r="U102" s="980">
        <f t="shared" si="151"/>
        <v>1913</v>
      </c>
      <c r="V102" s="980">
        <f t="shared" si="151"/>
        <v>1023</v>
      </c>
      <c r="W102" s="981">
        <f t="shared" si="151"/>
        <v>4693</v>
      </c>
      <c r="X102" s="979">
        <f t="shared" si="151"/>
        <v>1514</v>
      </c>
      <c r="Y102" s="980">
        <f t="shared" si="151"/>
        <v>1926</v>
      </c>
      <c r="Z102" s="980">
        <f t="shared" si="151"/>
        <v>1005</v>
      </c>
      <c r="AA102" s="981">
        <f t="shared" si="151"/>
        <v>4445</v>
      </c>
      <c r="AB102" s="979">
        <f t="shared" si="151"/>
        <v>1549</v>
      </c>
      <c r="AC102" s="980">
        <f t="shared" si="151"/>
        <v>1929</v>
      </c>
      <c r="AD102" s="980">
        <f t="shared" si="151"/>
        <v>956</v>
      </c>
      <c r="AE102" s="981">
        <f t="shared" si="151"/>
        <v>4434</v>
      </c>
      <c r="AF102" s="979">
        <f t="shared" si="151"/>
        <v>1631</v>
      </c>
      <c r="AG102" s="980">
        <f t="shared" si="151"/>
        <v>1902</v>
      </c>
      <c r="AH102" s="980">
        <f t="shared" si="151"/>
        <v>1007</v>
      </c>
      <c r="AI102" s="981">
        <f t="shared" si="151"/>
        <v>4540</v>
      </c>
      <c r="AJ102" s="979">
        <f t="shared" si="151"/>
        <v>1551</v>
      </c>
      <c r="AK102" s="980">
        <f t="shared" si="151"/>
        <v>1943</v>
      </c>
      <c r="AL102" s="980">
        <f t="shared" si="151"/>
        <v>932</v>
      </c>
      <c r="AM102" s="981">
        <f t="shared" si="151"/>
        <v>4426</v>
      </c>
      <c r="AN102" s="979">
        <f t="shared" si="151"/>
        <v>1814</v>
      </c>
      <c r="AO102" s="980">
        <f t="shared" si="151"/>
        <v>2082</v>
      </c>
      <c r="AP102" s="980">
        <f t="shared" si="151"/>
        <v>961</v>
      </c>
      <c r="AQ102" s="981">
        <f t="shared" si="151"/>
        <v>4857</v>
      </c>
      <c r="AR102" s="979">
        <f t="shared" si="151"/>
        <v>1680</v>
      </c>
      <c r="AS102" s="980">
        <f t="shared" si="151"/>
        <v>2222</v>
      </c>
      <c r="AT102" s="980">
        <f t="shared" si="151"/>
        <v>949</v>
      </c>
      <c r="AU102" s="981">
        <f>SUM(AR102:AT102)</f>
        <v>4851</v>
      </c>
      <c r="AV102" s="979">
        <f>SUM(AV25,AV40,AV70,AV100)</f>
        <v>1713</v>
      </c>
      <c r="AW102" s="980">
        <f>SUM(AW25,AW40,AW70,AW100)</f>
        <v>2119</v>
      </c>
      <c r="AX102" s="980">
        <f>SUM(AX25,AX40,AX70,AX100)</f>
        <v>1022</v>
      </c>
      <c r="AY102" s="981">
        <f>SUM(AV102:AX102)</f>
        <v>4854</v>
      </c>
      <c r="AZ102" s="979">
        <f t="shared" ref="AZ102:BO102" si="152">SUM(AZ25,AZ40,AZ70,AZ100)</f>
        <v>1595</v>
      </c>
      <c r="BA102" s="980">
        <f t="shared" si="152"/>
        <v>1959</v>
      </c>
      <c r="BB102" s="980">
        <f t="shared" si="152"/>
        <v>894</v>
      </c>
      <c r="BC102" s="981">
        <f t="shared" si="152"/>
        <v>4448</v>
      </c>
      <c r="BD102" s="979">
        <f t="shared" si="152"/>
        <v>1620</v>
      </c>
      <c r="BE102" s="980">
        <f t="shared" si="152"/>
        <v>2108</v>
      </c>
      <c r="BF102" s="980">
        <f t="shared" si="152"/>
        <v>946</v>
      </c>
      <c r="BG102" s="981">
        <f t="shared" si="152"/>
        <v>4674</v>
      </c>
      <c r="BH102" s="979">
        <f t="shared" si="152"/>
        <v>1807</v>
      </c>
      <c r="BI102" s="980">
        <f t="shared" si="152"/>
        <v>2329</v>
      </c>
      <c r="BJ102" s="980">
        <f t="shared" si="152"/>
        <v>1198</v>
      </c>
      <c r="BK102" s="981">
        <f t="shared" si="152"/>
        <v>5334</v>
      </c>
      <c r="BL102" s="979">
        <f t="shared" si="152"/>
        <v>1785</v>
      </c>
      <c r="BM102" s="980">
        <f t="shared" si="152"/>
        <v>2239</v>
      </c>
      <c r="BN102" s="980">
        <f t="shared" si="152"/>
        <v>1039</v>
      </c>
      <c r="BO102" s="981">
        <f t="shared" si="152"/>
        <v>5063</v>
      </c>
      <c r="BP102" s="979">
        <f t="shared" ref="BP102:BW102" si="153">SUM(BP25,BP40,BP70,BP78,BP100)</f>
        <v>1798</v>
      </c>
      <c r="BQ102" s="980">
        <f t="shared" si="153"/>
        <v>2134</v>
      </c>
      <c r="BR102" s="980">
        <f t="shared" si="153"/>
        <v>1215</v>
      </c>
      <c r="BS102" s="981">
        <f t="shared" si="153"/>
        <v>5147</v>
      </c>
      <c r="BT102" s="979">
        <f t="shared" si="153"/>
        <v>1790</v>
      </c>
      <c r="BU102" s="980">
        <f t="shared" si="153"/>
        <v>2356</v>
      </c>
      <c r="BV102" s="980">
        <f t="shared" si="153"/>
        <v>999</v>
      </c>
      <c r="BW102" s="981">
        <f t="shared" si="153"/>
        <v>5145</v>
      </c>
      <c r="BX102" s="979">
        <f t="shared" ref="BX102:CA102" si="154">SUM(BX25,BX40,BX70,BX78,BX100)</f>
        <v>1880</v>
      </c>
      <c r="BY102" s="980">
        <f t="shared" si="154"/>
        <v>2300</v>
      </c>
      <c r="BZ102" s="980">
        <f t="shared" si="154"/>
        <v>1247</v>
      </c>
      <c r="CA102" s="981">
        <f t="shared" si="154"/>
        <v>5427</v>
      </c>
    </row>
    <row r="103" spans="1:79" ht="15" x14ac:dyDescent="0.2">
      <c r="A103" s="188"/>
      <c r="B103" s="982"/>
      <c r="C103" s="983"/>
      <c r="D103" s="983"/>
      <c r="E103" s="983"/>
      <c r="F103" s="983"/>
      <c r="G103" s="983"/>
      <c r="H103" s="983"/>
      <c r="I103" s="983"/>
      <c r="J103" s="983"/>
      <c r="K103" s="983"/>
      <c r="L103" s="983"/>
      <c r="M103" s="983"/>
      <c r="N103" s="983"/>
      <c r="O103" s="983"/>
      <c r="P103" s="983"/>
      <c r="Q103" s="983"/>
      <c r="R103" s="983"/>
      <c r="S103" s="983"/>
      <c r="T103" s="945"/>
      <c r="U103" s="945"/>
      <c r="V103" s="945"/>
      <c r="W103" s="945"/>
      <c r="X103" s="945"/>
      <c r="Y103" s="945"/>
      <c r="Z103" s="945"/>
      <c r="AA103" s="945"/>
      <c r="AB103" s="945"/>
      <c r="AC103" s="945"/>
      <c r="AD103" s="945"/>
      <c r="AE103" s="945"/>
      <c r="AF103" s="945"/>
      <c r="AG103" s="945"/>
      <c r="AH103" s="945"/>
      <c r="AI103" s="945"/>
      <c r="AJ103" s="945"/>
      <c r="AK103" s="945"/>
      <c r="AL103" s="945"/>
      <c r="AM103" s="945"/>
      <c r="AN103" s="945"/>
      <c r="AO103" s="945"/>
      <c r="AP103" s="945"/>
      <c r="AQ103" s="945"/>
      <c r="AR103" s="945"/>
      <c r="AS103" s="945"/>
      <c r="AT103" s="945"/>
      <c r="AU103" s="945"/>
      <c r="AV103" s="945"/>
      <c r="AW103" s="945"/>
      <c r="AX103" s="945"/>
      <c r="AY103" s="945"/>
      <c r="AZ103" s="984"/>
    </row>
    <row r="104" spans="1:79" s="984" customFormat="1" ht="15" x14ac:dyDescent="0.2">
      <c r="A104" s="188"/>
      <c r="B104" s="326" t="s">
        <v>132</v>
      </c>
      <c r="C104" s="985"/>
      <c r="D104" s="985"/>
      <c r="E104" s="985"/>
      <c r="F104" s="985"/>
      <c r="G104" s="985"/>
      <c r="H104" s="985"/>
      <c r="I104" s="985"/>
      <c r="J104" s="985"/>
      <c r="K104" s="985"/>
      <c r="L104" s="985"/>
      <c r="M104" s="985"/>
      <c r="N104" s="985"/>
      <c r="O104" s="985"/>
      <c r="P104" s="985"/>
      <c r="Q104" s="985"/>
      <c r="R104" s="985"/>
      <c r="S104" s="985"/>
      <c r="T104" s="985"/>
      <c r="U104" s="985"/>
      <c r="V104" s="985"/>
      <c r="W104" s="985"/>
      <c r="X104" s="985"/>
      <c r="Y104" s="985"/>
      <c r="Z104" s="985"/>
      <c r="AA104" s="985"/>
      <c r="AB104" s="985"/>
      <c r="AC104" s="985"/>
      <c r="AD104" s="985"/>
      <c r="AE104" s="985"/>
      <c r="AF104" s="985"/>
      <c r="AG104" s="985"/>
      <c r="AH104" s="985"/>
      <c r="AI104" s="985"/>
      <c r="AJ104" s="985"/>
      <c r="AK104" s="985"/>
      <c r="AL104" s="985"/>
      <c r="AM104" s="985"/>
      <c r="AN104" s="985"/>
      <c r="AO104" s="985"/>
      <c r="AP104" s="985"/>
      <c r="AQ104" s="985"/>
      <c r="AR104" s="985"/>
      <c r="AS104" s="985"/>
      <c r="AT104" s="985"/>
      <c r="AU104" s="985"/>
      <c r="AV104" s="985"/>
      <c r="AW104" s="985"/>
      <c r="AX104" s="985"/>
      <c r="AY104" s="985"/>
      <c r="AZ104" s="945"/>
    </row>
    <row r="105" spans="1:79" s="945" customFormat="1" ht="15" x14ac:dyDescent="0.2">
      <c r="A105" s="984"/>
      <c r="B105" s="240" t="s">
        <v>648</v>
      </c>
      <c r="C105" s="985"/>
      <c r="D105" s="985"/>
      <c r="E105" s="985"/>
      <c r="F105" s="985"/>
      <c r="G105" s="985"/>
      <c r="H105" s="985"/>
      <c r="I105" s="985"/>
      <c r="J105" s="985"/>
      <c r="K105" s="985"/>
      <c r="L105" s="985"/>
      <c r="M105" s="985"/>
      <c r="N105" s="985"/>
      <c r="O105" s="985"/>
      <c r="P105" s="985"/>
      <c r="Q105" s="985"/>
      <c r="R105" s="985"/>
      <c r="S105" s="985"/>
      <c r="T105" s="985"/>
      <c r="U105" s="985"/>
      <c r="V105" s="985"/>
      <c r="W105" s="985"/>
      <c r="X105" s="985"/>
      <c r="Y105" s="985"/>
      <c r="Z105" s="985"/>
      <c r="AA105" s="985"/>
      <c r="AB105" s="985"/>
      <c r="AC105" s="985"/>
      <c r="AD105" s="985"/>
      <c r="AE105" s="985"/>
      <c r="AF105" s="985"/>
      <c r="AG105" s="985"/>
      <c r="AH105" s="985"/>
      <c r="AI105" s="985"/>
      <c r="AJ105" s="985"/>
      <c r="AK105" s="985"/>
      <c r="AL105" s="985"/>
      <c r="AM105" s="985"/>
      <c r="AN105" s="985"/>
      <c r="AO105" s="985"/>
      <c r="AP105" s="985"/>
      <c r="AQ105" s="985"/>
      <c r="AR105" s="985"/>
      <c r="AS105" s="985"/>
      <c r="AT105" s="985"/>
      <c r="AU105" s="985"/>
      <c r="AV105" s="985"/>
      <c r="AW105" s="985"/>
      <c r="AX105" s="985"/>
      <c r="AY105" s="985"/>
      <c r="AZ105" s="985"/>
    </row>
  </sheetData>
  <sheetProtection algorithmName="SHA-512" hashValue="vuOT898QyQqDbuZXdqtq4iRGwa6vU7UTn8Ahegcki8wEJBvlVTxaz8DKY0YkWqm3pSiqnnP/7Vug0WBxIBjv1A==" saltValue="ZIPcNQ5EpTl/4ZB+GsMO5g==" spinCount="100000" sheet="1" objects="1" scenarios="1"/>
  <mergeCells count="44">
    <mergeCell ref="BX3:CA3"/>
    <mergeCell ref="BT3:BW3"/>
    <mergeCell ref="AJ3:AM3"/>
    <mergeCell ref="AN3:AQ3"/>
    <mergeCell ref="AR3:AU3"/>
    <mergeCell ref="BP3:BS3"/>
    <mergeCell ref="BL3:BO3"/>
    <mergeCell ref="BH3:BK3"/>
    <mergeCell ref="AZ3:BC3"/>
    <mergeCell ref="BD3:BG3"/>
    <mergeCell ref="A1:C1"/>
    <mergeCell ref="B102:C102"/>
    <mergeCell ref="A41:A70"/>
    <mergeCell ref="B41:B50"/>
    <mergeCell ref="B51:B62"/>
    <mergeCell ref="B63:B69"/>
    <mergeCell ref="A79:A100"/>
    <mergeCell ref="B79:B85"/>
    <mergeCell ref="B86:B94"/>
    <mergeCell ref="B95:B99"/>
    <mergeCell ref="A71:A78"/>
    <mergeCell ref="B73:B75"/>
    <mergeCell ref="B71:B72"/>
    <mergeCell ref="B76:B77"/>
    <mergeCell ref="A26:A40"/>
    <mergeCell ref="B26:B30"/>
    <mergeCell ref="B31:B34"/>
    <mergeCell ref="B35:B39"/>
    <mergeCell ref="A5:A25"/>
    <mergeCell ref="B5:B15"/>
    <mergeCell ref="B16:B20"/>
    <mergeCell ref="B21:B24"/>
    <mergeCell ref="A3:A4"/>
    <mergeCell ref="B3:B4"/>
    <mergeCell ref="C3:C4"/>
    <mergeCell ref="AV3:AY3"/>
    <mergeCell ref="D3:G3"/>
    <mergeCell ref="H3:K3"/>
    <mergeCell ref="L3:O3"/>
    <mergeCell ref="P3:S3"/>
    <mergeCell ref="X3:AA3"/>
    <mergeCell ref="AB3:AE3"/>
    <mergeCell ref="AF3:AI3"/>
    <mergeCell ref="T3:W3"/>
  </mergeCells>
  <printOptions horizontalCentered="1" verticalCentered="1"/>
  <pageMargins left="0.55118110236220474" right="0.47244094488188981" top="0.11811023622047245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40" max="16383" man="1"/>
  </rowBreaks>
  <colBreaks count="3" manualBreakCount="3">
    <brk id="23" max="1048575" man="1"/>
    <brk id="43" max="1048575" man="1"/>
    <brk id="63" max="1048575" man="1"/>
  </colBreaks>
  <ignoredErrors>
    <ignoredError sqref="BG5:BG14 BG95:BG100 BG21:BG24 BC79:BC84 BC86:BC93 W5:W14 W21:W23 W41:W49" formulaRange="1"/>
    <ignoredError sqref="BG39 BG15:BG20 BC85 W15:W20 BG28:BG37 BG79:BG94 BG26 BG41:BG70" formula="1" formulaRange="1"/>
    <ignoredError sqref="BC100 AA15:AI20 BK15 BK20 BK30:BK34 BK62 BK85:BK94 BO15:BO24 BO79:BO94 BO28:BO39 AM15:AQ20 AU102 AY101:AY102 BO26 BS15:BS20 BS50:BS62 BS85:BS94 BS30:BS34 BO41:BO70 BS72 AU15:AU100 AY15:AY100 BW15:BW20 BW85:BW94 BW50:BW62 BW30:BW34 BW72:CA75 CA85:CA94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BZ123"/>
  <sheetViews>
    <sheetView showGridLines="0" zoomScaleNormal="100" zoomScaleSheetLayoutView="70" workbookViewId="0">
      <pane xSplit="2" ySplit="5" topLeftCell="AY99" activePane="bottomRight" state="frozen"/>
      <selection sqref="A1:E1"/>
      <selection pane="topRight" sqref="A1:E1"/>
      <selection pane="bottomLeft" sqref="A1:E1"/>
      <selection pane="bottomRight" sqref="A1:B1"/>
    </sheetView>
  </sheetViews>
  <sheetFormatPr baseColWidth="10" defaultRowHeight="12.75" x14ac:dyDescent="0.2"/>
  <cols>
    <col min="1" max="1" width="16" style="23" customWidth="1"/>
    <col min="2" max="2" width="9.140625" style="23" bestFit="1" customWidth="1"/>
    <col min="3" max="18" width="9.140625" style="23" customWidth="1"/>
    <col min="19" max="34" width="8.7109375" style="23" customWidth="1"/>
    <col min="35" max="37" width="7.7109375" style="23" customWidth="1"/>
    <col min="38" max="38" width="8.7109375" style="23" customWidth="1"/>
    <col min="39" max="41" width="7.7109375" style="23" customWidth="1"/>
    <col min="42" max="42" width="8.7109375" style="23" customWidth="1"/>
    <col min="43" max="45" width="7.7109375" style="23" customWidth="1"/>
    <col min="46" max="46" width="8.7109375" style="23" customWidth="1"/>
    <col min="47" max="49" width="7.7109375" style="23" customWidth="1"/>
    <col min="50" max="50" width="8.7109375" style="23" customWidth="1"/>
    <col min="51" max="53" width="7.7109375" style="23" customWidth="1"/>
    <col min="54" max="54" width="8.7109375" style="23" customWidth="1"/>
    <col min="55" max="78" width="7.7109375" style="23" customWidth="1"/>
    <col min="79" max="16384" width="11.42578125" style="23"/>
  </cols>
  <sheetData>
    <row r="1" spans="1:78" s="6" customFormat="1" ht="63.75" customHeight="1" x14ac:dyDescent="0.2">
      <c r="A1" s="5817" t="s">
        <v>1272</v>
      </c>
      <c r="B1" s="5817"/>
      <c r="C1" s="681"/>
      <c r="D1" s="681"/>
      <c r="E1" s="681"/>
      <c r="F1" s="681"/>
      <c r="G1" s="681"/>
      <c r="H1" s="681"/>
      <c r="I1" s="681"/>
      <c r="J1" s="681"/>
      <c r="K1" s="681"/>
      <c r="L1" s="681"/>
      <c r="M1" s="681"/>
      <c r="N1" s="681"/>
      <c r="O1" s="681"/>
      <c r="P1" s="681"/>
      <c r="Q1" s="681"/>
      <c r="R1" s="681"/>
      <c r="S1" s="681"/>
      <c r="T1" s="681"/>
      <c r="U1" s="681"/>
      <c r="V1" s="681"/>
      <c r="W1" s="681"/>
      <c r="X1" s="681"/>
      <c r="Y1" s="681"/>
      <c r="Z1" s="681"/>
      <c r="AA1" s="681"/>
      <c r="AB1" s="681"/>
      <c r="AC1" s="681"/>
      <c r="AD1" s="681"/>
      <c r="AE1" s="681"/>
      <c r="AF1" s="681"/>
      <c r="AG1" s="681"/>
      <c r="AH1" s="681"/>
      <c r="AI1" s="681"/>
      <c r="AJ1" s="681"/>
      <c r="AK1" s="681"/>
      <c r="AL1" s="681"/>
      <c r="AM1" s="681"/>
      <c r="AN1" s="681"/>
      <c r="AO1" s="681"/>
      <c r="AP1" s="681"/>
      <c r="BC1" s="792"/>
      <c r="BD1" s="792"/>
      <c r="BE1" s="792"/>
    </row>
    <row r="2" spans="1:78" s="6" customFormat="1" ht="15.75" x14ac:dyDescent="0.2">
      <c r="A2" s="681"/>
      <c r="B2" s="681"/>
      <c r="C2" s="681"/>
      <c r="D2" s="681"/>
      <c r="E2" s="681"/>
      <c r="F2" s="681"/>
      <c r="G2" s="681"/>
      <c r="H2" s="681"/>
      <c r="I2" s="681"/>
      <c r="J2" s="681"/>
      <c r="K2" s="681"/>
      <c r="L2" s="681"/>
      <c r="M2" s="681"/>
      <c r="N2" s="681"/>
      <c r="O2" s="681"/>
      <c r="P2" s="681"/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  <c r="AC2" s="681"/>
      <c r="AD2" s="681"/>
      <c r="AE2" s="681"/>
      <c r="AF2" s="681"/>
      <c r="AG2" s="681"/>
      <c r="AH2" s="681"/>
      <c r="AI2" s="681"/>
      <c r="AJ2" s="681"/>
      <c r="AK2" s="681"/>
      <c r="AL2" s="681"/>
      <c r="AM2" s="681"/>
      <c r="AN2" s="681"/>
      <c r="AO2" s="681"/>
      <c r="AP2" s="681"/>
    </row>
    <row r="3" spans="1:78" s="6" customFormat="1" ht="14.25" x14ac:dyDescent="0.2">
      <c r="A3" s="5723" t="s">
        <v>16</v>
      </c>
      <c r="B3" s="5723" t="s">
        <v>4</v>
      </c>
      <c r="C3" s="5866">
        <v>1999</v>
      </c>
      <c r="D3" s="5867"/>
      <c r="E3" s="5867"/>
      <c r="F3" s="5868"/>
      <c r="G3" s="5866">
        <v>2000</v>
      </c>
      <c r="H3" s="5867"/>
      <c r="I3" s="5867"/>
      <c r="J3" s="5868"/>
      <c r="K3" s="5866">
        <v>2001</v>
      </c>
      <c r="L3" s="5867"/>
      <c r="M3" s="5867"/>
      <c r="N3" s="5868"/>
      <c r="O3" s="5866">
        <v>2002</v>
      </c>
      <c r="P3" s="5867"/>
      <c r="Q3" s="5867"/>
      <c r="R3" s="5868"/>
      <c r="S3" s="5866">
        <v>2003</v>
      </c>
      <c r="T3" s="5867"/>
      <c r="U3" s="5867"/>
      <c r="V3" s="5868"/>
      <c r="W3" s="5866">
        <v>2004</v>
      </c>
      <c r="X3" s="5867"/>
      <c r="Y3" s="5867"/>
      <c r="Z3" s="5868"/>
      <c r="AA3" s="5866">
        <v>2005</v>
      </c>
      <c r="AB3" s="5867"/>
      <c r="AC3" s="5867"/>
      <c r="AD3" s="5868"/>
      <c r="AE3" s="5866">
        <v>2006</v>
      </c>
      <c r="AF3" s="5867"/>
      <c r="AG3" s="5867"/>
      <c r="AH3" s="5868"/>
      <c r="AI3" s="5866">
        <v>2007</v>
      </c>
      <c r="AJ3" s="5867"/>
      <c r="AK3" s="5867"/>
      <c r="AL3" s="5868"/>
      <c r="AM3" s="5866">
        <v>2008</v>
      </c>
      <c r="AN3" s="5867"/>
      <c r="AO3" s="5867"/>
      <c r="AP3" s="5868"/>
      <c r="AQ3" s="5866">
        <v>2009</v>
      </c>
      <c r="AR3" s="5867"/>
      <c r="AS3" s="5867"/>
      <c r="AT3" s="5868"/>
      <c r="AU3" s="5866">
        <v>2010</v>
      </c>
      <c r="AV3" s="5867"/>
      <c r="AW3" s="5867"/>
      <c r="AX3" s="5868"/>
      <c r="AY3" s="5866">
        <v>2011</v>
      </c>
      <c r="AZ3" s="5867"/>
      <c r="BA3" s="5867"/>
      <c r="BB3" s="5868"/>
      <c r="BC3" s="5866">
        <v>2012</v>
      </c>
      <c r="BD3" s="5867"/>
      <c r="BE3" s="5867"/>
      <c r="BF3" s="5868"/>
      <c r="BG3" s="5866">
        <v>2013</v>
      </c>
      <c r="BH3" s="5867"/>
      <c r="BI3" s="5867"/>
      <c r="BJ3" s="5868"/>
      <c r="BK3" s="5866">
        <v>2014</v>
      </c>
      <c r="BL3" s="5867"/>
      <c r="BM3" s="5867"/>
      <c r="BN3" s="5868"/>
      <c r="BO3" s="5866">
        <v>2015</v>
      </c>
      <c r="BP3" s="5867"/>
      <c r="BQ3" s="5867"/>
      <c r="BR3" s="5868"/>
      <c r="BS3" s="5866">
        <v>2016</v>
      </c>
      <c r="BT3" s="5867"/>
      <c r="BU3" s="5867"/>
      <c r="BV3" s="5868"/>
      <c r="BW3" s="5866">
        <v>2017</v>
      </c>
      <c r="BX3" s="5867"/>
      <c r="BY3" s="5867"/>
      <c r="BZ3" s="5868"/>
    </row>
    <row r="4" spans="1:78" s="36" customFormat="1" ht="15.75" x14ac:dyDescent="0.2">
      <c r="A4" s="5723"/>
      <c r="B4" s="5723"/>
      <c r="C4" s="928" t="s">
        <v>517</v>
      </c>
      <c r="D4" s="930" t="s">
        <v>518</v>
      </c>
      <c r="E4" s="929" t="s">
        <v>519</v>
      </c>
      <c r="F4" s="995" t="s">
        <v>160</v>
      </c>
      <c r="G4" s="928" t="s">
        <v>517</v>
      </c>
      <c r="H4" s="930" t="s">
        <v>518</v>
      </c>
      <c r="I4" s="929" t="s">
        <v>519</v>
      </c>
      <c r="J4" s="995" t="s">
        <v>160</v>
      </c>
      <c r="K4" s="928" t="s">
        <v>653</v>
      </c>
      <c r="L4" s="930" t="s">
        <v>651</v>
      </c>
      <c r="M4" s="929" t="s">
        <v>652</v>
      </c>
      <c r="N4" s="995" t="s">
        <v>160</v>
      </c>
      <c r="O4" s="1693" t="s">
        <v>653</v>
      </c>
      <c r="P4" s="1695" t="s">
        <v>651</v>
      </c>
      <c r="Q4" s="1694" t="s">
        <v>652</v>
      </c>
      <c r="R4" s="995" t="s">
        <v>160</v>
      </c>
      <c r="S4" s="1693" t="s">
        <v>653</v>
      </c>
      <c r="T4" s="1695" t="s">
        <v>651</v>
      </c>
      <c r="U4" s="1694" t="s">
        <v>652</v>
      </c>
      <c r="V4" s="995" t="s">
        <v>160</v>
      </c>
      <c r="W4" s="1693" t="s">
        <v>653</v>
      </c>
      <c r="X4" s="1695" t="s">
        <v>651</v>
      </c>
      <c r="Y4" s="1694" t="s">
        <v>652</v>
      </c>
      <c r="Z4" s="995" t="s">
        <v>160</v>
      </c>
      <c r="AA4" s="1693" t="s">
        <v>653</v>
      </c>
      <c r="AB4" s="1695" t="s">
        <v>651</v>
      </c>
      <c r="AC4" s="1694" t="s">
        <v>652</v>
      </c>
      <c r="AD4" s="995" t="s">
        <v>160</v>
      </c>
      <c r="AE4" s="1693" t="s">
        <v>653</v>
      </c>
      <c r="AF4" s="1695" t="s">
        <v>651</v>
      </c>
      <c r="AG4" s="1694" t="s">
        <v>652</v>
      </c>
      <c r="AH4" s="995" t="s">
        <v>160</v>
      </c>
      <c r="AI4" s="1693" t="s">
        <v>653</v>
      </c>
      <c r="AJ4" s="1695" t="s">
        <v>651</v>
      </c>
      <c r="AK4" s="1694" t="s">
        <v>652</v>
      </c>
      <c r="AL4" s="995" t="s">
        <v>160</v>
      </c>
      <c r="AM4" s="1693" t="s">
        <v>653</v>
      </c>
      <c r="AN4" s="1695" t="s">
        <v>651</v>
      </c>
      <c r="AO4" s="1694" t="s">
        <v>652</v>
      </c>
      <c r="AP4" s="995" t="s">
        <v>160</v>
      </c>
      <c r="AQ4" s="1693" t="s">
        <v>653</v>
      </c>
      <c r="AR4" s="1695" t="s">
        <v>651</v>
      </c>
      <c r="AS4" s="1694" t="s">
        <v>652</v>
      </c>
      <c r="AT4" s="995" t="s">
        <v>160</v>
      </c>
      <c r="AU4" s="1693" t="s">
        <v>653</v>
      </c>
      <c r="AV4" s="1695" t="s">
        <v>651</v>
      </c>
      <c r="AW4" s="1694" t="s">
        <v>652</v>
      </c>
      <c r="AX4" s="995" t="s">
        <v>160</v>
      </c>
      <c r="AY4" s="1693" t="s">
        <v>653</v>
      </c>
      <c r="AZ4" s="1695" t="s">
        <v>651</v>
      </c>
      <c r="BA4" s="1694" t="s">
        <v>652</v>
      </c>
      <c r="BB4" s="995" t="s">
        <v>160</v>
      </c>
      <c r="BC4" s="1693" t="s">
        <v>653</v>
      </c>
      <c r="BD4" s="1695" t="s">
        <v>651</v>
      </c>
      <c r="BE4" s="1694" t="s">
        <v>652</v>
      </c>
      <c r="BF4" s="995" t="s">
        <v>160</v>
      </c>
      <c r="BG4" s="1693" t="s">
        <v>653</v>
      </c>
      <c r="BH4" s="1695" t="s">
        <v>651</v>
      </c>
      <c r="BI4" s="1694" t="s">
        <v>652</v>
      </c>
      <c r="BJ4" s="995" t="s">
        <v>160</v>
      </c>
      <c r="BK4" s="1915" t="s">
        <v>653</v>
      </c>
      <c r="BL4" s="1918" t="s">
        <v>651</v>
      </c>
      <c r="BM4" s="1916" t="s">
        <v>652</v>
      </c>
      <c r="BN4" s="995" t="s">
        <v>160</v>
      </c>
      <c r="BO4" s="1915" t="s">
        <v>653</v>
      </c>
      <c r="BP4" s="1918" t="s">
        <v>651</v>
      </c>
      <c r="BQ4" s="1916" t="s">
        <v>652</v>
      </c>
      <c r="BR4" s="995" t="s">
        <v>160</v>
      </c>
      <c r="BS4" s="1915" t="s">
        <v>653</v>
      </c>
      <c r="BT4" s="1918" t="s">
        <v>651</v>
      </c>
      <c r="BU4" s="1916" t="s">
        <v>652</v>
      </c>
      <c r="BV4" s="995" t="s">
        <v>160</v>
      </c>
      <c r="BW4" s="1915" t="s">
        <v>653</v>
      </c>
      <c r="BX4" s="1918" t="s">
        <v>651</v>
      </c>
      <c r="BY4" s="1916" t="s">
        <v>652</v>
      </c>
      <c r="BZ4" s="995" t="s">
        <v>160</v>
      </c>
    </row>
    <row r="5" spans="1:78" s="6" customFormat="1" ht="15" x14ac:dyDescent="0.2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729"/>
      <c r="S5" s="729"/>
      <c r="T5" s="729"/>
      <c r="U5" s="729"/>
      <c r="V5" s="729"/>
      <c r="W5" s="729"/>
      <c r="X5" s="729"/>
      <c r="Y5" s="729"/>
      <c r="Z5" s="729"/>
      <c r="AA5" s="729"/>
      <c r="AB5" s="729"/>
      <c r="AC5" s="729"/>
      <c r="AD5" s="729"/>
      <c r="AE5" s="729"/>
      <c r="AF5" s="729"/>
      <c r="AG5" s="729"/>
      <c r="AH5" s="729"/>
      <c r="AI5" s="729"/>
      <c r="AJ5" s="729"/>
      <c r="AK5" s="729"/>
      <c r="AL5" s="729"/>
      <c r="AM5" s="729"/>
      <c r="AN5" s="729"/>
      <c r="AO5" s="729"/>
      <c r="AP5" s="729"/>
      <c r="AQ5" s="729"/>
      <c r="AR5" s="729"/>
      <c r="AS5" s="729"/>
      <c r="AT5" s="729"/>
      <c r="AU5" s="729"/>
      <c r="AV5" s="729"/>
      <c r="AW5" s="729"/>
      <c r="AX5" s="729"/>
      <c r="AY5" s="729"/>
      <c r="AZ5" s="729"/>
      <c r="BA5" s="729"/>
      <c r="BB5" s="729"/>
      <c r="BC5" s="729"/>
      <c r="BD5" s="729"/>
      <c r="BE5" s="729"/>
      <c r="BF5" s="729"/>
      <c r="BG5" s="729"/>
      <c r="BH5" s="729"/>
      <c r="BI5" s="729"/>
      <c r="BJ5" s="729"/>
      <c r="BK5" s="729"/>
      <c r="BL5" s="729"/>
      <c r="BM5" s="729"/>
      <c r="BN5" s="729"/>
      <c r="BO5" s="729"/>
      <c r="BP5" s="729"/>
      <c r="BQ5" s="729"/>
      <c r="BR5" s="729"/>
      <c r="BS5" s="729"/>
      <c r="BT5" s="729"/>
      <c r="BU5" s="729"/>
      <c r="BV5" s="729"/>
      <c r="BW5" s="729"/>
      <c r="BX5" s="729"/>
      <c r="BY5" s="729"/>
      <c r="BZ5" s="729"/>
    </row>
    <row r="6" spans="1:78" s="6" customFormat="1" ht="15" customHeight="1" x14ac:dyDescent="0.2">
      <c r="A6" s="5888" t="s">
        <v>161</v>
      </c>
      <c r="B6" s="245" t="s">
        <v>5</v>
      </c>
      <c r="C6" s="730">
        <f>SUM('EGRESO plan'!D5:D14)</f>
        <v>146</v>
      </c>
      <c r="D6" s="731">
        <f>SUM('EGRESO plan'!E5:E14)</f>
        <v>143</v>
      </c>
      <c r="E6" s="731">
        <f>SUM('EGRESO plan'!F5:F14)</f>
        <v>124</v>
      </c>
      <c r="F6" s="732">
        <f>SUM('EGRESO plan'!G5:G14)</f>
        <v>413</v>
      </c>
      <c r="G6" s="730">
        <f>SUM('EGRESO plan'!H5:H14)</f>
        <v>104</v>
      </c>
      <c r="H6" s="731">
        <f>SUM('EGRESO plan'!I5:I14)</f>
        <v>121</v>
      </c>
      <c r="I6" s="731">
        <f>SUM('EGRESO plan'!J5:J14)</f>
        <v>110</v>
      </c>
      <c r="J6" s="732">
        <f>SUM('EGRESO plan'!K5:K14)</f>
        <v>335</v>
      </c>
      <c r="K6" s="730">
        <f>SUM('EGRESO plan'!L5:L14)</f>
        <v>119</v>
      </c>
      <c r="L6" s="731">
        <f>SUM('EGRESO plan'!M5:M14)</f>
        <v>107</v>
      </c>
      <c r="M6" s="731">
        <f>SUM('EGRESO plan'!N5:N14)</f>
        <v>92</v>
      </c>
      <c r="N6" s="732">
        <f>SUM('EGRESO plan'!O5:O14)</f>
        <v>318</v>
      </c>
      <c r="O6" s="730">
        <f>SUM('EGRESO plan'!P5:P14)</f>
        <v>103</v>
      </c>
      <c r="P6" s="731">
        <f>SUM('EGRESO plan'!Q5:Q14)</f>
        <v>133</v>
      </c>
      <c r="Q6" s="731">
        <f>SUM('EGRESO plan'!R5:R14)</f>
        <v>115</v>
      </c>
      <c r="R6" s="732">
        <f>SUM('EGRESO plan'!S5:S14)</f>
        <v>351</v>
      </c>
      <c r="S6" s="730">
        <f>SUM('EGRESO plan'!T5:T14)</f>
        <v>162</v>
      </c>
      <c r="T6" s="731">
        <f>SUM('EGRESO plan'!U5:U14)</f>
        <v>150</v>
      </c>
      <c r="U6" s="731">
        <f>SUM('EGRESO plan'!V5:V14)</f>
        <v>108</v>
      </c>
      <c r="V6" s="732">
        <f>SUM('EGRESO plan'!W5:W14)</f>
        <v>420</v>
      </c>
      <c r="W6" s="730">
        <f>SUM('EGRESO plan'!X5:X14)</f>
        <v>105</v>
      </c>
      <c r="X6" s="731">
        <f>SUM('EGRESO plan'!Y5:Y14)</f>
        <v>144</v>
      </c>
      <c r="Y6" s="731">
        <f>SUM('EGRESO plan'!Z5:Z14)</f>
        <v>119</v>
      </c>
      <c r="Z6" s="732">
        <f>SUM('EGRESO plan'!AA5:AA14)</f>
        <v>368</v>
      </c>
      <c r="AA6" s="730">
        <f>SUM('EGRESO plan'!AB5:AB14)</f>
        <v>119</v>
      </c>
      <c r="AB6" s="731">
        <f>SUM('EGRESO plan'!AC5:AC14)</f>
        <v>150</v>
      </c>
      <c r="AC6" s="731">
        <f>SUM('EGRESO plan'!AD5:AD14)</f>
        <v>133</v>
      </c>
      <c r="AD6" s="732">
        <f>SUM('EGRESO plan'!AE5:AE14)</f>
        <v>402</v>
      </c>
      <c r="AE6" s="730">
        <f>SUM('EGRESO plan'!AF5:AF14)</f>
        <v>131</v>
      </c>
      <c r="AF6" s="731">
        <f>SUM('EGRESO plan'!AG5:AG14)</f>
        <v>133</v>
      </c>
      <c r="AG6" s="731">
        <f>SUM('EGRESO plan'!AH5:AH14)</f>
        <v>124</v>
      </c>
      <c r="AH6" s="732">
        <f>SUM('EGRESO plan'!AI5:AI14)</f>
        <v>388</v>
      </c>
      <c r="AI6" s="730">
        <f>SUM('EGRESO plan'!AJ5:AJ14)</f>
        <v>102</v>
      </c>
      <c r="AJ6" s="731">
        <f>SUM('EGRESO plan'!AK5:AK14)</f>
        <v>141</v>
      </c>
      <c r="AK6" s="731">
        <f>SUM('EGRESO plan'!AL5:AL14)</f>
        <v>96</v>
      </c>
      <c r="AL6" s="732">
        <f>SUM('EGRESO plan'!AM5:AM14)</f>
        <v>339</v>
      </c>
      <c r="AM6" s="730">
        <f>SUM('EGRESO plan'!AN5:AN14)</f>
        <v>126</v>
      </c>
      <c r="AN6" s="731">
        <f>SUM('EGRESO plan'!AO5:AO14)</f>
        <v>134</v>
      </c>
      <c r="AO6" s="731">
        <f>SUM('EGRESO plan'!AP5:AP14)</f>
        <v>102</v>
      </c>
      <c r="AP6" s="732">
        <f>SUM('EGRESO plan'!AQ5:AQ14)</f>
        <v>362</v>
      </c>
      <c r="AQ6" s="730">
        <f>SUM('EGRESO plan'!AR5:AR14)</f>
        <v>105</v>
      </c>
      <c r="AR6" s="731">
        <f>SUM('EGRESO plan'!AS5:AS14)</f>
        <v>135</v>
      </c>
      <c r="AS6" s="731">
        <f>SUM('EGRESO plan'!AT5:AT14)</f>
        <v>110</v>
      </c>
      <c r="AT6" s="732">
        <f>SUM('EGRESO plan'!AU5:AU14)</f>
        <v>350</v>
      </c>
      <c r="AU6" s="730">
        <f>SUM('EGRESO plan'!AV5:AV14)</f>
        <v>124</v>
      </c>
      <c r="AV6" s="731">
        <f>SUM('EGRESO plan'!AW5:AW14)</f>
        <v>149</v>
      </c>
      <c r="AW6" s="731">
        <f>SUM('EGRESO plan'!AX5:AX14)</f>
        <v>95</v>
      </c>
      <c r="AX6" s="732">
        <f>SUM('EGRESO plan'!AY5:AY14)</f>
        <v>368</v>
      </c>
      <c r="AY6" s="730">
        <f>SUM('EGRESO plan'!AZ5:AZ14)</f>
        <v>129</v>
      </c>
      <c r="AZ6" s="731">
        <f>SUM('EGRESO plan'!BA5:BA14)</f>
        <v>151</v>
      </c>
      <c r="BA6" s="731">
        <f>SUM('EGRESO plan'!BB5:BB14)</f>
        <v>124</v>
      </c>
      <c r="BB6" s="732">
        <f>SUM('EGRESO plan'!BC5:BC14)</f>
        <v>404</v>
      </c>
      <c r="BC6" s="730">
        <f>SUM('EGRESO plan'!BD5:BD14)</f>
        <v>110</v>
      </c>
      <c r="BD6" s="731">
        <f>SUM('EGRESO plan'!BE5:BE14)</f>
        <v>135</v>
      </c>
      <c r="BE6" s="731">
        <f>SUM('EGRESO plan'!BF5:BF14)</f>
        <v>117</v>
      </c>
      <c r="BF6" s="732">
        <f>SUM('EGRESO plan'!BG5:BG14)</f>
        <v>362</v>
      </c>
      <c r="BG6" s="730">
        <f>SUM('EGRESO plan'!BH5:BH14)</f>
        <v>143</v>
      </c>
      <c r="BH6" s="731">
        <f>SUM('EGRESO plan'!BI5:BI14)</f>
        <v>205</v>
      </c>
      <c r="BI6" s="731">
        <f>SUM('EGRESO plan'!BJ5:BJ14)</f>
        <v>174</v>
      </c>
      <c r="BJ6" s="732">
        <f>SUM('EGRESO plan'!BK5:BK14)</f>
        <v>522</v>
      </c>
      <c r="BK6" s="730">
        <f>SUM('EGRESO plan'!BL5:BL14)</f>
        <v>231</v>
      </c>
      <c r="BL6" s="731">
        <f>SUM('EGRESO plan'!BM5:BM14)</f>
        <v>201</v>
      </c>
      <c r="BM6" s="731">
        <f>SUM('EGRESO plan'!BN5:BN14)</f>
        <v>142</v>
      </c>
      <c r="BN6" s="732">
        <f>SUM('EGRESO plan'!BO5:BO14)</f>
        <v>574</v>
      </c>
      <c r="BO6" s="730">
        <f>SUM('EGRESO plan'!BP5:BP14)</f>
        <v>178</v>
      </c>
      <c r="BP6" s="731">
        <f>SUM('EGRESO plan'!BQ5:BQ14)</f>
        <v>174</v>
      </c>
      <c r="BQ6" s="731">
        <f>SUM('EGRESO plan'!BR5:BR14)</f>
        <v>175</v>
      </c>
      <c r="BR6" s="732">
        <f>SUM('EGRESO plan'!BS5:BS14)</f>
        <v>527</v>
      </c>
      <c r="BS6" s="730">
        <f>SUM('EGRESO plan'!BT5:BT14)</f>
        <v>202</v>
      </c>
      <c r="BT6" s="731">
        <f>SUM('EGRESO plan'!BU5:BU14)</f>
        <v>206</v>
      </c>
      <c r="BU6" s="731">
        <f>SUM('EGRESO plan'!BV5:BV14)</f>
        <v>114</v>
      </c>
      <c r="BV6" s="732">
        <f>SUM('EGRESO plan'!BW5:BW14)</f>
        <v>522</v>
      </c>
      <c r="BW6" s="730">
        <f>SUM('EGRESO plan'!BX5:BX14)</f>
        <v>222</v>
      </c>
      <c r="BX6" s="731">
        <f>SUM('EGRESO plan'!BY5:BY14)</f>
        <v>204</v>
      </c>
      <c r="BY6" s="731">
        <f>SUM('EGRESO plan'!BZ5:BZ14)</f>
        <v>184</v>
      </c>
      <c r="BZ6" s="732">
        <f>SUM('EGRESO plan'!CA5:CA14)</f>
        <v>610</v>
      </c>
    </row>
    <row r="7" spans="1:78" s="6" customFormat="1" ht="15" customHeight="1" x14ac:dyDescent="0.2">
      <c r="A7" s="5889"/>
      <c r="B7" s="246" t="s">
        <v>6</v>
      </c>
      <c r="C7" s="733">
        <f>SUM('EGRESO plan'!D16:D19)</f>
        <v>198</v>
      </c>
      <c r="D7" s="734">
        <f>SUM('EGRESO plan'!E16:E19)</f>
        <v>234</v>
      </c>
      <c r="E7" s="734">
        <f>SUM('EGRESO plan'!F16:F19)</f>
        <v>179</v>
      </c>
      <c r="F7" s="735">
        <f>SUM('EGRESO plan'!G16:G19)</f>
        <v>611</v>
      </c>
      <c r="G7" s="733">
        <f>SUM('EGRESO plan'!H16:H19)</f>
        <v>235</v>
      </c>
      <c r="H7" s="734">
        <f>SUM('EGRESO plan'!I16:I19)</f>
        <v>219</v>
      </c>
      <c r="I7" s="734">
        <f>SUM('EGRESO plan'!J16:J19)</f>
        <v>166</v>
      </c>
      <c r="J7" s="735">
        <f>SUM('EGRESO plan'!K16:K19)</f>
        <v>620</v>
      </c>
      <c r="K7" s="733">
        <f>SUM('EGRESO plan'!L16:L19)</f>
        <v>201</v>
      </c>
      <c r="L7" s="734">
        <f>SUM('EGRESO plan'!M16:M19)</f>
        <v>193</v>
      </c>
      <c r="M7" s="734">
        <f>SUM('EGRESO plan'!N16:N19)</f>
        <v>214</v>
      </c>
      <c r="N7" s="735">
        <f>SUM('EGRESO plan'!O16:O19)</f>
        <v>608</v>
      </c>
      <c r="O7" s="733">
        <f>SUM('EGRESO plan'!P16:P19)</f>
        <v>198</v>
      </c>
      <c r="P7" s="734">
        <f>SUM('EGRESO plan'!Q16:Q19)</f>
        <v>202</v>
      </c>
      <c r="Q7" s="734">
        <f>SUM('EGRESO plan'!R16:R19)</f>
        <v>185</v>
      </c>
      <c r="R7" s="735">
        <f>SUM('EGRESO plan'!S16:S19)</f>
        <v>585</v>
      </c>
      <c r="S7" s="733">
        <f>SUM('EGRESO plan'!T16:T19)</f>
        <v>180</v>
      </c>
      <c r="T7" s="734">
        <f>SUM('EGRESO plan'!U16:U19)</f>
        <v>258</v>
      </c>
      <c r="U7" s="734">
        <f>SUM('EGRESO plan'!V16:V19)</f>
        <v>189</v>
      </c>
      <c r="V7" s="735">
        <f>SUM('EGRESO plan'!W16:W19)</f>
        <v>627</v>
      </c>
      <c r="W7" s="733">
        <f>SUM('EGRESO plan'!X16:X19)</f>
        <v>192</v>
      </c>
      <c r="X7" s="734">
        <f>SUM('EGRESO plan'!Y16:Y19)</f>
        <v>238</v>
      </c>
      <c r="Y7" s="734">
        <f>SUM('EGRESO plan'!Z16:Z19)</f>
        <v>161</v>
      </c>
      <c r="Z7" s="735">
        <f>SUM('EGRESO plan'!AA16:AA19)</f>
        <v>591</v>
      </c>
      <c r="AA7" s="733">
        <f>SUM('EGRESO plan'!AB16:AB19)</f>
        <v>189</v>
      </c>
      <c r="AB7" s="734">
        <f>SUM('EGRESO plan'!AC16:AC19)</f>
        <v>203</v>
      </c>
      <c r="AC7" s="734">
        <f>SUM('EGRESO plan'!AD16:AD19)</f>
        <v>145</v>
      </c>
      <c r="AD7" s="735">
        <f>SUM('EGRESO plan'!AE16:AE19)</f>
        <v>537</v>
      </c>
      <c r="AE7" s="733">
        <f>SUM('EGRESO plan'!AF16:AF19)</f>
        <v>166</v>
      </c>
      <c r="AF7" s="734">
        <f>SUM('EGRESO plan'!AG16:AG19)</f>
        <v>176</v>
      </c>
      <c r="AG7" s="734">
        <f>SUM('EGRESO plan'!AH16:AH19)</f>
        <v>159</v>
      </c>
      <c r="AH7" s="735">
        <f>SUM('EGRESO plan'!AI16:AI19)</f>
        <v>501</v>
      </c>
      <c r="AI7" s="733">
        <f>SUM('EGRESO plan'!AJ16:AJ19)</f>
        <v>156</v>
      </c>
      <c r="AJ7" s="734">
        <f>SUM('EGRESO plan'!AK16:AK19)</f>
        <v>184</v>
      </c>
      <c r="AK7" s="734">
        <f>SUM('EGRESO plan'!AL16:AL19)</f>
        <v>148</v>
      </c>
      <c r="AL7" s="735">
        <f>SUM('EGRESO plan'!AM16:AM19)</f>
        <v>488</v>
      </c>
      <c r="AM7" s="733">
        <f>SUM('EGRESO plan'!AN16:AN19)</f>
        <v>170</v>
      </c>
      <c r="AN7" s="734">
        <f>SUM('EGRESO plan'!AO16:AO19)</f>
        <v>180</v>
      </c>
      <c r="AO7" s="734">
        <f>SUM('EGRESO plan'!AP16:AP19)</f>
        <v>139</v>
      </c>
      <c r="AP7" s="735">
        <f>SUM('EGRESO plan'!AQ16:AQ19)</f>
        <v>489</v>
      </c>
      <c r="AQ7" s="733">
        <f>SUM('EGRESO plan'!AR16:AR19)</f>
        <v>172</v>
      </c>
      <c r="AR7" s="734">
        <f>SUM('EGRESO plan'!AS16:AS19)</f>
        <v>202</v>
      </c>
      <c r="AS7" s="734">
        <f>SUM('EGRESO plan'!AT16:AT19)</f>
        <v>126</v>
      </c>
      <c r="AT7" s="735">
        <f>SUM('EGRESO plan'!AU16:AU19)</f>
        <v>500</v>
      </c>
      <c r="AU7" s="733">
        <f>SUM('EGRESO plan'!AV16:AV19)</f>
        <v>139</v>
      </c>
      <c r="AV7" s="734">
        <f>SUM('EGRESO plan'!AW16:AW19)</f>
        <v>235</v>
      </c>
      <c r="AW7" s="734">
        <f>SUM('EGRESO plan'!AX16:AX19)</f>
        <v>129</v>
      </c>
      <c r="AX7" s="735">
        <f>SUM('EGRESO plan'!AY16:AY19)</f>
        <v>503</v>
      </c>
      <c r="AY7" s="733">
        <f>SUM('EGRESO plan'!AZ16:AZ19)</f>
        <v>156</v>
      </c>
      <c r="AZ7" s="734">
        <f>SUM('EGRESO plan'!BA16:BA19)</f>
        <v>162</v>
      </c>
      <c r="BA7" s="734">
        <f>SUM('EGRESO plan'!BB16:BB19)</f>
        <v>121</v>
      </c>
      <c r="BB7" s="735">
        <f>SUM('EGRESO plan'!BC16:BC19)</f>
        <v>439</v>
      </c>
      <c r="BC7" s="733">
        <f>SUM('EGRESO plan'!BD16:BD19)</f>
        <v>160</v>
      </c>
      <c r="BD7" s="734">
        <f>SUM('EGRESO plan'!BE16:BE19)</f>
        <v>198</v>
      </c>
      <c r="BE7" s="734">
        <f>SUM('EGRESO plan'!BF16:BF19)</f>
        <v>166</v>
      </c>
      <c r="BF7" s="735">
        <f>SUM('EGRESO plan'!BG16:BG19)</f>
        <v>524</v>
      </c>
      <c r="BG7" s="733">
        <f>SUM('EGRESO plan'!BH16:BH19)</f>
        <v>243</v>
      </c>
      <c r="BH7" s="734">
        <f>SUM('EGRESO plan'!BI16:BI19)</f>
        <v>281</v>
      </c>
      <c r="BI7" s="734">
        <f>SUM('EGRESO plan'!BJ16:BJ19)</f>
        <v>200</v>
      </c>
      <c r="BJ7" s="735">
        <f>SUM('EGRESO plan'!BK16:BK19)</f>
        <v>724</v>
      </c>
      <c r="BK7" s="733">
        <f>SUM('EGRESO plan'!BL16:BL19)</f>
        <v>177</v>
      </c>
      <c r="BL7" s="734">
        <f>SUM('EGRESO plan'!BM16:BM19)</f>
        <v>224</v>
      </c>
      <c r="BM7" s="734">
        <f>SUM('EGRESO plan'!BN16:BN19)</f>
        <v>160</v>
      </c>
      <c r="BN7" s="735">
        <f>SUM('EGRESO plan'!BO16:BO19)</f>
        <v>561</v>
      </c>
      <c r="BO7" s="733">
        <f>SUM('EGRESO plan'!BP16:BP19)</f>
        <v>164</v>
      </c>
      <c r="BP7" s="734">
        <f>SUM('EGRESO plan'!BQ16:BQ19)</f>
        <v>258</v>
      </c>
      <c r="BQ7" s="734">
        <f>SUM('EGRESO plan'!BR16:BR19)</f>
        <v>207</v>
      </c>
      <c r="BR7" s="735">
        <f>SUM('EGRESO plan'!BS16:BS19)</f>
        <v>629</v>
      </c>
      <c r="BS7" s="733">
        <f>SUM('EGRESO plan'!BT16:BT19)</f>
        <v>185</v>
      </c>
      <c r="BT7" s="734">
        <f>SUM('EGRESO plan'!BU16:BU19)</f>
        <v>248</v>
      </c>
      <c r="BU7" s="734">
        <f>SUM('EGRESO plan'!BV16:BV19)</f>
        <v>145</v>
      </c>
      <c r="BV7" s="735">
        <f>SUM('EGRESO plan'!BW16:BW19)</f>
        <v>578</v>
      </c>
      <c r="BW7" s="733">
        <f>SUM('EGRESO plan'!BX16:BX19)</f>
        <v>205</v>
      </c>
      <c r="BX7" s="734">
        <f>SUM('EGRESO plan'!BY16:BY19)</f>
        <v>242</v>
      </c>
      <c r="BY7" s="734">
        <f>SUM('EGRESO plan'!BZ16:BZ19)</f>
        <v>209</v>
      </c>
      <c r="BZ7" s="735">
        <f>SUM('EGRESO plan'!CA16:CA19)</f>
        <v>656</v>
      </c>
    </row>
    <row r="8" spans="1:78" s="6" customFormat="1" ht="15" customHeight="1" x14ac:dyDescent="0.2">
      <c r="A8" s="5889"/>
      <c r="B8" s="246" t="s">
        <v>7</v>
      </c>
      <c r="C8" s="733">
        <f>SUM('EGRESO plan'!D21:D23)</f>
        <v>129</v>
      </c>
      <c r="D8" s="734">
        <f>SUM('EGRESO plan'!E21:E23)</f>
        <v>110</v>
      </c>
      <c r="E8" s="734">
        <f>SUM('EGRESO plan'!F21:F23)</f>
        <v>146</v>
      </c>
      <c r="F8" s="735">
        <f>SUM('EGRESO plan'!G21:G23)</f>
        <v>385</v>
      </c>
      <c r="G8" s="733">
        <f>SUM('EGRESO plan'!H21:H23)</f>
        <v>158</v>
      </c>
      <c r="H8" s="734">
        <f>SUM('EGRESO plan'!I21:I23)</f>
        <v>98</v>
      </c>
      <c r="I8" s="734">
        <f>SUM('EGRESO plan'!J21:J23)</f>
        <v>155</v>
      </c>
      <c r="J8" s="735">
        <f>SUM('EGRESO plan'!K21:K23)</f>
        <v>411</v>
      </c>
      <c r="K8" s="733">
        <f>SUM('EGRESO plan'!L21:L23)</f>
        <v>135</v>
      </c>
      <c r="L8" s="734">
        <f>SUM('EGRESO plan'!M21:M23)</f>
        <v>114</v>
      </c>
      <c r="M8" s="734">
        <f>SUM('EGRESO plan'!N21:N23)</f>
        <v>121</v>
      </c>
      <c r="N8" s="735">
        <f>SUM('EGRESO plan'!O21:O23)</f>
        <v>370</v>
      </c>
      <c r="O8" s="733">
        <f>SUM('EGRESO plan'!P21:P23)</f>
        <v>106</v>
      </c>
      <c r="P8" s="734">
        <f>SUM('EGRESO plan'!Q21:Q23)</f>
        <v>104</v>
      </c>
      <c r="Q8" s="734">
        <f>SUM('EGRESO plan'!R21:R23)</f>
        <v>112</v>
      </c>
      <c r="R8" s="735">
        <f>SUM('EGRESO plan'!S21:S23)</f>
        <v>322</v>
      </c>
      <c r="S8" s="733">
        <f>SUM('EGRESO plan'!T21:T23)</f>
        <v>135</v>
      </c>
      <c r="T8" s="734">
        <f>SUM('EGRESO plan'!U21:U23)</f>
        <v>153</v>
      </c>
      <c r="U8" s="734">
        <f>SUM('EGRESO plan'!V21:V23)</f>
        <v>132</v>
      </c>
      <c r="V8" s="735">
        <f>SUM('EGRESO plan'!W21:W23)</f>
        <v>420</v>
      </c>
      <c r="W8" s="733">
        <f>SUM('EGRESO plan'!X21:X23)</f>
        <v>110</v>
      </c>
      <c r="X8" s="734">
        <f>SUM('EGRESO plan'!Y21:Y23)</f>
        <v>116</v>
      </c>
      <c r="Y8" s="734">
        <f>SUM('EGRESO plan'!Z21:Z23)</f>
        <v>93</v>
      </c>
      <c r="Z8" s="735">
        <f>SUM('EGRESO plan'!AA21:AA23)</f>
        <v>319</v>
      </c>
      <c r="AA8" s="733">
        <f>SUM('EGRESO plan'!AB21:AB23)</f>
        <v>98</v>
      </c>
      <c r="AB8" s="734">
        <f>SUM('EGRESO plan'!AC21:AC23)</f>
        <v>144</v>
      </c>
      <c r="AC8" s="734">
        <f>SUM('EGRESO plan'!AD21:AD23)</f>
        <v>110</v>
      </c>
      <c r="AD8" s="735">
        <f>SUM('EGRESO plan'!AE21:AE23)</f>
        <v>352</v>
      </c>
      <c r="AE8" s="733">
        <f>SUM('EGRESO plan'!AF21:AF23)</f>
        <v>128</v>
      </c>
      <c r="AF8" s="734">
        <f>SUM('EGRESO plan'!AG21:AG23)</f>
        <v>119</v>
      </c>
      <c r="AG8" s="734">
        <f>SUM('EGRESO plan'!AH21:AH23)</f>
        <v>111</v>
      </c>
      <c r="AH8" s="735">
        <f>SUM('EGRESO plan'!AI21:AI23)</f>
        <v>358</v>
      </c>
      <c r="AI8" s="733">
        <f>SUM('EGRESO plan'!AJ21:AJ23)</f>
        <v>152</v>
      </c>
      <c r="AJ8" s="734">
        <f>SUM('EGRESO plan'!AK21:AK23)</f>
        <v>126</v>
      </c>
      <c r="AK8" s="734">
        <f>SUM('EGRESO plan'!AL21:AL23)</f>
        <v>91</v>
      </c>
      <c r="AL8" s="735">
        <f>SUM('EGRESO plan'!AM21:AM23)</f>
        <v>369</v>
      </c>
      <c r="AM8" s="733">
        <f>SUM('EGRESO plan'!AN21:AN23)</f>
        <v>85</v>
      </c>
      <c r="AN8" s="734">
        <f>SUM('EGRESO plan'!AO21:AO23)</f>
        <v>145</v>
      </c>
      <c r="AO8" s="734">
        <f>SUM('EGRESO plan'!AP21:AP23)</f>
        <v>112</v>
      </c>
      <c r="AP8" s="735">
        <f>SUM('EGRESO plan'!AQ21:AQ23)</f>
        <v>342</v>
      </c>
      <c r="AQ8" s="733">
        <f>SUM('EGRESO plan'!AR21:AR23)</f>
        <v>147</v>
      </c>
      <c r="AR8" s="734">
        <f>SUM('EGRESO plan'!AS21:AS23)</f>
        <v>143</v>
      </c>
      <c r="AS8" s="734">
        <f>SUM('EGRESO plan'!AT21:AT23)</f>
        <v>74</v>
      </c>
      <c r="AT8" s="735">
        <f>SUM('EGRESO plan'!AU21:AU23)</f>
        <v>364</v>
      </c>
      <c r="AU8" s="733">
        <f>SUM('EGRESO plan'!AV21:AV23)</f>
        <v>108</v>
      </c>
      <c r="AV8" s="734">
        <f>SUM('EGRESO plan'!AW21:AW23)</f>
        <v>100</v>
      </c>
      <c r="AW8" s="734">
        <f>SUM('EGRESO plan'!AX21:AX23)</f>
        <v>113</v>
      </c>
      <c r="AX8" s="735">
        <f>SUM('EGRESO plan'!AY21:AY23)</f>
        <v>321</v>
      </c>
      <c r="AY8" s="733">
        <f>SUM('EGRESO plan'!AZ21:AZ23)</f>
        <v>83</v>
      </c>
      <c r="AZ8" s="734">
        <f>SUM('EGRESO plan'!BA21:BA23)</f>
        <v>128</v>
      </c>
      <c r="BA8" s="734">
        <f>SUM('EGRESO plan'!BB21:BB23)</f>
        <v>31</v>
      </c>
      <c r="BB8" s="735">
        <f>SUM('EGRESO plan'!BC21:BC23)</f>
        <v>242</v>
      </c>
      <c r="BC8" s="733">
        <f>SUM('EGRESO plan'!BD21:BD23)</f>
        <v>96</v>
      </c>
      <c r="BD8" s="734">
        <f>SUM('EGRESO plan'!BE21:BE23)</f>
        <v>120</v>
      </c>
      <c r="BE8" s="734">
        <f>SUM('EGRESO plan'!BF21:BF23)</f>
        <v>37</v>
      </c>
      <c r="BF8" s="735">
        <f>SUM('EGRESO plan'!BG21:BG23)</f>
        <v>253</v>
      </c>
      <c r="BG8" s="733">
        <f>SUM('EGRESO plan'!BH21:BH23)</f>
        <v>113</v>
      </c>
      <c r="BH8" s="734">
        <f>SUM('EGRESO plan'!BI21:BI23)</f>
        <v>171</v>
      </c>
      <c r="BI8" s="734">
        <f>SUM('EGRESO plan'!BJ21:BJ23)</f>
        <v>49</v>
      </c>
      <c r="BJ8" s="735">
        <f>SUM('EGRESO plan'!BK21:BK23)</f>
        <v>333</v>
      </c>
      <c r="BK8" s="733">
        <f>SUM('EGRESO plan'!BL21:BL23)</f>
        <v>127</v>
      </c>
      <c r="BL8" s="734">
        <f>SUM('EGRESO plan'!BM21:BM23)</f>
        <v>165</v>
      </c>
      <c r="BM8" s="734">
        <f>SUM('EGRESO plan'!BN21:BN23)</f>
        <v>53</v>
      </c>
      <c r="BN8" s="735">
        <f>SUM('EGRESO plan'!BO21:BO23)</f>
        <v>345</v>
      </c>
      <c r="BO8" s="733">
        <f>SUM('EGRESO plan'!BP21:BP23)</f>
        <v>131</v>
      </c>
      <c r="BP8" s="734">
        <f>SUM('EGRESO plan'!BQ21:BQ23)</f>
        <v>144</v>
      </c>
      <c r="BQ8" s="734">
        <f>SUM('EGRESO plan'!BR21:BR23)</f>
        <v>68</v>
      </c>
      <c r="BR8" s="735">
        <f>SUM('EGRESO plan'!BS21:BS23)</f>
        <v>343</v>
      </c>
      <c r="BS8" s="733">
        <f>SUM('EGRESO plan'!BT21:BT23)</f>
        <v>110</v>
      </c>
      <c r="BT8" s="734">
        <f>SUM('EGRESO plan'!BU21:BU23)</f>
        <v>148</v>
      </c>
      <c r="BU8" s="734">
        <f>SUM('EGRESO plan'!BV21:BV23)</f>
        <v>70</v>
      </c>
      <c r="BV8" s="735">
        <f>SUM('EGRESO plan'!BW21:BW23)</f>
        <v>328</v>
      </c>
      <c r="BW8" s="733">
        <f>SUM('EGRESO plan'!BX21:BX23)</f>
        <v>150</v>
      </c>
      <c r="BX8" s="734">
        <f>SUM('EGRESO plan'!BY21:BY23)</f>
        <v>177</v>
      </c>
      <c r="BY8" s="734">
        <f>SUM('EGRESO plan'!BZ21:BZ23)</f>
        <v>82</v>
      </c>
      <c r="BZ8" s="735">
        <f>SUM('EGRESO plan'!CA21:CA23)</f>
        <v>409</v>
      </c>
    </row>
    <row r="9" spans="1:78" s="37" customFormat="1" ht="15" x14ac:dyDescent="0.2">
      <c r="A9" s="5890"/>
      <c r="B9" s="2188" t="s">
        <v>12</v>
      </c>
      <c r="C9" s="2189">
        <f t="shared" ref="C9:R9" si="0">SUM(C6:C8)</f>
        <v>473</v>
      </c>
      <c r="D9" s="2190">
        <f t="shared" si="0"/>
        <v>487</v>
      </c>
      <c r="E9" s="2190">
        <f t="shared" si="0"/>
        <v>449</v>
      </c>
      <c r="F9" s="2191">
        <f t="shared" si="0"/>
        <v>1409</v>
      </c>
      <c r="G9" s="2189">
        <f t="shared" si="0"/>
        <v>497</v>
      </c>
      <c r="H9" s="2190">
        <f t="shared" si="0"/>
        <v>438</v>
      </c>
      <c r="I9" s="2190">
        <f t="shared" si="0"/>
        <v>431</v>
      </c>
      <c r="J9" s="2191">
        <f t="shared" si="0"/>
        <v>1366</v>
      </c>
      <c r="K9" s="2189">
        <f t="shared" si="0"/>
        <v>455</v>
      </c>
      <c r="L9" s="2190">
        <f t="shared" si="0"/>
        <v>414</v>
      </c>
      <c r="M9" s="2190">
        <f t="shared" si="0"/>
        <v>427</v>
      </c>
      <c r="N9" s="2191">
        <f t="shared" si="0"/>
        <v>1296</v>
      </c>
      <c r="O9" s="2189">
        <f t="shared" si="0"/>
        <v>407</v>
      </c>
      <c r="P9" s="2190">
        <f t="shared" si="0"/>
        <v>439</v>
      </c>
      <c r="Q9" s="2190">
        <f t="shared" si="0"/>
        <v>412</v>
      </c>
      <c r="R9" s="2191">
        <f t="shared" si="0"/>
        <v>1258</v>
      </c>
      <c r="S9" s="2189">
        <f t="shared" ref="S9:BJ9" si="1">SUM(S6:S8)</f>
        <v>477</v>
      </c>
      <c r="T9" s="2190">
        <f t="shared" si="1"/>
        <v>561</v>
      </c>
      <c r="U9" s="2190">
        <f t="shared" si="1"/>
        <v>429</v>
      </c>
      <c r="V9" s="2191">
        <f t="shared" si="1"/>
        <v>1467</v>
      </c>
      <c r="W9" s="2189">
        <f t="shared" si="1"/>
        <v>407</v>
      </c>
      <c r="X9" s="2190">
        <f t="shared" si="1"/>
        <v>498</v>
      </c>
      <c r="Y9" s="2190">
        <f t="shared" si="1"/>
        <v>373</v>
      </c>
      <c r="Z9" s="2191">
        <f t="shared" si="1"/>
        <v>1278</v>
      </c>
      <c r="AA9" s="2189">
        <f t="shared" si="1"/>
        <v>406</v>
      </c>
      <c r="AB9" s="2190">
        <f t="shared" si="1"/>
        <v>497</v>
      </c>
      <c r="AC9" s="2190">
        <f t="shared" si="1"/>
        <v>388</v>
      </c>
      <c r="AD9" s="2191">
        <f t="shared" si="1"/>
        <v>1291</v>
      </c>
      <c r="AE9" s="2189">
        <f t="shared" si="1"/>
        <v>425</v>
      </c>
      <c r="AF9" s="2190">
        <f t="shared" si="1"/>
        <v>428</v>
      </c>
      <c r="AG9" s="2190">
        <f t="shared" si="1"/>
        <v>394</v>
      </c>
      <c r="AH9" s="2191">
        <f t="shared" si="1"/>
        <v>1247</v>
      </c>
      <c r="AI9" s="2189">
        <f t="shared" si="1"/>
        <v>410</v>
      </c>
      <c r="AJ9" s="2190">
        <f t="shared" si="1"/>
        <v>451</v>
      </c>
      <c r="AK9" s="2190">
        <f t="shared" si="1"/>
        <v>335</v>
      </c>
      <c r="AL9" s="2191">
        <f t="shared" si="1"/>
        <v>1196</v>
      </c>
      <c r="AM9" s="2189">
        <f t="shared" si="1"/>
        <v>381</v>
      </c>
      <c r="AN9" s="2190">
        <f t="shared" si="1"/>
        <v>459</v>
      </c>
      <c r="AO9" s="2190">
        <f t="shared" si="1"/>
        <v>353</v>
      </c>
      <c r="AP9" s="2191">
        <f t="shared" si="1"/>
        <v>1193</v>
      </c>
      <c r="AQ9" s="2189">
        <f t="shared" si="1"/>
        <v>424</v>
      </c>
      <c r="AR9" s="2190">
        <f t="shared" si="1"/>
        <v>480</v>
      </c>
      <c r="AS9" s="2190">
        <f t="shared" si="1"/>
        <v>310</v>
      </c>
      <c r="AT9" s="2191">
        <f t="shared" si="1"/>
        <v>1214</v>
      </c>
      <c r="AU9" s="2189">
        <f t="shared" si="1"/>
        <v>371</v>
      </c>
      <c r="AV9" s="2190">
        <f t="shared" si="1"/>
        <v>484</v>
      </c>
      <c r="AW9" s="2190">
        <f t="shared" si="1"/>
        <v>337</v>
      </c>
      <c r="AX9" s="2191">
        <f t="shared" si="1"/>
        <v>1192</v>
      </c>
      <c r="AY9" s="2189">
        <f t="shared" si="1"/>
        <v>368</v>
      </c>
      <c r="AZ9" s="2190">
        <f t="shared" si="1"/>
        <v>441</v>
      </c>
      <c r="BA9" s="2190">
        <f t="shared" si="1"/>
        <v>276</v>
      </c>
      <c r="BB9" s="2191">
        <f t="shared" si="1"/>
        <v>1085</v>
      </c>
      <c r="BC9" s="2189">
        <f t="shared" si="1"/>
        <v>366</v>
      </c>
      <c r="BD9" s="2190">
        <f t="shared" si="1"/>
        <v>453</v>
      </c>
      <c r="BE9" s="2190">
        <f t="shared" si="1"/>
        <v>320</v>
      </c>
      <c r="BF9" s="2191">
        <f t="shared" si="1"/>
        <v>1139</v>
      </c>
      <c r="BG9" s="2189">
        <f t="shared" si="1"/>
        <v>499</v>
      </c>
      <c r="BH9" s="2190">
        <f t="shared" si="1"/>
        <v>657</v>
      </c>
      <c r="BI9" s="2190">
        <f t="shared" si="1"/>
        <v>423</v>
      </c>
      <c r="BJ9" s="2191">
        <f t="shared" si="1"/>
        <v>1579</v>
      </c>
      <c r="BK9" s="2189">
        <f t="shared" ref="BK9:BV9" si="2">SUM(BK6:BK8)</f>
        <v>535</v>
      </c>
      <c r="BL9" s="2190">
        <f t="shared" si="2"/>
        <v>590</v>
      </c>
      <c r="BM9" s="2190">
        <f t="shared" si="2"/>
        <v>355</v>
      </c>
      <c r="BN9" s="2191">
        <f t="shared" si="2"/>
        <v>1480</v>
      </c>
      <c r="BO9" s="2189">
        <f t="shared" si="2"/>
        <v>473</v>
      </c>
      <c r="BP9" s="2190">
        <f t="shared" si="2"/>
        <v>576</v>
      </c>
      <c r="BQ9" s="2190">
        <f t="shared" si="2"/>
        <v>450</v>
      </c>
      <c r="BR9" s="2191">
        <f t="shared" si="2"/>
        <v>1499</v>
      </c>
      <c r="BS9" s="2189">
        <f t="shared" si="2"/>
        <v>497</v>
      </c>
      <c r="BT9" s="2190">
        <f t="shared" si="2"/>
        <v>602</v>
      </c>
      <c r="BU9" s="2190">
        <f t="shared" si="2"/>
        <v>329</v>
      </c>
      <c r="BV9" s="2191">
        <f t="shared" si="2"/>
        <v>1428</v>
      </c>
      <c r="BW9" s="2189">
        <f t="shared" ref="BW9:BZ9" si="3">SUM(BW6:BW8)</f>
        <v>577</v>
      </c>
      <c r="BX9" s="2190">
        <f t="shared" si="3"/>
        <v>623</v>
      </c>
      <c r="BY9" s="2190">
        <f t="shared" si="3"/>
        <v>475</v>
      </c>
      <c r="BZ9" s="2191">
        <f t="shared" si="3"/>
        <v>1675</v>
      </c>
    </row>
    <row r="10" spans="1:78" s="37" customFormat="1" ht="15.75" x14ac:dyDescent="0.2">
      <c r="A10" s="681"/>
    </row>
    <row r="11" spans="1:78" s="37" customFormat="1" ht="15" x14ac:dyDescent="0.2">
      <c r="A11" s="5897" t="s">
        <v>407</v>
      </c>
      <c r="B11" s="245" t="s">
        <v>6</v>
      </c>
      <c r="C11" s="737"/>
      <c r="D11" s="738"/>
      <c r="E11" s="738"/>
      <c r="F11" s="739"/>
      <c r="G11" s="737"/>
      <c r="H11" s="738"/>
      <c r="I11" s="738"/>
      <c r="J11" s="739"/>
      <c r="K11" s="737"/>
      <c r="L11" s="738"/>
      <c r="M11" s="738"/>
      <c r="N11" s="739"/>
      <c r="O11" s="737"/>
      <c r="P11" s="738"/>
      <c r="Q11" s="738"/>
      <c r="R11" s="739"/>
      <c r="S11" s="737"/>
      <c r="T11" s="738"/>
      <c r="U11" s="738"/>
      <c r="V11" s="739"/>
      <c r="W11" s="737"/>
      <c r="X11" s="738"/>
      <c r="Y11" s="738"/>
      <c r="Z11" s="739"/>
      <c r="AA11" s="737"/>
      <c r="AB11" s="738"/>
      <c r="AC11" s="738"/>
      <c r="AD11" s="739"/>
      <c r="AE11" s="737"/>
      <c r="AF11" s="738"/>
      <c r="AG11" s="738"/>
      <c r="AH11" s="739"/>
      <c r="AI11" s="737"/>
      <c r="AJ11" s="738"/>
      <c r="AK11" s="738"/>
      <c r="AL11" s="739"/>
      <c r="AM11" s="737"/>
      <c r="AN11" s="738"/>
      <c r="AO11" s="738"/>
      <c r="AP11" s="739"/>
      <c r="AQ11" s="730"/>
      <c r="AR11" s="731">
        <f>SUM('EGRESO plan'!AS26:AS29)</f>
        <v>16</v>
      </c>
      <c r="AS11" s="731">
        <f>SUM('EGRESO plan'!AT26:AT29)</f>
        <v>31</v>
      </c>
      <c r="AT11" s="732">
        <f>SUM('EGRESO plan'!AU26:AU29)</f>
        <v>47</v>
      </c>
      <c r="AU11" s="730">
        <f>SUM('EGRESO plan'!AV26:AV29)</f>
        <v>1</v>
      </c>
      <c r="AV11" s="731">
        <f>SUM('EGRESO plan'!AW26:AW29)</f>
        <v>3</v>
      </c>
      <c r="AW11" s="731">
        <f>SUM('EGRESO plan'!AX26:AX29)</f>
        <v>24</v>
      </c>
      <c r="AX11" s="732">
        <f>SUM('EGRESO plan'!AY26:AY29)</f>
        <v>28</v>
      </c>
      <c r="AY11" s="730">
        <f>SUM('EGRESO plan'!AZ26:AZ29)</f>
        <v>5</v>
      </c>
      <c r="AZ11" s="731">
        <f>SUM('EGRESO plan'!BA26:BA29)</f>
        <v>39</v>
      </c>
      <c r="BA11" s="731">
        <f>SUM('EGRESO plan'!BB26:BB29)</f>
        <v>7</v>
      </c>
      <c r="BB11" s="732">
        <f>SUM('EGRESO plan'!BC26:BC29)</f>
        <v>51</v>
      </c>
      <c r="BC11" s="730">
        <f>SUM('EGRESO plan'!BD26:BD29)</f>
        <v>12</v>
      </c>
      <c r="BD11" s="731">
        <f>SUM('EGRESO plan'!BE26:BE29)</f>
        <v>29</v>
      </c>
      <c r="BE11" s="731">
        <f>SUM('EGRESO plan'!BF26:BF29)</f>
        <v>13</v>
      </c>
      <c r="BF11" s="732">
        <f>SUM('EGRESO plan'!BG26:BG29)</f>
        <v>54</v>
      </c>
      <c r="BG11" s="730">
        <f>SUM('EGRESO plan'!BH26:BH29)</f>
        <v>17</v>
      </c>
      <c r="BH11" s="731">
        <f>SUM('EGRESO plan'!BI26:BI29)</f>
        <v>24</v>
      </c>
      <c r="BI11" s="731">
        <f>SUM('EGRESO plan'!BJ26:BJ29)</f>
        <v>2</v>
      </c>
      <c r="BJ11" s="732">
        <f>SUM('EGRESO plan'!BK26:BK29)</f>
        <v>43</v>
      </c>
      <c r="BK11" s="730">
        <f>SUM('EGRESO plan'!BL26:BL29)</f>
        <v>5</v>
      </c>
      <c r="BL11" s="731">
        <f>SUM('EGRESO plan'!BM26:BM29)</f>
        <v>20</v>
      </c>
      <c r="BM11" s="731">
        <f>SUM('EGRESO plan'!BN26:BN29)</f>
        <v>8</v>
      </c>
      <c r="BN11" s="732">
        <f>SUM('EGRESO plan'!BO26:BO29)</f>
        <v>33</v>
      </c>
      <c r="BO11" s="730">
        <f>SUM('EGRESO plan'!BP26:BP29)</f>
        <v>6</v>
      </c>
      <c r="BP11" s="731">
        <f>SUM('EGRESO plan'!BQ26:BQ29)</f>
        <v>18</v>
      </c>
      <c r="BQ11" s="731">
        <f>SUM('EGRESO plan'!BR26:BR29)</f>
        <v>4</v>
      </c>
      <c r="BR11" s="732">
        <f>SUM('EGRESO plan'!BS26:BS29)</f>
        <v>28</v>
      </c>
      <c r="BS11" s="730">
        <f>SUM('EGRESO plan'!BT26:BT29)</f>
        <v>6</v>
      </c>
      <c r="BT11" s="731">
        <f>SUM('EGRESO plan'!BU26:BU29)</f>
        <v>23</v>
      </c>
      <c r="BU11" s="731">
        <f>SUM('EGRESO plan'!BV26:BV29)</f>
        <v>3</v>
      </c>
      <c r="BV11" s="732">
        <f>SUM('EGRESO plan'!BW26:BW29)</f>
        <v>32</v>
      </c>
      <c r="BW11" s="730">
        <f>SUM('EGRESO plan'!BX26:BX29)</f>
        <v>5</v>
      </c>
      <c r="BX11" s="731">
        <f>SUM('EGRESO plan'!BY26:BY29)</f>
        <v>27</v>
      </c>
      <c r="BY11" s="731">
        <f>SUM('EGRESO plan'!BZ26:BZ29)</f>
        <v>4</v>
      </c>
      <c r="BZ11" s="732">
        <f>SUM('EGRESO plan'!CA26:CA29)</f>
        <v>36</v>
      </c>
    </row>
    <row r="12" spans="1:78" s="37" customFormat="1" ht="15" x14ac:dyDescent="0.2">
      <c r="A12" s="5898"/>
      <c r="B12" s="246" t="s">
        <v>9</v>
      </c>
      <c r="C12" s="740"/>
      <c r="D12" s="741"/>
      <c r="E12" s="741"/>
      <c r="F12" s="742"/>
      <c r="G12" s="740"/>
      <c r="H12" s="741"/>
      <c r="I12" s="741"/>
      <c r="J12" s="742"/>
      <c r="K12" s="740"/>
      <c r="L12" s="741"/>
      <c r="M12" s="741"/>
      <c r="N12" s="742"/>
      <c r="O12" s="740"/>
      <c r="P12" s="741"/>
      <c r="Q12" s="741"/>
      <c r="R12" s="742"/>
      <c r="S12" s="740"/>
      <c r="T12" s="741"/>
      <c r="U12" s="741"/>
      <c r="V12" s="742"/>
      <c r="W12" s="740"/>
      <c r="X12" s="741"/>
      <c r="Y12" s="741"/>
      <c r="Z12" s="742"/>
      <c r="AA12" s="740"/>
      <c r="AB12" s="741"/>
      <c r="AC12" s="741"/>
      <c r="AD12" s="742"/>
      <c r="AE12" s="740"/>
      <c r="AF12" s="741"/>
      <c r="AG12" s="741"/>
      <c r="AH12" s="742"/>
      <c r="AI12" s="740"/>
      <c r="AJ12" s="741"/>
      <c r="AK12" s="741"/>
      <c r="AL12" s="742"/>
      <c r="AM12" s="740"/>
      <c r="AN12" s="741"/>
      <c r="AO12" s="741"/>
      <c r="AP12" s="742"/>
      <c r="AQ12" s="733"/>
      <c r="AR12" s="734">
        <f>SUM('EGRESO plan'!AS31:AS33)</f>
        <v>0</v>
      </c>
      <c r="AS12" s="734">
        <f>SUM('EGRESO plan'!AT31:AT33)</f>
        <v>9</v>
      </c>
      <c r="AT12" s="735">
        <f>SUM('EGRESO plan'!AU31:AU33)</f>
        <v>9</v>
      </c>
      <c r="AU12" s="733">
        <f>SUM('EGRESO plan'!AV31:AV33)</f>
        <v>0</v>
      </c>
      <c r="AV12" s="734">
        <f>SUM('EGRESO plan'!AW31:AW33)</f>
        <v>4</v>
      </c>
      <c r="AW12" s="734">
        <f>SUM('EGRESO plan'!AX31:AX33)</f>
        <v>11</v>
      </c>
      <c r="AX12" s="735">
        <f>SUM('EGRESO plan'!AY31:AY33)</f>
        <v>15</v>
      </c>
      <c r="AY12" s="733">
        <f>SUM('EGRESO plan'!AZ31:AZ33)</f>
        <v>2</v>
      </c>
      <c r="AZ12" s="734">
        <f>SUM('EGRESO plan'!BA31:BA33)</f>
        <v>16</v>
      </c>
      <c r="BA12" s="734">
        <f>SUM('EGRESO plan'!BB31:BB33)</f>
        <v>14</v>
      </c>
      <c r="BB12" s="735">
        <f>SUM('EGRESO plan'!BC31:BC33)</f>
        <v>32</v>
      </c>
      <c r="BC12" s="733">
        <f>SUM('EGRESO plan'!BD31:BD33)</f>
        <v>5</v>
      </c>
      <c r="BD12" s="734">
        <f>SUM('EGRESO plan'!BE31:BE33)</f>
        <v>32</v>
      </c>
      <c r="BE12" s="734">
        <f>SUM('EGRESO plan'!BF31:BF33)</f>
        <v>11</v>
      </c>
      <c r="BF12" s="735">
        <f>SUM('EGRESO plan'!BG31:BG33)</f>
        <v>48</v>
      </c>
      <c r="BG12" s="733">
        <f>SUM('EGRESO plan'!BH31:BH33)</f>
        <v>4</v>
      </c>
      <c r="BH12" s="734">
        <f>SUM('EGRESO plan'!BI31:BI33)</f>
        <v>16</v>
      </c>
      <c r="BI12" s="734">
        <f>SUM('EGRESO plan'!BJ31:BJ33)</f>
        <v>1</v>
      </c>
      <c r="BJ12" s="735">
        <f>SUM('EGRESO plan'!BK31:BK33)</f>
        <v>21</v>
      </c>
      <c r="BK12" s="733">
        <f>SUM('EGRESO plan'!BL31:BL33)</f>
        <v>5</v>
      </c>
      <c r="BL12" s="734">
        <f>SUM('EGRESO plan'!BM31:BM33)</f>
        <v>20</v>
      </c>
      <c r="BM12" s="734">
        <f>SUM('EGRESO plan'!BN31:BN33)</f>
        <v>6</v>
      </c>
      <c r="BN12" s="735">
        <f>SUM('EGRESO plan'!BO31:BO33)</f>
        <v>31</v>
      </c>
      <c r="BO12" s="733">
        <f>SUM('EGRESO plan'!BP31:BP33)</f>
        <v>10</v>
      </c>
      <c r="BP12" s="734">
        <f>SUM('EGRESO plan'!BQ31:BQ33)</f>
        <v>17</v>
      </c>
      <c r="BQ12" s="734">
        <f>SUM('EGRESO plan'!BR31:BR33)</f>
        <v>2</v>
      </c>
      <c r="BR12" s="735">
        <f>SUM('EGRESO plan'!BS31:BS33)</f>
        <v>29</v>
      </c>
      <c r="BS12" s="733">
        <f>SUM('EGRESO plan'!BT31:BT33)</f>
        <v>13</v>
      </c>
      <c r="BT12" s="734">
        <f>SUM('EGRESO plan'!BU31:BU33)</f>
        <v>18</v>
      </c>
      <c r="BU12" s="734">
        <f>SUM('EGRESO plan'!BV31:BV33)</f>
        <v>8</v>
      </c>
      <c r="BV12" s="735">
        <f>SUM('EGRESO plan'!BW31:BW33)</f>
        <v>39</v>
      </c>
      <c r="BW12" s="733">
        <f>SUM('EGRESO plan'!BX31:BX33)</f>
        <v>17</v>
      </c>
      <c r="BX12" s="734">
        <f>SUM('EGRESO plan'!BY31:BY33)</f>
        <v>27</v>
      </c>
      <c r="BY12" s="734">
        <f>SUM('EGRESO plan'!BZ31:BZ33)</f>
        <v>11</v>
      </c>
      <c r="BZ12" s="735">
        <f>SUM('EGRESO plan'!CA31:CA33)</f>
        <v>55</v>
      </c>
    </row>
    <row r="13" spans="1:78" s="37" customFormat="1" ht="15" x14ac:dyDescent="0.2">
      <c r="A13" s="5898"/>
      <c r="B13" s="246" t="s">
        <v>74</v>
      </c>
      <c r="C13" s="740"/>
      <c r="D13" s="741"/>
      <c r="E13" s="741"/>
      <c r="F13" s="742"/>
      <c r="G13" s="740"/>
      <c r="H13" s="741"/>
      <c r="I13" s="741"/>
      <c r="J13" s="742"/>
      <c r="K13" s="740"/>
      <c r="L13" s="741"/>
      <c r="M13" s="741"/>
      <c r="N13" s="742"/>
      <c r="O13" s="740"/>
      <c r="P13" s="741"/>
      <c r="Q13" s="741"/>
      <c r="R13" s="742"/>
      <c r="S13" s="740"/>
      <c r="T13" s="741"/>
      <c r="U13" s="741"/>
      <c r="V13" s="742"/>
      <c r="W13" s="740"/>
      <c r="X13" s="741"/>
      <c r="Y13" s="741"/>
      <c r="Z13" s="742"/>
      <c r="AA13" s="740"/>
      <c r="AB13" s="741"/>
      <c r="AC13" s="741"/>
      <c r="AD13" s="742"/>
      <c r="AE13" s="740"/>
      <c r="AF13" s="741"/>
      <c r="AG13" s="741"/>
      <c r="AH13" s="742"/>
      <c r="AI13" s="740"/>
      <c r="AJ13" s="741"/>
      <c r="AK13" s="741"/>
      <c r="AL13" s="742"/>
      <c r="AM13" s="740"/>
      <c r="AN13" s="741"/>
      <c r="AO13" s="741"/>
      <c r="AP13" s="742"/>
      <c r="AQ13" s="733"/>
      <c r="AR13" s="734">
        <f>SUM('EGRESO plan'!AS35:AS37)</f>
        <v>11</v>
      </c>
      <c r="AS13" s="734">
        <f>SUM('EGRESO plan'!AT35:AT37)</f>
        <v>0</v>
      </c>
      <c r="AT13" s="735">
        <f>SUM('EGRESO plan'!AU35:AU37)</f>
        <v>11</v>
      </c>
      <c r="AU13" s="733">
        <f>SUM('EGRESO plan'!AV35:AV37)</f>
        <v>1</v>
      </c>
      <c r="AV13" s="734">
        <f>SUM('EGRESO plan'!AW35:AW37)</f>
        <v>6</v>
      </c>
      <c r="AW13" s="734">
        <f>SUM('EGRESO plan'!AX35:AX37)</f>
        <v>3</v>
      </c>
      <c r="AX13" s="735">
        <f>SUM('EGRESO plan'!AY35:AY37)</f>
        <v>10</v>
      </c>
      <c r="AY13" s="733">
        <f>SUM('EGRESO plan'!AZ35:AZ37)</f>
        <v>3</v>
      </c>
      <c r="AZ13" s="734">
        <f>SUM('EGRESO plan'!BA35:BA37)</f>
        <v>7</v>
      </c>
      <c r="BA13" s="734">
        <f>SUM('EGRESO plan'!BB35:BB37)</f>
        <v>1</v>
      </c>
      <c r="BB13" s="735">
        <f>SUM('EGRESO plan'!BC35:BC37)</f>
        <v>11</v>
      </c>
      <c r="BC13" s="733">
        <f>SUM('EGRESO plan'!BD35:BD37)</f>
        <v>1</v>
      </c>
      <c r="BD13" s="734">
        <f>SUM('EGRESO plan'!BE35:BE37)</f>
        <v>5</v>
      </c>
      <c r="BE13" s="734">
        <f>SUM('EGRESO plan'!BF35:BF37)</f>
        <v>12</v>
      </c>
      <c r="BF13" s="735">
        <f>SUM('EGRESO plan'!BG35:BG37)</f>
        <v>18</v>
      </c>
      <c r="BG13" s="733">
        <f>SUM('EGRESO plan'!BH35:BH37)</f>
        <v>6</v>
      </c>
      <c r="BH13" s="734">
        <f>SUM('EGRESO plan'!BI35:BI37)</f>
        <v>7</v>
      </c>
      <c r="BI13" s="734">
        <f>SUM('EGRESO plan'!BJ35:BJ37)</f>
        <v>2</v>
      </c>
      <c r="BJ13" s="735">
        <f>SUM('EGRESO plan'!BK35:BK37)</f>
        <v>15</v>
      </c>
      <c r="BK13" s="733">
        <f>SUM('EGRESO plan'!BL39)</f>
        <v>6</v>
      </c>
      <c r="BL13" s="734">
        <f>SUM('EGRESO plan'!BM39)</f>
        <v>9</v>
      </c>
      <c r="BM13" s="734">
        <f>SUM('EGRESO plan'!BN39)</f>
        <v>7</v>
      </c>
      <c r="BN13" s="735">
        <f>SUM('EGRESO plan'!BO39)</f>
        <v>22</v>
      </c>
      <c r="BO13" s="733">
        <f>SUM('EGRESO plan'!BP39)</f>
        <v>6</v>
      </c>
      <c r="BP13" s="734">
        <f>SUM('EGRESO plan'!BQ39)</f>
        <v>10</v>
      </c>
      <c r="BQ13" s="734">
        <f>SUM('EGRESO plan'!BR39)</f>
        <v>8</v>
      </c>
      <c r="BR13" s="735">
        <f>SUM('EGRESO plan'!BS39)</f>
        <v>24</v>
      </c>
      <c r="BS13" s="733">
        <f>SUM('EGRESO plan'!BT39)</f>
        <v>17</v>
      </c>
      <c r="BT13" s="734">
        <f>SUM('EGRESO plan'!BU39)</f>
        <v>20</v>
      </c>
      <c r="BU13" s="734">
        <f>SUM('EGRESO plan'!BV39)</f>
        <v>5</v>
      </c>
      <c r="BV13" s="735">
        <f>SUM('EGRESO plan'!BW39)</f>
        <v>42</v>
      </c>
      <c r="BW13" s="733">
        <f>SUM('EGRESO plan'!BX39)</f>
        <v>19</v>
      </c>
      <c r="BX13" s="734">
        <f>SUM('EGRESO plan'!BY39)</f>
        <v>16</v>
      </c>
      <c r="BY13" s="734">
        <f>SUM('EGRESO plan'!BZ39)</f>
        <v>8</v>
      </c>
      <c r="BZ13" s="735">
        <f>SUM('EGRESO plan'!CA39)</f>
        <v>43</v>
      </c>
    </row>
    <row r="14" spans="1:78" s="37" customFormat="1" ht="15" x14ac:dyDescent="0.2">
      <c r="A14" s="5899"/>
      <c r="B14" s="2192" t="s">
        <v>12</v>
      </c>
      <c r="C14" s="2193"/>
      <c r="D14" s="2194"/>
      <c r="E14" s="2194"/>
      <c r="F14" s="2195"/>
      <c r="G14" s="2193"/>
      <c r="H14" s="2194"/>
      <c r="I14" s="2194"/>
      <c r="J14" s="2195"/>
      <c r="K14" s="2193"/>
      <c r="L14" s="2194"/>
      <c r="M14" s="2194"/>
      <c r="N14" s="2195"/>
      <c r="O14" s="2193"/>
      <c r="P14" s="2194"/>
      <c r="Q14" s="2194"/>
      <c r="R14" s="2195"/>
      <c r="S14" s="2193"/>
      <c r="T14" s="2194"/>
      <c r="U14" s="2194"/>
      <c r="V14" s="2195"/>
      <c r="W14" s="2193"/>
      <c r="X14" s="2194"/>
      <c r="Y14" s="2194"/>
      <c r="Z14" s="2195"/>
      <c r="AA14" s="2193"/>
      <c r="AB14" s="2194"/>
      <c r="AC14" s="2194"/>
      <c r="AD14" s="2195"/>
      <c r="AE14" s="2193"/>
      <c r="AF14" s="2194"/>
      <c r="AG14" s="2194"/>
      <c r="AH14" s="2195"/>
      <c r="AI14" s="2193"/>
      <c r="AJ14" s="2194"/>
      <c r="AK14" s="2194"/>
      <c r="AL14" s="2195"/>
      <c r="AM14" s="2193"/>
      <c r="AN14" s="2194"/>
      <c r="AO14" s="2194"/>
      <c r="AP14" s="2195"/>
      <c r="AQ14" s="2196"/>
      <c r="AR14" s="2197">
        <f t="shared" ref="AR14:BJ14" si="4">SUM(AR11:AR13)</f>
        <v>27</v>
      </c>
      <c r="AS14" s="2197">
        <f t="shared" si="4"/>
        <v>40</v>
      </c>
      <c r="AT14" s="2198">
        <f t="shared" si="4"/>
        <v>67</v>
      </c>
      <c r="AU14" s="2196">
        <f t="shared" si="4"/>
        <v>2</v>
      </c>
      <c r="AV14" s="2197">
        <f t="shared" si="4"/>
        <v>13</v>
      </c>
      <c r="AW14" s="2197">
        <f t="shared" si="4"/>
        <v>38</v>
      </c>
      <c r="AX14" s="2198">
        <f t="shared" si="4"/>
        <v>53</v>
      </c>
      <c r="AY14" s="2196">
        <f t="shared" si="4"/>
        <v>10</v>
      </c>
      <c r="AZ14" s="2197">
        <f t="shared" si="4"/>
        <v>62</v>
      </c>
      <c r="BA14" s="2197">
        <f t="shared" si="4"/>
        <v>22</v>
      </c>
      <c r="BB14" s="2198">
        <f t="shared" si="4"/>
        <v>94</v>
      </c>
      <c r="BC14" s="2196">
        <f t="shared" si="4"/>
        <v>18</v>
      </c>
      <c r="BD14" s="2197">
        <f t="shared" si="4"/>
        <v>66</v>
      </c>
      <c r="BE14" s="2197">
        <f t="shared" si="4"/>
        <v>36</v>
      </c>
      <c r="BF14" s="2198">
        <f t="shared" si="4"/>
        <v>120</v>
      </c>
      <c r="BG14" s="2196">
        <f t="shared" si="4"/>
        <v>27</v>
      </c>
      <c r="BH14" s="2197">
        <f t="shared" si="4"/>
        <v>47</v>
      </c>
      <c r="BI14" s="2197">
        <f t="shared" si="4"/>
        <v>5</v>
      </c>
      <c r="BJ14" s="2198">
        <f t="shared" si="4"/>
        <v>79</v>
      </c>
      <c r="BK14" s="2196">
        <f t="shared" ref="BK14:BV14" si="5">SUM(BK11:BK13)</f>
        <v>16</v>
      </c>
      <c r="BL14" s="2197">
        <f t="shared" si="5"/>
        <v>49</v>
      </c>
      <c r="BM14" s="2197">
        <f t="shared" si="5"/>
        <v>21</v>
      </c>
      <c r="BN14" s="2198">
        <f t="shared" si="5"/>
        <v>86</v>
      </c>
      <c r="BO14" s="2196">
        <f t="shared" si="5"/>
        <v>22</v>
      </c>
      <c r="BP14" s="2197">
        <f t="shared" si="5"/>
        <v>45</v>
      </c>
      <c r="BQ14" s="2197">
        <f t="shared" si="5"/>
        <v>14</v>
      </c>
      <c r="BR14" s="2198">
        <f t="shared" si="5"/>
        <v>81</v>
      </c>
      <c r="BS14" s="2196">
        <f t="shared" si="5"/>
        <v>36</v>
      </c>
      <c r="BT14" s="2197">
        <f t="shared" si="5"/>
        <v>61</v>
      </c>
      <c r="BU14" s="2197">
        <f t="shared" si="5"/>
        <v>16</v>
      </c>
      <c r="BV14" s="2198">
        <f t="shared" si="5"/>
        <v>113</v>
      </c>
      <c r="BW14" s="2196">
        <f t="shared" ref="BW14:BZ14" si="6">SUM(BW11:BW13)</f>
        <v>41</v>
      </c>
      <c r="BX14" s="2197">
        <f t="shared" si="6"/>
        <v>70</v>
      </c>
      <c r="BY14" s="2197">
        <f t="shared" si="6"/>
        <v>23</v>
      </c>
      <c r="BZ14" s="2198">
        <f t="shared" si="6"/>
        <v>134</v>
      </c>
    </row>
    <row r="15" spans="1:78" s="37" customFormat="1" ht="15.75" x14ac:dyDescent="0.2">
      <c r="A15" s="1782"/>
      <c r="B15" s="736"/>
      <c r="C15" s="736"/>
      <c r="D15" s="736"/>
      <c r="E15" s="736"/>
      <c r="F15" s="736"/>
      <c r="G15" s="736"/>
      <c r="H15" s="736"/>
      <c r="I15" s="736"/>
      <c r="J15" s="736"/>
      <c r="K15" s="736"/>
      <c r="L15" s="736"/>
      <c r="M15" s="736"/>
      <c r="N15" s="736"/>
      <c r="O15" s="736"/>
      <c r="P15" s="736"/>
      <c r="Q15" s="736"/>
      <c r="R15" s="736"/>
      <c r="S15" s="736"/>
      <c r="T15" s="736"/>
      <c r="U15" s="736"/>
      <c r="V15" s="736"/>
      <c r="W15" s="736"/>
      <c r="X15" s="736"/>
      <c r="Y15" s="736"/>
      <c r="Z15" s="736"/>
      <c r="AA15" s="736"/>
      <c r="AB15" s="736"/>
      <c r="AC15" s="736"/>
      <c r="AD15" s="736"/>
      <c r="AE15" s="736"/>
      <c r="AF15" s="736"/>
      <c r="AG15" s="736"/>
      <c r="AH15" s="736"/>
      <c r="AI15" s="736"/>
      <c r="AJ15" s="736"/>
      <c r="AK15" s="736"/>
      <c r="AL15" s="736"/>
      <c r="AM15" s="736"/>
      <c r="AN15" s="736"/>
      <c r="AO15" s="736"/>
      <c r="AP15" s="736"/>
      <c r="AQ15" s="736"/>
      <c r="AR15" s="736"/>
      <c r="AS15" s="736"/>
      <c r="AT15" s="736"/>
      <c r="AU15" s="736"/>
      <c r="AV15" s="736"/>
      <c r="AW15" s="736"/>
      <c r="AX15" s="736"/>
      <c r="AY15" s="736"/>
      <c r="AZ15" s="736"/>
      <c r="BA15" s="736"/>
      <c r="BB15" s="736"/>
      <c r="BC15" s="736"/>
      <c r="BD15" s="736"/>
      <c r="BE15" s="736"/>
      <c r="BF15" s="736"/>
      <c r="BG15" s="736"/>
      <c r="BH15" s="736"/>
      <c r="BI15" s="736"/>
      <c r="BJ15" s="736"/>
      <c r="BK15" s="736"/>
      <c r="BL15" s="736"/>
      <c r="BM15" s="736"/>
      <c r="BN15" s="736"/>
      <c r="BO15" s="736"/>
      <c r="BP15" s="736"/>
      <c r="BQ15" s="736"/>
      <c r="BR15" s="736"/>
      <c r="BS15" s="736"/>
      <c r="BT15" s="736"/>
      <c r="BU15" s="736"/>
      <c r="BV15" s="736"/>
      <c r="BW15" s="736"/>
      <c r="BX15" s="736"/>
      <c r="BY15" s="736"/>
      <c r="BZ15" s="736"/>
    </row>
    <row r="16" spans="1:78" s="6" customFormat="1" ht="15" customHeight="1" x14ac:dyDescent="0.2">
      <c r="A16" s="5891" t="s">
        <v>162</v>
      </c>
      <c r="B16" s="245" t="s">
        <v>5</v>
      </c>
      <c r="C16" s="730">
        <f>SUM('EGRESO plan'!D41:D49)</f>
        <v>83</v>
      </c>
      <c r="D16" s="731">
        <f>SUM('EGRESO plan'!E41:E49)</f>
        <v>96</v>
      </c>
      <c r="E16" s="731">
        <f>SUM('EGRESO plan'!F41:F49)</f>
        <v>73</v>
      </c>
      <c r="F16" s="732">
        <f>SUM('EGRESO plan'!G41:G49)</f>
        <v>252</v>
      </c>
      <c r="G16" s="730">
        <f>SUM('EGRESO plan'!H41:H49)</f>
        <v>78</v>
      </c>
      <c r="H16" s="731">
        <f>SUM('EGRESO plan'!I41:I49)</f>
        <v>69</v>
      </c>
      <c r="I16" s="731">
        <f>SUM('EGRESO plan'!J41:J49)</f>
        <v>48</v>
      </c>
      <c r="J16" s="732">
        <f>SUM('EGRESO plan'!K41:K49)</f>
        <v>195</v>
      </c>
      <c r="K16" s="730">
        <f>SUM('EGRESO plan'!L41:L49)</f>
        <v>85</v>
      </c>
      <c r="L16" s="731">
        <f>SUM('EGRESO plan'!M41:M49)</f>
        <v>94</v>
      </c>
      <c r="M16" s="731">
        <f>SUM('EGRESO plan'!N41:N49)</f>
        <v>79</v>
      </c>
      <c r="N16" s="732">
        <f>SUM('EGRESO plan'!O41:O49)</f>
        <v>258</v>
      </c>
      <c r="O16" s="730">
        <f>SUM('EGRESO plan'!P41:P49)</f>
        <v>54</v>
      </c>
      <c r="P16" s="731">
        <f>SUM('EGRESO plan'!Q41:Q49)</f>
        <v>63</v>
      </c>
      <c r="Q16" s="731">
        <f>SUM('EGRESO plan'!R41:R49)</f>
        <v>65</v>
      </c>
      <c r="R16" s="732">
        <f>SUM('EGRESO plan'!S41:S49)</f>
        <v>182</v>
      </c>
      <c r="S16" s="730">
        <f>SUM('EGRESO plan'!T41:T49)</f>
        <v>78</v>
      </c>
      <c r="T16" s="731">
        <f>SUM('EGRESO plan'!U41:U49)</f>
        <v>79</v>
      </c>
      <c r="U16" s="731">
        <f>SUM('EGRESO plan'!V41:V49)</f>
        <v>65</v>
      </c>
      <c r="V16" s="732">
        <f>SUM('EGRESO plan'!W41:W49)</f>
        <v>222</v>
      </c>
      <c r="W16" s="730">
        <f>SUM('EGRESO plan'!X41:X49)</f>
        <v>87</v>
      </c>
      <c r="X16" s="731">
        <f>SUM('EGRESO plan'!Y41:Y49)</f>
        <v>93</v>
      </c>
      <c r="Y16" s="731">
        <f>SUM('EGRESO plan'!Z41:Z49)</f>
        <v>66</v>
      </c>
      <c r="Z16" s="732">
        <f>SUM('EGRESO plan'!AA41:AA49)</f>
        <v>246</v>
      </c>
      <c r="AA16" s="730">
        <f>SUM('EGRESO plan'!AB41:AB49)</f>
        <v>93</v>
      </c>
      <c r="AB16" s="731">
        <f>SUM('EGRESO plan'!AC41:AC49)</f>
        <v>86</v>
      </c>
      <c r="AC16" s="731">
        <f>SUM('EGRESO plan'!AD41:AD49)</f>
        <v>64</v>
      </c>
      <c r="AD16" s="732">
        <f>SUM('EGRESO plan'!AE41:AE49)</f>
        <v>243</v>
      </c>
      <c r="AE16" s="730">
        <f>SUM('EGRESO plan'!AF41:AF49)</f>
        <v>93</v>
      </c>
      <c r="AF16" s="731">
        <f>SUM('EGRESO plan'!AG41:AG49)</f>
        <v>104</v>
      </c>
      <c r="AG16" s="731">
        <f>SUM('EGRESO plan'!AH41:AH49)</f>
        <v>79</v>
      </c>
      <c r="AH16" s="732">
        <f>SUM('EGRESO plan'!AI41:AI49)</f>
        <v>276</v>
      </c>
      <c r="AI16" s="730">
        <f>SUM('EGRESO plan'!AJ41:AJ49)</f>
        <v>54</v>
      </c>
      <c r="AJ16" s="731">
        <f>SUM('EGRESO plan'!AK41:AK49)</f>
        <v>71</v>
      </c>
      <c r="AK16" s="731">
        <f>SUM('EGRESO plan'!AL41:AL49)</f>
        <v>48</v>
      </c>
      <c r="AL16" s="732">
        <f>SUM('EGRESO plan'!AM41:AM49)</f>
        <v>173</v>
      </c>
      <c r="AM16" s="730">
        <f>SUM('EGRESO plan'!AN41:AN49)</f>
        <v>68</v>
      </c>
      <c r="AN16" s="731">
        <f>SUM('EGRESO plan'!AO41:AO49)</f>
        <v>59</v>
      </c>
      <c r="AO16" s="731">
        <f>SUM('EGRESO plan'!AP41:AP49)</f>
        <v>36</v>
      </c>
      <c r="AP16" s="732">
        <f>SUM('EGRESO plan'!AQ41:AQ49)</f>
        <v>163</v>
      </c>
      <c r="AQ16" s="730">
        <f>SUM('EGRESO plan'!AR41:AR49)</f>
        <v>58</v>
      </c>
      <c r="AR16" s="731">
        <f>SUM('EGRESO plan'!AS41:AS49)</f>
        <v>70</v>
      </c>
      <c r="AS16" s="731">
        <f>SUM('EGRESO plan'!AT41:AT49)</f>
        <v>39</v>
      </c>
      <c r="AT16" s="732">
        <f>SUM('EGRESO plan'!AU41:AU49)</f>
        <v>167</v>
      </c>
      <c r="AU16" s="730">
        <f>SUM('EGRESO plan'!AV41:AV49)</f>
        <v>63</v>
      </c>
      <c r="AV16" s="731">
        <f>SUM('EGRESO plan'!AW41:AW49)</f>
        <v>112</v>
      </c>
      <c r="AW16" s="731">
        <f>SUM('EGRESO plan'!AX41:AX49)</f>
        <v>64</v>
      </c>
      <c r="AX16" s="732">
        <f>SUM('EGRESO plan'!AY41:AY49)</f>
        <v>239</v>
      </c>
      <c r="AY16" s="730">
        <f>SUM('EGRESO plan'!AZ41:AZ49)</f>
        <v>57</v>
      </c>
      <c r="AZ16" s="731">
        <f>SUM('EGRESO plan'!BA41:BA49)</f>
        <v>57</v>
      </c>
      <c r="BA16" s="731">
        <f>SUM('EGRESO plan'!BB41:BB49)</f>
        <v>65</v>
      </c>
      <c r="BB16" s="732">
        <f>SUM('EGRESO plan'!BC41:BC49)</f>
        <v>179</v>
      </c>
      <c r="BC16" s="730">
        <f>SUM('EGRESO plan'!BD41:BD49)</f>
        <v>67</v>
      </c>
      <c r="BD16" s="731">
        <f>SUM('EGRESO plan'!BE41:BE49)</f>
        <v>85</v>
      </c>
      <c r="BE16" s="731">
        <f>SUM('EGRESO plan'!BF41:BF49)</f>
        <v>50</v>
      </c>
      <c r="BF16" s="732">
        <f>SUM('EGRESO plan'!BG41:BG49)</f>
        <v>202</v>
      </c>
      <c r="BG16" s="730">
        <f>SUM('EGRESO plan'!BH41:BH49)</f>
        <v>44</v>
      </c>
      <c r="BH16" s="731">
        <f>SUM('EGRESO plan'!BI41:BI49)</f>
        <v>58</v>
      </c>
      <c r="BI16" s="731">
        <f>SUM('EGRESO plan'!BJ41:BJ49)</f>
        <v>61</v>
      </c>
      <c r="BJ16" s="732">
        <f>SUM('EGRESO plan'!BK41:BK49)</f>
        <v>163</v>
      </c>
      <c r="BK16" s="730">
        <f>SUM('EGRESO plan'!BL41:BL49)</f>
        <v>58</v>
      </c>
      <c r="BL16" s="731">
        <f>SUM('EGRESO plan'!BM41:BM49)</f>
        <v>86</v>
      </c>
      <c r="BM16" s="731">
        <f>SUM('EGRESO plan'!BN41:BN49)</f>
        <v>68</v>
      </c>
      <c r="BN16" s="732">
        <f>SUM('EGRESO plan'!BO41:BO49)</f>
        <v>212</v>
      </c>
      <c r="BO16" s="730">
        <f>SUM('EGRESO plan'!BP41:BP49)</f>
        <v>46</v>
      </c>
      <c r="BP16" s="731">
        <f>SUM('EGRESO plan'!BQ41:BQ49)</f>
        <v>63</v>
      </c>
      <c r="BQ16" s="731">
        <f>SUM('EGRESO plan'!BR41:BR49)</f>
        <v>64</v>
      </c>
      <c r="BR16" s="732">
        <f>SUM('EGRESO plan'!BS41:BS49)</f>
        <v>173</v>
      </c>
      <c r="BS16" s="730">
        <f>SUM('EGRESO plan'!BT41:BT49)</f>
        <v>61</v>
      </c>
      <c r="BT16" s="731">
        <f>SUM('EGRESO plan'!BU41:BU49)</f>
        <v>79</v>
      </c>
      <c r="BU16" s="731">
        <f>SUM('EGRESO plan'!BV41:BV49)</f>
        <v>88</v>
      </c>
      <c r="BV16" s="732">
        <f>SUM('EGRESO plan'!BW41:BW49)</f>
        <v>228</v>
      </c>
      <c r="BW16" s="730">
        <f>SUM('EGRESO plan'!BX41:BX49)</f>
        <v>75</v>
      </c>
      <c r="BX16" s="731">
        <f>SUM('EGRESO plan'!BY41:BY49)</f>
        <v>81</v>
      </c>
      <c r="BY16" s="731">
        <f>SUM('EGRESO plan'!BZ41:BZ49)</f>
        <v>86</v>
      </c>
      <c r="BZ16" s="732">
        <f>SUM('EGRESO plan'!CA41:CA49)</f>
        <v>242</v>
      </c>
    </row>
    <row r="17" spans="1:78" s="6" customFormat="1" ht="15" customHeight="1" x14ac:dyDescent="0.2">
      <c r="A17" s="5892"/>
      <c r="B17" s="246" t="s">
        <v>6</v>
      </c>
      <c r="C17" s="733">
        <f>SUM('EGRESO plan'!D51:D61)</f>
        <v>187</v>
      </c>
      <c r="D17" s="734">
        <f>SUM('EGRESO plan'!E51:E61)</f>
        <v>227</v>
      </c>
      <c r="E17" s="734">
        <f>SUM('EGRESO plan'!F51:F61)</f>
        <v>126</v>
      </c>
      <c r="F17" s="735">
        <f>SUM('EGRESO plan'!G51:G61)</f>
        <v>540</v>
      </c>
      <c r="G17" s="733">
        <f>SUM('EGRESO plan'!H51:H61)</f>
        <v>146</v>
      </c>
      <c r="H17" s="734">
        <f>SUM('EGRESO plan'!I51:I61)</f>
        <v>202</v>
      </c>
      <c r="I17" s="734">
        <f>SUM('EGRESO plan'!J51:J61)</f>
        <v>150</v>
      </c>
      <c r="J17" s="735">
        <f>SUM('EGRESO plan'!K51:K61)</f>
        <v>498</v>
      </c>
      <c r="K17" s="733">
        <f>SUM('EGRESO plan'!L51:L61)</f>
        <v>179</v>
      </c>
      <c r="L17" s="734">
        <f>SUM('EGRESO plan'!M51:M61)</f>
        <v>183</v>
      </c>
      <c r="M17" s="734">
        <f>SUM('EGRESO plan'!N51:N61)</f>
        <v>106</v>
      </c>
      <c r="N17" s="735">
        <f>SUM('EGRESO plan'!O51:O61)</f>
        <v>468</v>
      </c>
      <c r="O17" s="733">
        <f>SUM('EGRESO plan'!P51:P61)</f>
        <v>196</v>
      </c>
      <c r="P17" s="734">
        <f>SUM('EGRESO plan'!Q51:Q61)</f>
        <v>200</v>
      </c>
      <c r="Q17" s="734">
        <f>SUM('EGRESO plan'!R51:R61)</f>
        <v>146</v>
      </c>
      <c r="R17" s="735">
        <f>SUM('EGRESO plan'!S51:S61)</f>
        <v>542</v>
      </c>
      <c r="S17" s="733">
        <f>SUM('EGRESO plan'!T51:T61)</f>
        <v>193</v>
      </c>
      <c r="T17" s="734">
        <f>SUM('EGRESO plan'!U51:U61)</f>
        <v>201</v>
      </c>
      <c r="U17" s="734">
        <f>SUM('EGRESO plan'!V51:V61)</f>
        <v>124</v>
      </c>
      <c r="V17" s="735">
        <f>SUM('EGRESO plan'!W51:W61)</f>
        <v>518</v>
      </c>
      <c r="W17" s="733">
        <f>SUM('EGRESO plan'!X51:X61)</f>
        <v>198</v>
      </c>
      <c r="X17" s="734">
        <f>SUM('EGRESO plan'!Y51:Y61)</f>
        <v>208</v>
      </c>
      <c r="Y17" s="734">
        <f>SUM('EGRESO plan'!Z51:Z61)</f>
        <v>155</v>
      </c>
      <c r="Z17" s="735">
        <f>SUM('EGRESO plan'!AA51:AA61)</f>
        <v>561</v>
      </c>
      <c r="AA17" s="733">
        <f>SUM('EGRESO plan'!AB51:AB61)</f>
        <v>218</v>
      </c>
      <c r="AB17" s="734">
        <f>SUM('EGRESO plan'!AC51:AC61)</f>
        <v>183</v>
      </c>
      <c r="AC17" s="734">
        <f>SUM('EGRESO plan'!AD51:AD61)</f>
        <v>110</v>
      </c>
      <c r="AD17" s="735">
        <f>SUM('EGRESO plan'!AE51:AE61)</f>
        <v>511</v>
      </c>
      <c r="AE17" s="733">
        <f>SUM('EGRESO plan'!AF51:AF61)</f>
        <v>153</v>
      </c>
      <c r="AF17" s="734">
        <f>SUM('EGRESO plan'!AG51:AG61)</f>
        <v>217</v>
      </c>
      <c r="AG17" s="734">
        <f>SUM('EGRESO plan'!AH51:AH61)</f>
        <v>131</v>
      </c>
      <c r="AH17" s="735">
        <f>SUM('EGRESO plan'!AI51:AI61)</f>
        <v>501</v>
      </c>
      <c r="AI17" s="733">
        <f>SUM('EGRESO plan'!AJ51:AJ61)</f>
        <v>177</v>
      </c>
      <c r="AJ17" s="734">
        <f>SUM('EGRESO plan'!AK51:AK61)</f>
        <v>181</v>
      </c>
      <c r="AK17" s="734">
        <f>SUM('EGRESO plan'!AL51:AL61)</f>
        <v>111</v>
      </c>
      <c r="AL17" s="735">
        <f>SUM('EGRESO plan'!AM51:AM61)</f>
        <v>469</v>
      </c>
      <c r="AM17" s="733">
        <f>SUM('EGRESO plan'!AN51:AN61)</f>
        <v>157</v>
      </c>
      <c r="AN17" s="734">
        <f>SUM('EGRESO plan'!AO51:AO61)</f>
        <v>184</v>
      </c>
      <c r="AO17" s="734">
        <f>SUM('EGRESO plan'!AP51:AP61)</f>
        <v>95</v>
      </c>
      <c r="AP17" s="735">
        <f>SUM('EGRESO plan'!AQ51:AQ61)</f>
        <v>436</v>
      </c>
      <c r="AQ17" s="733">
        <f>SUM('EGRESO plan'!AR51:AR61)</f>
        <v>172</v>
      </c>
      <c r="AR17" s="734">
        <f>SUM('EGRESO plan'!AS51:AS61)</f>
        <v>216</v>
      </c>
      <c r="AS17" s="734">
        <f>SUM('EGRESO plan'!AT51:AT61)</f>
        <v>94</v>
      </c>
      <c r="AT17" s="735">
        <f>SUM('EGRESO plan'!AU51:AU61)</f>
        <v>482</v>
      </c>
      <c r="AU17" s="733">
        <f>SUM('EGRESO plan'!AV51:AV61)</f>
        <v>192</v>
      </c>
      <c r="AV17" s="734">
        <f>SUM('EGRESO plan'!AW51:AW61)</f>
        <v>236</v>
      </c>
      <c r="AW17" s="734">
        <f>SUM('EGRESO plan'!AX51:AX61)</f>
        <v>119</v>
      </c>
      <c r="AX17" s="735">
        <f>SUM('EGRESO plan'!AY51:AY61)</f>
        <v>547</v>
      </c>
      <c r="AY17" s="733">
        <f>SUM('EGRESO plan'!AZ51:AZ61)</f>
        <v>172</v>
      </c>
      <c r="AZ17" s="734">
        <f>SUM('EGRESO plan'!BA51:BA61)</f>
        <v>178</v>
      </c>
      <c r="BA17" s="734">
        <f>SUM('EGRESO plan'!BB51:BB61)</f>
        <v>132</v>
      </c>
      <c r="BB17" s="735">
        <f>SUM('EGRESO plan'!BC51:BC61)</f>
        <v>482</v>
      </c>
      <c r="BC17" s="733">
        <f>SUM('EGRESO plan'!BD51:BD61)</f>
        <v>195</v>
      </c>
      <c r="BD17" s="734">
        <f>SUM('EGRESO plan'!BE51:BE61)</f>
        <v>221</v>
      </c>
      <c r="BE17" s="734">
        <f>SUM('EGRESO plan'!BF51:BF61)</f>
        <v>149</v>
      </c>
      <c r="BF17" s="735">
        <f>SUM('EGRESO plan'!BG51:BG61)</f>
        <v>565</v>
      </c>
      <c r="BG17" s="733">
        <f>SUM('EGRESO plan'!BH51:BH61)</f>
        <v>209</v>
      </c>
      <c r="BH17" s="734">
        <f>SUM('EGRESO plan'!BI51:BI61)</f>
        <v>273</v>
      </c>
      <c r="BI17" s="734">
        <f>SUM('EGRESO plan'!BJ51:BJ61)</f>
        <v>186</v>
      </c>
      <c r="BJ17" s="735">
        <f>SUM('EGRESO plan'!BK51:BK61)</f>
        <v>668</v>
      </c>
      <c r="BK17" s="733">
        <f>SUM('EGRESO plan'!BL51:BL61)</f>
        <v>211</v>
      </c>
      <c r="BL17" s="734">
        <f>SUM('EGRESO plan'!BM51:BM61)</f>
        <v>201</v>
      </c>
      <c r="BM17" s="734">
        <f>SUM('EGRESO plan'!BN51:BN61)</f>
        <v>140</v>
      </c>
      <c r="BN17" s="735">
        <f>SUM('EGRESO plan'!BO51:BO61)</f>
        <v>552</v>
      </c>
      <c r="BO17" s="733">
        <f>SUM('EGRESO plan'!BP51:BP61)</f>
        <v>199</v>
      </c>
      <c r="BP17" s="734">
        <f>SUM('EGRESO plan'!BQ51:BQ61)</f>
        <v>208</v>
      </c>
      <c r="BQ17" s="734">
        <f>SUM('EGRESO plan'!BR51:BR61)</f>
        <v>167</v>
      </c>
      <c r="BR17" s="735">
        <f>SUM('EGRESO plan'!BS51:BS61)</f>
        <v>574</v>
      </c>
      <c r="BS17" s="733">
        <f>SUM('EGRESO plan'!BT51:BT61)</f>
        <v>149</v>
      </c>
      <c r="BT17" s="734">
        <f>SUM('EGRESO plan'!BU51:BU61)</f>
        <v>258</v>
      </c>
      <c r="BU17" s="734">
        <f>SUM('EGRESO plan'!BV51:BV61)</f>
        <v>124</v>
      </c>
      <c r="BV17" s="735">
        <f>SUM('EGRESO plan'!BW51:BW61)</f>
        <v>531</v>
      </c>
      <c r="BW17" s="733">
        <f>SUM('EGRESO plan'!BX51:BX61)</f>
        <v>174</v>
      </c>
      <c r="BX17" s="734">
        <f>SUM('EGRESO plan'!BY51:BY61)</f>
        <v>230</v>
      </c>
      <c r="BY17" s="734">
        <f>SUM('EGRESO plan'!BZ51:BZ61)</f>
        <v>155</v>
      </c>
      <c r="BZ17" s="735">
        <f>SUM('EGRESO plan'!CA51:CA61)</f>
        <v>559</v>
      </c>
    </row>
    <row r="18" spans="1:78" s="6" customFormat="1" ht="15" customHeight="1" x14ac:dyDescent="0.2">
      <c r="A18" s="5892"/>
      <c r="B18" s="246" t="s">
        <v>11</v>
      </c>
      <c r="C18" s="733">
        <f>SUM('EGRESO plan'!D63:D68)</f>
        <v>99</v>
      </c>
      <c r="D18" s="734">
        <f>SUM('EGRESO plan'!E63:E68)</f>
        <v>55</v>
      </c>
      <c r="E18" s="734">
        <f>SUM('EGRESO plan'!F63:F68)</f>
        <v>44</v>
      </c>
      <c r="F18" s="735">
        <f>SUM('EGRESO plan'!G63:G68)</f>
        <v>198</v>
      </c>
      <c r="G18" s="733">
        <f>SUM('EGRESO plan'!H63:H68)</f>
        <v>64</v>
      </c>
      <c r="H18" s="734">
        <f>SUM('EGRESO plan'!I63:I68)</f>
        <v>44</v>
      </c>
      <c r="I18" s="734">
        <f>SUM('EGRESO plan'!J63:J68)</f>
        <v>51</v>
      </c>
      <c r="J18" s="735">
        <f>SUM('EGRESO plan'!K63:K68)</f>
        <v>159</v>
      </c>
      <c r="K18" s="733">
        <f>SUM('EGRESO plan'!L63:L68)</f>
        <v>95</v>
      </c>
      <c r="L18" s="734">
        <f>SUM('EGRESO plan'!M63:M68)</f>
        <v>87</v>
      </c>
      <c r="M18" s="734">
        <f>SUM('EGRESO plan'!N63:N68)</f>
        <v>35</v>
      </c>
      <c r="N18" s="735">
        <f>SUM('EGRESO plan'!O63:O68)</f>
        <v>217</v>
      </c>
      <c r="O18" s="733">
        <f>SUM('EGRESO plan'!P63:P68)</f>
        <v>90</v>
      </c>
      <c r="P18" s="734">
        <f>SUM('EGRESO plan'!Q63:Q68)</f>
        <v>75</v>
      </c>
      <c r="Q18" s="734">
        <f>SUM('EGRESO plan'!R63:R68)</f>
        <v>63</v>
      </c>
      <c r="R18" s="735">
        <f>SUM('EGRESO plan'!S63:S68)</f>
        <v>228</v>
      </c>
      <c r="S18" s="733">
        <f>SUM('EGRESO plan'!T63:T68)</f>
        <v>89</v>
      </c>
      <c r="T18" s="734">
        <f>SUM('EGRESO plan'!U63:U68)</f>
        <v>125</v>
      </c>
      <c r="U18" s="734">
        <f>SUM('EGRESO plan'!V63:V68)</f>
        <v>86</v>
      </c>
      <c r="V18" s="735">
        <f>SUM('EGRESO plan'!W63:W68)</f>
        <v>300</v>
      </c>
      <c r="W18" s="733">
        <f>SUM('EGRESO plan'!X63:X68)</f>
        <v>118</v>
      </c>
      <c r="X18" s="734">
        <f>SUM('EGRESO plan'!Y63:Y68)</f>
        <v>143</v>
      </c>
      <c r="Y18" s="734">
        <f>SUM('EGRESO plan'!Z63:Z68)</f>
        <v>120</v>
      </c>
      <c r="Z18" s="735">
        <f>SUM('EGRESO plan'!AA63:AA68)</f>
        <v>381</v>
      </c>
      <c r="AA18" s="733">
        <f>SUM('EGRESO plan'!AB63:AB68)</f>
        <v>124</v>
      </c>
      <c r="AB18" s="734">
        <f>SUM('EGRESO plan'!AC63:AC68)</f>
        <v>113</v>
      </c>
      <c r="AC18" s="734">
        <f>SUM('EGRESO plan'!AD63:AD68)</f>
        <v>106</v>
      </c>
      <c r="AD18" s="735">
        <f>SUM('EGRESO plan'!AE63:AE68)</f>
        <v>343</v>
      </c>
      <c r="AE18" s="733">
        <f>SUM('EGRESO plan'!AF63:AF68)</f>
        <v>150</v>
      </c>
      <c r="AF18" s="734">
        <f>SUM('EGRESO plan'!AG63:AG68)</f>
        <v>123</v>
      </c>
      <c r="AG18" s="734">
        <f>SUM('EGRESO plan'!AH63:AH68)</f>
        <v>100</v>
      </c>
      <c r="AH18" s="735">
        <f>SUM('EGRESO plan'!AI63:AI68)</f>
        <v>373</v>
      </c>
      <c r="AI18" s="733">
        <f>SUM('EGRESO plan'!AJ63:AJ68)</f>
        <v>119</v>
      </c>
      <c r="AJ18" s="734">
        <f>SUM('EGRESO plan'!AK63:AK68)</f>
        <v>114</v>
      </c>
      <c r="AK18" s="734">
        <f>SUM('EGRESO plan'!AL63:AL68)</f>
        <v>78</v>
      </c>
      <c r="AL18" s="735">
        <f>SUM('EGRESO plan'!AM63:AM68)</f>
        <v>311</v>
      </c>
      <c r="AM18" s="733">
        <f>SUM('EGRESO plan'!AN63:AN68)</f>
        <v>112</v>
      </c>
      <c r="AN18" s="734">
        <f>SUM('EGRESO plan'!AO63:AO68)</f>
        <v>124</v>
      </c>
      <c r="AO18" s="734">
        <f>SUM('EGRESO plan'!AP63:AP68)</f>
        <v>111</v>
      </c>
      <c r="AP18" s="735">
        <f>SUM('EGRESO plan'!AQ63:AQ68)</f>
        <v>347</v>
      </c>
      <c r="AQ18" s="733">
        <f>SUM('EGRESO plan'!AR63:AR68)</f>
        <v>92</v>
      </c>
      <c r="AR18" s="734">
        <f>SUM('EGRESO plan'!AS63:AS68)</f>
        <v>88</v>
      </c>
      <c r="AS18" s="734">
        <f>SUM('EGRESO plan'!AT63:AT68)</f>
        <v>67</v>
      </c>
      <c r="AT18" s="735">
        <f>SUM('EGRESO plan'!AU63:AU68)</f>
        <v>247</v>
      </c>
      <c r="AU18" s="733">
        <f>SUM('EGRESO plan'!AV63:AV68)</f>
        <v>111</v>
      </c>
      <c r="AV18" s="734">
        <f>SUM('EGRESO plan'!AW63:AW68)</f>
        <v>101</v>
      </c>
      <c r="AW18" s="734">
        <f>SUM('EGRESO plan'!AX63:AX68)</f>
        <v>91</v>
      </c>
      <c r="AX18" s="735">
        <f>SUM('EGRESO plan'!AY63:AY68)</f>
        <v>303</v>
      </c>
      <c r="AY18" s="733">
        <f>SUM('EGRESO plan'!AZ63:AZ68)</f>
        <v>101</v>
      </c>
      <c r="AZ18" s="734">
        <f>SUM('EGRESO plan'!BA63:BA68)</f>
        <v>93</v>
      </c>
      <c r="BA18" s="734">
        <f>SUM('EGRESO plan'!BB63:BB68)</f>
        <v>61</v>
      </c>
      <c r="BB18" s="735">
        <f>SUM('EGRESO plan'!BC63:BC68)</f>
        <v>255</v>
      </c>
      <c r="BC18" s="733">
        <f>SUM('EGRESO plan'!BD63:BD68)</f>
        <v>103</v>
      </c>
      <c r="BD18" s="734">
        <f>SUM('EGRESO plan'!BE63:BE68)</f>
        <v>117</v>
      </c>
      <c r="BE18" s="734">
        <f>SUM('EGRESO plan'!BF63:BF68)</f>
        <v>77</v>
      </c>
      <c r="BF18" s="735">
        <f>SUM('EGRESO plan'!BG63:BG68)</f>
        <v>297</v>
      </c>
      <c r="BG18" s="733">
        <f>SUM('EGRESO plan'!BH63:BH68)</f>
        <v>86</v>
      </c>
      <c r="BH18" s="734">
        <f>SUM('EGRESO plan'!BI63:BI68)</f>
        <v>125</v>
      </c>
      <c r="BI18" s="734">
        <f>SUM('EGRESO plan'!BJ63:BJ68)</f>
        <v>143</v>
      </c>
      <c r="BJ18" s="735">
        <f>SUM('EGRESO plan'!BK63:BK68)</f>
        <v>354</v>
      </c>
      <c r="BK18" s="733">
        <f>SUM('EGRESO plan'!BL63:BL68)</f>
        <v>109</v>
      </c>
      <c r="BL18" s="734">
        <f>SUM('EGRESO plan'!BM63:BM68)</f>
        <v>142</v>
      </c>
      <c r="BM18" s="734">
        <f>SUM('EGRESO plan'!BN63:BN68)</f>
        <v>94</v>
      </c>
      <c r="BN18" s="735">
        <f>SUM('EGRESO plan'!BO63:BO68)</f>
        <v>345</v>
      </c>
      <c r="BO18" s="733">
        <f>SUM('EGRESO plan'!BP63:BP68)</f>
        <v>107</v>
      </c>
      <c r="BP18" s="734">
        <f>SUM('EGRESO plan'!BQ63:BQ68)</f>
        <v>127</v>
      </c>
      <c r="BQ18" s="734">
        <f>SUM('EGRESO plan'!BR63:BR68)</f>
        <v>151</v>
      </c>
      <c r="BR18" s="735">
        <f>SUM('EGRESO plan'!BS63:BS68)</f>
        <v>385</v>
      </c>
      <c r="BS18" s="733">
        <f>SUM('EGRESO plan'!BT63:BT68)</f>
        <v>154</v>
      </c>
      <c r="BT18" s="734">
        <f>SUM('EGRESO plan'!BU63:BU68)</f>
        <v>153</v>
      </c>
      <c r="BU18" s="734">
        <f>SUM('EGRESO plan'!BV63:BV68)</f>
        <v>126</v>
      </c>
      <c r="BV18" s="735">
        <f>SUM('EGRESO plan'!BW63:BW68)</f>
        <v>433</v>
      </c>
      <c r="BW18" s="733">
        <f>SUM('EGRESO plan'!BX63:BX68)</f>
        <v>151</v>
      </c>
      <c r="BX18" s="734">
        <f>SUM('EGRESO plan'!BY63:BY68)</f>
        <v>158</v>
      </c>
      <c r="BY18" s="734">
        <f>SUM('EGRESO plan'!BZ63:BZ68)</f>
        <v>146</v>
      </c>
      <c r="BZ18" s="735">
        <f>SUM('EGRESO plan'!CA63:CA68)</f>
        <v>455</v>
      </c>
    </row>
    <row r="19" spans="1:78" s="37" customFormat="1" ht="15" x14ac:dyDescent="0.2">
      <c r="A19" s="5893"/>
      <c r="B19" s="2184" t="s">
        <v>12</v>
      </c>
      <c r="C19" s="2185">
        <f t="shared" ref="C19:R19" si="7">SUM(C16:C18)</f>
        <v>369</v>
      </c>
      <c r="D19" s="2186">
        <f t="shared" si="7"/>
        <v>378</v>
      </c>
      <c r="E19" s="2186">
        <f t="shared" si="7"/>
        <v>243</v>
      </c>
      <c r="F19" s="2187">
        <f t="shared" si="7"/>
        <v>990</v>
      </c>
      <c r="G19" s="2185">
        <f t="shared" si="7"/>
        <v>288</v>
      </c>
      <c r="H19" s="2186">
        <f t="shared" si="7"/>
        <v>315</v>
      </c>
      <c r="I19" s="2186">
        <f t="shared" si="7"/>
        <v>249</v>
      </c>
      <c r="J19" s="2187">
        <f t="shared" si="7"/>
        <v>852</v>
      </c>
      <c r="K19" s="2185">
        <f t="shared" si="7"/>
        <v>359</v>
      </c>
      <c r="L19" s="2186">
        <f t="shared" si="7"/>
        <v>364</v>
      </c>
      <c r="M19" s="2186">
        <f t="shared" si="7"/>
        <v>220</v>
      </c>
      <c r="N19" s="2187">
        <f t="shared" si="7"/>
        <v>943</v>
      </c>
      <c r="O19" s="2185">
        <f t="shared" si="7"/>
        <v>340</v>
      </c>
      <c r="P19" s="2186">
        <f t="shared" si="7"/>
        <v>338</v>
      </c>
      <c r="Q19" s="2186">
        <f t="shared" si="7"/>
        <v>274</v>
      </c>
      <c r="R19" s="2187">
        <f t="shared" si="7"/>
        <v>952</v>
      </c>
      <c r="S19" s="2185">
        <f t="shared" ref="S19:BJ19" si="8">SUM(S16:S18)</f>
        <v>360</v>
      </c>
      <c r="T19" s="2186">
        <f t="shared" si="8"/>
        <v>405</v>
      </c>
      <c r="U19" s="2186">
        <f t="shared" si="8"/>
        <v>275</v>
      </c>
      <c r="V19" s="2187">
        <f t="shared" si="8"/>
        <v>1040</v>
      </c>
      <c r="W19" s="2185">
        <f t="shared" si="8"/>
        <v>403</v>
      </c>
      <c r="X19" s="2186">
        <f t="shared" si="8"/>
        <v>444</v>
      </c>
      <c r="Y19" s="2186">
        <f t="shared" si="8"/>
        <v>341</v>
      </c>
      <c r="Z19" s="2187">
        <f t="shared" si="8"/>
        <v>1188</v>
      </c>
      <c r="AA19" s="2185">
        <f t="shared" si="8"/>
        <v>435</v>
      </c>
      <c r="AB19" s="2186">
        <f t="shared" si="8"/>
        <v>382</v>
      </c>
      <c r="AC19" s="2186">
        <f t="shared" si="8"/>
        <v>280</v>
      </c>
      <c r="AD19" s="2187">
        <f t="shared" si="8"/>
        <v>1097</v>
      </c>
      <c r="AE19" s="2185">
        <f t="shared" si="8"/>
        <v>396</v>
      </c>
      <c r="AF19" s="2186">
        <f t="shared" si="8"/>
        <v>444</v>
      </c>
      <c r="AG19" s="2186">
        <f t="shared" si="8"/>
        <v>310</v>
      </c>
      <c r="AH19" s="2187">
        <f t="shared" si="8"/>
        <v>1150</v>
      </c>
      <c r="AI19" s="2185">
        <f t="shared" si="8"/>
        <v>350</v>
      </c>
      <c r="AJ19" s="2186">
        <f t="shared" si="8"/>
        <v>366</v>
      </c>
      <c r="AK19" s="2186">
        <f t="shared" si="8"/>
        <v>237</v>
      </c>
      <c r="AL19" s="2187">
        <f t="shared" si="8"/>
        <v>953</v>
      </c>
      <c r="AM19" s="2185">
        <f t="shared" si="8"/>
        <v>337</v>
      </c>
      <c r="AN19" s="2186">
        <f t="shared" si="8"/>
        <v>367</v>
      </c>
      <c r="AO19" s="2186">
        <f t="shared" si="8"/>
        <v>242</v>
      </c>
      <c r="AP19" s="2187">
        <f t="shared" si="8"/>
        <v>946</v>
      </c>
      <c r="AQ19" s="2185">
        <f t="shared" si="8"/>
        <v>322</v>
      </c>
      <c r="AR19" s="2186">
        <f t="shared" si="8"/>
        <v>374</v>
      </c>
      <c r="AS19" s="2186">
        <f t="shared" si="8"/>
        <v>200</v>
      </c>
      <c r="AT19" s="2187">
        <f t="shared" si="8"/>
        <v>896</v>
      </c>
      <c r="AU19" s="2185">
        <f t="shared" si="8"/>
        <v>366</v>
      </c>
      <c r="AV19" s="2186">
        <f t="shared" si="8"/>
        <v>449</v>
      </c>
      <c r="AW19" s="2186">
        <f t="shared" si="8"/>
        <v>274</v>
      </c>
      <c r="AX19" s="2187">
        <f t="shared" si="8"/>
        <v>1089</v>
      </c>
      <c r="AY19" s="2185">
        <f t="shared" si="8"/>
        <v>330</v>
      </c>
      <c r="AZ19" s="2186">
        <f t="shared" si="8"/>
        <v>328</v>
      </c>
      <c r="BA19" s="2186">
        <f t="shared" si="8"/>
        <v>258</v>
      </c>
      <c r="BB19" s="2187">
        <f t="shared" si="8"/>
        <v>916</v>
      </c>
      <c r="BC19" s="2185">
        <f t="shared" si="8"/>
        <v>365</v>
      </c>
      <c r="BD19" s="2186">
        <f t="shared" si="8"/>
        <v>423</v>
      </c>
      <c r="BE19" s="2186">
        <f t="shared" si="8"/>
        <v>276</v>
      </c>
      <c r="BF19" s="2187">
        <f t="shared" si="8"/>
        <v>1064</v>
      </c>
      <c r="BG19" s="2185">
        <f t="shared" si="8"/>
        <v>339</v>
      </c>
      <c r="BH19" s="2186">
        <f t="shared" si="8"/>
        <v>456</v>
      </c>
      <c r="BI19" s="2186">
        <f t="shared" si="8"/>
        <v>390</v>
      </c>
      <c r="BJ19" s="2187">
        <f t="shared" si="8"/>
        <v>1185</v>
      </c>
      <c r="BK19" s="2185">
        <f t="shared" ref="BK19:BV19" si="9">SUM(BK16:BK18)</f>
        <v>378</v>
      </c>
      <c r="BL19" s="2186">
        <f t="shared" si="9"/>
        <v>429</v>
      </c>
      <c r="BM19" s="2186">
        <f t="shared" si="9"/>
        <v>302</v>
      </c>
      <c r="BN19" s="2187">
        <f t="shared" si="9"/>
        <v>1109</v>
      </c>
      <c r="BO19" s="2185">
        <f t="shared" si="9"/>
        <v>352</v>
      </c>
      <c r="BP19" s="2186">
        <f t="shared" si="9"/>
        <v>398</v>
      </c>
      <c r="BQ19" s="2186">
        <f t="shared" si="9"/>
        <v>382</v>
      </c>
      <c r="BR19" s="2187">
        <f t="shared" si="9"/>
        <v>1132</v>
      </c>
      <c r="BS19" s="2185">
        <f t="shared" si="9"/>
        <v>364</v>
      </c>
      <c r="BT19" s="2186">
        <f t="shared" si="9"/>
        <v>490</v>
      </c>
      <c r="BU19" s="2186">
        <f t="shared" si="9"/>
        <v>338</v>
      </c>
      <c r="BV19" s="2187">
        <f t="shared" si="9"/>
        <v>1192</v>
      </c>
      <c r="BW19" s="2185">
        <f t="shared" ref="BW19:BZ19" si="10">SUM(BW16:BW18)</f>
        <v>400</v>
      </c>
      <c r="BX19" s="2186">
        <f t="shared" si="10"/>
        <v>469</v>
      </c>
      <c r="BY19" s="2186">
        <f t="shared" si="10"/>
        <v>387</v>
      </c>
      <c r="BZ19" s="2187">
        <f t="shared" si="10"/>
        <v>1256</v>
      </c>
    </row>
    <row r="20" spans="1:78" s="37" customFormat="1" ht="15" x14ac:dyDescent="0.2"/>
    <row r="21" spans="1:78" s="37" customFormat="1" ht="15" x14ac:dyDescent="0.2">
      <c r="A21" s="5900" t="s">
        <v>408</v>
      </c>
      <c r="B21" s="245" t="s">
        <v>5</v>
      </c>
      <c r="C21" s="730"/>
      <c r="D21" s="731"/>
      <c r="E21" s="731"/>
      <c r="F21" s="732"/>
      <c r="G21" s="730"/>
      <c r="H21" s="731"/>
      <c r="I21" s="731"/>
      <c r="J21" s="732"/>
      <c r="K21" s="730"/>
      <c r="L21" s="731"/>
      <c r="M21" s="731"/>
      <c r="N21" s="732"/>
      <c r="O21" s="730"/>
      <c r="P21" s="731"/>
      <c r="Q21" s="731"/>
      <c r="R21" s="732"/>
      <c r="S21" s="730"/>
      <c r="T21" s="731"/>
      <c r="U21" s="731"/>
      <c r="V21" s="732"/>
      <c r="W21" s="730"/>
      <c r="X21" s="731"/>
      <c r="Y21" s="731"/>
      <c r="Z21" s="732"/>
      <c r="AA21" s="730"/>
      <c r="AB21" s="731"/>
      <c r="AC21" s="731"/>
      <c r="AD21" s="732"/>
      <c r="AE21" s="730"/>
      <c r="AF21" s="731"/>
      <c r="AG21" s="731"/>
      <c r="AH21" s="732"/>
      <c r="AI21" s="730"/>
      <c r="AJ21" s="731"/>
      <c r="AK21" s="731"/>
      <c r="AL21" s="732"/>
      <c r="AM21" s="730"/>
      <c r="AN21" s="731"/>
      <c r="AO21" s="731"/>
      <c r="AP21" s="732"/>
      <c r="AQ21" s="730"/>
      <c r="AR21" s="731"/>
      <c r="AS21" s="731"/>
      <c r="AT21" s="732"/>
      <c r="AU21" s="730"/>
      <c r="AV21" s="731"/>
      <c r="AW21" s="731"/>
      <c r="AX21" s="732"/>
      <c r="AY21" s="730"/>
      <c r="AZ21" s="731"/>
      <c r="BA21" s="731"/>
      <c r="BB21" s="732"/>
      <c r="BC21" s="730"/>
      <c r="BD21" s="731"/>
      <c r="BE21" s="731"/>
      <c r="BF21" s="732"/>
      <c r="BG21" s="730"/>
      <c r="BH21" s="731"/>
      <c r="BI21" s="731"/>
      <c r="BJ21" s="732"/>
      <c r="BK21" s="730"/>
      <c r="BL21" s="731"/>
      <c r="BM21" s="731"/>
      <c r="BN21" s="732"/>
      <c r="BO21" s="730">
        <f>+'EGRESO plan'!BP72</f>
        <v>8</v>
      </c>
      <c r="BP21" s="731">
        <f>+'EGRESO plan'!BQ72</f>
        <v>9</v>
      </c>
      <c r="BQ21" s="731">
        <f>+'EGRESO plan'!BR72</f>
        <v>3</v>
      </c>
      <c r="BR21" s="732">
        <f>+'EGRESO plan'!BS72</f>
        <v>20</v>
      </c>
      <c r="BS21" s="730">
        <f>+'EGRESO plan'!BT72</f>
        <v>1</v>
      </c>
      <c r="BT21" s="731">
        <f>+'EGRESO plan'!BU72</f>
        <v>4</v>
      </c>
      <c r="BU21" s="731">
        <f>+'EGRESO plan'!BV72</f>
        <v>0</v>
      </c>
      <c r="BV21" s="732">
        <f>+'EGRESO plan'!BW72</f>
        <v>5</v>
      </c>
      <c r="BW21" s="730">
        <f>+'EGRESO plan'!BX72</f>
        <v>4</v>
      </c>
      <c r="BX21" s="731">
        <f>+'EGRESO plan'!BY72</f>
        <v>6</v>
      </c>
      <c r="BY21" s="731">
        <f>+'EGRESO plan'!BZ72</f>
        <v>3</v>
      </c>
      <c r="BZ21" s="732">
        <f>+'EGRESO plan'!CA72</f>
        <v>13</v>
      </c>
    </row>
    <row r="22" spans="1:78" s="37" customFormat="1" ht="15" x14ac:dyDescent="0.2">
      <c r="A22" s="5901"/>
      <c r="B22" s="246" t="s">
        <v>6</v>
      </c>
      <c r="C22" s="733"/>
      <c r="D22" s="734"/>
      <c r="E22" s="734"/>
      <c r="F22" s="735"/>
      <c r="G22" s="733"/>
      <c r="H22" s="734"/>
      <c r="I22" s="734"/>
      <c r="J22" s="735"/>
      <c r="K22" s="733"/>
      <c r="L22" s="734"/>
      <c r="M22" s="734"/>
      <c r="N22" s="735"/>
      <c r="O22" s="733"/>
      <c r="P22" s="734"/>
      <c r="Q22" s="734"/>
      <c r="R22" s="735"/>
      <c r="S22" s="733"/>
      <c r="T22" s="734"/>
      <c r="U22" s="734"/>
      <c r="V22" s="735"/>
      <c r="W22" s="733"/>
      <c r="X22" s="734"/>
      <c r="Y22" s="734"/>
      <c r="Z22" s="735"/>
      <c r="AA22" s="733"/>
      <c r="AB22" s="734"/>
      <c r="AC22" s="734"/>
      <c r="AD22" s="735"/>
      <c r="AE22" s="733"/>
      <c r="AF22" s="734"/>
      <c r="AG22" s="734"/>
      <c r="AH22" s="735"/>
      <c r="AI22" s="733"/>
      <c r="AJ22" s="734"/>
      <c r="AK22" s="734"/>
      <c r="AL22" s="735"/>
      <c r="AM22" s="733"/>
      <c r="AN22" s="734"/>
      <c r="AO22" s="734"/>
      <c r="AP22" s="735"/>
      <c r="AQ22" s="733"/>
      <c r="AR22" s="734"/>
      <c r="AS22" s="734"/>
      <c r="AT22" s="735"/>
      <c r="AU22" s="733"/>
      <c r="AV22" s="734"/>
      <c r="AW22" s="734"/>
      <c r="AX22" s="735"/>
      <c r="AY22" s="733"/>
      <c r="AZ22" s="734"/>
      <c r="BA22" s="734"/>
      <c r="BB22" s="735"/>
      <c r="BC22" s="733"/>
      <c r="BD22" s="734"/>
      <c r="BE22" s="734"/>
      <c r="BF22" s="735"/>
      <c r="BG22" s="733"/>
      <c r="BH22" s="734"/>
      <c r="BI22" s="734"/>
      <c r="BJ22" s="735"/>
      <c r="BK22" s="733"/>
      <c r="BL22" s="734"/>
      <c r="BM22" s="734"/>
      <c r="BN22" s="735"/>
      <c r="BO22" s="733">
        <f>+'EGRESO plan'!BP75</f>
        <v>10</v>
      </c>
      <c r="BP22" s="734">
        <f>+'EGRESO plan'!BQ75</f>
        <v>21</v>
      </c>
      <c r="BQ22" s="734">
        <f>+'EGRESO plan'!BR75</f>
        <v>1</v>
      </c>
      <c r="BR22" s="735">
        <f>+'EGRESO plan'!BS75</f>
        <v>32</v>
      </c>
      <c r="BS22" s="733">
        <f>+'EGRESO plan'!BT75</f>
        <v>0</v>
      </c>
      <c r="BT22" s="734">
        <f>+'EGRESO plan'!BU75</f>
        <v>10</v>
      </c>
      <c r="BU22" s="734">
        <f>+'EGRESO plan'!BV75</f>
        <v>0</v>
      </c>
      <c r="BV22" s="735">
        <f>+'EGRESO plan'!BW75</f>
        <v>10</v>
      </c>
      <c r="BW22" s="733">
        <f>+'EGRESO plan'!BX75</f>
        <v>8</v>
      </c>
      <c r="BX22" s="734">
        <f>+'EGRESO plan'!BY75</f>
        <v>23</v>
      </c>
      <c r="BY22" s="734">
        <f>+'EGRESO plan'!BZ75</f>
        <v>7</v>
      </c>
      <c r="BZ22" s="735">
        <f>+'EGRESO plan'!CA75</f>
        <v>38</v>
      </c>
    </row>
    <row r="23" spans="1:78" s="37" customFormat="1" ht="15" x14ac:dyDescent="0.2">
      <c r="A23" s="5901"/>
      <c r="B23" s="246" t="s">
        <v>11</v>
      </c>
      <c r="C23" s="733"/>
      <c r="D23" s="734"/>
      <c r="E23" s="734"/>
      <c r="F23" s="735"/>
      <c r="G23" s="733"/>
      <c r="H23" s="734"/>
      <c r="I23" s="734"/>
      <c r="J23" s="735"/>
      <c r="K23" s="733"/>
      <c r="L23" s="734"/>
      <c r="M23" s="734"/>
      <c r="N23" s="735"/>
      <c r="O23" s="733"/>
      <c r="P23" s="734"/>
      <c r="Q23" s="734"/>
      <c r="R23" s="735"/>
      <c r="S23" s="733"/>
      <c r="T23" s="734"/>
      <c r="U23" s="734"/>
      <c r="V23" s="735"/>
      <c r="W23" s="733"/>
      <c r="X23" s="734"/>
      <c r="Y23" s="734"/>
      <c r="Z23" s="735"/>
      <c r="AA23" s="733"/>
      <c r="AB23" s="734"/>
      <c r="AC23" s="734"/>
      <c r="AD23" s="735"/>
      <c r="AE23" s="733"/>
      <c r="AF23" s="734"/>
      <c r="AG23" s="734"/>
      <c r="AH23" s="735"/>
      <c r="AI23" s="733"/>
      <c r="AJ23" s="734"/>
      <c r="AK23" s="734"/>
      <c r="AL23" s="735"/>
      <c r="AM23" s="733"/>
      <c r="AN23" s="734"/>
      <c r="AO23" s="734"/>
      <c r="AP23" s="735"/>
      <c r="AQ23" s="733"/>
      <c r="AR23" s="734"/>
      <c r="AS23" s="734"/>
      <c r="AT23" s="735"/>
      <c r="AU23" s="733"/>
      <c r="AV23" s="734"/>
      <c r="AW23" s="734"/>
      <c r="AX23" s="735"/>
      <c r="AY23" s="733"/>
      <c r="AZ23" s="734"/>
      <c r="BA23" s="734"/>
      <c r="BB23" s="735"/>
      <c r="BC23" s="733"/>
      <c r="BD23" s="734"/>
      <c r="BE23" s="734"/>
      <c r="BF23" s="735"/>
      <c r="BG23" s="733"/>
      <c r="BH23" s="734"/>
      <c r="BI23" s="734"/>
      <c r="BJ23" s="735"/>
      <c r="BK23" s="733"/>
      <c r="BL23" s="734"/>
      <c r="BM23" s="734"/>
      <c r="BN23" s="735"/>
      <c r="BO23" s="733">
        <f>+'EGRESO plan'!BP77</f>
        <v>9</v>
      </c>
      <c r="BP23" s="734">
        <f>+'EGRESO plan'!BQ77</f>
        <v>14</v>
      </c>
      <c r="BQ23" s="734">
        <f>+'EGRESO plan'!BR77</f>
        <v>0</v>
      </c>
      <c r="BR23" s="735">
        <f>+'EGRESO plan'!BS77</f>
        <v>23</v>
      </c>
      <c r="BS23" s="733">
        <f>+'EGRESO plan'!BT77</f>
        <v>5</v>
      </c>
      <c r="BT23" s="734">
        <f>+'EGRESO plan'!BU77</f>
        <v>9</v>
      </c>
      <c r="BU23" s="734">
        <f>+'EGRESO plan'!BV77</f>
        <v>0</v>
      </c>
      <c r="BV23" s="735">
        <f>+'EGRESO plan'!BW77</f>
        <v>14</v>
      </c>
      <c r="BW23" s="733">
        <f>+'EGRESO plan'!BX77</f>
        <v>11</v>
      </c>
      <c r="BX23" s="734">
        <f>+'EGRESO plan'!BY77</f>
        <v>12</v>
      </c>
      <c r="BY23" s="734">
        <f>+'EGRESO plan'!BZ77</f>
        <v>7</v>
      </c>
      <c r="BZ23" s="735">
        <f>+'EGRESO plan'!CA77</f>
        <v>30</v>
      </c>
    </row>
    <row r="24" spans="1:78" s="37" customFormat="1" ht="15" x14ac:dyDescent="0.2">
      <c r="A24" s="5902"/>
      <c r="B24" s="2247" t="s">
        <v>12</v>
      </c>
      <c r="C24" s="4178"/>
      <c r="D24" s="4179"/>
      <c r="E24" s="4179"/>
      <c r="F24" s="4180"/>
      <c r="G24" s="4178"/>
      <c r="H24" s="4179"/>
      <c r="I24" s="4179"/>
      <c r="J24" s="4180"/>
      <c r="K24" s="4178"/>
      <c r="L24" s="4179"/>
      <c r="M24" s="4179"/>
      <c r="N24" s="4180"/>
      <c r="O24" s="4178"/>
      <c r="P24" s="4179"/>
      <c r="Q24" s="4179"/>
      <c r="R24" s="4180"/>
      <c r="S24" s="4178"/>
      <c r="T24" s="4179"/>
      <c r="U24" s="4179"/>
      <c r="V24" s="4180"/>
      <c r="W24" s="4178"/>
      <c r="X24" s="4179"/>
      <c r="Y24" s="4179"/>
      <c r="Z24" s="4180"/>
      <c r="AA24" s="4178"/>
      <c r="AB24" s="4179"/>
      <c r="AC24" s="4179"/>
      <c r="AD24" s="4180"/>
      <c r="AE24" s="4178"/>
      <c r="AF24" s="4179"/>
      <c r="AG24" s="4179"/>
      <c r="AH24" s="4180"/>
      <c r="AI24" s="4178"/>
      <c r="AJ24" s="4179"/>
      <c r="AK24" s="4179"/>
      <c r="AL24" s="4180"/>
      <c r="AM24" s="4178"/>
      <c r="AN24" s="4179"/>
      <c r="AO24" s="4179"/>
      <c r="AP24" s="4180"/>
      <c r="AQ24" s="4178"/>
      <c r="AR24" s="4179"/>
      <c r="AS24" s="4179"/>
      <c r="AT24" s="4180"/>
      <c r="AU24" s="4178"/>
      <c r="AV24" s="4179"/>
      <c r="AW24" s="4179"/>
      <c r="AX24" s="4180"/>
      <c r="AY24" s="4178"/>
      <c r="AZ24" s="4179"/>
      <c r="BA24" s="4179"/>
      <c r="BB24" s="4180"/>
      <c r="BC24" s="4178"/>
      <c r="BD24" s="4179"/>
      <c r="BE24" s="4179"/>
      <c r="BF24" s="4180"/>
      <c r="BG24" s="4178"/>
      <c r="BH24" s="4179"/>
      <c r="BI24" s="4179"/>
      <c r="BJ24" s="4180"/>
      <c r="BK24" s="4178"/>
      <c r="BL24" s="4179"/>
      <c r="BM24" s="4179"/>
      <c r="BN24" s="4180"/>
      <c r="BO24" s="4178">
        <f t="shared" ref="BO24:BV24" si="11">SUM(BO21:BO23)</f>
        <v>27</v>
      </c>
      <c r="BP24" s="4179">
        <f t="shared" si="11"/>
        <v>44</v>
      </c>
      <c r="BQ24" s="4179">
        <f t="shared" si="11"/>
        <v>4</v>
      </c>
      <c r="BR24" s="4180">
        <f t="shared" si="11"/>
        <v>75</v>
      </c>
      <c r="BS24" s="4178">
        <f t="shared" si="11"/>
        <v>6</v>
      </c>
      <c r="BT24" s="4179">
        <f t="shared" si="11"/>
        <v>23</v>
      </c>
      <c r="BU24" s="4179">
        <f t="shared" si="11"/>
        <v>0</v>
      </c>
      <c r="BV24" s="4180">
        <f t="shared" si="11"/>
        <v>29</v>
      </c>
      <c r="BW24" s="4178">
        <f t="shared" ref="BW24:BZ24" si="12">SUM(BW21:BW23)</f>
        <v>23</v>
      </c>
      <c r="BX24" s="4179">
        <f t="shared" si="12"/>
        <v>41</v>
      </c>
      <c r="BY24" s="4179">
        <f t="shared" si="12"/>
        <v>17</v>
      </c>
      <c r="BZ24" s="4180">
        <f t="shared" si="12"/>
        <v>81</v>
      </c>
    </row>
    <row r="25" spans="1:78" s="37" customFormat="1" ht="15.75" x14ac:dyDescent="0.2">
      <c r="A25" s="1782"/>
      <c r="B25" s="736"/>
      <c r="C25" s="736"/>
      <c r="D25" s="736"/>
      <c r="E25" s="736"/>
      <c r="F25" s="736"/>
      <c r="G25" s="736"/>
      <c r="H25" s="736"/>
      <c r="I25" s="736"/>
      <c r="J25" s="736"/>
      <c r="K25" s="736"/>
      <c r="L25" s="736"/>
      <c r="M25" s="736"/>
      <c r="N25" s="736"/>
      <c r="O25" s="736"/>
      <c r="P25" s="736"/>
      <c r="Q25" s="736"/>
      <c r="R25" s="736"/>
      <c r="S25" s="736"/>
      <c r="T25" s="736"/>
      <c r="U25" s="736"/>
      <c r="V25" s="736"/>
      <c r="W25" s="736"/>
      <c r="X25" s="736"/>
      <c r="Y25" s="736"/>
      <c r="Z25" s="736"/>
      <c r="AA25" s="736"/>
      <c r="AB25" s="736"/>
      <c r="AC25" s="736"/>
      <c r="AD25" s="736"/>
      <c r="AE25" s="736"/>
      <c r="AF25" s="736"/>
      <c r="AG25" s="736"/>
      <c r="AH25" s="736"/>
      <c r="AI25" s="736"/>
      <c r="AJ25" s="736"/>
      <c r="AK25" s="736"/>
      <c r="AL25" s="736"/>
      <c r="AM25" s="736"/>
      <c r="AN25" s="736"/>
      <c r="AO25" s="736"/>
      <c r="AP25" s="736"/>
      <c r="AQ25" s="736"/>
      <c r="AR25" s="736"/>
      <c r="AS25" s="736"/>
      <c r="AT25" s="736"/>
      <c r="AU25" s="736"/>
      <c r="AV25" s="736"/>
      <c r="AW25" s="736"/>
      <c r="AX25" s="736"/>
      <c r="AY25" s="736"/>
      <c r="AZ25" s="736"/>
      <c r="BA25" s="736"/>
      <c r="BB25" s="736"/>
      <c r="BC25" s="736"/>
      <c r="BD25" s="736"/>
      <c r="BE25" s="736"/>
      <c r="BF25" s="736"/>
      <c r="BG25" s="736"/>
      <c r="BH25" s="736"/>
      <c r="BI25" s="736"/>
      <c r="BJ25" s="736"/>
      <c r="BK25" s="736"/>
      <c r="BL25" s="736"/>
      <c r="BM25" s="736"/>
      <c r="BN25" s="736"/>
      <c r="BO25" s="736"/>
      <c r="BP25" s="736"/>
      <c r="BQ25" s="736"/>
      <c r="BR25" s="736"/>
      <c r="BS25" s="736"/>
      <c r="BT25" s="736"/>
      <c r="BU25" s="736"/>
      <c r="BV25" s="736"/>
      <c r="BW25" s="736"/>
      <c r="BX25" s="736"/>
      <c r="BY25" s="736"/>
      <c r="BZ25" s="736"/>
    </row>
    <row r="26" spans="1:78" s="6" customFormat="1" ht="15" customHeight="1" x14ac:dyDescent="0.2">
      <c r="A26" s="5894" t="s">
        <v>163</v>
      </c>
      <c r="B26" s="245" t="s">
        <v>6</v>
      </c>
      <c r="C26" s="730">
        <f>SUM('EGRESO plan'!D79:D84)</f>
        <v>375</v>
      </c>
      <c r="D26" s="731">
        <f>SUM('EGRESO plan'!E79:E84)</f>
        <v>396</v>
      </c>
      <c r="E26" s="731">
        <f>SUM('EGRESO plan'!F79:F84)</f>
        <v>0</v>
      </c>
      <c r="F26" s="732">
        <f>SUM('EGRESO plan'!G79:G84)</f>
        <v>771</v>
      </c>
      <c r="G26" s="730">
        <f>SUM('EGRESO plan'!H79:H84)</f>
        <v>343</v>
      </c>
      <c r="H26" s="731">
        <f>SUM('EGRESO plan'!I79:I84)</f>
        <v>427</v>
      </c>
      <c r="I26" s="731">
        <f>SUM('EGRESO plan'!J79:J84)</f>
        <v>0</v>
      </c>
      <c r="J26" s="732">
        <f>SUM('EGRESO plan'!K79:K84)</f>
        <v>770</v>
      </c>
      <c r="K26" s="730">
        <f>SUM('EGRESO plan'!L79:L84)</f>
        <v>331</v>
      </c>
      <c r="L26" s="731">
        <f>SUM('EGRESO plan'!M79:M84)</f>
        <v>432</v>
      </c>
      <c r="M26" s="731">
        <f>SUM('EGRESO plan'!N79:N84)</f>
        <v>0</v>
      </c>
      <c r="N26" s="732">
        <f>SUM('EGRESO plan'!O79:O84)</f>
        <v>763</v>
      </c>
      <c r="O26" s="730">
        <f>SUM('EGRESO plan'!P79:P84)</f>
        <v>403</v>
      </c>
      <c r="P26" s="731">
        <f>SUM('EGRESO plan'!Q79:Q84)</f>
        <v>461</v>
      </c>
      <c r="Q26" s="731">
        <f>SUM('EGRESO plan'!R79:R84)</f>
        <v>0</v>
      </c>
      <c r="R26" s="732">
        <f>SUM('EGRESO plan'!S79:S84)</f>
        <v>864</v>
      </c>
      <c r="S26" s="730">
        <f>SUM('EGRESO plan'!T79:T84)</f>
        <v>390</v>
      </c>
      <c r="T26" s="731">
        <f>SUM('EGRESO plan'!U79:U84)</f>
        <v>428</v>
      </c>
      <c r="U26" s="731">
        <f>SUM('EGRESO plan'!V79:V84)</f>
        <v>0</v>
      </c>
      <c r="V26" s="732">
        <f>SUM('EGRESO plan'!W79:W84)</f>
        <v>818</v>
      </c>
      <c r="W26" s="730">
        <f>SUM('EGRESO plan'!X79:X84)</f>
        <v>337</v>
      </c>
      <c r="X26" s="731">
        <f>SUM('EGRESO plan'!Y79:Y84)</f>
        <v>380</v>
      </c>
      <c r="Y26" s="731">
        <f>SUM('EGRESO plan'!Z79:Z84)</f>
        <v>0</v>
      </c>
      <c r="Z26" s="732">
        <f>SUM('EGRESO plan'!AA79:AA84)</f>
        <v>717</v>
      </c>
      <c r="AA26" s="730">
        <f>SUM('EGRESO plan'!AB79:AB84)</f>
        <v>321</v>
      </c>
      <c r="AB26" s="731">
        <f>SUM('EGRESO plan'!AC79:AC84)</f>
        <v>411</v>
      </c>
      <c r="AC26" s="731">
        <f>SUM('EGRESO plan'!AD79:AD84)</f>
        <v>0</v>
      </c>
      <c r="AD26" s="732">
        <f>SUM('EGRESO plan'!AE79:AE84)</f>
        <v>732</v>
      </c>
      <c r="AE26" s="730">
        <f>SUM('EGRESO plan'!AF79:AF84)</f>
        <v>389</v>
      </c>
      <c r="AF26" s="731">
        <f>SUM('EGRESO plan'!AG79:AG84)</f>
        <v>372</v>
      </c>
      <c r="AG26" s="731">
        <f>SUM('EGRESO plan'!AH79:AH84)</f>
        <v>0</v>
      </c>
      <c r="AH26" s="732">
        <f>SUM('EGRESO plan'!AI79:AI84)</f>
        <v>761</v>
      </c>
      <c r="AI26" s="730">
        <f>SUM('EGRESO plan'!AJ79:AJ84)</f>
        <v>341</v>
      </c>
      <c r="AJ26" s="731">
        <f>SUM('EGRESO plan'!AK79:AK84)</f>
        <v>455</v>
      </c>
      <c r="AK26" s="731">
        <f>SUM('EGRESO plan'!AL79:AL84)</f>
        <v>0</v>
      </c>
      <c r="AL26" s="732">
        <f>SUM('EGRESO plan'!AM79:AM84)</f>
        <v>796</v>
      </c>
      <c r="AM26" s="730">
        <f>SUM('EGRESO plan'!AN79:AN84)</f>
        <v>485</v>
      </c>
      <c r="AN26" s="731">
        <f>SUM('EGRESO plan'!AO79:AO84)</f>
        <v>508</v>
      </c>
      <c r="AO26" s="731">
        <f>SUM('EGRESO plan'!AP79:AP84)</f>
        <v>0</v>
      </c>
      <c r="AP26" s="732">
        <f>SUM('EGRESO plan'!AQ79:AQ84)</f>
        <v>993</v>
      </c>
      <c r="AQ26" s="730">
        <f>SUM('EGRESO plan'!AR79:AR84)</f>
        <v>406</v>
      </c>
      <c r="AR26" s="731">
        <f>SUM('EGRESO plan'!AS79:AS84)</f>
        <v>520</v>
      </c>
      <c r="AS26" s="731">
        <f>SUM('EGRESO plan'!AT79:AT84)</f>
        <v>1</v>
      </c>
      <c r="AT26" s="732">
        <f>SUM('EGRESO plan'!AU79:AU84)</f>
        <v>927</v>
      </c>
      <c r="AU26" s="730">
        <f>SUM('EGRESO plan'!AV79:AV84)</f>
        <v>431</v>
      </c>
      <c r="AV26" s="731">
        <f>SUM('EGRESO plan'!AW79:AW84)</f>
        <v>454</v>
      </c>
      <c r="AW26" s="731">
        <f>SUM('EGRESO plan'!AX79:AX84)</f>
        <v>0</v>
      </c>
      <c r="AX26" s="732">
        <f>SUM('EGRESO plan'!AY79:AY84)</f>
        <v>885</v>
      </c>
      <c r="AY26" s="730">
        <f>SUM('EGRESO plan'!AZ79:AZ84)</f>
        <v>357</v>
      </c>
      <c r="AZ26" s="731">
        <f>SUM('EGRESO plan'!BA79:BA84)</f>
        <v>456</v>
      </c>
      <c r="BA26" s="731">
        <f>SUM('EGRESO plan'!BB79:BB84)</f>
        <v>3</v>
      </c>
      <c r="BB26" s="732">
        <f>SUM('EGRESO plan'!BC79:BC84)</f>
        <v>816</v>
      </c>
      <c r="BC26" s="730">
        <f>SUM('EGRESO plan'!BD79:BD84)</f>
        <v>351</v>
      </c>
      <c r="BD26" s="731">
        <f>SUM('EGRESO plan'!BE79:BE84)</f>
        <v>439</v>
      </c>
      <c r="BE26" s="731">
        <f>SUM('EGRESO plan'!BF79:BF84)</f>
        <v>4</v>
      </c>
      <c r="BF26" s="732">
        <f>SUM('EGRESO plan'!BG79:BG84)</f>
        <v>794</v>
      </c>
      <c r="BG26" s="730">
        <f>SUM('EGRESO plan'!BH79:BH84)</f>
        <v>395</v>
      </c>
      <c r="BH26" s="731">
        <f>SUM('EGRESO plan'!BI79:BI84)</f>
        <v>506</v>
      </c>
      <c r="BI26" s="731">
        <f>SUM('EGRESO plan'!BJ79:BJ84)</f>
        <v>9</v>
      </c>
      <c r="BJ26" s="732">
        <f>SUM('EGRESO plan'!BK79:BK84)</f>
        <v>910</v>
      </c>
      <c r="BK26" s="730">
        <f>SUM('EGRESO plan'!BL79:BL84)</f>
        <v>366</v>
      </c>
      <c r="BL26" s="731">
        <f>SUM('EGRESO plan'!BM79:BM84)</f>
        <v>438</v>
      </c>
      <c r="BM26" s="731">
        <f>SUM('EGRESO plan'!BN79:BN84)</f>
        <v>4</v>
      </c>
      <c r="BN26" s="732">
        <f>SUM('EGRESO plan'!BO79:BO84)</f>
        <v>808</v>
      </c>
      <c r="BO26" s="730">
        <f>SUM('EGRESO plan'!BP79:BP84)</f>
        <v>362</v>
      </c>
      <c r="BP26" s="731">
        <f>SUM('EGRESO plan'!BQ79:BQ84)</f>
        <v>440</v>
      </c>
      <c r="BQ26" s="731">
        <f>SUM('EGRESO plan'!BR79:BR84)</f>
        <v>7</v>
      </c>
      <c r="BR26" s="732">
        <f>SUM('EGRESO plan'!BS79:BS84)</f>
        <v>809</v>
      </c>
      <c r="BS26" s="730">
        <f>SUM('EGRESO plan'!BT79:BT84)</f>
        <v>390</v>
      </c>
      <c r="BT26" s="731">
        <f>SUM('EGRESO plan'!BU79:BU84)</f>
        <v>471</v>
      </c>
      <c r="BU26" s="731">
        <f>SUM('EGRESO plan'!BV79:BV84)</f>
        <v>4</v>
      </c>
      <c r="BV26" s="732">
        <f>SUM('EGRESO plan'!BW79:BW84)</f>
        <v>865</v>
      </c>
      <c r="BW26" s="730">
        <f>SUM('EGRESO plan'!BX79:BX84)</f>
        <v>337</v>
      </c>
      <c r="BX26" s="731">
        <f>SUM('EGRESO plan'!BY79:BY84)</f>
        <v>423</v>
      </c>
      <c r="BY26" s="731">
        <f>SUM('EGRESO plan'!BZ79:BZ84)</f>
        <v>0</v>
      </c>
      <c r="BZ26" s="732">
        <f>SUM('EGRESO plan'!CA79:CA84)</f>
        <v>760</v>
      </c>
    </row>
    <row r="27" spans="1:78" s="6" customFormat="1" ht="15" customHeight="1" x14ac:dyDescent="0.2">
      <c r="A27" s="5895"/>
      <c r="B27" s="246" t="s">
        <v>11</v>
      </c>
      <c r="C27" s="733">
        <f>SUM('EGRESO plan'!D86:D93)</f>
        <v>301</v>
      </c>
      <c r="D27" s="734">
        <f>SUM('EGRESO plan'!E86:E93)</f>
        <v>453</v>
      </c>
      <c r="E27" s="734">
        <f>SUM('EGRESO plan'!F86:F93)</f>
        <v>289</v>
      </c>
      <c r="F27" s="735">
        <f>SUM('EGRESO plan'!G86:G93)</f>
        <v>1043</v>
      </c>
      <c r="G27" s="733">
        <f>SUM('EGRESO plan'!H86:H93)</f>
        <v>346</v>
      </c>
      <c r="H27" s="734">
        <f>SUM('EGRESO plan'!I86:I93)</f>
        <v>501</v>
      </c>
      <c r="I27" s="734">
        <f>SUM('EGRESO plan'!J86:J93)</f>
        <v>330</v>
      </c>
      <c r="J27" s="735">
        <f>SUM('EGRESO plan'!K86:K93)</f>
        <v>1177</v>
      </c>
      <c r="K27" s="733">
        <f>SUM('EGRESO plan'!L86:L93)</f>
        <v>305</v>
      </c>
      <c r="L27" s="734">
        <f>SUM('EGRESO plan'!M86:M93)</f>
        <v>435</v>
      </c>
      <c r="M27" s="734">
        <f>SUM('EGRESO plan'!N86:N93)</f>
        <v>359</v>
      </c>
      <c r="N27" s="735">
        <f>SUM('EGRESO plan'!O86:O93)</f>
        <v>1099</v>
      </c>
      <c r="O27" s="733">
        <f>SUM('EGRESO plan'!P86:P93)</f>
        <v>341</v>
      </c>
      <c r="P27" s="734">
        <f>SUM('EGRESO plan'!Q86:Q93)</f>
        <v>555</v>
      </c>
      <c r="Q27" s="734">
        <f>SUM('EGRESO plan'!R86:R93)</f>
        <v>357</v>
      </c>
      <c r="R27" s="735">
        <f>SUM('EGRESO plan'!S86:S93)</f>
        <v>1253</v>
      </c>
      <c r="S27" s="733">
        <f>SUM('EGRESO plan'!T86:T93)</f>
        <v>343</v>
      </c>
      <c r="T27" s="734">
        <f>SUM('EGRESO plan'!U86:U93)</f>
        <v>351</v>
      </c>
      <c r="U27" s="734">
        <f>SUM('EGRESO plan'!V86:V93)</f>
        <v>319</v>
      </c>
      <c r="V27" s="735">
        <f>SUM('EGRESO plan'!W86:W93)</f>
        <v>1013</v>
      </c>
      <c r="W27" s="733">
        <f>SUM('EGRESO plan'!X86:X93)</f>
        <v>235</v>
      </c>
      <c r="X27" s="734">
        <f>SUM('EGRESO plan'!Y86:Y93)</f>
        <v>378</v>
      </c>
      <c r="Y27" s="734">
        <f>SUM('EGRESO plan'!Z86:Z93)</f>
        <v>291</v>
      </c>
      <c r="Z27" s="735">
        <f>SUM('EGRESO plan'!AA86:AA93)</f>
        <v>904</v>
      </c>
      <c r="AA27" s="733">
        <f>SUM('EGRESO plan'!AB86:AB93)</f>
        <v>223</v>
      </c>
      <c r="AB27" s="734">
        <f>SUM('EGRESO plan'!AC86:AC93)</f>
        <v>383</v>
      </c>
      <c r="AC27" s="734">
        <f>SUM('EGRESO plan'!AD86:AD93)</f>
        <v>288</v>
      </c>
      <c r="AD27" s="735">
        <f>SUM('EGRESO plan'!AE86:AE93)</f>
        <v>894</v>
      </c>
      <c r="AE27" s="733">
        <f>SUM('EGRESO plan'!AF86:AF93)</f>
        <v>244</v>
      </c>
      <c r="AF27" s="734">
        <f>SUM('EGRESO plan'!AG86:AG93)</f>
        <v>411</v>
      </c>
      <c r="AG27" s="734">
        <f>SUM('EGRESO plan'!AH86:AH93)</f>
        <v>303</v>
      </c>
      <c r="AH27" s="735">
        <f>SUM('EGRESO plan'!AI86:AI93)</f>
        <v>958</v>
      </c>
      <c r="AI27" s="733">
        <f>SUM('EGRESO plan'!AJ86:AJ93)</f>
        <v>328</v>
      </c>
      <c r="AJ27" s="734">
        <f>SUM('EGRESO plan'!AK86:AK93)</f>
        <v>418</v>
      </c>
      <c r="AK27" s="734">
        <f>SUM('EGRESO plan'!AL86:AL93)</f>
        <v>360</v>
      </c>
      <c r="AL27" s="735">
        <f>SUM('EGRESO plan'!AM86:AM93)</f>
        <v>1106</v>
      </c>
      <c r="AM27" s="733">
        <f>SUM('EGRESO plan'!AN86:AN93)</f>
        <v>428</v>
      </c>
      <c r="AN27" s="734">
        <f>SUM('EGRESO plan'!AO86:AO93)</f>
        <v>432</v>
      </c>
      <c r="AO27" s="734">
        <f>SUM('EGRESO plan'!AP86:AP93)</f>
        <v>366</v>
      </c>
      <c r="AP27" s="735">
        <f>SUM('EGRESO plan'!AQ86:AQ93)</f>
        <v>1226</v>
      </c>
      <c r="AQ27" s="733">
        <f>SUM('EGRESO plan'!AR86:AR93)</f>
        <v>323</v>
      </c>
      <c r="AR27" s="734">
        <f>SUM('EGRESO plan'!AS86:AS93)</f>
        <v>563</v>
      </c>
      <c r="AS27" s="734">
        <f>SUM('EGRESO plan'!AT86:AT93)</f>
        <v>398</v>
      </c>
      <c r="AT27" s="735">
        <f>SUM('EGRESO plan'!AU86:AU93)</f>
        <v>1284</v>
      </c>
      <c r="AU27" s="733">
        <f>SUM('EGRESO plan'!AV86:AV93)</f>
        <v>342</v>
      </c>
      <c r="AV27" s="734">
        <f>SUM('EGRESO plan'!AW86:AW93)</f>
        <v>475</v>
      </c>
      <c r="AW27" s="734">
        <f>SUM('EGRESO plan'!AX86:AX93)</f>
        <v>373</v>
      </c>
      <c r="AX27" s="735">
        <f>SUM('EGRESO plan'!AY86:AY93)</f>
        <v>1190</v>
      </c>
      <c r="AY27" s="733">
        <f>SUM('EGRESO plan'!AZ86:AZ93)</f>
        <v>348</v>
      </c>
      <c r="AZ27" s="734">
        <f>SUM('EGRESO plan'!BA86:BA93)</f>
        <v>477</v>
      </c>
      <c r="BA27" s="734">
        <f>SUM('EGRESO plan'!BB86:BB93)</f>
        <v>335</v>
      </c>
      <c r="BB27" s="735">
        <f>SUM('EGRESO plan'!BC86:BC93)</f>
        <v>1160</v>
      </c>
      <c r="BC27" s="733">
        <f>SUM('EGRESO plan'!BD86:BD93)</f>
        <v>352</v>
      </c>
      <c r="BD27" s="734">
        <f>SUM('EGRESO plan'!BE86:BE93)</f>
        <v>523</v>
      </c>
      <c r="BE27" s="734">
        <f>SUM('EGRESO plan'!BF86:BF93)</f>
        <v>310</v>
      </c>
      <c r="BF27" s="735">
        <f>SUM('EGRESO plan'!BG86:BG93)</f>
        <v>1185</v>
      </c>
      <c r="BG27" s="733">
        <f>SUM('EGRESO plan'!BH86:BH93)</f>
        <v>324</v>
      </c>
      <c r="BH27" s="734">
        <f>SUM('EGRESO plan'!BI86:BI93)</f>
        <v>450</v>
      </c>
      <c r="BI27" s="734">
        <f>SUM('EGRESO plan'!BJ86:BJ93)</f>
        <v>371</v>
      </c>
      <c r="BJ27" s="735">
        <f>SUM('EGRESO plan'!BK86:BK93)</f>
        <v>1145</v>
      </c>
      <c r="BK27" s="733">
        <f>SUM('EGRESO plan'!BL86:BL93)</f>
        <v>281</v>
      </c>
      <c r="BL27" s="734">
        <f>SUM('EGRESO plan'!BM86:BM93)</f>
        <v>489</v>
      </c>
      <c r="BM27" s="734">
        <f>SUM('EGRESO plan'!BN86:BN93)</f>
        <v>357</v>
      </c>
      <c r="BN27" s="735">
        <f>SUM('EGRESO plan'!BO86:BO93)</f>
        <v>1127</v>
      </c>
      <c r="BO27" s="733">
        <f>SUM('EGRESO plan'!BP86:BP93)</f>
        <v>341</v>
      </c>
      <c r="BP27" s="734">
        <f>SUM('EGRESO plan'!BQ86:BQ93)</f>
        <v>444</v>
      </c>
      <c r="BQ27" s="734">
        <f>SUM('EGRESO plan'!BR86:BR93)</f>
        <v>358</v>
      </c>
      <c r="BR27" s="735">
        <f>SUM('EGRESO plan'!BS86:BS93)</f>
        <v>1143</v>
      </c>
      <c r="BS27" s="733">
        <f>SUM('EGRESO plan'!BT86:BT93)</f>
        <v>302</v>
      </c>
      <c r="BT27" s="734">
        <f>SUM('EGRESO plan'!BU86:BU93)</f>
        <v>456</v>
      </c>
      <c r="BU27" s="734">
        <f>SUM('EGRESO plan'!BV86:BV93)</f>
        <v>312</v>
      </c>
      <c r="BV27" s="735">
        <f>SUM('EGRESO plan'!BW86:BW93)</f>
        <v>1070</v>
      </c>
      <c r="BW27" s="733">
        <f>SUM('EGRESO plan'!BX86:BX93)</f>
        <v>311</v>
      </c>
      <c r="BX27" s="734">
        <f>SUM('EGRESO plan'!BY86:BY93)</f>
        <v>465</v>
      </c>
      <c r="BY27" s="734">
        <f>SUM('EGRESO plan'!BZ86:BZ93)</f>
        <v>345</v>
      </c>
      <c r="BZ27" s="735">
        <f>SUM('EGRESO plan'!CA86:CA93)</f>
        <v>1121</v>
      </c>
    </row>
    <row r="28" spans="1:78" s="6" customFormat="1" ht="15" customHeight="1" x14ac:dyDescent="0.2">
      <c r="A28" s="5895"/>
      <c r="B28" s="246" t="s">
        <v>7</v>
      </c>
      <c r="C28" s="733">
        <f>SUM('EGRESO plan'!D95:D98)</f>
        <v>163</v>
      </c>
      <c r="D28" s="734">
        <f>SUM('EGRESO plan'!E95:E98)</f>
        <v>150</v>
      </c>
      <c r="E28" s="734">
        <f>SUM('EGRESO plan'!F95:F98)</f>
        <v>0</v>
      </c>
      <c r="F28" s="735">
        <f>SUM('EGRESO plan'!G95:G98)</f>
        <v>313</v>
      </c>
      <c r="G28" s="733">
        <f>SUM('EGRESO plan'!H95:H98)</f>
        <v>155</v>
      </c>
      <c r="H28" s="734">
        <f>SUM('EGRESO plan'!I95:I98)</f>
        <v>242</v>
      </c>
      <c r="I28" s="734">
        <f>SUM('EGRESO plan'!J95:J98)</f>
        <v>0</v>
      </c>
      <c r="J28" s="735">
        <f>SUM('EGRESO plan'!K95:K98)</f>
        <v>397</v>
      </c>
      <c r="K28" s="733">
        <f>SUM('EGRESO plan'!L95:L98)</f>
        <v>166</v>
      </c>
      <c r="L28" s="734">
        <f>SUM('EGRESO plan'!M95:M98)</f>
        <v>224</v>
      </c>
      <c r="M28" s="734">
        <f>SUM('EGRESO plan'!N95:N98)</f>
        <v>0</v>
      </c>
      <c r="N28" s="735">
        <f>SUM('EGRESO plan'!O95:O98)</f>
        <v>390</v>
      </c>
      <c r="O28" s="733">
        <f>SUM('EGRESO plan'!P95:P98)</f>
        <v>231</v>
      </c>
      <c r="P28" s="734">
        <f>SUM('EGRESO plan'!Q95:Q98)</f>
        <v>174</v>
      </c>
      <c r="Q28" s="734">
        <f>SUM('EGRESO plan'!R95:R98)</f>
        <v>0</v>
      </c>
      <c r="R28" s="735">
        <f>SUM('EGRESO plan'!S95:S98)</f>
        <v>405</v>
      </c>
      <c r="S28" s="733">
        <f>SUM('EGRESO plan'!T95:T98)</f>
        <v>187</v>
      </c>
      <c r="T28" s="734">
        <f>SUM('EGRESO plan'!U95:U98)</f>
        <v>168</v>
      </c>
      <c r="U28" s="734">
        <f>SUM('EGRESO plan'!V95:V98)</f>
        <v>0</v>
      </c>
      <c r="V28" s="735">
        <f>SUM('EGRESO plan'!W95:W98)</f>
        <v>355</v>
      </c>
      <c r="W28" s="733">
        <f>SUM('EGRESO plan'!X95:X98)</f>
        <v>132</v>
      </c>
      <c r="X28" s="734">
        <f>SUM('EGRESO plan'!Y95:Y98)</f>
        <v>226</v>
      </c>
      <c r="Y28" s="734">
        <f>SUM('EGRESO plan'!Z95:Z98)</f>
        <v>0</v>
      </c>
      <c r="Z28" s="735">
        <f>SUM('EGRESO plan'!AA95:AA98)</f>
        <v>358</v>
      </c>
      <c r="AA28" s="733">
        <f>SUM('EGRESO plan'!AB95:AB98)</f>
        <v>164</v>
      </c>
      <c r="AB28" s="734">
        <f>SUM('EGRESO plan'!AC95:AC98)</f>
        <v>256</v>
      </c>
      <c r="AC28" s="734">
        <f>SUM('EGRESO plan'!AD95:AD98)</f>
        <v>0</v>
      </c>
      <c r="AD28" s="735">
        <f>SUM('EGRESO plan'!AE95:AE98)</f>
        <v>420</v>
      </c>
      <c r="AE28" s="733">
        <f>SUM('EGRESO plan'!AF95:AF98)</f>
        <v>177</v>
      </c>
      <c r="AF28" s="734">
        <f>SUM('EGRESO plan'!AG95:AG98)</f>
        <v>247</v>
      </c>
      <c r="AG28" s="734">
        <f>SUM('EGRESO plan'!AH95:AH98)</f>
        <v>0</v>
      </c>
      <c r="AH28" s="735">
        <f>SUM('EGRESO plan'!AI95:AI98)</f>
        <v>424</v>
      </c>
      <c r="AI28" s="733">
        <f>SUM('EGRESO plan'!AJ95:AJ98)</f>
        <v>122</v>
      </c>
      <c r="AJ28" s="734">
        <f>SUM('EGRESO plan'!AK95:AK98)</f>
        <v>253</v>
      </c>
      <c r="AK28" s="734">
        <f>SUM('EGRESO plan'!AL95:AL98)</f>
        <v>0</v>
      </c>
      <c r="AL28" s="735">
        <f>SUM('EGRESO plan'!AM95:AM98)</f>
        <v>375</v>
      </c>
      <c r="AM28" s="733">
        <f>SUM('EGRESO plan'!AN95:AN98)</f>
        <v>183</v>
      </c>
      <c r="AN28" s="734">
        <f>SUM('EGRESO plan'!AO95:AO98)</f>
        <v>316</v>
      </c>
      <c r="AO28" s="734">
        <f>SUM('EGRESO plan'!AP95:AP98)</f>
        <v>0</v>
      </c>
      <c r="AP28" s="735">
        <f>SUM('EGRESO plan'!AQ95:AQ98)</f>
        <v>499</v>
      </c>
      <c r="AQ28" s="733">
        <f>SUM('EGRESO plan'!AR95:AR98)</f>
        <v>205</v>
      </c>
      <c r="AR28" s="734">
        <f>SUM('EGRESO plan'!AS95:AS98)</f>
        <v>258</v>
      </c>
      <c r="AS28" s="734">
        <f>SUM('EGRESO plan'!AT95:AT98)</f>
        <v>0</v>
      </c>
      <c r="AT28" s="735">
        <f>SUM('EGRESO plan'!AU95:AU98)</f>
        <v>463</v>
      </c>
      <c r="AU28" s="733">
        <f>SUM('EGRESO plan'!AV95:AV98)</f>
        <v>201</v>
      </c>
      <c r="AV28" s="734">
        <f>SUM('EGRESO plan'!AW95:AW98)</f>
        <v>244</v>
      </c>
      <c r="AW28" s="734">
        <f>SUM('EGRESO plan'!AX95:AX98)</f>
        <v>0</v>
      </c>
      <c r="AX28" s="735">
        <f>SUM('EGRESO plan'!AY95:AY98)</f>
        <v>445</v>
      </c>
      <c r="AY28" s="733">
        <f>SUM('EGRESO plan'!AZ95:AZ98)</f>
        <v>182</v>
      </c>
      <c r="AZ28" s="734">
        <f>SUM('EGRESO plan'!BA95:BA98)</f>
        <v>195</v>
      </c>
      <c r="BA28" s="734">
        <f>SUM('EGRESO plan'!BB95:BB98)</f>
        <v>0</v>
      </c>
      <c r="BB28" s="735">
        <f>SUM('EGRESO plan'!BC95:BC98)</f>
        <v>377</v>
      </c>
      <c r="BC28" s="733">
        <f>SUM('EGRESO plan'!BD95:BD98)</f>
        <v>168</v>
      </c>
      <c r="BD28" s="734">
        <f>SUM('EGRESO plan'!BE95:BE98)</f>
        <v>204</v>
      </c>
      <c r="BE28" s="734">
        <f>SUM('EGRESO plan'!BF95:BF98)</f>
        <v>0</v>
      </c>
      <c r="BF28" s="735">
        <f>SUM('EGRESO plan'!BG95:BG98)</f>
        <v>372</v>
      </c>
      <c r="BG28" s="733">
        <f>SUM('EGRESO plan'!BH95:BH98)</f>
        <v>223</v>
      </c>
      <c r="BH28" s="734">
        <f>SUM('EGRESO plan'!BI95:BI98)</f>
        <v>213</v>
      </c>
      <c r="BI28" s="734">
        <f>SUM('EGRESO plan'!BJ95:BJ98)</f>
        <v>0</v>
      </c>
      <c r="BJ28" s="735">
        <f>SUM('EGRESO plan'!BK95:BK98)</f>
        <v>436</v>
      </c>
      <c r="BK28" s="733">
        <f>SUM('EGRESO plan'!BL95:BL98)</f>
        <v>209</v>
      </c>
      <c r="BL28" s="734">
        <f>SUM('EGRESO plan'!BM95:BM98)</f>
        <v>244</v>
      </c>
      <c r="BM28" s="734">
        <f>SUM('EGRESO plan'!BN95:BN98)</f>
        <v>0</v>
      </c>
      <c r="BN28" s="735">
        <f>SUM('EGRESO plan'!BO95:BO98)</f>
        <v>453</v>
      </c>
      <c r="BO28" s="733">
        <f>SUM('EGRESO plan'!BP95:BP98)</f>
        <v>221</v>
      </c>
      <c r="BP28" s="734">
        <f>SUM('EGRESO plan'!BQ95:BQ98)</f>
        <v>187</v>
      </c>
      <c r="BQ28" s="734">
        <f>SUM('EGRESO plan'!BR95:BR98)</f>
        <v>0</v>
      </c>
      <c r="BR28" s="735">
        <f>SUM('EGRESO plan'!BS95:BS98)</f>
        <v>408</v>
      </c>
      <c r="BS28" s="733">
        <f>SUM('EGRESO plan'!BT95:BT98)</f>
        <v>195</v>
      </c>
      <c r="BT28" s="734">
        <f>SUM('EGRESO plan'!BU95:BU98)</f>
        <v>253</v>
      </c>
      <c r="BU28" s="734">
        <f>SUM('EGRESO plan'!BV95:BV98)</f>
        <v>0</v>
      </c>
      <c r="BV28" s="735">
        <f>SUM('EGRESO plan'!BW95:BW98)</f>
        <v>448</v>
      </c>
      <c r="BW28" s="733">
        <f>SUM('EGRESO plan'!BX95:BX98)</f>
        <v>191</v>
      </c>
      <c r="BX28" s="734">
        <f>SUM('EGRESO plan'!BY95:BY98)</f>
        <v>209</v>
      </c>
      <c r="BY28" s="734">
        <f>SUM('EGRESO plan'!BZ95:BZ98)</f>
        <v>0</v>
      </c>
      <c r="BZ28" s="735">
        <f>SUM('EGRESO plan'!CA95:CA98)</f>
        <v>400</v>
      </c>
    </row>
    <row r="29" spans="1:78" s="37" customFormat="1" ht="15" x14ac:dyDescent="0.2">
      <c r="A29" s="5896"/>
      <c r="B29" s="2180" t="s">
        <v>12</v>
      </c>
      <c r="C29" s="2181">
        <f t="shared" ref="C29:R29" si="13">SUM(C26:C28)</f>
        <v>839</v>
      </c>
      <c r="D29" s="2182">
        <f t="shared" si="13"/>
        <v>999</v>
      </c>
      <c r="E29" s="2182">
        <f t="shared" si="13"/>
        <v>289</v>
      </c>
      <c r="F29" s="2183">
        <f t="shared" si="13"/>
        <v>2127</v>
      </c>
      <c r="G29" s="2181">
        <f t="shared" si="13"/>
        <v>844</v>
      </c>
      <c r="H29" s="2182">
        <f t="shared" si="13"/>
        <v>1170</v>
      </c>
      <c r="I29" s="2182">
        <f t="shared" si="13"/>
        <v>330</v>
      </c>
      <c r="J29" s="2183">
        <f t="shared" si="13"/>
        <v>2344</v>
      </c>
      <c r="K29" s="2181">
        <f t="shared" si="13"/>
        <v>802</v>
      </c>
      <c r="L29" s="2182">
        <f t="shared" si="13"/>
        <v>1091</v>
      </c>
      <c r="M29" s="2182">
        <f t="shared" si="13"/>
        <v>359</v>
      </c>
      <c r="N29" s="2183">
        <f t="shared" si="13"/>
        <v>2252</v>
      </c>
      <c r="O29" s="2181">
        <f t="shared" si="13"/>
        <v>975</v>
      </c>
      <c r="P29" s="2182">
        <f t="shared" si="13"/>
        <v>1190</v>
      </c>
      <c r="Q29" s="2182">
        <f t="shared" si="13"/>
        <v>357</v>
      </c>
      <c r="R29" s="2183">
        <f t="shared" si="13"/>
        <v>2522</v>
      </c>
      <c r="S29" s="2181">
        <f t="shared" ref="S29:BJ29" si="14">SUM(S26:S28)</f>
        <v>920</v>
      </c>
      <c r="T29" s="2182">
        <f t="shared" si="14"/>
        <v>947</v>
      </c>
      <c r="U29" s="2182">
        <f t="shared" si="14"/>
        <v>319</v>
      </c>
      <c r="V29" s="2183">
        <f t="shared" si="14"/>
        <v>2186</v>
      </c>
      <c r="W29" s="2181">
        <f t="shared" si="14"/>
        <v>704</v>
      </c>
      <c r="X29" s="2182">
        <f t="shared" si="14"/>
        <v>984</v>
      </c>
      <c r="Y29" s="2182">
        <f t="shared" si="14"/>
        <v>291</v>
      </c>
      <c r="Z29" s="2183">
        <f t="shared" si="14"/>
        <v>1979</v>
      </c>
      <c r="AA29" s="2181">
        <f t="shared" si="14"/>
        <v>708</v>
      </c>
      <c r="AB29" s="2182">
        <f t="shared" si="14"/>
        <v>1050</v>
      </c>
      <c r="AC29" s="2182">
        <f t="shared" si="14"/>
        <v>288</v>
      </c>
      <c r="AD29" s="2183">
        <f t="shared" si="14"/>
        <v>2046</v>
      </c>
      <c r="AE29" s="2181">
        <f t="shared" si="14"/>
        <v>810</v>
      </c>
      <c r="AF29" s="2182">
        <f t="shared" si="14"/>
        <v>1030</v>
      </c>
      <c r="AG29" s="2182">
        <f t="shared" si="14"/>
        <v>303</v>
      </c>
      <c r="AH29" s="2183">
        <f t="shared" si="14"/>
        <v>2143</v>
      </c>
      <c r="AI29" s="2181">
        <f t="shared" si="14"/>
        <v>791</v>
      </c>
      <c r="AJ29" s="2182">
        <f t="shared" si="14"/>
        <v>1126</v>
      </c>
      <c r="AK29" s="2182">
        <f t="shared" si="14"/>
        <v>360</v>
      </c>
      <c r="AL29" s="2183">
        <f t="shared" si="14"/>
        <v>2277</v>
      </c>
      <c r="AM29" s="2181">
        <f t="shared" si="14"/>
        <v>1096</v>
      </c>
      <c r="AN29" s="2182">
        <f t="shared" si="14"/>
        <v>1256</v>
      </c>
      <c r="AO29" s="2182">
        <f t="shared" si="14"/>
        <v>366</v>
      </c>
      <c r="AP29" s="2183">
        <f t="shared" si="14"/>
        <v>2718</v>
      </c>
      <c r="AQ29" s="2181">
        <f t="shared" si="14"/>
        <v>934</v>
      </c>
      <c r="AR29" s="2182">
        <f t="shared" si="14"/>
        <v>1341</v>
      </c>
      <c r="AS29" s="2182">
        <f t="shared" si="14"/>
        <v>399</v>
      </c>
      <c r="AT29" s="2183">
        <f t="shared" si="14"/>
        <v>2674</v>
      </c>
      <c r="AU29" s="2181">
        <f t="shared" si="14"/>
        <v>974</v>
      </c>
      <c r="AV29" s="2182">
        <f t="shared" si="14"/>
        <v>1173</v>
      </c>
      <c r="AW29" s="2182">
        <f t="shared" si="14"/>
        <v>373</v>
      </c>
      <c r="AX29" s="2183">
        <f t="shared" si="14"/>
        <v>2520</v>
      </c>
      <c r="AY29" s="2181">
        <f t="shared" si="14"/>
        <v>887</v>
      </c>
      <c r="AZ29" s="2182">
        <f t="shared" si="14"/>
        <v>1128</v>
      </c>
      <c r="BA29" s="2182">
        <f t="shared" si="14"/>
        <v>338</v>
      </c>
      <c r="BB29" s="2183">
        <f t="shared" si="14"/>
        <v>2353</v>
      </c>
      <c r="BC29" s="2181">
        <f t="shared" si="14"/>
        <v>871</v>
      </c>
      <c r="BD29" s="2182">
        <f t="shared" si="14"/>
        <v>1166</v>
      </c>
      <c r="BE29" s="2182">
        <f t="shared" si="14"/>
        <v>314</v>
      </c>
      <c r="BF29" s="2183">
        <f t="shared" si="14"/>
        <v>2351</v>
      </c>
      <c r="BG29" s="2181">
        <f t="shared" si="14"/>
        <v>942</v>
      </c>
      <c r="BH29" s="2182">
        <f t="shared" si="14"/>
        <v>1169</v>
      </c>
      <c r="BI29" s="2182">
        <f t="shared" si="14"/>
        <v>380</v>
      </c>
      <c r="BJ29" s="2183">
        <f t="shared" si="14"/>
        <v>2491</v>
      </c>
      <c r="BK29" s="2181">
        <f t="shared" ref="BK29:BV29" si="15">SUM(BK26:BK28)</f>
        <v>856</v>
      </c>
      <c r="BL29" s="2182">
        <f t="shared" si="15"/>
        <v>1171</v>
      </c>
      <c r="BM29" s="2182">
        <f t="shared" si="15"/>
        <v>361</v>
      </c>
      <c r="BN29" s="2183">
        <f t="shared" si="15"/>
        <v>2388</v>
      </c>
      <c r="BO29" s="2181">
        <f t="shared" si="15"/>
        <v>924</v>
      </c>
      <c r="BP29" s="2182">
        <f t="shared" si="15"/>
        <v>1071</v>
      </c>
      <c r="BQ29" s="2182">
        <f t="shared" si="15"/>
        <v>365</v>
      </c>
      <c r="BR29" s="2183">
        <f t="shared" si="15"/>
        <v>2360</v>
      </c>
      <c r="BS29" s="2181">
        <f t="shared" si="15"/>
        <v>887</v>
      </c>
      <c r="BT29" s="2182">
        <f t="shared" si="15"/>
        <v>1180</v>
      </c>
      <c r="BU29" s="2182">
        <f t="shared" si="15"/>
        <v>316</v>
      </c>
      <c r="BV29" s="2183">
        <f t="shared" si="15"/>
        <v>2383</v>
      </c>
      <c r="BW29" s="2181">
        <f t="shared" ref="BW29:BZ29" si="16">SUM(BW26:BW28)</f>
        <v>839</v>
      </c>
      <c r="BX29" s="2182">
        <f t="shared" si="16"/>
        <v>1097</v>
      </c>
      <c r="BY29" s="2182">
        <f t="shared" si="16"/>
        <v>345</v>
      </c>
      <c r="BZ29" s="2183">
        <f t="shared" si="16"/>
        <v>2281</v>
      </c>
    </row>
    <row r="30" spans="1:78" s="6" customFormat="1" ht="14.25" x14ac:dyDescent="0.2"/>
    <row r="31" spans="1:78" s="6" customFormat="1" ht="15" customHeight="1" x14ac:dyDescent="0.2">
      <c r="A31" s="5828" t="s">
        <v>60</v>
      </c>
      <c r="B31" s="245" t="s">
        <v>5</v>
      </c>
      <c r="C31" s="730">
        <f t="shared" ref="C31:AH31" si="17">SUM(C6,C16)</f>
        <v>229</v>
      </c>
      <c r="D31" s="731">
        <f t="shared" si="17"/>
        <v>239</v>
      </c>
      <c r="E31" s="731">
        <f t="shared" si="17"/>
        <v>197</v>
      </c>
      <c r="F31" s="732">
        <f t="shared" si="17"/>
        <v>665</v>
      </c>
      <c r="G31" s="730">
        <f t="shared" si="17"/>
        <v>182</v>
      </c>
      <c r="H31" s="731">
        <f t="shared" si="17"/>
        <v>190</v>
      </c>
      <c r="I31" s="731">
        <f t="shared" si="17"/>
        <v>158</v>
      </c>
      <c r="J31" s="732">
        <f t="shared" si="17"/>
        <v>530</v>
      </c>
      <c r="K31" s="730">
        <f t="shared" si="17"/>
        <v>204</v>
      </c>
      <c r="L31" s="731">
        <f t="shared" si="17"/>
        <v>201</v>
      </c>
      <c r="M31" s="731">
        <f t="shared" si="17"/>
        <v>171</v>
      </c>
      <c r="N31" s="732">
        <f t="shared" si="17"/>
        <v>576</v>
      </c>
      <c r="O31" s="730">
        <f t="shared" si="17"/>
        <v>157</v>
      </c>
      <c r="P31" s="731">
        <f t="shared" si="17"/>
        <v>196</v>
      </c>
      <c r="Q31" s="731">
        <f t="shared" si="17"/>
        <v>180</v>
      </c>
      <c r="R31" s="732">
        <f t="shared" si="17"/>
        <v>533</v>
      </c>
      <c r="S31" s="730">
        <f t="shared" si="17"/>
        <v>240</v>
      </c>
      <c r="T31" s="731">
        <f t="shared" si="17"/>
        <v>229</v>
      </c>
      <c r="U31" s="731">
        <f t="shared" si="17"/>
        <v>173</v>
      </c>
      <c r="V31" s="732">
        <f t="shared" si="17"/>
        <v>642</v>
      </c>
      <c r="W31" s="730">
        <f t="shared" si="17"/>
        <v>192</v>
      </c>
      <c r="X31" s="731">
        <f t="shared" si="17"/>
        <v>237</v>
      </c>
      <c r="Y31" s="731">
        <f t="shared" si="17"/>
        <v>185</v>
      </c>
      <c r="Z31" s="732">
        <f t="shared" si="17"/>
        <v>614</v>
      </c>
      <c r="AA31" s="730">
        <f t="shared" si="17"/>
        <v>212</v>
      </c>
      <c r="AB31" s="731">
        <f t="shared" si="17"/>
        <v>236</v>
      </c>
      <c r="AC31" s="731">
        <f t="shared" si="17"/>
        <v>197</v>
      </c>
      <c r="AD31" s="732">
        <f t="shared" si="17"/>
        <v>645</v>
      </c>
      <c r="AE31" s="730">
        <f t="shared" si="17"/>
        <v>224</v>
      </c>
      <c r="AF31" s="731">
        <f t="shared" si="17"/>
        <v>237</v>
      </c>
      <c r="AG31" s="731">
        <f t="shared" si="17"/>
        <v>203</v>
      </c>
      <c r="AH31" s="732">
        <f t="shared" si="17"/>
        <v>664</v>
      </c>
      <c r="AI31" s="730">
        <f t="shared" ref="AI31:BN31" si="18">SUM(AI6,AI16)</f>
        <v>156</v>
      </c>
      <c r="AJ31" s="731">
        <f t="shared" si="18"/>
        <v>212</v>
      </c>
      <c r="AK31" s="731">
        <f t="shared" si="18"/>
        <v>144</v>
      </c>
      <c r="AL31" s="732">
        <f t="shared" si="18"/>
        <v>512</v>
      </c>
      <c r="AM31" s="730">
        <f t="shared" si="18"/>
        <v>194</v>
      </c>
      <c r="AN31" s="731">
        <f t="shared" si="18"/>
        <v>193</v>
      </c>
      <c r="AO31" s="731">
        <f t="shared" si="18"/>
        <v>138</v>
      </c>
      <c r="AP31" s="731">
        <f t="shared" si="18"/>
        <v>525</v>
      </c>
      <c r="AQ31" s="730">
        <f t="shared" si="18"/>
        <v>163</v>
      </c>
      <c r="AR31" s="731">
        <f t="shared" si="18"/>
        <v>205</v>
      </c>
      <c r="AS31" s="731">
        <f t="shared" si="18"/>
        <v>149</v>
      </c>
      <c r="AT31" s="732">
        <f t="shared" si="18"/>
        <v>517</v>
      </c>
      <c r="AU31" s="730">
        <f t="shared" si="18"/>
        <v>187</v>
      </c>
      <c r="AV31" s="731">
        <f t="shared" si="18"/>
        <v>261</v>
      </c>
      <c r="AW31" s="731">
        <f t="shared" si="18"/>
        <v>159</v>
      </c>
      <c r="AX31" s="732">
        <f t="shared" si="18"/>
        <v>607</v>
      </c>
      <c r="AY31" s="730">
        <f t="shared" si="18"/>
        <v>186</v>
      </c>
      <c r="AZ31" s="731">
        <f t="shared" si="18"/>
        <v>208</v>
      </c>
      <c r="BA31" s="731">
        <f t="shared" si="18"/>
        <v>189</v>
      </c>
      <c r="BB31" s="732">
        <f t="shared" si="18"/>
        <v>583</v>
      </c>
      <c r="BC31" s="730">
        <f t="shared" si="18"/>
        <v>177</v>
      </c>
      <c r="BD31" s="731">
        <f t="shared" si="18"/>
        <v>220</v>
      </c>
      <c r="BE31" s="731">
        <f t="shared" si="18"/>
        <v>167</v>
      </c>
      <c r="BF31" s="732">
        <f t="shared" si="18"/>
        <v>564</v>
      </c>
      <c r="BG31" s="730">
        <f t="shared" si="18"/>
        <v>187</v>
      </c>
      <c r="BH31" s="731">
        <f t="shared" si="18"/>
        <v>263</v>
      </c>
      <c r="BI31" s="731">
        <f t="shared" si="18"/>
        <v>235</v>
      </c>
      <c r="BJ31" s="732">
        <f t="shared" si="18"/>
        <v>685</v>
      </c>
      <c r="BK31" s="730">
        <f t="shared" si="18"/>
        <v>289</v>
      </c>
      <c r="BL31" s="731">
        <f t="shared" si="18"/>
        <v>287</v>
      </c>
      <c r="BM31" s="731">
        <f t="shared" si="18"/>
        <v>210</v>
      </c>
      <c r="BN31" s="732">
        <f t="shared" si="18"/>
        <v>786</v>
      </c>
      <c r="BO31" s="730">
        <f t="shared" ref="BO31:BV31" si="19">SUM(BO6,BO16,BO21)</f>
        <v>232</v>
      </c>
      <c r="BP31" s="731">
        <f t="shared" si="19"/>
        <v>246</v>
      </c>
      <c r="BQ31" s="731">
        <f t="shared" si="19"/>
        <v>242</v>
      </c>
      <c r="BR31" s="732">
        <f t="shared" si="19"/>
        <v>720</v>
      </c>
      <c r="BS31" s="730">
        <f t="shared" si="19"/>
        <v>264</v>
      </c>
      <c r="BT31" s="731">
        <f t="shared" si="19"/>
        <v>289</v>
      </c>
      <c r="BU31" s="731">
        <f t="shared" si="19"/>
        <v>202</v>
      </c>
      <c r="BV31" s="732">
        <f t="shared" si="19"/>
        <v>755</v>
      </c>
      <c r="BW31" s="730">
        <f t="shared" ref="BW31:BZ31" si="20">SUM(BW6,BW16,BW21)</f>
        <v>301</v>
      </c>
      <c r="BX31" s="731">
        <f t="shared" si="20"/>
        <v>291</v>
      </c>
      <c r="BY31" s="731">
        <f t="shared" si="20"/>
        <v>273</v>
      </c>
      <c r="BZ31" s="732">
        <f t="shared" si="20"/>
        <v>865</v>
      </c>
    </row>
    <row r="32" spans="1:78" s="6" customFormat="1" ht="14.25" customHeight="1" x14ac:dyDescent="0.2">
      <c r="A32" s="5829"/>
      <c r="B32" s="246" t="s">
        <v>6</v>
      </c>
      <c r="C32" s="733">
        <f t="shared" ref="C32:AH32" si="21">SUM(C7,C17,C11,C26)</f>
        <v>760</v>
      </c>
      <c r="D32" s="734">
        <f t="shared" si="21"/>
        <v>857</v>
      </c>
      <c r="E32" s="734">
        <f t="shared" si="21"/>
        <v>305</v>
      </c>
      <c r="F32" s="735">
        <f t="shared" si="21"/>
        <v>1922</v>
      </c>
      <c r="G32" s="733">
        <f t="shared" si="21"/>
        <v>724</v>
      </c>
      <c r="H32" s="734">
        <f t="shared" si="21"/>
        <v>848</v>
      </c>
      <c r="I32" s="734">
        <f t="shared" si="21"/>
        <v>316</v>
      </c>
      <c r="J32" s="735">
        <f t="shared" si="21"/>
        <v>1888</v>
      </c>
      <c r="K32" s="733">
        <f t="shared" si="21"/>
        <v>711</v>
      </c>
      <c r="L32" s="734">
        <f t="shared" si="21"/>
        <v>808</v>
      </c>
      <c r="M32" s="734">
        <f t="shared" si="21"/>
        <v>320</v>
      </c>
      <c r="N32" s="735">
        <f t="shared" si="21"/>
        <v>1839</v>
      </c>
      <c r="O32" s="733">
        <f t="shared" si="21"/>
        <v>797</v>
      </c>
      <c r="P32" s="734">
        <f t="shared" si="21"/>
        <v>863</v>
      </c>
      <c r="Q32" s="734">
        <f t="shared" si="21"/>
        <v>331</v>
      </c>
      <c r="R32" s="735">
        <f t="shared" si="21"/>
        <v>1991</v>
      </c>
      <c r="S32" s="733">
        <f t="shared" si="21"/>
        <v>763</v>
      </c>
      <c r="T32" s="734">
        <f t="shared" si="21"/>
        <v>887</v>
      </c>
      <c r="U32" s="734">
        <f t="shared" si="21"/>
        <v>313</v>
      </c>
      <c r="V32" s="735">
        <f t="shared" si="21"/>
        <v>1963</v>
      </c>
      <c r="W32" s="733">
        <f t="shared" si="21"/>
        <v>727</v>
      </c>
      <c r="X32" s="734">
        <f t="shared" si="21"/>
        <v>826</v>
      </c>
      <c r="Y32" s="734">
        <f t="shared" si="21"/>
        <v>316</v>
      </c>
      <c r="Z32" s="735">
        <f t="shared" si="21"/>
        <v>1869</v>
      </c>
      <c r="AA32" s="733">
        <f t="shared" si="21"/>
        <v>728</v>
      </c>
      <c r="AB32" s="734">
        <f t="shared" si="21"/>
        <v>797</v>
      </c>
      <c r="AC32" s="734">
        <f t="shared" si="21"/>
        <v>255</v>
      </c>
      <c r="AD32" s="735">
        <f t="shared" si="21"/>
        <v>1780</v>
      </c>
      <c r="AE32" s="733">
        <f t="shared" si="21"/>
        <v>708</v>
      </c>
      <c r="AF32" s="734">
        <f t="shared" si="21"/>
        <v>765</v>
      </c>
      <c r="AG32" s="734">
        <f t="shared" si="21"/>
        <v>290</v>
      </c>
      <c r="AH32" s="735">
        <f t="shared" si="21"/>
        <v>1763</v>
      </c>
      <c r="AI32" s="733">
        <f t="shared" ref="AI32:BN32" si="22">SUM(AI7,AI17,AI11,AI26)</f>
        <v>674</v>
      </c>
      <c r="AJ32" s="734">
        <f t="shared" si="22"/>
        <v>820</v>
      </c>
      <c r="AK32" s="734">
        <f t="shared" si="22"/>
        <v>259</v>
      </c>
      <c r="AL32" s="735">
        <f t="shared" si="22"/>
        <v>1753</v>
      </c>
      <c r="AM32" s="733">
        <f t="shared" si="22"/>
        <v>812</v>
      </c>
      <c r="AN32" s="734">
        <f t="shared" si="22"/>
        <v>872</v>
      </c>
      <c r="AO32" s="734">
        <f t="shared" si="22"/>
        <v>234</v>
      </c>
      <c r="AP32" s="734">
        <f t="shared" si="22"/>
        <v>1918</v>
      </c>
      <c r="AQ32" s="733">
        <f t="shared" si="22"/>
        <v>750</v>
      </c>
      <c r="AR32" s="734">
        <f t="shared" si="22"/>
        <v>954</v>
      </c>
      <c r="AS32" s="734">
        <f t="shared" si="22"/>
        <v>252</v>
      </c>
      <c r="AT32" s="735">
        <f t="shared" si="22"/>
        <v>1956</v>
      </c>
      <c r="AU32" s="733">
        <f t="shared" si="22"/>
        <v>763</v>
      </c>
      <c r="AV32" s="734">
        <f t="shared" si="22"/>
        <v>928</v>
      </c>
      <c r="AW32" s="734">
        <f t="shared" si="22"/>
        <v>272</v>
      </c>
      <c r="AX32" s="735">
        <f t="shared" si="22"/>
        <v>1963</v>
      </c>
      <c r="AY32" s="733">
        <f t="shared" si="22"/>
        <v>690</v>
      </c>
      <c r="AZ32" s="734">
        <f t="shared" si="22"/>
        <v>835</v>
      </c>
      <c r="BA32" s="734">
        <f t="shared" si="22"/>
        <v>263</v>
      </c>
      <c r="BB32" s="735">
        <f t="shared" si="22"/>
        <v>1788</v>
      </c>
      <c r="BC32" s="733">
        <f t="shared" si="22"/>
        <v>718</v>
      </c>
      <c r="BD32" s="734">
        <f t="shared" si="22"/>
        <v>887</v>
      </c>
      <c r="BE32" s="734">
        <f t="shared" si="22"/>
        <v>332</v>
      </c>
      <c r="BF32" s="735">
        <f t="shared" si="22"/>
        <v>1937</v>
      </c>
      <c r="BG32" s="733">
        <f t="shared" si="22"/>
        <v>864</v>
      </c>
      <c r="BH32" s="734">
        <f t="shared" si="22"/>
        <v>1084</v>
      </c>
      <c r="BI32" s="734">
        <f t="shared" si="22"/>
        <v>397</v>
      </c>
      <c r="BJ32" s="735">
        <f t="shared" si="22"/>
        <v>2345</v>
      </c>
      <c r="BK32" s="733">
        <f t="shared" si="22"/>
        <v>759</v>
      </c>
      <c r="BL32" s="734">
        <f t="shared" si="22"/>
        <v>883</v>
      </c>
      <c r="BM32" s="734">
        <f t="shared" si="22"/>
        <v>312</v>
      </c>
      <c r="BN32" s="735">
        <f t="shared" si="22"/>
        <v>1954</v>
      </c>
      <c r="BO32" s="733">
        <f t="shared" ref="BO32:BV32" si="23">SUM(BO7,BO11,BO17,BO22,BO26)</f>
        <v>741</v>
      </c>
      <c r="BP32" s="734">
        <f t="shared" si="23"/>
        <v>945</v>
      </c>
      <c r="BQ32" s="734">
        <f t="shared" si="23"/>
        <v>386</v>
      </c>
      <c r="BR32" s="735">
        <f t="shared" si="23"/>
        <v>2072</v>
      </c>
      <c r="BS32" s="733">
        <f t="shared" si="23"/>
        <v>730</v>
      </c>
      <c r="BT32" s="734">
        <f t="shared" si="23"/>
        <v>1010</v>
      </c>
      <c r="BU32" s="734">
        <f t="shared" si="23"/>
        <v>276</v>
      </c>
      <c r="BV32" s="735">
        <f t="shared" si="23"/>
        <v>2016</v>
      </c>
      <c r="BW32" s="733">
        <f t="shared" ref="BW32:BZ32" si="24">SUM(BW7,BW11,BW17,BW22,BW26)</f>
        <v>729</v>
      </c>
      <c r="BX32" s="734">
        <f t="shared" si="24"/>
        <v>945</v>
      </c>
      <c r="BY32" s="734">
        <f t="shared" si="24"/>
        <v>375</v>
      </c>
      <c r="BZ32" s="735">
        <f t="shared" si="24"/>
        <v>2049</v>
      </c>
    </row>
    <row r="33" spans="1:78" s="6" customFormat="1" ht="14.25" customHeight="1" x14ac:dyDescent="0.2">
      <c r="A33" s="5829"/>
      <c r="B33" s="246" t="s">
        <v>11</v>
      </c>
      <c r="C33" s="733">
        <f t="shared" ref="C33:AH33" si="25">SUM(C18,C27)</f>
        <v>400</v>
      </c>
      <c r="D33" s="734">
        <f t="shared" si="25"/>
        <v>508</v>
      </c>
      <c r="E33" s="734">
        <f t="shared" si="25"/>
        <v>333</v>
      </c>
      <c r="F33" s="735">
        <f t="shared" si="25"/>
        <v>1241</v>
      </c>
      <c r="G33" s="733">
        <f t="shared" si="25"/>
        <v>410</v>
      </c>
      <c r="H33" s="734">
        <f t="shared" si="25"/>
        <v>545</v>
      </c>
      <c r="I33" s="734">
        <f t="shared" si="25"/>
        <v>381</v>
      </c>
      <c r="J33" s="735">
        <f t="shared" si="25"/>
        <v>1336</v>
      </c>
      <c r="K33" s="733">
        <f t="shared" si="25"/>
        <v>400</v>
      </c>
      <c r="L33" s="734">
        <f t="shared" si="25"/>
        <v>522</v>
      </c>
      <c r="M33" s="734">
        <f t="shared" si="25"/>
        <v>394</v>
      </c>
      <c r="N33" s="735">
        <f t="shared" si="25"/>
        <v>1316</v>
      </c>
      <c r="O33" s="733">
        <f t="shared" si="25"/>
        <v>431</v>
      </c>
      <c r="P33" s="734">
        <f t="shared" si="25"/>
        <v>630</v>
      </c>
      <c r="Q33" s="734">
        <f t="shared" si="25"/>
        <v>420</v>
      </c>
      <c r="R33" s="735">
        <f t="shared" si="25"/>
        <v>1481</v>
      </c>
      <c r="S33" s="733">
        <f t="shared" si="25"/>
        <v>432</v>
      </c>
      <c r="T33" s="734">
        <f t="shared" si="25"/>
        <v>476</v>
      </c>
      <c r="U33" s="734">
        <f t="shared" si="25"/>
        <v>405</v>
      </c>
      <c r="V33" s="735">
        <f t="shared" si="25"/>
        <v>1313</v>
      </c>
      <c r="W33" s="733">
        <f t="shared" si="25"/>
        <v>353</v>
      </c>
      <c r="X33" s="734">
        <f t="shared" si="25"/>
        <v>521</v>
      </c>
      <c r="Y33" s="734">
        <f t="shared" si="25"/>
        <v>411</v>
      </c>
      <c r="Z33" s="735">
        <f t="shared" si="25"/>
        <v>1285</v>
      </c>
      <c r="AA33" s="733">
        <f t="shared" si="25"/>
        <v>347</v>
      </c>
      <c r="AB33" s="734">
        <f t="shared" si="25"/>
        <v>496</v>
      </c>
      <c r="AC33" s="734">
        <f t="shared" si="25"/>
        <v>394</v>
      </c>
      <c r="AD33" s="735">
        <f t="shared" si="25"/>
        <v>1237</v>
      </c>
      <c r="AE33" s="733">
        <f t="shared" si="25"/>
        <v>394</v>
      </c>
      <c r="AF33" s="734">
        <f t="shared" si="25"/>
        <v>534</v>
      </c>
      <c r="AG33" s="734">
        <f t="shared" si="25"/>
        <v>403</v>
      </c>
      <c r="AH33" s="735">
        <f t="shared" si="25"/>
        <v>1331</v>
      </c>
      <c r="AI33" s="733">
        <f t="shared" ref="AI33:BN33" si="26">SUM(AI18,AI27)</f>
        <v>447</v>
      </c>
      <c r="AJ33" s="734">
        <f t="shared" si="26"/>
        <v>532</v>
      </c>
      <c r="AK33" s="734">
        <f t="shared" si="26"/>
        <v>438</v>
      </c>
      <c r="AL33" s="735">
        <f t="shared" si="26"/>
        <v>1417</v>
      </c>
      <c r="AM33" s="733">
        <f t="shared" si="26"/>
        <v>540</v>
      </c>
      <c r="AN33" s="734">
        <f t="shared" si="26"/>
        <v>556</v>
      </c>
      <c r="AO33" s="734">
        <f t="shared" si="26"/>
        <v>477</v>
      </c>
      <c r="AP33" s="734">
        <f t="shared" si="26"/>
        <v>1573</v>
      </c>
      <c r="AQ33" s="733">
        <f t="shared" si="26"/>
        <v>415</v>
      </c>
      <c r="AR33" s="734">
        <f t="shared" si="26"/>
        <v>651</v>
      </c>
      <c r="AS33" s="734">
        <f t="shared" si="26"/>
        <v>465</v>
      </c>
      <c r="AT33" s="735">
        <f t="shared" si="26"/>
        <v>1531</v>
      </c>
      <c r="AU33" s="733">
        <f t="shared" si="26"/>
        <v>453</v>
      </c>
      <c r="AV33" s="734">
        <f t="shared" si="26"/>
        <v>576</v>
      </c>
      <c r="AW33" s="734">
        <f t="shared" si="26"/>
        <v>464</v>
      </c>
      <c r="AX33" s="735">
        <f t="shared" si="26"/>
        <v>1493</v>
      </c>
      <c r="AY33" s="733">
        <f t="shared" si="26"/>
        <v>449</v>
      </c>
      <c r="AZ33" s="734">
        <f t="shared" si="26"/>
        <v>570</v>
      </c>
      <c r="BA33" s="734">
        <f t="shared" si="26"/>
        <v>396</v>
      </c>
      <c r="BB33" s="735">
        <f t="shared" si="26"/>
        <v>1415</v>
      </c>
      <c r="BC33" s="733">
        <f t="shared" si="26"/>
        <v>455</v>
      </c>
      <c r="BD33" s="734">
        <f t="shared" si="26"/>
        <v>640</v>
      </c>
      <c r="BE33" s="734">
        <f t="shared" si="26"/>
        <v>387</v>
      </c>
      <c r="BF33" s="735">
        <f t="shared" si="26"/>
        <v>1482</v>
      </c>
      <c r="BG33" s="733">
        <f t="shared" si="26"/>
        <v>410</v>
      </c>
      <c r="BH33" s="734">
        <f t="shared" si="26"/>
        <v>575</v>
      </c>
      <c r="BI33" s="734">
        <f t="shared" si="26"/>
        <v>514</v>
      </c>
      <c r="BJ33" s="735">
        <f t="shared" si="26"/>
        <v>1499</v>
      </c>
      <c r="BK33" s="733">
        <f t="shared" si="26"/>
        <v>390</v>
      </c>
      <c r="BL33" s="734">
        <f t="shared" si="26"/>
        <v>631</v>
      </c>
      <c r="BM33" s="734">
        <f t="shared" si="26"/>
        <v>451</v>
      </c>
      <c r="BN33" s="735">
        <f t="shared" si="26"/>
        <v>1472</v>
      </c>
      <c r="BO33" s="733">
        <f t="shared" ref="BO33:BV33" si="27">SUM(BO18,BO23,BO27)</f>
        <v>457</v>
      </c>
      <c r="BP33" s="734">
        <f t="shared" si="27"/>
        <v>585</v>
      </c>
      <c r="BQ33" s="734">
        <f t="shared" si="27"/>
        <v>509</v>
      </c>
      <c r="BR33" s="735">
        <f t="shared" si="27"/>
        <v>1551</v>
      </c>
      <c r="BS33" s="733">
        <f t="shared" si="27"/>
        <v>461</v>
      </c>
      <c r="BT33" s="734">
        <f t="shared" si="27"/>
        <v>618</v>
      </c>
      <c r="BU33" s="734">
        <f t="shared" si="27"/>
        <v>438</v>
      </c>
      <c r="BV33" s="735">
        <f t="shared" si="27"/>
        <v>1517</v>
      </c>
      <c r="BW33" s="733">
        <f t="shared" ref="BW33:BZ33" si="28">SUM(BW18,BW23,BW27)</f>
        <v>473</v>
      </c>
      <c r="BX33" s="734">
        <f t="shared" si="28"/>
        <v>635</v>
      </c>
      <c r="BY33" s="734">
        <f t="shared" si="28"/>
        <v>498</v>
      </c>
      <c r="BZ33" s="735">
        <f t="shared" si="28"/>
        <v>1606</v>
      </c>
    </row>
    <row r="34" spans="1:78" s="6" customFormat="1" ht="14.25" customHeight="1" x14ac:dyDescent="0.2">
      <c r="A34" s="5829"/>
      <c r="B34" s="246" t="s">
        <v>7</v>
      </c>
      <c r="C34" s="733">
        <f t="shared" ref="C34:AH34" si="29">SUM(C8,C28)</f>
        <v>292</v>
      </c>
      <c r="D34" s="734">
        <f t="shared" si="29"/>
        <v>260</v>
      </c>
      <c r="E34" s="734">
        <f t="shared" si="29"/>
        <v>146</v>
      </c>
      <c r="F34" s="735">
        <f t="shared" si="29"/>
        <v>698</v>
      </c>
      <c r="G34" s="733">
        <f t="shared" si="29"/>
        <v>313</v>
      </c>
      <c r="H34" s="734">
        <f t="shared" si="29"/>
        <v>340</v>
      </c>
      <c r="I34" s="734">
        <f t="shared" si="29"/>
        <v>155</v>
      </c>
      <c r="J34" s="735">
        <f t="shared" si="29"/>
        <v>808</v>
      </c>
      <c r="K34" s="733">
        <f t="shared" si="29"/>
        <v>301</v>
      </c>
      <c r="L34" s="734">
        <f t="shared" si="29"/>
        <v>338</v>
      </c>
      <c r="M34" s="734">
        <f t="shared" si="29"/>
        <v>121</v>
      </c>
      <c r="N34" s="735">
        <f t="shared" si="29"/>
        <v>760</v>
      </c>
      <c r="O34" s="733">
        <f t="shared" si="29"/>
        <v>337</v>
      </c>
      <c r="P34" s="734">
        <f t="shared" si="29"/>
        <v>278</v>
      </c>
      <c r="Q34" s="734">
        <f t="shared" si="29"/>
        <v>112</v>
      </c>
      <c r="R34" s="735">
        <f t="shared" si="29"/>
        <v>727</v>
      </c>
      <c r="S34" s="733">
        <f t="shared" si="29"/>
        <v>322</v>
      </c>
      <c r="T34" s="734">
        <f t="shared" si="29"/>
        <v>321</v>
      </c>
      <c r="U34" s="734">
        <f t="shared" si="29"/>
        <v>132</v>
      </c>
      <c r="V34" s="735">
        <f t="shared" si="29"/>
        <v>775</v>
      </c>
      <c r="W34" s="733">
        <f t="shared" si="29"/>
        <v>242</v>
      </c>
      <c r="X34" s="734">
        <f t="shared" si="29"/>
        <v>342</v>
      </c>
      <c r="Y34" s="734">
        <f t="shared" si="29"/>
        <v>93</v>
      </c>
      <c r="Z34" s="735">
        <f t="shared" si="29"/>
        <v>677</v>
      </c>
      <c r="AA34" s="733">
        <f t="shared" si="29"/>
        <v>262</v>
      </c>
      <c r="AB34" s="734">
        <f t="shared" si="29"/>
        <v>400</v>
      </c>
      <c r="AC34" s="734">
        <f t="shared" si="29"/>
        <v>110</v>
      </c>
      <c r="AD34" s="735">
        <f t="shared" si="29"/>
        <v>772</v>
      </c>
      <c r="AE34" s="733">
        <f t="shared" si="29"/>
        <v>305</v>
      </c>
      <c r="AF34" s="734">
        <f t="shared" si="29"/>
        <v>366</v>
      </c>
      <c r="AG34" s="734">
        <f t="shared" si="29"/>
        <v>111</v>
      </c>
      <c r="AH34" s="735">
        <f t="shared" si="29"/>
        <v>782</v>
      </c>
      <c r="AI34" s="733">
        <f t="shared" ref="AI34:BO34" si="30">SUM(AI8,AI28)</f>
        <v>274</v>
      </c>
      <c r="AJ34" s="734">
        <f t="shared" si="30"/>
        <v>379</v>
      </c>
      <c r="AK34" s="734">
        <f t="shared" si="30"/>
        <v>91</v>
      </c>
      <c r="AL34" s="735">
        <f t="shared" si="30"/>
        <v>744</v>
      </c>
      <c r="AM34" s="733">
        <f t="shared" si="30"/>
        <v>268</v>
      </c>
      <c r="AN34" s="734">
        <f t="shared" si="30"/>
        <v>461</v>
      </c>
      <c r="AO34" s="734">
        <f t="shared" si="30"/>
        <v>112</v>
      </c>
      <c r="AP34" s="734">
        <f t="shared" si="30"/>
        <v>841</v>
      </c>
      <c r="AQ34" s="733">
        <f t="shared" si="30"/>
        <v>352</v>
      </c>
      <c r="AR34" s="734">
        <f t="shared" si="30"/>
        <v>401</v>
      </c>
      <c r="AS34" s="734">
        <f t="shared" si="30"/>
        <v>74</v>
      </c>
      <c r="AT34" s="735">
        <f t="shared" si="30"/>
        <v>827</v>
      </c>
      <c r="AU34" s="733">
        <f t="shared" si="30"/>
        <v>309</v>
      </c>
      <c r="AV34" s="734">
        <f t="shared" si="30"/>
        <v>344</v>
      </c>
      <c r="AW34" s="734">
        <f t="shared" si="30"/>
        <v>113</v>
      </c>
      <c r="AX34" s="735">
        <f t="shared" si="30"/>
        <v>766</v>
      </c>
      <c r="AY34" s="733">
        <f t="shared" si="30"/>
        <v>265</v>
      </c>
      <c r="AZ34" s="734">
        <f t="shared" si="30"/>
        <v>323</v>
      </c>
      <c r="BA34" s="734">
        <f t="shared" si="30"/>
        <v>31</v>
      </c>
      <c r="BB34" s="735">
        <f t="shared" si="30"/>
        <v>619</v>
      </c>
      <c r="BC34" s="733">
        <f t="shared" si="30"/>
        <v>264</v>
      </c>
      <c r="BD34" s="734">
        <f t="shared" si="30"/>
        <v>324</v>
      </c>
      <c r="BE34" s="734">
        <f t="shared" si="30"/>
        <v>37</v>
      </c>
      <c r="BF34" s="735">
        <f t="shared" si="30"/>
        <v>625</v>
      </c>
      <c r="BG34" s="733">
        <f t="shared" si="30"/>
        <v>336</v>
      </c>
      <c r="BH34" s="734">
        <f t="shared" si="30"/>
        <v>384</v>
      </c>
      <c r="BI34" s="734">
        <f t="shared" si="30"/>
        <v>49</v>
      </c>
      <c r="BJ34" s="735">
        <f t="shared" si="30"/>
        <v>769</v>
      </c>
      <c r="BK34" s="733">
        <f t="shared" si="30"/>
        <v>336</v>
      </c>
      <c r="BL34" s="734">
        <f t="shared" si="30"/>
        <v>409</v>
      </c>
      <c r="BM34" s="734">
        <f t="shared" si="30"/>
        <v>53</v>
      </c>
      <c r="BN34" s="735">
        <f t="shared" si="30"/>
        <v>798</v>
      </c>
      <c r="BO34" s="733">
        <f t="shared" si="30"/>
        <v>352</v>
      </c>
      <c r="BP34" s="734">
        <f t="shared" ref="BP34:BV34" si="31">SUM(BP8,BP28)</f>
        <v>331</v>
      </c>
      <c r="BQ34" s="734">
        <f t="shared" si="31"/>
        <v>68</v>
      </c>
      <c r="BR34" s="735">
        <f t="shared" si="31"/>
        <v>751</v>
      </c>
      <c r="BS34" s="733">
        <f t="shared" si="31"/>
        <v>305</v>
      </c>
      <c r="BT34" s="734">
        <f t="shared" si="31"/>
        <v>401</v>
      </c>
      <c r="BU34" s="734">
        <f t="shared" si="31"/>
        <v>70</v>
      </c>
      <c r="BV34" s="735">
        <f t="shared" si="31"/>
        <v>776</v>
      </c>
      <c r="BW34" s="733">
        <f t="shared" ref="BW34:BZ34" si="32">SUM(BW8,BW28)</f>
        <v>341</v>
      </c>
      <c r="BX34" s="734">
        <f t="shared" si="32"/>
        <v>386</v>
      </c>
      <c r="BY34" s="734">
        <f t="shared" si="32"/>
        <v>82</v>
      </c>
      <c r="BZ34" s="735">
        <f t="shared" si="32"/>
        <v>809</v>
      </c>
    </row>
    <row r="35" spans="1:78" s="6" customFormat="1" ht="14.25" customHeight="1" x14ac:dyDescent="0.2">
      <c r="A35" s="5829"/>
      <c r="B35" s="246" t="s">
        <v>9</v>
      </c>
      <c r="C35" s="733"/>
      <c r="D35" s="734"/>
      <c r="E35" s="734"/>
      <c r="F35" s="735"/>
      <c r="G35" s="733"/>
      <c r="H35" s="734"/>
      <c r="I35" s="734"/>
      <c r="J35" s="735"/>
      <c r="K35" s="733"/>
      <c r="L35" s="734"/>
      <c r="M35" s="734"/>
      <c r="N35" s="735"/>
      <c r="O35" s="733"/>
      <c r="P35" s="734"/>
      <c r="Q35" s="734"/>
      <c r="R35" s="735"/>
      <c r="S35" s="733"/>
      <c r="T35" s="734"/>
      <c r="U35" s="734"/>
      <c r="V35" s="735"/>
      <c r="W35" s="733"/>
      <c r="X35" s="734"/>
      <c r="Y35" s="734"/>
      <c r="Z35" s="735"/>
      <c r="AA35" s="733"/>
      <c r="AB35" s="734"/>
      <c r="AC35" s="734"/>
      <c r="AD35" s="735"/>
      <c r="AE35" s="733"/>
      <c r="AF35" s="734"/>
      <c r="AG35" s="734"/>
      <c r="AH35" s="735"/>
      <c r="AI35" s="733"/>
      <c r="AJ35" s="734"/>
      <c r="AK35" s="734"/>
      <c r="AL35" s="735"/>
      <c r="AM35" s="733"/>
      <c r="AN35" s="734"/>
      <c r="AO35" s="734"/>
      <c r="AP35" s="734"/>
      <c r="AQ35" s="733"/>
      <c r="AR35" s="734">
        <f t="shared" ref="AR35:BO35" si="33">SUM(AR12)</f>
        <v>0</v>
      </c>
      <c r="AS35" s="734">
        <f t="shared" si="33"/>
        <v>9</v>
      </c>
      <c r="AT35" s="735">
        <f t="shared" si="33"/>
        <v>9</v>
      </c>
      <c r="AU35" s="733">
        <f t="shared" si="33"/>
        <v>0</v>
      </c>
      <c r="AV35" s="734">
        <f t="shared" si="33"/>
        <v>4</v>
      </c>
      <c r="AW35" s="734">
        <f t="shared" si="33"/>
        <v>11</v>
      </c>
      <c r="AX35" s="735">
        <f t="shared" si="33"/>
        <v>15</v>
      </c>
      <c r="AY35" s="733">
        <f t="shared" si="33"/>
        <v>2</v>
      </c>
      <c r="AZ35" s="734">
        <f t="shared" si="33"/>
        <v>16</v>
      </c>
      <c r="BA35" s="734">
        <f t="shared" si="33"/>
        <v>14</v>
      </c>
      <c r="BB35" s="735">
        <f t="shared" si="33"/>
        <v>32</v>
      </c>
      <c r="BC35" s="733">
        <f t="shared" si="33"/>
        <v>5</v>
      </c>
      <c r="BD35" s="734">
        <f t="shared" si="33"/>
        <v>32</v>
      </c>
      <c r="BE35" s="734">
        <f t="shared" si="33"/>
        <v>11</v>
      </c>
      <c r="BF35" s="735">
        <f t="shared" si="33"/>
        <v>48</v>
      </c>
      <c r="BG35" s="733">
        <f t="shared" si="33"/>
        <v>4</v>
      </c>
      <c r="BH35" s="734">
        <f t="shared" si="33"/>
        <v>16</v>
      </c>
      <c r="BI35" s="734">
        <f t="shared" si="33"/>
        <v>1</v>
      </c>
      <c r="BJ35" s="735">
        <f t="shared" si="33"/>
        <v>21</v>
      </c>
      <c r="BK35" s="733">
        <f t="shared" si="33"/>
        <v>5</v>
      </c>
      <c r="BL35" s="734">
        <f t="shared" si="33"/>
        <v>20</v>
      </c>
      <c r="BM35" s="734">
        <f t="shared" si="33"/>
        <v>6</v>
      </c>
      <c r="BN35" s="735">
        <f t="shared" si="33"/>
        <v>31</v>
      </c>
      <c r="BO35" s="733">
        <f t="shared" si="33"/>
        <v>10</v>
      </c>
      <c r="BP35" s="734">
        <f t="shared" ref="BP35:BV36" si="34">SUM(BP12)</f>
        <v>17</v>
      </c>
      <c r="BQ35" s="734">
        <f t="shared" si="34"/>
        <v>2</v>
      </c>
      <c r="BR35" s="735">
        <f t="shared" si="34"/>
        <v>29</v>
      </c>
      <c r="BS35" s="733">
        <f t="shared" si="34"/>
        <v>13</v>
      </c>
      <c r="BT35" s="734">
        <f t="shared" si="34"/>
        <v>18</v>
      </c>
      <c r="BU35" s="734">
        <f t="shared" si="34"/>
        <v>8</v>
      </c>
      <c r="BV35" s="735">
        <f t="shared" si="34"/>
        <v>39</v>
      </c>
      <c r="BW35" s="733">
        <f t="shared" ref="BW35:BZ35" si="35">SUM(BW12)</f>
        <v>17</v>
      </c>
      <c r="BX35" s="734">
        <f t="shared" si="35"/>
        <v>27</v>
      </c>
      <c r="BY35" s="734">
        <f t="shared" si="35"/>
        <v>11</v>
      </c>
      <c r="BZ35" s="735">
        <f t="shared" si="35"/>
        <v>55</v>
      </c>
    </row>
    <row r="36" spans="1:78" s="6" customFormat="1" ht="14.25" customHeight="1" x14ac:dyDescent="0.2">
      <c r="A36" s="5829"/>
      <c r="B36" s="247" t="s">
        <v>74</v>
      </c>
      <c r="C36" s="743"/>
      <c r="D36" s="744"/>
      <c r="E36" s="744"/>
      <c r="F36" s="745"/>
      <c r="G36" s="743"/>
      <c r="H36" s="744"/>
      <c r="I36" s="744"/>
      <c r="J36" s="745"/>
      <c r="K36" s="743"/>
      <c r="L36" s="744"/>
      <c r="M36" s="744"/>
      <c r="N36" s="745"/>
      <c r="O36" s="743"/>
      <c r="P36" s="744"/>
      <c r="Q36" s="744"/>
      <c r="R36" s="745"/>
      <c r="S36" s="743"/>
      <c r="T36" s="744"/>
      <c r="U36" s="744"/>
      <c r="V36" s="745"/>
      <c r="W36" s="743"/>
      <c r="X36" s="744"/>
      <c r="Y36" s="744"/>
      <c r="Z36" s="745"/>
      <c r="AA36" s="743"/>
      <c r="AB36" s="744"/>
      <c r="AC36" s="744"/>
      <c r="AD36" s="745"/>
      <c r="AE36" s="743"/>
      <c r="AF36" s="744"/>
      <c r="AG36" s="744"/>
      <c r="AH36" s="745"/>
      <c r="AI36" s="743"/>
      <c r="AJ36" s="744"/>
      <c r="AK36" s="744"/>
      <c r="AL36" s="745"/>
      <c r="AM36" s="743"/>
      <c r="AN36" s="744"/>
      <c r="AO36" s="744"/>
      <c r="AP36" s="744"/>
      <c r="AQ36" s="743"/>
      <c r="AR36" s="744">
        <f t="shared" ref="AR36:BO36" si="36">SUM(AR13)</f>
        <v>11</v>
      </c>
      <c r="AS36" s="744">
        <f t="shared" si="36"/>
        <v>0</v>
      </c>
      <c r="AT36" s="745">
        <f t="shared" si="36"/>
        <v>11</v>
      </c>
      <c r="AU36" s="743">
        <f t="shared" si="36"/>
        <v>1</v>
      </c>
      <c r="AV36" s="744">
        <f t="shared" si="36"/>
        <v>6</v>
      </c>
      <c r="AW36" s="744">
        <f t="shared" si="36"/>
        <v>3</v>
      </c>
      <c r="AX36" s="745">
        <f t="shared" si="36"/>
        <v>10</v>
      </c>
      <c r="AY36" s="743">
        <f t="shared" si="36"/>
        <v>3</v>
      </c>
      <c r="AZ36" s="744">
        <f t="shared" si="36"/>
        <v>7</v>
      </c>
      <c r="BA36" s="744">
        <f t="shared" si="36"/>
        <v>1</v>
      </c>
      <c r="BB36" s="745">
        <f t="shared" si="36"/>
        <v>11</v>
      </c>
      <c r="BC36" s="743">
        <f t="shared" si="36"/>
        <v>1</v>
      </c>
      <c r="BD36" s="744">
        <f t="shared" si="36"/>
        <v>5</v>
      </c>
      <c r="BE36" s="744">
        <f t="shared" si="36"/>
        <v>12</v>
      </c>
      <c r="BF36" s="745">
        <f t="shared" si="36"/>
        <v>18</v>
      </c>
      <c r="BG36" s="743">
        <f t="shared" si="36"/>
        <v>6</v>
      </c>
      <c r="BH36" s="744">
        <f t="shared" si="36"/>
        <v>7</v>
      </c>
      <c r="BI36" s="744">
        <f t="shared" si="36"/>
        <v>2</v>
      </c>
      <c r="BJ36" s="745">
        <f t="shared" si="36"/>
        <v>15</v>
      </c>
      <c r="BK36" s="743">
        <f t="shared" si="36"/>
        <v>6</v>
      </c>
      <c r="BL36" s="744">
        <f t="shared" si="36"/>
        <v>9</v>
      </c>
      <c r="BM36" s="744">
        <f t="shared" si="36"/>
        <v>7</v>
      </c>
      <c r="BN36" s="745">
        <f t="shared" si="36"/>
        <v>22</v>
      </c>
      <c r="BO36" s="743">
        <f t="shared" si="36"/>
        <v>6</v>
      </c>
      <c r="BP36" s="744">
        <f t="shared" si="34"/>
        <v>10</v>
      </c>
      <c r="BQ36" s="744">
        <f t="shared" si="34"/>
        <v>8</v>
      </c>
      <c r="BR36" s="745">
        <f t="shared" si="34"/>
        <v>24</v>
      </c>
      <c r="BS36" s="743">
        <f t="shared" si="34"/>
        <v>17</v>
      </c>
      <c r="BT36" s="744">
        <f t="shared" si="34"/>
        <v>20</v>
      </c>
      <c r="BU36" s="744">
        <f t="shared" si="34"/>
        <v>5</v>
      </c>
      <c r="BV36" s="745">
        <f t="shared" si="34"/>
        <v>42</v>
      </c>
      <c r="BW36" s="743">
        <f t="shared" ref="BW36:BZ36" si="37">SUM(BW13)</f>
        <v>19</v>
      </c>
      <c r="BX36" s="744">
        <f t="shared" si="37"/>
        <v>16</v>
      </c>
      <c r="BY36" s="744">
        <f t="shared" si="37"/>
        <v>8</v>
      </c>
      <c r="BZ36" s="745">
        <f t="shared" si="37"/>
        <v>43</v>
      </c>
    </row>
    <row r="37" spans="1:78" s="37" customFormat="1" ht="15" x14ac:dyDescent="0.2">
      <c r="A37" s="5830"/>
      <c r="B37" s="593" t="s">
        <v>12</v>
      </c>
      <c r="C37" s="594">
        <f t="shared" ref="C37:R37" si="38">SUM(C31:C36)</f>
        <v>1681</v>
      </c>
      <c r="D37" s="631">
        <f t="shared" si="38"/>
        <v>1864</v>
      </c>
      <c r="E37" s="631">
        <f t="shared" si="38"/>
        <v>981</v>
      </c>
      <c r="F37" s="631">
        <f t="shared" si="38"/>
        <v>4526</v>
      </c>
      <c r="G37" s="594">
        <f t="shared" si="38"/>
        <v>1629</v>
      </c>
      <c r="H37" s="631">
        <f t="shared" si="38"/>
        <v>1923</v>
      </c>
      <c r="I37" s="631">
        <f t="shared" si="38"/>
        <v>1010</v>
      </c>
      <c r="J37" s="631">
        <f t="shared" si="38"/>
        <v>4562</v>
      </c>
      <c r="K37" s="594">
        <f t="shared" si="38"/>
        <v>1616</v>
      </c>
      <c r="L37" s="631">
        <f t="shared" si="38"/>
        <v>1869</v>
      </c>
      <c r="M37" s="631">
        <f t="shared" si="38"/>
        <v>1006</v>
      </c>
      <c r="N37" s="631">
        <f t="shared" si="38"/>
        <v>4491</v>
      </c>
      <c r="O37" s="594">
        <f t="shared" si="38"/>
        <v>1722</v>
      </c>
      <c r="P37" s="631">
        <f t="shared" si="38"/>
        <v>1967</v>
      </c>
      <c r="Q37" s="631">
        <f t="shared" si="38"/>
        <v>1043</v>
      </c>
      <c r="R37" s="631">
        <f t="shared" si="38"/>
        <v>4732</v>
      </c>
      <c r="S37" s="594">
        <f t="shared" ref="S37:BJ37" si="39">SUM(S31:S36)</f>
        <v>1757</v>
      </c>
      <c r="T37" s="631">
        <f t="shared" si="39"/>
        <v>1913</v>
      </c>
      <c r="U37" s="631">
        <f t="shared" si="39"/>
        <v>1023</v>
      </c>
      <c r="V37" s="631">
        <f t="shared" si="39"/>
        <v>4693</v>
      </c>
      <c r="W37" s="594">
        <f t="shared" si="39"/>
        <v>1514</v>
      </c>
      <c r="X37" s="631">
        <f t="shared" si="39"/>
        <v>1926</v>
      </c>
      <c r="Y37" s="631">
        <f t="shared" si="39"/>
        <v>1005</v>
      </c>
      <c r="Z37" s="631">
        <f t="shared" si="39"/>
        <v>4445</v>
      </c>
      <c r="AA37" s="594">
        <f t="shared" si="39"/>
        <v>1549</v>
      </c>
      <c r="AB37" s="631">
        <f t="shared" si="39"/>
        <v>1929</v>
      </c>
      <c r="AC37" s="631">
        <f t="shared" si="39"/>
        <v>956</v>
      </c>
      <c r="AD37" s="631">
        <f t="shared" si="39"/>
        <v>4434</v>
      </c>
      <c r="AE37" s="594">
        <f t="shared" si="39"/>
        <v>1631</v>
      </c>
      <c r="AF37" s="631">
        <f t="shared" si="39"/>
        <v>1902</v>
      </c>
      <c r="AG37" s="631">
        <f t="shared" si="39"/>
        <v>1007</v>
      </c>
      <c r="AH37" s="631">
        <f t="shared" si="39"/>
        <v>4540</v>
      </c>
      <c r="AI37" s="594">
        <f t="shared" si="39"/>
        <v>1551</v>
      </c>
      <c r="AJ37" s="631">
        <f t="shared" si="39"/>
        <v>1943</v>
      </c>
      <c r="AK37" s="631">
        <f t="shared" si="39"/>
        <v>932</v>
      </c>
      <c r="AL37" s="631">
        <f t="shared" si="39"/>
        <v>4426</v>
      </c>
      <c r="AM37" s="594">
        <f t="shared" si="39"/>
        <v>1814</v>
      </c>
      <c r="AN37" s="631">
        <f t="shared" si="39"/>
        <v>2082</v>
      </c>
      <c r="AO37" s="631">
        <f t="shared" si="39"/>
        <v>961</v>
      </c>
      <c r="AP37" s="631">
        <f t="shared" si="39"/>
        <v>4857</v>
      </c>
      <c r="AQ37" s="594">
        <f t="shared" si="39"/>
        <v>1680</v>
      </c>
      <c r="AR37" s="631">
        <f t="shared" si="39"/>
        <v>2222</v>
      </c>
      <c r="AS37" s="631">
        <f t="shared" si="39"/>
        <v>949</v>
      </c>
      <c r="AT37" s="595">
        <f t="shared" si="39"/>
        <v>4851</v>
      </c>
      <c r="AU37" s="594">
        <f t="shared" si="39"/>
        <v>1713</v>
      </c>
      <c r="AV37" s="631">
        <f t="shared" si="39"/>
        <v>2119</v>
      </c>
      <c r="AW37" s="631">
        <f t="shared" si="39"/>
        <v>1022</v>
      </c>
      <c r="AX37" s="595">
        <f t="shared" si="39"/>
        <v>4854</v>
      </c>
      <c r="AY37" s="594">
        <f t="shared" si="39"/>
        <v>1595</v>
      </c>
      <c r="AZ37" s="631">
        <f t="shared" si="39"/>
        <v>1959</v>
      </c>
      <c r="BA37" s="631">
        <f t="shared" si="39"/>
        <v>894</v>
      </c>
      <c r="BB37" s="595">
        <f t="shared" si="39"/>
        <v>4448</v>
      </c>
      <c r="BC37" s="594">
        <f t="shared" si="39"/>
        <v>1620</v>
      </c>
      <c r="BD37" s="631">
        <f t="shared" si="39"/>
        <v>2108</v>
      </c>
      <c r="BE37" s="631">
        <f t="shared" si="39"/>
        <v>946</v>
      </c>
      <c r="BF37" s="595">
        <f t="shared" si="39"/>
        <v>4674</v>
      </c>
      <c r="BG37" s="594">
        <f t="shared" si="39"/>
        <v>1807</v>
      </c>
      <c r="BH37" s="631">
        <f t="shared" si="39"/>
        <v>2329</v>
      </c>
      <c r="BI37" s="631">
        <f t="shared" si="39"/>
        <v>1198</v>
      </c>
      <c r="BJ37" s="595">
        <f t="shared" si="39"/>
        <v>5334</v>
      </c>
      <c r="BK37" s="594">
        <f t="shared" ref="BK37:BV37" si="40">SUM(BK31:BK36)</f>
        <v>1785</v>
      </c>
      <c r="BL37" s="631">
        <f t="shared" si="40"/>
        <v>2239</v>
      </c>
      <c r="BM37" s="631">
        <f t="shared" si="40"/>
        <v>1039</v>
      </c>
      <c r="BN37" s="595">
        <f t="shared" si="40"/>
        <v>5063</v>
      </c>
      <c r="BO37" s="594">
        <f t="shared" si="40"/>
        <v>1798</v>
      </c>
      <c r="BP37" s="631">
        <f t="shared" si="40"/>
        <v>2134</v>
      </c>
      <c r="BQ37" s="631">
        <f t="shared" si="40"/>
        <v>1215</v>
      </c>
      <c r="BR37" s="595">
        <f t="shared" si="40"/>
        <v>5147</v>
      </c>
      <c r="BS37" s="594">
        <f t="shared" si="40"/>
        <v>1790</v>
      </c>
      <c r="BT37" s="631">
        <f t="shared" si="40"/>
        <v>2356</v>
      </c>
      <c r="BU37" s="631">
        <f t="shared" si="40"/>
        <v>999</v>
      </c>
      <c r="BV37" s="595">
        <f t="shared" si="40"/>
        <v>5145</v>
      </c>
      <c r="BW37" s="594">
        <f t="shared" ref="BW37:BZ37" si="41">SUM(BW31:BW36)</f>
        <v>1880</v>
      </c>
      <c r="BX37" s="631">
        <f t="shared" si="41"/>
        <v>2300</v>
      </c>
      <c r="BY37" s="631">
        <f t="shared" si="41"/>
        <v>1247</v>
      </c>
      <c r="BZ37" s="595">
        <f t="shared" si="41"/>
        <v>5427</v>
      </c>
    </row>
    <row r="38" spans="1:78" s="39" customFormat="1" ht="15" x14ac:dyDescent="0.2">
      <c r="C38" s="1908"/>
      <c r="D38" s="1908"/>
      <c r="E38" s="1908"/>
      <c r="F38" s="1908"/>
      <c r="G38" s="1908"/>
      <c r="H38" s="1908"/>
      <c r="I38" s="1908"/>
      <c r="J38" s="1908"/>
      <c r="K38" s="1908"/>
      <c r="L38" s="1908"/>
      <c r="M38" s="1908"/>
      <c r="N38" s="1908"/>
      <c r="O38" s="1908"/>
      <c r="P38" s="1908"/>
      <c r="Q38" s="1908"/>
      <c r="R38" s="1908"/>
      <c r="S38" s="1908"/>
      <c r="T38" s="1908"/>
      <c r="U38" s="1908"/>
      <c r="V38" s="1908"/>
      <c r="W38" s="1908"/>
      <c r="X38" s="1908"/>
      <c r="Y38" s="1908"/>
      <c r="Z38" s="1908"/>
      <c r="AA38" s="1908"/>
      <c r="AB38" s="1908"/>
      <c r="AC38" s="1908"/>
      <c r="AD38" s="1908"/>
      <c r="AE38" s="1908"/>
      <c r="AF38" s="1908"/>
      <c r="AG38" s="1908"/>
      <c r="AH38" s="1908"/>
      <c r="AI38" s="1908"/>
      <c r="AJ38" s="1908"/>
      <c r="AK38" s="1908"/>
      <c r="AL38" s="1908"/>
      <c r="AM38" s="1908"/>
      <c r="AN38" s="1908"/>
      <c r="AO38" s="1908"/>
      <c r="AP38" s="1908"/>
      <c r="AQ38" s="1908"/>
      <c r="AR38" s="1908"/>
      <c r="AS38" s="1908"/>
      <c r="AT38" s="1908"/>
      <c r="AU38" s="1908"/>
      <c r="AV38" s="1908"/>
      <c r="AW38" s="1908"/>
      <c r="AX38" s="1908"/>
      <c r="AY38" s="1908"/>
      <c r="AZ38" s="1908"/>
      <c r="BA38" s="1908"/>
      <c r="BB38" s="1908"/>
      <c r="BC38" s="1908"/>
      <c r="BD38" s="1908"/>
      <c r="BE38" s="1908"/>
      <c r="BF38" s="1908"/>
      <c r="BG38" s="1908"/>
      <c r="BH38" s="1908"/>
      <c r="BI38" s="1908"/>
      <c r="BJ38" s="1908"/>
    </row>
    <row r="39" spans="1:78" s="39" customFormat="1" ht="15" x14ac:dyDescent="0.2">
      <c r="A39" s="240" t="s">
        <v>648</v>
      </c>
    </row>
    <row r="41" spans="1:78" x14ac:dyDescent="0.2">
      <c r="F41"/>
    </row>
    <row r="42" spans="1:78" x14ac:dyDescent="0.2"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</row>
    <row r="44" spans="1:78" ht="12.75" customHeight="1" x14ac:dyDescent="0.2">
      <c r="A44" s="256"/>
    </row>
    <row r="45" spans="1:78" x14ac:dyDescent="0.2">
      <c r="AP45" s="3901">
        <v>1999</v>
      </c>
    </row>
    <row r="46" spans="1:78" x14ac:dyDescent="0.2">
      <c r="AP46" s="3901">
        <v>2000</v>
      </c>
    </row>
    <row r="47" spans="1:78" x14ac:dyDescent="0.2">
      <c r="AP47" s="3901">
        <v>2001</v>
      </c>
    </row>
    <row r="48" spans="1:78" x14ac:dyDescent="0.2">
      <c r="AP48" s="3901">
        <v>2002</v>
      </c>
    </row>
    <row r="49" spans="42:42" x14ac:dyDescent="0.2">
      <c r="AP49" s="3901">
        <v>2003</v>
      </c>
    </row>
    <row r="50" spans="42:42" x14ac:dyDescent="0.2">
      <c r="AP50" s="3901">
        <v>2004</v>
      </c>
    </row>
    <row r="51" spans="42:42" x14ac:dyDescent="0.2">
      <c r="AP51" s="3901">
        <v>2005</v>
      </c>
    </row>
    <row r="52" spans="42:42" x14ac:dyDescent="0.2">
      <c r="AP52" s="3901">
        <v>2006</v>
      </c>
    </row>
    <row r="53" spans="42:42" x14ac:dyDescent="0.2">
      <c r="AP53" s="3901">
        <v>2007</v>
      </c>
    </row>
    <row r="54" spans="42:42" x14ac:dyDescent="0.2">
      <c r="AP54" s="3901">
        <v>2008</v>
      </c>
    </row>
    <row r="55" spans="42:42" x14ac:dyDescent="0.2">
      <c r="AP55" s="3901">
        <v>2009</v>
      </c>
    </row>
    <row r="56" spans="42:42" x14ac:dyDescent="0.2">
      <c r="AP56" s="3901">
        <v>2010</v>
      </c>
    </row>
    <row r="57" spans="42:42" x14ac:dyDescent="0.2">
      <c r="AP57" s="3901">
        <v>2011</v>
      </c>
    </row>
    <row r="58" spans="42:42" x14ac:dyDescent="0.2">
      <c r="AP58" s="3901">
        <v>2012</v>
      </c>
    </row>
    <row r="59" spans="42:42" x14ac:dyDescent="0.2">
      <c r="AP59" s="3901">
        <v>2013</v>
      </c>
    </row>
    <row r="60" spans="42:42" x14ac:dyDescent="0.2">
      <c r="AP60" s="4196">
        <v>2014</v>
      </c>
    </row>
    <row r="61" spans="42:42" x14ac:dyDescent="0.2">
      <c r="AP61" s="3901">
        <v>2015</v>
      </c>
    </row>
    <row r="62" spans="42:42" x14ac:dyDescent="0.2">
      <c r="AP62" s="4196">
        <v>2016</v>
      </c>
    </row>
    <row r="63" spans="42:42" x14ac:dyDescent="0.2">
      <c r="AP63" s="3901">
        <v>2017</v>
      </c>
    </row>
    <row r="64" spans="42:42" x14ac:dyDescent="0.2">
      <c r="AP64" s="4196"/>
    </row>
    <row r="65" spans="42:42" x14ac:dyDescent="0.2">
      <c r="AP65" s="4196"/>
    </row>
    <row r="66" spans="42:42" x14ac:dyDescent="0.2">
      <c r="AP66" s="4196"/>
    </row>
    <row r="67" spans="42:42" x14ac:dyDescent="0.2">
      <c r="AP67" s="4196" t="s">
        <v>161</v>
      </c>
    </row>
    <row r="68" spans="42:42" x14ac:dyDescent="0.2">
      <c r="AP68" s="4196" t="s">
        <v>407</v>
      </c>
    </row>
    <row r="69" spans="42:42" x14ac:dyDescent="0.2">
      <c r="AP69" s="4196" t="s">
        <v>162</v>
      </c>
    </row>
    <row r="70" spans="42:42" x14ac:dyDescent="0.2">
      <c r="AP70" s="4196" t="s">
        <v>163</v>
      </c>
    </row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</sheetData>
  <sheetProtection algorithmName="SHA-512" hashValue="q/R7UNREh1/ImbgG3Dbee4Pf+1AGhosvzgstCGjPt6jsYt2oYjwHVU6MNRm6ooTLiz+mfE/aOnziAVTmR+Rb2A==" saltValue="QNYaVCPHclf27WSFVQcFoA==" spinCount="100000" sheet="1" objects="1" scenarios="1"/>
  <mergeCells count="28">
    <mergeCell ref="A1:B1"/>
    <mergeCell ref="AU3:AX3"/>
    <mergeCell ref="AY3:BB3"/>
    <mergeCell ref="BO3:BR3"/>
    <mergeCell ref="BK3:BN3"/>
    <mergeCell ref="BG3:BJ3"/>
    <mergeCell ref="BC3:BF3"/>
    <mergeCell ref="A3:A4"/>
    <mergeCell ref="B3:B4"/>
    <mergeCell ref="C3:F3"/>
    <mergeCell ref="G3:J3"/>
    <mergeCell ref="K3:N3"/>
    <mergeCell ref="O3:R3"/>
    <mergeCell ref="S3:V3"/>
    <mergeCell ref="A31:A37"/>
    <mergeCell ref="A6:A9"/>
    <mergeCell ref="A16:A19"/>
    <mergeCell ref="A26:A29"/>
    <mergeCell ref="A11:A14"/>
    <mergeCell ref="A21:A24"/>
    <mergeCell ref="BW3:BZ3"/>
    <mergeCell ref="W3:Z3"/>
    <mergeCell ref="AA3:AD3"/>
    <mergeCell ref="AE3:AH3"/>
    <mergeCell ref="AI3:AL3"/>
    <mergeCell ref="AM3:AP3"/>
    <mergeCell ref="BS3:BV3"/>
    <mergeCell ref="AQ3:AT3"/>
  </mergeCells>
  <printOptions horizontalCentered="1" verticalCentered="1"/>
  <pageMargins left="0.35433070866141736" right="0.27559055118110237" top="0.51181102362204722" bottom="0.19685039370078741" header="0" footer="0.31496062992125984"/>
  <pageSetup scale="61" pageOrder="overThenDown" orientation="landscape" horizontalDpi="1200" verticalDpi="1200" r:id="rId1"/>
  <headerFooter alignWithMargins="0"/>
  <rowBreaks count="1" manualBreakCount="1">
    <brk id="39" max="16383" man="1"/>
  </rowBreaks>
  <colBreaks count="3" manualBreakCount="3">
    <brk id="22" max="1048575" man="1"/>
    <brk id="42" max="33" man="1"/>
    <brk id="66" max="1048575" man="1"/>
  </colBreaks>
  <ignoredErrors>
    <ignoredError sqref="AQ15:AT15 AQ25:AT25 C25:R28 C6:R19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L54"/>
  <sheetViews>
    <sheetView showGridLines="0" zoomScaleNormal="100" workbookViewId="0">
      <pane xSplit="2" ySplit="5" topLeftCell="V33" activePane="bottomRight" state="frozen"/>
      <selection sqref="A1:E1"/>
      <selection pane="topRight" sqref="A1:E1"/>
      <selection pane="bottomLeft" sqref="A1:E1"/>
      <selection pane="bottomRight" activeCell="AP55" sqref="AP55"/>
    </sheetView>
  </sheetViews>
  <sheetFormatPr baseColWidth="10" defaultRowHeight="15" x14ac:dyDescent="0.25"/>
  <cols>
    <col min="1" max="1" width="17.140625" style="1696" customWidth="1"/>
    <col min="2" max="2" width="9.140625" style="1696" bestFit="1" customWidth="1"/>
    <col min="3" max="45" width="9.7109375" style="1696" customWidth="1"/>
    <col min="46" max="16384" width="11.42578125" style="1696"/>
  </cols>
  <sheetData>
    <row r="1" spans="1:38" s="3593" customFormat="1" ht="75" customHeight="1" x14ac:dyDescent="0.25">
      <c r="A1" s="5817" t="s">
        <v>1273</v>
      </c>
      <c r="B1" s="5817"/>
    </row>
    <row r="3" spans="1:38" x14ac:dyDescent="0.25">
      <c r="A3" s="5921" t="s">
        <v>16</v>
      </c>
      <c r="B3" s="5653" t="s">
        <v>4</v>
      </c>
      <c r="C3" s="5699">
        <v>2006</v>
      </c>
      <c r="D3" s="5700"/>
      <c r="E3" s="5701"/>
      <c r="F3" s="5699">
        <v>2007</v>
      </c>
      <c r="G3" s="5700"/>
      <c r="H3" s="5701"/>
      <c r="I3" s="5699">
        <v>2008</v>
      </c>
      <c r="J3" s="5700"/>
      <c r="K3" s="5701"/>
      <c r="L3" s="5699">
        <v>2009</v>
      </c>
      <c r="M3" s="5700"/>
      <c r="N3" s="5701"/>
      <c r="O3" s="5699">
        <v>2010</v>
      </c>
      <c r="P3" s="5700"/>
      <c r="Q3" s="5701"/>
      <c r="R3" s="5699">
        <v>2011</v>
      </c>
      <c r="S3" s="5700"/>
      <c r="T3" s="5701"/>
      <c r="U3" s="5699">
        <v>2012</v>
      </c>
      <c r="V3" s="5700"/>
      <c r="W3" s="5701"/>
      <c r="X3" s="5699">
        <v>2013</v>
      </c>
      <c r="Y3" s="5700"/>
      <c r="Z3" s="5701"/>
      <c r="AA3" s="5699">
        <v>2014</v>
      </c>
      <c r="AB3" s="5700"/>
      <c r="AC3" s="5701"/>
      <c r="AD3" s="5699">
        <v>2015</v>
      </c>
      <c r="AE3" s="5700"/>
      <c r="AF3" s="5701"/>
      <c r="AG3" s="5699">
        <v>2016</v>
      </c>
      <c r="AH3" s="5700"/>
      <c r="AI3" s="5701"/>
      <c r="AJ3" s="5699">
        <v>2017</v>
      </c>
      <c r="AK3" s="5700"/>
      <c r="AL3" s="5701"/>
    </row>
    <row r="4" spans="1:38" x14ac:dyDescent="0.25">
      <c r="A4" s="5922"/>
      <c r="B4" s="5654"/>
      <c r="C4" s="1697" t="s">
        <v>658</v>
      </c>
      <c r="D4" s="1697" t="s">
        <v>659</v>
      </c>
      <c r="E4" s="1698" t="s">
        <v>160</v>
      </c>
      <c r="F4" s="1697" t="s">
        <v>658</v>
      </c>
      <c r="G4" s="1697" t="s">
        <v>659</v>
      </c>
      <c r="H4" s="1698" t="s">
        <v>160</v>
      </c>
      <c r="I4" s="1697" t="s">
        <v>658</v>
      </c>
      <c r="J4" s="1697" t="s">
        <v>659</v>
      </c>
      <c r="K4" s="1698" t="s">
        <v>160</v>
      </c>
      <c r="L4" s="1697" t="s">
        <v>658</v>
      </c>
      <c r="M4" s="1697" t="s">
        <v>659</v>
      </c>
      <c r="N4" s="1698" t="s">
        <v>160</v>
      </c>
      <c r="O4" s="1697" t="s">
        <v>658</v>
      </c>
      <c r="P4" s="1697" t="s">
        <v>659</v>
      </c>
      <c r="Q4" s="1698" t="s">
        <v>160</v>
      </c>
      <c r="R4" s="1697" t="s">
        <v>658</v>
      </c>
      <c r="S4" s="1697" t="s">
        <v>659</v>
      </c>
      <c r="T4" s="1698" t="s">
        <v>160</v>
      </c>
      <c r="U4" s="1697" t="s">
        <v>658</v>
      </c>
      <c r="V4" s="1697" t="s">
        <v>659</v>
      </c>
      <c r="W4" s="1698" t="s">
        <v>160</v>
      </c>
      <c r="X4" s="1697" t="s">
        <v>658</v>
      </c>
      <c r="Y4" s="1697" t="s">
        <v>659</v>
      </c>
      <c r="Z4" s="1698" t="s">
        <v>160</v>
      </c>
      <c r="AA4" s="1697" t="s">
        <v>658</v>
      </c>
      <c r="AB4" s="1697" t="s">
        <v>659</v>
      </c>
      <c r="AC4" s="1698" t="s">
        <v>160</v>
      </c>
      <c r="AD4" s="1697" t="s">
        <v>658</v>
      </c>
      <c r="AE4" s="1697" t="s">
        <v>659</v>
      </c>
      <c r="AF4" s="1698" t="s">
        <v>160</v>
      </c>
      <c r="AG4" s="1697" t="s">
        <v>658</v>
      </c>
      <c r="AH4" s="1697" t="s">
        <v>659</v>
      </c>
      <c r="AI4" s="1698" t="s">
        <v>160</v>
      </c>
      <c r="AJ4" s="1697" t="s">
        <v>658</v>
      </c>
      <c r="AK4" s="1697" t="s">
        <v>659</v>
      </c>
      <c r="AL4" s="1698" t="s">
        <v>160</v>
      </c>
    </row>
    <row r="5" spans="1:38" x14ac:dyDescent="0.25">
      <c r="A5" s="1733"/>
      <c r="B5" s="1733"/>
      <c r="C5" s="1733"/>
      <c r="D5" s="1733"/>
      <c r="E5" s="1733"/>
      <c r="F5" s="1733"/>
      <c r="G5" s="1733"/>
      <c r="H5" s="1733"/>
      <c r="I5" s="1733"/>
      <c r="J5" s="1733"/>
      <c r="K5" s="1733"/>
      <c r="L5" s="1733"/>
      <c r="M5" s="1733"/>
      <c r="N5" s="1733"/>
      <c r="O5" s="1733"/>
      <c r="P5" s="1733"/>
      <c r="Q5" s="1733"/>
      <c r="R5" s="1733"/>
      <c r="S5" s="1733"/>
      <c r="T5" s="1733"/>
      <c r="U5" s="1733"/>
      <c r="V5" s="1733"/>
      <c r="W5" s="1733"/>
    </row>
    <row r="6" spans="1:38" x14ac:dyDescent="0.25">
      <c r="A6" s="5918" t="s">
        <v>3</v>
      </c>
      <c r="B6" s="1699" t="s">
        <v>5</v>
      </c>
      <c r="C6" s="1701">
        <v>85</v>
      </c>
      <c r="D6" s="1700">
        <v>300</v>
      </c>
      <c r="E6" s="1702">
        <f>SUM(C6:D6)</f>
        <v>385</v>
      </c>
      <c r="F6" s="1700">
        <v>84</v>
      </c>
      <c r="G6" s="1700">
        <v>255</v>
      </c>
      <c r="H6" s="1700">
        <f>SUM(F6:G6)</f>
        <v>339</v>
      </c>
      <c r="I6" s="1701">
        <v>96</v>
      </c>
      <c r="J6" s="1700">
        <v>266</v>
      </c>
      <c r="K6" s="1702">
        <f>SUM(I6:J6)</f>
        <v>362</v>
      </c>
      <c r="L6" s="1734">
        <v>87</v>
      </c>
      <c r="M6" s="1734">
        <v>263</v>
      </c>
      <c r="N6" s="1735">
        <f>SUM(L6:M6)</f>
        <v>350</v>
      </c>
      <c r="O6" s="1734">
        <v>87</v>
      </c>
      <c r="P6" s="1734">
        <v>281</v>
      </c>
      <c r="Q6" s="1735">
        <f>SUM(O6:P6)</f>
        <v>368</v>
      </c>
      <c r="R6" s="1734">
        <v>105</v>
      </c>
      <c r="S6" s="1734">
        <v>299</v>
      </c>
      <c r="T6" s="1735">
        <f>SUM(R6:S6)</f>
        <v>404</v>
      </c>
      <c r="U6" s="1734">
        <v>102</v>
      </c>
      <c r="V6" s="1734">
        <v>260</v>
      </c>
      <c r="W6" s="1735">
        <f>SUM(U6:V6)</f>
        <v>362</v>
      </c>
      <c r="X6" s="1734">
        <v>152</v>
      </c>
      <c r="Y6" s="1734">
        <v>370</v>
      </c>
      <c r="Z6" s="1735">
        <f>SUM(X6:Y6)</f>
        <v>522</v>
      </c>
      <c r="AA6" s="1734">
        <v>172</v>
      </c>
      <c r="AB6" s="1734">
        <v>402</v>
      </c>
      <c r="AC6" s="1735">
        <v>574</v>
      </c>
      <c r="AD6" s="1738">
        <v>165</v>
      </c>
      <c r="AE6" s="1734">
        <v>362</v>
      </c>
      <c r="AF6" s="1735">
        <f>SUM(AD6:AE6)</f>
        <v>527</v>
      </c>
      <c r="AG6" s="1738">
        <v>152</v>
      </c>
      <c r="AH6" s="1734">
        <v>370</v>
      </c>
      <c r="AI6" s="1735">
        <f>SUM(AG6:AH6)</f>
        <v>522</v>
      </c>
      <c r="AJ6" s="1738">
        <v>195</v>
      </c>
      <c r="AK6" s="1734">
        <v>415</v>
      </c>
      <c r="AL6" s="1735">
        <f>SUM(AJ6:AK6)</f>
        <v>610</v>
      </c>
    </row>
    <row r="7" spans="1:38" x14ac:dyDescent="0.25">
      <c r="A7" s="5919"/>
      <c r="B7" s="1705" t="s">
        <v>6</v>
      </c>
      <c r="C7" s="1707">
        <v>241</v>
      </c>
      <c r="D7" s="1706">
        <v>245</v>
      </c>
      <c r="E7" s="1708">
        <f>SUM(C7:D7)</f>
        <v>486</v>
      </c>
      <c r="F7" s="1706">
        <v>264</v>
      </c>
      <c r="G7" s="1706">
        <v>224</v>
      </c>
      <c r="H7" s="1706">
        <f>SUM(F7:G7)</f>
        <v>488</v>
      </c>
      <c r="I7" s="1707">
        <v>256</v>
      </c>
      <c r="J7" s="1706">
        <v>233</v>
      </c>
      <c r="K7" s="1708">
        <f>SUM(I7:J7)</f>
        <v>489</v>
      </c>
      <c r="L7" s="1736">
        <v>259</v>
      </c>
      <c r="M7" s="1736">
        <v>241</v>
      </c>
      <c r="N7" s="1737">
        <f>SUM(L7:M7)</f>
        <v>500</v>
      </c>
      <c r="O7" s="1736">
        <v>266</v>
      </c>
      <c r="P7" s="1736">
        <v>237</v>
      </c>
      <c r="Q7" s="1737">
        <f>SUM(O7:P7)</f>
        <v>503</v>
      </c>
      <c r="R7" s="1736">
        <v>237</v>
      </c>
      <c r="S7" s="1736">
        <v>202</v>
      </c>
      <c r="T7" s="1737">
        <f>SUM(R7:S7)</f>
        <v>439</v>
      </c>
      <c r="U7" s="1736">
        <v>266</v>
      </c>
      <c r="V7" s="1736">
        <v>258</v>
      </c>
      <c r="W7" s="1737">
        <f>SUM(U7:V7)</f>
        <v>524</v>
      </c>
      <c r="X7" s="1736">
        <v>408</v>
      </c>
      <c r="Y7" s="1736">
        <v>316</v>
      </c>
      <c r="Z7" s="1737">
        <f>SUM(X7:Y7)</f>
        <v>724</v>
      </c>
      <c r="AA7" s="1736">
        <v>322</v>
      </c>
      <c r="AB7" s="1736">
        <v>241</v>
      </c>
      <c r="AC7" s="1737">
        <v>563</v>
      </c>
      <c r="AD7" s="1707">
        <v>375</v>
      </c>
      <c r="AE7" s="1736">
        <v>254</v>
      </c>
      <c r="AF7" s="1737">
        <f>SUM(AD7:AE7)</f>
        <v>629</v>
      </c>
      <c r="AG7" s="1707">
        <v>344</v>
      </c>
      <c r="AH7" s="1736">
        <v>234</v>
      </c>
      <c r="AI7" s="1737">
        <f>SUM(AG7:AH7)</f>
        <v>578</v>
      </c>
      <c r="AJ7" s="1707">
        <v>365</v>
      </c>
      <c r="AK7" s="1736">
        <v>291</v>
      </c>
      <c r="AL7" s="1737">
        <f>SUM(AJ7:AK7)</f>
        <v>656</v>
      </c>
    </row>
    <row r="8" spans="1:38" x14ac:dyDescent="0.25">
      <c r="A8" s="5919"/>
      <c r="B8" s="1705" t="s">
        <v>7</v>
      </c>
      <c r="C8" s="1707">
        <v>129</v>
      </c>
      <c r="D8" s="1706">
        <v>225</v>
      </c>
      <c r="E8" s="1708">
        <f>SUM(C8:D8)</f>
        <v>354</v>
      </c>
      <c r="F8" s="1706">
        <v>159</v>
      </c>
      <c r="G8" s="1706">
        <v>210</v>
      </c>
      <c r="H8" s="1706">
        <f>SUM(F8:G8)</f>
        <v>369</v>
      </c>
      <c r="I8" s="1707">
        <v>132</v>
      </c>
      <c r="J8" s="1706">
        <v>210</v>
      </c>
      <c r="K8" s="1708">
        <f>SUM(I8:J8)</f>
        <v>342</v>
      </c>
      <c r="L8" s="1736">
        <v>130</v>
      </c>
      <c r="M8" s="1736">
        <v>234</v>
      </c>
      <c r="N8" s="1737">
        <f>SUM(L8:M8)</f>
        <v>364</v>
      </c>
      <c r="O8" s="1736">
        <v>144</v>
      </c>
      <c r="P8" s="1736">
        <v>177</v>
      </c>
      <c r="Q8" s="1737">
        <f>SUM(O8:P8)</f>
        <v>321</v>
      </c>
      <c r="R8" s="1736">
        <v>100</v>
      </c>
      <c r="S8" s="1736">
        <v>142</v>
      </c>
      <c r="T8" s="1737">
        <f>SUM(R8:S8)</f>
        <v>242</v>
      </c>
      <c r="U8" s="1736">
        <v>95</v>
      </c>
      <c r="V8" s="1736">
        <v>158</v>
      </c>
      <c r="W8" s="1737">
        <f>SUM(U8:V8)</f>
        <v>253</v>
      </c>
      <c r="X8" s="1736">
        <v>154</v>
      </c>
      <c r="Y8" s="1736">
        <v>179</v>
      </c>
      <c r="Z8" s="1737">
        <f>SUM(X8:Y8)</f>
        <v>333</v>
      </c>
      <c r="AA8" s="1736">
        <v>181</v>
      </c>
      <c r="AB8" s="1736">
        <v>164</v>
      </c>
      <c r="AC8" s="1737">
        <v>345</v>
      </c>
      <c r="AD8" s="1707">
        <v>165</v>
      </c>
      <c r="AE8" s="1706">
        <v>178</v>
      </c>
      <c r="AF8" s="1737">
        <f>SUM(AD8:AE8)</f>
        <v>343</v>
      </c>
      <c r="AG8" s="1707">
        <v>161</v>
      </c>
      <c r="AH8" s="1706">
        <v>167</v>
      </c>
      <c r="AI8" s="1737">
        <f>SUM(AG8:AH8)</f>
        <v>328</v>
      </c>
      <c r="AJ8" s="1707">
        <v>212</v>
      </c>
      <c r="AK8" s="1706">
        <v>197</v>
      </c>
      <c r="AL8" s="1737">
        <f>SUM(AJ8:AK8)</f>
        <v>409</v>
      </c>
    </row>
    <row r="9" spans="1:38" x14ac:dyDescent="0.25">
      <c r="A9" s="5920"/>
      <c r="B9" s="2324" t="s">
        <v>12</v>
      </c>
      <c r="C9" s="2325">
        <f t="shared" ref="C9:Z9" si="0">SUM(C6:C8)</f>
        <v>455</v>
      </c>
      <c r="D9" s="2326">
        <f t="shared" si="0"/>
        <v>770</v>
      </c>
      <c r="E9" s="2327">
        <f t="shared" si="0"/>
        <v>1225</v>
      </c>
      <c r="F9" s="2326">
        <f t="shared" si="0"/>
        <v>507</v>
      </c>
      <c r="G9" s="2326">
        <f t="shared" si="0"/>
        <v>689</v>
      </c>
      <c r="H9" s="2326">
        <f t="shared" si="0"/>
        <v>1196</v>
      </c>
      <c r="I9" s="2325">
        <f t="shared" si="0"/>
        <v>484</v>
      </c>
      <c r="J9" s="2326">
        <f t="shared" si="0"/>
        <v>709</v>
      </c>
      <c r="K9" s="2327">
        <f t="shared" si="0"/>
        <v>1193</v>
      </c>
      <c r="L9" s="2326">
        <f t="shared" si="0"/>
        <v>476</v>
      </c>
      <c r="M9" s="2326">
        <f t="shared" si="0"/>
        <v>738</v>
      </c>
      <c r="N9" s="2327">
        <f t="shared" si="0"/>
        <v>1214</v>
      </c>
      <c r="O9" s="2326">
        <f t="shared" si="0"/>
        <v>497</v>
      </c>
      <c r="P9" s="2326">
        <f t="shared" si="0"/>
        <v>695</v>
      </c>
      <c r="Q9" s="2327">
        <f t="shared" si="0"/>
        <v>1192</v>
      </c>
      <c r="R9" s="2326">
        <f t="shared" si="0"/>
        <v>442</v>
      </c>
      <c r="S9" s="2326">
        <f t="shared" si="0"/>
        <v>643</v>
      </c>
      <c r="T9" s="2327">
        <f t="shared" si="0"/>
        <v>1085</v>
      </c>
      <c r="U9" s="2326">
        <f t="shared" si="0"/>
        <v>463</v>
      </c>
      <c r="V9" s="2326">
        <f t="shared" si="0"/>
        <v>676</v>
      </c>
      <c r="W9" s="2327">
        <f t="shared" si="0"/>
        <v>1139</v>
      </c>
      <c r="X9" s="2326">
        <f t="shared" si="0"/>
        <v>714</v>
      </c>
      <c r="Y9" s="2326">
        <f t="shared" si="0"/>
        <v>865</v>
      </c>
      <c r="Z9" s="2327">
        <f t="shared" si="0"/>
        <v>1579</v>
      </c>
      <c r="AA9" s="2326">
        <f t="shared" ref="AA9:AF9" si="1">SUM(AA6:AA8)</f>
        <v>675</v>
      </c>
      <c r="AB9" s="2326">
        <f t="shared" si="1"/>
        <v>807</v>
      </c>
      <c r="AC9" s="2327">
        <f t="shared" si="1"/>
        <v>1482</v>
      </c>
      <c r="AD9" s="2326">
        <f t="shared" si="1"/>
        <v>705</v>
      </c>
      <c r="AE9" s="2326">
        <f t="shared" si="1"/>
        <v>794</v>
      </c>
      <c r="AF9" s="2327">
        <f t="shared" si="1"/>
        <v>1499</v>
      </c>
      <c r="AG9" s="2326">
        <f t="shared" ref="AG9:AL9" si="2">SUM(AG6:AG8)</f>
        <v>657</v>
      </c>
      <c r="AH9" s="2326">
        <f t="shared" si="2"/>
        <v>771</v>
      </c>
      <c r="AI9" s="2327">
        <f t="shared" si="2"/>
        <v>1428</v>
      </c>
      <c r="AJ9" s="2326">
        <f t="shared" si="2"/>
        <v>772</v>
      </c>
      <c r="AK9" s="2326">
        <f t="shared" si="2"/>
        <v>903</v>
      </c>
      <c r="AL9" s="2327">
        <f t="shared" si="2"/>
        <v>1675</v>
      </c>
    </row>
    <row r="11" spans="1:38" x14ac:dyDescent="0.25">
      <c r="A11" s="5912" t="s">
        <v>8</v>
      </c>
      <c r="B11" s="1699" t="s">
        <v>6</v>
      </c>
      <c r="C11" s="1701"/>
      <c r="D11" s="1700"/>
      <c r="E11" s="1700"/>
      <c r="F11" s="1700"/>
      <c r="G11" s="1700"/>
      <c r="H11" s="1700"/>
      <c r="I11" s="1700"/>
      <c r="J11" s="1700"/>
      <c r="K11" s="1702"/>
      <c r="L11" s="1734">
        <v>29</v>
      </c>
      <c r="M11" s="1734">
        <v>18</v>
      </c>
      <c r="N11" s="1735">
        <f>SUM(L11:M11)</f>
        <v>47</v>
      </c>
      <c r="O11" s="1734">
        <f>16+1</f>
        <v>17</v>
      </c>
      <c r="P11" s="1734">
        <f>12+1</f>
        <v>13</v>
      </c>
      <c r="Q11" s="1735">
        <f>SUM(O11:P11)</f>
        <v>30</v>
      </c>
      <c r="R11" s="1734">
        <v>31</v>
      </c>
      <c r="S11" s="1734">
        <v>20</v>
      </c>
      <c r="T11" s="1735">
        <f>SUM(R11:S11)</f>
        <v>51</v>
      </c>
      <c r="U11" s="1734">
        <v>34</v>
      </c>
      <c r="V11" s="1734">
        <v>20</v>
      </c>
      <c r="W11" s="1735">
        <f>SUM(U11:V11)</f>
        <v>54</v>
      </c>
      <c r="X11" s="1738">
        <v>28</v>
      </c>
      <c r="Y11" s="1734">
        <v>15</v>
      </c>
      <c r="Z11" s="1735">
        <f>SUM(X11:Y11)</f>
        <v>43</v>
      </c>
      <c r="AA11" s="1738">
        <v>14</v>
      </c>
      <c r="AB11" s="1734">
        <v>17</v>
      </c>
      <c r="AC11" s="1735">
        <f>SUM(AA11:AB11)</f>
        <v>31</v>
      </c>
      <c r="AD11" s="1738">
        <v>14</v>
      </c>
      <c r="AE11" s="1734">
        <v>14</v>
      </c>
      <c r="AF11" s="1735">
        <f>SUM(AD11:AE11)</f>
        <v>28</v>
      </c>
      <c r="AG11" s="1738">
        <v>24</v>
      </c>
      <c r="AH11" s="1734">
        <v>8</v>
      </c>
      <c r="AI11" s="1735">
        <f>SUM(AG11:AH11)</f>
        <v>32</v>
      </c>
      <c r="AJ11" s="1738">
        <v>20</v>
      </c>
      <c r="AK11" s="1734">
        <v>16</v>
      </c>
      <c r="AL11" s="1735">
        <f>SUM(AJ11:AK11)</f>
        <v>36</v>
      </c>
    </row>
    <row r="12" spans="1:38" x14ac:dyDescent="0.25">
      <c r="A12" s="5913"/>
      <c r="B12" s="1705" t="s">
        <v>9</v>
      </c>
      <c r="C12" s="1707"/>
      <c r="D12" s="1706"/>
      <c r="E12" s="1706"/>
      <c r="F12" s="1706"/>
      <c r="G12" s="1706"/>
      <c r="H12" s="1706"/>
      <c r="I12" s="1706"/>
      <c r="J12" s="1706"/>
      <c r="K12" s="1708"/>
      <c r="L12" s="1706">
        <v>5</v>
      </c>
      <c r="M12" s="1736">
        <v>4</v>
      </c>
      <c r="N12" s="1737">
        <f>SUM(L12:M12)</f>
        <v>9</v>
      </c>
      <c r="O12" s="1706">
        <v>8</v>
      </c>
      <c r="P12" s="1736">
        <v>7</v>
      </c>
      <c r="Q12" s="1737">
        <f>SUM(O12:P12)</f>
        <v>15</v>
      </c>
      <c r="R12" s="1706">
        <v>21</v>
      </c>
      <c r="S12" s="1736">
        <v>11</v>
      </c>
      <c r="T12" s="1737">
        <f>SUM(R12:S12)</f>
        <v>32</v>
      </c>
      <c r="U12" s="1706">
        <v>23</v>
      </c>
      <c r="V12" s="1736">
        <v>25</v>
      </c>
      <c r="W12" s="1737">
        <f>SUM(U12:V12)</f>
        <v>48</v>
      </c>
      <c r="X12" s="1707">
        <v>15</v>
      </c>
      <c r="Y12" s="1736">
        <v>6</v>
      </c>
      <c r="Z12" s="1737">
        <f>SUM(X12:Y12)</f>
        <v>21</v>
      </c>
      <c r="AA12" s="1707">
        <v>16</v>
      </c>
      <c r="AB12" s="1736">
        <v>15</v>
      </c>
      <c r="AC12" s="1737">
        <f>SUM(AA12:AB12)</f>
        <v>31</v>
      </c>
      <c r="AD12" s="1707">
        <v>18</v>
      </c>
      <c r="AE12" s="1736">
        <v>11</v>
      </c>
      <c r="AF12" s="1737">
        <f>SUM(AD12:AE12)</f>
        <v>29</v>
      </c>
      <c r="AG12" s="1707">
        <v>18</v>
      </c>
      <c r="AH12" s="1736">
        <v>21</v>
      </c>
      <c r="AI12" s="1737">
        <f>SUM(AG12:AH12)</f>
        <v>39</v>
      </c>
      <c r="AJ12" s="1707">
        <v>25</v>
      </c>
      <c r="AK12" s="1736">
        <v>30</v>
      </c>
      <c r="AL12" s="1737">
        <f>SUM(AJ12:AK12)</f>
        <v>55</v>
      </c>
    </row>
    <row r="13" spans="1:38" x14ac:dyDescent="0.25">
      <c r="A13" s="5913"/>
      <c r="B13" s="1705" t="s">
        <v>74</v>
      </c>
      <c r="C13" s="1707"/>
      <c r="D13" s="1706"/>
      <c r="E13" s="1706"/>
      <c r="F13" s="1706"/>
      <c r="G13" s="1706"/>
      <c r="H13" s="1706"/>
      <c r="I13" s="1706"/>
      <c r="J13" s="1706"/>
      <c r="K13" s="1708"/>
      <c r="L13" s="1706">
        <v>3</v>
      </c>
      <c r="M13" s="1706">
        <v>8</v>
      </c>
      <c r="N13" s="1737">
        <f>SUM(L13:M13)</f>
        <v>11</v>
      </c>
      <c r="O13" s="1706">
        <v>1</v>
      </c>
      <c r="P13" s="1706">
        <v>9</v>
      </c>
      <c r="Q13" s="1737">
        <f>SUM(O13:P13)</f>
        <v>10</v>
      </c>
      <c r="R13" s="1706">
        <v>2</v>
      </c>
      <c r="S13" s="1706">
        <v>9</v>
      </c>
      <c r="T13" s="1737">
        <f>SUM(R13:S13)</f>
        <v>11</v>
      </c>
      <c r="U13" s="1706">
        <v>8</v>
      </c>
      <c r="V13" s="1706">
        <v>10</v>
      </c>
      <c r="W13" s="1737">
        <f>SUM(U13:V13)</f>
        <v>18</v>
      </c>
      <c r="X13" s="1707">
        <v>4</v>
      </c>
      <c r="Y13" s="1706">
        <v>11</v>
      </c>
      <c r="Z13" s="1737">
        <f>SUM(X13:Y13)</f>
        <v>15</v>
      </c>
      <c r="AA13" s="1707">
        <v>9</v>
      </c>
      <c r="AB13" s="1706">
        <v>13</v>
      </c>
      <c r="AC13" s="1737">
        <f>SUM(AA13:AB13)</f>
        <v>22</v>
      </c>
      <c r="AD13" s="1707">
        <v>11</v>
      </c>
      <c r="AE13" s="1706">
        <v>13</v>
      </c>
      <c r="AF13" s="1737">
        <f>SUM(AD13:AE13)</f>
        <v>24</v>
      </c>
      <c r="AG13" s="1707">
        <v>19</v>
      </c>
      <c r="AH13" s="1706">
        <v>23</v>
      </c>
      <c r="AI13" s="1737">
        <f>SUM(AG13:AH13)</f>
        <v>42</v>
      </c>
      <c r="AJ13" s="1707">
        <v>24</v>
      </c>
      <c r="AK13" s="1706">
        <v>19</v>
      </c>
      <c r="AL13" s="1737">
        <f>SUM(AJ13:AK13)</f>
        <v>43</v>
      </c>
    </row>
    <row r="14" spans="1:38" x14ac:dyDescent="0.25">
      <c r="A14" s="5914"/>
      <c r="B14" s="2332" t="s">
        <v>12</v>
      </c>
      <c r="C14" s="2333"/>
      <c r="D14" s="2334"/>
      <c r="E14" s="2334"/>
      <c r="F14" s="2334"/>
      <c r="G14" s="2334"/>
      <c r="H14" s="2334"/>
      <c r="I14" s="2334"/>
      <c r="J14" s="2334"/>
      <c r="K14" s="2335"/>
      <c r="L14" s="2334">
        <f t="shared" ref="L14:Z14" si="3">SUM(L11:L13)</f>
        <v>37</v>
      </c>
      <c r="M14" s="2334">
        <f t="shared" si="3"/>
        <v>30</v>
      </c>
      <c r="N14" s="2335">
        <f t="shared" si="3"/>
        <v>67</v>
      </c>
      <c r="O14" s="2334">
        <f t="shared" si="3"/>
        <v>26</v>
      </c>
      <c r="P14" s="2334">
        <f t="shared" si="3"/>
        <v>29</v>
      </c>
      <c r="Q14" s="2335">
        <f t="shared" si="3"/>
        <v>55</v>
      </c>
      <c r="R14" s="2334">
        <f t="shared" si="3"/>
        <v>54</v>
      </c>
      <c r="S14" s="2334">
        <f t="shared" si="3"/>
        <v>40</v>
      </c>
      <c r="T14" s="2335">
        <f t="shared" si="3"/>
        <v>94</v>
      </c>
      <c r="U14" s="2334">
        <f t="shared" si="3"/>
        <v>65</v>
      </c>
      <c r="V14" s="2334">
        <f t="shared" si="3"/>
        <v>55</v>
      </c>
      <c r="W14" s="2335">
        <f t="shared" si="3"/>
        <v>120</v>
      </c>
      <c r="X14" s="2333">
        <f t="shared" si="3"/>
        <v>47</v>
      </c>
      <c r="Y14" s="2334">
        <f t="shared" si="3"/>
        <v>32</v>
      </c>
      <c r="Z14" s="2335">
        <f t="shared" si="3"/>
        <v>79</v>
      </c>
      <c r="AA14" s="2333">
        <f t="shared" ref="AA14:AF14" si="4">SUM(AA11:AA13)</f>
        <v>39</v>
      </c>
      <c r="AB14" s="2334">
        <f t="shared" si="4"/>
        <v>45</v>
      </c>
      <c r="AC14" s="2335">
        <f t="shared" si="4"/>
        <v>84</v>
      </c>
      <c r="AD14" s="2333">
        <f t="shared" si="4"/>
        <v>43</v>
      </c>
      <c r="AE14" s="2334">
        <f t="shared" si="4"/>
        <v>38</v>
      </c>
      <c r="AF14" s="2335">
        <f t="shared" si="4"/>
        <v>81</v>
      </c>
      <c r="AG14" s="2333">
        <f t="shared" ref="AG14:AL14" si="5">SUM(AG11:AG13)</f>
        <v>61</v>
      </c>
      <c r="AH14" s="2334">
        <f t="shared" si="5"/>
        <v>52</v>
      </c>
      <c r="AI14" s="2335">
        <f t="shared" si="5"/>
        <v>113</v>
      </c>
      <c r="AJ14" s="2333">
        <f t="shared" si="5"/>
        <v>69</v>
      </c>
      <c r="AK14" s="2334">
        <f t="shared" si="5"/>
        <v>65</v>
      </c>
      <c r="AL14" s="2335">
        <f t="shared" si="5"/>
        <v>134</v>
      </c>
    </row>
    <row r="16" spans="1:38" x14ac:dyDescent="0.25">
      <c r="A16" s="5903" t="s">
        <v>75</v>
      </c>
      <c r="B16" s="1699" t="s">
        <v>5</v>
      </c>
      <c r="C16" s="1701">
        <v>64</v>
      </c>
      <c r="D16" s="1700">
        <v>203</v>
      </c>
      <c r="E16" s="1702">
        <f>SUM(C16:D16)</f>
        <v>267</v>
      </c>
      <c r="F16" s="1700">
        <v>45</v>
      </c>
      <c r="G16" s="1700">
        <v>128</v>
      </c>
      <c r="H16" s="1700">
        <f>SUM(F16:G16)</f>
        <v>173</v>
      </c>
      <c r="I16" s="1701">
        <v>48</v>
      </c>
      <c r="J16" s="1700">
        <v>115</v>
      </c>
      <c r="K16" s="1702">
        <f>SUM(I16:J16)</f>
        <v>163</v>
      </c>
      <c r="L16" s="1734">
        <v>51</v>
      </c>
      <c r="M16" s="1734">
        <v>116</v>
      </c>
      <c r="N16" s="1735">
        <f>SUM(L16:M16)</f>
        <v>167</v>
      </c>
      <c r="O16" s="1734">
        <v>61</v>
      </c>
      <c r="P16" s="1734">
        <v>178</v>
      </c>
      <c r="Q16" s="1735">
        <f>SUM(O16:P16)</f>
        <v>239</v>
      </c>
      <c r="R16" s="1734">
        <v>58</v>
      </c>
      <c r="S16" s="1734">
        <v>121</v>
      </c>
      <c r="T16" s="1735">
        <f>SUM(R16:S16)</f>
        <v>179</v>
      </c>
      <c r="U16" s="1734">
        <v>54</v>
      </c>
      <c r="V16" s="1734">
        <v>148</v>
      </c>
      <c r="W16" s="1735">
        <f>SUM(U16:V16)</f>
        <v>202</v>
      </c>
      <c r="X16" s="1738">
        <v>53</v>
      </c>
      <c r="Y16" s="1734">
        <v>110</v>
      </c>
      <c r="Z16" s="1735">
        <f>SUM(X16:Y16)</f>
        <v>163</v>
      </c>
      <c r="AA16" s="1738">
        <v>67</v>
      </c>
      <c r="AB16" s="1734">
        <v>145</v>
      </c>
      <c r="AC16" s="1735">
        <f>SUM(AA16:AB16)</f>
        <v>212</v>
      </c>
      <c r="AD16" s="1738">
        <v>61</v>
      </c>
      <c r="AE16" s="1734">
        <v>112</v>
      </c>
      <c r="AF16" s="1735">
        <f>SUM(AD16:AE16)</f>
        <v>173</v>
      </c>
      <c r="AG16" s="1738">
        <v>81</v>
      </c>
      <c r="AH16" s="1734">
        <v>147</v>
      </c>
      <c r="AI16" s="1735">
        <f>SUM(AG16:AH16)</f>
        <v>228</v>
      </c>
      <c r="AJ16" s="1738">
        <v>76</v>
      </c>
      <c r="AK16" s="1734">
        <v>166</v>
      </c>
      <c r="AL16" s="1735">
        <f>SUM(AJ16:AK16)</f>
        <v>242</v>
      </c>
    </row>
    <row r="17" spans="1:38" x14ac:dyDescent="0.25">
      <c r="A17" s="5904"/>
      <c r="B17" s="1705" t="s">
        <v>6</v>
      </c>
      <c r="C17" s="1707">
        <v>274</v>
      </c>
      <c r="D17" s="1706">
        <v>219</v>
      </c>
      <c r="E17" s="1708">
        <f>SUM(C17:D17)</f>
        <v>493</v>
      </c>
      <c r="F17" s="1706">
        <v>257</v>
      </c>
      <c r="G17" s="1706">
        <v>212</v>
      </c>
      <c r="H17" s="1706">
        <f>SUM(F17:G17)</f>
        <v>469</v>
      </c>
      <c r="I17" s="1707">
        <v>254</v>
      </c>
      <c r="J17" s="1706">
        <v>182</v>
      </c>
      <c r="K17" s="1708">
        <f>SUM(I17:J17)</f>
        <v>436</v>
      </c>
      <c r="L17" s="1736">
        <v>286</v>
      </c>
      <c r="M17" s="1736">
        <v>196</v>
      </c>
      <c r="N17" s="1737">
        <f>SUM(L17:M17)</f>
        <v>482</v>
      </c>
      <c r="O17" s="1736">
        <v>312</v>
      </c>
      <c r="P17" s="1736">
        <v>235</v>
      </c>
      <c r="Q17" s="1737">
        <f>SUM(O17:P17)</f>
        <v>547</v>
      </c>
      <c r="R17" s="1736">
        <v>242</v>
      </c>
      <c r="S17" s="1736">
        <v>240</v>
      </c>
      <c r="T17" s="1737">
        <f>SUM(R17:S17)</f>
        <v>482</v>
      </c>
      <c r="U17" s="1736">
        <v>328</v>
      </c>
      <c r="V17" s="1736">
        <v>237</v>
      </c>
      <c r="W17" s="1737">
        <f>SUM(U17:V17)</f>
        <v>565</v>
      </c>
      <c r="X17" s="1739">
        <v>392</v>
      </c>
      <c r="Y17" s="1736">
        <v>276</v>
      </c>
      <c r="Z17" s="1737">
        <f>SUM(X17:Y17)</f>
        <v>668</v>
      </c>
      <c r="AA17" s="1739">
        <v>331</v>
      </c>
      <c r="AB17" s="1736">
        <v>221</v>
      </c>
      <c r="AC17" s="1737">
        <f>SUM(AA17:AB17)</f>
        <v>552</v>
      </c>
      <c r="AD17" s="1739">
        <v>339</v>
      </c>
      <c r="AE17" s="1736">
        <v>235</v>
      </c>
      <c r="AF17" s="1737">
        <f>SUM(AD17:AE17)</f>
        <v>574</v>
      </c>
      <c r="AG17" s="1739">
        <v>310</v>
      </c>
      <c r="AH17" s="1736">
        <v>221</v>
      </c>
      <c r="AI17" s="1737">
        <f>SUM(AG17:AH17)</f>
        <v>531</v>
      </c>
      <c r="AJ17" s="1739">
        <v>336</v>
      </c>
      <c r="AK17" s="1736">
        <v>223</v>
      </c>
      <c r="AL17" s="1737">
        <f>SUM(AJ17:AK17)</f>
        <v>559</v>
      </c>
    </row>
    <row r="18" spans="1:38" x14ac:dyDescent="0.25">
      <c r="A18" s="5904"/>
      <c r="B18" s="1705" t="s">
        <v>11</v>
      </c>
      <c r="C18" s="1707">
        <v>229</v>
      </c>
      <c r="D18" s="1706">
        <v>141</v>
      </c>
      <c r="E18" s="1708">
        <f>SUM(C18:D18)</f>
        <v>370</v>
      </c>
      <c r="F18" s="1706">
        <v>201</v>
      </c>
      <c r="G18" s="1706">
        <v>110</v>
      </c>
      <c r="H18" s="1706">
        <f>SUM(F18:G18)</f>
        <v>311</v>
      </c>
      <c r="I18" s="1707">
        <v>225</v>
      </c>
      <c r="J18" s="1706">
        <v>122</v>
      </c>
      <c r="K18" s="1708">
        <f>SUM(I18:J18)</f>
        <v>347</v>
      </c>
      <c r="L18" s="1736">
        <v>152</v>
      </c>
      <c r="M18" s="1736">
        <v>95</v>
      </c>
      <c r="N18" s="1737">
        <f>SUM(L18:M18)</f>
        <v>247</v>
      </c>
      <c r="O18" s="1736">
        <v>184</v>
      </c>
      <c r="P18" s="1736">
        <v>119</v>
      </c>
      <c r="Q18" s="1737">
        <f>SUM(O18:P18)</f>
        <v>303</v>
      </c>
      <c r="R18" s="1736">
        <v>170</v>
      </c>
      <c r="S18" s="1736">
        <v>85</v>
      </c>
      <c r="T18" s="1737">
        <f>SUM(R18:S18)</f>
        <v>255</v>
      </c>
      <c r="U18" s="1736">
        <v>180</v>
      </c>
      <c r="V18" s="1736">
        <v>117</v>
      </c>
      <c r="W18" s="1737">
        <f>SUM(U18:V18)</f>
        <v>297</v>
      </c>
      <c r="X18" s="1739">
        <v>230</v>
      </c>
      <c r="Y18" s="1736">
        <v>124</v>
      </c>
      <c r="Z18" s="1737">
        <f>SUM(X18:Y18)</f>
        <v>354</v>
      </c>
      <c r="AA18" s="1739">
        <v>218</v>
      </c>
      <c r="AB18" s="1736">
        <v>127</v>
      </c>
      <c r="AC18" s="1737">
        <f>SUM(AA18:AB18)</f>
        <v>345</v>
      </c>
      <c r="AD18" s="1739">
        <v>243</v>
      </c>
      <c r="AE18" s="1736">
        <v>142</v>
      </c>
      <c r="AF18" s="1737">
        <f>SUM(AD18:AE18)</f>
        <v>385</v>
      </c>
      <c r="AG18" s="1739">
        <v>280</v>
      </c>
      <c r="AH18" s="1736">
        <v>153</v>
      </c>
      <c r="AI18" s="1737">
        <f>SUM(AG18:AH18)</f>
        <v>433</v>
      </c>
      <c r="AJ18" s="1739">
        <v>279</v>
      </c>
      <c r="AK18" s="1736">
        <v>176</v>
      </c>
      <c r="AL18" s="1737">
        <f>SUM(AJ18:AK18)</f>
        <v>455</v>
      </c>
    </row>
    <row r="19" spans="1:38" x14ac:dyDescent="0.25">
      <c r="A19" s="5905"/>
      <c r="B19" s="2320" t="s">
        <v>12</v>
      </c>
      <c r="C19" s="2321">
        <f t="shared" ref="C19:Z19" si="6">SUM(C16:C18)</f>
        <v>567</v>
      </c>
      <c r="D19" s="2322">
        <f t="shared" si="6"/>
        <v>563</v>
      </c>
      <c r="E19" s="2323">
        <f t="shared" si="6"/>
        <v>1130</v>
      </c>
      <c r="F19" s="2322">
        <f t="shared" si="6"/>
        <v>503</v>
      </c>
      <c r="G19" s="2322">
        <f t="shared" si="6"/>
        <v>450</v>
      </c>
      <c r="H19" s="2322">
        <f t="shared" si="6"/>
        <v>953</v>
      </c>
      <c r="I19" s="2321">
        <f t="shared" si="6"/>
        <v>527</v>
      </c>
      <c r="J19" s="2322">
        <f t="shared" si="6"/>
        <v>419</v>
      </c>
      <c r="K19" s="2323">
        <f t="shared" si="6"/>
        <v>946</v>
      </c>
      <c r="L19" s="2322">
        <f t="shared" si="6"/>
        <v>489</v>
      </c>
      <c r="M19" s="2322">
        <f t="shared" si="6"/>
        <v>407</v>
      </c>
      <c r="N19" s="2323">
        <f t="shared" si="6"/>
        <v>896</v>
      </c>
      <c r="O19" s="2322">
        <f t="shared" si="6"/>
        <v>557</v>
      </c>
      <c r="P19" s="2322">
        <f t="shared" si="6"/>
        <v>532</v>
      </c>
      <c r="Q19" s="2323">
        <f t="shared" si="6"/>
        <v>1089</v>
      </c>
      <c r="R19" s="2322">
        <f t="shared" si="6"/>
        <v>470</v>
      </c>
      <c r="S19" s="2322">
        <f t="shared" si="6"/>
        <v>446</v>
      </c>
      <c r="T19" s="2323">
        <f t="shared" si="6"/>
        <v>916</v>
      </c>
      <c r="U19" s="2322">
        <f t="shared" si="6"/>
        <v>562</v>
      </c>
      <c r="V19" s="2322">
        <f t="shared" si="6"/>
        <v>502</v>
      </c>
      <c r="W19" s="2323">
        <f t="shared" si="6"/>
        <v>1064</v>
      </c>
      <c r="X19" s="2321">
        <f t="shared" si="6"/>
        <v>675</v>
      </c>
      <c r="Y19" s="2322">
        <f t="shared" si="6"/>
        <v>510</v>
      </c>
      <c r="Z19" s="2323">
        <f t="shared" si="6"/>
        <v>1185</v>
      </c>
      <c r="AA19" s="2321">
        <f t="shared" ref="AA19:AF19" si="7">SUM(AA16:AA18)</f>
        <v>616</v>
      </c>
      <c r="AB19" s="2322">
        <f t="shared" si="7"/>
        <v>493</v>
      </c>
      <c r="AC19" s="2323">
        <f t="shared" si="7"/>
        <v>1109</v>
      </c>
      <c r="AD19" s="2321">
        <f t="shared" si="7"/>
        <v>643</v>
      </c>
      <c r="AE19" s="2322">
        <f t="shared" si="7"/>
        <v>489</v>
      </c>
      <c r="AF19" s="2323">
        <f t="shared" si="7"/>
        <v>1132</v>
      </c>
      <c r="AG19" s="2321">
        <f t="shared" ref="AG19:AL19" si="8">SUM(AG16:AG18)</f>
        <v>671</v>
      </c>
      <c r="AH19" s="2322">
        <f t="shared" si="8"/>
        <v>521</v>
      </c>
      <c r="AI19" s="2323">
        <f t="shared" si="8"/>
        <v>1192</v>
      </c>
      <c r="AJ19" s="2321">
        <f t="shared" si="8"/>
        <v>691</v>
      </c>
      <c r="AK19" s="2322">
        <f t="shared" si="8"/>
        <v>565</v>
      </c>
      <c r="AL19" s="2323">
        <f t="shared" si="8"/>
        <v>1256</v>
      </c>
    </row>
    <row r="20" spans="1:38" x14ac:dyDescent="0.25">
      <c r="A20" s="4181"/>
      <c r="B20" s="4182"/>
      <c r="C20" s="4183"/>
      <c r="D20" s="4183"/>
      <c r="E20" s="4183"/>
      <c r="F20" s="4183"/>
      <c r="G20" s="4183"/>
      <c r="H20" s="4183"/>
      <c r="I20" s="4183"/>
      <c r="J20" s="4183"/>
      <c r="K20" s="4183"/>
      <c r="L20" s="4183"/>
      <c r="M20" s="4183"/>
      <c r="N20" s="4183"/>
      <c r="O20" s="4183"/>
      <c r="P20" s="4183"/>
      <c r="Q20" s="4183"/>
      <c r="R20" s="4183"/>
      <c r="S20" s="4183"/>
      <c r="T20" s="4183"/>
      <c r="U20" s="4183"/>
      <c r="V20" s="4183"/>
      <c r="W20" s="4183"/>
      <c r="X20" s="4183"/>
      <c r="Y20" s="4183"/>
      <c r="Z20" s="4183"/>
      <c r="AA20" s="4183"/>
      <c r="AB20" s="4183"/>
      <c r="AC20" s="4183"/>
      <c r="AD20" s="4183"/>
      <c r="AE20" s="4183"/>
      <c r="AF20" s="4183"/>
      <c r="AG20" s="4183"/>
      <c r="AH20" s="4183"/>
      <c r="AI20" s="4183"/>
      <c r="AJ20" s="4183"/>
      <c r="AK20" s="4183"/>
      <c r="AL20" s="4183"/>
    </row>
    <row r="21" spans="1:38" x14ac:dyDescent="0.25">
      <c r="A21" s="5915" t="s">
        <v>325</v>
      </c>
      <c r="B21" s="1699" t="s">
        <v>5</v>
      </c>
      <c r="C21" s="1701"/>
      <c r="D21" s="1700"/>
      <c r="E21" s="1702"/>
      <c r="F21" s="1700"/>
      <c r="G21" s="1700"/>
      <c r="H21" s="1700"/>
      <c r="I21" s="1701"/>
      <c r="J21" s="1700"/>
      <c r="K21" s="1702"/>
      <c r="L21" s="1734"/>
      <c r="M21" s="1734"/>
      <c r="N21" s="1735"/>
      <c r="O21" s="1734"/>
      <c r="P21" s="1734"/>
      <c r="Q21" s="1735"/>
      <c r="R21" s="1734"/>
      <c r="S21" s="1734"/>
      <c r="T21" s="1735"/>
      <c r="U21" s="1734"/>
      <c r="V21" s="1734"/>
      <c r="W21" s="1735"/>
      <c r="X21" s="1738"/>
      <c r="Y21" s="1734"/>
      <c r="Z21" s="1735"/>
      <c r="AA21" s="1738"/>
      <c r="AB21" s="1734"/>
      <c r="AC21" s="1735"/>
      <c r="AD21" s="1738">
        <v>9</v>
      </c>
      <c r="AE21" s="1734">
        <v>11</v>
      </c>
      <c r="AF21" s="1735">
        <f>SUM(AD21:AE21)</f>
        <v>20</v>
      </c>
      <c r="AG21" s="1738">
        <v>1</v>
      </c>
      <c r="AH21" s="1734">
        <v>4</v>
      </c>
      <c r="AI21" s="1735">
        <f>SUM(AG21:AH21)</f>
        <v>5</v>
      </c>
      <c r="AJ21" s="1738">
        <v>5</v>
      </c>
      <c r="AK21" s="1734">
        <v>8</v>
      </c>
      <c r="AL21" s="1735">
        <f>SUM(AJ21:AK21)</f>
        <v>13</v>
      </c>
    </row>
    <row r="22" spans="1:38" x14ac:dyDescent="0.25">
      <c r="A22" s="5916"/>
      <c r="B22" s="1705" t="s">
        <v>6</v>
      </c>
      <c r="C22" s="1707"/>
      <c r="D22" s="1706"/>
      <c r="E22" s="1708"/>
      <c r="F22" s="1706"/>
      <c r="G22" s="1706"/>
      <c r="H22" s="1706"/>
      <c r="I22" s="1707"/>
      <c r="J22" s="1706"/>
      <c r="K22" s="1708"/>
      <c r="L22" s="1736"/>
      <c r="M22" s="1736"/>
      <c r="N22" s="1737"/>
      <c r="O22" s="1736"/>
      <c r="P22" s="1736"/>
      <c r="Q22" s="1737"/>
      <c r="R22" s="1736"/>
      <c r="S22" s="1736"/>
      <c r="T22" s="1737"/>
      <c r="U22" s="1736"/>
      <c r="V22" s="1736"/>
      <c r="W22" s="1737"/>
      <c r="X22" s="1739"/>
      <c r="Y22" s="1736"/>
      <c r="Z22" s="1737"/>
      <c r="AA22" s="1739"/>
      <c r="AB22" s="1736"/>
      <c r="AC22" s="1737"/>
      <c r="AD22" s="1739">
        <v>22</v>
      </c>
      <c r="AE22" s="1736">
        <v>10</v>
      </c>
      <c r="AF22" s="1737">
        <f>SUM(AD22:AE22)</f>
        <v>32</v>
      </c>
      <c r="AG22" s="1739">
        <v>9</v>
      </c>
      <c r="AH22" s="1736">
        <v>1</v>
      </c>
      <c r="AI22" s="1737">
        <f>SUM(AG22:AH22)</f>
        <v>10</v>
      </c>
      <c r="AJ22" s="1739">
        <v>19</v>
      </c>
      <c r="AK22" s="1736">
        <v>19</v>
      </c>
      <c r="AL22" s="1737">
        <f>SUM(AJ22:AK22)</f>
        <v>38</v>
      </c>
    </row>
    <row r="23" spans="1:38" x14ac:dyDescent="0.25">
      <c r="A23" s="5916"/>
      <c r="B23" s="1705" t="s">
        <v>11</v>
      </c>
      <c r="C23" s="1707"/>
      <c r="D23" s="1706"/>
      <c r="E23" s="1708"/>
      <c r="F23" s="1706"/>
      <c r="G23" s="1706"/>
      <c r="H23" s="1706"/>
      <c r="I23" s="1707"/>
      <c r="J23" s="1706"/>
      <c r="K23" s="1708"/>
      <c r="L23" s="1736"/>
      <c r="M23" s="1736"/>
      <c r="N23" s="1737"/>
      <c r="O23" s="1736"/>
      <c r="P23" s="1736"/>
      <c r="Q23" s="1737"/>
      <c r="R23" s="1736"/>
      <c r="S23" s="1736"/>
      <c r="T23" s="1737"/>
      <c r="U23" s="1736"/>
      <c r="V23" s="1736"/>
      <c r="W23" s="1737"/>
      <c r="X23" s="1739"/>
      <c r="Y23" s="1736"/>
      <c r="Z23" s="1737"/>
      <c r="AA23" s="1739"/>
      <c r="AB23" s="1736"/>
      <c r="AC23" s="1737"/>
      <c r="AD23" s="1739">
        <v>21</v>
      </c>
      <c r="AE23" s="1736">
        <v>2</v>
      </c>
      <c r="AF23" s="1737">
        <f>SUM(AD23:AE23)</f>
        <v>23</v>
      </c>
      <c r="AG23" s="1739">
        <v>5</v>
      </c>
      <c r="AH23" s="1736">
        <v>9</v>
      </c>
      <c r="AI23" s="1737">
        <f>SUM(AG23:AH23)</f>
        <v>14</v>
      </c>
      <c r="AJ23" s="1739">
        <v>23</v>
      </c>
      <c r="AK23" s="1736">
        <v>7</v>
      </c>
      <c r="AL23" s="1737">
        <f>SUM(AJ23:AK23)</f>
        <v>30</v>
      </c>
    </row>
    <row r="24" spans="1:38" x14ac:dyDescent="0.25">
      <c r="A24" s="5917"/>
      <c r="B24" s="3881" t="s">
        <v>12</v>
      </c>
      <c r="C24" s="3883"/>
      <c r="D24" s="3882"/>
      <c r="E24" s="3884"/>
      <c r="F24" s="3882"/>
      <c r="G24" s="3882"/>
      <c r="H24" s="3882"/>
      <c r="I24" s="3883"/>
      <c r="J24" s="3882"/>
      <c r="K24" s="3884"/>
      <c r="L24" s="3882"/>
      <c r="M24" s="3882"/>
      <c r="N24" s="3884"/>
      <c r="O24" s="3882"/>
      <c r="P24" s="3882"/>
      <c r="Q24" s="3884"/>
      <c r="R24" s="3882"/>
      <c r="S24" s="3882"/>
      <c r="T24" s="3884"/>
      <c r="U24" s="3882"/>
      <c r="V24" s="3882"/>
      <c r="W24" s="3884"/>
      <c r="X24" s="3883"/>
      <c r="Y24" s="3882"/>
      <c r="Z24" s="3884"/>
      <c r="AA24" s="3883"/>
      <c r="AB24" s="3882"/>
      <c r="AC24" s="3884"/>
      <c r="AD24" s="3883">
        <f t="shared" ref="AD24:AI24" si="9">SUM(AD21:AD23)</f>
        <v>52</v>
      </c>
      <c r="AE24" s="3882">
        <f t="shared" si="9"/>
        <v>23</v>
      </c>
      <c r="AF24" s="3884">
        <f t="shared" si="9"/>
        <v>75</v>
      </c>
      <c r="AG24" s="3883">
        <f t="shared" si="9"/>
        <v>15</v>
      </c>
      <c r="AH24" s="3882">
        <f t="shared" si="9"/>
        <v>14</v>
      </c>
      <c r="AI24" s="3884">
        <f t="shared" si="9"/>
        <v>29</v>
      </c>
      <c r="AJ24" s="3883">
        <f t="shared" ref="AJ24:AL24" si="10">SUM(AJ21:AJ23)</f>
        <v>47</v>
      </c>
      <c r="AK24" s="3882">
        <f t="shared" si="10"/>
        <v>34</v>
      </c>
      <c r="AL24" s="3884">
        <f t="shared" si="10"/>
        <v>81</v>
      </c>
    </row>
    <row r="26" spans="1:38" x14ac:dyDescent="0.25">
      <c r="A26" s="5906" t="s">
        <v>10</v>
      </c>
      <c r="B26" s="1699" t="s">
        <v>6</v>
      </c>
      <c r="C26" s="1701">
        <v>421</v>
      </c>
      <c r="D26" s="1700">
        <v>340</v>
      </c>
      <c r="E26" s="1702">
        <f>SUM(C26:D26)</f>
        <v>761</v>
      </c>
      <c r="F26" s="1700">
        <v>466</v>
      </c>
      <c r="G26" s="1700">
        <v>330</v>
      </c>
      <c r="H26" s="1700">
        <f>SUM(F26:G26)</f>
        <v>796</v>
      </c>
      <c r="I26" s="1701">
        <v>587</v>
      </c>
      <c r="J26" s="1700">
        <v>406</v>
      </c>
      <c r="K26" s="1702">
        <f>SUM(I26:J26)</f>
        <v>993</v>
      </c>
      <c r="L26" s="1734">
        <v>565</v>
      </c>
      <c r="M26" s="1734">
        <v>362</v>
      </c>
      <c r="N26" s="1735">
        <f>SUM(L26:M26)</f>
        <v>927</v>
      </c>
      <c r="O26" s="1734">
        <v>497</v>
      </c>
      <c r="P26" s="1734">
        <v>388</v>
      </c>
      <c r="Q26" s="1735">
        <f>SUM(O26:P26)</f>
        <v>885</v>
      </c>
      <c r="R26" s="1734">
        <v>446</v>
      </c>
      <c r="S26" s="1734">
        <v>370</v>
      </c>
      <c r="T26" s="1735">
        <f>SUM(R26:S26)</f>
        <v>816</v>
      </c>
      <c r="U26" s="1734">
        <v>468</v>
      </c>
      <c r="V26" s="1734">
        <v>326</v>
      </c>
      <c r="W26" s="1735">
        <f>SUM(U26:V26)</f>
        <v>794</v>
      </c>
      <c r="X26" s="1738">
        <v>554</v>
      </c>
      <c r="Y26" s="1734">
        <v>356</v>
      </c>
      <c r="Z26" s="1735">
        <f>SUM(X26:Y26)</f>
        <v>910</v>
      </c>
      <c r="AA26" s="1738">
        <v>470</v>
      </c>
      <c r="AB26" s="1734">
        <v>338</v>
      </c>
      <c r="AC26" s="1735">
        <f>SUM(AA26:AB26)</f>
        <v>808</v>
      </c>
      <c r="AD26" s="1738">
        <v>477</v>
      </c>
      <c r="AE26" s="1734">
        <v>332</v>
      </c>
      <c r="AF26" s="1735">
        <f>SUM(AD26:AE26)</f>
        <v>809</v>
      </c>
      <c r="AG26" s="1738">
        <v>488</v>
      </c>
      <c r="AH26" s="1734">
        <v>377</v>
      </c>
      <c r="AI26" s="1735">
        <f>SUM(AG26:AH26)</f>
        <v>865</v>
      </c>
      <c r="AJ26" s="1738">
        <v>428</v>
      </c>
      <c r="AK26" s="1734">
        <v>332</v>
      </c>
      <c r="AL26" s="1735">
        <f>SUM(AJ26:AK26)</f>
        <v>760</v>
      </c>
    </row>
    <row r="27" spans="1:38" x14ac:dyDescent="0.25">
      <c r="A27" s="5907"/>
      <c r="B27" s="1705" t="s">
        <v>11</v>
      </c>
      <c r="C27" s="1707">
        <v>576</v>
      </c>
      <c r="D27" s="1706">
        <v>382</v>
      </c>
      <c r="E27" s="1708">
        <f>SUM(C27:D27)</f>
        <v>958</v>
      </c>
      <c r="F27" s="1706">
        <v>701</v>
      </c>
      <c r="G27" s="1706">
        <v>405</v>
      </c>
      <c r="H27" s="1706">
        <f>SUM(F27:G27)</f>
        <v>1106</v>
      </c>
      <c r="I27" s="1707">
        <v>785</v>
      </c>
      <c r="J27" s="1706">
        <v>441</v>
      </c>
      <c r="K27" s="1708">
        <f>SUM(I27:J27)</f>
        <v>1226</v>
      </c>
      <c r="L27" s="1736">
        <v>834</v>
      </c>
      <c r="M27" s="1736">
        <v>450</v>
      </c>
      <c r="N27" s="1737">
        <f>SUM(L27:M27)</f>
        <v>1284</v>
      </c>
      <c r="O27" s="1736">
        <v>728</v>
      </c>
      <c r="P27" s="1736">
        <v>462</v>
      </c>
      <c r="Q27" s="1737">
        <f>SUM(O27:P27)</f>
        <v>1190</v>
      </c>
      <c r="R27" s="1736">
        <v>721</v>
      </c>
      <c r="S27" s="1736">
        <v>439</v>
      </c>
      <c r="T27" s="1737">
        <f>SUM(R27:S27)</f>
        <v>1160</v>
      </c>
      <c r="U27" s="1736">
        <v>765</v>
      </c>
      <c r="V27" s="1736">
        <v>420</v>
      </c>
      <c r="W27" s="1737">
        <f>SUM(U27:V27)</f>
        <v>1185</v>
      </c>
      <c r="X27" s="1739">
        <v>699</v>
      </c>
      <c r="Y27" s="1736">
        <v>446</v>
      </c>
      <c r="Z27" s="1737">
        <f>SUM(X27:Y27)</f>
        <v>1145</v>
      </c>
      <c r="AA27" s="1739">
        <v>717</v>
      </c>
      <c r="AB27" s="1736">
        <v>410</v>
      </c>
      <c r="AC27" s="1737">
        <f>SUM(AA27:AB27)</f>
        <v>1127</v>
      </c>
      <c r="AD27" s="1739">
        <v>725</v>
      </c>
      <c r="AE27" s="1736">
        <v>418</v>
      </c>
      <c r="AF27" s="1737">
        <f>SUM(AD27:AE27)</f>
        <v>1143</v>
      </c>
      <c r="AG27" s="1739">
        <v>667</v>
      </c>
      <c r="AH27" s="1736">
        <v>403</v>
      </c>
      <c r="AI27" s="1737">
        <f>SUM(AG27:AH27)</f>
        <v>1070</v>
      </c>
      <c r="AJ27" s="1739">
        <v>713</v>
      </c>
      <c r="AK27" s="1736">
        <v>408</v>
      </c>
      <c r="AL27" s="1737">
        <f>SUM(AJ27:AK27)</f>
        <v>1121</v>
      </c>
    </row>
    <row r="28" spans="1:38" x14ac:dyDescent="0.25">
      <c r="A28" s="5907"/>
      <c r="B28" s="1705" t="s">
        <v>7</v>
      </c>
      <c r="C28" s="1707">
        <v>141</v>
      </c>
      <c r="D28" s="1706">
        <v>283</v>
      </c>
      <c r="E28" s="1708">
        <f>SUM(C28:D28)</f>
        <v>424</v>
      </c>
      <c r="F28" s="1706">
        <v>110</v>
      </c>
      <c r="G28" s="1706">
        <v>265</v>
      </c>
      <c r="H28" s="1706">
        <f>SUM(F28:G28)</f>
        <v>375</v>
      </c>
      <c r="I28" s="1707">
        <v>173</v>
      </c>
      <c r="J28" s="1706">
        <v>326</v>
      </c>
      <c r="K28" s="1708">
        <f>SUM(I28:J28)</f>
        <v>499</v>
      </c>
      <c r="L28" s="1736">
        <v>156</v>
      </c>
      <c r="M28" s="1736">
        <v>307</v>
      </c>
      <c r="N28" s="1737">
        <f>SUM(L28:M28)</f>
        <v>463</v>
      </c>
      <c r="O28" s="1736">
        <v>157</v>
      </c>
      <c r="P28" s="1736">
        <v>288</v>
      </c>
      <c r="Q28" s="1737">
        <f>SUM(O28:P28)</f>
        <v>445</v>
      </c>
      <c r="R28" s="1736">
        <v>132</v>
      </c>
      <c r="S28" s="1736">
        <v>245</v>
      </c>
      <c r="T28" s="1737">
        <f>SUM(R28:S28)</f>
        <v>377</v>
      </c>
      <c r="U28" s="1736">
        <v>139</v>
      </c>
      <c r="V28" s="1736">
        <v>233</v>
      </c>
      <c r="W28" s="1737">
        <f>SUM(U28:V28)</f>
        <v>372</v>
      </c>
      <c r="X28" s="1739">
        <v>170</v>
      </c>
      <c r="Y28" s="1736">
        <v>266</v>
      </c>
      <c r="Z28" s="1737">
        <f>SUM(X28:Y28)</f>
        <v>436</v>
      </c>
      <c r="AA28" s="1739">
        <v>168</v>
      </c>
      <c r="AB28" s="1736">
        <v>285</v>
      </c>
      <c r="AC28" s="1737">
        <f>SUM(AA28:AB28)</f>
        <v>453</v>
      </c>
      <c r="AD28" s="1739">
        <v>187</v>
      </c>
      <c r="AE28" s="1736">
        <v>221</v>
      </c>
      <c r="AF28" s="1737">
        <f>SUM(AD28:AE28)</f>
        <v>408</v>
      </c>
      <c r="AG28" s="1739">
        <v>190</v>
      </c>
      <c r="AH28" s="1736">
        <v>258</v>
      </c>
      <c r="AI28" s="1737">
        <f>SUM(AG28:AH28)</f>
        <v>448</v>
      </c>
      <c r="AJ28" s="1739">
        <v>175</v>
      </c>
      <c r="AK28" s="1736">
        <v>225</v>
      </c>
      <c r="AL28" s="1737">
        <f>SUM(AJ28:AK28)</f>
        <v>400</v>
      </c>
    </row>
    <row r="29" spans="1:38" x14ac:dyDescent="0.25">
      <c r="A29" s="5908"/>
      <c r="B29" s="2328" t="s">
        <v>12</v>
      </c>
      <c r="C29" s="2329">
        <f t="shared" ref="C29:Z29" si="11">SUM(C26:C28)</f>
        <v>1138</v>
      </c>
      <c r="D29" s="2330">
        <f t="shared" si="11"/>
        <v>1005</v>
      </c>
      <c r="E29" s="2331">
        <f t="shared" si="11"/>
        <v>2143</v>
      </c>
      <c r="F29" s="2330">
        <f t="shared" si="11"/>
        <v>1277</v>
      </c>
      <c r="G29" s="2330">
        <f t="shared" si="11"/>
        <v>1000</v>
      </c>
      <c r="H29" s="2330">
        <f t="shared" si="11"/>
        <v>2277</v>
      </c>
      <c r="I29" s="2329">
        <f t="shared" si="11"/>
        <v>1545</v>
      </c>
      <c r="J29" s="2330">
        <f t="shared" si="11"/>
        <v>1173</v>
      </c>
      <c r="K29" s="2331">
        <f t="shared" si="11"/>
        <v>2718</v>
      </c>
      <c r="L29" s="2330">
        <f t="shared" si="11"/>
        <v>1555</v>
      </c>
      <c r="M29" s="2330">
        <f t="shared" si="11"/>
        <v>1119</v>
      </c>
      <c r="N29" s="2331">
        <f t="shared" si="11"/>
        <v>2674</v>
      </c>
      <c r="O29" s="2330">
        <f t="shared" si="11"/>
        <v>1382</v>
      </c>
      <c r="P29" s="2330">
        <f t="shared" si="11"/>
        <v>1138</v>
      </c>
      <c r="Q29" s="2331">
        <f t="shared" si="11"/>
        <v>2520</v>
      </c>
      <c r="R29" s="2330">
        <f t="shared" si="11"/>
        <v>1299</v>
      </c>
      <c r="S29" s="2330">
        <f t="shared" si="11"/>
        <v>1054</v>
      </c>
      <c r="T29" s="2331">
        <f t="shared" si="11"/>
        <v>2353</v>
      </c>
      <c r="U29" s="2330">
        <f t="shared" si="11"/>
        <v>1372</v>
      </c>
      <c r="V29" s="2330">
        <f t="shared" si="11"/>
        <v>979</v>
      </c>
      <c r="W29" s="2331">
        <f t="shared" si="11"/>
        <v>2351</v>
      </c>
      <c r="X29" s="2329">
        <f t="shared" si="11"/>
        <v>1423</v>
      </c>
      <c r="Y29" s="2330">
        <f t="shared" si="11"/>
        <v>1068</v>
      </c>
      <c r="Z29" s="2331">
        <f t="shared" si="11"/>
        <v>2491</v>
      </c>
      <c r="AA29" s="2329">
        <f t="shared" ref="AA29:AF29" si="12">SUM(AA26:AA28)</f>
        <v>1355</v>
      </c>
      <c r="AB29" s="2330">
        <f t="shared" si="12"/>
        <v>1033</v>
      </c>
      <c r="AC29" s="2331">
        <f t="shared" si="12"/>
        <v>2388</v>
      </c>
      <c r="AD29" s="2329">
        <f t="shared" si="12"/>
        <v>1389</v>
      </c>
      <c r="AE29" s="2330">
        <f t="shared" si="12"/>
        <v>971</v>
      </c>
      <c r="AF29" s="2331">
        <f t="shared" si="12"/>
        <v>2360</v>
      </c>
      <c r="AG29" s="2329">
        <f t="shared" ref="AG29:AL29" si="13">SUM(AG26:AG28)</f>
        <v>1345</v>
      </c>
      <c r="AH29" s="2330">
        <f t="shared" si="13"/>
        <v>1038</v>
      </c>
      <c r="AI29" s="2331">
        <f t="shared" si="13"/>
        <v>2383</v>
      </c>
      <c r="AJ29" s="2329">
        <f t="shared" si="13"/>
        <v>1316</v>
      </c>
      <c r="AK29" s="2330">
        <f t="shared" si="13"/>
        <v>965</v>
      </c>
      <c r="AL29" s="2331">
        <f t="shared" si="13"/>
        <v>2281</v>
      </c>
    </row>
    <row r="30" spans="1:38" x14ac:dyDescent="0.25">
      <c r="A30" s="1740"/>
      <c r="B30" s="1740"/>
      <c r="C30" s="1741"/>
      <c r="D30" s="1741"/>
      <c r="E30" s="1741"/>
      <c r="F30" s="1741"/>
      <c r="G30" s="1741"/>
      <c r="H30" s="1741"/>
      <c r="I30" s="1741"/>
      <c r="J30" s="1741"/>
      <c r="K30" s="1741"/>
      <c r="L30" s="1742"/>
      <c r="M30" s="1742"/>
      <c r="N30" s="1742"/>
      <c r="O30" s="1742"/>
      <c r="P30" s="1742"/>
      <c r="Q30" s="1742"/>
      <c r="R30" s="1742"/>
      <c r="S30" s="1742"/>
      <c r="T30" s="1742"/>
      <c r="U30" s="1742"/>
      <c r="V30" s="1742"/>
      <c r="W30" s="1742"/>
      <c r="X30" s="1742"/>
      <c r="Y30" s="1742"/>
      <c r="Z30" s="1742"/>
      <c r="AA30" s="1742"/>
      <c r="AB30" s="1742"/>
      <c r="AC30" s="1742"/>
      <c r="AD30" s="1742"/>
      <c r="AE30" s="1742"/>
      <c r="AF30" s="1742"/>
      <c r="AG30" s="1742"/>
      <c r="AH30" s="1742"/>
      <c r="AI30" s="1742"/>
      <c r="AJ30" s="1742"/>
      <c r="AK30" s="1742"/>
      <c r="AL30" s="1742"/>
    </row>
    <row r="31" spans="1:38" x14ac:dyDescent="0.25">
      <c r="A31" s="5909" t="s">
        <v>60</v>
      </c>
      <c r="B31" s="1699" t="s">
        <v>5</v>
      </c>
      <c r="C31" s="1701">
        <f t="shared" ref="C31:AC31" si="14">SUM(C6,C16)</f>
        <v>149</v>
      </c>
      <c r="D31" s="1700">
        <f t="shared" si="14"/>
        <v>503</v>
      </c>
      <c r="E31" s="1702">
        <f t="shared" si="14"/>
        <v>652</v>
      </c>
      <c r="F31" s="1700">
        <f t="shared" si="14"/>
        <v>129</v>
      </c>
      <c r="G31" s="1700">
        <f t="shared" si="14"/>
        <v>383</v>
      </c>
      <c r="H31" s="1700">
        <f t="shared" si="14"/>
        <v>512</v>
      </c>
      <c r="I31" s="1701">
        <f t="shared" si="14"/>
        <v>144</v>
      </c>
      <c r="J31" s="1700">
        <f t="shared" si="14"/>
        <v>381</v>
      </c>
      <c r="K31" s="1702">
        <f t="shared" si="14"/>
        <v>525</v>
      </c>
      <c r="L31" s="1701">
        <f t="shared" si="14"/>
        <v>138</v>
      </c>
      <c r="M31" s="1700">
        <f t="shared" si="14"/>
        <v>379</v>
      </c>
      <c r="N31" s="1702">
        <f t="shared" si="14"/>
        <v>517</v>
      </c>
      <c r="O31" s="1701">
        <f t="shared" si="14"/>
        <v>148</v>
      </c>
      <c r="P31" s="1700">
        <f t="shared" si="14"/>
        <v>459</v>
      </c>
      <c r="Q31" s="1702">
        <f t="shared" si="14"/>
        <v>607</v>
      </c>
      <c r="R31" s="1701">
        <f t="shared" si="14"/>
        <v>163</v>
      </c>
      <c r="S31" s="1700">
        <f t="shared" si="14"/>
        <v>420</v>
      </c>
      <c r="T31" s="1702">
        <f t="shared" si="14"/>
        <v>583</v>
      </c>
      <c r="U31" s="1701">
        <f t="shared" si="14"/>
        <v>156</v>
      </c>
      <c r="V31" s="1700">
        <f t="shared" si="14"/>
        <v>408</v>
      </c>
      <c r="W31" s="1702">
        <f t="shared" si="14"/>
        <v>564</v>
      </c>
      <c r="X31" s="1701">
        <f t="shared" si="14"/>
        <v>205</v>
      </c>
      <c r="Y31" s="1700">
        <f t="shared" si="14"/>
        <v>480</v>
      </c>
      <c r="Z31" s="1702">
        <f t="shared" si="14"/>
        <v>685</v>
      </c>
      <c r="AA31" s="1701">
        <f t="shared" si="14"/>
        <v>239</v>
      </c>
      <c r="AB31" s="1700">
        <f t="shared" si="14"/>
        <v>547</v>
      </c>
      <c r="AC31" s="1702">
        <f t="shared" si="14"/>
        <v>786</v>
      </c>
      <c r="AD31" s="1701">
        <f>SUM(AD6,AD16,AD21)</f>
        <v>235</v>
      </c>
      <c r="AE31" s="1700">
        <f>SUM(AE6,AE16,AE21)</f>
        <v>485</v>
      </c>
      <c r="AF31" s="1702">
        <f t="shared" ref="AF31:AF36" si="15">SUM(AD31:AE31)</f>
        <v>720</v>
      </c>
      <c r="AG31" s="1701">
        <f>SUM(AG6,AG16,AG21)</f>
        <v>234</v>
      </c>
      <c r="AH31" s="1700">
        <f>SUM(AH6,AH16,AH21)</f>
        <v>521</v>
      </c>
      <c r="AI31" s="1702">
        <f t="shared" ref="AI31:AI36" si="16">SUM(AG31:AH31)</f>
        <v>755</v>
      </c>
      <c r="AJ31" s="1701">
        <f>SUM(AJ6,AJ16,AJ21)</f>
        <v>276</v>
      </c>
      <c r="AK31" s="1700">
        <f>SUM(AK6,AK16,AK21)</f>
        <v>589</v>
      </c>
      <c r="AL31" s="1702">
        <f t="shared" ref="AL31:AL36" si="17">SUM(AJ31:AK31)</f>
        <v>865</v>
      </c>
    </row>
    <row r="32" spans="1:38" x14ac:dyDescent="0.25">
      <c r="A32" s="5910"/>
      <c r="B32" s="1705" t="s">
        <v>6</v>
      </c>
      <c r="C32" s="1707">
        <f t="shared" ref="C32:AC32" si="18">SUM(C7,C11,C17,C26)</f>
        <v>936</v>
      </c>
      <c r="D32" s="1706">
        <f t="shared" si="18"/>
        <v>804</v>
      </c>
      <c r="E32" s="1708">
        <f t="shared" si="18"/>
        <v>1740</v>
      </c>
      <c r="F32" s="1706">
        <f t="shared" si="18"/>
        <v>987</v>
      </c>
      <c r="G32" s="1706">
        <f t="shared" si="18"/>
        <v>766</v>
      </c>
      <c r="H32" s="1706">
        <f t="shared" si="18"/>
        <v>1753</v>
      </c>
      <c r="I32" s="1707">
        <f t="shared" si="18"/>
        <v>1097</v>
      </c>
      <c r="J32" s="1706">
        <f t="shared" si="18"/>
        <v>821</v>
      </c>
      <c r="K32" s="1708">
        <f t="shared" si="18"/>
        <v>1918</v>
      </c>
      <c r="L32" s="1707">
        <f t="shared" si="18"/>
        <v>1139</v>
      </c>
      <c r="M32" s="1706">
        <f t="shared" si="18"/>
        <v>817</v>
      </c>
      <c r="N32" s="1708">
        <f t="shared" si="18"/>
        <v>1956</v>
      </c>
      <c r="O32" s="1707">
        <f t="shared" si="18"/>
        <v>1092</v>
      </c>
      <c r="P32" s="1706">
        <f t="shared" si="18"/>
        <v>873</v>
      </c>
      <c r="Q32" s="1708">
        <f t="shared" si="18"/>
        <v>1965</v>
      </c>
      <c r="R32" s="1707">
        <f t="shared" si="18"/>
        <v>956</v>
      </c>
      <c r="S32" s="1706">
        <f t="shared" si="18"/>
        <v>832</v>
      </c>
      <c r="T32" s="1708">
        <f t="shared" si="18"/>
        <v>1788</v>
      </c>
      <c r="U32" s="1707">
        <f t="shared" si="18"/>
        <v>1096</v>
      </c>
      <c r="V32" s="1706">
        <f t="shared" si="18"/>
        <v>841</v>
      </c>
      <c r="W32" s="1708">
        <f t="shared" si="18"/>
        <v>1937</v>
      </c>
      <c r="X32" s="1707">
        <f t="shared" si="18"/>
        <v>1382</v>
      </c>
      <c r="Y32" s="1706">
        <f t="shared" si="18"/>
        <v>963</v>
      </c>
      <c r="Z32" s="1708">
        <f t="shared" si="18"/>
        <v>2345</v>
      </c>
      <c r="AA32" s="1707">
        <f t="shared" si="18"/>
        <v>1137</v>
      </c>
      <c r="AB32" s="1706">
        <f t="shared" si="18"/>
        <v>817</v>
      </c>
      <c r="AC32" s="1708">
        <f t="shared" si="18"/>
        <v>1954</v>
      </c>
      <c r="AD32" s="1707">
        <f>SUM(AD7,AD11,AD17,AD22,AD26)</f>
        <v>1227</v>
      </c>
      <c r="AE32" s="1706">
        <f>SUM(AE7,AE11,AE17,AE22,AE26)</f>
        <v>845</v>
      </c>
      <c r="AF32" s="1708">
        <f t="shared" si="15"/>
        <v>2072</v>
      </c>
      <c r="AG32" s="1707">
        <f>SUM(AG7,AG11,AG17,AG22,AG26)</f>
        <v>1175</v>
      </c>
      <c r="AH32" s="1706">
        <f>SUM(AH7,AH11,AH17,AH22,AH26)</f>
        <v>841</v>
      </c>
      <c r="AI32" s="1708">
        <f t="shared" si="16"/>
        <v>2016</v>
      </c>
      <c r="AJ32" s="1707">
        <f>SUM(AJ7,AJ11,AJ17,AJ22,AJ26)</f>
        <v>1168</v>
      </c>
      <c r="AK32" s="1706">
        <f>SUM(AK7,AK11,AK17,AK22,AK26)</f>
        <v>881</v>
      </c>
      <c r="AL32" s="1708">
        <f t="shared" si="17"/>
        <v>2049</v>
      </c>
    </row>
    <row r="33" spans="1:38" x14ac:dyDescent="0.25">
      <c r="A33" s="5910"/>
      <c r="B33" s="1705" t="s">
        <v>11</v>
      </c>
      <c r="C33" s="1707">
        <f t="shared" ref="C33:AC33" si="19">SUM(C18,C27)</f>
        <v>805</v>
      </c>
      <c r="D33" s="1706">
        <f t="shared" si="19"/>
        <v>523</v>
      </c>
      <c r="E33" s="1708">
        <f t="shared" si="19"/>
        <v>1328</v>
      </c>
      <c r="F33" s="1706">
        <f t="shared" si="19"/>
        <v>902</v>
      </c>
      <c r="G33" s="1706">
        <f t="shared" si="19"/>
        <v>515</v>
      </c>
      <c r="H33" s="1706">
        <f t="shared" si="19"/>
        <v>1417</v>
      </c>
      <c r="I33" s="1707">
        <f t="shared" si="19"/>
        <v>1010</v>
      </c>
      <c r="J33" s="1706">
        <f t="shared" si="19"/>
        <v>563</v>
      </c>
      <c r="K33" s="1708">
        <f t="shared" si="19"/>
        <v>1573</v>
      </c>
      <c r="L33" s="1707">
        <f t="shared" si="19"/>
        <v>986</v>
      </c>
      <c r="M33" s="1706">
        <f t="shared" si="19"/>
        <v>545</v>
      </c>
      <c r="N33" s="1708">
        <f t="shared" si="19"/>
        <v>1531</v>
      </c>
      <c r="O33" s="1707">
        <f t="shared" si="19"/>
        <v>912</v>
      </c>
      <c r="P33" s="1706">
        <f t="shared" si="19"/>
        <v>581</v>
      </c>
      <c r="Q33" s="1708">
        <f t="shared" si="19"/>
        <v>1493</v>
      </c>
      <c r="R33" s="1707">
        <f t="shared" si="19"/>
        <v>891</v>
      </c>
      <c r="S33" s="1706">
        <f t="shared" si="19"/>
        <v>524</v>
      </c>
      <c r="T33" s="1708">
        <f t="shared" si="19"/>
        <v>1415</v>
      </c>
      <c r="U33" s="1707">
        <f t="shared" si="19"/>
        <v>945</v>
      </c>
      <c r="V33" s="1706">
        <f t="shared" si="19"/>
        <v>537</v>
      </c>
      <c r="W33" s="1708">
        <f t="shared" si="19"/>
        <v>1482</v>
      </c>
      <c r="X33" s="1707">
        <f t="shared" si="19"/>
        <v>929</v>
      </c>
      <c r="Y33" s="1706">
        <f t="shared" si="19"/>
        <v>570</v>
      </c>
      <c r="Z33" s="1708">
        <f t="shared" si="19"/>
        <v>1499</v>
      </c>
      <c r="AA33" s="1707">
        <f t="shared" si="19"/>
        <v>935</v>
      </c>
      <c r="AB33" s="1706">
        <f t="shared" si="19"/>
        <v>537</v>
      </c>
      <c r="AC33" s="1708">
        <f t="shared" si="19"/>
        <v>1472</v>
      </c>
      <c r="AD33" s="1707">
        <f>SUM(AD18,AD23,AD27)</f>
        <v>989</v>
      </c>
      <c r="AE33" s="1706">
        <f>SUM(AE18,AE23,AE27)</f>
        <v>562</v>
      </c>
      <c r="AF33" s="1708">
        <f t="shared" si="15"/>
        <v>1551</v>
      </c>
      <c r="AG33" s="1707">
        <f>SUM(AG18,AG23,AG27)</f>
        <v>952</v>
      </c>
      <c r="AH33" s="1706">
        <f>SUM(AH18,AH23,AH27)</f>
        <v>565</v>
      </c>
      <c r="AI33" s="1708">
        <f t="shared" si="16"/>
        <v>1517</v>
      </c>
      <c r="AJ33" s="1707">
        <f>SUM(AJ18,AJ23,AJ27)</f>
        <v>1015</v>
      </c>
      <c r="AK33" s="1706">
        <f>SUM(AK18,AK23,AK27)</f>
        <v>591</v>
      </c>
      <c r="AL33" s="1708">
        <f t="shared" si="17"/>
        <v>1606</v>
      </c>
    </row>
    <row r="34" spans="1:38" x14ac:dyDescent="0.25">
      <c r="A34" s="5910"/>
      <c r="B34" s="1705" t="s">
        <v>7</v>
      </c>
      <c r="C34" s="1707">
        <f t="shared" ref="C34:AE34" si="20">SUM(C8,C28)</f>
        <v>270</v>
      </c>
      <c r="D34" s="1706">
        <f t="shared" si="20"/>
        <v>508</v>
      </c>
      <c r="E34" s="1708">
        <f t="shared" si="20"/>
        <v>778</v>
      </c>
      <c r="F34" s="1706">
        <f t="shared" si="20"/>
        <v>269</v>
      </c>
      <c r="G34" s="1706">
        <f t="shared" si="20"/>
        <v>475</v>
      </c>
      <c r="H34" s="1706">
        <f t="shared" si="20"/>
        <v>744</v>
      </c>
      <c r="I34" s="1707">
        <f t="shared" si="20"/>
        <v>305</v>
      </c>
      <c r="J34" s="1706">
        <f t="shared" si="20"/>
        <v>536</v>
      </c>
      <c r="K34" s="1708">
        <f t="shared" si="20"/>
        <v>841</v>
      </c>
      <c r="L34" s="1707">
        <f t="shared" si="20"/>
        <v>286</v>
      </c>
      <c r="M34" s="1706">
        <f t="shared" si="20"/>
        <v>541</v>
      </c>
      <c r="N34" s="1708">
        <f t="shared" si="20"/>
        <v>827</v>
      </c>
      <c r="O34" s="1707">
        <f t="shared" si="20"/>
        <v>301</v>
      </c>
      <c r="P34" s="1706">
        <f t="shared" si="20"/>
        <v>465</v>
      </c>
      <c r="Q34" s="1708">
        <f t="shared" si="20"/>
        <v>766</v>
      </c>
      <c r="R34" s="1707">
        <f t="shared" si="20"/>
        <v>232</v>
      </c>
      <c r="S34" s="1706">
        <f t="shared" si="20"/>
        <v>387</v>
      </c>
      <c r="T34" s="1708">
        <f t="shared" si="20"/>
        <v>619</v>
      </c>
      <c r="U34" s="1707">
        <f t="shared" si="20"/>
        <v>234</v>
      </c>
      <c r="V34" s="1706">
        <f t="shared" si="20"/>
        <v>391</v>
      </c>
      <c r="W34" s="1708">
        <f t="shared" si="20"/>
        <v>625</v>
      </c>
      <c r="X34" s="1707">
        <f t="shared" si="20"/>
        <v>324</v>
      </c>
      <c r="Y34" s="1706">
        <f t="shared" si="20"/>
        <v>445</v>
      </c>
      <c r="Z34" s="1708">
        <f t="shared" si="20"/>
        <v>769</v>
      </c>
      <c r="AA34" s="1707">
        <f t="shared" si="20"/>
        <v>349</v>
      </c>
      <c r="AB34" s="1706">
        <f t="shared" si="20"/>
        <v>449</v>
      </c>
      <c r="AC34" s="1708">
        <f t="shared" si="20"/>
        <v>798</v>
      </c>
      <c r="AD34" s="1707">
        <f t="shared" si="20"/>
        <v>352</v>
      </c>
      <c r="AE34" s="1706">
        <f t="shared" si="20"/>
        <v>399</v>
      </c>
      <c r="AF34" s="1708">
        <f t="shared" si="15"/>
        <v>751</v>
      </c>
      <c r="AG34" s="1707">
        <f>SUM(AG8,AG28)</f>
        <v>351</v>
      </c>
      <c r="AH34" s="1706">
        <f>SUM(AH8,AH28)</f>
        <v>425</v>
      </c>
      <c r="AI34" s="1708">
        <f t="shared" si="16"/>
        <v>776</v>
      </c>
      <c r="AJ34" s="1707">
        <f>SUM(AJ8,AJ28)</f>
        <v>387</v>
      </c>
      <c r="AK34" s="1706">
        <f>SUM(AK8,AK28)</f>
        <v>422</v>
      </c>
      <c r="AL34" s="1708">
        <f t="shared" si="17"/>
        <v>809</v>
      </c>
    </row>
    <row r="35" spans="1:38" x14ac:dyDescent="0.25">
      <c r="A35" s="5910"/>
      <c r="B35" s="1705" t="s">
        <v>9</v>
      </c>
      <c r="C35" s="1707">
        <f t="shared" ref="C35:AE35" si="21">SUM(C12)</f>
        <v>0</v>
      </c>
      <c r="D35" s="1706">
        <f t="shared" si="21"/>
        <v>0</v>
      </c>
      <c r="E35" s="1708">
        <f t="shared" si="21"/>
        <v>0</v>
      </c>
      <c r="F35" s="1706">
        <f t="shared" si="21"/>
        <v>0</v>
      </c>
      <c r="G35" s="1706">
        <f t="shared" si="21"/>
        <v>0</v>
      </c>
      <c r="H35" s="1706">
        <f t="shared" si="21"/>
        <v>0</v>
      </c>
      <c r="I35" s="1707">
        <f t="shared" si="21"/>
        <v>0</v>
      </c>
      <c r="J35" s="1706">
        <f t="shared" si="21"/>
        <v>0</v>
      </c>
      <c r="K35" s="1708">
        <f t="shared" si="21"/>
        <v>0</v>
      </c>
      <c r="L35" s="1707">
        <f t="shared" si="21"/>
        <v>5</v>
      </c>
      <c r="M35" s="1706">
        <f t="shared" si="21"/>
        <v>4</v>
      </c>
      <c r="N35" s="1708">
        <f t="shared" si="21"/>
        <v>9</v>
      </c>
      <c r="O35" s="1707">
        <f t="shared" si="21"/>
        <v>8</v>
      </c>
      <c r="P35" s="1706">
        <f t="shared" si="21"/>
        <v>7</v>
      </c>
      <c r="Q35" s="1708">
        <f t="shared" si="21"/>
        <v>15</v>
      </c>
      <c r="R35" s="1707">
        <f t="shared" si="21"/>
        <v>21</v>
      </c>
      <c r="S35" s="1706">
        <f t="shared" si="21"/>
        <v>11</v>
      </c>
      <c r="T35" s="1708">
        <f t="shared" si="21"/>
        <v>32</v>
      </c>
      <c r="U35" s="1707">
        <f t="shared" si="21"/>
        <v>23</v>
      </c>
      <c r="V35" s="1706">
        <f t="shared" si="21"/>
        <v>25</v>
      </c>
      <c r="W35" s="1708">
        <f t="shared" si="21"/>
        <v>48</v>
      </c>
      <c r="X35" s="1707">
        <f t="shared" si="21"/>
        <v>15</v>
      </c>
      <c r="Y35" s="1706">
        <f t="shared" si="21"/>
        <v>6</v>
      </c>
      <c r="Z35" s="1708">
        <f t="shared" si="21"/>
        <v>21</v>
      </c>
      <c r="AA35" s="1707">
        <f t="shared" si="21"/>
        <v>16</v>
      </c>
      <c r="AB35" s="1706">
        <f t="shared" si="21"/>
        <v>15</v>
      </c>
      <c r="AC35" s="1708">
        <f t="shared" si="21"/>
        <v>31</v>
      </c>
      <c r="AD35" s="1707">
        <f t="shared" si="21"/>
        <v>18</v>
      </c>
      <c r="AE35" s="1706">
        <f t="shared" si="21"/>
        <v>11</v>
      </c>
      <c r="AF35" s="1708">
        <f t="shared" si="15"/>
        <v>29</v>
      </c>
      <c r="AG35" s="1707">
        <f>SUM(AG12)</f>
        <v>18</v>
      </c>
      <c r="AH35" s="1706">
        <f>SUM(AH12)</f>
        <v>21</v>
      </c>
      <c r="AI35" s="1708">
        <f t="shared" si="16"/>
        <v>39</v>
      </c>
      <c r="AJ35" s="1707">
        <f>SUM(AJ12)</f>
        <v>25</v>
      </c>
      <c r="AK35" s="1706">
        <f>SUM(AK12)</f>
        <v>30</v>
      </c>
      <c r="AL35" s="1708">
        <f t="shared" si="17"/>
        <v>55</v>
      </c>
    </row>
    <row r="36" spans="1:38" x14ac:dyDescent="0.25">
      <c r="A36" s="5910"/>
      <c r="B36" s="1743" t="s">
        <v>74</v>
      </c>
      <c r="C36" s="1744">
        <f t="shared" ref="C36:AE36" si="22">SUM(C13)</f>
        <v>0</v>
      </c>
      <c r="D36" s="1745">
        <f t="shared" si="22"/>
        <v>0</v>
      </c>
      <c r="E36" s="1746">
        <f t="shared" si="22"/>
        <v>0</v>
      </c>
      <c r="F36" s="1745">
        <f t="shared" si="22"/>
        <v>0</v>
      </c>
      <c r="G36" s="1745">
        <f t="shared" si="22"/>
        <v>0</v>
      </c>
      <c r="H36" s="1745">
        <f t="shared" si="22"/>
        <v>0</v>
      </c>
      <c r="I36" s="1744">
        <f t="shared" si="22"/>
        <v>0</v>
      </c>
      <c r="J36" s="1745">
        <f t="shared" si="22"/>
        <v>0</v>
      </c>
      <c r="K36" s="1746">
        <f t="shared" si="22"/>
        <v>0</v>
      </c>
      <c r="L36" s="1744">
        <f t="shared" si="22"/>
        <v>3</v>
      </c>
      <c r="M36" s="1745">
        <f t="shared" si="22"/>
        <v>8</v>
      </c>
      <c r="N36" s="1746">
        <f t="shared" si="22"/>
        <v>11</v>
      </c>
      <c r="O36" s="1744">
        <f t="shared" si="22"/>
        <v>1</v>
      </c>
      <c r="P36" s="1745">
        <f t="shared" si="22"/>
        <v>9</v>
      </c>
      <c r="Q36" s="1746">
        <f t="shared" si="22"/>
        <v>10</v>
      </c>
      <c r="R36" s="1744">
        <f t="shared" si="22"/>
        <v>2</v>
      </c>
      <c r="S36" s="1745">
        <f t="shared" si="22"/>
        <v>9</v>
      </c>
      <c r="T36" s="1746">
        <f t="shared" si="22"/>
        <v>11</v>
      </c>
      <c r="U36" s="1744">
        <f t="shared" si="22"/>
        <v>8</v>
      </c>
      <c r="V36" s="1745">
        <f t="shared" si="22"/>
        <v>10</v>
      </c>
      <c r="W36" s="1746">
        <f t="shared" si="22"/>
        <v>18</v>
      </c>
      <c r="X36" s="1744">
        <f t="shared" si="22"/>
        <v>4</v>
      </c>
      <c r="Y36" s="1745">
        <f t="shared" si="22"/>
        <v>11</v>
      </c>
      <c r="Z36" s="1746">
        <f t="shared" si="22"/>
        <v>15</v>
      </c>
      <c r="AA36" s="1744">
        <f t="shared" si="22"/>
        <v>9</v>
      </c>
      <c r="AB36" s="1745">
        <f t="shared" si="22"/>
        <v>13</v>
      </c>
      <c r="AC36" s="1746">
        <f t="shared" si="22"/>
        <v>22</v>
      </c>
      <c r="AD36" s="1744">
        <f t="shared" si="22"/>
        <v>11</v>
      </c>
      <c r="AE36" s="1745">
        <f t="shared" si="22"/>
        <v>13</v>
      </c>
      <c r="AF36" s="1746">
        <f t="shared" si="15"/>
        <v>24</v>
      </c>
      <c r="AG36" s="1744">
        <f>SUM(AG13)</f>
        <v>19</v>
      </c>
      <c r="AH36" s="1745">
        <f>SUM(AH13)</f>
        <v>23</v>
      </c>
      <c r="AI36" s="1746">
        <f t="shared" si="16"/>
        <v>42</v>
      </c>
      <c r="AJ36" s="1744">
        <f>SUM(AJ13)</f>
        <v>24</v>
      </c>
      <c r="AK36" s="1745">
        <f>SUM(AK13)</f>
        <v>19</v>
      </c>
      <c r="AL36" s="1746">
        <f t="shared" si="17"/>
        <v>43</v>
      </c>
    </row>
    <row r="37" spans="1:38" x14ac:dyDescent="0.25">
      <c r="A37" s="5911"/>
      <c r="B37" s="1747" t="s">
        <v>12</v>
      </c>
      <c r="C37" s="1713">
        <f t="shared" ref="C37:N37" si="23">SUM(C31:C36)</f>
        <v>2160</v>
      </c>
      <c r="D37" s="1712">
        <f t="shared" si="23"/>
        <v>2338</v>
      </c>
      <c r="E37" s="1714">
        <f t="shared" si="23"/>
        <v>4498</v>
      </c>
      <c r="F37" s="1712">
        <f t="shared" si="23"/>
        <v>2287</v>
      </c>
      <c r="G37" s="1712">
        <f t="shared" si="23"/>
        <v>2139</v>
      </c>
      <c r="H37" s="1712">
        <f t="shared" si="23"/>
        <v>4426</v>
      </c>
      <c r="I37" s="1713">
        <f t="shared" si="23"/>
        <v>2556</v>
      </c>
      <c r="J37" s="1712">
        <f t="shared" si="23"/>
        <v>2301</v>
      </c>
      <c r="K37" s="1714">
        <f t="shared" si="23"/>
        <v>4857</v>
      </c>
      <c r="L37" s="1712">
        <f t="shared" si="23"/>
        <v>2557</v>
      </c>
      <c r="M37" s="1712">
        <f t="shared" si="23"/>
        <v>2294</v>
      </c>
      <c r="N37" s="1714">
        <f t="shared" si="23"/>
        <v>4851</v>
      </c>
      <c r="O37" s="1712">
        <f t="shared" ref="O37:Z37" si="24">SUM(O31:O36)</f>
        <v>2462</v>
      </c>
      <c r="P37" s="1712">
        <f t="shared" si="24"/>
        <v>2394</v>
      </c>
      <c r="Q37" s="1714">
        <f t="shared" si="24"/>
        <v>4856</v>
      </c>
      <c r="R37" s="1712">
        <f t="shared" si="24"/>
        <v>2265</v>
      </c>
      <c r="S37" s="1712">
        <f t="shared" si="24"/>
        <v>2183</v>
      </c>
      <c r="T37" s="1714">
        <f t="shared" si="24"/>
        <v>4448</v>
      </c>
      <c r="U37" s="1712">
        <f t="shared" si="24"/>
        <v>2462</v>
      </c>
      <c r="V37" s="1712">
        <f t="shared" si="24"/>
        <v>2212</v>
      </c>
      <c r="W37" s="1714">
        <f t="shared" si="24"/>
        <v>4674</v>
      </c>
      <c r="X37" s="1712">
        <f t="shared" si="24"/>
        <v>2859</v>
      </c>
      <c r="Y37" s="1712">
        <f t="shared" si="24"/>
        <v>2475</v>
      </c>
      <c r="Z37" s="1714">
        <f t="shared" si="24"/>
        <v>5334</v>
      </c>
      <c r="AA37" s="1712">
        <f t="shared" ref="AA37:AF37" si="25">SUM(AA31:AA36)</f>
        <v>2685</v>
      </c>
      <c r="AB37" s="1712">
        <f t="shared" si="25"/>
        <v>2378</v>
      </c>
      <c r="AC37" s="1714">
        <f t="shared" si="25"/>
        <v>5063</v>
      </c>
      <c r="AD37" s="1712">
        <f t="shared" si="25"/>
        <v>2832</v>
      </c>
      <c r="AE37" s="1712">
        <f t="shared" si="25"/>
        <v>2315</v>
      </c>
      <c r="AF37" s="1714">
        <f t="shared" si="25"/>
        <v>5147</v>
      </c>
      <c r="AG37" s="1712">
        <f t="shared" ref="AG37:AL37" si="26">SUM(AG31:AG36)</f>
        <v>2749</v>
      </c>
      <c r="AH37" s="1712">
        <f t="shared" si="26"/>
        <v>2396</v>
      </c>
      <c r="AI37" s="1714">
        <f t="shared" si="26"/>
        <v>5145</v>
      </c>
      <c r="AJ37" s="1712">
        <f t="shared" si="26"/>
        <v>2895</v>
      </c>
      <c r="AK37" s="1712">
        <f t="shared" si="26"/>
        <v>2532</v>
      </c>
      <c r="AL37" s="1714">
        <f t="shared" si="26"/>
        <v>5427</v>
      </c>
    </row>
    <row r="38" spans="1:38" x14ac:dyDescent="0.25">
      <c r="A38" s="240" t="s">
        <v>648</v>
      </c>
    </row>
    <row r="43" spans="1:38" x14ac:dyDescent="0.25">
      <c r="W43" s="4184">
        <v>2006</v>
      </c>
    </row>
    <row r="44" spans="1:38" x14ac:dyDescent="0.25">
      <c r="W44" s="4184">
        <v>2007</v>
      </c>
    </row>
    <row r="45" spans="1:38" x14ac:dyDescent="0.25">
      <c r="W45" s="4184">
        <v>2008</v>
      </c>
    </row>
    <row r="46" spans="1:38" x14ac:dyDescent="0.25">
      <c r="W46" s="4184">
        <v>2009</v>
      </c>
    </row>
    <row r="47" spans="1:38" x14ac:dyDescent="0.25">
      <c r="W47" s="4184">
        <v>2010</v>
      </c>
    </row>
    <row r="48" spans="1:38" x14ac:dyDescent="0.25">
      <c r="W48" s="4184">
        <v>2011</v>
      </c>
    </row>
    <row r="49" spans="23:23" x14ac:dyDescent="0.25">
      <c r="W49" s="4184">
        <v>2012</v>
      </c>
    </row>
    <row r="50" spans="23:23" x14ac:dyDescent="0.25">
      <c r="W50" s="4184">
        <v>2013</v>
      </c>
    </row>
    <row r="51" spans="23:23" x14ac:dyDescent="0.25">
      <c r="W51" s="4184">
        <v>2014</v>
      </c>
    </row>
    <row r="52" spans="23:23" x14ac:dyDescent="0.25">
      <c r="W52" s="4184">
        <v>2015</v>
      </c>
    </row>
    <row r="53" spans="23:23" x14ac:dyDescent="0.25">
      <c r="W53" s="4184">
        <v>2016</v>
      </c>
    </row>
    <row r="54" spans="23:23" x14ac:dyDescent="0.25">
      <c r="W54" s="4184">
        <v>2017</v>
      </c>
    </row>
  </sheetData>
  <sheetProtection algorithmName="SHA-512" hashValue="aEqufQWkaLOod+3cQ4RdpwO1x8tfP7Z0iiRYzX42zPb5dtJPt2L78SpyDeb02h5ME3c8JQ+DBZvZL518X2s2ug==" saltValue="Udzqfg+/VgK7RHboUSq86w==" spinCount="100000" sheet="1" objects="1" scenarios="1"/>
  <mergeCells count="21">
    <mergeCell ref="A1:B1"/>
    <mergeCell ref="A16:A19"/>
    <mergeCell ref="A26:A29"/>
    <mergeCell ref="A31:A37"/>
    <mergeCell ref="O3:Q3"/>
    <mergeCell ref="A11:A14"/>
    <mergeCell ref="A21:A24"/>
    <mergeCell ref="A6:A9"/>
    <mergeCell ref="A3:A4"/>
    <mergeCell ref="B3:B4"/>
    <mergeCell ref="C3:E3"/>
    <mergeCell ref="F3:H3"/>
    <mergeCell ref="I3:K3"/>
    <mergeCell ref="L3:N3"/>
    <mergeCell ref="AJ3:AL3"/>
    <mergeCell ref="AG3:AI3"/>
    <mergeCell ref="AD3:AF3"/>
    <mergeCell ref="R3:T3"/>
    <mergeCell ref="AA3:AC3"/>
    <mergeCell ref="U3:W3"/>
    <mergeCell ref="X3:Z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1" manualBreakCount="1">
    <brk id="38" max="16383" man="1"/>
  </rowBreaks>
  <colBreaks count="1" manualBreakCount="1">
    <brk id="17" max="1048575" man="1"/>
  </colBreaks>
  <ignoredErrors>
    <ignoredError sqref="AF6:AF8" formulaRange="1"/>
    <ignoredError sqref="AF31:AF36 AI31:AI36" formula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107"/>
  <sheetViews>
    <sheetView showGridLines="0" zoomScaleNormal="100" zoomScaleSheetLayoutView="80" workbookViewId="0">
      <pane xSplit="3" ySplit="3" topLeftCell="D82" activePane="bottomRight" state="frozen"/>
      <selection sqref="A1:E1"/>
      <selection pane="topRight" sqref="A1:E1"/>
      <selection pane="bottomLeft" sqref="A1:E1"/>
      <selection pane="bottomRight" activeCell="S94" sqref="S94"/>
    </sheetView>
  </sheetViews>
  <sheetFormatPr baseColWidth="10" defaultRowHeight="12.75" x14ac:dyDescent="0.2"/>
  <cols>
    <col min="1" max="1" width="17.7109375" style="177" bestFit="1" customWidth="1"/>
    <col min="2" max="2" width="12.5703125" style="177" customWidth="1"/>
    <col min="3" max="3" width="35.42578125" style="177" bestFit="1" customWidth="1"/>
    <col min="4" max="7" width="11.42578125" style="177" customWidth="1"/>
    <col min="8" max="9" width="9.7109375" style="177" hidden="1" customWidth="1"/>
    <col min="10" max="10" width="9.7109375" style="177" customWidth="1"/>
    <col min="11" max="12" width="9.7109375" style="177" hidden="1" customWidth="1"/>
    <col min="13" max="15" width="9.7109375" style="177" customWidth="1"/>
    <col min="16" max="16384" width="11.42578125" style="177"/>
  </cols>
  <sheetData>
    <row r="1" spans="1:17" s="178" customFormat="1" ht="33.75" customHeight="1" x14ac:dyDescent="0.25">
      <c r="A1" s="5929" t="s">
        <v>339</v>
      </c>
      <c r="B1" s="5929"/>
      <c r="C1" s="5929"/>
      <c r="D1" s="685"/>
      <c r="E1" s="685"/>
      <c r="F1" s="685"/>
    </row>
    <row r="2" spans="1:17" ht="15.75" x14ac:dyDescent="0.2">
      <c r="A2" s="179"/>
      <c r="B2" s="180"/>
      <c r="H2" s="1623" t="s">
        <v>517</v>
      </c>
      <c r="I2" s="1623" t="s">
        <v>518</v>
      </c>
      <c r="J2" s="1623"/>
      <c r="K2" s="1623"/>
      <c r="L2" s="1623"/>
      <c r="M2" s="1623"/>
    </row>
    <row r="3" spans="1:17" s="181" customFormat="1" ht="20.100000000000001" customHeight="1" x14ac:dyDescent="0.25">
      <c r="A3" s="766" t="s">
        <v>16</v>
      </c>
      <c r="B3" s="766" t="s">
        <v>4</v>
      </c>
      <c r="C3" s="766" t="s">
        <v>167</v>
      </c>
      <c r="D3" s="1620">
        <v>2008</v>
      </c>
      <c r="E3" s="1620">
        <v>2009</v>
      </c>
      <c r="F3" s="1620">
        <v>2010</v>
      </c>
      <c r="G3" s="1620">
        <v>2011</v>
      </c>
      <c r="H3" s="1620">
        <v>2012</v>
      </c>
      <c r="I3" s="1620">
        <v>2012</v>
      </c>
      <c r="J3" s="1620">
        <v>2012</v>
      </c>
      <c r="K3" s="1620">
        <v>2013</v>
      </c>
      <c r="L3" s="1620">
        <v>2013</v>
      </c>
      <c r="M3" s="1620">
        <v>2013</v>
      </c>
      <c r="N3" s="1620">
        <v>2014</v>
      </c>
      <c r="O3" s="1620">
        <v>2015</v>
      </c>
      <c r="P3" s="1620">
        <v>2016</v>
      </c>
      <c r="Q3" s="1620">
        <v>2017</v>
      </c>
    </row>
    <row r="4" spans="1:17" s="41" customFormat="1" ht="15" customHeight="1" x14ac:dyDescent="0.2">
      <c r="A4" s="5932" t="s">
        <v>3</v>
      </c>
      <c r="B4" s="5674" t="s">
        <v>5</v>
      </c>
      <c r="C4" s="2336" t="s">
        <v>446</v>
      </c>
      <c r="D4" s="2337">
        <v>530</v>
      </c>
      <c r="E4" s="2338">
        <v>561</v>
      </c>
      <c r="F4" s="2338">
        <v>589</v>
      </c>
      <c r="G4" s="2338">
        <v>633</v>
      </c>
      <c r="H4" s="2339">
        <v>642</v>
      </c>
      <c r="I4" s="2340">
        <v>652</v>
      </c>
      <c r="J4" s="2341">
        <v>674</v>
      </c>
      <c r="K4" s="2339">
        <v>689</v>
      </c>
      <c r="L4" s="2340">
        <v>710</v>
      </c>
      <c r="M4" s="2341">
        <v>731</v>
      </c>
      <c r="N4" s="2341">
        <v>789</v>
      </c>
      <c r="O4" s="2341">
        <v>853</v>
      </c>
      <c r="P4" s="2341">
        <v>910</v>
      </c>
      <c r="Q4" s="2341">
        <v>1033</v>
      </c>
    </row>
    <row r="5" spans="1:17" s="41" customFormat="1" ht="15" customHeight="1" x14ac:dyDescent="0.2">
      <c r="A5" s="5933"/>
      <c r="B5" s="5675"/>
      <c r="C5" s="2342" t="s">
        <v>447</v>
      </c>
      <c r="D5" s="2343">
        <v>1239</v>
      </c>
      <c r="E5" s="2344">
        <v>1274</v>
      </c>
      <c r="F5" s="2344">
        <v>1308</v>
      </c>
      <c r="G5" s="2344">
        <v>1345</v>
      </c>
      <c r="H5" s="2345">
        <v>1353</v>
      </c>
      <c r="I5" s="2346">
        <v>1357</v>
      </c>
      <c r="J5" s="2347">
        <v>1366</v>
      </c>
      <c r="K5" s="2345">
        <v>1381</v>
      </c>
      <c r="L5" s="2346">
        <v>1408</v>
      </c>
      <c r="M5" s="2347">
        <v>1426</v>
      </c>
      <c r="N5" s="2347">
        <v>1467</v>
      </c>
      <c r="O5" s="2347">
        <v>1535</v>
      </c>
      <c r="P5" s="2347">
        <v>1601</v>
      </c>
      <c r="Q5" s="2347">
        <v>1701</v>
      </c>
    </row>
    <row r="6" spans="1:17" s="41" customFormat="1" ht="15" customHeight="1" x14ac:dyDescent="0.2">
      <c r="A6" s="5933"/>
      <c r="B6" s="5675"/>
      <c r="C6" s="2342" t="s">
        <v>448</v>
      </c>
      <c r="D6" s="2343">
        <v>675</v>
      </c>
      <c r="E6" s="2344">
        <v>693</v>
      </c>
      <c r="F6" s="2344">
        <v>703</v>
      </c>
      <c r="G6" s="2344">
        <v>719</v>
      </c>
      <c r="H6" s="2345">
        <v>720</v>
      </c>
      <c r="I6" s="2346">
        <v>728</v>
      </c>
      <c r="J6" s="2347">
        <v>729</v>
      </c>
      <c r="K6" s="2345">
        <v>735</v>
      </c>
      <c r="L6" s="2346">
        <v>741</v>
      </c>
      <c r="M6" s="2347">
        <v>746</v>
      </c>
      <c r="N6" s="2347">
        <v>767</v>
      </c>
      <c r="O6" s="2347">
        <v>789</v>
      </c>
      <c r="P6" s="2347">
        <v>819</v>
      </c>
      <c r="Q6" s="2347">
        <v>859</v>
      </c>
    </row>
    <row r="7" spans="1:17" s="41" customFormat="1" ht="15" customHeight="1" x14ac:dyDescent="0.2">
      <c r="A7" s="5933"/>
      <c r="B7" s="5675"/>
      <c r="C7" s="2342" t="s">
        <v>449</v>
      </c>
      <c r="D7" s="2343">
        <v>359</v>
      </c>
      <c r="E7" s="2344">
        <v>382</v>
      </c>
      <c r="F7" s="2344">
        <v>402</v>
      </c>
      <c r="G7" s="2344">
        <v>415</v>
      </c>
      <c r="H7" s="2345">
        <v>419</v>
      </c>
      <c r="I7" s="2346">
        <v>427</v>
      </c>
      <c r="J7" s="2347">
        <v>432</v>
      </c>
      <c r="K7" s="2345">
        <v>435</v>
      </c>
      <c r="L7" s="2346">
        <v>442</v>
      </c>
      <c r="M7" s="2347">
        <v>452</v>
      </c>
      <c r="N7" s="2347">
        <v>486</v>
      </c>
      <c r="O7" s="2347">
        <v>506</v>
      </c>
      <c r="P7" s="2347">
        <v>524</v>
      </c>
      <c r="Q7" s="2347">
        <v>549</v>
      </c>
    </row>
    <row r="8" spans="1:17" s="41" customFormat="1" ht="15" customHeight="1" x14ac:dyDescent="0.2">
      <c r="A8" s="5933"/>
      <c r="B8" s="5675"/>
      <c r="C8" s="2342" t="s">
        <v>450</v>
      </c>
      <c r="D8" s="2343">
        <v>1922</v>
      </c>
      <c r="E8" s="2344">
        <v>2010</v>
      </c>
      <c r="F8" s="2344">
        <v>2102</v>
      </c>
      <c r="G8" s="2344">
        <v>2173</v>
      </c>
      <c r="H8" s="2345">
        <v>2197</v>
      </c>
      <c r="I8" s="2346">
        <v>2216</v>
      </c>
      <c r="J8" s="2347">
        <v>2243</v>
      </c>
      <c r="K8" s="2345">
        <v>2271</v>
      </c>
      <c r="L8" s="2346">
        <v>2326</v>
      </c>
      <c r="M8" s="2347">
        <v>2365</v>
      </c>
      <c r="N8" s="2347">
        <v>2463</v>
      </c>
      <c r="O8" s="2347">
        <v>2548</v>
      </c>
      <c r="P8" s="2347">
        <v>2640</v>
      </c>
      <c r="Q8" s="2347">
        <v>2739</v>
      </c>
    </row>
    <row r="9" spans="1:17" s="41" customFormat="1" ht="15" customHeight="1" x14ac:dyDescent="0.2">
      <c r="A9" s="5933"/>
      <c r="B9" s="5675"/>
      <c r="C9" s="2342" t="s">
        <v>451</v>
      </c>
      <c r="D9" s="2343">
        <v>1269</v>
      </c>
      <c r="E9" s="2344">
        <v>1313</v>
      </c>
      <c r="F9" s="2344">
        <v>1343</v>
      </c>
      <c r="G9" s="2344">
        <v>1386</v>
      </c>
      <c r="H9" s="2345">
        <v>1401</v>
      </c>
      <c r="I9" s="2346">
        <v>1414</v>
      </c>
      <c r="J9" s="2347">
        <v>1428</v>
      </c>
      <c r="K9" s="2345">
        <v>1441</v>
      </c>
      <c r="L9" s="2346">
        <v>1467</v>
      </c>
      <c r="M9" s="2347">
        <v>1486</v>
      </c>
      <c r="N9" s="2347">
        <v>1524</v>
      </c>
      <c r="O9" s="2347">
        <v>1567</v>
      </c>
      <c r="P9" s="2347">
        <v>1622</v>
      </c>
      <c r="Q9" s="2347">
        <v>1696</v>
      </c>
    </row>
    <row r="10" spans="1:17" s="41" customFormat="1" ht="15" customHeight="1" x14ac:dyDescent="0.2">
      <c r="A10" s="5933"/>
      <c r="B10" s="5675"/>
      <c r="C10" s="2342" t="s">
        <v>452</v>
      </c>
      <c r="D10" s="2343">
        <v>381</v>
      </c>
      <c r="E10" s="2344">
        <v>387</v>
      </c>
      <c r="F10" s="2344">
        <v>392</v>
      </c>
      <c r="G10" s="2344">
        <v>397</v>
      </c>
      <c r="H10" s="2345">
        <v>399</v>
      </c>
      <c r="I10" s="2346">
        <v>400</v>
      </c>
      <c r="J10" s="2347">
        <v>401</v>
      </c>
      <c r="K10" s="2345">
        <v>402</v>
      </c>
      <c r="L10" s="2346">
        <v>405</v>
      </c>
      <c r="M10" s="2347">
        <v>411</v>
      </c>
      <c r="N10" s="2347">
        <v>430</v>
      </c>
      <c r="O10" s="2347">
        <v>448</v>
      </c>
      <c r="P10" s="2347">
        <v>462</v>
      </c>
      <c r="Q10" s="2347">
        <v>487</v>
      </c>
    </row>
    <row r="11" spans="1:17" s="41" customFormat="1" ht="15" customHeight="1" x14ac:dyDescent="0.2">
      <c r="A11" s="5933"/>
      <c r="B11" s="5675"/>
      <c r="C11" s="2342" t="s">
        <v>453</v>
      </c>
      <c r="D11" s="2343">
        <v>1322</v>
      </c>
      <c r="E11" s="2344">
        <v>1355</v>
      </c>
      <c r="F11" s="2344">
        <v>1407</v>
      </c>
      <c r="G11" s="2344">
        <v>1454</v>
      </c>
      <c r="H11" s="2345">
        <v>1466</v>
      </c>
      <c r="I11" s="2346">
        <v>1486</v>
      </c>
      <c r="J11" s="2347">
        <v>1491</v>
      </c>
      <c r="K11" s="2345">
        <v>1507</v>
      </c>
      <c r="L11" s="2346">
        <v>1525</v>
      </c>
      <c r="M11" s="2347">
        <v>1546</v>
      </c>
      <c r="N11" s="2347">
        <v>1631</v>
      </c>
      <c r="O11" s="2347">
        <v>1701</v>
      </c>
      <c r="P11" s="2347">
        <v>1757</v>
      </c>
      <c r="Q11" s="2347">
        <v>1826</v>
      </c>
    </row>
    <row r="12" spans="1:17" s="41" customFormat="1" ht="15" customHeight="1" x14ac:dyDescent="0.2">
      <c r="A12" s="5933"/>
      <c r="B12" s="5675"/>
      <c r="C12" s="2342" t="s">
        <v>454</v>
      </c>
      <c r="D12" s="2343">
        <v>2226</v>
      </c>
      <c r="E12" s="2344">
        <v>2301</v>
      </c>
      <c r="F12" s="2344">
        <v>2374</v>
      </c>
      <c r="G12" s="2344">
        <v>2449</v>
      </c>
      <c r="H12" s="2345">
        <v>2473</v>
      </c>
      <c r="I12" s="2346">
        <v>2505</v>
      </c>
      <c r="J12" s="2347">
        <v>2522</v>
      </c>
      <c r="K12" s="2345">
        <v>2544</v>
      </c>
      <c r="L12" s="2346">
        <v>2583</v>
      </c>
      <c r="M12" s="2347">
        <v>2599</v>
      </c>
      <c r="N12" s="2347">
        <v>2658</v>
      </c>
      <c r="O12" s="2347">
        <v>2699</v>
      </c>
      <c r="P12" s="2347">
        <v>2756</v>
      </c>
      <c r="Q12" s="2347">
        <v>2826</v>
      </c>
    </row>
    <row r="13" spans="1:17" s="41" customFormat="1" ht="15" customHeight="1" x14ac:dyDescent="0.2">
      <c r="A13" s="5933"/>
      <c r="B13" s="5675"/>
      <c r="C13" s="2342" t="s">
        <v>455</v>
      </c>
      <c r="D13" s="2343">
        <v>19</v>
      </c>
      <c r="E13" s="2344">
        <v>42</v>
      </c>
      <c r="F13" s="2344">
        <v>101</v>
      </c>
      <c r="G13" s="2344">
        <v>165</v>
      </c>
      <c r="H13" s="2345">
        <v>180</v>
      </c>
      <c r="I13" s="2346">
        <v>199</v>
      </c>
      <c r="J13" s="2347">
        <v>220</v>
      </c>
      <c r="K13" s="2345">
        <v>241</v>
      </c>
      <c r="L13" s="2346">
        <v>270</v>
      </c>
      <c r="M13" s="2347">
        <v>295</v>
      </c>
      <c r="N13" s="2347">
        <v>417</v>
      </c>
      <c r="O13" s="2347">
        <v>498</v>
      </c>
      <c r="P13" s="2347">
        <v>581</v>
      </c>
      <c r="Q13" s="2347">
        <v>676</v>
      </c>
    </row>
    <row r="14" spans="1:17" s="41" customFormat="1" ht="15" customHeight="1" x14ac:dyDescent="0.2">
      <c r="A14" s="5933"/>
      <c r="B14" s="5676"/>
      <c r="C14" s="2348" t="s">
        <v>160</v>
      </c>
      <c r="D14" s="2349">
        <f t="shared" ref="D14:M14" si="0">SUM(D4:D13)</f>
        <v>9942</v>
      </c>
      <c r="E14" s="2349">
        <f t="shared" si="0"/>
        <v>10318</v>
      </c>
      <c r="F14" s="2349">
        <f t="shared" si="0"/>
        <v>10721</v>
      </c>
      <c r="G14" s="2350">
        <f t="shared" si="0"/>
        <v>11136</v>
      </c>
      <c r="H14" s="2350">
        <f t="shared" si="0"/>
        <v>11250</v>
      </c>
      <c r="I14" s="2350">
        <f t="shared" si="0"/>
        <v>11384</v>
      </c>
      <c r="J14" s="2350">
        <f>SUM(J4:J13)</f>
        <v>11506</v>
      </c>
      <c r="K14" s="2350">
        <f t="shared" si="0"/>
        <v>11646</v>
      </c>
      <c r="L14" s="2350">
        <f t="shared" si="0"/>
        <v>11877</v>
      </c>
      <c r="M14" s="2350">
        <f t="shared" si="0"/>
        <v>12057</v>
      </c>
      <c r="N14" s="2350">
        <f>SUM(N4:N13)</f>
        <v>12632</v>
      </c>
      <c r="O14" s="2350">
        <f>SUM(O4:O13)</f>
        <v>13144</v>
      </c>
      <c r="P14" s="2350">
        <f>SUM(P4:P13)</f>
        <v>13672</v>
      </c>
      <c r="Q14" s="2350">
        <f>SUM(Q4:Q13)</f>
        <v>14392</v>
      </c>
    </row>
    <row r="15" spans="1:17" s="41" customFormat="1" ht="15" customHeight="1" x14ac:dyDescent="0.2">
      <c r="A15" s="5933"/>
      <c r="B15" s="5674" t="s">
        <v>6</v>
      </c>
      <c r="C15" s="2342" t="s">
        <v>456</v>
      </c>
      <c r="D15" s="2343">
        <v>5139</v>
      </c>
      <c r="E15" s="2344">
        <v>5296</v>
      </c>
      <c r="F15" s="2344">
        <v>5433</v>
      </c>
      <c r="G15" s="2344">
        <v>5574</v>
      </c>
      <c r="H15" s="2345">
        <v>5642</v>
      </c>
      <c r="I15" s="2346">
        <v>5707</v>
      </c>
      <c r="J15" s="2347">
        <v>5757</v>
      </c>
      <c r="K15" s="2345">
        <v>5825</v>
      </c>
      <c r="L15" s="2346">
        <v>5900</v>
      </c>
      <c r="M15" s="2347">
        <v>5969</v>
      </c>
      <c r="N15" s="2347">
        <v>6148</v>
      </c>
      <c r="O15" s="2347">
        <v>6338</v>
      </c>
      <c r="P15" s="2347">
        <v>6507</v>
      </c>
      <c r="Q15" s="2347">
        <v>6705</v>
      </c>
    </row>
    <row r="16" spans="1:17" s="41" customFormat="1" ht="15" customHeight="1" x14ac:dyDescent="0.2">
      <c r="A16" s="5933"/>
      <c r="B16" s="5675"/>
      <c r="C16" s="2342" t="s">
        <v>457</v>
      </c>
      <c r="D16" s="2343">
        <v>6421</v>
      </c>
      <c r="E16" s="2344">
        <f>6658</f>
        <v>6658</v>
      </c>
      <c r="F16" s="2344">
        <f>6898</f>
        <v>6898</v>
      </c>
      <c r="G16" s="2344">
        <f>7069</f>
        <v>7069</v>
      </c>
      <c r="H16" s="2345">
        <v>7127</v>
      </c>
      <c r="I16" s="2346">
        <v>7215</v>
      </c>
      <c r="J16" s="2347">
        <f>7302</f>
        <v>7302</v>
      </c>
      <c r="K16" s="2345">
        <v>7408</v>
      </c>
      <c r="L16" s="2346">
        <v>7563</v>
      </c>
      <c r="M16" s="2347">
        <f>7652</f>
        <v>7652</v>
      </c>
      <c r="N16" s="2347">
        <f>7916-25</f>
        <v>7891</v>
      </c>
      <c r="O16" s="2347">
        <v>8165</v>
      </c>
      <c r="P16" s="2347">
        <v>8454</v>
      </c>
      <c r="Q16" s="2347">
        <v>8766</v>
      </c>
    </row>
    <row r="17" spans="1:17" s="41" customFormat="1" ht="15" customHeight="1" x14ac:dyDescent="0.2">
      <c r="A17" s="5933"/>
      <c r="B17" s="5675"/>
      <c r="C17" s="2342" t="s">
        <v>458</v>
      </c>
      <c r="D17" s="2343">
        <v>1847</v>
      </c>
      <c r="E17" s="2344">
        <v>1910</v>
      </c>
      <c r="F17" s="2344">
        <v>1987</v>
      </c>
      <c r="G17" s="2344">
        <v>2043</v>
      </c>
      <c r="H17" s="2345">
        <v>2066</v>
      </c>
      <c r="I17" s="2346">
        <v>2088</v>
      </c>
      <c r="J17" s="2347">
        <v>2112</v>
      </c>
      <c r="K17" s="2345">
        <v>2141</v>
      </c>
      <c r="L17" s="2346">
        <v>2175</v>
      </c>
      <c r="M17" s="2347">
        <v>2199</v>
      </c>
      <c r="N17" s="2347">
        <v>2263</v>
      </c>
      <c r="O17" s="2347">
        <v>2352</v>
      </c>
      <c r="P17" s="2347">
        <v>2422</v>
      </c>
      <c r="Q17" s="2347">
        <v>2505</v>
      </c>
    </row>
    <row r="18" spans="1:17" s="41" customFormat="1" ht="15" customHeight="1" x14ac:dyDescent="0.2">
      <c r="A18" s="5933"/>
      <c r="B18" s="5675"/>
      <c r="C18" s="2342" t="s">
        <v>459</v>
      </c>
      <c r="D18" s="2343">
        <v>1590</v>
      </c>
      <c r="E18" s="2344">
        <v>1648</v>
      </c>
      <c r="F18" s="2344">
        <v>1721</v>
      </c>
      <c r="G18" s="2344">
        <v>1804</v>
      </c>
      <c r="H18" s="2345">
        <v>1824</v>
      </c>
      <c r="I18" s="2346">
        <v>1843</v>
      </c>
      <c r="J18" s="2347">
        <v>1866</v>
      </c>
      <c r="K18" s="2345">
        <v>1901</v>
      </c>
      <c r="L18" s="2346">
        <v>1944</v>
      </c>
      <c r="M18" s="2347">
        <v>1967</v>
      </c>
      <c r="N18" s="2347">
        <v>2057</v>
      </c>
      <c r="O18" s="2347">
        <v>2160</v>
      </c>
      <c r="P18" s="2347">
        <v>2223</v>
      </c>
      <c r="Q18" s="2347">
        <v>2340</v>
      </c>
    </row>
    <row r="19" spans="1:17" s="41" customFormat="1" ht="15" customHeight="1" x14ac:dyDescent="0.2">
      <c r="A19" s="5933"/>
      <c r="B19" s="5676"/>
      <c r="C19" s="2348" t="s">
        <v>160</v>
      </c>
      <c r="D19" s="2349">
        <f t="shared" ref="D19:J19" si="1">SUM(D15:D18)</f>
        <v>14997</v>
      </c>
      <c r="E19" s="2349">
        <f>SUM(E15:E18)</f>
        <v>15512</v>
      </c>
      <c r="F19" s="2349">
        <f t="shared" si="1"/>
        <v>16039</v>
      </c>
      <c r="G19" s="2350">
        <f t="shared" si="1"/>
        <v>16490</v>
      </c>
      <c r="H19" s="2349">
        <f t="shared" si="1"/>
        <v>16659</v>
      </c>
      <c r="I19" s="2351">
        <f t="shared" si="1"/>
        <v>16853</v>
      </c>
      <c r="J19" s="2352">
        <f t="shared" si="1"/>
        <v>17037</v>
      </c>
      <c r="K19" s="2349">
        <f t="shared" ref="K19:Q19" si="2">SUM(K15:K18)</f>
        <v>17275</v>
      </c>
      <c r="L19" s="2351">
        <f t="shared" si="2"/>
        <v>17582</v>
      </c>
      <c r="M19" s="2352">
        <f t="shared" si="2"/>
        <v>17787</v>
      </c>
      <c r="N19" s="2352">
        <f t="shared" si="2"/>
        <v>18359</v>
      </c>
      <c r="O19" s="2352">
        <f t="shared" si="2"/>
        <v>19015</v>
      </c>
      <c r="P19" s="2352">
        <f t="shared" si="2"/>
        <v>19606</v>
      </c>
      <c r="Q19" s="2352">
        <f t="shared" si="2"/>
        <v>20316</v>
      </c>
    </row>
    <row r="20" spans="1:17" s="41" customFormat="1" ht="15" customHeight="1" x14ac:dyDescent="0.2">
      <c r="A20" s="5933"/>
      <c r="B20" s="5674" t="s">
        <v>7</v>
      </c>
      <c r="C20" s="799" t="s">
        <v>460</v>
      </c>
      <c r="D20" s="2343">
        <v>3600</v>
      </c>
      <c r="E20" s="2344">
        <v>3750</v>
      </c>
      <c r="F20" s="2344">
        <v>3867</v>
      </c>
      <c r="G20" s="2344">
        <v>3958</v>
      </c>
      <c r="H20" s="2345">
        <v>3987</v>
      </c>
      <c r="I20" s="2346">
        <v>4030</v>
      </c>
      <c r="J20" s="2347">
        <v>4043</v>
      </c>
      <c r="K20" s="2345">
        <v>4092</v>
      </c>
      <c r="L20" s="2346">
        <v>4153</v>
      </c>
      <c r="M20" s="2347">
        <v>4182</v>
      </c>
      <c r="N20" s="2347">
        <v>4300</v>
      </c>
      <c r="O20" s="2347">
        <v>4436</v>
      </c>
      <c r="P20" s="2347">
        <v>4542</v>
      </c>
      <c r="Q20" s="2347">
        <v>4691</v>
      </c>
    </row>
    <row r="21" spans="1:17" s="41" customFormat="1" ht="15" customHeight="1" x14ac:dyDescent="0.2">
      <c r="A21" s="5933"/>
      <c r="B21" s="5675"/>
      <c r="C21" s="799" t="s">
        <v>461</v>
      </c>
      <c r="D21" s="2343">
        <v>3959</v>
      </c>
      <c r="E21" s="2344">
        <v>4118</v>
      </c>
      <c r="F21" s="2344">
        <v>4240</v>
      </c>
      <c r="G21" s="2344">
        <v>4323</v>
      </c>
      <c r="H21" s="2345">
        <v>4367</v>
      </c>
      <c r="I21" s="2346">
        <v>4412</v>
      </c>
      <c r="J21" s="2347">
        <v>4428</v>
      </c>
      <c r="K21" s="2345">
        <v>4464</v>
      </c>
      <c r="L21" s="2346">
        <v>4522</v>
      </c>
      <c r="M21" s="2347">
        <v>4535</v>
      </c>
      <c r="N21" s="2347">
        <v>4662</v>
      </c>
      <c r="O21" s="2347">
        <v>4773</v>
      </c>
      <c r="P21" s="2347">
        <v>4897</v>
      </c>
      <c r="Q21" s="2347">
        <v>5083</v>
      </c>
    </row>
    <row r="22" spans="1:17" s="41" customFormat="1" ht="15" customHeight="1" x14ac:dyDescent="0.2">
      <c r="A22" s="5933"/>
      <c r="B22" s="5675"/>
      <c r="C22" s="2342" t="s">
        <v>462</v>
      </c>
      <c r="D22" s="2343">
        <v>1621</v>
      </c>
      <c r="E22" s="2344">
        <v>1677</v>
      </c>
      <c r="F22" s="2344">
        <v>1766</v>
      </c>
      <c r="G22" s="2344">
        <v>1836</v>
      </c>
      <c r="H22" s="2345">
        <v>1858</v>
      </c>
      <c r="I22" s="2346">
        <v>1890</v>
      </c>
      <c r="J22" s="2347">
        <v>1900</v>
      </c>
      <c r="K22" s="2345">
        <v>1929</v>
      </c>
      <c r="L22" s="2346">
        <v>1980</v>
      </c>
      <c r="M22" s="2347">
        <v>1990</v>
      </c>
      <c r="N22" s="2347">
        <v>2090</v>
      </c>
      <c r="O22" s="2347">
        <v>2187</v>
      </c>
      <c r="P22" s="2347">
        <v>2287</v>
      </c>
      <c r="Q22" s="2347">
        <v>2401</v>
      </c>
    </row>
    <row r="23" spans="1:17" s="41" customFormat="1" ht="15" customHeight="1" x14ac:dyDescent="0.2">
      <c r="A23" s="5933"/>
      <c r="B23" s="5676"/>
      <c r="C23" s="854" t="s">
        <v>515</v>
      </c>
      <c r="D23" s="3599">
        <f t="shared" ref="D23:J23" si="3">SUM(D20:D22)</f>
        <v>9180</v>
      </c>
      <c r="E23" s="3599">
        <f t="shared" si="3"/>
        <v>9545</v>
      </c>
      <c r="F23" s="3599">
        <f t="shared" si="3"/>
        <v>9873</v>
      </c>
      <c r="G23" s="3600">
        <f t="shared" si="3"/>
        <v>10117</v>
      </c>
      <c r="H23" s="3599">
        <f t="shared" si="3"/>
        <v>10212</v>
      </c>
      <c r="I23" s="3601">
        <f t="shared" si="3"/>
        <v>10332</v>
      </c>
      <c r="J23" s="3602">
        <f t="shared" si="3"/>
        <v>10371</v>
      </c>
      <c r="K23" s="3599">
        <f t="shared" ref="K23:P23" si="4">SUM(K20:K22)</f>
        <v>10485</v>
      </c>
      <c r="L23" s="3601">
        <f t="shared" si="4"/>
        <v>10655</v>
      </c>
      <c r="M23" s="3602">
        <f t="shared" si="4"/>
        <v>10707</v>
      </c>
      <c r="N23" s="3602">
        <f t="shared" si="4"/>
        <v>11052</v>
      </c>
      <c r="O23" s="3602">
        <f t="shared" si="4"/>
        <v>11396</v>
      </c>
      <c r="P23" s="3602">
        <f t="shared" si="4"/>
        <v>11726</v>
      </c>
      <c r="Q23" s="3602">
        <f t="shared" ref="Q23" si="5">SUM(Q20:Q22)</f>
        <v>12175</v>
      </c>
    </row>
    <row r="24" spans="1:17" s="41" customFormat="1" ht="15" customHeight="1" x14ac:dyDescent="0.2">
      <c r="A24" s="5934"/>
      <c r="B24" s="3568"/>
      <c r="C24" s="3612" t="s">
        <v>444</v>
      </c>
      <c r="D24" s="3613">
        <f>SUM(D23,D19,D14)</f>
        <v>34119</v>
      </c>
      <c r="E24" s="3613">
        <f>SUM(E14,E19,E23)</f>
        <v>35375</v>
      </c>
      <c r="F24" s="3613">
        <f>SUM(F23,F19,F14)</f>
        <v>36633</v>
      </c>
      <c r="G24" s="3614">
        <f>SUM(G23,G19,G14)</f>
        <v>37743</v>
      </c>
      <c r="H24" s="3613">
        <f>SUM(H23,H19,H14)</f>
        <v>38121</v>
      </c>
      <c r="I24" s="3615">
        <f>SUM(I14,I19,I23)</f>
        <v>38569</v>
      </c>
      <c r="J24" s="3616">
        <f>SUM(J14,J19,J23)</f>
        <v>38914</v>
      </c>
      <c r="K24" s="3613">
        <f>SUM(K23,K19,K14)</f>
        <v>39406</v>
      </c>
      <c r="L24" s="3615">
        <f t="shared" ref="L24:Q24" si="6">SUM(L14,L19,L23)</f>
        <v>40114</v>
      </c>
      <c r="M24" s="3616">
        <f t="shared" si="6"/>
        <v>40551</v>
      </c>
      <c r="N24" s="3616">
        <f t="shared" si="6"/>
        <v>42043</v>
      </c>
      <c r="O24" s="3616">
        <f t="shared" si="6"/>
        <v>43555</v>
      </c>
      <c r="P24" s="3616">
        <f t="shared" si="6"/>
        <v>45004</v>
      </c>
      <c r="Q24" s="3616">
        <f t="shared" si="6"/>
        <v>46883</v>
      </c>
    </row>
    <row r="25" spans="1:17" s="41" customFormat="1" ht="15" customHeight="1" x14ac:dyDescent="0.25">
      <c r="A25" s="5935" t="s">
        <v>8</v>
      </c>
      <c r="B25" s="5938" t="s">
        <v>6</v>
      </c>
      <c r="C25" s="2355" t="s">
        <v>456</v>
      </c>
      <c r="D25" s="2356"/>
      <c r="E25" s="2356">
        <v>30</v>
      </c>
      <c r="F25" s="2356">
        <v>54</v>
      </c>
      <c r="G25" s="2356">
        <v>95</v>
      </c>
      <c r="H25" s="2357">
        <v>102</v>
      </c>
      <c r="I25" s="2358">
        <v>117</v>
      </c>
      <c r="J25" s="2359">
        <v>125</v>
      </c>
      <c r="K25" s="2357">
        <v>128</v>
      </c>
      <c r="L25" s="2358">
        <v>141</v>
      </c>
      <c r="M25" s="2359">
        <v>157</v>
      </c>
      <c r="N25" s="2359">
        <v>187</v>
      </c>
      <c r="O25" s="2359">
        <v>204</v>
      </c>
      <c r="P25" s="5044">
        <v>230</v>
      </c>
      <c r="Q25" s="5044">
        <v>254</v>
      </c>
    </row>
    <row r="26" spans="1:17" s="41" customFormat="1" ht="15" customHeight="1" x14ac:dyDescent="0.25">
      <c r="A26" s="5936"/>
      <c r="B26" s="5938"/>
      <c r="C26" s="2353" t="s">
        <v>457</v>
      </c>
      <c r="D26" s="2344"/>
      <c r="E26" s="2344">
        <v>17</v>
      </c>
      <c r="F26" s="2344">
        <v>23</v>
      </c>
      <c r="G26" s="2344">
        <v>23</v>
      </c>
      <c r="H26" s="2344">
        <v>23</v>
      </c>
      <c r="I26" s="2344">
        <v>23</v>
      </c>
      <c r="J26" s="2344">
        <v>23</v>
      </c>
      <c r="K26" s="2344">
        <v>23</v>
      </c>
      <c r="L26" s="2344">
        <v>23</v>
      </c>
      <c r="M26" s="2344">
        <v>23</v>
      </c>
      <c r="N26" s="2344">
        <v>25</v>
      </c>
      <c r="O26" s="2344">
        <v>25</v>
      </c>
      <c r="P26" s="5045">
        <v>25</v>
      </c>
      <c r="Q26" s="5045">
        <v>25</v>
      </c>
    </row>
    <row r="27" spans="1:17" s="41" customFormat="1" ht="15" customHeight="1" x14ac:dyDescent="0.25">
      <c r="A27" s="5936"/>
      <c r="B27" s="5938"/>
      <c r="C27" s="2353" t="s">
        <v>495</v>
      </c>
      <c r="D27" s="2344"/>
      <c r="E27" s="2344"/>
      <c r="F27" s="2344"/>
      <c r="G27" s="2344">
        <v>8</v>
      </c>
      <c r="H27" s="2345">
        <v>9</v>
      </c>
      <c r="I27" s="2346">
        <v>21</v>
      </c>
      <c r="J27" s="2347">
        <v>25</v>
      </c>
      <c r="K27" s="2345">
        <v>26</v>
      </c>
      <c r="L27" s="2346">
        <v>30</v>
      </c>
      <c r="M27" s="2347">
        <v>30</v>
      </c>
      <c r="N27" s="2347">
        <v>38</v>
      </c>
      <c r="O27" s="2347">
        <v>41</v>
      </c>
      <c r="P27" s="5046">
        <v>46</v>
      </c>
      <c r="Q27" s="5046">
        <v>59</v>
      </c>
    </row>
    <row r="28" spans="1:17" s="41" customFormat="1" ht="15" customHeight="1" x14ac:dyDescent="0.2">
      <c r="A28" s="5936"/>
      <c r="B28" s="5938"/>
      <c r="C28" s="2342" t="s">
        <v>496</v>
      </c>
      <c r="D28" s="2343"/>
      <c r="E28" s="2344"/>
      <c r="F28" s="2344"/>
      <c r="G28" s="2344">
        <v>3</v>
      </c>
      <c r="H28" s="2345">
        <v>7</v>
      </c>
      <c r="I28" s="2346">
        <v>9</v>
      </c>
      <c r="J28" s="2347">
        <v>10</v>
      </c>
      <c r="K28" s="2345">
        <v>11</v>
      </c>
      <c r="L28" s="2346">
        <v>13</v>
      </c>
      <c r="M28" s="2347">
        <v>17</v>
      </c>
      <c r="N28" s="2347">
        <v>20</v>
      </c>
      <c r="O28" s="2347">
        <v>31</v>
      </c>
      <c r="P28" s="5046">
        <v>39</v>
      </c>
      <c r="Q28" s="5046">
        <v>47</v>
      </c>
    </row>
    <row r="29" spans="1:17" s="41" customFormat="1" ht="15" customHeight="1" x14ac:dyDescent="0.2">
      <c r="A29" s="5936"/>
      <c r="B29" s="5939"/>
      <c r="C29" s="2348" t="s">
        <v>160</v>
      </c>
      <c r="D29" s="2349">
        <f t="shared" ref="D29:O29" si="7">SUM(D25:D28)</f>
        <v>0</v>
      </c>
      <c r="E29" s="2349">
        <f t="shared" si="7"/>
        <v>47</v>
      </c>
      <c r="F29" s="2349">
        <f t="shared" si="7"/>
        <v>77</v>
      </c>
      <c r="G29" s="2349">
        <f t="shared" si="7"/>
        <v>129</v>
      </c>
      <c r="H29" s="2349">
        <f t="shared" si="7"/>
        <v>141</v>
      </c>
      <c r="I29" s="2349">
        <f t="shared" si="7"/>
        <v>170</v>
      </c>
      <c r="J29" s="2349">
        <f t="shared" si="7"/>
        <v>183</v>
      </c>
      <c r="K29" s="2349">
        <f t="shared" si="7"/>
        <v>188</v>
      </c>
      <c r="L29" s="2349">
        <f t="shared" si="7"/>
        <v>207</v>
      </c>
      <c r="M29" s="2349">
        <f t="shared" si="7"/>
        <v>227</v>
      </c>
      <c r="N29" s="2350">
        <f t="shared" si="7"/>
        <v>270</v>
      </c>
      <c r="O29" s="2350">
        <f t="shared" si="7"/>
        <v>301</v>
      </c>
      <c r="P29" s="5047">
        <f>SUM(P25:P28)</f>
        <v>340</v>
      </c>
      <c r="Q29" s="5047">
        <f>SUM(Q25:Q28)</f>
        <v>385</v>
      </c>
    </row>
    <row r="30" spans="1:17" s="41" customFormat="1" ht="15" customHeight="1" x14ac:dyDescent="0.25">
      <c r="A30" s="5936"/>
      <c r="B30" s="5940" t="s">
        <v>9</v>
      </c>
      <c r="C30" s="2354" t="s">
        <v>497</v>
      </c>
      <c r="D30" s="2344"/>
      <c r="E30" s="2346">
        <v>9</v>
      </c>
      <c r="F30" s="2344">
        <v>24</v>
      </c>
      <c r="G30" s="2344">
        <v>39</v>
      </c>
      <c r="H30" s="2345">
        <v>42</v>
      </c>
      <c r="I30" s="2346">
        <v>53</v>
      </c>
      <c r="J30" s="2347">
        <v>60</v>
      </c>
      <c r="K30" s="2345">
        <v>61</v>
      </c>
      <c r="L30" s="2346">
        <v>64</v>
      </c>
      <c r="M30" s="2347">
        <v>68</v>
      </c>
      <c r="N30" s="2347">
        <v>79</v>
      </c>
      <c r="O30" s="2347">
        <v>92</v>
      </c>
      <c r="P30" s="5046">
        <v>110</v>
      </c>
      <c r="Q30" s="5046">
        <v>140</v>
      </c>
    </row>
    <row r="31" spans="1:17" s="41" customFormat="1" ht="15" customHeight="1" x14ac:dyDescent="0.25">
      <c r="A31" s="5936"/>
      <c r="B31" s="5938"/>
      <c r="C31" s="2354" t="s">
        <v>498</v>
      </c>
      <c r="D31" s="2344"/>
      <c r="E31" s="2346"/>
      <c r="F31" s="2344"/>
      <c r="G31" s="2344">
        <v>2</v>
      </c>
      <c r="H31" s="2345">
        <v>2</v>
      </c>
      <c r="I31" s="2346">
        <v>3</v>
      </c>
      <c r="J31" s="2347">
        <v>4</v>
      </c>
      <c r="K31" s="2345">
        <v>5</v>
      </c>
      <c r="L31" s="2346">
        <v>5</v>
      </c>
      <c r="M31" s="2347">
        <v>5</v>
      </c>
      <c r="N31" s="2347">
        <v>8</v>
      </c>
      <c r="O31" s="2347">
        <v>19</v>
      </c>
      <c r="P31" s="5046">
        <v>27</v>
      </c>
      <c r="Q31" s="5046">
        <v>35</v>
      </c>
    </row>
    <row r="32" spans="1:17" s="41" customFormat="1" ht="15" customHeight="1" x14ac:dyDescent="0.2">
      <c r="A32" s="5936"/>
      <c r="B32" s="5938"/>
      <c r="C32" s="2342" t="s">
        <v>499</v>
      </c>
      <c r="D32" s="2343"/>
      <c r="E32" s="2344"/>
      <c r="F32" s="2344"/>
      <c r="G32" s="2344">
        <v>15</v>
      </c>
      <c r="H32" s="2345">
        <v>19</v>
      </c>
      <c r="I32" s="2346">
        <v>35</v>
      </c>
      <c r="J32" s="2347">
        <v>42</v>
      </c>
      <c r="K32" s="2345">
        <v>42</v>
      </c>
      <c r="L32" s="2346">
        <v>45</v>
      </c>
      <c r="M32" s="2347">
        <v>57</v>
      </c>
      <c r="N32" s="2347">
        <v>80</v>
      </c>
      <c r="O32" s="2347">
        <v>97</v>
      </c>
      <c r="P32" s="5046">
        <v>121</v>
      </c>
      <c r="Q32" s="5046">
        <v>162</v>
      </c>
    </row>
    <row r="33" spans="1:17" s="41" customFormat="1" ht="15" customHeight="1" x14ac:dyDescent="0.2">
      <c r="A33" s="5936"/>
      <c r="B33" s="5939"/>
      <c r="C33" s="2348" t="s">
        <v>160</v>
      </c>
      <c r="D33" s="2349">
        <f t="shared" ref="D33:J33" si="8">SUM(D30:D32)</f>
        <v>0</v>
      </c>
      <c r="E33" s="2349">
        <f t="shared" si="8"/>
        <v>9</v>
      </c>
      <c r="F33" s="2349">
        <f t="shared" si="8"/>
        <v>24</v>
      </c>
      <c r="G33" s="2350">
        <f t="shared" si="8"/>
        <v>56</v>
      </c>
      <c r="H33" s="2349">
        <f t="shared" si="8"/>
        <v>63</v>
      </c>
      <c r="I33" s="2351">
        <f t="shared" si="8"/>
        <v>91</v>
      </c>
      <c r="J33" s="2352">
        <f t="shared" si="8"/>
        <v>106</v>
      </c>
      <c r="K33" s="2349">
        <f t="shared" ref="K33:Q33" si="9">SUM(K30:K32)</f>
        <v>108</v>
      </c>
      <c r="L33" s="2351">
        <f t="shared" si="9"/>
        <v>114</v>
      </c>
      <c r="M33" s="2352">
        <f t="shared" si="9"/>
        <v>130</v>
      </c>
      <c r="N33" s="2352">
        <f t="shared" si="9"/>
        <v>167</v>
      </c>
      <c r="O33" s="2352">
        <f t="shared" si="9"/>
        <v>208</v>
      </c>
      <c r="P33" s="5048">
        <f t="shared" si="9"/>
        <v>258</v>
      </c>
      <c r="Q33" s="5048">
        <f t="shared" si="9"/>
        <v>337</v>
      </c>
    </row>
    <row r="34" spans="1:17" s="41" customFormat="1" ht="15" customHeight="1" x14ac:dyDescent="0.25">
      <c r="A34" s="5936"/>
      <c r="B34" s="5940" t="s">
        <v>74</v>
      </c>
      <c r="C34" s="2353" t="s">
        <v>455</v>
      </c>
      <c r="D34" s="2344"/>
      <c r="E34" s="2344">
        <v>10</v>
      </c>
      <c r="F34" s="2344">
        <v>19</v>
      </c>
      <c r="G34" s="2344">
        <v>29</v>
      </c>
      <c r="H34" s="2345">
        <v>30</v>
      </c>
      <c r="I34" s="2346">
        <v>33</v>
      </c>
      <c r="J34" s="2347">
        <v>42</v>
      </c>
      <c r="K34" s="2345">
        <v>44</v>
      </c>
      <c r="L34" s="2346">
        <v>46</v>
      </c>
      <c r="M34" s="2347">
        <v>52</v>
      </c>
      <c r="N34" s="2347">
        <v>63</v>
      </c>
      <c r="O34" s="2347">
        <v>71</v>
      </c>
      <c r="P34" s="5046">
        <v>83</v>
      </c>
      <c r="Q34" s="5046">
        <v>90</v>
      </c>
    </row>
    <row r="35" spans="1:17" s="41" customFormat="1" ht="15" customHeight="1" x14ac:dyDescent="0.2">
      <c r="A35" s="5936"/>
      <c r="B35" s="5938"/>
      <c r="C35" s="2342" t="s">
        <v>500</v>
      </c>
      <c r="D35" s="2343"/>
      <c r="E35" s="2344">
        <v>1</v>
      </c>
      <c r="F35" s="2344">
        <v>2</v>
      </c>
      <c r="G35" s="2344">
        <v>3</v>
      </c>
      <c r="H35" s="2345">
        <v>3</v>
      </c>
      <c r="I35" s="2346">
        <v>5</v>
      </c>
      <c r="J35" s="2347">
        <v>7</v>
      </c>
      <c r="K35" s="2345">
        <v>7</v>
      </c>
      <c r="L35" s="2346">
        <v>9</v>
      </c>
      <c r="M35" s="2347">
        <v>10</v>
      </c>
      <c r="N35" s="2347">
        <v>13</v>
      </c>
      <c r="O35" s="2347">
        <v>20</v>
      </c>
      <c r="P35" s="5046">
        <v>26</v>
      </c>
      <c r="Q35" s="5046">
        <v>36</v>
      </c>
    </row>
    <row r="36" spans="1:17" s="41" customFormat="1" ht="15" customHeight="1" x14ac:dyDescent="0.2">
      <c r="A36" s="5936"/>
      <c r="B36" s="5938"/>
      <c r="C36" s="2342" t="s">
        <v>501</v>
      </c>
      <c r="D36" s="800"/>
      <c r="E36" s="2345"/>
      <c r="F36" s="2345"/>
      <c r="G36" s="2344"/>
      <c r="H36" s="2345"/>
      <c r="I36" s="2346"/>
      <c r="J36" s="2347">
        <v>1</v>
      </c>
      <c r="K36" s="2345">
        <v>1</v>
      </c>
      <c r="L36" s="2346">
        <v>3</v>
      </c>
      <c r="M36" s="2347">
        <v>3</v>
      </c>
      <c r="N36" s="2347">
        <v>9</v>
      </c>
      <c r="O36" s="2347">
        <v>16</v>
      </c>
      <c r="P36" s="5046">
        <v>28</v>
      </c>
      <c r="Q36" s="5046">
        <v>41</v>
      </c>
    </row>
    <row r="37" spans="1:17" s="41" customFormat="1" ht="15" customHeight="1" x14ac:dyDescent="0.2">
      <c r="A37" s="5936"/>
      <c r="B37" s="5938"/>
      <c r="C37" s="2342" t="s">
        <v>502</v>
      </c>
      <c r="D37" s="800"/>
      <c r="E37" s="2345"/>
      <c r="F37" s="2345"/>
      <c r="G37" s="2344"/>
      <c r="H37" s="2345"/>
      <c r="I37" s="2346"/>
      <c r="J37" s="2347"/>
      <c r="K37" s="2345"/>
      <c r="L37" s="2346"/>
      <c r="M37" s="2347"/>
      <c r="N37" s="2347">
        <v>4</v>
      </c>
      <c r="O37" s="2347">
        <v>10</v>
      </c>
      <c r="P37" s="5046">
        <v>32</v>
      </c>
      <c r="Q37" s="5046">
        <v>60</v>
      </c>
    </row>
    <row r="38" spans="1:17" s="41" customFormat="1" ht="15" customHeight="1" x14ac:dyDescent="0.2">
      <c r="A38" s="5936"/>
      <c r="B38" s="5938"/>
      <c r="C38" s="854" t="s">
        <v>160</v>
      </c>
      <c r="D38" s="3599">
        <f t="shared" ref="D38:I38" si="10">SUM(D34:D35)</f>
        <v>0</v>
      </c>
      <c r="E38" s="3599">
        <f t="shared" si="10"/>
        <v>11</v>
      </c>
      <c r="F38" s="3599">
        <f t="shared" si="10"/>
        <v>21</v>
      </c>
      <c r="G38" s="3600">
        <f t="shared" si="10"/>
        <v>32</v>
      </c>
      <c r="H38" s="3599">
        <f t="shared" si="10"/>
        <v>33</v>
      </c>
      <c r="I38" s="3601">
        <f t="shared" si="10"/>
        <v>38</v>
      </c>
      <c r="J38" s="3602">
        <f>SUM(J34:J36)</f>
        <v>50</v>
      </c>
      <c r="K38" s="3599">
        <f>SUM(K34:K36)</f>
        <v>52</v>
      </c>
      <c r="L38" s="3601">
        <f>SUM(L34:L36)</f>
        <v>58</v>
      </c>
      <c r="M38" s="3602">
        <f>SUM(M34:M36)</f>
        <v>65</v>
      </c>
      <c r="N38" s="3602">
        <f>SUM(N34:N37)</f>
        <v>89</v>
      </c>
      <c r="O38" s="3602">
        <f>SUM(O34:O37)</f>
        <v>117</v>
      </c>
      <c r="P38" s="3602">
        <f>SUM(P34:P37)</f>
        <v>169</v>
      </c>
      <c r="Q38" s="3602">
        <f>SUM(Q34:Q37)</f>
        <v>227</v>
      </c>
    </row>
    <row r="39" spans="1:17" s="41" customFormat="1" ht="15" customHeight="1" x14ac:dyDescent="0.2">
      <c r="A39" s="5937"/>
      <c r="B39" s="3555"/>
      <c r="C39" s="3607" t="s">
        <v>444</v>
      </c>
      <c r="D39" s="3608">
        <f>SUM(D38,D33,D29)</f>
        <v>0</v>
      </c>
      <c r="E39" s="3608">
        <f>SUM(E38,E33,E29)</f>
        <v>67</v>
      </c>
      <c r="F39" s="3608">
        <f>SUM(F38,F33,F29)</f>
        <v>122</v>
      </c>
      <c r="G39" s="3609">
        <f>SUM(G38,G33,G29)</f>
        <v>217</v>
      </c>
      <c r="H39" s="3608">
        <f>SUM(H38,H33,H29)</f>
        <v>237</v>
      </c>
      <c r="I39" s="3610">
        <f>SUM(I29,I33,I38)</f>
        <v>299</v>
      </c>
      <c r="J39" s="3611">
        <f>SUM(J29,J33,J38)</f>
        <v>339</v>
      </c>
      <c r="K39" s="3608">
        <f>SUM(K38,K33,K29)</f>
        <v>348</v>
      </c>
      <c r="L39" s="3610">
        <f t="shared" ref="L39:Q39" si="11">SUM(L29,L33,L38)</f>
        <v>379</v>
      </c>
      <c r="M39" s="3611">
        <f t="shared" si="11"/>
        <v>422</v>
      </c>
      <c r="N39" s="3611">
        <f t="shared" si="11"/>
        <v>526</v>
      </c>
      <c r="O39" s="3611">
        <f t="shared" si="11"/>
        <v>626</v>
      </c>
      <c r="P39" s="3611">
        <f t="shared" si="11"/>
        <v>767</v>
      </c>
      <c r="Q39" s="3611">
        <f t="shared" si="11"/>
        <v>949</v>
      </c>
    </row>
    <row r="40" spans="1:17" s="41" customFormat="1" ht="15" customHeight="1" x14ac:dyDescent="0.2">
      <c r="A40" s="5926" t="s">
        <v>75</v>
      </c>
      <c r="B40" s="5678" t="s">
        <v>5</v>
      </c>
      <c r="C40" s="813" t="s">
        <v>463</v>
      </c>
      <c r="D40" s="2360">
        <v>780</v>
      </c>
      <c r="E40" s="2356">
        <v>818</v>
      </c>
      <c r="F40" s="2356">
        <v>870</v>
      </c>
      <c r="G40" s="2356">
        <v>898</v>
      </c>
      <c r="H40" s="2357">
        <v>907</v>
      </c>
      <c r="I40" s="2358">
        <v>920</v>
      </c>
      <c r="J40" s="2359">
        <v>926</v>
      </c>
      <c r="K40" s="2357">
        <v>931</v>
      </c>
      <c r="L40" s="2358">
        <v>936</v>
      </c>
      <c r="M40" s="2359">
        <v>948</v>
      </c>
      <c r="N40" s="2359">
        <v>981</v>
      </c>
      <c r="O40" s="2359">
        <v>1004</v>
      </c>
      <c r="P40" s="2359">
        <v>1033</v>
      </c>
      <c r="Q40" s="2359">
        <v>1071</v>
      </c>
    </row>
    <row r="41" spans="1:17" s="41" customFormat="1" ht="15" customHeight="1" x14ac:dyDescent="0.2">
      <c r="A41" s="5927"/>
      <c r="B41" s="5678"/>
      <c r="C41" s="799" t="s">
        <v>464</v>
      </c>
      <c r="D41" s="2343">
        <v>143</v>
      </c>
      <c r="E41" s="2344">
        <v>150</v>
      </c>
      <c r="F41" s="2344">
        <v>159</v>
      </c>
      <c r="G41" s="2344">
        <v>165</v>
      </c>
      <c r="H41" s="2345">
        <v>168</v>
      </c>
      <c r="I41" s="2346">
        <v>170</v>
      </c>
      <c r="J41" s="2347">
        <v>171</v>
      </c>
      <c r="K41" s="2345">
        <v>171</v>
      </c>
      <c r="L41" s="2346">
        <v>171</v>
      </c>
      <c r="M41" s="2347">
        <v>171</v>
      </c>
      <c r="N41" s="2347">
        <v>186</v>
      </c>
      <c r="O41" s="2347">
        <v>191</v>
      </c>
      <c r="P41" s="2347">
        <v>199</v>
      </c>
      <c r="Q41" s="2347">
        <v>206</v>
      </c>
    </row>
    <row r="42" spans="1:17" s="41" customFormat="1" ht="15" customHeight="1" x14ac:dyDescent="0.2">
      <c r="A42" s="5927"/>
      <c r="B42" s="5678"/>
      <c r="C42" s="799" t="s">
        <v>453</v>
      </c>
      <c r="D42" s="2343">
        <v>626</v>
      </c>
      <c r="E42" s="2344">
        <v>643</v>
      </c>
      <c r="F42" s="2344">
        <v>665</v>
      </c>
      <c r="G42" s="2344">
        <v>691</v>
      </c>
      <c r="H42" s="2345">
        <v>698</v>
      </c>
      <c r="I42" s="2346">
        <v>706</v>
      </c>
      <c r="J42" s="2347">
        <v>717</v>
      </c>
      <c r="K42" s="2345">
        <v>724</v>
      </c>
      <c r="L42" s="2346">
        <v>731</v>
      </c>
      <c r="M42" s="2347">
        <v>738</v>
      </c>
      <c r="N42" s="2347">
        <v>750</v>
      </c>
      <c r="O42" s="2347">
        <v>772</v>
      </c>
      <c r="P42" s="2347">
        <v>808</v>
      </c>
      <c r="Q42" s="2347">
        <v>845</v>
      </c>
    </row>
    <row r="43" spans="1:17" s="41" customFormat="1" ht="15" customHeight="1" x14ac:dyDescent="0.2">
      <c r="A43" s="5927"/>
      <c r="B43" s="5678"/>
      <c r="C43" s="799" t="s">
        <v>465</v>
      </c>
      <c r="D43" s="2343">
        <v>403</v>
      </c>
      <c r="E43" s="2344">
        <v>416</v>
      </c>
      <c r="F43" s="2344">
        <v>433</v>
      </c>
      <c r="G43" s="2344">
        <v>451</v>
      </c>
      <c r="H43" s="2345">
        <v>457</v>
      </c>
      <c r="I43" s="2346">
        <v>465</v>
      </c>
      <c r="J43" s="2347">
        <v>471</v>
      </c>
      <c r="K43" s="2345">
        <v>474</v>
      </c>
      <c r="L43" s="2346">
        <v>479</v>
      </c>
      <c r="M43" s="2347">
        <v>485</v>
      </c>
      <c r="N43" s="2347">
        <v>499</v>
      </c>
      <c r="O43" s="2347">
        <v>521</v>
      </c>
      <c r="P43" s="2347">
        <v>551</v>
      </c>
      <c r="Q43" s="2347">
        <v>571</v>
      </c>
    </row>
    <row r="44" spans="1:17" s="41" customFormat="1" ht="15" customHeight="1" x14ac:dyDescent="0.2">
      <c r="A44" s="5927"/>
      <c r="B44" s="5678"/>
      <c r="C44" s="799" t="s">
        <v>466</v>
      </c>
      <c r="D44" s="2343">
        <v>258</v>
      </c>
      <c r="E44" s="2344">
        <v>264</v>
      </c>
      <c r="F44" s="2344">
        <v>277</v>
      </c>
      <c r="G44" s="2344">
        <v>288</v>
      </c>
      <c r="H44" s="2345">
        <v>293</v>
      </c>
      <c r="I44" s="2346">
        <v>296</v>
      </c>
      <c r="J44" s="2347">
        <v>298</v>
      </c>
      <c r="K44" s="2345">
        <v>302</v>
      </c>
      <c r="L44" s="2346">
        <v>308</v>
      </c>
      <c r="M44" s="2347">
        <v>310</v>
      </c>
      <c r="N44" s="2347">
        <v>327</v>
      </c>
      <c r="O44" s="2347">
        <v>346</v>
      </c>
      <c r="P44" s="2347">
        <v>374</v>
      </c>
      <c r="Q44" s="2347">
        <v>402</v>
      </c>
    </row>
    <row r="45" spans="1:17" s="41" customFormat="1" ht="15" customHeight="1" x14ac:dyDescent="0.2">
      <c r="A45" s="5927"/>
      <c r="B45" s="5678"/>
      <c r="C45" s="799" t="s">
        <v>454</v>
      </c>
      <c r="D45" s="2343">
        <v>1628</v>
      </c>
      <c r="E45" s="2344">
        <v>1663</v>
      </c>
      <c r="F45" s="2344">
        <v>1714</v>
      </c>
      <c r="G45" s="2344">
        <v>1742</v>
      </c>
      <c r="H45" s="2345">
        <v>1756</v>
      </c>
      <c r="I45" s="2346">
        <v>1778</v>
      </c>
      <c r="J45" s="2347">
        <v>1788</v>
      </c>
      <c r="K45" s="2345">
        <v>1793</v>
      </c>
      <c r="L45" s="2346">
        <v>1802</v>
      </c>
      <c r="M45" s="2347">
        <v>1811</v>
      </c>
      <c r="N45" s="2347">
        <v>1848</v>
      </c>
      <c r="O45" s="2347">
        <v>1876</v>
      </c>
      <c r="P45" s="2347">
        <v>1904</v>
      </c>
      <c r="Q45" s="2347">
        <v>1936</v>
      </c>
    </row>
    <row r="46" spans="1:17" s="41" customFormat="1" ht="15" customHeight="1" x14ac:dyDescent="0.2">
      <c r="A46" s="5927"/>
      <c r="B46" s="5678"/>
      <c r="C46" s="799" t="s">
        <v>467</v>
      </c>
      <c r="D46" s="2343">
        <v>329</v>
      </c>
      <c r="E46" s="2344">
        <v>339</v>
      </c>
      <c r="F46" s="2344">
        <v>358</v>
      </c>
      <c r="G46" s="2344">
        <v>374</v>
      </c>
      <c r="H46" s="2345">
        <v>376</v>
      </c>
      <c r="I46" s="2346">
        <v>386</v>
      </c>
      <c r="J46" s="2347">
        <v>391</v>
      </c>
      <c r="K46" s="2345">
        <v>397</v>
      </c>
      <c r="L46" s="2346">
        <v>404</v>
      </c>
      <c r="M46" s="2347">
        <v>417</v>
      </c>
      <c r="N46" s="2347">
        <v>456</v>
      </c>
      <c r="O46" s="2347">
        <v>461</v>
      </c>
      <c r="P46" s="2347">
        <v>480</v>
      </c>
      <c r="Q46" s="2347">
        <v>505</v>
      </c>
    </row>
    <row r="47" spans="1:17" s="41" customFormat="1" ht="15" customHeight="1" x14ac:dyDescent="0.2">
      <c r="A47" s="5927"/>
      <c r="B47" s="5678"/>
      <c r="C47" s="799" t="s">
        <v>468</v>
      </c>
      <c r="D47" s="2343">
        <v>152</v>
      </c>
      <c r="E47" s="2344">
        <v>160</v>
      </c>
      <c r="F47" s="2344">
        <v>167</v>
      </c>
      <c r="G47" s="2344">
        <v>178</v>
      </c>
      <c r="H47" s="2345">
        <v>179</v>
      </c>
      <c r="I47" s="2346">
        <v>187</v>
      </c>
      <c r="J47" s="2347">
        <v>192</v>
      </c>
      <c r="K47" s="2345">
        <v>193</v>
      </c>
      <c r="L47" s="2346">
        <v>195</v>
      </c>
      <c r="M47" s="2347">
        <v>202</v>
      </c>
      <c r="N47" s="2347">
        <v>213</v>
      </c>
      <c r="O47" s="2347">
        <v>224</v>
      </c>
      <c r="P47" s="2347">
        <v>241</v>
      </c>
      <c r="Q47" s="2347">
        <v>255</v>
      </c>
    </row>
    <row r="48" spans="1:17" s="41" customFormat="1" ht="15" customHeight="1" x14ac:dyDescent="0.2">
      <c r="A48" s="5927"/>
      <c r="B48" s="5678"/>
      <c r="C48" s="2342" t="s">
        <v>469</v>
      </c>
      <c r="D48" s="2343">
        <v>1175</v>
      </c>
      <c r="E48" s="2344">
        <v>1210</v>
      </c>
      <c r="F48" s="2344">
        <v>1275</v>
      </c>
      <c r="G48" s="2344">
        <v>1319</v>
      </c>
      <c r="H48" s="2345">
        <v>1342</v>
      </c>
      <c r="I48" s="2346">
        <v>1360</v>
      </c>
      <c r="J48" s="2347">
        <v>1364</v>
      </c>
      <c r="K48" s="2345">
        <v>1374</v>
      </c>
      <c r="L48" s="2346">
        <v>1391</v>
      </c>
      <c r="M48" s="2347">
        <v>1408</v>
      </c>
      <c r="N48" s="2347">
        <v>1444</v>
      </c>
      <c r="O48" s="2347">
        <v>1451</v>
      </c>
      <c r="P48" s="2347">
        <v>1492</v>
      </c>
      <c r="Q48" s="2347">
        <v>1556</v>
      </c>
    </row>
    <row r="49" spans="1:17" s="41" customFormat="1" ht="15" customHeight="1" x14ac:dyDescent="0.2">
      <c r="A49" s="5927"/>
      <c r="B49" s="5679"/>
      <c r="C49" s="2348" t="s">
        <v>160</v>
      </c>
      <c r="D49" s="2349">
        <f t="shared" ref="D49:J49" si="12">SUM(D40:D48)</f>
        <v>5494</v>
      </c>
      <c r="E49" s="2349">
        <f t="shared" si="12"/>
        <v>5663</v>
      </c>
      <c r="F49" s="2349">
        <f t="shared" si="12"/>
        <v>5918</v>
      </c>
      <c r="G49" s="2350">
        <f t="shared" si="12"/>
        <v>6106</v>
      </c>
      <c r="H49" s="2349">
        <f t="shared" si="12"/>
        <v>6176</v>
      </c>
      <c r="I49" s="2351">
        <f t="shared" si="12"/>
        <v>6268</v>
      </c>
      <c r="J49" s="2352">
        <f t="shared" si="12"/>
        <v>6318</v>
      </c>
      <c r="K49" s="2349">
        <f t="shared" ref="K49:Q49" si="13">SUM(K40:K48)</f>
        <v>6359</v>
      </c>
      <c r="L49" s="2351">
        <f t="shared" si="13"/>
        <v>6417</v>
      </c>
      <c r="M49" s="2352">
        <f t="shared" si="13"/>
        <v>6490</v>
      </c>
      <c r="N49" s="2352">
        <f t="shared" si="13"/>
        <v>6704</v>
      </c>
      <c r="O49" s="2352">
        <f t="shared" si="13"/>
        <v>6846</v>
      </c>
      <c r="P49" s="2352">
        <f t="shared" si="13"/>
        <v>7082</v>
      </c>
      <c r="Q49" s="2352">
        <f t="shared" si="13"/>
        <v>7347</v>
      </c>
    </row>
    <row r="50" spans="1:17" s="41" customFormat="1" ht="15" customHeight="1" x14ac:dyDescent="0.2">
      <c r="A50" s="5927"/>
      <c r="B50" s="5677" t="s">
        <v>6</v>
      </c>
      <c r="C50" s="2342" t="s">
        <v>456</v>
      </c>
      <c r="D50" s="2343">
        <v>4139</v>
      </c>
      <c r="E50" s="2344">
        <v>4252</v>
      </c>
      <c r="F50" s="2344">
        <v>4416</v>
      </c>
      <c r="G50" s="2344">
        <v>4544</v>
      </c>
      <c r="H50" s="2345">
        <v>4584</v>
      </c>
      <c r="I50" s="2346">
        <v>4642</v>
      </c>
      <c r="J50" s="2347">
        <v>4677</v>
      </c>
      <c r="K50" s="2345">
        <v>4749</v>
      </c>
      <c r="L50" s="2346">
        <v>4814</v>
      </c>
      <c r="M50" s="2347">
        <v>4868</v>
      </c>
      <c r="N50" s="2347">
        <v>5007</v>
      </c>
      <c r="O50" s="2347">
        <v>5162</v>
      </c>
      <c r="P50" s="2347">
        <v>5286</v>
      </c>
      <c r="Q50" s="2347">
        <v>5422</v>
      </c>
    </row>
    <row r="51" spans="1:17" s="41" customFormat="1" ht="15" customHeight="1" x14ac:dyDescent="0.2">
      <c r="A51" s="5927"/>
      <c r="B51" s="5678"/>
      <c r="C51" s="2342" t="s">
        <v>470</v>
      </c>
      <c r="D51" s="2343">
        <v>605</v>
      </c>
      <c r="E51" s="2344">
        <v>629</v>
      </c>
      <c r="F51" s="2344">
        <v>648</v>
      </c>
      <c r="G51" s="2344">
        <v>672</v>
      </c>
      <c r="H51" s="2345">
        <v>680</v>
      </c>
      <c r="I51" s="2346">
        <v>696</v>
      </c>
      <c r="J51" s="2347">
        <v>712</v>
      </c>
      <c r="K51" s="2345">
        <v>726</v>
      </c>
      <c r="L51" s="2346">
        <v>734</v>
      </c>
      <c r="M51" s="2347">
        <v>746</v>
      </c>
      <c r="N51" s="2347">
        <v>775</v>
      </c>
      <c r="O51" s="2347">
        <v>809</v>
      </c>
      <c r="P51" s="2347">
        <v>843</v>
      </c>
      <c r="Q51" s="2347">
        <v>878</v>
      </c>
    </row>
    <row r="52" spans="1:17" s="41" customFormat="1" ht="15" customHeight="1" x14ac:dyDescent="0.2">
      <c r="A52" s="5927"/>
      <c r="B52" s="5678"/>
      <c r="C52" s="2342" t="s">
        <v>471</v>
      </c>
      <c r="D52" s="2344">
        <v>337</v>
      </c>
      <c r="E52" s="2344">
        <v>367</v>
      </c>
      <c r="F52" s="2344">
        <v>399</v>
      </c>
      <c r="G52" s="2344">
        <v>433</v>
      </c>
      <c r="H52" s="2345">
        <v>450</v>
      </c>
      <c r="I52" s="2346">
        <v>464</v>
      </c>
      <c r="J52" s="2347">
        <v>474</v>
      </c>
      <c r="K52" s="2345">
        <v>488</v>
      </c>
      <c r="L52" s="2346">
        <v>501</v>
      </c>
      <c r="M52" s="2347">
        <v>515</v>
      </c>
      <c r="N52" s="2347">
        <v>536</v>
      </c>
      <c r="O52" s="2347">
        <v>570</v>
      </c>
      <c r="P52" s="2347">
        <v>589</v>
      </c>
      <c r="Q52" s="2347">
        <v>616</v>
      </c>
    </row>
    <row r="53" spans="1:17" s="41" customFormat="1" ht="15" customHeight="1" x14ac:dyDescent="0.2">
      <c r="A53" s="5927"/>
      <c r="B53" s="5678"/>
      <c r="C53" s="2342" t="s">
        <v>472</v>
      </c>
      <c r="D53" s="2344">
        <v>310</v>
      </c>
      <c r="E53" s="2344">
        <v>341</v>
      </c>
      <c r="F53" s="2344">
        <v>382</v>
      </c>
      <c r="G53" s="2344">
        <v>423</v>
      </c>
      <c r="H53" s="2345">
        <v>432</v>
      </c>
      <c r="I53" s="2346">
        <v>439</v>
      </c>
      <c r="J53" s="2347">
        <v>448</v>
      </c>
      <c r="K53" s="2345">
        <v>462</v>
      </c>
      <c r="L53" s="2346">
        <v>479</v>
      </c>
      <c r="M53" s="2347">
        <v>492</v>
      </c>
      <c r="N53" s="2347">
        <v>520</v>
      </c>
      <c r="O53" s="2347">
        <v>563</v>
      </c>
      <c r="P53" s="2347">
        <v>604</v>
      </c>
      <c r="Q53" s="2347">
        <v>633</v>
      </c>
    </row>
    <row r="54" spans="1:17" s="41" customFormat="1" ht="15" customHeight="1" x14ac:dyDescent="0.2">
      <c r="A54" s="5927"/>
      <c r="B54" s="5678"/>
      <c r="C54" s="2342" t="s">
        <v>458</v>
      </c>
      <c r="D54" s="2343">
        <v>1512</v>
      </c>
      <c r="E54" s="2344">
        <v>1559</v>
      </c>
      <c r="F54" s="2344">
        <v>1632</v>
      </c>
      <c r="G54" s="2344">
        <v>1666</v>
      </c>
      <c r="H54" s="2345">
        <v>1668</v>
      </c>
      <c r="I54" s="2346">
        <v>1687</v>
      </c>
      <c r="J54" s="2347">
        <v>1704</v>
      </c>
      <c r="K54" s="2345">
        <v>1711</v>
      </c>
      <c r="L54" s="2346">
        <v>1738</v>
      </c>
      <c r="M54" s="2347">
        <v>1761</v>
      </c>
      <c r="N54" s="2347">
        <v>1803</v>
      </c>
      <c r="O54" s="2347">
        <v>1863</v>
      </c>
      <c r="P54" s="2347">
        <v>1905</v>
      </c>
      <c r="Q54" s="2347">
        <v>1967</v>
      </c>
    </row>
    <row r="55" spans="1:17" s="41" customFormat="1" ht="15" customHeight="1" x14ac:dyDescent="0.2">
      <c r="A55" s="5927"/>
      <c r="B55" s="5678"/>
      <c r="C55" s="2342" t="s">
        <v>459</v>
      </c>
      <c r="D55" s="2343">
        <v>1044</v>
      </c>
      <c r="E55" s="2344">
        <v>1072</v>
      </c>
      <c r="F55" s="2344">
        <v>1120</v>
      </c>
      <c r="G55" s="2344">
        <v>1159</v>
      </c>
      <c r="H55" s="2345">
        <v>1170</v>
      </c>
      <c r="I55" s="2346">
        <v>1177</v>
      </c>
      <c r="J55" s="2347">
        <v>1189</v>
      </c>
      <c r="K55" s="2345">
        <v>1202</v>
      </c>
      <c r="L55" s="2346">
        <v>1215</v>
      </c>
      <c r="M55" s="2347">
        <v>1235</v>
      </c>
      <c r="N55" s="2347">
        <v>1286</v>
      </c>
      <c r="O55" s="2347">
        <v>1330</v>
      </c>
      <c r="P55" s="2347">
        <v>1370</v>
      </c>
      <c r="Q55" s="2347">
        <v>1421</v>
      </c>
    </row>
    <row r="56" spans="1:17" s="41" customFormat="1" ht="15" customHeight="1" x14ac:dyDescent="0.2">
      <c r="A56" s="5927"/>
      <c r="B56" s="5678"/>
      <c r="C56" s="2342" t="s">
        <v>473</v>
      </c>
      <c r="D56" s="2343">
        <v>419</v>
      </c>
      <c r="E56" s="2344">
        <v>453</v>
      </c>
      <c r="F56" s="2344">
        <v>499</v>
      </c>
      <c r="G56" s="2344">
        <v>530</v>
      </c>
      <c r="H56" s="2345">
        <v>542</v>
      </c>
      <c r="I56" s="2346">
        <v>558</v>
      </c>
      <c r="J56" s="2347">
        <v>568</v>
      </c>
      <c r="K56" s="2345">
        <v>576</v>
      </c>
      <c r="L56" s="2346">
        <v>592</v>
      </c>
      <c r="M56" s="2347">
        <v>605</v>
      </c>
      <c r="N56" s="2347">
        <v>641</v>
      </c>
      <c r="O56" s="2347">
        <v>682</v>
      </c>
      <c r="P56" s="2347">
        <v>713</v>
      </c>
      <c r="Q56" s="2347">
        <v>750</v>
      </c>
    </row>
    <row r="57" spans="1:17" s="41" customFormat="1" ht="15" customHeight="1" x14ac:dyDescent="0.2">
      <c r="A57" s="5927"/>
      <c r="B57" s="5678"/>
      <c r="C57" s="2342" t="s">
        <v>474</v>
      </c>
      <c r="D57" s="2343">
        <v>138</v>
      </c>
      <c r="E57" s="2344">
        <v>152</v>
      </c>
      <c r="F57" s="2344">
        <v>162</v>
      </c>
      <c r="G57" s="2344">
        <v>175</v>
      </c>
      <c r="H57" s="2345">
        <v>180</v>
      </c>
      <c r="I57" s="2346">
        <v>187</v>
      </c>
      <c r="J57" s="2347">
        <v>192</v>
      </c>
      <c r="K57" s="2345">
        <v>195</v>
      </c>
      <c r="L57" s="2346">
        <v>203</v>
      </c>
      <c r="M57" s="2347">
        <v>208</v>
      </c>
      <c r="N57" s="2347">
        <v>219</v>
      </c>
      <c r="O57" s="2347">
        <v>241</v>
      </c>
      <c r="P57" s="2347">
        <v>262</v>
      </c>
      <c r="Q57" s="2347">
        <v>285</v>
      </c>
    </row>
    <row r="58" spans="1:17" s="41" customFormat="1" ht="15" customHeight="1" x14ac:dyDescent="0.2">
      <c r="A58" s="5927"/>
      <c r="B58" s="5678"/>
      <c r="C58" s="2342" t="s">
        <v>475</v>
      </c>
      <c r="D58" s="2343">
        <v>1136</v>
      </c>
      <c r="E58" s="2344">
        <v>1170</v>
      </c>
      <c r="F58" s="2344">
        <v>1214</v>
      </c>
      <c r="G58" s="2344">
        <v>1261</v>
      </c>
      <c r="H58" s="2345">
        <v>1280</v>
      </c>
      <c r="I58" s="2346">
        <v>1299</v>
      </c>
      <c r="J58" s="2347">
        <v>1323</v>
      </c>
      <c r="K58" s="2345">
        <v>1340</v>
      </c>
      <c r="L58" s="2346">
        <v>1379</v>
      </c>
      <c r="M58" s="2347">
        <v>1403</v>
      </c>
      <c r="N58" s="2347">
        <v>1458</v>
      </c>
      <c r="O58" s="2347">
        <v>1519</v>
      </c>
      <c r="P58" s="2347">
        <v>1558</v>
      </c>
      <c r="Q58" s="2347">
        <v>1634</v>
      </c>
    </row>
    <row r="59" spans="1:17" s="41" customFormat="1" ht="15" customHeight="1" x14ac:dyDescent="0.2">
      <c r="A59" s="5927"/>
      <c r="B59" s="5678"/>
      <c r="C59" s="2342" t="s">
        <v>476</v>
      </c>
      <c r="D59" s="2343">
        <v>2102</v>
      </c>
      <c r="E59" s="2344">
        <v>2224</v>
      </c>
      <c r="F59" s="2344">
        <v>2317</v>
      </c>
      <c r="G59" s="2344">
        <v>2421</v>
      </c>
      <c r="H59" s="2345">
        <v>2500</v>
      </c>
      <c r="I59" s="2346">
        <v>2556</v>
      </c>
      <c r="J59" s="2347">
        <v>2571</v>
      </c>
      <c r="K59" s="2345">
        <v>2618</v>
      </c>
      <c r="L59" s="2346">
        <v>2679</v>
      </c>
      <c r="M59" s="2347">
        <v>2691</v>
      </c>
      <c r="N59" s="2347">
        <v>2813</v>
      </c>
      <c r="O59" s="2347">
        <v>2902</v>
      </c>
      <c r="P59" s="2347">
        <v>3040</v>
      </c>
      <c r="Q59" s="2347">
        <v>3146</v>
      </c>
    </row>
    <row r="60" spans="1:17" s="41" customFormat="1" ht="15" customHeight="1" x14ac:dyDescent="0.2">
      <c r="A60" s="5927"/>
      <c r="B60" s="5678"/>
      <c r="C60" s="2342" t="s">
        <v>477</v>
      </c>
      <c r="D60" s="2344">
        <v>17</v>
      </c>
      <c r="E60" s="2344">
        <v>25</v>
      </c>
      <c r="F60" s="2344">
        <v>28</v>
      </c>
      <c r="G60" s="2344">
        <v>32</v>
      </c>
      <c r="H60" s="2345">
        <v>176</v>
      </c>
      <c r="I60" s="2346">
        <v>176</v>
      </c>
      <c r="J60" s="2347">
        <v>39</v>
      </c>
      <c r="K60" s="2345">
        <v>176</v>
      </c>
      <c r="L60" s="2346">
        <v>176</v>
      </c>
      <c r="M60" s="2347">
        <v>46</v>
      </c>
      <c r="N60" s="2347">
        <v>55</v>
      </c>
      <c r="O60" s="2347">
        <v>176</v>
      </c>
      <c r="P60" s="2347">
        <v>176</v>
      </c>
      <c r="Q60" s="2347">
        <v>176</v>
      </c>
    </row>
    <row r="61" spans="1:17" s="41" customFormat="1" ht="15" customHeight="1" x14ac:dyDescent="0.2">
      <c r="A61" s="5927"/>
      <c r="B61" s="5678"/>
      <c r="C61" s="5234" t="s">
        <v>496</v>
      </c>
      <c r="D61" s="2343">
        <v>176</v>
      </c>
      <c r="E61" s="2344">
        <v>176</v>
      </c>
      <c r="F61" s="2344">
        <v>176</v>
      </c>
      <c r="G61" s="2344">
        <v>176</v>
      </c>
      <c r="H61" s="2345">
        <v>34</v>
      </c>
      <c r="I61" s="2346">
        <v>37</v>
      </c>
      <c r="J61" s="2347">
        <v>176</v>
      </c>
      <c r="K61" s="2345">
        <v>40</v>
      </c>
      <c r="L61" s="2346">
        <v>41</v>
      </c>
      <c r="M61" s="2347">
        <v>176</v>
      </c>
      <c r="N61" s="2347">
        <v>176</v>
      </c>
      <c r="O61" s="2347">
        <v>67</v>
      </c>
      <c r="P61" s="2347">
        <v>79</v>
      </c>
      <c r="Q61" s="2347">
        <v>95</v>
      </c>
    </row>
    <row r="62" spans="1:17" s="41" customFormat="1" ht="15" customHeight="1" x14ac:dyDescent="0.2">
      <c r="A62" s="5927"/>
      <c r="B62" s="5679"/>
      <c r="C62" s="2348" t="s">
        <v>160</v>
      </c>
      <c r="D62" s="2349">
        <f t="shared" ref="D62:J62" si="14">SUM(D50:D61)</f>
        <v>11935</v>
      </c>
      <c r="E62" s="2349">
        <f t="shared" si="14"/>
        <v>12420</v>
      </c>
      <c r="F62" s="2349">
        <f t="shared" si="14"/>
        <v>12993</v>
      </c>
      <c r="G62" s="2350">
        <f t="shared" si="14"/>
        <v>13492</v>
      </c>
      <c r="H62" s="2349">
        <f t="shared" si="14"/>
        <v>13696</v>
      </c>
      <c r="I62" s="2351">
        <f t="shared" si="14"/>
        <v>13918</v>
      </c>
      <c r="J62" s="2352">
        <f t="shared" si="14"/>
        <v>14073</v>
      </c>
      <c r="K62" s="2349">
        <f t="shared" ref="K62:Q62" si="15">SUM(K50:K61)</f>
        <v>14283</v>
      </c>
      <c r="L62" s="2351">
        <f t="shared" si="15"/>
        <v>14551</v>
      </c>
      <c r="M62" s="2352">
        <f t="shared" si="15"/>
        <v>14746</v>
      </c>
      <c r="N62" s="2352">
        <f t="shared" si="15"/>
        <v>15289</v>
      </c>
      <c r="O62" s="2352">
        <f t="shared" si="15"/>
        <v>15884</v>
      </c>
      <c r="P62" s="2352">
        <f t="shared" si="15"/>
        <v>16425</v>
      </c>
      <c r="Q62" s="2352">
        <f t="shared" si="15"/>
        <v>17023</v>
      </c>
    </row>
    <row r="63" spans="1:17" s="41" customFormat="1" ht="15" customHeight="1" x14ac:dyDescent="0.2">
      <c r="A63" s="5927"/>
      <c r="B63" s="5677" t="s">
        <v>11</v>
      </c>
      <c r="C63" s="2342" t="s">
        <v>478</v>
      </c>
      <c r="D63" s="2343">
        <v>1568</v>
      </c>
      <c r="E63" s="2344">
        <v>1625</v>
      </c>
      <c r="F63" s="2344">
        <v>1678</v>
      </c>
      <c r="G63" s="2344">
        <v>1725</v>
      </c>
      <c r="H63" s="2345">
        <v>1753</v>
      </c>
      <c r="I63" s="2346">
        <v>1779</v>
      </c>
      <c r="J63" s="2347">
        <v>1797</v>
      </c>
      <c r="K63" s="2345">
        <v>1820</v>
      </c>
      <c r="L63" s="2346">
        <v>1843</v>
      </c>
      <c r="M63" s="2347">
        <v>1888</v>
      </c>
      <c r="N63" s="2347">
        <v>1971</v>
      </c>
      <c r="O63" s="2347">
        <v>2068</v>
      </c>
      <c r="P63" s="2347">
        <v>2179</v>
      </c>
      <c r="Q63" s="2347">
        <v>2273</v>
      </c>
    </row>
    <row r="64" spans="1:17" s="41" customFormat="1" ht="15" customHeight="1" x14ac:dyDescent="0.2">
      <c r="A64" s="5927"/>
      <c r="B64" s="5678"/>
      <c r="C64" s="2342" t="s">
        <v>479</v>
      </c>
      <c r="D64" s="2343">
        <v>612</v>
      </c>
      <c r="E64" s="2344">
        <v>671</v>
      </c>
      <c r="F64" s="2344">
        <v>719</v>
      </c>
      <c r="G64" s="2344">
        <v>771</v>
      </c>
      <c r="H64" s="2345">
        <v>786</v>
      </c>
      <c r="I64" s="2346">
        <v>806</v>
      </c>
      <c r="J64" s="2347">
        <v>812</v>
      </c>
      <c r="K64" s="2345">
        <v>830</v>
      </c>
      <c r="L64" s="2346">
        <v>847</v>
      </c>
      <c r="M64" s="2347">
        <v>864</v>
      </c>
      <c r="N64" s="2347">
        <v>927</v>
      </c>
      <c r="O64" s="2347">
        <v>984</v>
      </c>
      <c r="P64" s="2347">
        <v>1047</v>
      </c>
      <c r="Q64" s="2347">
        <v>1108</v>
      </c>
    </row>
    <row r="65" spans="1:17" s="41" customFormat="1" ht="15" customHeight="1" x14ac:dyDescent="0.2">
      <c r="A65" s="5927"/>
      <c r="B65" s="5678"/>
      <c r="C65" s="2342" t="s">
        <v>480</v>
      </c>
      <c r="D65" s="2343">
        <v>617</v>
      </c>
      <c r="E65" s="2344">
        <v>635</v>
      </c>
      <c r="F65" s="2344">
        <v>658</v>
      </c>
      <c r="G65" s="2344">
        <v>675</v>
      </c>
      <c r="H65" s="2345">
        <v>686</v>
      </c>
      <c r="I65" s="2346">
        <v>697</v>
      </c>
      <c r="J65" s="2347">
        <v>706</v>
      </c>
      <c r="K65" s="2345">
        <v>715</v>
      </c>
      <c r="L65" s="2346">
        <v>726</v>
      </c>
      <c r="M65" s="2347">
        <v>741</v>
      </c>
      <c r="N65" s="2347">
        <v>761</v>
      </c>
      <c r="O65" s="2347">
        <v>804</v>
      </c>
      <c r="P65" s="2347">
        <v>850</v>
      </c>
      <c r="Q65" s="2347">
        <v>929</v>
      </c>
    </row>
    <row r="66" spans="1:17" s="41" customFormat="1" ht="15" customHeight="1" x14ac:dyDescent="0.2">
      <c r="A66" s="5927"/>
      <c r="B66" s="5678"/>
      <c r="C66" s="2342" t="s">
        <v>481</v>
      </c>
      <c r="D66" s="2343">
        <v>203</v>
      </c>
      <c r="E66" s="2344">
        <v>209</v>
      </c>
      <c r="F66" s="2344">
        <v>220</v>
      </c>
      <c r="G66" s="2344">
        <v>228</v>
      </c>
      <c r="H66" s="2345">
        <v>234</v>
      </c>
      <c r="I66" s="2346">
        <v>241</v>
      </c>
      <c r="J66" s="2347">
        <v>242</v>
      </c>
      <c r="K66" s="2345">
        <v>244</v>
      </c>
      <c r="L66" s="2346">
        <v>260</v>
      </c>
      <c r="M66" s="2347">
        <v>257</v>
      </c>
      <c r="N66" s="2347">
        <v>271</v>
      </c>
      <c r="O66" s="2347">
        <v>296</v>
      </c>
      <c r="P66" s="2347">
        <v>320</v>
      </c>
      <c r="Q66" s="2347">
        <v>361</v>
      </c>
    </row>
    <row r="67" spans="1:17" s="41" customFormat="1" ht="15" customHeight="1" x14ac:dyDescent="0.2">
      <c r="A67" s="5927"/>
      <c r="B67" s="5678"/>
      <c r="C67" s="2342" t="s">
        <v>514</v>
      </c>
      <c r="D67" s="2343">
        <v>1659</v>
      </c>
      <c r="E67" s="2344">
        <v>1703</v>
      </c>
      <c r="F67" s="2344">
        <v>1804</v>
      </c>
      <c r="G67" s="2344">
        <v>1861</v>
      </c>
      <c r="H67" s="2345">
        <v>1880</v>
      </c>
      <c r="I67" s="2346">
        <v>1897</v>
      </c>
      <c r="J67" s="2347">
        <v>1928</v>
      </c>
      <c r="K67" s="2345">
        <v>1943</v>
      </c>
      <c r="L67" s="2346">
        <v>1971</v>
      </c>
      <c r="M67" s="2347">
        <v>2010</v>
      </c>
      <c r="N67" s="2347">
        <v>2086</v>
      </c>
      <c r="O67" s="2347">
        <v>2168</v>
      </c>
      <c r="P67" s="2347">
        <v>2264</v>
      </c>
      <c r="Q67" s="2347">
        <v>2371</v>
      </c>
    </row>
    <row r="68" spans="1:17" s="41" customFormat="1" ht="15" customHeight="1" x14ac:dyDescent="0.2">
      <c r="A68" s="5927"/>
      <c r="B68" s="5678"/>
      <c r="C68" s="2342" t="s">
        <v>483</v>
      </c>
      <c r="D68" s="2343">
        <v>1959</v>
      </c>
      <c r="E68" s="2344">
        <v>2023</v>
      </c>
      <c r="F68" s="2344">
        <v>2092</v>
      </c>
      <c r="G68" s="2344">
        <v>2167</v>
      </c>
      <c r="H68" s="2345">
        <v>2185</v>
      </c>
      <c r="I68" s="2346">
        <v>2203</v>
      </c>
      <c r="J68" s="2347">
        <v>2240</v>
      </c>
      <c r="K68" s="2345">
        <v>2263</v>
      </c>
      <c r="L68" s="2346">
        <v>2295</v>
      </c>
      <c r="M68" s="2347">
        <v>2321</v>
      </c>
      <c r="N68" s="2347">
        <v>2407</v>
      </c>
      <c r="O68" s="2347">
        <v>2491</v>
      </c>
      <c r="P68" s="2347">
        <v>2588</v>
      </c>
      <c r="Q68" s="2347">
        <v>2668</v>
      </c>
    </row>
    <row r="69" spans="1:17" s="41" customFormat="1" ht="15" customHeight="1" x14ac:dyDescent="0.2">
      <c r="A69" s="5927"/>
      <c r="B69" s="5679"/>
      <c r="C69" s="854" t="s">
        <v>160</v>
      </c>
      <c r="D69" s="3599">
        <f t="shared" ref="D69:I69" si="16">SUM(D63:D68)</f>
        <v>6618</v>
      </c>
      <c r="E69" s="3599">
        <f t="shared" si="16"/>
        <v>6866</v>
      </c>
      <c r="F69" s="3599">
        <f t="shared" si="16"/>
        <v>7171</v>
      </c>
      <c r="G69" s="3600">
        <f t="shared" si="16"/>
        <v>7427</v>
      </c>
      <c r="H69" s="3599">
        <f t="shared" si="16"/>
        <v>7524</v>
      </c>
      <c r="I69" s="3601">
        <f t="shared" si="16"/>
        <v>7623</v>
      </c>
      <c r="J69" s="3602">
        <f t="shared" ref="J69:O69" si="17">SUM(J63:J68)</f>
        <v>7725</v>
      </c>
      <c r="K69" s="3599">
        <f t="shared" si="17"/>
        <v>7815</v>
      </c>
      <c r="L69" s="3601">
        <f t="shared" si="17"/>
        <v>7942</v>
      </c>
      <c r="M69" s="3602">
        <f t="shared" si="17"/>
        <v>8081</v>
      </c>
      <c r="N69" s="3602">
        <f t="shared" si="17"/>
        <v>8423</v>
      </c>
      <c r="O69" s="3602">
        <f t="shared" si="17"/>
        <v>8811</v>
      </c>
      <c r="P69" s="3602">
        <f>SUM(P63:P68)</f>
        <v>9248</v>
      </c>
      <c r="Q69" s="3602">
        <f>SUM(Q63:Q68)</f>
        <v>9710</v>
      </c>
    </row>
    <row r="70" spans="1:17" s="41" customFormat="1" ht="15" customHeight="1" x14ac:dyDescent="0.2">
      <c r="A70" s="5928"/>
      <c r="B70" s="3560"/>
      <c r="C70" s="3594" t="s">
        <v>444</v>
      </c>
      <c r="D70" s="3595">
        <f>SUM(D69,D62,D49)</f>
        <v>24047</v>
      </c>
      <c r="E70" s="3595">
        <f>SUM(E69,E62,E49)</f>
        <v>24949</v>
      </c>
      <c r="F70" s="3595">
        <f>SUM(F69,F62,F49)</f>
        <v>26082</v>
      </c>
      <c r="G70" s="3596">
        <f>SUM(G69,G62,G49)</f>
        <v>27025</v>
      </c>
      <c r="H70" s="3595">
        <f>SUM(H69,H62,H49)</f>
        <v>27396</v>
      </c>
      <c r="I70" s="3597">
        <f>SUM(I49,I62,I69)</f>
        <v>27809</v>
      </c>
      <c r="J70" s="3598">
        <f>SUM(J49,J62,J69)</f>
        <v>28116</v>
      </c>
      <c r="K70" s="3595">
        <f>SUM(K69,K62,K49)</f>
        <v>28457</v>
      </c>
      <c r="L70" s="3597">
        <f t="shared" ref="L70:Q70" si="18">SUM(L49,L62,L69)</f>
        <v>28910</v>
      </c>
      <c r="M70" s="3598">
        <f t="shared" si="18"/>
        <v>29317</v>
      </c>
      <c r="N70" s="3598">
        <f t="shared" si="18"/>
        <v>30416</v>
      </c>
      <c r="O70" s="3598">
        <f t="shared" si="18"/>
        <v>31541</v>
      </c>
      <c r="P70" s="3598">
        <f t="shared" si="18"/>
        <v>32755</v>
      </c>
      <c r="Q70" s="3598">
        <f t="shared" si="18"/>
        <v>34080</v>
      </c>
    </row>
    <row r="71" spans="1:17" s="41" customFormat="1" ht="15" customHeight="1" x14ac:dyDescent="0.2">
      <c r="A71" s="5763" t="s">
        <v>325</v>
      </c>
      <c r="B71" s="5887" t="s">
        <v>5</v>
      </c>
      <c r="C71" s="953" t="s">
        <v>503</v>
      </c>
      <c r="D71" s="953"/>
      <c r="E71" s="953"/>
      <c r="F71" s="953"/>
      <c r="G71" s="953"/>
      <c r="H71" s="953"/>
      <c r="I71" s="953"/>
      <c r="J71" s="953"/>
      <c r="K71" s="953"/>
      <c r="L71" s="953"/>
      <c r="M71" s="953"/>
      <c r="N71" s="953"/>
      <c r="O71" s="4186">
        <v>20</v>
      </c>
      <c r="P71" s="4186">
        <v>30</v>
      </c>
      <c r="Q71" s="4186">
        <v>43</v>
      </c>
    </row>
    <row r="72" spans="1:17" s="41" customFormat="1" ht="15" customHeight="1" x14ac:dyDescent="0.2">
      <c r="A72" s="5764"/>
      <c r="B72" s="5861"/>
      <c r="C72" s="960" t="s">
        <v>160</v>
      </c>
      <c r="D72" s="960"/>
      <c r="E72" s="960"/>
      <c r="F72" s="960"/>
      <c r="G72" s="960"/>
      <c r="H72" s="960"/>
      <c r="I72" s="960"/>
      <c r="J72" s="960"/>
      <c r="K72" s="960"/>
      <c r="L72" s="960"/>
      <c r="M72" s="960"/>
      <c r="N72" s="960"/>
      <c r="O72" s="4187">
        <f>SUM(O71)</f>
        <v>20</v>
      </c>
      <c r="P72" s="4187">
        <f>SUM(P71)</f>
        <v>30</v>
      </c>
      <c r="Q72" s="4187">
        <f>SUM(Q71)</f>
        <v>43</v>
      </c>
    </row>
    <row r="73" spans="1:17" s="41" customFormat="1" ht="15" customHeight="1" x14ac:dyDescent="0.2">
      <c r="A73" s="5764"/>
      <c r="B73" s="5859" t="s">
        <v>6</v>
      </c>
      <c r="C73" s="946" t="s">
        <v>504</v>
      </c>
      <c r="D73" s="946"/>
      <c r="E73" s="946"/>
      <c r="F73" s="946"/>
      <c r="G73" s="946"/>
      <c r="H73" s="946"/>
      <c r="I73" s="946"/>
      <c r="J73" s="946"/>
      <c r="K73" s="946"/>
      <c r="L73" s="946"/>
      <c r="M73" s="946"/>
      <c r="N73" s="946"/>
      <c r="O73" s="4188">
        <v>32</v>
      </c>
      <c r="P73" s="4188">
        <v>43</v>
      </c>
      <c r="Q73" s="4188">
        <v>75</v>
      </c>
    </row>
    <row r="74" spans="1:17" s="41" customFormat="1" ht="15" customHeight="1" x14ac:dyDescent="0.2">
      <c r="A74" s="5764"/>
      <c r="B74" s="5860"/>
      <c r="C74" s="946" t="s">
        <v>612</v>
      </c>
      <c r="D74" s="946"/>
      <c r="E74" s="946"/>
      <c r="F74" s="946"/>
      <c r="G74" s="946"/>
      <c r="H74" s="946"/>
      <c r="I74" s="946"/>
      <c r="J74" s="946"/>
      <c r="K74" s="946"/>
      <c r="L74" s="946"/>
      <c r="M74" s="946"/>
      <c r="N74" s="946"/>
      <c r="O74" s="4188"/>
      <c r="P74" s="4188"/>
      <c r="Q74" s="4188">
        <v>7</v>
      </c>
    </row>
    <row r="75" spans="1:17" s="41" customFormat="1" ht="15" customHeight="1" x14ac:dyDescent="0.2">
      <c r="A75" s="5764"/>
      <c r="B75" s="5861"/>
      <c r="C75" s="960" t="s">
        <v>160</v>
      </c>
      <c r="D75" s="960"/>
      <c r="E75" s="960"/>
      <c r="F75" s="960"/>
      <c r="G75" s="960"/>
      <c r="H75" s="960"/>
      <c r="I75" s="960"/>
      <c r="J75" s="960"/>
      <c r="K75" s="960"/>
      <c r="L75" s="960"/>
      <c r="M75" s="960"/>
      <c r="N75" s="960"/>
      <c r="O75" s="4187">
        <f>SUM(O73:O74)</f>
        <v>32</v>
      </c>
      <c r="P75" s="4187">
        <f>SUM(P73:P74)</f>
        <v>43</v>
      </c>
      <c r="Q75" s="4187">
        <f>SUM(Q73:Q74)</f>
        <v>82</v>
      </c>
    </row>
    <row r="76" spans="1:17" s="41" customFormat="1" ht="15" customHeight="1" x14ac:dyDescent="0.2">
      <c r="A76" s="5765"/>
      <c r="B76" s="5887" t="s">
        <v>11</v>
      </c>
      <c r="C76" s="953" t="s">
        <v>505</v>
      </c>
      <c r="D76" s="953"/>
      <c r="E76" s="953"/>
      <c r="F76" s="953"/>
      <c r="G76" s="953"/>
      <c r="H76" s="953"/>
      <c r="I76" s="953"/>
      <c r="J76" s="953"/>
      <c r="K76" s="953"/>
      <c r="L76" s="953"/>
      <c r="M76" s="953"/>
      <c r="N76" s="953"/>
      <c r="O76" s="4189">
        <v>23</v>
      </c>
      <c r="P76" s="4189">
        <v>37</v>
      </c>
      <c r="Q76" s="4189">
        <v>67</v>
      </c>
    </row>
    <row r="77" spans="1:17" s="41" customFormat="1" ht="15" customHeight="1" x14ac:dyDescent="0.2">
      <c r="A77" s="5765"/>
      <c r="B77" s="5861"/>
      <c r="C77" s="960" t="s">
        <v>160</v>
      </c>
      <c r="D77" s="960"/>
      <c r="E77" s="960"/>
      <c r="F77" s="960"/>
      <c r="G77" s="960"/>
      <c r="H77" s="960"/>
      <c r="I77" s="960"/>
      <c r="J77" s="960"/>
      <c r="K77" s="960"/>
      <c r="L77" s="960"/>
      <c r="M77" s="960"/>
      <c r="N77" s="960"/>
      <c r="O77" s="4187">
        <f>SUM(O76)</f>
        <v>23</v>
      </c>
      <c r="P77" s="4187">
        <f>SUM(P76)</f>
        <v>37</v>
      </c>
      <c r="Q77" s="4187">
        <f>SUM(Q76)</f>
        <v>67</v>
      </c>
    </row>
    <row r="78" spans="1:17" s="41" customFormat="1" ht="15" customHeight="1" x14ac:dyDescent="0.2">
      <c r="A78" s="5766"/>
      <c r="B78" s="3564"/>
      <c r="C78" s="2217" t="s">
        <v>510</v>
      </c>
      <c r="D78" s="2217"/>
      <c r="E78" s="2217"/>
      <c r="F78" s="2217"/>
      <c r="G78" s="2217"/>
      <c r="H78" s="2217"/>
      <c r="I78" s="2217"/>
      <c r="J78" s="2217"/>
      <c r="K78" s="2217"/>
      <c r="L78" s="2217"/>
      <c r="M78" s="2217"/>
      <c r="N78" s="2217"/>
      <c r="O78" s="4190">
        <f>SUM(O77,O75,O72)</f>
        <v>75</v>
      </c>
      <c r="P78" s="4190">
        <f>SUM(P77,P75,P72)</f>
        <v>110</v>
      </c>
      <c r="Q78" s="4190">
        <f>SUM(Q77,Q75,Q72)</f>
        <v>192</v>
      </c>
    </row>
    <row r="79" spans="1:17" s="41" customFormat="1" ht="15" customHeight="1" x14ac:dyDescent="0.2">
      <c r="A79" s="5923" t="s">
        <v>10</v>
      </c>
      <c r="B79" s="5808" t="s">
        <v>6</v>
      </c>
      <c r="C79" s="2361" t="s">
        <v>456</v>
      </c>
      <c r="D79" s="2360">
        <v>3297</v>
      </c>
      <c r="E79" s="2356">
        <v>3381</v>
      </c>
      <c r="F79" s="2356">
        <v>3494</v>
      </c>
      <c r="G79" s="2356">
        <v>3613</v>
      </c>
      <c r="H79" s="2357">
        <v>3664</v>
      </c>
      <c r="I79" s="2358">
        <v>3741</v>
      </c>
      <c r="J79" s="2359">
        <v>3743</v>
      </c>
      <c r="K79" s="2357">
        <v>3796</v>
      </c>
      <c r="L79" s="2358">
        <v>3889</v>
      </c>
      <c r="M79" s="2359">
        <v>3892</v>
      </c>
      <c r="N79" s="2359">
        <v>3998</v>
      </c>
      <c r="O79" s="2359">
        <v>4110</v>
      </c>
      <c r="P79" s="2359">
        <v>4234</v>
      </c>
      <c r="Q79" s="2359">
        <v>4338</v>
      </c>
    </row>
    <row r="80" spans="1:17" s="41" customFormat="1" ht="15" customHeight="1" x14ac:dyDescent="0.2">
      <c r="A80" s="5924"/>
      <c r="B80" s="5808"/>
      <c r="C80" s="2342" t="s">
        <v>484</v>
      </c>
      <c r="D80" s="2343">
        <v>4765</v>
      </c>
      <c r="E80" s="2344">
        <v>4957</v>
      </c>
      <c r="F80" s="2344">
        <v>5151</v>
      </c>
      <c r="G80" s="2344">
        <v>5327</v>
      </c>
      <c r="H80" s="2345">
        <v>5402</v>
      </c>
      <c r="I80" s="2346">
        <v>5498</v>
      </c>
      <c r="J80" s="2347">
        <v>5498</v>
      </c>
      <c r="K80" s="2345">
        <v>5570</v>
      </c>
      <c r="L80" s="2346">
        <v>5681</v>
      </c>
      <c r="M80" s="2347">
        <v>5673</v>
      </c>
      <c r="N80" s="2347">
        <v>5847</v>
      </c>
      <c r="O80" s="2347">
        <v>6018</v>
      </c>
      <c r="P80" s="2347">
        <v>6200</v>
      </c>
      <c r="Q80" s="2347">
        <v>6373</v>
      </c>
    </row>
    <row r="81" spans="1:17" s="41" customFormat="1" ht="15" customHeight="1" x14ac:dyDescent="0.2">
      <c r="A81" s="5924"/>
      <c r="B81" s="5808"/>
      <c r="C81" s="2342" t="s">
        <v>458</v>
      </c>
      <c r="D81" s="2343">
        <v>1894</v>
      </c>
      <c r="E81" s="2344">
        <v>1981</v>
      </c>
      <c r="F81" s="2344">
        <v>2107</v>
      </c>
      <c r="G81" s="2344">
        <v>2185</v>
      </c>
      <c r="H81" s="2345">
        <v>2234</v>
      </c>
      <c r="I81" s="2346">
        <v>2265</v>
      </c>
      <c r="J81" s="2347">
        <v>2266</v>
      </c>
      <c r="K81" s="2345">
        <v>2289</v>
      </c>
      <c r="L81" s="2346">
        <v>2323</v>
      </c>
      <c r="M81" s="2347">
        <v>2328</v>
      </c>
      <c r="N81" s="2347">
        <v>2403</v>
      </c>
      <c r="O81" s="2347">
        <v>2485</v>
      </c>
      <c r="P81" s="2347">
        <v>2580</v>
      </c>
      <c r="Q81" s="2347">
        <v>2646</v>
      </c>
    </row>
    <row r="82" spans="1:17" s="41" customFormat="1" ht="15" customHeight="1" x14ac:dyDescent="0.2">
      <c r="A82" s="5924"/>
      <c r="B82" s="5808"/>
      <c r="C82" s="2342" t="s">
        <v>485</v>
      </c>
      <c r="D82" s="2343">
        <v>6886</v>
      </c>
      <c r="E82" s="2344">
        <v>7270</v>
      </c>
      <c r="F82" s="2344">
        <v>7558</v>
      </c>
      <c r="G82" s="2344">
        <v>7831</v>
      </c>
      <c r="H82" s="2345">
        <v>7940</v>
      </c>
      <c r="I82" s="2346">
        <v>8092</v>
      </c>
      <c r="J82" s="2347">
        <v>8092</v>
      </c>
      <c r="K82" s="2345">
        <v>8239</v>
      </c>
      <c r="L82" s="2346">
        <v>8423</v>
      </c>
      <c r="M82" s="2347">
        <v>8424</v>
      </c>
      <c r="N82" s="2347">
        <v>8719</v>
      </c>
      <c r="O82" s="2347">
        <v>9004</v>
      </c>
      <c r="P82" s="2347">
        <v>9307</v>
      </c>
      <c r="Q82" s="2347">
        <v>9590</v>
      </c>
    </row>
    <row r="83" spans="1:17" s="41" customFormat="1" ht="15" customHeight="1" x14ac:dyDescent="0.2">
      <c r="A83" s="5924"/>
      <c r="B83" s="5808"/>
      <c r="C83" s="2342" t="s">
        <v>459</v>
      </c>
      <c r="D83" s="2343">
        <v>2297</v>
      </c>
      <c r="E83" s="2344">
        <v>2430</v>
      </c>
      <c r="F83" s="2344">
        <v>2549</v>
      </c>
      <c r="G83" s="2344">
        <v>2665</v>
      </c>
      <c r="H83" s="2345">
        <v>2713</v>
      </c>
      <c r="I83" s="2346">
        <v>2772</v>
      </c>
      <c r="J83" s="2347">
        <v>2773</v>
      </c>
      <c r="K83" s="2345">
        <v>2842</v>
      </c>
      <c r="L83" s="2346">
        <v>2906</v>
      </c>
      <c r="M83" s="2347">
        <v>2906</v>
      </c>
      <c r="N83" s="2347">
        <v>3023</v>
      </c>
      <c r="O83" s="2347">
        <v>3150</v>
      </c>
      <c r="P83" s="2347">
        <v>3264</v>
      </c>
      <c r="Q83" s="2347">
        <v>3354</v>
      </c>
    </row>
    <row r="84" spans="1:17" s="41" customFormat="1" ht="15" customHeight="1" x14ac:dyDescent="0.2">
      <c r="A84" s="5924"/>
      <c r="B84" s="5808"/>
      <c r="C84" s="2342" t="s">
        <v>486</v>
      </c>
      <c r="D84" s="2343">
        <v>236</v>
      </c>
      <c r="E84" s="2344">
        <v>282</v>
      </c>
      <c r="F84" s="2344">
        <v>328</v>
      </c>
      <c r="G84" s="2344">
        <v>381</v>
      </c>
      <c r="H84" s="2345">
        <v>400</v>
      </c>
      <c r="I84" s="2346">
        <v>426</v>
      </c>
      <c r="J84" s="2347">
        <v>427</v>
      </c>
      <c r="K84" s="2345">
        <v>453</v>
      </c>
      <c r="L84" s="2346">
        <v>482</v>
      </c>
      <c r="M84" s="2347">
        <v>482</v>
      </c>
      <c r="N84" s="2347">
        <v>524</v>
      </c>
      <c r="O84" s="2347">
        <v>557</v>
      </c>
      <c r="P84" s="2347">
        <v>602</v>
      </c>
      <c r="Q84" s="2347">
        <v>649</v>
      </c>
    </row>
    <row r="85" spans="1:17" s="41" customFormat="1" ht="15" customHeight="1" x14ac:dyDescent="0.2">
      <c r="A85" s="5924"/>
      <c r="B85" s="5809"/>
      <c r="C85" s="2348" t="s">
        <v>160</v>
      </c>
      <c r="D85" s="2349">
        <f t="shared" ref="D85:J85" si="19">SUM(D79:D84)</f>
        <v>19375</v>
      </c>
      <c r="E85" s="2349">
        <f t="shared" si="19"/>
        <v>20301</v>
      </c>
      <c r="F85" s="2349">
        <f t="shared" si="19"/>
        <v>21187</v>
      </c>
      <c r="G85" s="2350">
        <f t="shared" si="19"/>
        <v>22002</v>
      </c>
      <c r="H85" s="2349">
        <f t="shared" si="19"/>
        <v>22353</v>
      </c>
      <c r="I85" s="2351">
        <f t="shared" si="19"/>
        <v>22794</v>
      </c>
      <c r="J85" s="2352">
        <f t="shared" si="19"/>
        <v>22799</v>
      </c>
      <c r="K85" s="2349">
        <f t="shared" ref="K85:Q85" si="20">SUM(K79:K84)</f>
        <v>23189</v>
      </c>
      <c r="L85" s="2351">
        <f t="shared" si="20"/>
        <v>23704</v>
      </c>
      <c r="M85" s="2352">
        <f t="shared" si="20"/>
        <v>23705</v>
      </c>
      <c r="N85" s="2352">
        <f t="shared" si="20"/>
        <v>24514</v>
      </c>
      <c r="O85" s="2352">
        <f t="shared" si="20"/>
        <v>25324</v>
      </c>
      <c r="P85" s="2352">
        <f t="shared" si="20"/>
        <v>26187</v>
      </c>
      <c r="Q85" s="2352">
        <f t="shared" si="20"/>
        <v>26950</v>
      </c>
    </row>
    <row r="86" spans="1:17" s="41" customFormat="1" ht="15" customHeight="1" x14ac:dyDescent="0.2">
      <c r="A86" s="5924"/>
      <c r="B86" s="5807" t="s">
        <v>11</v>
      </c>
      <c r="C86" s="2342" t="s">
        <v>478</v>
      </c>
      <c r="D86" s="2343">
        <v>2862</v>
      </c>
      <c r="E86" s="2344">
        <v>3022</v>
      </c>
      <c r="F86" s="2344">
        <v>3167</v>
      </c>
      <c r="G86" s="2344">
        <v>3316</v>
      </c>
      <c r="H86" s="2345">
        <v>3369</v>
      </c>
      <c r="I86" s="2346">
        <v>3433</v>
      </c>
      <c r="J86" s="2347">
        <v>3467</v>
      </c>
      <c r="K86" s="2345">
        <v>3524</v>
      </c>
      <c r="L86" s="2346">
        <v>3579</v>
      </c>
      <c r="M86" s="2347">
        <v>3612</v>
      </c>
      <c r="N86" s="2347">
        <v>3772</v>
      </c>
      <c r="O86" s="2347">
        <v>3883</v>
      </c>
      <c r="P86" s="2347">
        <v>4013</v>
      </c>
      <c r="Q86" s="2347">
        <v>4173</v>
      </c>
    </row>
    <row r="87" spans="1:17" s="41" customFormat="1" ht="15" customHeight="1" x14ac:dyDescent="0.2">
      <c r="A87" s="5924"/>
      <c r="B87" s="5808"/>
      <c r="C87" s="2342" t="s">
        <v>487</v>
      </c>
      <c r="D87" s="2343">
        <v>1387</v>
      </c>
      <c r="E87" s="2344">
        <v>1479</v>
      </c>
      <c r="F87" s="2344">
        <v>1592</v>
      </c>
      <c r="G87" s="2344">
        <v>1704</v>
      </c>
      <c r="H87" s="2345">
        <v>1756</v>
      </c>
      <c r="I87" s="2346">
        <v>1819</v>
      </c>
      <c r="J87" s="2347">
        <v>1844</v>
      </c>
      <c r="K87" s="2345">
        <v>1885</v>
      </c>
      <c r="L87" s="2346">
        <v>1947</v>
      </c>
      <c r="M87" s="2347">
        <v>1970</v>
      </c>
      <c r="N87" s="2347">
        <v>2082</v>
      </c>
      <c r="O87" s="2347">
        <v>2191</v>
      </c>
      <c r="P87" s="2347">
        <v>2292</v>
      </c>
      <c r="Q87" s="2347">
        <v>2394</v>
      </c>
    </row>
    <row r="88" spans="1:17" s="41" customFormat="1" ht="15" customHeight="1" x14ac:dyDescent="0.2">
      <c r="A88" s="5924"/>
      <c r="B88" s="5808"/>
      <c r="C88" s="2342" t="s">
        <v>488</v>
      </c>
      <c r="D88" s="2343">
        <v>5265</v>
      </c>
      <c r="E88" s="2344">
        <v>5510</v>
      </c>
      <c r="F88" s="2344">
        <v>5701</v>
      </c>
      <c r="G88" s="2344">
        <v>5854</v>
      </c>
      <c r="H88" s="2345">
        <v>5914</v>
      </c>
      <c r="I88" s="2346">
        <v>5985</v>
      </c>
      <c r="J88" s="2347">
        <v>6017</v>
      </c>
      <c r="K88" s="2345">
        <v>6065</v>
      </c>
      <c r="L88" s="2346">
        <v>6122</v>
      </c>
      <c r="M88" s="2347">
        <v>6150</v>
      </c>
      <c r="N88" s="2347">
        <v>6295</v>
      </c>
      <c r="O88" s="2347">
        <v>6451</v>
      </c>
      <c r="P88" s="2347">
        <v>6595</v>
      </c>
      <c r="Q88" s="2347">
        <v>6732</v>
      </c>
    </row>
    <row r="89" spans="1:17" s="41" customFormat="1" ht="15" customHeight="1" x14ac:dyDescent="0.2">
      <c r="A89" s="5924"/>
      <c r="B89" s="5808"/>
      <c r="C89" s="2342" t="s">
        <v>489</v>
      </c>
      <c r="D89" s="2343">
        <v>3566</v>
      </c>
      <c r="E89" s="2344">
        <v>3735</v>
      </c>
      <c r="F89" s="2344">
        <v>3942</v>
      </c>
      <c r="G89" s="2344">
        <v>4116</v>
      </c>
      <c r="H89" s="2345">
        <v>4174</v>
      </c>
      <c r="I89" s="2346">
        <v>4260</v>
      </c>
      <c r="J89" s="2347">
        <v>4344</v>
      </c>
      <c r="K89" s="2345">
        <v>4400</v>
      </c>
      <c r="L89" s="2346">
        <v>4470</v>
      </c>
      <c r="M89" s="2347">
        <v>4522</v>
      </c>
      <c r="N89" s="2347">
        <v>4680</v>
      </c>
      <c r="O89" s="2347">
        <v>4853</v>
      </c>
      <c r="P89" s="2347">
        <v>5004</v>
      </c>
      <c r="Q89" s="2347">
        <v>5211</v>
      </c>
    </row>
    <row r="90" spans="1:17" s="41" customFormat="1" ht="15" customHeight="1" x14ac:dyDescent="0.2">
      <c r="A90" s="5924"/>
      <c r="B90" s="5808"/>
      <c r="C90" s="2342" t="s">
        <v>490</v>
      </c>
      <c r="D90" s="2343">
        <v>4403</v>
      </c>
      <c r="E90" s="2344">
        <v>4605</v>
      </c>
      <c r="F90" s="2344">
        <v>4798</v>
      </c>
      <c r="G90" s="2344">
        <v>5000</v>
      </c>
      <c r="H90" s="2345">
        <v>5049</v>
      </c>
      <c r="I90" s="2346">
        <v>5113</v>
      </c>
      <c r="J90" s="2347">
        <v>5151</v>
      </c>
      <c r="K90" s="2345">
        <v>5194</v>
      </c>
      <c r="L90" s="2346">
        <v>5243</v>
      </c>
      <c r="M90" s="2347">
        <v>5297</v>
      </c>
      <c r="N90" s="2347">
        <v>5457</v>
      </c>
      <c r="O90" s="2347">
        <v>5606</v>
      </c>
      <c r="P90" s="2347">
        <v>5789</v>
      </c>
      <c r="Q90" s="2347">
        <v>5905</v>
      </c>
    </row>
    <row r="91" spans="1:17" s="41" customFormat="1" ht="15" customHeight="1" x14ac:dyDescent="0.2">
      <c r="A91" s="5924"/>
      <c r="B91" s="5808"/>
      <c r="C91" s="2342" t="s">
        <v>491</v>
      </c>
      <c r="D91" s="2343">
        <v>2447</v>
      </c>
      <c r="E91" s="2344">
        <v>2490</v>
      </c>
      <c r="F91" s="2344">
        <v>2559</v>
      </c>
      <c r="G91" s="2344">
        <v>2643</v>
      </c>
      <c r="H91" s="2345">
        <v>2680</v>
      </c>
      <c r="I91" s="2346">
        <v>2735</v>
      </c>
      <c r="J91" s="2347">
        <v>2754</v>
      </c>
      <c r="K91" s="2345">
        <v>2787</v>
      </c>
      <c r="L91" s="2346">
        <v>2837</v>
      </c>
      <c r="M91" s="2347">
        <v>2867</v>
      </c>
      <c r="N91" s="2347">
        <v>2977</v>
      </c>
      <c r="O91" s="2347">
        <v>3105</v>
      </c>
      <c r="P91" s="2347">
        <v>3224</v>
      </c>
      <c r="Q91" s="2347">
        <v>3328</v>
      </c>
    </row>
    <row r="92" spans="1:17" s="41" customFormat="1" ht="15" customHeight="1" x14ac:dyDescent="0.2">
      <c r="A92" s="5924"/>
      <c r="B92" s="5808"/>
      <c r="C92" s="2342" t="s">
        <v>492</v>
      </c>
      <c r="D92" s="2343">
        <v>4013</v>
      </c>
      <c r="E92" s="2344">
        <v>4188</v>
      </c>
      <c r="F92" s="2344">
        <v>4378</v>
      </c>
      <c r="G92" s="2344">
        <v>4542</v>
      </c>
      <c r="H92" s="2345">
        <v>4543</v>
      </c>
      <c r="I92" s="2346">
        <v>4609</v>
      </c>
      <c r="J92" s="2347">
        <v>4676</v>
      </c>
      <c r="K92" s="2345">
        <v>4678</v>
      </c>
      <c r="L92" s="2346">
        <v>4735</v>
      </c>
      <c r="M92" s="2347">
        <v>4856</v>
      </c>
      <c r="N92" s="2347">
        <v>5025</v>
      </c>
      <c r="O92" s="2347">
        <v>5213</v>
      </c>
      <c r="P92" s="2347">
        <v>5344</v>
      </c>
      <c r="Q92" s="2347">
        <v>5495</v>
      </c>
    </row>
    <row r="93" spans="1:17" s="41" customFormat="1" ht="15" customHeight="1" x14ac:dyDescent="0.2">
      <c r="A93" s="5924"/>
      <c r="B93" s="5808"/>
      <c r="C93" s="2342" t="s">
        <v>493</v>
      </c>
      <c r="D93" s="2343">
        <v>1791</v>
      </c>
      <c r="E93" s="2344">
        <v>1999</v>
      </c>
      <c r="F93" s="2344">
        <v>2084</v>
      </c>
      <c r="G93" s="2344">
        <v>2207</v>
      </c>
      <c r="H93" s="2345">
        <v>2249</v>
      </c>
      <c r="I93" s="2346">
        <v>2303</v>
      </c>
      <c r="J93" s="2347">
        <v>2314</v>
      </c>
      <c r="K93" s="2345">
        <v>2358</v>
      </c>
      <c r="L93" s="2346">
        <v>2407</v>
      </c>
      <c r="M93" s="2347">
        <v>2437</v>
      </c>
      <c r="N93" s="2347">
        <v>2552</v>
      </c>
      <c r="O93" s="2347">
        <v>2683</v>
      </c>
      <c r="P93" s="2347">
        <v>2796</v>
      </c>
      <c r="Q93" s="2347">
        <v>2942</v>
      </c>
    </row>
    <row r="94" spans="1:17" s="41" customFormat="1" ht="15" customHeight="1" x14ac:dyDescent="0.2">
      <c r="A94" s="5924"/>
      <c r="B94" s="5809"/>
      <c r="C94" s="2348" t="s">
        <v>160</v>
      </c>
      <c r="D94" s="2349">
        <f t="shared" ref="D94:J94" si="21">SUM(D86:D93)</f>
        <v>25734</v>
      </c>
      <c r="E94" s="2349">
        <f t="shared" si="21"/>
        <v>27028</v>
      </c>
      <c r="F94" s="2349">
        <f t="shared" si="21"/>
        <v>28221</v>
      </c>
      <c r="G94" s="2350">
        <f t="shared" si="21"/>
        <v>29382</v>
      </c>
      <c r="H94" s="2349">
        <f t="shared" si="21"/>
        <v>29734</v>
      </c>
      <c r="I94" s="2351">
        <f t="shared" si="21"/>
        <v>30257</v>
      </c>
      <c r="J94" s="2352">
        <f t="shared" si="21"/>
        <v>30567</v>
      </c>
      <c r="K94" s="2349">
        <f t="shared" ref="K94:Q94" si="22">SUM(K86:K93)</f>
        <v>30891</v>
      </c>
      <c r="L94" s="2351">
        <f t="shared" si="22"/>
        <v>31340</v>
      </c>
      <c r="M94" s="2352">
        <f t="shared" si="22"/>
        <v>31711</v>
      </c>
      <c r="N94" s="2352">
        <f t="shared" si="22"/>
        <v>32840</v>
      </c>
      <c r="O94" s="2352">
        <f t="shared" si="22"/>
        <v>33985</v>
      </c>
      <c r="P94" s="2352">
        <f t="shared" si="22"/>
        <v>35057</v>
      </c>
      <c r="Q94" s="2352">
        <f t="shared" si="22"/>
        <v>36180</v>
      </c>
    </row>
    <row r="95" spans="1:17" s="41" customFormat="1" ht="15" customHeight="1" x14ac:dyDescent="0.2">
      <c r="A95" s="5924"/>
      <c r="B95" s="5650" t="s">
        <v>7</v>
      </c>
      <c r="C95" s="2342" t="s">
        <v>460</v>
      </c>
      <c r="D95" s="2343">
        <v>3187</v>
      </c>
      <c r="E95" s="2344">
        <v>3398</v>
      </c>
      <c r="F95" s="2344">
        <v>3607</v>
      </c>
      <c r="G95" s="2344">
        <v>3796</v>
      </c>
      <c r="H95" s="2345">
        <v>3873</v>
      </c>
      <c r="I95" s="2346">
        <v>3977</v>
      </c>
      <c r="J95" s="2347">
        <v>3979</v>
      </c>
      <c r="K95" s="2345">
        <v>4066</v>
      </c>
      <c r="L95" s="2346">
        <v>4141</v>
      </c>
      <c r="M95" s="2347">
        <v>4148</v>
      </c>
      <c r="N95" s="2347">
        <v>4357</v>
      </c>
      <c r="O95" s="2347">
        <v>4525</v>
      </c>
      <c r="P95" s="2347">
        <v>4670</v>
      </c>
      <c r="Q95" s="2347">
        <v>4831</v>
      </c>
    </row>
    <row r="96" spans="1:17" s="41" customFormat="1" ht="15" customHeight="1" x14ac:dyDescent="0.2">
      <c r="A96" s="5924"/>
      <c r="B96" s="5651"/>
      <c r="C96" s="2342" t="s">
        <v>461</v>
      </c>
      <c r="D96" s="2343">
        <v>2511</v>
      </c>
      <c r="E96" s="2344">
        <v>2613</v>
      </c>
      <c r="F96" s="2344">
        <v>2705</v>
      </c>
      <c r="G96" s="2344">
        <v>2777</v>
      </c>
      <c r="H96" s="2345">
        <v>2819</v>
      </c>
      <c r="I96" s="2346">
        <v>2871</v>
      </c>
      <c r="J96" s="2347">
        <v>2871</v>
      </c>
      <c r="K96" s="2345">
        <v>2925</v>
      </c>
      <c r="L96" s="2346">
        <v>2974</v>
      </c>
      <c r="M96" s="2347">
        <v>2982</v>
      </c>
      <c r="N96" s="2347">
        <v>3103</v>
      </c>
      <c r="O96" s="2347">
        <v>3198</v>
      </c>
      <c r="P96" s="2347">
        <v>3322</v>
      </c>
      <c r="Q96" s="2347">
        <v>3408</v>
      </c>
    </row>
    <row r="97" spans="1:17" s="41" customFormat="1" ht="15" customHeight="1" x14ac:dyDescent="0.2">
      <c r="A97" s="5924"/>
      <c r="B97" s="5651"/>
      <c r="C97" s="2342" t="s">
        <v>462</v>
      </c>
      <c r="D97" s="2343">
        <v>1848</v>
      </c>
      <c r="E97" s="2344">
        <v>1955</v>
      </c>
      <c r="F97" s="2344">
        <v>2034</v>
      </c>
      <c r="G97" s="2344">
        <v>2109</v>
      </c>
      <c r="H97" s="2345">
        <v>2133</v>
      </c>
      <c r="I97" s="2346">
        <v>2156</v>
      </c>
      <c r="J97" s="2347">
        <v>2156</v>
      </c>
      <c r="K97" s="2345">
        <v>2200</v>
      </c>
      <c r="L97" s="2346">
        <v>2231</v>
      </c>
      <c r="M97" s="2347">
        <v>2231</v>
      </c>
      <c r="N97" s="2347">
        <v>2304</v>
      </c>
      <c r="O97" s="2347">
        <v>2376</v>
      </c>
      <c r="P97" s="2347">
        <v>2471</v>
      </c>
      <c r="Q97" s="2347">
        <v>2562</v>
      </c>
    </row>
    <row r="98" spans="1:17" s="41" customFormat="1" ht="15" customHeight="1" x14ac:dyDescent="0.2">
      <c r="A98" s="5924"/>
      <c r="B98" s="5651"/>
      <c r="C98" s="2342" t="s">
        <v>494</v>
      </c>
      <c r="D98" s="2343">
        <v>888</v>
      </c>
      <c r="E98" s="2344">
        <v>932</v>
      </c>
      <c r="F98" s="2344">
        <v>998</v>
      </c>
      <c r="G98" s="2344">
        <v>1039</v>
      </c>
      <c r="H98" s="2345">
        <v>1063</v>
      </c>
      <c r="I98" s="2346">
        <v>1090</v>
      </c>
      <c r="J98" s="2347">
        <v>1090</v>
      </c>
      <c r="K98" s="2345">
        <v>1124</v>
      </c>
      <c r="L98" s="2346">
        <v>1169</v>
      </c>
      <c r="M98" s="2347">
        <v>1169</v>
      </c>
      <c r="N98" s="2347">
        <v>1219</v>
      </c>
      <c r="O98" s="2347">
        <v>1292</v>
      </c>
      <c r="P98" s="2347">
        <v>1377</v>
      </c>
      <c r="Q98" s="2347">
        <v>1442</v>
      </c>
    </row>
    <row r="99" spans="1:17" s="41" customFormat="1" ht="15" customHeight="1" x14ac:dyDescent="0.2">
      <c r="A99" s="5924"/>
      <c r="B99" s="5652"/>
      <c r="C99" s="854" t="s">
        <v>160</v>
      </c>
      <c r="D99" s="3599">
        <f t="shared" ref="D99:I99" si="23">SUM(D95:D98)</f>
        <v>8434</v>
      </c>
      <c r="E99" s="3599">
        <f t="shared" si="23"/>
        <v>8898</v>
      </c>
      <c r="F99" s="3599">
        <f t="shared" si="23"/>
        <v>9344</v>
      </c>
      <c r="G99" s="3600">
        <f t="shared" si="23"/>
        <v>9721</v>
      </c>
      <c r="H99" s="3599">
        <f t="shared" si="23"/>
        <v>9888</v>
      </c>
      <c r="I99" s="3601">
        <f t="shared" si="23"/>
        <v>10094</v>
      </c>
      <c r="J99" s="3602">
        <f t="shared" ref="J99:O99" si="24">SUM(J95:J98)</f>
        <v>10096</v>
      </c>
      <c r="K99" s="3599">
        <f t="shared" si="24"/>
        <v>10315</v>
      </c>
      <c r="L99" s="3601">
        <f t="shared" si="24"/>
        <v>10515</v>
      </c>
      <c r="M99" s="3602">
        <f t="shared" si="24"/>
        <v>10530</v>
      </c>
      <c r="N99" s="3602">
        <f t="shared" si="24"/>
        <v>10983</v>
      </c>
      <c r="O99" s="3602">
        <f t="shared" si="24"/>
        <v>11391</v>
      </c>
      <c r="P99" s="3602">
        <f>SUM(P95:P98)</f>
        <v>11840</v>
      </c>
      <c r="Q99" s="3602">
        <f>SUM(Q95:Q98)</f>
        <v>12243</v>
      </c>
    </row>
    <row r="100" spans="1:17" s="41" customFormat="1" ht="15" customHeight="1" x14ac:dyDescent="0.2">
      <c r="A100" s="5925"/>
      <c r="B100" s="3568"/>
      <c r="C100" s="3569" t="s">
        <v>444</v>
      </c>
      <c r="D100" s="3603">
        <f>SUM(D99,D94,D85)</f>
        <v>53543</v>
      </c>
      <c r="E100" s="3603">
        <f>SUM(E99,E94,E85)</f>
        <v>56227</v>
      </c>
      <c r="F100" s="3603">
        <f>SUM(F99,F94,F85)</f>
        <v>58752</v>
      </c>
      <c r="G100" s="3604">
        <f>SUM(G99,G94,G85)</f>
        <v>61105</v>
      </c>
      <c r="H100" s="3603">
        <f>SUM(H99,H94,H85)</f>
        <v>61975</v>
      </c>
      <c r="I100" s="3605">
        <f>SUM(I85,I94,I99)</f>
        <v>63145</v>
      </c>
      <c r="J100" s="3606">
        <f>SUM(J85,J94,J99)</f>
        <v>63462</v>
      </c>
      <c r="K100" s="3603">
        <f>SUM(K99,K94,K85)</f>
        <v>64395</v>
      </c>
      <c r="L100" s="3605">
        <f t="shared" ref="L100:Q100" si="25">SUM(L85,L94,L99)</f>
        <v>65559</v>
      </c>
      <c r="M100" s="3606">
        <f t="shared" si="25"/>
        <v>65946</v>
      </c>
      <c r="N100" s="3606">
        <f t="shared" si="25"/>
        <v>68337</v>
      </c>
      <c r="O100" s="3606">
        <f t="shared" si="25"/>
        <v>70700</v>
      </c>
      <c r="P100" s="3606">
        <f t="shared" si="25"/>
        <v>73084</v>
      </c>
      <c r="Q100" s="3606">
        <f t="shared" si="25"/>
        <v>75373</v>
      </c>
    </row>
    <row r="101" spans="1:17" s="41" customFormat="1" ht="15" customHeight="1" x14ac:dyDescent="0.2">
      <c r="A101" s="767"/>
      <c r="B101" s="774"/>
      <c r="C101" s="510"/>
      <c r="D101" s="512"/>
      <c r="E101" s="773"/>
      <c r="F101" s="773"/>
      <c r="G101" s="767"/>
      <c r="H101" s="767"/>
      <c r="I101" s="767"/>
      <c r="J101" s="767"/>
      <c r="K101" s="767"/>
      <c r="L101" s="767"/>
      <c r="M101" s="767"/>
      <c r="N101" s="767"/>
      <c r="O101" s="767"/>
      <c r="P101" s="767"/>
      <c r="Q101" s="767"/>
    </row>
    <row r="102" spans="1:17" s="182" customFormat="1" ht="15" x14ac:dyDescent="0.25">
      <c r="B102" s="5930" t="s">
        <v>76</v>
      </c>
      <c r="C102" s="5931"/>
      <c r="D102" s="697">
        <f t="shared" ref="D102:J102" si="26">SUM(D24,D39,D70,D100)</f>
        <v>111709</v>
      </c>
      <c r="E102" s="697">
        <f>SUM(E24,E39,E70,E100)</f>
        <v>116618</v>
      </c>
      <c r="F102" s="697">
        <f t="shared" si="26"/>
        <v>121589</v>
      </c>
      <c r="G102" s="697">
        <f t="shared" si="26"/>
        <v>126090</v>
      </c>
      <c r="H102" s="559">
        <f t="shared" si="26"/>
        <v>127729</v>
      </c>
      <c r="I102" s="906">
        <f t="shared" si="26"/>
        <v>129822</v>
      </c>
      <c r="J102" s="907">
        <f t="shared" si="26"/>
        <v>130831</v>
      </c>
      <c r="K102" s="559">
        <f>SUM(K24,K39,K70,K100)</f>
        <v>132606</v>
      </c>
      <c r="L102" s="906">
        <f>SUM(L24,L39,L70,L100)</f>
        <v>134962</v>
      </c>
      <c r="M102" s="907">
        <f>SUM(M24,M39,M70,M100)</f>
        <v>136236</v>
      </c>
      <c r="N102" s="907">
        <f>SUM(N24,N39,N70,N100)</f>
        <v>141322</v>
      </c>
      <c r="O102" s="907">
        <f>SUM(O24,O39,O70,O78,O100)</f>
        <v>146497</v>
      </c>
      <c r="P102" s="907">
        <f>SUM(P24,P39,P70,P78,P100)</f>
        <v>151720</v>
      </c>
      <c r="Q102" s="907">
        <f>SUM(Q24,Q39,Q70,Q78,Q100)</f>
        <v>157477</v>
      </c>
    </row>
    <row r="103" spans="1:17" s="183" customFormat="1" ht="15" customHeight="1" x14ac:dyDescent="0.25">
      <c r="A103" s="775"/>
      <c r="C103" s="320"/>
      <c r="D103" s="320"/>
      <c r="E103" s="775"/>
      <c r="F103" s="775"/>
      <c r="G103" s="776"/>
    </row>
    <row r="104" spans="1:17" s="183" customFormat="1" ht="15" customHeight="1" x14ac:dyDescent="0.25">
      <c r="A104" s="775"/>
      <c r="B104" s="3058" t="s">
        <v>643</v>
      </c>
      <c r="C104" s="767"/>
      <c r="D104" s="767"/>
      <c r="E104" s="775"/>
      <c r="F104" s="775"/>
      <c r="G104" s="775"/>
    </row>
    <row r="105" spans="1:17" x14ac:dyDescent="0.2">
      <c r="B105" s="240" t="s">
        <v>648</v>
      </c>
      <c r="E105" s="278"/>
      <c r="F105" s="278"/>
      <c r="M105" s="278"/>
    </row>
    <row r="106" spans="1:17" x14ac:dyDescent="0.2">
      <c r="F106" s="278"/>
      <c r="N106" s="278"/>
    </row>
    <row r="107" spans="1:17" x14ac:dyDescent="0.2">
      <c r="J107" s="278"/>
    </row>
  </sheetData>
  <sheetProtection algorithmName="SHA-512" hashValue="Gho9l+jFWMIc3XvNVG2b3UyysDug4W01pPsVTIMia3chOCLOOy2+hWAwDTe1Q/LOijpa3uxMU3zZOX0yXFf1yg==" saltValue="mL77t6ttdBt+v5O3JNcjZg==" spinCount="100000" sheet="1" objects="1" scenarios="1"/>
  <mergeCells count="22">
    <mergeCell ref="B95:B99"/>
    <mergeCell ref="A79:A100"/>
    <mergeCell ref="A40:A70"/>
    <mergeCell ref="A1:C1"/>
    <mergeCell ref="B102:C102"/>
    <mergeCell ref="A4:A24"/>
    <mergeCell ref="A25:A39"/>
    <mergeCell ref="B25:B29"/>
    <mergeCell ref="B30:B33"/>
    <mergeCell ref="B34:B38"/>
    <mergeCell ref="B4:B14"/>
    <mergeCell ref="B15:B19"/>
    <mergeCell ref="B20:B23"/>
    <mergeCell ref="B50:B62"/>
    <mergeCell ref="B63:B69"/>
    <mergeCell ref="B79:B85"/>
    <mergeCell ref="B40:B49"/>
    <mergeCell ref="B86:B94"/>
    <mergeCell ref="A71:A78"/>
    <mergeCell ref="B71:B72"/>
    <mergeCell ref="B73:B75"/>
    <mergeCell ref="B76:B77"/>
  </mergeCells>
  <printOptions horizontalCentered="1" verticalCentered="1"/>
  <pageMargins left="0.27559055118110237" right="0.27559055118110237" top="0.39370078740157483" bottom="0.39370078740157483" header="0" footer="0"/>
  <pageSetup scale="75" orientation="landscape" horizontalDpi="1200" verticalDpi="1200" r:id="rId1"/>
  <headerFooter alignWithMargins="0"/>
  <rowBreaks count="2" manualBreakCount="2">
    <brk id="39" max="16383" man="1"/>
    <brk id="70" max="16383" man="1"/>
  </rowBreaks>
  <ignoredErrors>
    <ignoredError sqref="H102 K24 K70 K100 J38 E24" formula="1"/>
    <ignoredError sqref="D14:G14 J14:P14" formulaRange="1"/>
    <ignoredError sqref="K39" formula="1" formulaRange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1:R63"/>
  <sheetViews>
    <sheetView showGridLines="0" zoomScaleNormal="100" zoomScaleSheetLayoutView="90" workbookViewId="0">
      <pane xSplit="3" ySplit="5" topLeftCell="D63" activePane="bottomRight" state="frozen"/>
      <selection sqref="A1:E1"/>
      <selection pane="topRight" sqref="A1:E1"/>
      <selection pane="bottomLeft" sqref="A1:E1"/>
      <selection pane="bottomRight" activeCell="U50" sqref="U50"/>
    </sheetView>
  </sheetViews>
  <sheetFormatPr baseColWidth="10" defaultRowHeight="12.75" x14ac:dyDescent="0.2"/>
  <cols>
    <col min="1" max="1" width="3.28515625" style="23" customWidth="1"/>
    <col min="2" max="2" width="17.42578125" style="23" customWidth="1"/>
    <col min="3" max="7" width="12.7109375" style="23" customWidth="1"/>
    <col min="8" max="9" width="9.7109375" style="23" hidden="1" customWidth="1"/>
    <col min="10" max="10" width="9.7109375" style="23" customWidth="1"/>
    <col min="11" max="12" width="9.7109375" style="23" hidden="1" customWidth="1"/>
    <col min="13" max="19" width="9.7109375" style="23" customWidth="1"/>
    <col min="20" max="20" width="6" style="23" customWidth="1"/>
    <col min="21" max="16384" width="11.42578125" style="23"/>
  </cols>
  <sheetData>
    <row r="1" spans="2:17" ht="15.75" x14ac:dyDescent="0.2">
      <c r="B1" s="684"/>
      <c r="C1" s="682"/>
      <c r="D1" s="682"/>
      <c r="E1" s="682"/>
      <c r="F1" s="682"/>
      <c r="H1" s="40"/>
      <c r="K1" s="40"/>
      <c r="O1" s="40"/>
    </row>
    <row r="2" spans="2:17" ht="15.75" x14ac:dyDescent="0.2">
      <c r="B2" s="4512" t="s">
        <v>339</v>
      </c>
      <c r="C2" s="683"/>
      <c r="D2" s="683"/>
      <c r="E2" s="683"/>
      <c r="F2" s="683"/>
    </row>
    <row r="3" spans="2:17" ht="15" x14ac:dyDescent="0.2">
      <c r="B3" s="433"/>
      <c r="C3" s="433"/>
      <c r="D3" s="433"/>
    </row>
    <row r="4" spans="2:17" ht="15" x14ac:dyDescent="0.2">
      <c r="B4" s="1914" t="s">
        <v>16</v>
      </c>
      <c r="C4" s="562" t="s">
        <v>4</v>
      </c>
      <c r="D4" s="1620">
        <v>2008</v>
      </c>
      <c r="E4" s="1620">
        <v>2009</v>
      </c>
      <c r="F4" s="1620">
        <v>2010</v>
      </c>
      <c r="G4" s="1620">
        <v>2011</v>
      </c>
      <c r="H4" s="1620">
        <v>2012</v>
      </c>
      <c r="I4" s="1620">
        <v>2012</v>
      </c>
      <c r="J4" s="1620">
        <v>2012</v>
      </c>
      <c r="K4" s="1620">
        <v>2013</v>
      </c>
      <c r="L4" s="1620">
        <v>2013</v>
      </c>
      <c r="M4" s="1620">
        <v>2013</v>
      </c>
      <c r="N4" s="1620">
        <v>2014</v>
      </c>
      <c r="O4" s="1620">
        <v>2015</v>
      </c>
      <c r="P4" s="1620">
        <v>2016</v>
      </c>
      <c r="Q4" s="1620">
        <v>2017</v>
      </c>
    </row>
    <row r="5" spans="2:17" x14ac:dyDescent="0.2"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925"/>
      <c r="P5" s="2925"/>
      <c r="Q5" s="2925"/>
    </row>
    <row r="6" spans="2:17" ht="15" customHeight="1" x14ac:dyDescent="0.2">
      <c r="B6" s="5888" t="s">
        <v>161</v>
      </c>
      <c r="C6" s="779" t="s">
        <v>5</v>
      </c>
      <c r="D6" s="768">
        <f>SUM('EGRESO-ACUM plan'!D4:D13)</f>
        <v>9942</v>
      </c>
      <c r="E6" s="768">
        <f>SUM('EGRESO-ACUM plan'!E4:E13)</f>
        <v>10318</v>
      </c>
      <c r="F6" s="768">
        <f>SUM('EGRESO-ACUM plan'!F4:F13)</f>
        <v>10721</v>
      </c>
      <c r="G6" s="768">
        <f>SUM('EGRESO-ACUM plan'!G4:G13)</f>
        <v>11136</v>
      </c>
      <c r="H6" s="777">
        <f>SUM('EGRESO-ACUM plan'!H4:H13)</f>
        <v>11250</v>
      </c>
      <c r="I6" s="771">
        <f>SUM('EGRESO-ACUM plan'!I4:I13)</f>
        <v>11384</v>
      </c>
      <c r="J6" s="772">
        <f>SUM('EGRESO-ACUM plan'!J4:J13)</f>
        <v>11506</v>
      </c>
      <c r="K6" s="777">
        <f>SUM('EGRESO-ACUM plan'!K4:K13)</f>
        <v>11646</v>
      </c>
      <c r="L6" s="771">
        <f>SUM('EGRESO-ACUM plan'!L4:L13)</f>
        <v>11877</v>
      </c>
      <c r="M6" s="772">
        <f>SUM('EGRESO-ACUM plan'!M4:M13)</f>
        <v>12057</v>
      </c>
      <c r="N6" s="772">
        <f>SUM('EGRESO-ACUM plan'!N4:N13)</f>
        <v>12632</v>
      </c>
      <c r="O6" s="772">
        <f>SUM('EGRESO-ACUM plan'!O4:O13)</f>
        <v>13144</v>
      </c>
      <c r="P6" s="772">
        <f>SUM('EGRESO-ACUM plan'!P4:P13)</f>
        <v>13672</v>
      </c>
      <c r="Q6" s="772">
        <f>SUM('EGRESO-ACUM plan'!Q4:Q13)</f>
        <v>14392</v>
      </c>
    </row>
    <row r="7" spans="2:17" ht="15" x14ac:dyDescent="0.2">
      <c r="B7" s="5889"/>
      <c r="C7" s="780" t="s">
        <v>6</v>
      </c>
      <c r="D7" s="769">
        <f>SUM('EGRESO-ACUM plan'!D15:D18)</f>
        <v>14997</v>
      </c>
      <c r="E7" s="769">
        <f>SUM('EGRESO-ACUM plan'!E15:E18)</f>
        <v>15512</v>
      </c>
      <c r="F7" s="769">
        <f>SUM('EGRESO-ACUM plan'!F15:F18)</f>
        <v>16039</v>
      </c>
      <c r="G7" s="769">
        <f>SUM('EGRESO-ACUM plan'!G15:G18)</f>
        <v>16490</v>
      </c>
      <c r="H7" s="778">
        <f>SUM('EGRESO-ACUM plan'!H15:H18)</f>
        <v>16659</v>
      </c>
      <c r="I7" s="773">
        <f>SUM('EGRESO-ACUM plan'!I15:I18)</f>
        <v>16853</v>
      </c>
      <c r="J7" s="770">
        <f>SUM('EGRESO-ACUM plan'!J15:J18)</f>
        <v>17037</v>
      </c>
      <c r="K7" s="778">
        <f>SUM('EGRESO-ACUM plan'!K15:K18)</f>
        <v>17275</v>
      </c>
      <c r="L7" s="773">
        <f>SUM('EGRESO-ACUM plan'!L15:L18)</f>
        <v>17582</v>
      </c>
      <c r="M7" s="770">
        <f>SUM('EGRESO-ACUM plan'!M15:M18)</f>
        <v>17787</v>
      </c>
      <c r="N7" s="770">
        <f>SUM('EGRESO-ACUM plan'!N15:N18)</f>
        <v>18359</v>
      </c>
      <c r="O7" s="770">
        <f>SUM('EGRESO-ACUM plan'!O15:O18)</f>
        <v>19015</v>
      </c>
      <c r="P7" s="770">
        <f>SUM('EGRESO-ACUM plan'!P15:P18)</f>
        <v>19606</v>
      </c>
      <c r="Q7" s="770">
        <f>SUM('EGRESO-ACUM plan'!Q15:Q18)</f>
        <v>20316</v>
      </c>
    </row>
    <row r="8" spans="2:17" ht="15" customHeight="1" x14ac:dyDescent="0.2">
      <c r="B8" s="5889"/>
      <c r="C8" s="780" t="s">
        <v>7</v>
      </c>
      <c r="D8" s="769">
        <f>SUM('EGRESO-ACUM plan'!D20:D22)</f>
        <v>9180</v>
      </c>
      <c r="E8" s="769">
        <f>SUM('EGRESO-ACUM plan'!E20:E22)</f>
        <v>9545</v>
      </c>
      <c r="F8" s="769">
        <f>SUM('EGRESO-ACUM plan'!F20:F22)</f>
        <v>9873</v>
      </c>
      <c r="G8" s="769">
        <f>SUM('EGRESO-ACUM plan'!G20:G22)</f>
        <v>10117</v>
      </c>
      <c r="H8" s="778">
        <f>SUM('EGRESO-ACUM plan'!H20:H22)</f>
        <v>10212</v>
      </c>
      <c r="I8" s="773">
        <f>SUM('EGRESO-ACUM plan'!I20:I22)</f>
        <v>10332</v>
      </c>
      <c r="J8" s="770">
        <f>SUM('EGRESO-ACUM plan'!J20:J22)</f>
        <v>10371</v>
      </c>
      <c r="K8" s="778">
        <f>SUM('EGRESO-ACUM plan'!K20:K22)</f>
        <v>10485</v>
      </c>
      <c r="L8" s="773">
        <f>SUM('EGRESO-ACUM plan'!L20:L22)</f>
        <v>10655</v>
      </c>
      <c r="M8" s="770">
        <f>SUM('EGRESO-ACUM plan'!M20:M22)</f>
        <v>10707</v>
      </c>
      <c r="N8" s="770">
        <f>SUM('EGRESO-ACUM plan'!N20:N22)</f>
        <v>11052</v>
      </c>
      <c r="O8" s="770">
        <f>SUM('EGRESO-ACUM plan'!O20:O22)</f>
        <v>11396</v>
      </c>
      <c r="P8" s="770">
        <f>SUM('EGRESO-ACUM plan'!P20:P22)</f>
        <v>11726</v>
      </c>
      <c r="Q8" s="770">
        <f>SUM('EGRESO-ACUM plan'!Q20:Q22)</f>
        <v>12175</v>
      </c>
    </row>
    <row r="9" spans="2:17" ht="15" x14ac:dyDescent="0.2">
      <c r="B9" s="5890"/>
      <c r="C9" s="2362" t="s">
        <v>12</v>
      </c>
      <c r="D9" s="2363">
        <f t="shared" ref="D9:J9" si="0">SUM(D6:D8)</f>
        <v>34119</v>
      </c>
      <c r="E9" s="2363">
        <f t="shared" si="0"/>
        <v>35375</v>
      </c>
      <c r="F9" s="2363">
        <f t="shared" si="0"/>
        <v>36633</v>
      </c>
      <c r="G9" s="2363">
        <f t="shared" si="0"/>
        <v>37743</v>
      </c>
      <c r="H9" s="2364">
        <f t="shared" si="0"/>
        <v>38121</v>
      </c>
      <c r="I9" s="2365">
        <f t="shared" si="0"/>
        <v>38569</v>
      </c>
      <c r="J9" s="2366">
        <f t="shared" si="0"/>
        <v>38914</v>
      </c>
      <c r="K9" s="2364">
        <f t="shared" ref="K9:P9" si="1">SUM(K6:K8)</f>
        <v>39406</v>
      </c>
      <c r="L9" s="2365">
        <f t="shared" si="1"/>
        <v>40114</v>
      </c>
      <c r="M9" s="2366">
        <f t="shared" si="1"/>
        <v>40551</v>
      </c>
      <c r="N9" s="2366">
        <f t="shared" si="1"/>
        <v>42043</v>
      </c>
      <c r="O9" s="2366">
        <f t="shared" si="1"/>
        <v>43555</v>
      </c>
      <c r="P9" s="2366">
        <f t="shared" si="1"/>
        <v>45004</v>
      </c>
      <c r="Q9" s="2366">
        <f t="shared" ref="Q9" si="2">SUM(Q6:Q8)</f>
        <v>46883</v>
      </c>
    </row>
    <row r="10" spans="2:17" ht="15.75" x14ac:dyDescent="0.2">
      <c r="B10" s="681"/>
    </row>
    <row r="11" spans="2:17" ht="15" x14ac:dyDescent="0.2">
      <c r="B11" s="5897" t="s">
        <v>407</v>
      </c>
      <c r="C11" s="779" t="s">
        <v>6</v>
      </c>
      <c r="D11" s="768"/>
      <c r="E11" s="768">
        <f>SUM('EGRESO-ACUM plan'!E25:E28)</f>
        <v>47</v>
      </c>
      <c r="F11" s="768">
        <f>SUM('EGRESO-ACUM plan'!F25:F28)</f>
        <v>77</v>
      </c>
      <c r="G11" s="768">
        <f>SUM('EGRESO-ACUM plan'!G25:G28)</f>
        <v>129</v>
      </c>
      <c r="H11" s="777">
        <f>SUM('EGRESO-ACUM plan'!H25:H28)</f>
        <v>141</v>
      </c>
      <c r="I11" s="771">
        <f>SUM('EGRESO-ACUM plan'!I25:I28)</f>
        <v>170</v>
      </c>
      <c r="J11" s="772">
        <f>SUM('EGRESO-ACUM plan'!J25:J28)</f>
        <v>183</v>
      </c>
      <c r="K11" s="777">
        <f>SUM('EGRESO-ACUM plan'!K25:K28)</f>
        <v>188</v>
      </c>
      <c r="L11" s="771">
        <f>SUM('EGRESO-ACUM plan'!L25:L28)</f>
        <v>207</v>
      </c>
      <c r="M11" s="772">
        <f>SUM('EGRESO-ACUM plan'!M25:M28)</f>
        <v>227</v>
      </c>
      <c r="N11" s="772">
        <f>SUM('EGRESO-ACUM plan'!N25:N28)</f>
        <v>270</v>
      </c>
      <c r="O11" s="772">
        <f>SUM('EGRESO-ACUM plan'!O25:O28)</f>
        <v>301</v>
      </c>
      <c r="P11" s="772">
        <f>SUM('EGRESO-ACUM plan'!P25:P28)</f>
        <v>340</v>
      </c>
      <c r="Q11" s="772">
        <f>SUM('EGRESO-ACUM plan'!Q25:Q28)</f>
        <v>385</v>
      </c>
    </row>
    <row r="12" spans="2:17" ht="15" x14ac:dyDescent="0.2">
      <c r="B12" s="5898"/>
      <c r="C12" s="780" t="s">
        <v>9</v>
      </c>
      <c r="D12" s="769"/>
      <c r="E12" s="769">
        <f>SUM('EGRESO-ACUM plan'!E30:E32)</f>
        <v>9</v>
      </c>
      <c r="F12" s="769">
        <f>SUM('EGRESO-ACUM plan'!F30:F32)</f>
        <v>24</v>
      </c>
      <c r="G12" s="769">
        <f>SUM('EGRESO-ACUM plan'!G30:G32)</f>
        <v>56</v>
      </c>
      <c r="H12" s="778">
        <f>SUM('EGRESO-ACUM plan'!H30:H32)</f>
        <v>63</v>
      </c>
      <c r="I12" s="773">
        <f>SUM('EGRESO-ACUM plan'!I30:I32)</f>
        <v>91</v>
      </c>
      <c r="J12" s="770">
        <f>SUM('EGRESO-ACUM plan'!J30:J32)</f>
        <v>106</v>
      </c>
      <c r="K12" s="778">
        <f>SUM('EGRESO-ACUM plan'!K30:K32)</f>
        <v>108</v>
      </c>
      <c r="L12" s="773">
        <f>SUM('EGRESO-ACUM plan'!L30:L32)</f>
        <v>114</v>
      </c>
      <c r="M12" s="770">
        <f>SUM('EGRESO-ACUM plan'!M30:M32)</f>
        <v>130</v>
      </c>
      <c r="N12" s="770">
        <f>SUM('EGRESO-ACUM plan'!N30:N32)</f>
        <v>167</v>
      </c>
      <c r="O12" s="770">
        <f>SUM('EGRESO-ACUM plan'!O30:O32)</f>
        <v>208</v>
      </c>
      <c r="P12" s="770">
        <f>SUM('EGRESO-ACUM plan'!P30:P32)</f>
        <v>258</v>
      </c>
      <c r="Q12" s="770">
        <f>SUM('EGRESO-ACUM plan'!Q30:Q32)</f>
        <v>337</v>
      </c>
    </row>
    <row r="13" spans="2:17" ht="15" x14ac:dyDescent="0.2">
      <c r="B13" s="5898"/>
      <c r="C13" s="780" t="s">
        <v>74</v>
      </c>
      <c r="D13" s="769"/>
      <c r="E13" s="769">
        <f>SUM('EGRESO-ACUM plan'!E34:E35)</f>
        <v>11</v>
      </c>
      <c r="F13" s="769">
        <f>SUM('EGRESO-ACUM plan'!F34:F35)</f>
        <v>21</v>
      </c>
      <c r="G13" s="769">
        <f>SUM('EGRESO-ACUM plan'!G34:G35)</f>
        <v>32</v>
      </c>
      <c r="H13" s="778">
        <f>SUM('EGRESO-ACUM plan'!H34:H36)</f>
        <v>33</v>
      </c>
      <c r="I13" s="773">
        <f>SUM('EGRESO-ACUM plan'!I34:I36)</f>
        <v>38</v>
      </c>
      <c r="J13" s="770">
        <f>SUM('EGRESO-ACUM plan'!J34:J36)</f>
        <v>50</v>
      </c>
      <c r="K13" s="778">
        <f>SUM('EGRESO-ACUM plan'!K34:K36)</f>
        <v>52</v>
      </c>
      <c r="L13" s="773">
        <f>SUM('EGRESO-ACUM plan'!L34:L36)</f>
        <v>58</v>
      </c>
      <c r="M13" s="770">
        <f>SUM('EGRESO-ACUM plan'!M34:M36)</f>
        <v>65</v>
      </c>
      <c r="N13" s="770">
        <f>SUM('EGRESO-ACUM plan'!N34:N37)</f>
        <v>89</v>
      </c>
      <c r="O13" s="770">
        <f>SUM('EGRESO-ACUM plan'!O34:O37)</f>
        <v>117</v>
      </c>
      <c r="P13" s="770">
        <f>SUM('EGRESO-ACUM plan'!P34:P37)</f>
        <v>169</v>
      </c>
      <c r="Q13" s="770">
        <f>SUM('EGRESO-ACUM plan'!Q34:Q37)</f>
        <v>227</v>
      </c>
    </row>
    <row r="14" spans="2:17" ht="15" x14ac:dyDescent="0.2">
      <c r="B14" s="5899"/>
      <c r="C14" s="2372" t="s">
        <v>12</v>
      </c>
      <c r="D14" s="2373"/>
      <c r="E14" s="2373">
        <f t="shared" ref="E14:J14" si="3">SUM(E11:E13)</f>
        <v>67</v>
      </c>
      <c r="F14" s="2373">
        <f t="shared" si="3"/>
        <v>122</v>
      </c>
      <c r="G14" s="2373">
        <f t="shared" si="3"/>
        <v>217</v>
      </c>
      <c r="H14" s="2374">
        <f t="shared" si="3"/>
        <v>237</v>
      </c>
      <c r="I14" s="2375">
        <f t="shared" si="3"/>
        <v>299</v>
      </c>
      <c r="J14" s="2376">
        <f t="shared" si="3"/>
        <v>339</v>
      </c>
      <c r="K14" s="2374">
        <f t="shared" ref="K14:P14" si="4">SUM(K11:K13)</f>
        <v>348</v>
      </c>
      <c r="L14" s="2375">
        <f t="shared" si="4"/>
        <v>379</v>
      </c>
      <c r="M14" s="2376">
        <f t="shared" si="4"/>
        <v>422</v>
      </c>
      <c r="N14" s="2376">
        <f t="shared" si="4"/>
        <v>526</v>
      </c>
      <c r="O14" s="2376">
        <f t="shared" si="4"/>
        <v>626</v>
      </c>
      <c r="P14" s="2376">
        <f t="shared" si="4"/>
        <v>767</v>
      </c>
      <c r="Q14" s="2376">
        <f t="shared" ref="Q14" si="5">SUM(Q11:Q13)</f>
        <v>949</v>
      </c>
    </row>
    <row r="15" spans="2:17" ht="15.75" x14ac:dyDescent="0.2">
      <c r="B15" s="1782"/>
      <c r="C15" s="261"/>
      <c r="D15" s="261"/>
      <c r="E15" s="261"/>
      <c r="F15" s="261"/>
      <c r="G15" s="261"/>
      <c r="H15" s="317"/>
      <c r="I15" s="317"/>
      <c r="J15" s="317"/>
      <c r="K15" s="317"/>
      <c r="L15" s="317"/>
      <c r="M15" s="317"/>
      <c r="N15" s="317"/>
      <c r="O15" s="317"/>
      <c r="P15" s="317"/>
      <c r="Q15" s="317"/>
    </row>
    <row r="16" spans="2:17" ht="15" customHeight="1" x14ac:dyDescent="0.2">
      <c r="B16" s="5891" t="s">
        <v>162</v>
      </c>
      <c r="C16" s="779" t="s">
        <v>5</v>
      </c>
      <c r="D16" s="768">
        <f>SUM('EGRESO-ACUM plan'!D40:D48)</f>
        <v>5494</v>
      </c>
      <c r="E16" s="768">
        <f>SUM('EGRESO-ACUM plan'!E40:E48)</f>
        <v>5663</v>
      </c>
      <c r="F16" s="768">
        <f>SUM('EGRESO-ACUM plan'!F40:F48)</f>
        <v>5918</v>
      </c>
      <c r="G16" s="768">
        <f>SUM('EGRESO-ACUM plan'!G40:G48)</f>
        <v>6106</v>
      </c>
      <c r="H16" s="777">
        <f>SUM('EGRESO-ACUM plan'!H40:H48)</f>
        <v>6176</v>
      </c>
      <c r="I16" s="771">
        <f>SUM('EGRESO-ACUM plan'!I40:I48)</f>
        <v>6268</v>
      </c>
      <c r="J16" s="772">
        <f>SUM('EGRESO-ACUM plan'!J40:J48)</f>
        <v>6318</v>
      </c>
      <c r="K16" s="777">
        <f>SUM('EGRESO-ACUM plan'!K40:K48)</f>
        <v>6359</v>
      </c>
      <c r="L16" s="771">
        <f>SUM('EGRESO-ACUM plan'!L40:L48)</f>
        <v>6417</v>
      </c>
      <c r="M16" s="772">
        <f>SUM('EGRESO-ACUM plan'!M40:M48)</f>
        <v>6490</v>
      </c>
      <c r="N16" s="772">
        <f>SUM('EGRESO-ACUM plan'!N40:N48)</f>
        <v>6704</v>
      </c>
      <c r="O16" s="772">
        <f>SUM('EGRESO-ACUM plan'!O40:O48)</f>
        <v>6846</v>
      </c>
      <c r="P16" s="772">
        <f>SUM('EGRESO-ACUM plan'!P40:P48)</f>
        <v>7082</v>
      </c>
      <c r="Q16" s="772">
        <f>SUM('EGRESO-ACUM plan'!Q40:Q48)</f>
        <v>7347</v>
      </c>
    </row>
    <row r="17" spans="2:17" ht="15" customHeight="1" x14ac:dyDescent="0.2">
      <c r="B17" s="5892"/>
      <c r="C17" s="780" t="s">
        <v>6</v>
      </c>
      <c r="D17" s="769">
        <f>SUM('EGRESO-ACUM plan'!D50:D61)</f>
        <v>11935</v>
      </c>
      <c r="E17" s="769">
        <f>SUM('EGRESO-ACUM plan'!E50:E61)</f>
        <v>12420</v>
      </c>
      <c r="F17" s="769">
        <f>SUM('EGRESO-ACUM plan'!F50:F61)</f>
        <v>12993</v>
      </c>
      <c r="G17" s="769">
        <f>SUM('EGRESO-ACUM plan'!G50:G61)</f>
        <v>13492</v>
      </c>
      <c r="H17" s="778">
        <f>SUM('EGRESO-ACUM plan'!H50:H61)</f>
        <v>13696</v>
      </c>
      <c r="I17" s="773">
        <f>SUM('EGRESO-ACUM plan'!I50:I61)</f>
        <v>13918</v>
      </c>
      <c r="J17" s="770">
        <f>SUM('EGRESO-ACUM plan'!J50:J61)</f>
        <v>14073</v>
      </c>
      <c r="K17" s="778">
        <f>SUM('EGRESO-ACUM plan'!K50:K61)</f>
        <v>14283</v>
      </c>
      <c r="L17" s="773">
        <f>SUM('EGRESO-ACUM plan'!L50:L61)</f>
        <v>14551</v>
      </c>
      <c r="M17" s="770">
        <f>SUM('EGRESO-ACUM plan'!M50:M61)</f>
        <v>14746</v>
      </c>
      <c r="N17" s="770">
        <f>SUM('EGRESO-ACUM plan'!N50:N61)</f>
        <v>15289</v>
      </c>
      <c r="O17" s="770">
        <f>SUM('EGRESO-ACUM plan'!O50:O61)</f>
        <v>15884</v>
      </c>
      <c r="P17" s="770">
        <f>SUM('EGRESO-ACUM plan'!P50:P61)</f>
        <v>16425</v>
      </c>
      <c r="Q17" s="770">
        <f>SUM('EGRESO-ACUM plan'!Q50:Q61)</f>
        <v>17023</v>
      </c>
    </row>
    <row r="18" spans="2:17" ht="15" customHeight="1" x14ac:dyDescent="0.2">
      <c r="B18" s="5892"/>
      <c r="C18" s="780" t="s">
        <v>11</v>
      </c>
      <c r="D18" s="769">
        <f>SUM('EGRESO-ACUM plan'!D63:D68)</f>
        <v>6618</v>
      </c>
      <c r="E18" s="769">
        <f>SUM('EGRESO-ACUM plan'!E63:E68)</f>
        <v>6866</v>
      </c>
      <c r="F18" s="769">
        <f>SUM('EGRESO-ACUM plan'!F63:F68)</f>
        <v>7171</v>
      </c>
      <c r="G18" s="769">
        <f>SUM('EGRESO-ACUM plan'!G63:G68)</f>
        <v>7427</v>
      </c>
      <c r="H18" s="778">
        <f>SUM('EGRESO-ACUM plan'!H63:H68)</f>
        <v>7524</v>
      </c>
      <c r="I18" s="773">
        <f>SUM('EGRESO-ACUM plan'!I63:I68)</f>
        <v>7623</v>
      </c>
      <c r="J18" s="770">
        <f>SUM('EGRESO-ACUM plan'!J63:J68)</f>
        <v>7725</v>
      </c>
      <c r="K18" s="778">
        <f>SUM('EGRESO-ACUM plan'!K63:K68)</f>
        <v>7815</v>
      </c>
      <c r="L18" s="773">
        <f>SUM('EGRESO-ACUM plan'!L63:L68)</f>
        <v>7942</v>
      </c>
      <c r="M18" s="770">
        <f>SUM('EGRESO-ACUM plan'!M63:M68)</f>
        <v>8081</v>
      </c>
      <c r="N18" s="770">
        <f>SUM('EGRESO-ACUM plan'!N63:N68)</f>
        <v>8423</v>
      </c>
      <c r="O18" s="770">
        <f>SUM('EGRESO-ACUM plan'!O63:O68)</f>
        <v>8811</v>
      </c>
      <c r="P18" s="770">
        <f>SUM('EGRESO-ACUM plan'!P63:P68)</f>
        <v>9248</v>
      </c>
      <c r="Q18" s="770">
        <f>SUM('EGRESO-ACUM plan'!Q63:Q68)</f>
        <v>9710</v>
      </c>
    </row>
    <row r="19" spans="2:17" ht="15" x14ac:dyDescent="0.2">
      <c r="B19" s="5893"/>
      <c r="C19" s="2367" t="s">
        <v>12</v>
      </c>
      <c r="D19" s="2368">
        <f t="shared" ref="D19:J19" si="6">SUM(D16:D18)</f>
        <v>24047</v>
      </c>
      <c r="E19" s="2368">
        <f t="shared" si="6"/>
        <v>24949</v>
      </c>
      <c r="F19" s="2368">
        <f t="shared" si="6"/>
        <v>26082</v>
      </c>
      <c r="G19" s="2368">
        <f t="shared" si="6"/>
        <v>27025</v>
      </c>
      <c r="H19" s="2369">
        <f t="shared" si="6"/>
        <v>27396</v>
      </c>
      <c r="I19" s="2370">
        <f t="shared" si="6"/>
        <v>27809</v>
      </c>
      <c r="J19" s="2371">
        <f t="shared" si="6"/>
        <v>28116</v>
      </c>
      <c r="K19" s="2369">
        <f t="shared" ref="K19:P19" si="7">SUM(K16:K18)</f>
        <v>28457</v>
      </c>
      <c r="L19" s="2370">
        <f t="shared" si="7"/>
        <v>28910</v>
      </c>
      <c r="M19" s="2371">
        <f t="shared" si="7"/>
        <v>29317</v>
      </c>
      <c r="N19" s="2371">
        <f t="shared" si="7"/>
        <v>30416</v>
      </c>
      <c r="O19" s="2371">
        <f t="shared" si="7"/>
        <v>31541</v>
      </c>
      <c r="P19" s="2371">
        <f t="shared" si="7"/>
        <v>32755</v>
      </c>
      <c r="Q19" s="2371">
        <f t="shared" ref="Q19" si="8">SUM(Q16:Q18)</f>
        <v>34080</v>
      </c>
    </row>
    <row r="21" spans="2:17" ht="15" x14ac:dyDescent="0.2">
      <c r="B21" s="5900" t="s">
        <v>408</v>
      </c>
      <c r="C21" s="779" t="s">
        <v>5</v>
      </c>
      <c r="D21" s="768"/>
      <c r="E21" s="768"/>
      <c r="F21" s="768"/>
      <c r="G21" s="768"/>
      <c r="H21" s="777"/>
      <c r="I21" s="771"/>
      <c r="J21" s="772"/>
      <c r="K21" s="777"/>
      <c r="L21" s="771"/>
      <c r="M21" s="772"/>
      <c r="N21" s="772"/>
      <c r="O21" s="772">
        <f>+'EGRESO-ACUM plan'!O72</f>
        <v>20</v>
      </c>
      <c r="P21" s="772">
        <f>+'EGRESO-ACUM plan'!P72</f>
        <v>30</v>
      </c>
      <c r="Q21" s="772">
        <f>+'EGRESO-ACUM plan'!Q72</f>
        <v>43</v>
      </c>
    </row>
    <row r="22" spans="2:17" ht="15" x14ac:dyDescent="0.2">
      <c r="B22" s="5901"/>
      <c r="C22" s="780" t="s">
        <v>6</v>
      </c>
      <c r="D22" s="769"/>
      <c r="E22" s="769"/>
      <c r="F22" s="769"/>
      <c r="G22" s="769"/>
      <c r="H22" s="778"/>
      <c r="I22" s="773"/>
      <c r="J22" s="770"/>
      <c r="K22" s="778"/>
      <c r="L22" s="773"/>
      <c r="M22" s="770"/>
      <c r="N22" s="770"/>
      <c r="O22" s="770">
        <f>+'EGRESO-ACUM plan'!O75</f>
        <v>32</v>
      </c>
      <c r="P22" s="770">
        <f>+'EGRESO-ACUM plan'!P75</f>
        <v>43</v>
      </c>
      <c r="Q22" s="770">
        <f>+'EGRESO-ACUM plan'!Q75</f>
        <v>82</v>
      </c>
    </row>
    <row r="23" spans="2:17" ht="15" x14ac:dyDescent="0.2">
      <c r="B23" s="5901"/>
      <c r="C23" s="780" t="s">
        <v>11</v>
      </c>
      <c r="D23" s="769"/>
      <c r="E23" s="769"/>
      <c r="F23" s="769"/>
      <c r="G23" s="769"/>
      <c r="H23" s="778"/>
      <c r="I23" s="773"/>
      <c r="J23" s="770"/>
      <c r="K23" s="778"/>
      <c r="L23" s="773"/>
      <c r="M23" s="770"/>
      <c r="N23" s="770"/>
      <c r="O23" s="770">
        <f>+'EGRESO-ACUM plan'!O77</f>
        <v>23</v>
      </c>
      <c r="P23" s="770">
        <f>+'EGRESO-ACUM plan'!P77</f>
        <v>37</v>
      </c>
      <c r="Q23" s="770">
        <f>+'EGRESO-ACUM plan'!Q77</f>
        <v>67</v>
      </c>
    </row>
    <row r="24" spans="2:17" ht="15" x14ac:dyDescent="0.2">
      <c r="B24" s="5902"/>
      <c r="C24" s="4195" t="s">
        <v>12</v>
      </c>
      <c r="D24" s="4191"/>
      <c r="E24" s="4191"/>
      <c r="F24" s="4191"/>
      <c r="G24" s="4191"/>
      <c r="H24" s="4192"/>
      <c r="I24" s="4193"/>
      <c r="J24" s="4194"/>
      <c r="K24" s="4192"/>
      <c r="L24" s="4193"/>
      <c r="M24" s="4194"/>
      <c r="N24" s="4194"/>
      <c r="O24" s="4194">
        <f>SUM(O21:O23)</f>
        <v>75</v>
      </c>
      <c r="P24" s="4194">
        <f>SUM(P21:P23)</f>
        <v>110</v>
      </c>
      <c r="Q24" s="4194">
        <f>SUM(Q21:Q23)</f>
        <v>192</v>
      </c>
    </row>
    <row r="25" spans="2:17" ht="15.75" x14ac:dyDescent="0.2">
      <c r="B25" s="1782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925"/>
      <c r="P25" s="2925"/>
      <c r="Q25" s="2925"/>
    </row>
    <row r="26" spans="2:17" ht="15" customHeight="1" x14ac:dyDescent="0.2">
      <c r="B26" s="5894" t="s">
        <v>163</v>
      </c>
      <c r="C26" s="779" t="s">
        <v>6</v>
      </c>
      <c r="D26" s="768">
        <f>SUM('EGRESO-ACUM plan'!D79:D84)</f>
        <v>19375</v>
      </c>
      <c r="E26" s="768">
        <f>SUM('EGRESO-ACUM plan'!E79:E84)</f>
        <v>20301</v>
      </c>
      <c r="F26" s="768">
        <f>SUM('EGRESO-ACUM plan'!F79:F84)</f>
        <v>21187</v>
      </c>
      <c r="G26" s="768">
        <f>SUM('EGRESO-ACUM plan'!G79:G84)</f>
        <v>22002</v>
      </c>
      <c r="H26" s="777">
        <f>SUM('EGRESO-ACUM plan'!H79:H84)</f>
        <v>22353</v>
      </c>
      <c r="I26" s="771">
        <f>SUM('EGRESO-ACUM plan'!I79:I84)</f>
        <v>22794</v>
      </c>
      <c r="J26" s="772">
        <f>SUM('EGRESO-ACUM plan'!J79:J84)</f>
        <v>22799</v>
      </c>
      <c r="K26" s="777">
        <f>SUM('EGRESO-ACUM plan'!K79:K84)</f>
        <v>23189</v>
      </c>
      <c r="L26" s="771">
        <f>SUM('EGRESO-ACUM plan'!L79:L84)</f>
        <v>23704</v>
      </c>
      <c r="M26" s="772">
        <f>SUM('EGRESO-ACUM plan'!M79:M84)</f>
        <v>23705</v>
      </c>
      <c r="N26" s="772">
        <f>SUM('EGRESO-ACUM plan'!N79:N84)</f>
        <v>24514</v>
      </c>
      <c r="O26" s="772">
        <f>SUM('EGRESO-ACUM plan'!O79:O84)</f>
        <v>25324</v>
      </c>
      <c r="P26" s="772">
        <f>SUM('EGRESO-ACUM plan'!P79:P84)</f>
        <v>26187</v>
      </c>
      <c r="Q26" s="772">
        <f>SUM('EGRESO-ACUM plan'!Q79:Q84)</f>
        <v>26950</v>
      </c>
    </row>
    <row r="27" spans="2:17" ht="15" customHeight="1" x14ac:dyDescent="0.2">
      <c r="B27" s="5895"/>
      <c r="C27" s="780" t="s">
        <v>11</v>
      </c>
      <c r="D27" s="769">
        <f>SUM('EGRESO-ACUM plan'!D86:D93)</f>
        <v>25734</v>
      </c>
      <c r="E27" s="769">
        <f>SUM('EGRESO-ACUM plan'!E86:E93)</f>
        <v>27028</v>
      </c>
      <c r="F27" s="769">
        <f>SUM('EGRESO-ACUM plan'!F86:F93)</f>
        <v>28221</v>
      </c>
      <c r="G27" s="769">
        <f>SUM('EGRESO-ACUM plan'!G86:G93)</f>
        <v>29382</v>
      </c>
      <c r="H27" s="778">
        <f>SUM('EGRESO-ACUM plan'!H86:H93)</f>
        <v>29734</v>
      </c>
      <c r="I27" s="773">
        <f>SUM('EGRESO-ACUM plan'!I86:I93)</f>
        <v>30257</v>
      </c>
      <c r="J27" s="770">
        <f>SUM('EGRESO-ACUM plan'!J86:J93)</f>
        <v>30567</v>
      </c>
      <c r="K27" s="778">
        <f>SUM('EGRESO-ACUM plan'!K86:K93)</f>
        <v>30891</v>
      </c>
      <c r="L27" s="773">
        <f>SUM('EGRESO-ACUM plan'!L86:L93)</f>
        <v>31340</v>
      </c>
      <c r="M27" s="770">
        <f>SUM('EGRESO-ACUM plan'!M86:M93)</f>
        <v>31711</v>
      </c>
      <c r="N27" s="770">
        <f>SUM('EGRESO-ACUM plan'!N86:N93)</f>
        <v>32840</v>
      </c>
      <c r="O27" s="770">
        <f>SUM('EGRESO-ACUM plan'!O86:O93)</f>
        <v>33985</v>
      </c>
      <c r="P27" s="770">
        <f>SUM('EGRESO-ACUM plan'!P86:P93)</f>
        <v>35057</v>
      </c>
      <c r="Q27" s="770">
        <f>SUM('EGRESO-ACUM plan'!Q86:Q93)</f>
        <v>36180</v>
      </c>
    </row>
    <row r="28" spans="2:17" ht="15" customHeight="1" x14ac:dyDescent="0.2">
      <c r="B28" s="5895"/>
      <c r="C28" s="780" t="s">
        <v>7</v>
      </c>
      <c r="D28" s="769">
        <f>SUM('EGRESO-ACUM plan'!D95:D98)</f>
        <v>8434</v>
      </c>
      <c r="E28" s="769">
        <f>SUM('EGRESO-ACUM plan'!E95:E98)</f>
        <v>8898</v>
      </c>
      <c r="F28" s="769">
        <f>SUM('EGRESO-ACUM plan'!F95:F98)</f>
        <v>9344</v>
      </c>
      <c r="G28" s="769">
        <f>SUM('EGRESO-ACUM plan'!G95:G98)</f>
        <v>9721</v>
      </c>
      <c r="H28" s="778">
        <f>SUM('EGRESO-ACUM plan'!H95:H98)</f>
        <v>9888</v>
      </c>
      <c r="I28" s="773">
        <f>SUM('EGRESO-ACUM plan'!I95:I98)</f>
        <v>10094</v>
      </c>
      <c r="J28" s="770">
        <f>SUM('EGRESO-ACUM plan'!J95:J98)</f>
        <v>10096</v>
      </c>
      <c r="K28" s="778">
        <f>SUM('EGRESO-ACUM plan'!K95:K98)</f>
        <v>10315</v>
      </c>
      <c r="L28" s="773">
        <f>SUM('EGRESO-ACUM plan'!L95:L98)</f>
        <v>10515</v>
      </c>
      <c r="M28" s="770">
        <f>SUM('EGRESO-ACUM plan'!M95:M98)</f>
        <v>10530</v>
      </c>
      <c r="N28" s="770">
        <f>SUM('EGRESO-ACUM plan'!N95:N98)</f>
        <v>10983</v>
      </c>
      <c r="O28" s="770">
        <f>SUM('EGRESO-ACUM plan'!O95:O98)</f>
        <v>11391</v>
      </c>
      <c r="P28" s="770">
        <f>SUM('EGRESO-ACUM plan'!P95:P98)</f>
        <v>11840</v>
      </c>
      <c r="Q28" s="770">
        <f>SUM('EGRESO-ACUM plan'!Q95:Q98)</f>
        <v>12243</v>
      </c>
    </row>
    <row r="29" spans="2:17" ht="15" x14ac:dyDescent="0.2">
      <c r="B29" s="5896"/>
      <c r="C29" s="2377" t="s">
        <v>12</v>
      </c>
      <c r="D29" s="2378">
        <f t="shared" ref="D29:J29" si="9">SUM(D26:D28)</f>
        <v>53543</v>
      </c>
      <c r="E29" s="2378">
        <f t="shared" si="9"/>
        <v>56227</v>
      </c>
      <c r="F29" s="2378">
        <f t="shared" si="9"/>
        <v>58752</v>
      </c>
      <c r="G29" s="2378">
        <f t="shared" si="9"/>
        <v>61105</v>
      </c>
      <c r="H29" s="2379">
        <f t="shared" si="9"/>
        <v>61975</v>
      </c>
      <c r="I29" s="2380">
        <f t="shared" si="9"/>
        <v>63145</v>
      </c>
      <c r="J29" s="2381">
        <f t="shared" si="9"/>
        <v>63462</v>
      </c>
      <c r="K29" s="2379">
        <f t="shared" ref="K29:P29" si="10">SUM(K26:K28)</f>
        <v>64395</v>
      </c>
      <c r="L29" s="2380">
        <f t="shared" si="10"/>
        <v>65559</v>
      </c>
      <c r="M29" s="2381">
        <f t="shared" si="10"/>
        <v>65946</v>
      </c>
      <c r="N29" s="2381">
        <f t="shared" si="10"/>
        <v>68337</v>
      </c>
      <c r="O29" s="2381">
        <f t="shared" si="10"/>
        <v>70700</v>
      </c>
      <c r="P29" s="2381">
        <f t="shared" si="10"/>
        <v>73084</v>
      </c>
      <c r="Q29" s="2381">
        <f t="shared" ref="Q29" si="11">SUM(Q26:Q28)</f>
        <v>75373</v>
      </c>
    </row>
    <row r="30" spans="2:17" x14ac:dyDescent="0.2"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925"/>
      <c r="P30" s="2925"/>
      <c r="Q30" s="2925"/>
    </row>
    <row r="31" spans="2:17" ht="15" customHeight="1" x14ac:dyDescent="0.2">
      <c r="B31" s="5941" t="s">
        <v>60</v>
      </c>
      <c r="C31" s="779" t="s">
        <v>5</v>
      </c>
      <c r="D31" s="616">
        <f t="shared" ref="D31:J31" si="12">SUM(D6,D16)</f>
        <v>15436</v>
      </c>
      <c r="E31" s="616">
        <f t="shared" si="12"/>
        <v>15981</v>
      </c>
      <c r="F31" s="616">
        <f t="shared" si="12"/>
        <v>16639</v>
      </c>
      <c r="G31" s="616">
        <f t="shared" si="12"/>
        <v>17242</v>
      </c>
      <c r="H31" s="615">
        <f t="shared" si="12"/>
        <v>17426</v>
      </c>
      <c r="I31" s="785">
        <f t="shared" si="12"/>
        <v>17652</v>
      </c>
      <c r="J31" s="617">
        <f t="shared" si="12"/>
        <v>17824</v>
      </c>
      <c r="K31" s="615">
        <f>SUM(K6,K16)</f>
        <v>18005</v>
      </c>
      <c r="L31" s="785">
        <f>SUM(L6,L16)</f>
        <v>18294</v>
      </c>
      <c r="M31" s="617">
        <f>SUM(M6,M16)</f>
        <v>18547</v>
      </c>
      <c r="N31" s="617">
        <f>SUM(N6,N16)</f>
        <v>19336</v>
      </c>
      <c r="O31" s="617">
        <f>SUM(O6,O16,O21)</f>
        <v>20010</v>
      </c>
      <c r="P31" s="617">
        <f>SUM(P6,P16,P21)</f>
        <v>20784</v>
      </c>
      <c r="Q31" s="617">
        <f>SUM(Q6,Q16,Q21)</f>
        <v>21782</v>
      </c>
    </row>
    <row r="32" spans="2:17" ht="15" x14ac:dyDescent="0.2">
      <c r="B32" s="5942"/>
      <c r="C32" s="780" t="s">
        <v>6</v>
      </c>
      <c r="D32" s="619">
        <f t="shared" ref="D32:J32" si="13">SUM(D7,D11,D17,D26)</f>
        <v>46307</v>
      </c>
      <c r="E32" s="619">
        <f t="shared" si="13"/>
        <v>48280</v>
      </c>
      <c r="F32" s="619">
        <f t="shared" si="13"/>
        <v>50296</v>
      </c>
      <c r="G32" s="619">
        <f t="shared" si="13"/>
        <v>52113</v>
      </c>
      <c r="H32" s="618">
        <f t="shared" si="13"/>
        <v>52849</v>
      </c>
      <c r="I32" s="786">
        <f t="shared" si="13"/>
        <v>53735</v>
      </c>
      <c r="J32" s="620">
        <f t="shared" si="13"/>
        <v>54092</v>
      </c>
      <c r="K32" s="618">
        <f>SUM(K7,K11,K17,K26)</f>
        <v>54935</v>
      </c>
      <c r="L32" s="786">
        <f>SUM(L7,L11,L17,L26)</f>
        <v>56044</v>
      </c>
      <c r="M32" s="620">
        <f>SUM(M7,M11,M17,M26)</f>
        <v>56465</v>
      </c>
      <c r="N32" s="620">
        <f>SUM(N7,N11,N17,N26)</f>
        <v>58432</v>
      </c>
      <c r="O32" s="620">
        <f>SUM(O7,O11,O17,O22,O26)</f>
        <v>60556</v>
      </c>
      <c r="P32" s="620">
        <f>SUM(P7,P11,P17,P22,P26)</f>
        <v>62601</v>
      </c>
      <c r="Q32" s="620">
        <f>SUM(Q7,Q11,Q17,Q22,Q26)</f>
        <v>64756</v>
      </c>
    </row>
    <row r="33" spans="2:17" ht="15" x14ac:dyDescent="0.2">
      <c r="B33" s="5942"/>
      <c r="C33" s="780" t="s">
        <v>11</v>
      </c>
      <c r="D33" s="619">
        <f t="shared" ref="D33:J33" si="14">SUM(D18,D27)</f>
        <v>32352</v>
      </c>
      <c r="E33" s="619">
        <f t="shared" si="14"/>
        <v>33894</v>
      </c>
      <c r="F33" s="619">
        <f t="shared" si="14"/>
        <v>35392</v>
      </c>
      <c r="G33" s="619">
        <f t="shared" si="14"/>
        <v>36809</v>
      </c>
      <c r="H33" s="618">
        <f t="shared" si="14"/>
        <v>37258</v>
      </c>
      <c r="I33" s="786">
        <f t="shared" si="14"/>
        <v>37880</v>
      </c>
      <c r="J33" s="620">
        <f t="shared" si="14"/>
        <v>38292</v>
      </c>
      <c r="K33" s="618">
        <f>SUM(K18,K27)</f>
        <v>38706</v>
      </c>
      <c r="L33" s="786">
        <f>SUM(L18,L27)</f>
        <v>39282</v>
      </c>
      <c r="M33" s="620">
        <f>SUM(M18,M27)</f>
        <v>39792</v>
      </c>
      <c r="N33" s="620">
        <f>SUM(N18,N27)</f>
        <v>41263</v>
      </c>
      <c r="O33" s="620">
        <f>SUM(O18,O23,O27)</f>
        <v>42819</v>
      </c>
      <c r="P33" s="620">
        <f>SUM(P18,P23,P27)</f>
        <v>44342</v>
      </c>
      <c r="Q33" s="620">
        <f>SUM(Q18,Q23,Q27)</f>
        <v>45957</v>
      </c>
    </row>
    <row r="34" spans="2:17" ht="15" x14ac:dyDescent="0.2">
      <c r="B34" s="5942"/>
      <c r="C34" s="780" t="s">
        <v>7</v>
      </c>
      <c r="D34" s="619">
        <f t="shared" ref="D34:J34" si="15">SUM(D8,D28)</f>
        <v>17614</v>
      </c>
      <c r="E34" s="619">
        <f t="shared" si="15"/>
        <v>18443</v>
      </c>
      <c r="F34" s="619">
        <f t="shared" si="15"/>
        <v>19217</v>
      </c>
      <c r="G34" s="619">
        <f t="shared" si="15"/>
        <v>19838</v>
      </c>
      <c r="H34" s="618">
        <f t="shared" si="15"/>
        <v>20100</v>
      </c>
      <c r="I34" s="786">
        <f t="shared" si="15"/>
        <v>20426</v>
      </c>
      <c r="J34" s="620">
        <f t="shared" si="15"/>
        <v>20467</v>
      </c>
      <c r="K34" s="618">
        <f t="shared" ref="K34:P34" si="16">SUM(K8,K28)</f>
        <v>20800</v>
      </c>
      <c r="L34" s="786">
        <f t="shared" si="16"/>
        <v>21170</v>
      </c>
      <c r="M34" s="620">
        <f t="shared" si="16"/>
        <v>21237</v>
      </c>
      <c r="N34" s="620">
        <f t="shared" si="16"/>
        <v>22035</v>
      </c>
      <c r="O34" s="620">
        <f t="shared" si="16"/>
        <v>22787</v>
      </c>
      <c r="P34" s="620">
        <f t="shared" si="16"/>
        <v>23566</v>
      </c>
      <c r="Q34" s="620">
        <f t="shared" ref="Q34" si="17">SUM(Q8,Q28)</f>
        <v>24418</v>
      </c>
    </row>
    <row r="35" spans="2:17" ht="15" x14ac:dyDescent="0.2">
      <c r="B35" s="5942"/>
      <c r="C35" s="780" t="s">
        <v>9</v>
      </c>
      <c r="D35" s="619">
        <f t="shared" ref="D35:O35" si="18">SUM(D12)</f>
        <v>0</v>
      </c>
      <c r="E35" s="619">
        <f t="shared" si="18"/>
        <v>9</v>
      </c>
      <c r="F35" s="619">
        <f t="shared" si="18"/>
        <v>24</v>
      </c>
      <c r="G35" s="619">
        <f t="shared" si="18"/>
        <v>56</v>
      </c>
      <c r="H35" s="618">
        <f t="shared" si="18"/>
        <v>63</v>
      </c>
      <c r="I35" s="786">
        <f t="shared" si="18"/>
        <v>91</v>
      </c>
      <c r="J35" s="620">
        <f t="shared" si="18"/>
        <v>106</v>
      </c>
      <c r="K35" s="618">
        <f t="shared" si="18"/>
        <v>108</v>
      </c>
      <c r="L35" s="786">
        <f t="shared" si="18"/>
        <v>114</v>
      </c>
      <c r="M35" s="620">
        <f t="shared" si="18"/>
        <v>130</v>
      </c>
      <c r="N35" s="620">
        <f t="shared" si="18"/>
        <v>167</v>
      </c>
      <c r="O35" s="620">
        <f t="shared" si="18"/>
        <v>208</v>
      </c>
      <c r="P35" s="620">
        <f>SUM(P12)</f>
        <v>258</v>
      </c>
      <c r="Q35" s="620">
        <f>SUM(Q12)</f>
        <v>337</v>
      </c>
    </row>
    <row r="36" spans="2:17" ht="15" x14ac:dyDescent="0.2">
      <c r="B36" s="5942"/>
      <c r="C36" s="780" t="s">
        <v>74</v>
      </c>
      <c r="D36" s="787">
        <f t="shared" ref="D36:O36" si="19">SUM(D13)</f>
        <v>0</v>
      </c>
      <c r="E36" s="787">
        <f t="shared" si="19"/>
        <v>11</v>
      </c>
      <c r="F36" s="787">
        <f t="shared" si="19"/>
        <v>21</v>
      </c>
      <c r="G36" s="787">
        <f t="shared" si="19"/>
        <v>32</v>
      </c>
      <c r="H36" s="788">
        <f t="shared" si="19"/>
        <v>33</v>
      </c>
      <c r="I36" s="789">
        <f t="shared" si="19"/>
        <v>38</v>
      </c>
      <c r="J36" s="790">
        <f t="shared" si="19"/>
        <v>50</v>
      </c>
      <c r="K36" s="788">
        <f t="shared" si="19"/>
        <v>52</v>
      </c>
      <c r="L36" s="789">
        <f t="shared" si="19"/>
        <v>58</v>
      </c>
      <c r="M36" s="790">
        <f t="shared" si="19"/>
        <v>65</v>
      </c>
      <c r="N36" s="790">
        <f t="shared" si="19"/>
        <v>89</v>
      </c>
      <c r="O36" s="790">
        <f t="shared" si="19"/>
        <v>117</v>
      </c>
      <c r="P36" s="790">
        <f>SUM(P13)</f>
        <v>169</v>
      </c>
      <c r="Q36" s="790">
        <f>SUM(Q13)</f>
        <v>227</v>
      </c>
    </row>
    <row r="37" spans="2:17" ht="15" x14ac:dyDescent="0.2">
      <c r="B37" s="5943"/>
      <c r="C37" s="791" t="s">
        <v>12</v>
      </c>
      <c r="D37" s="781">
        <f t="shared" ref="D37:M37" si="20">SUM(D31:D36)</f>
        <v>111709</v>
      </c>
      <c r="E37" s="781">
        <f t="shared" si="20"/>
        <v>116618</v>
      </c>
      <c r="F37" s="781">
        <f t="shared" si="20"/>
        <v>121589</v>
      </c>
      <c r="G37" s="781">
        <f t="shared" si="20"/>
        <v>126090</v>
      </c>
      <c r="H37" s="782">
        <f t="shared" si="20"/>
        <v>127729</v>
      </c>
      <c r="I37" s="783">
        <f t="shared" si="20"/>
        <v>129822</v>
      </c>
      <c r="J37" s="784">
        <f t="shared" si="20"/>
        <v>130831</v>
      </c>
      <c r="K37" s="782">
        <f t="shared" si="20"/>
        <v>132606</v>
      </c>
      <c r="L37" s="783">
        <f t="shared" si="20"/>
        <v>134962</v>
      </c>
      <c r="M37" s="784">
        <f t="shared" si="20"/>
        <v>136236</v>
      </c>
      <c r="N37" s="784">
        <f>SUM(N31:N36)</f>
        <v>141322</v>
      </c>
      <c r="O37" s="784">
        <f>SUM(O31:O36)</f>
        <v>146497</v>
      </c>
      <c r="P37" s="784">
        <f>SUM(P31:P36)</f>
        <v>151720</v>
      </c>
      <c r="Q37" s="784">
        <f>SUM(Q31:Q36)</f>
        <v>157477</v>
      </c>
    </row>
    <row r="39" spans="2:17" x14ac:dyDescent="0.2">
      <c r="B39" s="1624" t="s">
        <v>708</v>
      </c>
      <c r="C39" s="257"/>
      <c r="D39" s="257"/>
    </row>
    <row r="40" spans="2:17" x14ac:dyDescent="0.2">
      <c r="B40" s="240" t="s">
        <v>648</v>
      </c>
      <c r="C40" s="1622"/>
      <c r="D40" s="1622"/>
    </row>
    <row r="57" spans="18:18" x14ac:dyDescent="0.2">
      <c r="R57" s="4196"/>
    </row>
    <row r="58" spans="18:18" x14ac:dyDescent="0.2">
      <c r="R58" s="4196"/>
    </row>
    <row r="59" spans="18:18" x14ac:dyDescent="0.2">
      <c r="R59" s="4196"/>
    </row>
    <row r="60" spans="18:18" x14ac:dyDescent="0.2">
      <c r="R60" s="4196"/>
    </row>
    <row r="61" spans="18:18" x14ac:dyDescent="0.2">
      <c r="R61" s="4196"/>
    </row>
    <row r="62" spans="18:18" x14ac:dyDescent="0.2">
      <c r="R62" s="4196"/>
    </row>
    <row r="63" spans="18:18" x14ac:dyDescent="0.2">
      <c r="R63" s="4196"/>
    </row>
  </sheetData>
  <sheetProtection algorithmName="SHA-512" hashValue="lcO57QkIgxS9yPkr62w6ksy/umKrjFJm9n+6yNwWrVoUqKdyKolwuPUQ5pRUJvsCCGjDRV3zQ4k+lbOX0YSr+g==" saltValue="9DiguXL1wJL7sXbFcfC9uw==" spinCount="100000" sheet="1" objects="1" scenarios="1"/>
  <mergeCells count="6">
    <mergeCell ref="B6:B9"/>
    <mergeCell ref="B16:B19"/>
    <mergeCell ref="B26:B29"/>
    <mergeCell ref="B31:B37"/>
    <mergeCell ref="B11:B14"/>
    <mergeCell ref="B21:B24"/>
  </mergeCells>
  <printOptions horizontalCentered="1" verticalCentered="1"/>
  <pageMargins left="0.35433070866141736" right="0.27559055118110237" top="0.51181102362204722" bottom="0.19685039370078741" header="0" footer="0.31496062992125984"/>
  <pageSetup scale="90" orientation="landscape" horizontalDpi="1200" verticalDpi="1200" r:id="rId1"/>
  <headerFooter alignWithMargins="0"/>
  <rowBreaks count="1" manualBreakCount="1">
    <brk id="40" max="13" man="1"/>
  </rowBreaks>
  <ignoredErrors>
    <ignoredError sqref="D25:G30 D6:G9 D31:G36 E11:H12 H25:H28 H6:H8 E13:G13 J6:M6 M13 N6:N8 H16:H19 D15:G19 O6:Q6" formulaRange="1"/>
    <ignoredError sqref="D37:G37" evalError="1" formulaRange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Z106"/>
  <sheetViews>
    <sheetView showGridLines="0" zoomScaleNormal="100" workbookViewId="0">
      <pane xSplit="7" ySplit="5" topLeftCell="H87" activePane="bottomRight" state="frozen"/>
      <selection sqref="A1:E1"/>
      <selection pane="topRight" sqref="A1:E1"/>
      <selection pane="bottomLeft" sqref="A1:E1"/>
      <selection pane="bottomRight" activeCell="H89" sqref="H89"/>
    </sheetView>
  </sheetViews>
  <sheetFormatPr baseColWidth="10" defaultRowHeight="12.75" x14ac:dyDescent="0.2"/>
  <cols>
    <col min="1" max="1" width="8" style="916" bestFit="1" customWidth="1"/>
    <col min="2" max="2" width="9.28515625" style="989" bestFit="1" customWidth="1"/>
    <col min="3" max="3" width="37.5703125" style="916" customWidth="1"/>
    <col min="4" max="7" width="11.42578125" style="916" hidden="1" customWidth="1"/>
    <col min="8" max="26" width="9.7109375" style="916" customWidth="1"/>
    <col min="27" max="16384" width="11.42578125" style="916"/>
  </cols>
  <sheetData>
    <row r="2" spans="1:26" ht="15.75" x14ac:dyDescent="0.25">
      <c r="A2" s="4513" t="s">
        <v>507</v>
      </c>
      <c r="D2" s="988"/>
      <c r="E2" s="988"/>
      <c r="F2" s="988"/>
      <c r="G2" s="988"/>
      <c r="H2" s="988"/>
      <c r="I2" s="988"/>
      <c r="J2" s="988"/>
      <c r="K2" s="988"/>
      <c r="L2" s="988"/>
      <c r="M2" s="988"/>
      <c r="N2" s="988"/>
      <c r="O2" s="988"/>
      <c r="P2" s="988"/>
      <c r="Q2" s="988"/>
      <c r="R2" s="988"/>
      <c r="S2" s="988"/>
    </row>
    <row r="4" spans="1:26" ht="23.25" customHeight="1" x14ac:dyDescent="0.2">
      <c r="A4" s="1965" t="s">
        <v>16</v>
      </c>
      <c r="B4" s="1965" t="s">
        <v>4</v>
      </c>
      <c r="C4" s="1917" t="s">
        <v>349</v>
      </c>
      <c r="D4" s="1917">
        <v>2005</v>
      </c>
      <c r="E4" s="1917">
        <v>2006</v>
      </c>
      <c r="F4" s="1917">
        <v>2007</v>
      </c>
      <c r="G4" s="1917">
        <v>2008</v>
      </c>
      <c r="H4" s="1966">
        <v>1999</v>
      </c>
      <c r="I4" s="1966">
        <v>2000</v>
      </c>
      <c r="J4" s="1917">
        <v>2001</v>
      </c>
      <c r="K4" s="1966">
        <v>2002</v>
      </c>
      <c r="L4" s="1966">
        <v>2003</v>
      </c>
      <c r="M4" s="1966">
        <v>2004</v>
      </c>
      <c r="N4" s="1917">
        <v>2005</v>
      </c>
      <c r="O4" s="1966">
        <v>2006</v>
      </c>
      <c r="P4" s="1966">
        <v>2007</v>
      </c>
      <c r="Q4" s="1966">
        <v>2008</v>
      </c>
      <c r="R4" s="1917">
        <v>2009</v>
      </c>
      <c r="S4" s="1966">
        <v>2010</v>
      </c>
      <c r="T4" s="1966">
        <v>2011</v>
      </c>
      <c r="U4" s="1966">
        <v>2012</v>
      </c>
      <c r="V4" s="1966">
        <v>2013</v>
      </c>
      <c r="W4" s="1966">
        <v>2014</v>
      </c>
      <c r="X4" s="1966">
        <v>2015</v>
      </c>
      <c r="Y4" s="1966">
        <v>2016</v>
      </c>
      <c r="Z4" s="1966">
        <v>2017</v>
      </c>
    </row>
    <row r="5" spans="1:26" ht="15" x14ac:dyDescent="0.25">
      <c r="A5" s="1356"/>
      <c r="B5" s="1356"/>
      <c r="C5" s="1356"/>
      <c r="D5" s="1356"/>
      <c r="E5" s="1356"/>
      <c r="F5" s="1356"/>
      <c r="G5" s="1356"/>
      <c r="H5" s="1356"/>
      <c r="I5" s="1356"/>
      <c r="J5" s="1356"/>
      <c r="K5" s="1356"/>
      <c r="L5" s="1356"/>
      <c r="M5" s="1356"/>
      <c r="N5" s="1356"/>
      <c r="O5" s="1356"/>
      <c r="P5" s="1356"/>
      <c r="Q5" s="1356"/>
      <c r="R5" s="1356"/>
      <c r="S5" s="1356"/>
      <c r="T5" s="1356"/>
      <c r="U5" s="1356"/>
      <c r="V5" s="1356"/>
      <c r="W5" s="1356"/>
      <c r="X5" s="1356"/>
      <c r="Y5" s="1356"/>
      <c r="Z5" s="1356"/>
    </row>
    <row r="6" spans="1:26" ht="15" x14ac:dyDescent="0.2">
      <c r="A6" s="5958" t="s">
        <v>440</v>
      </c>
      <c r="B6" s="5961" t="s">
        <v>5</v>
      </c>
      <c r="C6" s="1967" t="s">
        <v>446</v>
      </c>
      <c r="D6" s="1968"/>
      <c r="E6" s="1968"/>
      <c r="F6" s="1968"/>
      <c r="G6" s="1968"/>
      <c r="H6" s="1969">
        <v>38</v>
      </c>
      <c r="I6" s="1969">
        <v>22</v>
      </c>
      <c r="J6" s="1969">
        <v>30</v>
      </c>
      <c r="K6" s="1969">
        <v>30</v>
      </c>
      <c r="L6" s="1969">
        <v>40</v>
      </c>
      <c r="M6" s="1969">
        <v>28</v>
      </c>
      <c r="N6" s="1969">
        <v>31</v>
      </c>
      <c r="O6" s="1969">
        <v>34</v>
      </c>
      <c r="P6" s="1969">
        <v>10</v>
      </c>
      <c r="Q6" s="1969">
        <v>18</v>
      </c>
      <c r="R6" s="1969">
        <v>22</v>
      </c>
      <c r="S6" s="1970">
        <v>29</v>
      </c>
      <c r="T6" s="1970">
        <v>32</v>
      </c>
      <c r="U6" s="1970">
        <v>33</v>
      </c>
      <c r="V6" s="1970">
        <v>49</v>
      </c>
      <c r="W6" s="1970">
        <v>59</v>
      </c>
      <c r="X6" s="1970">
        <v>44</v>
      </c>
      <c r="Y6" s="1970">
        <v>70</v>
      </c>
      <c r="Z6" s="1970">
        <v>64</v>
      </c>
    </row>
    <row r="7" spans="1:26" ht="15" x14ac:dyDescent="0.2">
      <c r="A7" s="5959"/>
      <c r="B7" s="5962"/>
      <c r="C7" s="1971" t="s">
        <v>447</v>
      </c>
      <c r="D7" s="1972"/>
      <c r="E7" s="1972"/>
      <c r="F7" s="1972"/>
      <c r="G7" s="1972"/>
      <c r="H7" s="1973">
        <v>45</v>
      </c>
      <c r="I7" s="1973">
        <v>42</v>
      </c>
      <c r="J7" s="1973">
        <v>48</v>
      </c>
      <c r="K7" s="1973">
        <v>39</v>
      </c>
      <c r="L7" s="1973">
        <v>33</v>
      </c>
      <c r="M7" s="1973">
        <v>34</v>
      </c>
      <c r="N7" s="1973">
        <v>22</v>
      </c>
      <c r="O7" s="1973">
        <v>30</v>
      </c>
      <c r="P7" s="1973">
        <v>26</v>
      </c>
      <c r="Q7" s="1973">
        <v>24</v>
      </c>
      <c r="R7" s="1973">
        <v>27</v>
      </c>
      <c r="S7" s="1974">
        <v>36</v>
      </c>
      <c r="T7" s="1974">
        <v>31</v>
      </c>
      <c r="U7" s="1974">
        <v>31</v>
      </c>
      <c r="V7" s="1974">
        <v>35</v>
      </c>
      <c r="W7" s="1974">
        <v>50</v>
      </c>
      <c r="X7" s="1974">
        <v>40</v>
      </c>
      <c r="Y7" s="1974">
        <v>64</v>
      </c>
      <c r="Z7" s="1974">
        <v>50</v>
      </c>
    </row>
    <row r="8" spans="1:26" ht="15" x14ac:dyDescent="0.2">
      <c r="A8" s="5959"/>
      <c r="B8" s="5962"/>
      <c r="C8" s="1971" t="s">
        <v>448</v>
      </c>
      <c r="D8" s="1972"/>
      <c r="E8" s="1972"/>
      <c r="F8" s="1972"/>
      <c r="G8" s="1972"/>
      <c r="H8" s="1973">
        <v>44</v>
      </c>
      <c r="I8" s="1973">
        <v>18</v>
      </c>
      <c r="J8" s="1973">
        <v>35</v>
      </c>
      <c r="K8" s="1973">
        <v>19</v>
      </c>
      <c r="L8" s="1973">
        <v>21</v>
      </c>
      <c r="M8" s="1973">
        <v>26</v>
      </c>
      <c r="N8" s="1973">
        <v>25</v>
      </c>
      <c r="O8" s="1973">
        <v>18</v>
      </c>
      <c r="P8" s="1973">
        <v>26</v>
      </c>
      <c r="Q8" s="1973">
        <v>21</v>
      </c>
      <c r="R8" s="1973">
        <v>16</v>
      </c>
      <c r="S8" s="1974">
        <v>11</v>
      </c>
      <c r="T8" s="1974">
        <v>13</v>
      </c>
      <c r="U8" s="1974">
        <v>9</v>
      </c>
      <c r="V8" s="1974">
        <v>10</v>
      </c>
      <c r="W8" s="1974">
        <v>18</v>
      </c>
      <c r="X8" s="1974">
        <v>20</v>
      </c>
      <c r="Y8" s="1974">
        <v>25</v>
      </c>
      <c r="Z8" s="1974">
        <v>21</v>
      </c>
    </row>
    <row r="9" spans="1:26" ht="15" x14ac:dyDescent="0.2">
      <c r="A9" s="5959"/>
      <c r="B9" s="5962"/>
      <c r="C9" s="1971" t="s">
        <v>449</v>
      </c>
      <c r="D9" s="1972"/>
      <c r="E9" s="1972"/>
      <c r="F9" s="1972"/>
      <c r="G9" s="1972"/>
      <c r="H9" s="1973">
        <v>22</v>
      </c>
      <c r="I9" s="1973">
        <v>11</v>
      </c>
      <c r="J9" s="1973">
        <v>9</v>
      </c>
      <c r="K9" s="1973">
        <v>10</v>
      </c>
      <c r="L9" s="1973">
        <v>9</v>
      </c>
      <c r="M9" s="1973">
        <v>13</v>
      </c>
      <c r="N9" s="1973">
        <v>7</v>
      </c>
      <c r="O9" s="1973">
        <v>28</v>
      </c>
      <c r="P9" s="1973">
        <v>17</v>
      </c>
      <c r="Q9" s="1973">
        <v>16</v>
      </c>
      <c r="R9" s="1973">
        <v>14</v>
      </c>
      <c r="S9" s="1974">
        <v>22</v>
      </c>
      <c r="T9" s="1974">
        <v>13</v>
      </c>
      <c r="U9" s="1974">
        <v>14</v>
      </c>
      <c r="V9" s="1974">
        <v>14</v>
      </c>
      <c r="W9" s="1974">
        <v>30</v>
      </c>
      <c r="X9" s="1974">
        <v>20</v>
      </c>
      <c r="Y9" s="1974">
        <v>20</v>
      </c>
      <c r="Z9" s="1974">
        <v>10</v>
      </c>
    </row>
    <row r="10" spans="1:26" ht="15" x14ac:dyDescent="0.2">
      <c r="A10" s="5959"/>
      <c r="B10" s="5962"/>
      <c r="C10" s="1971" t="s">
        <v>450</v>
      </c>
      <c r="D10" s="1972"/>
      <c r="E10" s="1972"/>
      <c r="F10" s="1972"/>
      <c r="G10" s="1972"/>
      <c r="H10" s="1973">
        <v>81</v>
      </c>
      <c r="I10" s="1973">
        <v>53</v>
      </c>
      <c r="J10" s="1973">
        <v>63</v>
      </c>
      <c r="K10" s="1973">
        <v>59</v>
      </c>
      <c r="L10" s="1973">
        <v>88</v>
      </c>
      <c r="M10" s="1973">
        <v>68</v>
      </c>
      <c r="N10" s="1973">
        <v>76</v>
      </c>
      <c r="O10" s="1973">
        <v>78</v>
      </c>
      <c r="P10" s="1973">
        <v>84</v>
      </c>
      <c r="Q10" s="1973">
        <v>83</v>
      </c>
      <c r="R10" s="1973">
        <v>79</v>
      </c>
      <c r="S10" s="1974">
        <v>81</v>
      </c>
      <c r="T10" s="1974">
        <v>75</v>
      </c>
      <c r="U10" s="1974">
        <v>64</v>
      </c>
      <c r="V10" s="1974">
        <v>80</v>
      </c>
      <c r="W10" s="1974">
        <v>104</v>
      </c>
      <c r="X10" s="1974">
        <v>53</v>
      </c>
      <c r="Y10" s="1974">
        <v>75</v>
      </c>
      <c r="Z10" s="1974">
        <v>58</v>
      </c>
    </row>
    <row r="11" spans="1:26" ht="15" x14ac:dyDescent="0.2">
      <c r="A11" s="5959"/>
      <c r="B11" s="5962"/>
      <c r="C11" s="1971" t="s">
        <v>451</v>
      </c>
      <c r="D11" s="1972"/>
      <c r="E11" s="1972"/>
      <c r="F11" s="1972"/>
      <c r="G11" s="1972"/>
      <c r="H11" s="1973">
        <v>45</v>
      </c>
      <c r="I11" s="1973">
        <v>51</v>
      </c>
      <c r="J11" s="1973">
        <v>25</v>
      </c>
      <c r="K11" s="1973">
        <v>50</v>
      </c>
      <c r="L11" s="1973">
        <v>67</v>
      </c>
      <c r="M11" s="1973">
        <v>38</v>
      </c>
      <c r="N11" s="1973">
        <v>31</v>
      </c>
      <c r="O11" s="1973">
        <v>53</v>
      </c>
      <c r="P11" s="1973">
        <v>60</v>
      </c>
      <c r="Q11" s="1973">
        <v>39</v>
      </c>
      <c r="R11" s="1973">
        <v>38</v>
      </c>
      <c r="S11" s="1974">
        <v>40</v>
      </c>
      <c r="T11" s="1974">
        <v>38</v>
      </c>
      <c r="U11" s="1974">
        <v>35</v>
      </c>
      <c r="V11" s="1974">
        <v>42</v>
      </c>
      <c r="W11" s="1974">
        <v>35</v>
      </c>
      <c r="X11" s="1974">
        <v>37</v>
      </c>
      <c r="Y11" s="1974">
        <v>48</v>
      </c>
      <c r="Z11" s="1974">
        <v>39</v>
      </c>
    </row>
    <row r="12" spans="1:26" ht="15" x14ac:dyDescent="0.2">
      <c r="A12" s="5959"/>
      <c r="B12" s="5962"/>
      <c r="C12" s="1971" t="s">
        <v>452</v>
      </c>
      <c r="D12" s="1972"/>
      <c r="E12" s="1972"/>
      <c r="F12" s="1972"/>
      <c r="G12" s="1972"/>
      <c r="H12" s="1973">
        <v>19</v>
      </c>
      <c r="I12" s="1973">
        <v>20</v>
      </c>
      <c r="J12" s="1973">
        <v>27</v>
      </c>
      <c r="K12" s="1973">
        <v>15</v>
      </c>
      <c r="L12" s="1973">
        <v>8</v>
      </c>
      <c r="M12" s="1973">
        <v>11</v>
      </c>
      <c r="N12" s="1973">
        <v>9</v>
      </c>
      <c r="O12" s="1973">
        <v>11</v>
      </c>
      <c r="P12" s="1973">
        <v>7</v>
      </c>
      <c r="Q12" s="1973">
        <v>1</v>
      </c>
      <c r="R12" s="1973">
        <v>7</v>
      </c>
      <c r="S12" s="1974">
        <v>6</v>
      </c>
      <c r="T12" s="1974">
        <v>3</v>
      </c>
      <c r="U12" s="1974">
        <v>5</v>
      </c>
      <c r="V12" s="1974">
        <v>6</v>
      </c>
      <c r="W12" s="1974">
        <v>13</v>
      </c>
      <c r="X12" s="1974">
        <v>13</v>
      </c>
      <c r="Y12" s="1974">
        <v>20</v>
      </c>
      <c r="Z12" s="1974">
        <v>13</v>
      </c>
    </row>
    <row r="13" spans="1:26" ht="15" x14ac:dyDescent="0.2">
      <c r="A13" s="5959"/>
      <c r="B13" s="5962"/>
      <c r="C13" s="1971" t="s">
        <v>453</v>
      </c>
      <c r="D13" s="1972"/>
      <c r="E13" s="1972"/>
      <c r="F13" s="1972"/>
      <c r="G13" s="1972"/>
      <c r="H13" s="1973">
        <v>59</v>
      </c>
      <c r="I13" s="1973">
        <v>40</v>
      </c>
      <c r="J13" s="1973">
        <v>43</v>
      </c>
      <c r="K13" s="1973">
        <v>39</v>
      </c>
      <c r="L13" s="1973">
        <v>42</v>
      </c>
      <c r="M13" s="1973">
        <v>43</v>
      </c>
      <c r="N13" s="1973">
        <v>49</v>
      </c>
      <c r="O13" s="1973">
        <v>38</v>
      </c>
      <c r="P13" s="1973">
        <v>52</v>
      </c>
      <c r="Q13" s="1973">
        <v>30</v>
      </c>
      <c r="R13" s="1973">
        <v>55</v>
      </c>
      <c r="S13" s="1974">
        <v>34</v>
      </c>
      <c r="T13" s="1974">
        <v>56</v>
      </c>
      <c r="U13" s="1974">
        <v>41</v>
      </c>
      <c r="V13" s="1974">
        <v>34</v>
      </c>
      <c r="W13" s="1974">
        <v>75</v>
      </c>
      <c r="X13" s="1974">
        <v>47</v>
      </c>
      <c r="Y13" s="1974">
        <v>63</v>
      </c>
      <c r="Z13" s="1974">
        <v>37</v>
      </c>
    </row>
    <row r="14" spans="1:26" ht="15" x14ac:dyDescent="0.2">
      <c r="A14" s="5959"/>
      <c r="B14" s="5962"/>
      <c r="C14" s="1971" t="s">
        <v>454</v>
      </c>
      <c r="D14" s="1972"/>
      <c r="E14" s="1972"/>
      <c r="F14" s="1972"/>
      <c r="G14" s="1972"/>
      <c r="H14" s="1973">
        <v>90</v>
      </c>
      <c r="I14" s="1973">
        <v>79</v>
      </c>
      <c r="J14" s="1973">
        <v>70</v>
      </c>
      <c r="K14" s="1973">
        <v>79</v>
      </c>
      <c r="L14" s="1973">
        <v>104</v>
      </c>
      <c r="M14" s="1973">
        <v>104</v>
      </c>
      <c r="N14" s="1973">
        <v>101</v>
      </c>
      <c r="O14" s="1973">
        <v>105</v>
      </c>
      <c r="P14" s="1973">
        <v>81</v>
      </c>
      <c r="Q14" s="1973">
        <v>64</v>
      </c>
      <c r="R14" s="1973">
        <v>80</v>
      </c>
      <c r="S14" s="1974">
        <v>67</v>
      </c>
      <c r="T14" s="1974">
        <v>51</v>
      </c>
      <c r="U14" s="1974">
        <v>66</v>
      </c>
      <c r="V14" s="1974">
        <v>64</v>
      </c>
      <c r="W14" s="1974">
        <v>64</v>
      </c>
      <c r="X14" s="1974">
        <v>43</v>
      </c>
      <c r="Y14" s="1974">
        <v>68</v>
      </c>
      <c r="Z14" s="1974">
        <v>33</v>
      </c>
    </row>
    <row r="15" spans="1:26" ht="15" x14ac:dyDescent="0.2">
      <c r="A15" s="5959"/>
      <c r="B15" s="5962"/>
      <c r="C15" s="1971" t="s">
        <v>455</v>
      </c>
      <c r="D15" s="1972"/>
      <c r="E15" s="1972"/>
      <c r="F15" s="1972"/>
      <c r="G15" s="1972"/>
      <c r="H15" s="1973"/>
      <c r="I15" s="1973"/>
      <c r="J15" s="1973"/>
      <c r="K15" s="1973"/>
      <c r="L15" s="1973"/>
      <c r="M15" s="1973"/>
      <c r="N15" s="1973"/>
      <c r="O15" s="1973"/>
      <c r="P15" s="1973"/>
      <c r="Q15" s="1973">
        <v>7</v>
      </c>
      <c r="R15" s="1973">
        <v>13</v>
      </c>
      <c r="S15" s="1974">
        <v>37</v>
      </c>
      <c r="T15" s="1974">
        <v>41</v>
      </c>
      <c r="U15" s="1974">
        <v>57</v>
      </c>
      <c r="V15" s="1974">
        <v>58</v>
      </c>
      <c r="W15" s="1974">
        <v>78</v>
      </c>
      <c r="X15" s="1974">
        <v>75</v>
      </c>
      <c r="Y15" s="1974">
        <v>77</v>
      </c>
      <c r="Z15" s="1974">
        <v>50</v>
      </c>
    </row>
    <row r="16" spans="1:26" ht="15" x14ac:dyDescent="0.2">
      <c r="A16" s="5959"/>
      <c r="B16" s="5963"/>
      <c r="C16" s="1975" t="s">
        <v>160</v>
      </c>
      <c r="D16" s="1976"/>
      <c r="E16" s="1976"/>
      <c r="F16" s="1976"/>
      <c r="G16" s="1976"/>
      <c r="H16" s="1977">
        <f t="shared" ref="H16:Q16" si="0">SUM(H6:H15)</f>
        <v>443</v>
      </c>
      <c r="I16" s="1977">
        <f t="shared" si="0"/>
        <v>336</v>
      </c>
      <c r="J16" s="1977">
        <f t="shared" si="0"/>
        <v>350</v>
      </c>
      <c r="K16" s="1977">
        <f t="shared" si="0"/>
        <v>340</v>
      </c>
      <c r="L16" s="1977">
        <f t="shared" si="0"/>
        <v>412</v>
      </c>
      <c r="M16" s="1977">
        <f t="shared" si="0"/>
        <v>365</v>
      </c>
      <c r="N16" s="1977">
        <f t="shared" si="0"/>
        <v>351</v>
      </c>
      <c r="O16" s="1977">
        <f t="shared" si="0"/>
        <v>395</v>
      </c>
      <c r="P16" s="1977">
        <f t="shared" si="0"/>
        <v>363</v>
      </c>
      <c r="Q16" s="1977">
        <f t="shared" si="0"/>
        <v>303</v>
      </c>
      <c r="R16" s="1977">
        <f t="shared" ref="R16:X16" si="1">SUM(R6:R15)</f>
        <v>351</v>
      </c>
      <c r="S16" s="1977">
        <f t="shared" si="1"/>
        <v>363</v>
      </c>
      <c r="T16" s="1977">
        <f t="shared" si="1"/>
        <v>353</v>
      </c>
      <c r="U16" s="1977">
        <f t="shared" si="1"/>
        <v>355</v>
      </c>
      <c r="V16" s="1977">
        <f t="shared" si="1"/>
        <v>392</v>
      </c>
      <c r="W16" s="1977">
        <f t="shared" si="1"/>
        <v>526</v>
      </c>
      <c r="X16" s="1977">
        <f t="shared" si="1"/>
        <v>392</v>
      </c>
      <c r="Y16" s="1977">
        <f>SUM(Y6:Y15)</f>
        <v>530</v>
      </c>
      <c r="Z16" s="1977">
        <f>SUM(Z6:Z15)</f>
        <v>375</v>
      </c>
    </row>
    <row r="17" spans="1:26" ht="15" x14ac:dyDescent="0.2">
      <c r="A17" s="5959"/>
      <c r="B17" s="5961" t="s">
        <v>6</v>
      </c>
      <c r="C17" s="1978" t="s">
        <v>456</v>
      </c>
      <c r="D17" s="1972"/>
      <c r="E17" s="1972"/>
      <c r="F17" s="1972"/>
      <c r="G17" s="1972"/>
      <c r="H17" s="1973">
        <v>195</v>
      </c>
      <c r="I17" s="1973">
        <v>201</v>
      </c>
      <c r="J17" s="1973">
        <v>160</v>
      </c>
      <c r="K17" s="1973">
        <v>151</v>
      </c>
      <c r="L17" s="1973">
        <v>225</v>
      </c>
      <c r="M17" s="1973">
        <v>144</v>
      </c>
      <c r="N17" s="1973">
        <v>118</v>
      </c>
      <c r="O17" s="1973">
        <v>125</v>
      </c>
      <c r="P17" s="1973">
        <v>98</v>
      </c>
      <c r="Q17" s="1973">
        <v>62</v>
      </c>
      <c r="R17" s="1973">
        <v>79</v>
      </c>
      <c r="S17" s="1974">
        <v>122</v>
      </c>
      <c r="T17" s="1974">
        <v>93</v>
      </c>
      <c r="U17" s="1974">
        <v>96</v>
      </c>
      <c r="V17" s="1974">
        <v>112</v>
      </c>
      <c r="W17" s="1974">
        <v>104</v>
      </c>
      <c r="X17" s="1974">
        <v>124</v>
      </c>
      <c r="Y17" s="1974">
        <v>94</v>
      </c>
      <c r="Z17" s="1974">
        <v>319</v>
      </c>
    </row>
    <row r="18" spans="1:26" ht="14.25" customHeight="1" x14ac:dyDescent="0.2">
      <c r="A18" s="5959"/>
      <c r="B18" s="5962"/>
      <c r="C18" s="1978" t="s">
        <v>457</v>
      </c>
      <c r="D18" s="1972"/>
      <c r="E18" s="1972"/>
      <c r="F18" s="1972"/>
      <c r="G18" s="1972"/>
      <c r="H18" s="1973">
        <v>255</v>
      </c>
      <c r="I18" s="1973">
        <v>207</v>
      </c>
      <c r="J18" s="1973">
        <v>237</v>
      </c>
      <c r="K18" s="1973">
        <v>252</v>
      </c>
      <c r="L18" s="1973">
        <v>201</v>
      </c>
      <c r="M18" s="1973">
        <v>172</v>
      </c>
      <c r="N18" s="1973">
        <v>191</v>
      </c>
      <c r="O18" s="1973">
        <v>211</v>
      </c>
      <c r="P18" s="1973">
        <v>205</v>
      </c>
      <c r="Q18" s="1973">
        <v>154</v>
      </c>
      <c r="R18" s="1973">
        <v>198</v>
      </c>
      <c r="S18" s="1974">
        <v>167</v>
      </c>
      <c r="T18" s="1974">
        <v>178</v>
      </c>
      <c r="U18" s="1974">
        <v>154</v>
      </c>
      <c r="V18" s="1974">
        <v>187</v>
      </c>
      <c r="W18" s="1974">
        <v>167</v>
      </c>
      <c r="X18" s="1974">
        <v>148</v>
      </c>
      <c r="Y18" s="1974">
        <v>258</v>
      </c>
      <c r="Z18" s="1974">
        <v>170</v>
      </c>
    </row>
    <row r="19" spans="1:26" ht="14.25" customHeight="1" x14ac:dyDescent="0.2">
      <c r="A19" s="5959"/>
      <c r="B19" s="5962"/>
      <c r="C19" s="1978" t="s">
        <v>458</v>
      </c>
      <c r="D19" s="1972"/>
      <c r="E19" s="1972"/>
      <c r="F19" s="1972"/>
      <c r="G19" s="1972"/>
      <c r="H19" s="1973">
        <v>91</v>
      </c>
      <c r="I19" s="1973">
        <v>86</v>
      </c>
      <c r="J19" s="1973">
        <v>109</v>
      </c>
      <c r="K19" s="1973">
        <v>77</v>
      </c>
      <c r="L19" s="1973">
        <v>91</v>
      </c>
      <c r="M19" s="1973">
        <v>105</v>
      </c>
      <c r="N19" s="1973">
        <v>72</v>
      </c>
      <c r="O19" s="1973">
        <v>63</v>
      </c>
      <c r="P19" s="1973">
        <v>78</v>
      </c>
      <c r="Q19" s="1973">
        <v>57</v>
      </c>
      <c r="R19" s="1973">
        <v>63</v>
      </c>
      <c r="S19" s="1974">
        <v>61</v>
      </c>
      <c r="T19" s="1974">
        <v>60</v>
      </c>
      <c r="U19" s="1974">
        <v>57</v>
      </c>
      <c r="V19" s="1974">
        <v>87</v>
      </c>
      <c r="W19" s="1974">
        <v>67</v>
      </c>
      <c r="X19" s="1974">
        <v>50</v>
      </c>
      <c r="Y19" s="1974">
        <v>80</v>
      </c>
      <c r="Z19" s="1974">
        <v>42</v>
      </c>
    </row>
    <row r="20" spans="1:26" ht="14.25" customHeight="1" x14ac:dyDescent="0.2">
      <c r="A20" s="5959"/>
      <c r="B20" s="5962"/>
      <c r="C20" s="1978" t="s">
        <v>459</v>
      </c>
      <c r="D20" s="1972"/>
      <c r="E20" s="1972"/>
      <c r="F20" s="1972"/>
      <c r="G20" s="1972"/>
      <c r="H20" s="1973">
        <v>61</v>
      </c>
      <c r="I20" s="1973">
        <v>59</v>
      </c>
      <c r="J20" s="1973">
        <v>79</v>
      </c>
      <c r="K20" s="1973">
        <v>86</v>
      </c>
      <c r="L20" s="1973">
        <v>85</v>
      </c>
      <c r="M20" s="1973">
        <v>82</v>
      </c>
      <c r="N20" s="1973">
        <v>70</v>
      </c>
      <c r="O20" s="1973">
        <v>45</v>
      </c>
      <c r="P20" s="1973">
        <v>68</v>
      </c>
      <c r="Q20" s="1973">
        <v>49</v>
      </c>
      <c r="R20" s="1973">
        <v>66</v>
      </c>
      <c r="S20" s="1974">
        <v>60</v>
      </c>
      <c r="T20" s="1974">
        <v>66</v>
      </c>
      <c r="U20" s="1974">
        <v>73</v>
      </c>
      <c r="V20" s="1974">
        <v>78</v>
      </c>
      <c r="W20" s="1974">
        <v>65</v>
      </c>
      <c r="X20" s="1974">
        <v>63</v>
      </c>
      <c r="Y20" s="1974">
        <v>93</v>
      </c>
      <c r="Z20" s="1974">
        <v>57</v>
      </c>
    </row>
    <row r="21" spans="1:26" ht="14.25" customHeight="1" x14ac:dyDescent="0.2">
      <c r="A21" s="5959"/>
      <c r="B21" s="5963"/>
      <c r="C21" s="1975" t="s">
        <v>160</v>
      </c>
      <c r="D21" s="1976"/>
      <c r="E21" s="1976"/>
      <c r="F21" s="1976"/>
      <c r="G21" s="1976"/>
      <c r="H21" s="1977">
        <f t="shared" ref="H21:Q21" si="2">SUM(H17:H20)</f>
        <v>602</v>
      </c>
      <c r="I21" s="1977">
        <f t="shared" si="2"/>
        <v>553</v>
      </c>
      <c r="J21" s="1977">
        <f t="shared" si="2"/>
        <v>585</v>
      </c>
      <c r="K21" s="1977">
        <f t="shared" si="2"/>
        <v>566</v>
      </c>
      <c r="L21" s="1977">
        <f t="shared" si="2"/>
        <v>602</v>
      </c>
      <c r="M21" s="1977">
        <f t="shared" si="2"/>
        <v>503</v>
      </c>
      <c r="N21" s="1977">
        <f t="shared" si="2"/>
        <v>451</v>
      </c>
      <c r="O21" s="1977">
        <f t="shared" si="2"/>
        <v>444</v>
      </c>
      <c r="P21" s="1977">
        <f t="shared" si="2"/>
        <v>449</v>
      </c>
      <c r="Q21" s="1977">
        <f t="shared" si="2"/>
        <v>322</v>
      </c>
      <c r="R21" s="1977">
        <f t="shared" ref="R21:X21" si="3">SUM(R17:R20)</f>
        <v>406</v>
      </c>
      <c r="S21" s="1977">
        <f t="shared" si="3"/>
        <v>410</v>
      </c>
      <c r="T21" s="1977">
        <f t="shared" si="3"/>
        <v>397</v>
      </c>
      <c r="U21" s="1977">
        <f t="shared" si="3"/>
        <v>380</v>
      </c>
      <c r="V21" s="1977">
        <f t="shared" si="3"/>
        <v>464</v>
      </c>
      <c r="W21" s="1977">
        <f t="shared" si="3"/>
        <v>403</v>
      </c>
      <c r="X21" s="1977">
        <f t="shared" si="3"/>
        <v>385</v>
      </c>
      <c r="Y21" s="1977">
        <f>SUM(Y17:Y20)</f>
        <v>525</v>
      </c>
      <c r="Z21" s="1977">
        <f>SUM(Z17:Z20)</f>
        <v>588</v>
      </c>
    </row>
    <row r="22" spans="1:26" ht="15" x14ac:dyDescent="0.2">
      <c r="A22" s="5959"/>
      <c r="B22" s="5961" t="s">
        <v>7</v>
      </c>
      <c r="C22" s="1967" t="s">
        <v>460</v>
      </c>
      <c r="D22" s="1968"/>
      <c r="E22" s="1968"/>
      <c r="F22" s="1968"/>
      <c r="G22" s="1968"/>
      <c r="H22" s="1969">
        <v>148</v>
      </c>
      <c r="I22" s="1969">
        <v>167</v>
      </c>
      <c r="J22" s="1969">
        <v>141</v>
      </c>
      <c r="K22" s="1969">
        <v>120</v>
      </c>
      <c r="L22" s="1969">
        <v>142</v>
      </c>
      <c r="M22" s="1969">
        <v>123</v>
      </c>
      <c r="N22" s="1969">
        <v>109</v>
      </c>
      <c r="O22" s="1969">
        <v>102</v>
      </c>
      <c r="P22" s="1969">
        <v>129</v>
      </c>
      <c r="Q22" s="1969">
        <v>110</v>
      </c>
      <c r="R22" s="1969">
        <v>160</v>
      </c>
      <c r="S22" s="1970">
        <v>141</v>
      </c>
      <c r="T22" s="1970">
        <v>98</v>
      </c>
      <c r="U22" s="1970">
        <v>73</v>
      </c>
      <c r="V22" s="1970">
        <v>98</v>
      </c>
      <c r="W22" s="1970">
        <v>119</v>
      </c>
      <c r="X22" s="1970">
        <v>89</v>
      </c>
      <c r="Y22" s="1970">
        <v>83</v>
      </c>
      <c r="Z22" s="1970">
        <v>72</v>
      </c>
    </row>
    <row r="23" spans="1:26" ht="14.25" customHeight="1" x14ac:dyDescent="0.2">
      <c r="A23" s="5959"/>
      <c r="B23" s="5962"/>
      <c r="C23" s="1971" t="s">
        <v>516</v>
      </c>
      <c r="D23" s="1972"/>
      <c r="E23" s="1972"/>
      <c r="F23" s="1972"/>
      <c r="G23" s="1972"/>
      <c r="H23" s="1973">
        <v>126</v>
      </c>
      <c r="I23" s="1973">
        <v>103</v>
      </c>
      <c r="J23" s="1973">
        <v>169</v>
      </c>
      <c r="K23" s="1973">
        <v>110</v>
      </c>
      <c r="L23" s="1973">
        <v>107</v>
      </c>
      <c r="M23" s="1973">
        <v>125</v>
      </c>
      <c r="N23" s="1973">
        <v>95</v>
      </c>
      <c r="O23" s="1973">
        <v>106</v>
      </c>
      <c r="P23" s="1973">
        <v>145</v>
      </c>
      <c r="Q23" s="1973">
        <v>93</v>
      </c>
      <c r="R23" s="1973">
        <v>158</v>
      </c>
      <c r="S23" s="1974">
        <v>123</v>
      </c>
      <c r="T23" s="1974">
        <v>100</v>
      </c>
      <c r="U23" s="1974">
        <v>82</v>
      </c>
      <c r="V23" s="1974">
        <v>95</v>
      </c>
      <c r="W23" s="1974">
        <v>114</v>
      </c>
      <c r="X23" s="1974">
        <v>82</v>
      </c>
      <c r="Y23" s="1974">
        <v>102</v>
      </c>
      <c r="Z23" s="1974">
        <v>56</v>
      </c>
    </row>
    <row r="24" spans="1:26" ht="14.25" customHeight="1" x14ac:dyDescent="0.2">
      <c r="A24" s="5959"/>
      <c r="B24" s="5962"/>
      <c r="C24" s="1971" t="s">
        <v>462</v>
      </c>
      <c r="D24" s="1972"/>
      <c r="E24" s="1972"/>
      <c r="F24" s="1972"/>
      <c r="G24" s="1972"/>
      <c r="H24" s="1973">
        <v>72</v>
      </c>
      <c r="I24" s="1973">
        <v>64</v>
      </c>
      <c r="J24" s="1973">
        <v>69</v>
      </c>
      <c r="K24" s="1973">
        <v>48</v>
      </c>
      <c r="L24" s="1973">
        <v>71</v>
      </c>
      <c r="M24" s="1973">
        <v>63</v>
      </c>
      <c r="N24" s="1973">
        <v>67</v>
      </c>
      <c r="O24" s="1973">
        <v>63</v>
      </c>
      <c r="P24" s="1973">
        <v>55</v>
      </c>
      <c r="Q24" s="1973">
        <v>42</v>
      </c>
      <c r="R24" s="1973">
        <v>68</v>
      </c>
      <c r="S24" s="1974">
        <v>47</v>
      </c>
      <c r="T24" s="1974">
        <v>79</v>
      </c>
      <c r="U24" s="1974">
        <v>44</v>
      </c>
      <c r="V24" s="1974">
        <v>69</v>
      </c>
      <c r="W24" s="1974">
        <v>79</v>
      </c>
      <c r="X24" s="1974">
        <v>53</v>
      </c>
      <c r="Y24" s="1974">
        <v>70</v>
      </c>
      <c r="Z24" s="1974">
        <v>56</v>
      </c>
    </row>
    <row r="25" spans="1:26" ht="14.25" customHeight="1" x14ac:dyDescent="0.2">
      <c r="A25" s="5959"/>
      <c r="B25" s="5963"/>
      <c r="C25" s="1975" t="s">
        <v>160</v>
      </c>
      <c r="D25" s="1976"/>
      <c r="E25" s="1976"/>
      <c r="F25" s="1976"/>
      <c r="G25" s="1976"/>
      <c r="H25" s="1977">
        <f t="shared" ref="H25:Q25" si="4">SUM(H22:H24)</f>
        <v>346</v>
      </c>
      <c r="I25" s="1977">
        <f t="shared" si="4"/>
        <v>334</v>
      </c>
      <c r="J25" s="1977">
        <f t="shared" si="4"/>
        <v>379</v>
      </c>
      <c r="K25" s="1977">
        <f t="shared" si="4"/>
        <v>278</v>
      </c>
      <c r="L25" s="1977">
        <f t="shared" si="4"/>
        <v>320</v>
      </c>
      <c r="M25" s="1977">
        <f t="shared" si="4"/>
        <v>311</v>
      </c>
      <c r="N25" s="1977">
        <f t="shared" si="4"/>
        <v>271</v>
      </c>
      <c r="O25" s="1977">
        <f t="shared" si="4"/>
        <v>271</v>
      </c>
      <c r="P25" s="1977">
        <f t="shared" si="4"/>
        <v>329</v>
      </c>
      <c r="Q25" s="1977">
        <f t="shared" si="4"/>
        <v>245</v>
      </c>
      <c r="R25" s="1977">
        <f t="shared" ref="R25:X25" si="5">SUM(R22:R24)</f>
        <v>386</v>
      </c>
      <c r="S25" s="1977">
        <f t="shared" si="5"/>
        <v>311</v>
      </c>
      <c r="T25" s="1977">
        <f t="shared" si="5"/>
        <v>277</v>
      </c>
      <c r="U25" s="1977">
        <f t="shared" si="5"/>
        <v>199</v>
      </c>
      <c r="V25" s="1977">
        <f t="shared" si="5"/>
        <v>262</v>
      </c>
      <c r="W25" s="1977">
        <f t="shared" si="5"/>
        <v>312</v>
      </c>
      <c r="X25" s="1977">
        <f t="shared" si="5"/>
        <v>224</v>
      </c>
      <c r="Y25" s="1977">
        <f>SUM(Y22:Y24)</f>
        <v>255</v>
      </c>
      <c r="Z25" s="1977">
        <f>SUM(Z22:Z24)</f>
        <v>184</v>
      </c>
    </row>
    <row r="26" spans="1:26" ht="14.25" customHeight="1" x14ac:dyDescent="0.2">
      <c r="A26" s="5960"/>
      <c r="B26" s="5501"/>
      <c r="C26" s="5502" t="s">
        <v>444</v>
      </c>
      <c r="D26" s="5503"/>
      <c r="E26" s="5503"/>
      <c r="F26" s="5503"/>
      <c r="G26" s="5503"/>
      <c r="H26" s="5504">
        <f t="shared" ref="H26:Q26" si="6">SUM(H25,H21,H16)</f>
        <v>1391</v>
      </c>
      <c r="I26" s="5504">
        <f t="shared" si="6"/>
        <v>1223</v>
      </c>
      <c r="J26" s="5504">
        <f t="shared" si="6"/>
        <v>1314</v>
      </c>
      <c r="K26" s="5504">
        <f t="shared" si="6"/>
        <v>1184</v>
      </c>
      <c r="L26" s="5504">
        <f t="shared" si="6"/>
        <v>1334</v>
      </c>
      <c r="M26" s="5504">
        <f t="shared" si="6"/>
        <v>1179</v>
      </c>
      <c r="N26" s="5504">
        <f t="shared" si="6"/>
        <v>1073</v>
      </c>
      <c r="O26" s="5504">
        <f t="shared" si="6"/>
        <v>1110</v>
      </c>
      <c r="P26" s="5504">
        <f t="shared" si="6"/>
        <v>1141</v>
      </c>
      <c r="Q26" s="5504">
        <f t="shared" si="6"/>
        <v>870</v>
      </c>
      <c r="R26" s="5504">
        <f t="shared" ref="R26:W26" si="7">SUM(R25,R21,R16)</f>
        <v>1143</v>
      </c>
      <c r="S26" s="5504">
        <f t="shared" si="7"/>
        <v>1084</v>
      </c>
      <c r="T26" s="5504">
        <f t="shared" si="7"/>
        <v>1027</v>
      </c>
      <c r="U26" s="5504">
        <f t="shared" si="7"/>
        <v>934</v>
      </c>
      <c r="V26" s="5504">
        <f t="shared" si="7"/>
        <v>1118</v>
      </c>
      <c r="W26" s="5504">
        <f t="shared" si="7"/>
        <v>1241</v>
      </c>
      <c r="X26" s="5504">
        <f>SUM(X25,X21,X16)</f>
        <v>1001</v>
      </c>
      <c r="Y26" s="5504">
        <f>SUM(Y25,Y21,Y16)</f>
        <v>1310</v>
      </c>
      <c r="Z26" s="5504">
        <f>SUM(Z25,Z21,Z16)</f>
        <v>1147</v>
      </c>
    </row>
    <row r="27" spans="1:26" ht="15" x14ac:dyDescent="0.2">
      <c r="A27" s="5964" t="s">
        <v>441</v>
      </c>
      <c r="B27" s="5967" t="s">
        <v>5</v>
      </c>
      <c r="C27" s="1978" t="s">
        <v>463</v>
      </c>
      <c r="D27" s="1972"/>
      <c r="E27" s="1972"/>
      <c r="F27" s="1972"/>
      <c r="G27" s="1972"/>
      <c r="H27" s="1973">
        <v>26</v>
      </c>
      <c r="I27" s="1973">
        <v>29</v>
      </c>
      <c r="J27" s="1973">
        <v>31</v>
      </c>
      <c r="K27" s="1973">
        <v>29</v>
      </c>
      <c r="L27" s="1973">
        <v>22</v>
      </c>
      <c r="M27" s="1973">
        <v>26</v>
      </c>
      <c r="N27" s="1973">
        <v>30</v>
      </c>
      <c r="O27" s="1973">
        <v>44</v>
      </c>
      <c r="P27" s="1973">
        <v>50</v>
      </c>
      <c r="Q27" s="1973">
        <v>38</v>
      </c>
      <c r="R27" s="1973">
        <v>28</v>
      </c>
      <c r="S27" s="1974">
        <v>57</v>
      </c>
      <c r="T27" s="1974">
        <v>36</v>
      </c>
      <c r="U27" s="1974">
        <v>36</v>
      </c>
      <c r="V27" s="1974">
        <v>22</v>
      </c>
      <c r="W27" s="1974">
        <v>31</v>
      </c>
      <c r="X27" s="1974">
        <v>25</v>
      </c>
      <c r="Y27" s="1974">
        <v>25</v>
      </c>
      <c r="Z27" s="1974">
        <v>22</v>
      </c>
    </row>
    <row r="28" spans="1:26" ht="14.25" customHeight="1" x14ac:dyDescent="0.2">
      <c r="A28" s="5965"/>
      <c r="B28" s="5968"/>
      <c r="C28" s="1978" t="s">
        <v>464</v>
      </c>
      <c r="D28" s="1972"/>
      <c r="E28" s="1972"/>
      <c r="F28" s="1972"/>
      <c r="G28" s="1972"/>
      <c r="H28" s="1973">
        <v>1</v>
      </c>
      <c r="I28" s="1973">
        <v>2</v>
      </c>
      <c r="J28" s="1973">
        <v>2</v>
      </c>
      <c r="K28" s="1973">
        <v>5</v>
      </c>
      <c r="L28" s="1973">
        <v>4</v>
      </c>
      <c r="M28" s="1973">
        <v>7</v>
      </c>
      <c r="N28" s="1973">
        <v>4</v>
      </c>
      <c r="O28" s="1973">
        <v>7</v>
      </c>
      <c r="P28" s="1973">
        <v>6</v>
      </c>
      <c r="Q28" s="1973">
        <v>4</v>
      </c>
      <c r="R28" s="1973">
        <v>5</v>
      </c>
      <c r="S28" s="1974">
        <v>5</v>
      </c>
      <c r="T28" s="1974">
        <v>6</v>
      </c>
      <c r="U28" s="1974">
        <v>8</v>
      </c>
      <c r="V28" s="1974">
        <v>3</v>
      </c>
      <c r="W28" s="1974">
        <v>1</v>
      </c>
      <c r="X28" s="1974">
        <v>18</v>
      </c>
      <c r="Y28" s="1974">
        <v>5</v>
      </c>
      <c r="Z28" s="1974">
        <v>5</v>
      </c>
    </row>
    <row r="29" spans="1:26" ht="14.25" customHeight="1" x14ac:dyDescent="0.2">
      <c r="A29" s="5965"/>
      <c r="B29" s="5968"/>
      <c r="C29" s="1978" t="s">
        <v>453</v>
      </c>
      <c r="D29" s="1972"/>
      <c r="E29" s="1972"/>
      <c r="F29" s="1972"/>
      <c r="G29" s="1972"/>
      <c r="H29" s="1973">
        <v>23</v>
      </c>
      <c r="I29" s="1973">
        <v>17</v>
      </c>
      <c r="J29" s="1973">
        <v>21</v>
      </c>
      <c r="K29" s="1973">
        <v>18</v>
      </c>
      <c r="L29" s="1973">
        <v>31</v>
      </c>
      <c r="M29" s="1973">
        <v>33</v>
      </c>
      <c r="N29" s="1973">
        <v>37</v>
      </c>
      <c r="O29" s="1973">
        <v>26</v>
      </c>
      <c r="P29" s="1973">
        <v>22</v>
      </c>
      <c r="Q29" s="1973">
        <v>25</v>
      </c>
      <c r="R29" s="1973">
        <v>16</v>
      </c>
      <c r="S29" s="1974">
        <v>19</v>
      </c>
      <c r="T29" s="1974">
        <v>23</v>
      </c>
      <c r="U29" s="1974">
        <v>21</v>
      </c>
      <c r="V29" s="1974">
        <v>24</v>
      </c>
      <c r="W29" s="1974">
        <v>24</v>
      </c>
      <c r="X29" s="1974">
        <v>17</v>
      </c>
      <c r="Y29" s="1974">
        <v>27</v>
      </c>
      <c r="Z29" s="1974">
        <v>31</v>
      </c>
    </row>
    <row r="30" spans="1:26" ht="14.25" customHeight="1" x14ac:dyDescent="0.2">
      <c r="A30" s="5965"/>
      <c r="B30" s="5968"/>
      <c r="C30" s="1978" t="s">
        <v>465</v>
      </c>
      <c r="D30" s="1972"/>
      <c r="E30" s="1972"/>
      <c r="F30" s="1972"/>
      <c r="G30" s="1972"/>
      <c r="H30" s="1973">
        <v>15</v>
      </c>
      <c r="I30" s="1973">
        <v>13</v>
      </c>
      <c r="J30" s="1973">
        <v>14</v>
      </c>
      <c r="K30" s="1973">
        <v>8</v>
      </c>
      <c r="L30" s="1973">
        <v>9</v>
      </c>
      <c r="M30" s="1973">
        <v>10</v>
      </c>
      <c r="N30" s="1973">
        <v>15</v>
      </c>
      <c r="O30" s="1973">
        <v>18</v>
      </c>
      <c r="P30" s="1973">
        <v>22</v>
      </c>
      <c r="Q30" s="1973">
        <v>14</v>
      </c>
      <c r="R30" s="1973">
        <v>13</v>
      </c>
      <c r="S30" s="1974">
        <v>9</v>
      </c>
      <c r="T30" s="1974">
        <v>10</v>
      </c>
      <c r="U30" s="1974">
        <v>17</v>
      </c>
      <c r="V30" s="1974">
        <v>16</v>
      </c>
      <c r="W30" s="1974">
        <v>21</v>
      </c>
      <c r="X30" s="1974">
        <v>23</v>
      </c>
      <c r="Y30" s="1974">
        <v>20</v>
      </c>
      <c r="Z30" s="1974">
        <v>17</v>
      </c>
    </row>
    <row r="31" spans="1:26" ht="15" x14ac:dyDescent="0.2">
      <c r="A31" s="5965"/>
      <c r="B31" s="5968"/>
      <c r="C31" s="1978" t="s">
        <v>466</v>
      </c>
      <c r="D31" s="1972"/>
      <c r="E31" s="1972"/>
      <c r="F31" s="1972"/>
      <c r="G31" s="1972"/>
      <c r="H31" s="1973">
        <v>4</v>
      </c>
      <c r="I31" s="1973">
        <v>6</v>
      </c>
      <c r="J31" s="1973">
        <v>8</v>
      </c>
      <c r="K31" s="1973">
        <v>6</v>
      </c>
      <c r="L31" s="1973">
        <v>5</v>
      </c>
      <c r="M31" s="1973">
        <v>10</v>
      </c>
      <c r="N31" s="1973">
        <v>11</v>
      </c>
      <c r="O31" s="1973">
        <v>12</v>
      </c>
      <c r="P31" s="1973">
        <v>8</v>
      </c>
      <c r="Q31" s="1973">
        <v>11</v>
      </c>
      <c r="R31" s="1973">
        <v>5</v>
      </c>
      <c r="S31" s="1974">
        <v>7</v>
      </c>
      <c r="T31" s="1974">
        <v>13</v>
      </c>
      <c r="U31" s="1974">
        <v>12</v>
      </c>
      <c r="V31" s="1974">
        <v>7</v>
      </c>
      <c r="W31" s="1974">
        <v>17</v>
      </c>
      <c r="X31" s="1974">
        <v>14</v>
      </c>
      <c r="Y31" s="1974">
        <v>26</v>
      </c>
      <c r="Z31" s="1974">
        <v>24</v>
      </c>
    </row>
    <row r="32" spans="1:26" ht="15" x14ac:dyDescent="0.2">
      <c r="A32" s="5965"/>
      <c r="B32" s="5968"/>
      <c r="C32" s="1978" t="s">
        <v>454</v>
      </c>
      <c r="D32" s="1972"/>
      <c r="E32" s="1972"/>
      <c r="F32" s="1972"/>
      <c r="G32" s="1972"/>
      <c r="H32" s="1973">
        <v>57</v>
      </c>
      <c r="I32" s="1973">
        <v>54</v>
      </c>
      <c r="J32" s="1973">
        <v>59</v>
      </c>
      <c r="K32" s="1973">
        <v>69</v>
      </c>
      <c r="L32" s="1973">
        <v>65</v>
      </c>
      <c r="M32" s="1973">
        <v>66</v>
      </c>
      <c r="N32" s="1973">
        <v>49</v>
      </c>
      <c r="O32" s="1973">
        <v>46</v>
      </c>
      <c r="P32" s="1973">
        <v>45</v>
      </c>
      <c r="Q32" s="1973">
        <v>50</v>
      </c>
      <c r="R32" s="1973">
        <v>36</v>
      </c>
      <c r="S32" s="1974">
        <v>48</v>
      </c>
      <c r="T32" s="1974">
        <v>38</v>
      </c>
      <c r="U32" s="1974">
        <v>31</v>
      </c>
      <c r="V32" s="1974">
        <v>32</v>
      </c>
      <c r="W32" s="1974">
        <v>33</v>
      </c>
      <c r="X32" s="1974">
        <v>35</v>
      </c>
      <c r="Y32" s="1974">
        <v>33</v>
      </c>
      <c r="Z32" s="1974">
        <v>30</v>
      </c>
    </row>
    <row r="33" spans="1:26" ht="14.25" customHeight="1" x14ac:dyDescent="0.2">
      <c r="A33" s="5965"/>
      <c r="B33" s="5968"/>
      <c r="C33" s="1978" t="s">
        <v>467</v>
      </c>
      <c r="D33" s="1972"/>
      <c r="E33" s="1972"/>
      <c r="F33" s="1972"/>
      <c r="G33" s="1972"/>
      <c r="H33" s="1973">
        <v>11</v>
      </c>
      <c r="I33" s="1973">
        <v>17</v>
      </c>
      <c r="J33" s="1973">
        <v>12</v>
      </c>
      <c r="K33" s="1973">
        <v>9</v>
      </c>
      <c r="L33" s="1973">
        <v>7</v>
      </c>
      <c r="M33" s="1973">
        <v>17</v>
      </c>
      <c r="N33" s="1973">
        <v>18</v>
      </c>
      <c r="O33" s="1973">
        <v>21</v>
      </c>
      <c r="P33" s="1973">
        <v>22</v>
      </c>
      <c r="Q33" s="1973">
        <v>13</v>
      </c>
      <c r="R33" s="1973">
        <v>7</v>
      </c>
      <c r="S33" s="1974">
        <v>12</v>
      </c>
      <c r="T33" s="1974">
        <v>16</v>
      </c>
      <c r="U33" s="1974">
        <v>17</v>
      </c>
      <c r="V33" s="1974">
        <v>18</v>
      </c>
      <c r="W33" s="1974">
        <v>38</v>
      </c>
      <c r="X33" s="1974">
        <v>18</v>
      </c>
      <c r="Y33" s="1974">
        <v>17</v>
      </c>
      <c r="Z33" s="1974">
        <v>21</v>
      </c>
    </row>
    <row r="34" spans="1:26" ht="14.25" customHeight="1" x14ac:dyDescent="0.2">
      <c r="A34" s="5965"/>
      <c r="B34" s="5968"/>
      <c r="C34" s="1978" t="s">
        <v>468</v>
      </c>
      <c r="D34" s="1972"/>
      <c r="E34" s="1972"/>
      <c r="F34" s="1972"/>
      <c r="G34" s="1972"/>
      <c r="H34" s="1973">
        <v>5</v>
      </c>
      <c r="I34" s="1973">
        <v>4</v>
      </c>
      <c r="J34" s="1973">
        <v>6</v>
      </c>
      <c r="K34" s="1973">
        <v>3</v>
      </c>
      <c r="L34" s="1973">
        <v>9</v>
      </c>
      <c r="M34" s="1973">
        <v>4</v>
      </c>
      <c r="N34" s="1973">
        <v>16</v>
      </c>
      <c r="O34" s="1973">
        <v>6</v>
      </c>
      <c r="P34" s="1973">
        <v>4</v>
      </c>
      <c r="Q34" s="1973">
        <v>2</v>
      </c>
      <c r="R34" s="1973">
        <v>8</v>
      </c>
      <c r="S34" s="1974">
        <v>7</v>
      </c>
      <c r="T34" s="1974">
        <v>5</v>
      </c>
      <c r="U34" s="1974">
        <v>12</v>
      </c>
      <c r="V34" s="1974">
        <v>10</v>
      </c>
      <c r="W34" s="1974">
        <v>11</v>
      </c>
      <c r="X34" s="1974">
        <v>9</v>
      </c>
      <c r="Y34" s="1974">
        <v>14</v>
      </c>
      <c r="Z34" s="1974">
        <v>13</v>
      </c>
    </row>
    <row r="35" spans="1:26" ht="14.25" customHeight="1" x14ac:dyDescent="0.2">
      <c r="A35" s="5965"/>
      <c r="B35" s="5968"/>
      <c r="C35" s="1978" t="s">
        <v>469</v>
      </c>
      <c r="D35" s="1972"/>
      <c r="E35" s="1972"/>
      <c r="F35" s="1972"/>
      <c r="G35" s="1972"/>
      <c r="H35" s="1973">
        <v>45</v>
      </c>
      <c r="I35" s="1973">
        <v>59</v>
      </c>
      <c r="J35" s="1973">
        <v>47</v>
      </c>
      <c r="K35" s="1973">
        <v>48</v>
      </c>
      <c r="L35" s="1973">
        <v>50</v>
      </c>
      <c r="M35" s="1973">
        <v>54</v>
      </c>
      <c r="N35" s="1973">
        <v>43</v>
      </c>
      <c r="O35" s="1973">
        <v>54</v>
      </c>
      <c r="P35" s="1973">
        <v>55</v>
      </c>
      <c r="Q35" s="1973">
        <v>36</v>
      </c>
      <c r="R35" s="1973">
        <v>35</v>
      </c>
      <c r="S35" s="1974">
        <v>36</v>
      </c>
      <c r="T35" s="1974">
        <v>54</v>
      </c>
      <c r="U35" s="1974">
        <v>50</v>
      </c>
      <c r="V35" s="1974">
        <v>42</v>
      </c>
      <c r="W35" s="1974">
        <v>42</v>
      </c>
      <c r="X35" s="1974">
        <v>24</v>
      </c>
      <c r="Y35" s="1974">
        <v>29</v>
      </c>
      <c r="Z35" s="1974">
        <v>29</v>
      </c>
    </row>
    <row r="36" spans="1:26" ht="14.25" customHeight="1" x14ac:dyDescent="0.2">
      <c r="A36" s="5965"/>
      <c r="B36" s="5969"/>
      <c r="C36" s="1975" t="s">
        <v>160</v>
      </c>
      <c r="D36" s="1976"/>
      <c r="E36" s="1976"/>
      <c r="F36" s="1976"/>
      <c r="G36" s="1976"/>
      <c r="H36" s="1977">
        <f t="shared" ref="H36:Q36" si="8">SUM(H27:H35)</f>
        <v>187</v>
      </c>
      <c r="I36" s="1977">
        <f t="shared" si="8"/>
        <v>201</v>
      </c>
      <c r="J36" s="1977">
        <f t="shared" si="8"/>
        <v>200</v>
      </c>
      <c r="K36" s="1977">
        <f t="shared" si="8"/>
        <v>195</v>
      </c>
      <c r="L36" s="1977">
        <f t="shared" si="8"/>
        <v>202</v>
      </c>
      <c r="M36" s="1977">
        <f t="shared" si="8"/>
        <v>227</v>
      </c>
      <c r="N36" s="1977">
        <f t="shared" si="8"/>
        <v>223</v>
      </c>
      <c r="O36" s="1977">
        <f t="shared" si="8"/>
        <v>234</v>
      </c>
      <c r="P36" s="1977">
        <f t="shared" si="8"/>
        <v>234</v>
      </c>
      <c r="Q36" s="1977">
        <f t="shared" si="8"/>
        <v>193</v>
      </c>
      <c r="R36" s="1977">
        <f t="shared" ref="R36:X36" si="9">SUM(R27:R35)</f>
        <v>153</v>
      </c>
      <c r="S36" s="1977">
        <f t="shared" si="9"/>
        <v>200</v>
      </c>
      <c r="T36" s="1977">
        <f t="shared" si="9"/>
        <v>201</v>
      </c>
      <c r="U36" s="1977">
        <f t="shared" si="9"/>
        <v>204</v>
      </c>
      <c r="V36" s="1977">
        <f t="shared" si="9"/>
        <v>174</v>
      </c>
      <c r="W36" s="1977">
        <f t="shared" si="9"/>
        <v>218</v>
      </c>
      <c r="X36" s="1977">
        <f t="shared" si="9"/>
        <v>183</v>
      </c>
      <c r="Y36" s="1977">
        <f>SUM(Y27:Y35)</f>
        <v>196</v>
      </c>
      <c r="Z36" s="1977">
        <f>SUM(Z27:Z35)</f>
        <v>192</v>
      </c>
    </row>
    <row r="37" spans="1:26" ht="15" x14ac:dyDescent="0.2">
      <c r="A37" s="5965"/>
      <c r="B37" s="5967" t="s">
        <v>6</v>
      </c>
      <c r="C37" s="1967" t="s">
        <v>456</v>
      </c>
      <c r="D37" s="1968"/>
      <c r="E37" s="1968"/>
      <c r="F37" s="1968"/>
      <c r="G37" s="1968"/>
      <c r="H37" s="1969">
        <v>119</v>
      </c>
      <c r="I37" s="1969">
        <v>129</v>
      </c>
      <c r="J37" s="1969">
        <v>115</v>
      </c>
      <c r="K37" s="1969">
        <v>133</v>
      </c>
      <c r="L37" s="1969">
        <v>135</v>
      </c>
      <c r="M37" s="1969">
        <v>131</v>
      </c>
      <c r="N37" s="1969">
        <v>139</v>
      </c>
      <c r="O37" s="1969">
        <v>154</v>
      </c>
      <c r="P37" s="1969">
        <v>124</v>
      </c>
      <c r="Q37" s="1969">
        <v>129</v>
      </c>
      <c r="R37" s="1969">
        <v>100</v>
      </c>
      <c r="S37" s="1970">
        <v>126</v>
      </c>
      <c r="T37" s="1970">
        <v>147</v>
      </c>
      <c r="U37" s="1970">
        <v>120</v>
      </c>
      <c r="V37" s="1970">
        <v>142</v>
      </c>
      <c r="W37" s="1970">
        <v>177</v>
      </c>
      <c r="X37" s="1970">
        <v>101</v>
      </c>
      <c r="Y37" s="1970">
        <v>157</v>
      </c>
      <c r="Z37" s="1970">
        <v>74</v>
      </c>
    </row>
    <row r="38" spans="1:26" ht="14.25" customHeight="1" x14ac:dyDescent="0.2">
      <c r="A38" s="5965"/>
      <c r="B38" s="5968"/>
      <c r="C38" s="1971" t="s">
        <v>470</v>
      </c>
      <c r="D38" s="1972"/>
      <c r="E38" s="1972"/>
      <c r="F38" s="1972"/>
      <c r="G38" s="1972"/>
      <c r="H38" s="1973">
        <v>32</v>
      </c>
      <c r="I38" s="1973">
        <v>37</v>
      </c>
      <c r="J38" s="1973">
        <v>30</v>
      </c>
      <c r="K38" s="1973">
        <v>26</v>
      </c>
      <c r="L38" s="1973">
        <v>40</v>
      </c>
      <c r="M38" s="1973">
        <v>48</v>
      </c>
      <c r="N38" s="1973">
        <v>29</v>
      </c>
      <c r="O38" s="1973">
        <v>19</v>
      </c>
      <c r="P38" s="1973">
        <v>28</v>
      </c>
      <c r="Q38" s="1973">
        <v>17</v>
      </c>
      <c r="R38" s="1973">
        <v>24</v>
      </c>
      <c r="S38" s="1974">
        <v>18</v>
      </c>
      <c r="T38" s="1974">
        <v>30</v>
      </c>
      <c r="U38" s="1974">
        <v>24</v>
      </c>
      <c r="V38" s="1974">
        <v>36</v>
      </c>
      <c r="W38" s="1974">
        <v>41</v>
      </c>
      <c r="X38" s="1974">
        <v>29</v>
      </c>
      <c r="Y38" s="1974">
        <v>27</v>
      </c>
      <c r="Z38" s="1974">
        <v>30</v>
      </c>
    </row>
    <row r="39" spans="1:26" ht="14.25" customHeight="1" x14ac:dyDescent="0.2">
      <c r="A39" s="5965"/>
      <c r="B39" s="5968"/>
      <c r="C39" s="1971" t="s">
        <v>471</v>
      </c>
      <c r="D39" s="1972"/>
      <c r="E39" s="1972"/>
      <c r="F39" s="1972"/>
      <c r="G39" s="1972"/>
      <c r="H39" s="1973">
        <v>15</v>
      </c>
      <c r="I39" s="1973">
        <v>13</v>
      </c>
      <c r="J39" s="1973">
        <v>25</v>
      </c>
      <c r="K39" s="1973">
        <v>16</v>
      </c>
      <c r="L39" s="1973">
        <v>21</v>
      </c>
      <c r="M39" s="1973">
        <v>21</v>
      </c>
      <c r="N39" s="1973">
        <v>28</v>
      </c>
      <c r="O39" s="1973">
        <v>33</v>
      </c>
      <c r="P39" s="1973">
        <v>28</v>
      </c>
      <c r="Q39" s="1973">
        <v>18</v>
      </c>
      <c r="R39" s="1973">
        <v>23</v>
      </c>
      <c r="S39" s="1974">
        <v>31</v>
      </c>
      <c r="T39" s="1974">
        <v>33</v>
      </c>
      <c r="U39" s="1974">
        <v>35</v>
      </c>
      <c r="V39" s="1974">
        <v>31</v>
      </c>
      <c r="W39" s="1974">
        <v>38</v>
      </c>
      <c r="X39" s="1974">
        <v>25</v>
      </c>
      <c r="Y39" s="1974">
        <v>26</v>
      </c>
      <c r="Z39" s="1974">
        <v>14</v>
      </c>
    </row>
    <row r="40" spans="1:26" ht="14.25" customHeight="1" x14ac:dyDescent="0.2">
      <c r="A40" s="5965"/>
      <c r="B40" s="5968"/>
      <c r="C40" s="1971" t="s">
        <v>472</v>
      </c>
      <c r="D40" s="1972"/>
      <c r="E40" s="1972"/>
      <c r="F40" s="1972"/>
      <c r="G40" s="1972"/>
      <c r="H40" s="1973">
        <v>14</v>
      </c>
      <c r="I40" s="1973">
        <v>16</v>
      </c>
      <c r="J40" s="1973">
        <v>22</v>
      </c>
      <c r="K40" s="1973">
        <v>20</v>
      </c>
      <c r="L40" s="1973">
        <v>17</v>
      </c>
      <c r="M40" s="1973">
        <v>15</v>
      </c>
      <c r="N40" s="1973">
        <v>20</v>
      </c>
      <c r="O40" s="1973">
        <v>25</v>
      </c>
      <c r="P40" s="1973">
        <v>36</v>
      </c>
      <c r="Q40" s="1973">
        <v>26</v>
      </c>
      <c r="R40" s="1973">
        <v>21</v>
      </c>
      <c r="S40" s="1974">
        <v>36</v>
      </c>
      <c r="T40" s="1974">
        <v>49</v>
      </c>
      <c r="U40" s="1974">
        <v>32</v>
      </c>
      <c r="V40" s="1974">
        <v>41</v>
      </c>
      <c r="W40" s="1974">
        <v>37</v>
      </c>
      <c r="X40" s="1974">
        <v>26</v>
      </c>
      <c r="Y40" s="1974">
        <v>40</v>
      </c>
      <c r="Z40" s="1974">
        <v>26</v>
      </c>
    </row>
    <row r="41" spans="1:26" ht="14.25" customHeight="1" x14ac:dyDescent="0.2">
      <c r="A41" s="5965"/>
      <c r="B41" s="5968"/>
      <c r="C41" s="1971" t="s">
        <v>458</v>
      </c>
      <c r="D41" s="1972"/>
      <c r="E41" s="1972"/>
      <c r="F41" s="1972"/>
      <c r="G41" s="1972"/>
      <c r="H41" s="1973">
        <v>56</v>
      </c>
      <c r="I41" s="1973">
        <v>65</v>
      </c>
      <c r="J41" s="1973">
        <v>61</v>
      </c>
      <c r="K41" s="1973">
        <v>40</v>
      </c>
      <c r="L41" s="1973">
        <v>47</v>
      </c>
      <c r="M41" s="1973">
        <v>45</v>
      </c>
      <c r="N41" s="1973">
        <v>39</v>
      </c>
      <c r="O41" s="1973">
        <v>39</v>
      </c>
      <c r="P41" s="1973">
        <v>47</v>
      </c>
      <c r="Q41" s="1973">
        <v>50</v>
      </c>
      <c r="R41" s="1973">
        <v>58</v>
      </c>
      <c r="S41" s="1974">
        <v>51</v>
      </c>
      <c r="T41" s="1974">
        <v>46</v>
      </c>
      <c r="U41" s="1974">
        <v>32</v>
      </c>
      <c r="V41" s="1974">
        <v>53</v>
      </c>
      <c r="W41" s="1974">
        <v>56</v>
      </c>
      <c r="X41" s="1974">
        <v>39</v>
      </c>
      <c r="Y41" s="1974">
        <v>56</v>
      </c>
      <c r="Z41" s="1974">
        <v>31</v>
      </c>
    </row>
    <row r="42" spans="1:26" ht="14.25" customHeight="1" x14ac:dyDescent="0.2">
      <c r="A42" s="5965"/>
      <c r="B42" s="5968"/>
      <c r="C42" s="1971" t="s">
        <v>459</v>
      </c>
      <c r="D42" s="1972"/>
      <c r="E42" s="1972"/>
      <c r="F42" s="1972"/>
      <c r="G42" s="1972"/>
      <c r="H42" s="1973">
        <v>30</v>
      </c>
      <c r="I42" s="1973">
        <v>43</v>
      </c>
      <c r="J42" s="1973">
        <v>67</v>
      </c>
      <c r="K42" s="1973">
        <v>63</v>
      </c>
      <c r="L42" s="1973">
        <v>57</v>
      </c>
      <c r="M42" s="1973">
        <v>53</v>
      </c>
      <c r="N42" s="1973">
        <v>48</v>
      </c>
      <c r="O42" s="1973">
        <v>36</v>
      </c>
      <c r="P42" s="1973">
        <v>46</v>
      </c>
      <c r="Q42" s="1973">
        <v>44</v>
      </c>
      <c r="R42" s="1973">
        <v>31</v>
      </c>
      <c r="S42" s="1974">
        <v>44</v>
      </c>
      <c r="T42" s="1974">
        <v>33</v>
      </c>
      <c r="U42" s="1974">
        <v>40</v>
      </c>
      <c r="V42" s="1974">
        <v>32</v>
      </c>
      <c r="W42" s="1974">
        <v>31</v>
      </c>
      <c r="X42" s="1974">
        <v>45</v>
      </c>
      <c r="Y42" s="1974">
        <v>51</v>
      </c>
      <c r="Z42" s="1974">
        <v>28</v>
      </c>
    </row>
    <row r="43" spans="1:26" ht="14.25" customHeight="1" x14ac:dyDescent="0.2">
      <c r="A43" s="5965"/>
      <c r="B43" s="5968"/>
      <c r="C43" s="1971" t="s">
        <v>473</v>
      </c>
      <c r="D43" s="1972"/>
      <c r="E43" s="1972"/>
      <c r="F43" s="1972"/>
      <c r="G43" s="1972"/>
      <c r="H43" s="1973">
        <v>12</v>
      </c>
      <c r="I43" s="1973">
        <v>31</v>
      </c>
      <c r="J43" s="1973">
        <v>24</v>
      </c>
      <c r="K43" s="1973">
        <v>31</v>
      </c>
      <c r="L43" s="1973">
        <v>34</v>
      </c>
      <c r="M43" s="1973">
        <v>38</v>
      </c>
      <c r="N43" s="1973">
        <v>45</v>
      </c>
      <c r="O43" s="1973">
        <v>32</v>
      </c>
      <c r="P43" s="1973">
        <v>35</v>
      </c>
      <c r="Q43" s="1973">
        <v>34</v>
      </c>
      <c r="R43" s="1973">
        <v>31</v>
      </c>
      <c r="S43" s="1974">
        <v>53</v>
      </c>
      <c r="T43" s="1974">
        <v>28</v>
      </c>
      <c r="U43" s="1974">
        <v>33</v>
      </c>
      <c r="V43" s="1974">
        <v>26</v>
      </c>
      <c r="W43" s="1974">
        <v>30</v>
      </c>
      <c r="X43" s="1974">
        <v>36</v>
      </c>
      <c r="Y43" s="1974">
        <v>38</v>
      </c>
      <c r="Z43" s="1974">
        <v>30</v>
      </c>
    </row>
    <row r="44" spans="1:26" ht="15" x14ac:dyDescent="0.2">
      <c r="A44" s="5965"/>
      <c r="B44" s="5968"/>
      <c r="C44" s="1971" t="s">
        <v>474</v>
      </c>
      <c r="D44" s="1972"/>
      <c r="E44" s="1972"/>
      <c r="F44" s="1972"/>
      <c r="G44" s="1972"/>
      <c r="H44" s="1973">
        <v>7</v>
      </c>
      <c r="I44" s="1973">
        <v>4</v>
      </c>
      <c r="J44" s="1973">
        <v>3</v>
      </c>
      <c r="K44" s="1973">
        <v>9</v>
      </c>
      <c r="L44" s="1973">
        <v>6</v>
      </c>
      <c r="M44" s="1973">
        <v>13</v>
      </c>
      <c r="N44" s="1973">
        <v>13</v>
      </c>
      <c r="O44" s="1973">
        <v>6</v>
      </c>
      <c r="P44" s="1973">
        <v>8</v>
      </c>
      <c r="Q44" s="1973">
        <v>20</v>
      </c>
      <c r="R44" s="1973">
        <v>9</v>
      </c>
      <c r="S44" s="1974">
        <v>15</v>
      </c>
      <c r="T44" s="1974">
        <v>8</v>
      </c>
      <c r="U44" s="1974">
        <v>12</v>
      </c>
      <c r="V44" s="1974">
        <v>10</v>
      </c>
      <c r="W44" s="1974">
        <v>21</v>
      </c>
      <c r="X44" s="1974">
        <v>9</v>
      </c>
      <c r="Y44" s="1974">
        <v>22</v>
      </c>
      <c r="Z44" s="1974">
        <v>14</v>
      </c>
    </row>
    <row r="45" spans="1:26" ht="15" x14ac:dyDescent="0.2">
      <c r="A45" s="5965"/>
      <c r="B45" s="5968"/>
      <c r="C45" s="1971" t="s">
        <v>475</v>
      </c>
      <c r="D45" s="1972"/>
      <c r="E45" s="1972"/>
      <c r="F45" s="1972"/>
      <c r="G45" s="1972"/>
      <c r="H45" s="1973">
        <v>56</v>
      </c>
      <c r="I45" s="1973">
        <v>72</v>
      </c>
      <c r="J45" s="1973">
        <v>55</v>
      </c>
      <c r="K45" s="1973">
        <v>40</v>
      </c>
      <c r="L45" s="1973">
        <v>82</v>
      </c>
      <c r="M45" s="1973">
        <v>62</v>
      </c>
      <c r="N45" s="1973">
        <v>63</v>
      </c>
      <c r="O45" s="1973">
        <v>57</v>
      </c>
      <c r="P45" s="1973">
        <v>48</v>
      </c>
      <c r="Q45" s="1973">
        <v>41</v>
      </c>
      <c r="R45" s="1973">
        <v>28</v>
      </c>
      <c r="S45" s="1974">
        <v>48</v>
      </c>
      <c r="T45" s="1974">
        <v>44</v>
      </c>
      <c r="U45" s="1974">
        <v>47</v>
      </c>
      <c r="V45" s="1974">
        <v>64</v>
      </c>
      <c r="W45" s="1974">
        <v>59</v>
      </c>
      <c r="X45" s="1974">
        <v>48</v>
      </c>
      <c r="Y45" s="1974">
        <v>52</v>
      </c>
      <c r="Z45" s="1974">
        <v>39</v>
      </c>
    </row>
    <row r="46" spans="1:26" ht="15" x14ac:dyDescent="0.2">
      <c r="A46" s="5965"/>
      <c r="B46" s="5968"/>
      <c r="C46" s="1971" t="s">
        <v>476</v>
      </c>
      <c r="D46" s="1972"/>
      <c r="E46" s="1972"/>
      <c r="F46" s="1972"/>
      <c r="G46" s="1972"/>
      <c r="H46" s="1973">
        <v>76</v>
      </c>
      <c r="I46" s="1973">
        <v>67</v>
      </c>
      <c r="J46" s="1973">
        <v>63</v>
      </c>
      <c r="K46" s="1973">
        <v>92</v>
      </c>
      <c r="L46" s="1973">
        <v>70</v>
      </c>
      <c r="M46" s="1973">
        <v>73</v>
      </c>
      <c r="N46" s="1973">
        <v>92</v>
      </c>
      <c r="O46" s="1973">
        <v>65</v>
      </c>
      <c r="P46" s="1973">
        <v>90</v>
      </c>
      <c r="Q46" s="1973">
        <v>102</v>
      </c>
      <c r="R46" s="1973">
        <v>92</v>
      </c>
      <c r="S46" s="1974">
        <v>116</v>
      </c>
      <c r="T46" s="1974">
        <v>107</v>
      </c>
      <c r="U46" s="1974">
        <v>134</v>
      </c>
      <c r="V46" s="1974">
        <v>99</v>
      </c>
      <c r="W46" s="1974">
        <v>125</v>
      </c>
      <c r="X46" s="1974">
        <v>86</v>
      </c>
      <c r="Y46" s="1974">
        <v>84</v>
      </c>
      <c r="Z46" s="1974">
        <v>76</v>
      </c>
    </row>
    <row r="47" spans="1:26" ht="15" x14ac:dyDescent="0.2">
      <c r="A47" s="5965"/>
      <c r="B47" s="5968"/>
      <c r="C47" s="5233" t="s">
        <v>496</v>
      </c>
      <c r="D47" s="1979"/>
      <c r="E47" s="1979"/>
      <c r="F47" s="1979"/>
      <c r="G47" s="1979"/>
      <c r="H47" s="1973"/>
      <c r="I47" s="1973">
        <v>1</v>
      </c>
      <c r="J47" s="1973"/>
      <c r="K47" s="1973"/>
      <c r="L47" s="1973"/>
      <c r="M47" s="1973">
        <v>1</v>
      </c>
      <c r="N47" s="1973"/>
      <c r="O47" s="1973"/>
      <c r="P47" s="1973">
        <v>1</v>
      </c>
      <c r="Q47" s="1973">
        <v>1</v>
      </c>
      <c r="R47" s="1973"/>
      <c r="S47" s="1974">
        <v>1</v>
      </c>
      <c r="T47" s="1974">
        <v>1</v>
      </c>
      <c r="U47" s="1974"/>
      <c r="V47" s="1974"/>
      <c r="W47" s="1974"/>
      <c r="X47" s="1974"/>
      <c r="Y47" s="1974"/>
      <c r="Z47" s="1974"/>
    </row>
    <row r="48" spans="1:26" ht="15" x14ac:dyDescent="0.2">
      <c r="A48" s="5965"/>
      <c r="B48" s="5968"/>
      <c r="C48" s="1971" t="s">
        <v>477</v>
      </c>
      <c r="D48" s="1972"/>
      <c r="E48" s="1972"/>
      <c r="F48" s="1972"/>
      <c r="G48" s="1972"/>
      <c r="H48" s="1973"/>
      <c r="I48" s="1973"/>
      <c r="J48" s="1973"/>
      <c r="K48" s="1973"/>
      <c r="L48" s="1973"/>
      <c r="M48" s="1973"/>
      <c r="N48" s="1973"/>
      <c r="O48" s="1973"/>
      <c r="P48" s="1973">
        <v>4</v>
      </c>
      <c r="Q48" s="1973">
        <v>5</v>
      </c>
      <c r="R48" s="1973">
        <v>10</v>
      </c>
      <c r="S48" s="1974">
        <v>6</v>
      </c>
      <c r="T48" s="1974">
        <v>5</v>
      </c>
      <c r="U48" s="1974">
        <v>4</v>
      </c>
      <c r="V48" s="1974">
        <v>4</v>
      </c>
      <c r="W48" s="1974">
        <v>9</v>
      </c>
      <c r="X48" s="1974">
        <v>4</v>
      </c>
      <c r="Y48" s="1974">
        <v>17</v>
      </c>
      <c r="Z48" s="1974">
        <v>10</v>
      </c>
    </row>
    <row r="49" spans="1:26" ht="15" x14ac:dyDescent="0.2">
      <c r="A49" s="5965"/>
      <c r="B49" s="5969"/>
      <c r="C49" s="1975" t="s">
        <v>160</v>
      </c>
      <c r="D49" s="1976"/>
      <c r="E49" s="1976"/>
      <c r="F49" s="1976"/>
      <c r="G49" s="1976"/>
      <c r="H49" s="1977">
        <f t="shared" ref="H49:Q49" si="10">SUM(H37:H48)</f>
        <v>417</v>
      </c>
      <c r="I49" s="1977">
        <f t="shared" si="10"/>
        <v>478</v>
      </c>
      <c r="J49" s="1977">
        <f t="shared" si="10"/>
        <v>465</v>
      </c>
      <c r="K49" s="1977">
        <f t="shared" si="10"/>
        <v>470</v>
      </c>
      <c r="L49" s="1977">
        <f t="shared" si="10"/>
        <v>509</v>
      </c>
      <c r="M49" s="1977">
        <f t="shared" si="10"/>
        <v>500</v>
      </c>
      <c r="N49" s="1977">
        <f t="shared" si="10"/>
        <v>516</v>
      </c>
      <c r="O49" s="1977">
        <f t="shared" si="10"/>
        <v>466</v>
      </c>
      <c r="P49" s="1977">
        <f t="shared" si="10"/>
        <v>495</v>
      </c>
      <c r="Q49" s="1977">
        <f t="shared" si="10"/>
        <v>487</v>
      </c>
      <c r="R49" s="1977">
        <f t="shared" ref="R49:X49" si="11">SUM(R37:R48)</f>
        <v>427</v>
      </c>
      <c r="S49" s="1977">
        <f t="shared" si="11"/>
        <v>545</v>
      </c>
      <c r="T49" s="1977">
        <f t="shared" si="11"/>
        <v>531</v>
      </c>
      <c r="U49" s="1977">
        <f t="shared" si="11"/>
        <v>513</v>
      </c>
      <c r="V49" s="1977">
        <f t="shared" si="11"/>
        <v>538</v>
      </c>
      <c r="W49" s="1977">
        <f t="shared" si="11"/>
        <v>624</v>
      </c>
      <c r="X49" s="1977">
        <f t="shared" si="11"/>
        <v>448</v>
      </c>
      <c r="Y49" s="1977">
        <f>SUM(Y37:Y48)</f>
        <v>570</v>
      </c>
      <c r="Z49" s="1977">
        <f>SUM(Z37:Z48)</f>
        <v>372</v>
      </c>
    </row>
    <row r="50" spans="1:26" ht="15" x14ac:dyDescent="0.2">
      <c r="A50" s="5965"/>
      <c r="B50" s="5967" t="s">
        <v>11</v>
      </c>
      <c r="C50" s="1978" t="s">
        <v>478</v>
      </c>
      <c r="D50" s="1972"/>
      <c r="E50" s="1972"/>
      <c r="F50" s="1972"/>
      <c r="G50" s="1972"/>
      <c r="H50" s="1973">
        <v>27</v>
      </c>
      <c r="I50" s="1973">
        <v>25</v>
      </c>
      <c r="J50" s="1973">
        <v>40</v>
      </c>
      <c r="K50" s="1973">
        <v>35</v>
      </c>
      <c r="L50" s="1973">
        <v>52</v>
      </c>
      <c r="M50" s="1973">
        <v>61</v>
      </c>
      <c r="N50" s="1973">
        <v>53</v>
      </c>
      <c r="O50" s="1973">
        <v>58</v>
      </c>
      <c r="P50" s="1973">
        <v>51</v>
      </c>
      <c r="Q50" s="1973">
        <v>42</v>
      </c>
      <c r="R50" s="1973">
        <v>61</v>
      </c>
      <c r="S50" s="1974">
        <v>50</v>
      </c>
      <c r="T50" s="1974">
        <v>59</v>
      </c>
      <c r="U50" s="1974">
        <v>56</v>
      </c>
      <c r="V50" s="1974">
        <v>56</v>
      </c>
      <c r="W50" s="1974">
        <v>94</v>
      </c>
      <c r="X50" s="1974">
        <v>50</v>
      </c>
      <c r="Y50" s="1974">
        <v>78</v>
      </c>
      <c r="Z50" s="1974">
        <v>76</v>
      </c>
    </row>
    <row r="51" spans="1:26" ht="15" x14ac:dyDescent="0.2">
      <c r="A51" s="5965"/>
      <c r="B51" s="5968"/>
      <c r="C51" s="1978" t="s">
        <v>479</v>
      </c>
      <c r="D51" s="1972"/>
      <c r="E51" s="1972"/>
      <c r="F51" s="1972"/>
      <c r="G51" s="1972"/>
      <c r="H51" s="1973">
        <v>16</v>
      </c>
      <c r="I51" s="1973">
        <v>14</v>
      </c>
      <c r="J51" s="1973">
        <v>21</v>
      </c>
      <c r="K51" s="1973">
        <v>25</v>
      </c>
      <c r="L51" s="1973">
        <v>50</v>
      </c>
      <c r="M51" s="1973">
        <v>43</v>
      </c>
      <c r="N51" s="1973">
        <v>45</v>
      </c>
      <c r="O51" s="1973">
        <v>54</v>
      </c>
      <c r="P51" s="1973">
        <v>56</v>
      </c>
      <c r="Q51" s="1973">
        <v>62</v>
      </c>
      <c r="R51" s="1973">
        <v>54</v>
      </c>
      <c r="S51" s="1974">
        <v>54</v>
      </c>
      <c r="T51" s="1974">
        <v>50</v>
      </c>
      <c r="U51" s="1974">
        <v>49</v>
      </c>
      <c r="V51" s="1974">
        <v>41</v>
      </c>
      <c r="W51" s="1974">
        <v>59</v>
      </c>
      <c r="X51" s="1974">
        <v>37</v>
      </c>
      <c r="Y51" s="1974">
        <v>66</v>
      </c>
      <c r="Z51" s="1974">
        <v>35</v>
      </c>
    </row>
    <row r="52" spans="1:26" ht="15" x14ac:dyDescent="0.2">
      <c r="A52" s="5965"/>
      <c r="B52" s="5968"/>
      <c r="C52" s="1978" t="s">
        <v>480</v>
      </c>
      <c r="D52" s="1972"/>
      <c r="E52" s="1972"/>
      <c r="F52" s="1972"/>
      <c r="G52" s="1972"/>
      <c r="H52" s="1973">
        <v>15</v>
      </c>
      <c r="I52" s="1973">
        <v>16</v>
      </c>
      <c r="J52" s="1973">
        <v>20</v>
      </c>
      <c r="K52" s="1973">
        <v>15</v>
      </c>
      <c r="L52" s="1973">
        <v>13</v>
      </c>
      <c r="M52" s="1973">
        <v>17</v>
      </c>
      <c r="N52" s="1973">
        <v>21</v>
      </c>
      <c r="O52" s="1973">
        <v>30</v>
      </c>
      <c r="P52" s="1973">
        <v>28</v>
      </c>
      <c r="Q52" s="1973">
        <v>18</v>
      </c>
      <c r="R52" s="1973">
        <v>22</v>
      </c>
      <c r="S52" s="1974">
        <v>22</v>
      </c>
      <c r="T52" s="1974">
        <v>21</v>
      </c>
      <c r="U52" s="1974">
        <v>24</v>
      </c>
      <c r="V52" s="1974">
        <v>25</v>
      </c>
      <c r="W52" s="1974">
        <v>30</v>
      </c>
      <c r="X52" s="1974">
        <v>24</v>
      </c>
      <c r="Y52" s="1974">
        <v>36</v>
      </c>
      <c r="Z52" s="1974">
        <v>27</v>
      </c>
    </row>
    <row r="53" spans="1:26" ht="15" x14ac:dyDescent="0.2">
      <c r="A53" s="5965"/>
      <c r="B53" s="5968"/>
      <c r="C53" s="1978" t="s">
        <v>481</v>
      </c>
      <c r="D53" s="1972"/>
      <c r="E53" s="1972"/>
      <c r="F53" s="1972"/>
      <c r="G53" s="1972"/>
      <c r="H53" s="1973">
        <v>9</v>
      </c>
      <c r="I53" s="1973">
        <v>5</v>
      </c>
      <c r="J53" s="1973">
        <v>9</v>
      </c>
      <c r="K53" s="1973">
        <v>9</v>
      </c>
      <c r="L53" s="1973">
        <v>16</v>
      </c>
      <c r="M53" s="1973">
        <v>14</v>
      </c>
      <c r="N53" s="1973">
        <v>7</v>
      </c>
      <c r="O53" s="1973">
        <v>17</v>
      </c>
      <c r="P53" s="1973">
        <v>4</v>
      </c>
      <c r="Q53" s="1973">
        <v>7</v>
      </c>
      <c r="R53" s="1973">
        <v>5</v>
      </c>
      <c r="S53" s="1974">
        <v>10</v>
      </c>
      <c r="T53" s="1974">
        <v>9</v>
      </c>
      <c r="U53" s="1974">
        <v>8</v>
      </c>
      <c r="V53" s="1974">
        <v>12</v>
      </c>
      <c r="W53" s="1974">
        <v>10</v>
      </c>
      <c r="X53" s="1974">
        <v>10</v>
      </c>
      <c r="Y53" s="1974">
        <v>20</v>
      </c>
      <c r="Z53" s="1974">
        <v>12</v>
      </c>
    </row>
    <row r="54" spans="1:26" ht="15" x14ac:dyDescent="0.2">
      <c r="A54" s="5965"/>
      <c r="B54" s="5968"/>
      <c r="C54" s="1978" t="s">
        <v>482</v>
      </c>
      <c r="D54" s="1972"/>
      <c r="E54" s="1972"/>
      <c r="F54" s="1972"/>
      <c r="G54" s="1972"/>
      <c r="H54" s="1973">
        <v>55</v>
      </c>
      <c r="I54" s="1973">
        <v>36</v>
      </c>
      <c r="J54" s="1973">
        <v>54</v>
      </c>
      <c r="K54" s="1973">
        <v>56</v>
      </c>
      <c r="L54" s="1973">
        <v>63</v>
      </c>
      <c r="M54" s="1973">
        <v>89</v>
      </c>
      <c r="N54" s="1973">
        <v>97</v>
      </c>
      <c r="O54" s="1973">
        <v>90</v>
      </c>
      <c r="P54" s="1973">
        <v>91</v>
      </c>
      <c r="Q54" s="1973">
        <v>49</v>
      </c>
      <c r="R54" s="1973">
        <v>66</v>
      </c>
      <c r="S54" s="1974">
        <v>59</v>
      </c>
      <c r="T54" s="1974">
        <v>82</v>
      </c>
      <c r="U54" s="1974">
        <v>52</v>
      </c>
      <c r="V54" s="1974">
        <v>60</v>
      </c>
      <c r="W54" s="1974">
        <v>92</v>
      </c>
      <c r="X54" s="1974">
        <v>62</v>
      </c>
      <c r="Y54" s="1974">
        <v>73</v>
      </c>
      <c r="Z54" s="1974">
        <v>57</v>
      </c>
    </row>
    <row r="55" spans="1:26" ht="15" x14ac:dyDescent="0.2">
      <c r="A55" s="5965"/>
      <c r="B55" s="5968"/>
      <c r="C55" s="1978" t="s">
        <v>483</v>
      </c>
      <c r="D55" s="1972"/>
      <c r="E55" s="1972"/>
      <c r="F55" s="1972"/>
      <c r="G55" s="1972"/>
      <c r="H55" s="1973">
        <v>65</v>
      </c>
      <c r="I55" s="1973">
        <v>46</v>
      </c>
      <c r="J55" s="1973">
        <v>56</v>
      </c>
      <c r="K55" s="1973">
        <v>51</v>
      </c>
      <c r="L55" s="1973">
        <v>67</v>
      </c>
      <c r="M55" s="1973">
        <v>86</v>
      </c>
      <c r="N55" s="1973">
        <v>100</v>
      </c>
      <c r="O55" s="1973">
        <v>87</v>
      </c>
      <c r="P55" s="1973">
        <v>97</v>
      </c>
      <c r="Q55" s="1973">
        <v>72</v>
      </c>
      <c r="R55" s="1973">
        <v>82</v>
      </c>
      <c r="S55" s="1974">
        <v>64</v>
      </c>
      <c r="T55" s="1974">
        <v>72</v>
      </c>
      <c r="U55" s="1974">
        <v>60</v>
      </c>
      <c r="V55" s="1974">
        <v>59</v>
      </c>
      <c r="W55" s="1974">
        <v>84</v>
      </c>
      <c r="X55" s="1974">
        <v>60</v>
      </c>
      <c r="Y55" s="1974">
        <v>78</v>
      </c>
      <c r="Z55" s="1974">
        <v>56</v>
      </c>
    </row>
    <row r="56" spans="1:26" ht="15" x14ac:dyDescent="0.2">
      <c r="A56" s="5965"/>
      <c r="B56" s="5969"/>
      <c r="C56" s="1975" t="s">
        <v>160</v>
      </c>
      <c r="D56" s="1976"/>
      <c r="E56" s="1976"/>
      <c r="F56" s="1976"/>
      <c r="G56" s="1976"/>
      <c r="H56" s="1977">
        <f t="shared" ref="H56:Q56" si="12">SUM(H50:H55)</f>
        <v>187</v>
      </c>
      <c r="I56" s="1977">
        <f t="shared" si="12"/>
        <v>142</v>
      </c>
      <c r="J56" s="1977">
        <f t="shared" si="12"/>
        <v>200</v>
      </c>
      <c r="K56" s="1977">
        <f t="shared" si="12"/>
        <v>191</v>
      </c>
      <c r="L56" s="1977">
        <f t="shared" si="12"/>
        <v>261</v>
      </c>
      <c r="M56" s="1977">
        <f t="shared" si="12"/>
        <v>310</v>
      </c>
      <c r="N56" s="1977">
        <f t="shared" si="12"/>
        <v>323</v>
      </c>
      <c r="O56" s="1977">
        <f t="shared" si="12"/>
        <v>336</v>
      </c>
      <c r="P56" s="1977">
        <f t="shared" si="12"/>
        <v>327</v>
      </c>
      <c r="Q56" s="1977">
        <f t="shared" si="12"/>
        <v>250</v>
      </c>
      <c r="R56" s="1977">
        <f t="shared" ref="R56:X56" si="13">SUM(R50:R55)</f>
        <v>290</v>
      </c>
      <c r="S56" s="1977">
        <f t="shared" si="13"/>
        <v>259</v>
      </c>
      <c r="T56" s="1977">
        <f t="shared" si="13"/>
        <v>293</v>
      </c>
      <c r="U56" s="1977">
        <f t="shared" si="13"/>
        <v>249</v>
      </c>
      <c r="V56" s="1977">
        <f t="shared" si="13"/>
        <v>253</v>
      </c>
      <c r="W56" s="1977">
        <f t="shared" si="13"/>
        <v>369</v>
      </c>
      <c r="X56" s="1977">
        <f t="shared" si="13"/>
        <v>243</v>
      </c>
      <c r="Y56" s="1977">
        <f>SUM(Y50:Y55)</f>
        <v>351</v>
      </c>
      <c r="Z56" s="1977">
        <f>SUM(Z50:Z55)</f>
        <v>263</v>
      </c>
    </row>
    <row r="57" spans="1:26" ht="15" x14ac:dyDescent="0.2">
      <c r="A57" s="5966"/>
      <c r="B57" s="5505"/>
      <c r="C57" s="5506" t="s">
        <v>444</v>
      </c>
      <c r="D57" s="5507"/>
      <c r="E57" s="5507"/>
      <c r="F57" s="5507"/>
      <c r="G57" s="5507"/>
      <c r="H57" s="5508">
        <f t="shared" ref="H57:Q57" si="14">SUM(H56,H49,H36)</f>
        <v>791</v>
      </c>
      <c r="I57" s="5508">
        <f t="shared" si="14"/>
        <v>821</v>
      </c>
      <c r="J57" s="5508">
        <f t="shared" si="14"/>
        <v>865</v>
      </c>
      <c r="K57" s="5508">
        <f t="shared" si="14"/>
        <v>856</v>
      </c>
      <c r="L57" s="5508">
        <f t="shared" si="14"/>
        <v>972</v>
      </c>
      <c r="M57" s="5508">
        <f t="shared" si="14"/>
        <v>1037</v>
      </c>
      <c r="N57" s="5508">
        <f t="shared" si="14"/>
        <v>1062</v>
      </c>
      <c r="O57" s="5508">
        <f t="shared" si="14"/>
        <v>1036</v>
      </c>
      <c r="P57" s="5508">
        <f t="shared" si="14"/>
        <v>1056</v>
      </c>
      <c r="Q57" s="5508">
        <f t="shared" si="14"/>
        <v>930</v>
      </c>
      <c r="R57" s="5508">
        <f t="shared" ref="R57:X57" si="15">SUM(R56,R49,R36)</f>
        <v>870</v>
      </c>
      <c r="S57" s="5508">
        <f t="shared" si="15"/>
        <v>1004</v>
      </c>
      <c r="T57" s="5508">
        <f t="shared" si="15"/>
        <v>1025</v>
      </c>
      <c r="U57" s="5508">
        <f t="shared" si="15"/>
        <v>966</v>
      </c>
      <c r="V57" s="5508">
        <f t="shared" si="15"/>
        <v>965</v>
      </c>
      <c r="W57" s="5508">
        <f t="shared" si="15"/>
        <v>1211</v>
      </c>
      <c r="X57" s="5508">
        <f t="shared" si="15"/>
        <v>874</v>
      </c>
      <c r="Y57" s="5508">
        <f>SUM(Y56,Y49,Y36)</f>
        <v>1117</v>
      </c>
      <c r="Z57" s="5508">
        <f>SUM(Z56,Z49,Z36)</f>
        <v>827</v>
      </c>
    </row>
    <row r="58" spans="1:26" ht="15" x14ac:dyDescent="0.2">
      <c r="A58" s="5947" t="s">
        <v>442</v>
      </c>
      <c r="B58" s="5950" t="s">
        <v>6</v>
      </c>
      <c r="C58" s="1967" t="s">
        <v>456</v>
      </c>
      <c r="D58" s="1968"/>
      <c r="E58" s="1968"/>
      <c r="F58" s="1968"/>
      <c r="G58" s="1968"/>
      <c r="H58" s="1969">
        <v>126</v>
      </c>
      <c r="I58" s="1969">
        <v>137</v>
      </c>
      <c r="J58" s="1969">
        <v>101</v>
      </c>
      <c r="K58" s="1969">
        <v>104</v>
      </c>
      <c r="L58" s="1969">
        <v>123</v>
      </c>
      <c r="M58" s="1969">
        <v>104</v>
      </c>
      <c r="N58" s="1969">
        <v>102</v>
      </c>
      <c r="O58" s="1969">
        <v>83</v>
      </c>
      <c r="P58" s="1969">
        <v>103</v>
      </c>
      <c r="Q58" s="1969">
        <v>75</v>
      </c>
      <c r="R58" s="1969">
        <v>120</v>
      </c>
      <c r="S58" s="1970">
        <v>97</v>
      </c>
      <c r="T58" s="1970">
        <v>113</v>
      </c>
      <c r="U58" s="1970">
        <v>76</v>
      </c>
      <c r="V58" s="1970">
        <v>112</v>
      </c>
      <c r="W58" s="1970">
        <v>119</v>
      </c>
      <c r="X58" s="1970">
        <v>96</v>
      </c>
      <c r="Y58" s="1970">
        <v>109</v>
      </c>
      <c r="Z58" s="1970">
        <v>65</v>
      </c>
    </row>
    <row r="59" spans="1:26" ht="15" x14ac:dyDescent="0.2">
      <c r="A59" s="5948"/>
      <c r="B59" s="5951"/>
      <c r="C59" s="1971" t="s">
        <v>484</v>
      </c>
      <c r="D59" s="1972"/>
      <c r="E59" s="1972"/>
      <c r="F59" s="1972"/>
      <c r="G59" s="1972"/>
      <c r="H59" s="1973">
        <v>171</v>
      </c>
      <c r="I59" s="1973">
        <v>126</v>
      </c>
      <c r="J59" s="1973">
        <v>152</v>
      </c>
      <c r="K59" s="1973">
        <v>151</v>
      </c>
      <c r="L59" s="1973">
        <v>159</v>
      </c>
      <c r="M59" s="1973">
        <v>155</v>
      </c>
      <c r="N59" s="1973">
        <v>150</v>
      </c>
      <c r="O59" s="1973">
        <v>117</v>
      </c>
      <c r="P59" s="1973">
        <v>161</v>
      </c>
      <c r="Q59" s="1973">
        <v>107</v>
      </c>
      <c r="R59" s="1973">
        <v>153</v>
      </c>
      <c r="S59" s="1974">
        <v>155</v>
      </c>
      <c r="T59" s="1974">
        <v>166</v>
      </c>
      <c r="U59" s="1974">
        <v>154</v>
      </c>
      <c r="V59" s="1974">
        <v>131</v>
      </c>
      <c r="W59" s="1974">
        <v>147</v>
      </c>
      <c r="X59" s="1974">
        <v>148</v>
      </c>
      <c r="Y59" s="1974">
        <v>145</v>
      </c>
      <c r="Z59" s="1974">
        <v>86</v>
      </c>
    </row>
    <row r="60" spans="1:26" ht="15" x14ac:dyDescent="0.2">
      <c r="A60" s="5948"/>
      <c r="B60" s="5951"/>
      <c r="C60" s="1971" t="s">
        <v>458</v>
      </c>
      <c r="D60" s="1972"/>
      <c r="E60" s="1972"/>
      <c r="F60" s="1972"/>
      <c r="G60" s="1972"/>
      <c r="H60" s="1973">
        <v>72</v>
      </c>
      <c r="I60" s="1973">
        <v>40</v>
      </c>
      <c r="J60" s="1973">
        <v>73</v>
      </c>
      <c r="K60" s="1973">
        <v>49</v>
      </c>
      <c r="L60" s="1973">
        <v>61</v>
      </c>
      <c r="M60" s="1973">
        <v>54</v>
      </c>
      <c r="N60" s="1973">
        <v>53</v>
      </c>
      <c r="O60" s="1973">
        <v>68</v>
      </c>
      <c r="P60" s="1973">
        <v>55</v>
      </c>
      <c r="Q60" s="1973">
        <v>51</v>
      </c>
      <c r="R60" s="1973">
        <v>59</v>
      </c>
      <c r="S60" s="1974">
        <v>81</v>
      </c>
      <c r="T60" s="1974">
        <v>99</v>
      </c>
      <c r="U60" s="1974">
        <v>78</v>
      </c>
      <c r="V60" s="1974">
        <v>62</v>
      </c>
      <c r="W60" s="1974">
        <v>54</v>
      </c>
      <c r="X60" s="1974">
        <v>57</v>
      </c>
      <c r="Y60" s="1974">
        <v>71</v>
      </c>
      <c r="Z60" s="1974">
        <v>61</v>
      </c>
    </row>
    <row r="61" spans="1:26" ht="15" x14ac:dyDescent="0.2">
      <c r="A61" s="5948"/>
      <c r="B61" s="5951"/>
      <c r="C61" s="1971" t="s">
        <v>485</v>
      </c>
      <c r="D61" s="1972"/>
      <c r="E61" s="1972"/>
      <c r="F61" s="1972"/>
      <c r="G61" s="1972"/>
      <c r="H61" s="1973">
        <v>251</v>
      </c>
      <c r="I61" s="1973">
        <v>235</v>
      </c>
      <c r="J61" s="1973">
        <v>305</v>
      </c>
      <c r="K61" s="1973">
        <v>316</v>
      </c>
      <c r="L61" s="1973">
        <v>318</v>
      </c>
      <c r="M61" s="1973">
        <v>335</v>
      </c>
      <c r="N61" s="1973">
        <v>247</v>
      </c>
      <c r="O61" s="1973">
        <v>293</v>
      </c>
      <c r="P61" s="1973">
        <v>253</v>
      </c>
      <c r="Q61" s="1973">
        <v>272</v>
      </c>
      <c r="R61" s="1973">
        <v>303</v>
      </c>
      <c r="S61" s="1974">
        <v>340</v>
      </c>
      <c r="T61" s="1974">
        <v>304</v>
      </c>
      <c r="U61" s="1974">
        <v>290</v>
      </c>
      <c r="V61" s="1974">
        <v>237</v>
      </c>
      <c r="W61" s="1974">
        <v>272</v>
      </c>
      <c r="X61" s="1974">
        <v>237</v>
      </c>
      <c r="Y61" s="1974">
        <v>252</v>
      </c>
      <c r="Z61" s="1974">
        <v>175</v>
      </c>
    </row>
    <row r="62" spans="1:26" ht="15" x14ac:dyDescent="0.2">
      <c r="A62" s="5948"/>
      <c r="B62" s="5951"/>
      <c r="C62" s="1971" t="s">
        <v>459</v>
      </c>
      <c r="D62" s="1972"/>
      <c r="E62" s="1972"/>
      <c r="F62" s="1972"/>
      <c r="G62" s="1972"/>
      <c r="H62" s="1973">
        <v>59</v>
      </c>
      <c r="I62" s="1973">
        <v>81</v>
      </c>
      <c r="J62" s="1973">
        <v>80</v>
      </c>
      <c r="K62" s="1973">
        <v>120</v>
      </c>
      <c r="L62" s="1973">
        <v>123</v>
      </c>
      <c r="M62" s="1973">
        <v>109</v>
      </c>
      <c r="N62" s="1973">
        <v>103</v>
      </c>
      <c r="O62" s="1973">
        <v>85</v>
      </c>
      <c r="P62" s="1973">
        <v>108</v>
      </c>
      <c r="Q62" s="1973">
        <v>84</v>
      </c>
      <c r="R62" s="1973">
        <v>148</v>
      </c>
      <c r="S62" s="1974">
        <v>121</v>
      </c>
      <c r="T62" s="1974">
        <v>115</v>
      </c>
      <c r="U62" s="1974">
        <v>100</v>
      </c>
      <c r="V62" s="1974">
        <v>90</v>
      </c>
      <c r="W62" s="1974">
        <v>114</v>
      </c>
      <c r="X62" s="1974">
        <v>82</v>
      </c>
      <c r="Y62" s="1974">
        <v>111</v>
      </c>
      <c r="Z62" s="1974">
        <v>67</v>
      </c>
    </row>
    <row r="63" spans="1:26" ht="15" x14ac:dyDescent="0.2">
      <c r="A63" s="5948"/>
      <c r="B63" s="5951"/>
      <c r="C63" s="1971" t="s">
        <v>486</v>
      </c>
      <c r="D63" s="1972"/>
      <c r="E63" s="1972"/>
      <c r="F63" s="1972"/>
      <c r="G63" s="1972"/>
      <c r="H63" s="1973"/>
      <c r="I63" s="1973"/>
      <c r="J63" s="1973">
        <v>3</v>
      </c>
      <c r="K63" s="1973">
        <v>9</v>
      </c>
      <c r="L63" s="1973">
        <v>20</v>
      </c>
      <c r="M63" s="1973">
        <v>22</v>
      </c>
      <c r="N63" s="1973">
        <v>24</v>
      </c>
      <c r="O63" s="1973">
        <v>26</v>
      </c>
      <c r="P63" s="1973">
        <v>36</v>
      </c>
      <c r="Q63" s="1973">
        <v>30</v>
      </c>
      <c r="R63" s="1973">
        <v>28</v>
      </c>
      <c r="S63" s="1974">
        <v>41</v>
      </c>
      <c r="T63" s="1974">
        <v>51</v>
      </c>
      <c r="U63" s="1974">
        <v>42</v>
      </c>
      <c r="V63" s="1974">
        <v>33</v>
      </c>
      <c r="W63" s="1974">
        <v>44</v>
      </c>
      <c r="X63" s="1974">
        <v>35</v>
      </c>
      <c r="Y63" s="1974">
        <v>40</v>
      </c>
      <c r="Z63" s="1974">
        <v>22</v>
      </c>
    </row>
    <row r="64" spans="1:26" ht="15" x14ac:dyDescent="0.2">
      <c r="A64" s="5948"/>
      <c r="B64" s="5952"/>
      <c r="C64" s="1975" t="s">
        <v>160</v>
      </c>
      <c r="D64" s="1976"/>
      <c r="E64" s="1976"/>
      <c r="F64" s="1976"/>
      <c r="G64" s="1976"/>
      <c r="H64" s="1977">
        <f t="shared" ref="H64:Q64" si="16">SUM(H58:H63)</f>
        <v>679</v>
      </c>
      <c r="I64" s="1977">
        <f t="shared" si="16"/>
        <v>619</v>
      </c>
      <c r="J64" s="1977">
        <f t="shared" si="16"/>
        <v>714</v>
      </c>
      <c r="K64" s="1977">
        <f t="shared" si="16"/>
        <v>749</v>
      </c>
      <c r="L64" s="1977">
        <f t="shared" si="16"/>
        <v>804</v>
      </c>
      <c r="M64" s="1977">
        <f t="shared" si="16"/>
        <v>779</v>
      </c>
      <c r="N64" s="1977">
        <f t="shared" si="16"/>
        <v>679</v>
      </c>
      <c r="O64" s="1977">
        <f t="shared" si="16"/>
        <v>672</v>
      </c>
      <c r="P64" s="1977">
        <f t="shared" si="16"/>
        <v>716</v>
      </c>
      <c r="Q64" s="1977">
        <f t="shared" si="16"/>
        <v>619</v>
      </c>
      <c r="R64" s="1977">
        <f t="shared" ref="R64:W64" si="17">SUM(R58:R63)</f>
        <v>811</v>
      </c>
      <c r="S64" s="1977">
        <f t="shared" si="17"/>
        <v>835</v>
      </c>
      <c r="T64" s="1977">
        <f t="shared" si="17"/>
        <v>848</v>
      </c>
      <c r="U64" s="1977">
        <f t="shared" si="17"/>
        <v>740</v>
      </c>
      <c r="V64" s="1977">
        <f t="shared" si="17"/>
        <v>665</v>
      </c>
      <c r="W64" s="1977">
        <f t="shared" si="17"/>
        <v>750</v>
      </c>
      <c r="X64" s="1977">
        <v>655</v>
      </c>
      <c r="Y64" s="1977">
        <f>SUM(Y58:Y63)</f>
        <v>728</v>
      </c>
      <c r="Z64" s="1977">
        <f>SUM(Z58:Z63)</f>
        <v>476</v>
      </c>
    </row>
    <row r="65" spans="1:26" ht="15" x14ac:dyDescent="0.2">
      <c r="A65" s="5948"/>
      <c r="B65" s="5950" t="s">
        <v>11</v>
      </c>
      <c r="C65" s="1978" t="s">
        <v>478</v>
      </c>
      <c r="D65" s="1972"/>
      <c r="E65" s="1972"/>
      <c r="F65" s="1972"/>
      <c r="G65" s="1972"/>
      <c r="H65" s="1973">
        <v>66</v>
      </c>
      <c r="I65" s="1973">
        <v>92</v>
      </c>
      <c r="J65" s="1973">
        <v>104</v>
      </c>
      <c r="K65" s="1973">
        <v>121</v>
      </c>
      <c r="L65" s="1973">
        <v>94</v>
      </c>
      <c r="M65" s="1973">
        <v>102</v>
      </c>
      <c r="N65" s="1973">
        <v>105</v>
      </c>
      <c r="O65" s="1973">
        <v>84</v>
      </c>
      <c r="P65" s="1973">
        <v>96</v>
      </c>
      <c r="Q65" s="1973">
        <v>86</v>
      </c>
      <c r="R65" s="1973">
        <v>91</v>
      </c>
      <c r="S65" s="1974">
        <v>132</v>
      </c>
      <c r="T65" s="1974">
        <v>126</v>
      </c>
      <c r="U65" s="1974">
        <v>128</v>
      </c>
      <c r="V65" s="1974">
        <v>137</v>
      </c>
      <c r="W65" s="1974">
        <v>118</v>
      </c>
      <c r="X65" s="1974">
        <v>151</v>
      </c>
      <c r="Y65" s="1974">
        <v>124</v>
      </c>
      <c r="Z65" s="1974">
        <v>86</v>
      </c>
    </row>
    <row r="66" spans="1:26" ht="15" x14ac:dyDescent="0.2">
      <c r="A66" s="5948"/>
      <c r="B66" s="5951"/>
      <c r="C66" s="1978" t="s">
        <v>487</v>
      </c>
      <c r="D66" s="1972"/>
      <c r="E66" s="1972"/>
      <c r="F66" s="1972"/>
      <c r="G66" s="1972"/>
      <c r="H66" s="1973">
        <v>41</v>
      </c>
      <c r="I66" s="1973">
        <v>51</v>
      </c>
      <c r="J66" s="1973">
        <v>54</v>
      </c>
      <c r="K66" s="1973">
        <v>108</v>
      </c>
      <c r="L66" s="1973">
        <v>75</v>
      </c>
      <c r="M66" s="1973">
        <v>68</v>
      </c>
      <c r="N66" s="1973">
        <v>104</v>
      </c>
      <c r="O66" s="1973">
        <v>45</v>
      </c>
      <c r="P66" s="1973">
        <v>58</v>
      </c>
      <c r="Q66" s="1973">
        <v>70</v>
      </c>
      <c r="R66" s="1973">
        <v>67</v>
      </c>
      <c r="S66" s="1974">
        <v>121</v>
      </c>
      <c r="T66" s="1974">
        <v>109</v>
      </c>
      <c r="U66" s="1974">
        <v>88</v>
      </c>
      <c r="V66" s="1974">
        <v>114</v>
      </c>
      <c r="W66" s="1974">
        <v>138</v>
      </c>
      <c r="X66" s="1974">
        <v>116</v>
      </c>
      <c r="Y66" s="1974">
        <v>85</v>
      </c>
      <c r="Z66" s="1974">
        <v>56</v>
      </c>
    </row>
    <row r="67" spans="1:26" ht="15" x14ac:dyDescent="0.2">
      <c r="A67" s="5948"/>
      <c r="B67" s="5951"/>
      <c r="C67" s="1978" t="s">
        <v>488</v>
      </c>
      <c r="D67" s="1972"/>
      <c r="E67" s="1972"/>
      <c r="F67" s="1972"/>
      <c r="G67" s="1972"/>
      <c r="H67" s="1973">
        <v>235</v>
      </c>
      <c r="I67" s="1973">
        <v>205</v>
      </c>
      <c r="J67" s="1973">
        <v>186</v>
      </c>
      <c r="K67" s="1973">
        <v>218</v>
      </c>
      <c r="L67" s="1973">
        <v>234</v>
      </c>
      <c r="M67" s="1973">
        <v>148</v>
      </c>
      <c r="N67" s="1973">
        <v>192</v>
      </c>
      <c r="O67" s="1973">
        <v>99</v>
      </c>
      <c r="P67" s="1973">
        <v>121</v>
      </c>
      <c r="Q67" s="1973">
        <v>134</v>
      </c>
      <c r="R67" s="1973">
        <v>151</v>
      </c>
      <c r="S67" s="1974">
        <v>256</v>
      </c>
      <c r="T67" s="1974">
        <v>261</v>
      </c>
      <c r="U67" s="1974">
        <v>180</v>
      </c>
      <c r="V67" s="1974">
        <v>139</v>
      </c>
      <c r="W67" s="1974">
        <v>151</v>
      </c>
      <c r="X67" s="1974">
        <v>101</v>
      </c>
      <c r="Y67" s="1974">
        <v>149</v>
      </c>
      <c r="Z67" s="1974">
        <v>80</v>
      </c>
    </row>
    <row r="68" spans="1:26" ht="15" x14ac:dyDescent="0.2">
      <c r="A68" s="5948"/>
      <c r="B68" s="5951"/>
      <c r="C68" s="1978" t="s">
        <v>489</v>
      </c>
      <c r="D68" s="1972"/>
      <c r="E68" s="1972"/>
      <c r="F68" s="1972"/>
      <c r="G68" s="1972"/>
      <c r="H68" s="1973">
        <v>130</v>
      </c>
      <c r="I68" s="1973">
        <v>134</v>
      </c>
      <c r="J68" s="1973">
        <v>145</v>
      </c>
      <c r="K68" s="1973">
        <v>122</v>
      </c>
      <c r="L68" s="1973">
        <v>156</v>
      </c>
      <c r="M68" s="1973">
        <v>153</v>
      </c>
      <c r="N68" s="1973">
        <v>176</v>
      </c>
      <c r="O68" s="1973">
        <v>117</v>
      </c>
      <c r="P68" s="1973">
        <v>137</v>
      </c>
      <c r="Q68" s="1973">
        <v>144</v>
      </c>
      <c r="R68" s="1973">
        <v>193</v>
      </c>
      <c r="S68" s="1974">
        <v>182</v>
      </c>
      <c r="T68" s="1974">
        <v>180</v>
      </c>
      <c r="U68" s="1974">
        <v>192</v>
      </c>
      <c r="V68" s="1974">
        <v>201</v>
      </c>
      <c r="W68" s="1974">
        <v>178</v>
      </c>
      <c r="X68" s="1974">
        <v>154</v>
      </c>
      <c r="Y68" s="1974">
        <v>158</v>
      </c>
      <c r="Z68" s="1974">
        <v>116</v>
      </c>
    </row>
    <row r="69" spans="1:26" ht="15" x14ac:dyDescent="0.2">
      <c r="A69" s="5948"/>
      <c r="B69" s="5951"/>
      <c r="C69" s="1978" t="s">
        <v>490</v>
      </c>
      <c r="D69" s="1972"/>
      <c r="E69" s="1972"/>
      <c r="F69" s="1972"/>
      <c r="G69" s="1972"/>
      <c r="H69" s="1973">
        <v>129</v>
      </c>
      <c r="I69" s="1973">
        <v>141</v>
      </c>
      <c r="J69" s="1973">
        <v>128</v>
      </c>
      <c r="K69" s="1973">
        <v>124</v>
      </c>
      <c r="L69" s="1973">
        <v>135</v>
      </c>
      <c r="M69" s="1973">
        <v>164</v>
      </c>
      <c r="N69" s="1973">
        <v>126</v>
      </c>
      <c r="O69" s="1973">
        <v>129</v>
      </c>
      <c r="P69" s="1973">
        <v>132</v>
      </c>
      <c r="Q69" s="1973">
        <v>105</v>
      </c>
      <c r="R69" s="1973">
        <v>167</v>
      </c>
      <c r="S69" s="1974">
        <v>182</v>
      </c>
      <c r="T69" s="1974">
        <v>205</v>
      </c>
      <c r="U69" s="1974">
        <v>182</v>
      </c>
      <c r="V69" s="1974">
        <v>149</v>
      </c>
      <c r="W69" s="1974">
        <v>128</v>
      </c>
      <c r="X69" s="1974">
        <v>116</v>
      </c>
      <c r="Y69" s="1974">
        <v>133</v>
      </c>
      <c r="Z69" s="1974">
        <v>126</v>
      </c>
    </row>
    <row r="70" spans="1:26" ht="15" x14ac:dyDescent="0.2">
      <c r="A70" s="5948"/>
      <c r="B70" s="5951"/>
      <c r="C70" s="1978" t="s">
        <v>491</v>
      </c>
      <c r="D70" s="1972"/>
      <c r="E70" s="1972"/>
      <c r="F70" s="1972"/>
      <c r="G70" s="1972"/>
      <c r="H70" s="1973">
        <v>42</v>
      </c>
      <c r="I70" s="1973">
        <v>58</v>
      </c>
      <c r="J70" s="1973">
        <v>51</v>
      </c>
      <c r="K70" s="1973">
        <v>60</v>
      </c>
      <c r="L70" s="1973">
        <v>59</v>
      </c>
      <c r="M70" s="1973">
        <v>56</v>
      </c>
      <c r="N70" s="1973">
        <v>49</v>
      </c>
      <c r="O70" s="1973">
        <v>33</v>
      </c>
      <c r="P70" s="1973">
        <v>54</v>
      </c>
      <c r="Q70" s="1973">
        <v>38</v>
      </c>
      <c r="R70" s="1973">
        <v>41</v>
      </c>
      <c r="S70" s="1974">
        <v>46</v>
      </c>
      <c r="T70" s="1974">
        <v>59</v>
      </c>
      <c r="U70" s="1974">
        <v>86</v>
      </c>
      <c r="V70" s="1974">
        <v>94</v>
      </c>
      <c r="W70" s="1974">
        <v>77</v>
      </c>
      <c r="X70" s="1974">
        <v>80</v>
      </c>
      <c r="Y70" s="1974">
        <v>80</v>
      </c>
      <c r="Z70" s="1974">
        <v>64</v>
      </c>
    </row>
    <row r="71" spans="1:26" ht="15" x14ac:dyDescent="0.2">
      <c r="A71" s="5948"/>
      <c r="B71" s="5951"/>
      <c r="C71" s="1978" t="s">
        <v>492</v>
      </c>
      <c r="D71" s="1972"/>
      <c r="E71" s="1972"/>
      <c r="F71" s="1972"/>
      <c r="G71" s="1972"/>
      <c r="H71" s="1973">
        <v>163</v>
      </c>
      <c r="I71" s="1973">
        <v>139</v>
      </c>
      <c r="J71" s="1973">
        <v>130</v>
      </c>
      <c r="K71" s="1973">
        <v>146</v>
      </c>
      <c r="L71" s="1973">
        <v>110</v>
      </c>
      <c r="M71" s="1973">
        <v>99</v>
      </c>
      <c r="N71" s="1973">
        <v>124</v>
      </c>
      <c r="O71" s="1973">
        <v>96</v>
      </c>
      <c r="P71" s="1973">
        <v>146</v>
      </c>
      <c r="Q71" s="1973">
        <v>132</v>
      </c>
      <c r="R71" s="1973">
        <v>151</v>
      </c>
      <c r="S71" s="1974">
        <v>170</v>
      </c>
      <c r="T71" s="1974">
        <v>163</v>
      </c>
      <c r="U71" s="1974">
        <v>172</v>
      </c>
      <c r="V71" s="1974">
        <v>169</v>
      </c>
      <c r="W71" s="1974">
        <v>131</v>
      </c>
      <c r="X71" s="1974">
        <v>154</v>
      </c>
      <c r="Y71" s="1974">
        <v>183</v>
      </c>
      <c r="Z71" s="1974">
        <v>131</v>
      </c>
    </row>
    <row r="72" spans="1:26" ht="15" x14ac:dyDescent="0.2">
      <c r="A72" s="5948"/>
      <c r="B72" s="5951"/>
      <c r="C72" s="1978" t="s">
        <v>493</v>
      </c>
      <c r="D72" s="1972"/>
      <c r="E72" s="1972"/>
      <c r="F72" s="1972"/>
      <c r="G72" s="1972"/>
      <c r="H72" s="1973">
        <v>89</v>
      </c>
      <c r="I72" s="1973">
        <v>69</v>
      </c>
      <c r="J72" s="1973">
        <v>55</v>
      </c>
      <c r="K72" s="1973">
        <v>95</v>
      </c>
      <c r="L72" s="1973">
        <v>85</v>
      </c>
      <c r="M72" s="1973">
        <v>89</v>
      </c>
      <c r="N72" s="1973">
        <v>92</v>
      </c>
      <c r="O72" s="1973">
        <v>92</v>
      </c>
      <c r="P72" s="1973">
        <v>99</v>
      </c>
      <c r="Q72" s="1973">
        <v>99</v>
      </c>
      <c r="R72" s="1973">
        <v>126</v>
      </c>
      <c r="S72" s="1974">
        <v>127</v>
      </c>
      <c r="T72" s="1974">
        <v>125</v>
      </c>
      <c r="U72" s="1974">
        <v>116</v>
      </c>
      <c r="V72" s="1974">
        <v>106</v>
      </c>
      <c r="W72" s="1974">
        <v>110</v>
      </c>
      <c r="X72" s="1974">
        <v>72</v>
      </c>
      <c r="Y72" s="1974">
        <v>111</v>
      </c>
      <c r="Z72" s="1974">
        <v>75</v>
      </c>
    </row>
    <row r="73" spans="1:26" ht="15" x14ac:dyDescent="0.2">
      <c r="A73" s="5948"/>
      <c r="B73" s="5952"/>
      <c r="C73" s="1975" t="s">
        <v>160</v>
      </c>
      <c r="D73" s="1976"/>
      <c r="E73" s="1976"/>
      <c r="F73" s="1976"/>
      <c r="G73" s="1976"/>
      <c r="H73" s="1977">
        <f t="shared" ref="H73:Q73" si="18">SUM(H65:H72)</f>
        <v>895</v>
      </c>
      <c r="I73" s="1977">
        <f t="shared" si="18"/>
        <v>889</v>
      </c>
      <c r="J73" s="1977">
        <f t="shared" si="18"/>
        <v>853</v>
      </c>
      <c r="K73" s="1977">
        <f t="shared" si="18"/>
        <v>994</v>
      </c>
      <c r="L73" s="1977">
        <f t="shared" si="18"/>
        <v>948</v>
      </c>
      <c r="M73" s="1977">
        <f t="shared" si="18"/>
        <v>879</v>
      </c>
      <c r="N73" s="1977">
        <f t="shared" si="18"/>
        <v>968</v>
      </c>
      <c r="O73" s="1977">
        <f t="shared" si="18"/>
        <v>695</v>
      </c>
      <c r="P73" s="1977">
        <f t="shared" si="18"/>
        <v>843</v>
      </c>
      <c r="Q73" s="1977">
        <f t="shared" si="18"/>
        <v>808</v>
      </c>
      <c r="R73" s="1977">
        <f t="shared" ref="R73:W73" si="19">SUM(R65:R72)</f>
        <v>987</v>
      </c>
      <c r="S73" s="1977">
        <f t="shared" si="19"/>
        <v>1216</v>
      </c>
      <c r="T73" s="1977">
        <f t="shared" si="19"/>
        <v>1228</v>
      </c>
      <c r="U73" s="1977">
        <f t="shared" si="19"/>
        <v>1144</v>
      </c>
      <c r="V73" s="1977">
        <f t="shared" si="19"/>
        <v>1109</v>
      </c>
      <c r="W73" s="1977">
        <f t="shared" si="19"/>
        <v>1031</v>
      </c>
      <c r="X73" s="1977">
        <v>944</v>
      </c>
      <c r="Y73" s="1977">
        <f>SUM(Y65:Y72)</f>
        <v>1023</v>
      </c>
      <c r="Z73" s="1977">
        <f>SUM(Z65:Z72)</f>
        <v>734</v>
      </c>
    </row>
    <row r="74" spans="1:26" ht="15" x14ac:dyDescent="0.2">
      <c r="A74" s="5948"/>
      <c r="B74" s="5950" t="s">
        <v>7</v>
      </c>
      <c r="C74" s="1967" t="s">
        <v>460</v>
      </c>
      <c r="D74" s="1968"/>
      <c r="E74" s="1968"/>
      <c r="F74" s="1968"/>
      <c r="G74" s="1968"/>
      <c r="H74" s="1969">
        <v>116</v>
      </c>
      <c r="I74" s="1969">
        <v>84</v>
      </c>
      <c r="J74" s="1969">
        <v>112</v>
      </c>
      <c r="K74" s="1969">
        <v>146</v>
      </c>
      <c r="L74" s="1969">
        <v>110</v>
      </c>
      <c r="M74" s="1969">
        <v>111</v>
      </c>
      <c r="N74" s="1969">
        <v>104</v>
      </c>
      <c r="O74" s="1969">
        <v>113</v>
      </c>
      <c r="P74" s="1969">
        <v>134</v>
      </c>
      <c r="Q74" s="1969">
        <v>103</v>
      </c>
      <c r="R74" s="1969">
        <v>168</v>
      </c>
      <c r="S74" s="1970">
        <v>209</v>
      </c>
      <c r="T74" s="1970">
        <v>175</v>
      </c>
      <c r="U74" s="1970">
        <v>158</v>
      </c>
      <c r="V74" s="1970">
        <v>155</v>
      </c>
      <c r="W74" s="1970">
        <v>182</v>
      </c>
      <c r="X74" s="1970">
        <v>178</v>
      </c>
      <c r="Y74" s="1970">
        <v>190</v>
      </c>
      <c r="Z74" s="1970">
        <v>125</v>
      </c>
    </row>
    <row r="75" spans="1:26" ht="15" x14ac:dyDescent="0.2">
      <c r="A75" s="5948"/>
      <c r="B75" s="5951"/>
      <c r="C75" s="1971" t="s">
        <v>516</v>
      </c>
      <c r="D75" s="1972"/>
      <c r="E75" s="1972"/>
      <c r="F75" s="1972"/>
      <c r="G75" s="1972"/>
      <c r="H75" s="1973">
        <v>66</v>
      </c>
      <c r="I75" s="1973">
        <v>70</v>
      </c>
      <c r="J75" s="1973">
        <v>89</v>
      </c>
      <c r="K75" s="1973">
        <v>107</v>
      </c>
      <c r="L75" s="1973">
        <v>100</v>
      </c>
      <c r="M75" s="1973">
        <v>70</v>
      </c>
      <c r="N75" s="1973">
        <v>83</v>
      </c>
      <c r="O75" s="1973">
        <v>86</v>
      </c>
      <c r="P75" s="1973">
        <v>83</v>
      </c>
      <c r="Q75" s="1973">
        <v>84</v>
      </c>
      <c r="R75" s="1973">
        <v>98</v>
      </c>
      <c r="S75" s="1974">
        <v>79</v>
      </c>
      <c r="T75" s="1974">
        <v>70</v>
      </c>
      <c r="U75" s="1974">
        <v>79</v>
      </c>
      <c r="V75" s="1974">
        <v>67</v>
      </c>
      <c r="W75" s="1974">
        <v>70</v>
      </c>
      <c r="X75" s="1974">
        <v>79</v>
      </c>
      <c r="Y75" s="1974">
        <v>88</v>
      </c>
      <c r="Z75" s="1974">
        <v>65</v>
      </c>
    </row>
    <row r="76" spans="1:26" ht="15" x14ac:dyDescent="0.2">
      <c r="A76" s="5948"/>
      <c r="B76" s="5951"/>
      <c r="C76" s="1971" t="s">
        <v>462</v>
      </c>
      <c r="D76" s="1972"/>
      <c r="E76" s="1972"/>
      <c r="F76" s="1972"/>
      <c r="G76" s="1972"/>
      <c r="H76" s="1973">
        <v>49</v>
      </c>
      <c r="I76" s="1973">
        <v>43</v>
      </c>
      <c r="J76" s="1973">
        <v>82</v>
      </c>
      <c r="K76" s="1973">
        <v>84</v>
      </c>
      <c r="L76" s="1973">
        <v>101</v>
      </c>
      <c r="M76" s="1973">
        <v>75</v>
      </c>
      <c r="N76" s="1973">
        <v>55</v>
      </c>
      <c r="O76" s="1973">
        <v>74</v>
      </c>
      <c r="P76" s="1973">
        <v>49</v>
      </c>
      <c r="Q76" s="1973">
        <v>53</v>
      </c>
      <c r="R76" s="1973">
        <v>53</v>
      </c>
      <c r="S76" s="1974">
        <v>48</v>
      </c>
      <c r="T76" s="1974">
        <v>48</v>
      </c>
      <c r="U76" s="1974">
        <v>58</v>
      </c>
      <c r="V76" s="1974">
        <v>52</v>
      </c>
      <c r="W76" s="1974">
        <v>56</v>
      </c>
      <c r="X76" s="1974">
        <v>49</v>
      </c>
      <c r="Y76" s="1974">
        <v>82</v>
      </c>
      <c r="Z76" s="1974">
        <v>63</v>
      </c>
    </row>
    <row r="77" spans="1:26" ht="15" x14ac:dyDescent="0.2">
      <c r="A77" s="5948"/>
      <c r="B77" s="5951"/>
      <c r="C77" s="1971" t="s">
        <v>494</v>
      </c>
      <c r="D77" s="1972"/>
      <c r="E77" s="1972"/>
      <c r="F77" s="1972"/>
      <c r="G77" s="1972"/>
      <c r="H77" s="1973">
        <v>27</v>
      </c>
      <c r="I77" s="1973">
        <v>39</v>
      </c>
      <c r="J77" s="1973">
        <v>44</v>
      </c>
      <c r="K77" s="1973">
        <v>37</v>
      </c>
      <c r="L77" s="1973">
        <v>37</v>
      </c>
      <c r="M77" s="1973">
        <v>29</v>
      </c>
      <c r="N77" s="1973">
        <v>26</v>
      </c>
      <c r="O77" s="1973">
        <v>27</v>
      </c>
      <c r="P77" s="1973">
        <v>26</v>
      </c>
      <c r="Q77" s="1973">
        <v>20</v>
      </c>
      <c r="R77" s="1973">
        <v>50</v>
      </c>
      <c r="S77" s="1974">
        <v>44</v>
      </c>
      <c r="T77" s="1974">
        <v>51</v>
      </c>
      <c r="U77" s="1974">
        <v>50</v>
      </c>
      <c r="V77" s="1974">
        <v>45</v>
      </c>
      <c r="W77" s="1974">
        <v>68</v>
      </c>
      <c r="X77" s="1974">
        <v>43</v>
      </c>
      <c r="Y77" s="1974">
        <v>71</v>
      </c>
      <c r="Z77" s="1974">
        <v>42</v>
      </c>
    </row>
    <row r="78" spans="1:26" ht="15" x14ac:dyDescent="0.2">
      <c r="A78" s="5948"/>
      <c r="B78" s="5952"/>
      <c r="C78" s="1975" t="s">
        <v>160</v>
      </c>
      <c r="D78" s="1976"/>
      <c r="E78" s="1976"/>
      <c r="F78" s="1976"/>
      <c r="G78" s="1976"/>
      <c r="H78" s="1977">
        <f t="shared" ref="H78:Q78" si="20">SUM(H74:H77)</f>
        <v>258</v>
      </c>
      <c r="I78" s="1977">
        <f t="shared" si="20"/>
        <v>236</v>
      </c>
      <c r="J78" s="1977">
        <f t="shared" si="20"/>
        <v>327</v>
      </c>
      <c r="K78" s="1977">
        <f t="shared" si="20"/>
        <v>374</v>
      </c>
      <c r="L78" s="1977">
        <f t="shared" si="20"/>
        <v>348</v>
      </c>
      <c r="M78" s="1977">
        <f t="shared" si="20"/>
        <v>285</v>
      </c>
      <c r="N78" s="1977">
        <f t="shared" si="20"/>
        <v>268</v>
      </c>
      <c r="O78" s="1977">
        <f t="shared" si="20"/>
        <v>300</v>
      </c>
      <c r="P78" s="1977">
        <f t="shared" si="20"/>
        <v>292</v>
      </c>
      <c r="Q78" s="1977">
        <f t="shared" si="20"/>
        <v>260</v>
      </c>
      <c r="R78" s="1977">
        <f t="shared" ref="R78:W78" si="21">SUM(R74:R77)</f>
        <v>369</v>
      </c>
      <c r="S78" s="1977">
        <f t="shared" si="21"/>
        <v>380</v>
      </c>
      <c r="T78" s="1977">
        <f t="shared" si="21"/>
        <v>344</v>
      </c>
      <c r="U78" s="1977">
        <f t="shared" si="21"/>
        <v>345</v>
      </c>
      <c r="V78" s="1977">
        <f t="shared" si="21"/>
        <v>319</v>
      </c>
      <c r="W78" s="1977">
        <f t="shared" si="21"/>
        <v>376</v>
      </c>
      <c r="X78" s="1977">
        <v>349</v>
      </c>
      <c r="Y78" s="1977">
        <f>SUM(Y74:Y77)</f>
        <v>431</v>
      </c>
      <c r="Z78" s="1977">
        <f>SUM(Z74:Z77)</f>
        <v>295</v>
      </c>
    </row>
    <row r="79" spans="1:26" ht="15" x14ac:dyDescent="0.2">
      <c r="A79" s="5949"/>
      <c r="B79" s="5509"/>
      <c r="C79" s="5510" t="s">
        <v>444</v>
      </c>
      <c r="D79" s="5511"/>
      <c r="E79" s="5511"/>
      <c r="F79" s="5511"/>
      <c r="G79" s="5511"/>
      <c r="H79" s="5512">
        <f t="shared" ref="H79:Q79" si="22">SUM(H78,H73,H64)</f>
        <v>1832</v>
      </c>
      <c r="I79" s="5512">
        <f t="shared" si="22"/>
        <v>1744</v>
      </c>
      <c r="J79" s="5512">
        <f t="shared" si="22"/>
        <v>1894</v>
      </c>
      <c r="K79" s="5512">
        <f t="shared" si="22"/>
        <v>2117</v>
      </c>
      <c r="L79" s="5512">
        <f t="shared" si="22"/>
        <v>2100</v>
      </c>
      <c r="M79" s="5512">
        <f t="shared" si="22"/>
        <v>1943</v>
      </c>
      <c r="N79" s="5512">
        <f t="shared" si="22"/>
        <v>1915</v>
      </c>
      <c r="O79" s="5512">
        <f t="shared" si="22"/>
        <v>1667</v>
      </c>
      <c r="P79" s="5512">
        <f t="shared" si="22"/>
        <v>1851</v>
      </c>
      <c r="Q79" s="5512">
        <f t="shared" si="22"/>
        <v>1687</v>
      </c>
      <c r="R79" s="5512">
        <f t="shared" ref="R79:W79" si="23">SUM(R78,R73,R64)</f>
        <v>2167</v>
      </c>
      <c r="S79" s="5512">
        <f t="shared" si="23"/>
        <v>2431</v>
      </c>
      <c r="T79" s="5512">
        <f t="shared" si="23"/>
        <v>2420</v>
      </c>
      <c r="U79" s="5512">
        <f t="shared" si="23"/>
        <v>2229</v>
      </c>
      <c r="V79" s="5512">
        <f t="shared" si="23"/>
        <v>2093</v>
      </c>
      <c r="W79" s="5512">
        <f t="shared" si="23"/>
        <v>2157</v>
      </c>
      <c r="X79" s="5512">
        <f>SUM(X78,X73,X64)</f>
        <v>1948</v>
      </c>
      <c r="Y79" s="5512">
        <f>SUM(Y78,Y73,Y64)</f>
        <v>2182</v>
      </c>
      <c r="Z79" s="5512">
        <f>SUM(Z78,Z73,Z64)</f>
        <v>1505</v>
      </c>
    </row>
    <row r="80" spans="1:26" ht="15" x14ac:dyDescent="0.2">
      <c r="A80" s="5953" t="s">
        <v>430</v>
      </c>
      <c r="B80" s="5872" t="s">
        <v>6</v>
      </c>
      <c r="C80" s="1980" t="s">
        <v>456</v>
      </c>
      <c r="D80" s="1968"/>
      <c r="E80" s="1968"/>
      <c r="F80" s="1968"/>
      <c r="G80" s="1969"/>
      <c r="H80" s="1969"/>
      <c r="I80" s="1969"/>
      <c r="J80" s="1969"/>
      <c r="K80" s="1969"/>
      <c r="L80" s="1969"/>
      <c r="M80" s="1969"/>
      <c r="N80" s="1969"/>
      <c r="O80" s="1969"/>
      <c r="P80" s="1969"/>
      <c r="Q80" s="1969"/>
      <c r="R80" s="1969"/>
      <c r="S80" s="1969">
        <v>7</v>
      </c>
      <c r="T80" s="1969">
        <v>48</v>
      </c>
      <c r="U80" s="1969">
        <v>25</v>
      </c>
      <c r="V80" s="1969">
        <v>25</v>
      </c>
      <c r="W80" s="1969">
        <v>23</v>
      </c>
      <c r="X80" s="1969">
        <v>21</v>
      </c>
      <c r="Y80" s="1969">
        <v>26</v>
      </c>
      <c r="Z80" s="1969">
        <v>14</v>
      </c>
    </row>
    <row r="81" spans="1:26" ht="15" x14ac:dyDescent="0.2">
      <c r="A81" s="5954"/>
      <c r="B81" s="5873"/>
      <c r="C81" s="1978" t="s">
        <v>457</v>
      </c>
      <c r="D81" s="1972"/>
      <c r="E81" s="1972"/>
      <c r="F81" s="1972"/>
      <c r="G81" s="1973"/>
      <c r="H81" s="1973"/>
      <c r="I81" s="1973"/>
      <c r="J81" s="1973"/>
      <c r="K81" s="1973"/>
      <c r="L81" s="1973"/>
      <c r="M81" s="1973"/>
      <c r="N81" s="1973"/>
      <c r="O81" s="1973"/>
      <c r="P81" s="1973"/>
      <c r="Q81" s="1973"/>
      <c r="R81" s="1973"/>
      <c r="S81" s="1973">
        <v>3</v>
      </c>
      <c r="T81" s="1973">
        <v>2</v>
      </c>
      <c r="U81" s="1973"/>
      <c r="V81" s="1973">
        <v>1</v>
      </c>
      <c r="W81" s="1973"/>
      <c r="X81" s="1973">
        <v>1</v>
      </c>
      <c r="Y81" s="1973"/>
      <c r="Z81" s="1973"/>
    </row>
    <row r="82" spans="1:26" ht="15" x14ac:dyDescent="0.2">
      <c r="A82" s="5954"/>
      <c r="B82" s="5873"/>
      <c r="C82" s="1981" t="s">
        <v>495</v>
      </c>
      <c r="D82" s="1979"/>
      <c r="E82" s="1979"/>
      <c r="F82" s="1979"/>
      <c r="G82" s="1973"/>
      <c r="H82" s="1973"/>
      <c r="I82" s="1973"/>
      <c r="J82" s="1973"/>
      <c r="K82" s="1973"/>
      <c r="L82" s="1973"/>
      <c r="M82" s="1973"/>
      <c r="N82" s="1973"/>
      <c r="O82" s="1973"/>
      <c r="P82" s="1973"/>
      <c r="Q82" s="1973"/>
      <c r="R82" s="1973"/>
      <c r="S82" s="1973"/>
      <c r="T82" s="1973">
        <v>1</v>
      </c>
      <c r="U82" s="1973">
        <v>12</v>
      </c>
      <c r="V82" s="1973">
        <v>3</v>
      </c>
      <c r="W82" s="1973">
        <v>4</v>
      </c>
      <c r="X82" s="1973">
        <v>6</v>
      </c>
      <c r="Y82" s="1973">
        <v>3</v>
      </c>
      <c r="Z82" s="1973">
        <v>2</v>
      </c>
    </row>
    <row r="83" spans="1:26" ht="15" x14ac:dyDescent="0.2">
      <c r="A83" s="5954"/>
      <c r="B83" s="5873"/>
      <c r="C83" s="1978" t="s">
        <v>508</v>
      </c>
      <c r="D83" s="1972"/>
      <c r="E83" s="1972"/>
      <c r="F83" s="1972"/>
      <c r="G83" s="1973"/>
      <c r="H83" s="1973"/>
      <c r="I83" s="1973"/>
      <c r="J83" s="1973"/>
      <c r="K83" s="1973"/>
      <c r="L83" s="1973"/>
      <c r="M83" s="1973"/>
      <c r="N83" s="1973"/>
      <c r="O83" s="1973"/>
      <c r="P83" s="1973"/>
      <c r="Q83" s="1973"/>
      <c r="R83" s="1973"/>
      <c r="S83" s="1973"/>
      <c r="T83" s="1973"/>
      <c r="U83" s="1973">
        <v>2</v>
      </c>
      <c r="V83" s="1973">
        <v>7</v>
      </c>
      <c r="W83" s="1973">
        <v>6</v>
      </c>
      <c r="X83" s="1973">
        <v>5</v>
      </c>
      <c r="Y83" s="1973">
        <v>4</v>
      </c>
      <c r="Z83" s="1973">
        <v>5</v>
      </c>
    </row>
    <row r="84" spans="1:26" ht="15" x14ac:dyDescent="0.2">
      <c r="A84" s="5954"/>
      <c r="B84" s="5874"/>
      <c r="C84" s="1975" t="s">
        <v>160</v>
      </c>
      <c r="D84" s="1976"/>
      <c r="E84" s="1976"/>
      <c r="F84" s="1976"/>
      <c r="G84" s="1976"/>
      <c r="H84" s="1977"/>
      <c r="I84" s="1977"/>
      <c r="J84" s="1977"/>
      <c r="K84" s="1977"/>
      <c r="L84" s="1977"/>
      <c r="M84" s="1977"/>
      <c r="N84" s="1977"/>
      <c r="O84" s="1977"/>
      <c r="P84" s="1977"/>
      <c r="Q84" s="1977"/>
      <c r="R84" s="1977"/>
      <c r="S84" s="1977">
        <f>SUM(S80:S83)</f>
        <v>10</v>
      </c>
      <c r="T84" s="1977">
        <f>SUM(T80:T83)</f>
        <v>51</v>
      </c>
      <c r="U84" s="1977">
        <f>SUM(U80:U83)</f>
        <v>39</v>
      </c>
      <c r="V84" s="1977">
        <f>SUM(V80:V83)</f>
        <v>36</v>
      </c>
      <c r="W84" s="1977">
        <f>SUM(W80:W83)</f>
        <v>33</v>
      </c>
      <c r="X84" s="1977">
        <v>33</v>
      </c>
      <c r="Y84" s="1977">
        <f>SUM(Y80:Y83)</f>
        <v>33</v>
      </c>
      <c r="Z84" s="1977">
        <f>SUM(Z80:Z83)</f>
        <v>21</v>
      </c>
    </row>
    <row r="85" spans="1:26" ht="15" x14ac:dyDescent="0.2">
      <c r="A85" s="5954"/>
      <c r="B85" s="5956" t="s">
        <v>9</v>
      </c>
      <c r="C85" s="1967" t="s">
        <v>497</v>
      </c>
      <c r="D85" s="1968"/>
      <c r="E85" s="1968"/>
      <c r="F85" s="1968"/>
      <c r="G85" s="1968"/>
      <c r="H85" s="1969"/>
      <c r="I85" s="1969"/>
      <c r="J85" s="1969"/>
      <c r="K85" s="1969"/>
      <c r="L85" s="1969"/>
      <c r="M85" s="1969"/>
      <c r="N85" s="1969"/>
      <c r="O85" s="1969"/>
      <c r="P85" s="1969"/>
      <c r="Q85" s="1969"/>
      <c r="R85" s="1969"/>
      <c r="S85" s="1982">
        <v>3</v>
      </c>
      <c r="T85" s="1969">
        <v>7</v>
      </c>
      <c r="U85" s="1969">
        <v>17</v>
      </c>
      <c r="V85" s="1969">
        <v>13</v>
      </c>
      <c r="W85" s="1969">
        <v>16</v>
      </c>
      <c r="X85" s="1969">
        <v>8</v>
      </c>
      <c r="Y85" s="1969">
        <v>16</v>
      </c>
      <c r="Z85" s="1969">
        <v>8</v>
      </c>
    </row>
    <row r="86" spans="1:26" ht="15" x14ac:dyDescent="0.2">
      <c r="A86" s="5954"/>
      <c r="B86" s="5956"/>
      <c r="C86" s="1971" t="s">
        <v>498</v>
      </c>
      <c r="D86" s="1972"/>
      <c r="E86" s="1972"/>
      <c r="F86" s="1972"/>
      <c r="G86" s="1972"/>
      <c r="H86" s="1973"/>
      <c r="I86" s="1973"/>
      <c r="J86" s="1973"/>
      <c r="K86" s="1973"/>
      <c r="L86" s="1973"/>
      <c r="M86" s="1973"/>
      <c r="N86" s="1973"/>
      <c r="O86" s="1973"/>
      <c r="P86" s="1973"/>
      <c r="Q86" s="1973"/>
      <c r="R86" s="1973"/>
      <c r="S86" s="1983"/>
      <c r="T86" s="1973"/>
      <c r="U86" s="1973">
        <v>2</v>
      </c>
      <c r="V86" s="1973">
        <v>2</v>
      </c>
      <c r="W86" s="1973">
        <v>1</v>
      </c>
      <c r="X86" s="1973">
        <v>6</v>
      </c>
      <c r="Y86" s="1973">
        <v>5</v>
      </c>
      <c r="Z86" s="1973">
        <v>3</v>
      </c>
    </row>
    <row r="87" spans="1:26" ht="15" x14ac:dyDescent="0.2">
      <c r="A87" s="5954"/>
      <c r="B87" s="5956"/>
      <c r="C87" s="1978" t="s">
        <v>499</v>
      </c>
      <c r="D87" s="1972"/>
      <c r="E87" s="1972"/>
      <c r="F87" s="1972"/>
      <c r="G87" s="1973"/>
      <c r="H87" s="1973"/>
      <c r="I87" s="1973"/>
      <c r="J87" s="1973"/>
      <c r="K87" s="1973"/>
      <c r="L87" s="1973"/>
      <c r="M87" s="1973"/>
      <c r="N87" s="1973"/>
      <c r="O87" s="1973"/>
      <c r="P87" s="1973"/>
      <c r="Q87" s="1973"/>
      <c r="R87" s="1973"/>
      <c r="S87" s="1973"/>
      <c r="T87" s="1973"/>
      <c r="U87" s="1973">
        <v>12</v>
      </c>
      <c r="V87" s="1973">
        <v>22</v>
      </c>
      <c r="W87" s="1973">
        <v>13</v>
      </c>
      <c r="X87" s="1973">
        <v>21</v>
      </c>
      <c r="Y87" s="1973">
        <v>13</v>
      </c>
      <c r="Z87" s="1973">
        <v>21</v>
      </c>
    </row>
    <row r="88" spans="1:26" ht="15" x14ac:dyDescent="0.2">
      <c r="A88" s="5954"/>
      <c r="B88" s="5957"/>
      <c r="C88" s="1975" t="s">
        <v>160</v>
      </c>
      <c r="D88" s="1976"/>
      <c r="E88" s="1976"/>
      <c r="F88" s="1976"/>
      <c r="G88" s="1976"/>
      <c r="H88" s="1977"/>
      <c r="I88" s="1977"/>
      <c r="J88" s="1977"/>
      <c r="K88" s="1977"/>
      <c r="L88" s="1977"/>
      <c r="M88" s="1977"/>
      <c r="N88" s="1977"/>
      <c r="O88" s="1977"/>
      <c r="P88" s="1977"/>
      <c r="Q88" s="1977"/>
      <c r="R88" s="1977"/>
      <c r="S88" s="1977">
        <f>SUM(S85:S87)</f>
        <v>3</v>
      </c>
      <c r="T88" s="1977">
        <f>SUM(T85:T87)</f>
        <v>7</v>
      </c>
      <c r="U88" s="1977">
        <f>SUM(U85:U87)</f>
        <v>31</v>
      </c>
      <c r="V88" s="1977">
        <f>SUM(V85:V87)</f>
        <v>37</v>
      </c>
      <c r="W88" s="1977">
        <f>SUM(W85:W87)</f>
        <v>30</v>
      </c>
      <c r="X88" s="1977">
        <v>35</v>
      </c>
      <c r="Y88" s="1977">
        <f>SUM(Y85:Y87)</f>
        <v>34</v>
      </c>
      <c r="Z88" s="1977">
        <f>SUM(Z85:Z87)</f>
        <v>32</v>
      </c>
    </row>
    <row r="89" spans="1:26" ht="15" x14ac:dyDescent="0.2">
      <c r="A89" s="5954"/>
      <c r="B89" s="5872" t="s">
        <v>74</v>
      </c>
      <c r="C89" s="1980" t="s">
        <v>455</v>
      </c>
      <c r="D89" s="1968"/>
      <c r="E89" s="1968"/>
      <c r="F89" s="1968"/>
      <c r="G89" s="1968"/>
      <c r="H89" s="1969"/>
      <c r="I89" s="1969"/>
      <c r="J89" s="1969"/>
      <c r="K89" s="1969"/>
      <c r="L89" s="1969"/>
      <c r="M89" s="1969"/>
      <c r="N89" s="1969"/>
      <c r="O89" s="1969"/>
      <c r="P89" s="1969"/>
      <c r="Q89" s="1969"/>
      <c r="R89" s="1969"/>
      <c r="S89" s="1982">
        <v>5</v>
      </c>
      <c r="T89" s="1969">
        <v>8</v>
      </c>
      <c r="U89" s="1969">
        <v>5</v>
      </c>
      <c r="V89" s="1969">
        <v>12</v>
      </c>
      <c r="W89" s="1969">
        <v>9</v>
      </c>
      <c r="X89" s="1969">
        <v>8</v>
      </c>
      <c r="Y89" s="1969">
        <v>10</v>
      </c>
      <c r="Z89" s="1969">
        <v>6</v>
      </c>
    </row>
    <row r="90" spans="1:26" ht="15" x14ac:dyDescent="0.2">
      <c r="A90" s="5954"/>
      <c r="B90" s="5873"/>
      <c r="C90" s="1978" t="s">
        <v>500</v>
      </c>
      <c r="D90" s="1972"/>
      <c r="E90" s="1972"/>
      <c r="F90" s="1972"/>
      <c r="G90" s="1973"/>
      <c r="H90" s="1973"/>
      <c r="I90" s="1973"/>
      <c r="J90" s="1973"/>
      <c r="K90" s="1973"/>
      <c r="L90" s="1973"/>
      <c r="M90" s="1973"/>
      <c r="N90" s="1973"/>
      <c r="O90" s="1973"/>
      <c r="P90" s="1973"/>
      <c r="Q90" s="1973"/>
      <c r="R90" s="1973"/>
      <c r="S90" s="1973"/>
      <c r="T90" s="1973">
        <v>1</v>
      </c>
      <c r="U90" s="1973">
        <v>1</v>
      </c>
      <c r="V90" s="1973">
        <v>6</v>
      </c>
      <c r="W90" s="1973">
        <v>1</v>
      </c>
      <c r="X90" s="1973">
        <v>2</v>
      </c>
      <c r="Y90" s="1973">
        <v>4</v>
      </c>
      <c r="Z90" s="1973">
        <v>4</v>
      </c>
    </row>
    <row r="91" spans="1:26" ht="15" x14ac:dyDescent="0.2">
      <c r="A91" s="5954"/>
      <c r="B91" s="5873"/>
      <c r="C91" s="1978" t="s">
        <v>501</v>
      </c>
      <c r="D91" s="1972"/>
      <c r="E91" s="1972"/>
      <c r="F91" s="1972"/>
      <c r="G91" s="1973"/>
      <c r="H91" s="1973"/>
      <c r="I91" s="1973"/>
      <c r="J91" s="1973"/>
      <c r="K91" s="1973"/>
      <c r="L91" s="1973"/>
      <c r="M91" s="1973"/>
      <c r="N91" s="1973"/>
      <c r="O91" s="1973"/>
      <c r="P91" s="1973"/>
      <c r="Q91" s="1973"/>
      <c r="R91" s="1973"/>
      <c r="S91" s="1973"/>
      <c r="T91" s="1973"/>
      <c r="U91" s="1973"/>
      <c r="V91" s="1973">
        <v>1</v>
      </c>
      <c r="W91" s="1973">
        <v>8</v>
      </c>
      <c r="X91" s="1973">
        <v>3</v>
      </c>
      <c r="Y91" s="1973">
        <v>7</v>
      </c>
      <c r="Z91" s="1973">
        <v>8</v>
      </c>
    </row>
    <row r="92" spans="1:26" ht="15" x14ac:dyDescent="0.2">
      <c r="A92" s="5954"/>
      <c r="B92" s="5873"/>
      <c r="C92" s="1978" t="s">
        <v>502</v>
      </c>
      <c r="D92" s="1972"/>
      <c r="E92" s="1972"/>
      <c r="F92" s="1972"/>
      <c r="G92" s="1973"/>
      <c r="H92" s="1973"/>
      <c r="I92" s="1973"/>
      <c r="J92" s="1973"/>
      <c r="K92" s="1973"/>
      <c r="L92" s="1973"/>
      <c r="M92" s="1973"/>
      <c r="N92" s="1973"/>
      <c r="O92" s="1973"/>
      <c r="P92" s="1973"/>
      <c r="Q92" s="1973"/>
      <c r="R92" s="1973"/>
      <c r="S92" s="1973"/>
      <c r="T92" s="1973"/>
      <c r="U92" s="1973"/>
      <c r="V92" s="1973"/>
      <c r="W92" s="1973"/>
      <c r="X92" s="1973">
        <v>7</v>
      </c>
      <c r="Y92" s="1973">
        <v>14</v>
      </c>
      <c r="Z92" s="1973">
        <v>18</v>
      </c>
    </row>
    <row r="93" spans="1:26" ht="15" x14ac:dyDescent="0.2">
      <c r="A93" s="5954"/>
      <c r="B93" s="5873"/>
      <c r="C93" s="1975" t="s">
        <v>160</v>
      </c>
      <c r="D93" s="1976"/>
      <c r="E93" s="1976"/>
      <c r="F93" s="1976"/>
      <c r="G93" s="1976"/>
      <c r="H93" s="1977"/>
      <c r="I93" s="1977"/>
      <c r="J93" s="1977"/>
      <c r="K93" s="1977"/>
      <c r="L93" s="1977"/>
      <c r="M93" s="1977"/>
      <c r="N93" s="1977"/>
      <c r="O93" s="1977"/>
      <c r="P93" s="1977"/>
      <c r="Q93" s="1977"/>
      <c r="R93" s="1977"/>
      <c r="S93" s="1977">
        <f>SUM(S89:S91)</f>
        <v>5</v>
      </c>
      <c r="T93" s="1977">
        <f>SUM(T89:T91)</f>
        <v>9</v>
      </c>
      <c r="U93" s="1977">
        <f>SUM(U89:U91)</f>
        <v>6</v>
      </c>
      <c r="V93" s="1977">
        <f>SUM(V89:V91)</f>
        <v>19</v>
      </c>
      <c r="W93" s="1977">
        <f>SUM(W89:W91)</f>
        <v>18</v>
      </c>
      <c r="X93" s="1977">
        <v>20</v>
      </c>
      <c r="Y93" s="1977">
        <f>SUM(Y89:Y92)</f>
        <v>35</v>
      </c>
      <c r="Z93" s="1977">
        <f>SUM(Z89:Z92)</f>
        <v>36</v>
      </c>
    </row>
    <row r="94" spans="1:26" ht="15" x14ac:dyDescent="0.2">
      <c r="A94" s="5955"/>
      <c r="B94" s="5513"/>
      <c r="C94" s="5514" t="s">
        <v>444</v>
      </c>
      <c r="D94" s="5515"/>
      <c r="E94" s="5515"/>
      <c r="F94" s="5515"/>
      <c r="G94" s="5515"/>
      <c r="H94" s="5516"/>
      <c r="I94" s="5516"/>
      <c r="J94" s="5516"/>
      <c r="K94" s="5516"/>
      <c r="L94" s="5516"/>
      <c r="M94" s="5516"/>
      <c r="N94" s="5516"/>
      <c r="O94" s="5516"/>
      <c r="P94" s="5516"/>
      <c r="Q94" s="5516"/>
      <c r="R94" s="5516"/>
      <c r="S94" s="5516">
        <f t="shared" ref="S94:Y94" si="24">SUM(S93,S88,S84)</f>
        <v>18</v>
      </c>
      <c r="T94" s="5516">
        <f t="shared" si="24"/>
        <v>67</v>
      </c>
      <c r="U94" s="5516">
        <f t="shared" si="24"/>
        <v>76</v>
      </c>
      <c r="V94" s="5516">
        <f t="shared" si="24"/>
        <v>92</v>
      </c>
      <c r="W94" s="5516">
        <f t="shared" si="24"/>
        <v>81</v>
      </c>
      <c r="X94" s="5516">
        <f t="shared" si="24"/>
        <v>88</v>
      </c>
      <c r="Y94" s="5516">
        <f t="shared" si="24"/>
        <v>102</v>
      </c>
      <c r="Z94" s="5516">
        <f t="shared" ref="Z94" si="25">SUM(Z93,Z88,Z84)</f>
        <v>89</v>
      </c>
    </row>
    <row r="95" spans="1:26" ht="15" x14ac:dyDescent="0.2">
      <c r="A95" s="5763" t="s">
        <v>431</v>
      </c>
      <c r="B95" s="5887" t="s">
        <v>5</v>
      </c>
      <c r="C95" s="953" t="s">
        <v>503</v>
      </c>
      <c r="D95" s="4197"/>
      <c r="E95" s="4197"/>
      <c r="F95" s="4197"/>
      <c r="G95" s="4197"/>
      <c r="H95" s="953"/>
      <c r="I95" s="953"/>
      <c r="J95" s="953"/>
      <c r="K95" s="953"/>
      <c r="L95" s="953"/>
      <c r="M95" s="953"/>
      <c r="N95" s="953"/>
      <c r="O95" s="953"/>
      <c r="P95" s="953"/>
      <c r="Q95" s="953"/>
      <c r="R95" s="953"/>
      <c r="S95" s="953"/>
      <c r="T95" s="953"/>
      <c r="U95" s="953"/>
      <c r="V95" s="953"/>
      <c r="W95" s="953"/>
      <c r="X95" s="1973">
        <v>1</v>
      </c>
      <c r="Y95" s="1973">
        <v>20</v>
      </c>
      <c r="Z95" s="1973">
        <v>3</v>
      </c>
    </row>
    <row r="96" spans="1:26" ht="15" x14ac:dyDescent="0.2">
      <c r="A96" s="5764"/>
      <c r="B96" s="5861"/>
      <c r="C96" s="960" t="s">
        <v>160</v>
      </c>
      <c r="D96" s="4197"/>
      <c r="E96" s="4197"/>
      <c r="F96" s="4197"/>
      <c r="G96" s="4197"/>
      <c r="H96" s="960"/>
      <c r="I96" s="960"/>
      <c r="J96" s="960"/>
      <c r="K96" s="960"/>
      <c r="L96" s="960"/>
      <c r="M96" s="960"/>
      <c r="N96" s="960"/>
      <c r="O96" s="960"/>
      <c r="P96" s="960"/>
      <c r="Q96" s="960"/>
      <c r="R96" s="960"/>
      <c r="S96" s="960"/>
      <c r="T96" s="960"/>
      <c r="U96" s="960"/>
      <c r="V96" s="960"/>
      <c r="W96" s="960"/>
      <c r="X96" s="1977">
        <f>SUM(X95)</f>
        <v>1</v>
      </c>
      <c r="Y96" s="1977">
        <f>SUM(Y95)</f>
        <v>20</v>
      </c>
      <c r="Z96" s="1977">
        <f>SUM(Z95)</f>
        <v>3</v>
      </c>
    </row>
    <row r="97" spans="1:26" ht="15" x14ac:dyDescent="0.2">
      <c r="A97" s="5764"/>
      <c r="B97" s="5859" t="s">
        <v>6</v>
      </c>
      <c r="C97" s="946" t="s">
        <v>504</v>
      </c>
      <c r="D97" s="4197"/>
      <c r="E97" s="4197"/>
      <c r="F97" s="4197"/>
      <c r="G97" s="4197"/>
      <c r="H97" s="946"/>
      <c r="I97" s="946"/>
      <c r="J97" s="946"/>
      <c r="K97" s="946"/>
      <c r="L97" s="946"/>
      <c r="M97" s="946"/>
      <c r="N97" s="946"/>
      <c r="O97" s="946"/>
      <c r="P97" s="946"/>
      <c r="Q97" s="946"/>
      <c r="R97" s="946"/>
      <c r="S97" s="946"/>
      <c r="T97" s="946"/>
      <c r="U97" s="946"/>
      <c r="V97" s="946"/>
      <c r="W97" s="946"/>
      <c r="X97" s="1973">
        <v>5</v>
      </c>
      <c r="Y97" s="1973">
        <v>16</v>
      </c>
      <c r="Z97" s="1973">
        <v>6</v>
      </c>
    </row>
    <row r="98" spans="1:26" ht="15" x14ac:dyDescent="0.2">
      <c r="A98" s="5764"/>
      <c r="B98" s="5860"/>
      <c r="C98" s="946" t="s">
        <v>612</v>
      </c>
      <c r="D98" s="4197"/>
      <c r="E98" s="4197"/>
      <c r="F98" s="4197"/>
      <c r="G98" s="4197"/>
      <c r="H98" s="946"/>
      <c r="I98" s="946"/>
      <c r="J98" s="946"/>
      <c r="K98" s="946"/>
      <c r="L98" s="946"/>
      <c r="M98" s="946"/>
      <c r="N98" s="946"/>
      <c r="O98" s="946"/>
      <c r="P98" s="946"/>
      <c r="Q98" s="946"/>
      <c r="R98" s="946"/>
      <c r="S98" s="946"/>
      <c r="T98" s="946"/>
      <c r="U98" s="946"/>
      <c r="V98" s="946"/>
      <c r="W98" s="946"/>
      <c r="X98" s="4185"/>
      <c r="Y98" s="4185"/>
      <c r="Z98" s="4185"/>
    </row>
    <row r="99" spans="1:26" ht="15" x14ac:dyDescent="0.2">
      <c r="A99" s="5764"/>
      <c r="B99" s="5861"/>
      <c r="C99" s="960" t="s">
        <v>160</v>
      </c>
      <c r="D99" s="4197"/>
      <c r="E99" s="4197"/>
      <c r="F99" s="4197"/>
      <c r="G99" s="4197"/>
      <c r="H99" s="960"/>
      <c r="I99" s="960"/>
      <c r="J99" s="960"/>
      <c r="K99" s="960"/>
      <c r="L99" s="960"/>
      <c r="M99" s="960"/>
      <c r="N99" s="960"/>
      <c r="O99" s="960"/>
      <c r="P99" s="960"/>
      <c r="Q99" s="960"/>
      <c r="R99" s="960"/>
      <c r="S99" s="960"/>
      <c r="T99" s="960"/>
      <c r="U99" s="960"/>
      <c r="V99" s="960"/>
      <c r="W99" s="960"/>
      <c r="X99" s="1977">
        <f>SUM(X97:X98)</f>
        <v>5</v>
      </c>
      <c r="Y99" s="1977">
        <f>SUM(Y97:Y98)</f>
        <v>16</v>
      </c>
      <c r="Z99" s="1977">
        <f>SUM(Z97:Z98)</f>
        <v>6</v>
      </c>
    </row>
    <row r="100" spans="1:26" ht="15" x14ac:dyDescent="0.2">
      <c r="A100" s="5765"/>
      <c r="B100" s="5887" t="s">
        <v>11</v>
      </c>
      <c r="C100" s="953" t="s">
        <v>505</v>
      </c>
      <c r="D100" s="4197"/>
      <c r="E100" s="4197"/>
      <c r="F100" s="4197"/>
      <c r="G100" s="4197"/>
      <c r="H100" s="953"/>
      <c r="I100" s="953"/>
      <c r="J100" s="953"/>
      <c r="K100" s="953"/>
      <c r="L100" s="953"/>
      <c r="M100" s="953"/>
      <c r="N100" s="953"/>
      <c r="O100" s="953"/>
      <c r="P100" s="953"/>
      <c r="Q100" s="953"/>
      <c r="R100" s="953"/>
      <c r="S100" s="953"/>
      <c r="T100" s="953"/>
      <c r="U100" s="953"/>
      <c r="V100" s="953"/>
      <c r="W100" s="953"/>
      <c r="X100" s="1973">
        <v>6</v>
      </c>
      <c r="Y100" s="1973">
        <v>16</v>
      </c>
      <c r="Z100" s="1973">
        <v>2</v>
      </c>
    </row>
    <row r="101" spans="1:26" ht="15" x14ac:dyDescent="0.2">
      <c r="A101" s="5765"/>
      <c r="B101" s="5861"/>
      <c r="C101" s="960" t="s">
        <v>160</v>
      </c>
      <c r="D101" s="4197"/>
      <c r="E101" s="4197"/>
      <c r="F101" s="4197"/>
      <c r="G101" s="4197"/>
      <c r="H101" s="960"/>
      <c r="I101" s="960"/>
      <c r="J101" s="960"/>
      <c r="K101" s="960"/>
      <c r="L101" s="960"/>
      <c r="M101" s="960"/>
      <c r="N101" s="960"/>
      <c r="O101" s="960"/>
      <c r="P101" s="960"/>
      <c r="Q101" s="960"/>
      <c r="R101" s="960"/>
      <c r="S101" s="960"/>
      <c r="T101" s="960"/>
      <c r="U101" s="960"/>
      <c r="V101" s="960"/>
      <c r="W101" s="960"/>
      <c r="X101" s="1977">
        <f>SUM(X100)</f>
        <v>6</v>
      </c>
      <c r="Y101" s="1977">
        <f>SUM(Y100)</f>
        <v>16</v>
      </c>
      <c r="Z101" s="1977">
        <f>SUM(Z100)</f>
        <v>2</v>
      </c>
    </row>
    <row r="102" spans="1:26" ht="15" x14ac:dyDescent="0.2">
      <c r="A102" s="5766"/>
      <c r="B102" s="3564"/>
      <c r="C102" s="2217" t="s">
        <v>510</v>
      </c>
      <c r="D102" s="5517"/>
      <c r="E102" s="5517"/>
      <c r="F102" s="5517"/>
      <c r="G102" s="5517"/>
      <c r="H102" s="2217"/>
      <c r="I102" s="2217"/>
      <c r="J102" s="2217"/>
      <c r="K102" s="2217"/>
      <c r="L102" s="2217"/>
      <c r="M102" s="2217"/>
      <c r="N102" s="2217"/>
      <c r="O102" s="2217"/>
      <c r="P102" s="2217"/>
      <c r="Q102" s="2217"/>
      <c r="R102" s="2217"/>
      <c r="S102" s="2217"/>
      <c r="T102" s="2217"/>
      <c r="U102" s="2217"/>
      <c r="V102" s="2217"/>
      <c r="W102" s="2217"/>
      <c r="X102" s="5518">
        <f>SUM(X96,X99,X101)</f>
        <v>12</v>
      </c>
      <c r="Y102" s="5518">
        <f>SUM(Y96,Y99,Y101)</f>
        <v>52</v>
      </c>
      <c r="Z102" s="5518">
        <f>SUM(Z96,Z99,Z101)</f>
        <v>11</v>
      </c>
    </row>
    <row r="103" spans="1:26" ht="15" x14ac:dyDescent="0.25">
      <c r="A103" s="1356"/>
      <c r="B103" s="1984"/>
      <c r="C103" s="1269"/>
      <c r="D103" s="1269"/>
      <c r="E103" s="1269"/>
      <c r="F103" s="1269"/>
      <c r="G103" s="1269"/>
      <c r="H103" s="1985"/>
      <c r="I103" s="1985"/>
      <c r="J103" s="1985"/>
      <c r="K103" s="1985"/>
      <c r="L103" s="1985"/>
      <c r="M103" s="1985"/>
      <c r="N103" s="1985"/>
      <c r="O103" s="1985"/>
      <c r="P103" s="1985"/>
      <c r="Q103" s="1985"/>
      <c r="R103" s="1985"/>
      <c r="S103" s="1985"/>
      <c r="T103" s="1985"/>
      <c r="U103" s="1985"/>
      <c r="V103" s="1985"/>
      <c r="W103" s="1985"/>
      <c r="X103" s="1985"/>
      <c r="Y103" s="1985"/>
      <c r="Z103" s="1985"/>
    </row>
    <row r="104" spans="1:26" ht="20.25" customHeight="1" x14ac:dyDescent="0.2">
      <c r="A104" s="5944" t="s">
        <v>76</v>
      </c>
      <c r="B104" s="5945"/>
      <c r="C104" s="5946"/>
      <c r="D104" s="1986"/>
      <c r="E104" s="1986"/>
      <c r="F104" s="1986"/>
      <c r="G104" s="1986"/>
      <c r="H104" s="1987">
        <f t="shared" ref="H104:Q104" si="26">SUM(H94,H79,H57,H26)</f>
        <v>4014</v>
      </c>
      <c r="I104" s="1987">
        <f t="shared" si="26"/>
        <v>3788</v>
      </c>
      <c r="J104" s="1987">
        <f t="shared" si="26"/>
        <v>4073</v>
      </c>
      <c r="K104" s="1987">
        <f t="shared" si="26"/>
        <v>4157</v>
      </c>
      <c r="L104" s="1987">
        <f t="shared" si="26"/>
        <v>4406</v>
      </c>
      <c r="M104" s="1987">
        <f t="shared" si="26"/>
        <v>4159</v>
      </c>
      <c r="N104" s="1987">
        <f t="shared" si="26"/>
        <v>4050</v>
      </c>
      <c r="O104" s="1987">
        <f t="shared" si="26"/>
        <v>3813</v>
      </c>
      <c r="P104" s="1987">
        <f t="shared" si="26"/>
        <v>4048</v>
      </c>
      <c r="Q104" s="1987">
        <f t="shared" si="26"/>
        <v>3487</v>
      </c>
      <c r="R104" s="1987">
        <f t="shared" ref="R104:W104" si="27">SUM(R94,R79,R57,R26)</f>
        <v>4180</v>
      </c>
      <c r="S104" s="1987">
        <f t="shared" si="27"/>
        <v>4537</v>
      </c>
      <c r="T104" s="1987">
        <f t="shared" si="27"/>
        <v>4539</v>
      </c>
      <c r="U104" s="1987">
        <f t="shared" si="27"/>
        <v>4205</v>
      </c>
      <c r="V104" s="1987">
        <f t="shared" si="27"/>
        <v>4268</v>
      </c>
      <c r="W104" s="1987">
        <f t="shared" si="27"/>
        <v>4690</v>
      </c>
      <c r="X104" s="1987">
        <f>SUM(X26,X57,X79,X94,X102)</f>
        <v>3923</v>
      </c>
      <c r="Y104" s="1987">
        <f>SUM(Y26,Y57,Y79,Y94,Y102)</f>
        <v>4763</v>
      </c>
      <c r="Z104" s="1987">
        <f>SUM(Z26,Z57,Z79,Z94,Z102)</f>
        <v>3579</v>
      </c>
    </row>
    <row r="105" spans="1:26" x14ac:dyDescent="0.2">
      <c r="A105" s="240" t="s">
        <v>648</v>
      </c>
    </row>
    <row r="106" spans="1:26" x14ac:dyDescent="0.2">
      <c r="B106" s="916"/>
    </row>
  </sheetData>
  <sheetProtection algorithmName="SHA-512" hashValue="YC3lOeYa2nWbQVAlT5XP4YuFkoGIv2EFi9lJClHgdVd1u+X7VsDhWwW8c6UTFgiIWirQQP4uUxr43/yAgdEi4A==" saltValue="RUL9BqENMXD4YNR1uJKDZg==" spinCount="100000" sheet="1" objects="1" scenarios="1"/>
  <mergeCells count="21">
    <mergeCell ref="A6:A26"/>
    <mergeCell ref="B6:B16"/>
    <mergeCell ref="B17:B21"/>
    <mergeCell ref="B22:B25"/>
    <mergeCell ref="A27:A57"/>
    <mergeCell ref="B27:B36"/>
    <mergeCell ref="B37:B49"/>
    <mergeCell ref="B50:B56"/>
    <mergeCell ref="A104:C104"/>
    <mergeCell ref="A58:A79"/>
    <mergeCell ref="B58:B64"/>
    <mergeCell ref="B65:B73"/>
    <mergeCell ref="B74:B78"/>
    <mergeCell ref="A80:A94"/>
    <mergeCell ref="B80:B84"/>
    <mergeCell ref="B85:B88"/>
    <mergeCell ref="B89:B93"/>
    <mergeCell ref="A95:A102"/>
    <mergeCell ref="B95:B96"/>
    <mergeCell ref="B97:B99"/>
    <mergeCell ref="B100:B101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55" orientation="landscape" r:id="rId1"/>
  <rowBreaks count="1" manualBreakCount="1">
    <brk id="57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Z39"/>
  <sheetViews>
    <sheetView showGridLines="0" zoomScaleNormal="100" workbookViewId="0">
      <pane xSplit="7" ySplit="5" topLeftCell="H6" activePane="bottomRight" state="frozen"/>
      <selection sqref="A1:E1"/>
      <selection pane="topRight" sqref="A1:E1"/>
      <selection pane="bottomLeft" sqref="A1:E1"/>
      <selection pane="bottomRight" activeCell="AC54" sqref="AC54"/>
    </sheetView>
  </sheetViews>
  <sheetFormatPr baseColWidth="10" defaultRowHeight="12.75" x14ac:dyDescent="0.2"/>
  <cols>
    <col min="1" max="1" width="18" bestFit="1" customWidth="1"/>
    <col min="3" max="7" width="0" hidden="1" customWidth="1"/>
    <col min="8" max="26" width="9.7109375" customWidth="1"/>
  </cols>
  <sheetData>
    <row r="2" spans="1:26" ht="15.75" x14ac:dyDescent="0.25">
      <c r="A2" s="4511" t="s">
        <v>1224</v>
      </c>
      <c r="B2" s="990"/>
      <c r="C2" s="990"/>
      <c r="D2" s="990"/>
      <c r="E2" s="990"/>
      <c r="F2" s="990"/>
      <c r="G2" s="990"/>
      <c r="H2" s="990"/>
      <c r="I2" s="990"/>
      <c r="J2" s="990"/>
      <c r="K2" s="990"/>
      <c r="L2" s="990"/>
      <c r="M2" s="990"/>
      <c r="N2" s="990"/>
      <c r="O2" s="990"/>
      <c r="P2" s="990"/>
      <c r="Q2" s="990"/>
      <c r="R2" s="990"/>
      <c r="S2" s="990"/>
    </row>
    <row r="4" spans="1:26" ht="20.25" customHeight="1" x14ac:dyDescent="0.2">
      <c r="A4" s="931" t="s">
        <v>16</v>
      </c>
      <c r="B4" s="562" t="s">
        <v>4</v>
      </c>
      <c r="C4" s="562">
        <v>2004</v>
      </c>
      <c r="D4" s="562">
        <v>2005</v>
      </c>
      <c r="E4" s="562">
        <v>2006</v>
      </c>
      <c r="F4" s="562">
        <v>2007</v>
      </c>
      <c r="G4" s="562">
        <v>2008</v>
      </c>
      <c r="H4" s="562">
        <v>1999</v>
      </c>
      <c r="I4" s="562">
        <v>2000</v>
      </c>
      <c r="J4" s="562">
        <v>2001</v>
      </c>
      <c r="K4" s="562">
        <v>2002</v>
      </c>
      <c r="L4" s="562">
        <v>2003</v>
      </c>
      <c r="M4" s="562">
        <v>2004</v>
      </c>
      <c r="N4" s="562">
        <v>2005</v>
      </c>
      <c r="O4" s="562">
        <v>2006</v>
      </c>
      <c r="P4" s="562">
        <v>2007</v>
      </c>
      <c r="Q4" s="562">
        <v>2008</v>
      </c>
      <c r="R4" s="562">
        <v>2009</v>
      </c>
      <c r="S4" s="562">
        <v>2010</v>
      </c>
      <c r="T4" s="562">
        <v>2011</v>
      </c>
      <c r="U4" s="562">
        <v>2012</v>
      </c>
      <c r="V4" s="562">
        <v>2013</v>
      </c>
      <c r="W4" s="562">
        <v>2014</v>
      </c>
      <c r="X4" s="562">
        <v>2015</v>
      </c>
      <c r="Y4" s="562">
        <v>2016</v>
      </c>
      <c r="Z4" s="562">
        <v>2017</v>
      </c>
    </row>
    <row r="5" spans="1:26" ht="15" x14ac:dyDescent="0.2">
      <c r="A5" s="729"/>
      <c r="B5" s="729"/>
      <c r="C5" s="729"/>
      <c r="D5" s="729"/>
      <c r="E5" s="729"/>
      <c r="F5" s="729"/>
      <c r="G5" s="729"/>
      <c r="H5" s="729"/>
      <c r="I5" s="729"/>
      <c r="J5" s="729"/>
      <c r="K5" s="729"/>
      <c r="L5" s="729"/>
      <c r="M5" s="729"/>
      <c r="N5" s="729"/>
      <c r="O5" s="729"/>
      <c r="P5" s="729"/>
      <c r="Q5" s="729"/>
      <c r="R5" s="932"/>
      <c r="S5" s="932"/>
      <c r="T5" s="932"/>
      <c r="U5" s="932"/>
      <c r="V5" s="1398"/>
      <c r="W5" s="1922"/>
      <c r="X5" s="3921"/>
      <c r="Y5" s="5042"/>
      <c r="Z5" s="5352"/>
    </row>
    <row r="6" spans="1:26" ht="15" x14ac:dyDescent="0.2">
      <c r="A6" s="5888" t="s">
        <v>161</v>
      </c>
      <c r="B6" s="991" t="s">
        <v>5</v>
      </c>
      <c r="C6" s="991"/>
      <c r="D6" s="991"/>
      <c r="E6" s="991"/>
      <c r="F6" s="991"/>
      <c r="G6" s="991"/>
      <c r="H6" s="1988">
        <f>SUM('TITULADOS plan'!H6:H15)</f>
        <v>443</v>
      </c>
      <c r="I6" s="1988">
        <f>SUM('TITULADOS plan'!I6:I15)</f>
        <v>336</v>
      </c>
      <c r="J6" s="1988">
        <f>SUM('TITULADOS plan'!J6:J15)</f>
        <v>350</v>
      </c>
      <c r="K6" s="1988">
        <f>SUM('TITULADOS plan'!K6:K15)</f>
        <v>340</v>
      </c>
      <c r="L6" s="1988">
        <f>SUM('TITULADOS plan'!L6:L15)</f>
        <v>412</v>
      </c>
      <c r="M6" s="1988">
        <f>SUM('TITULADOS plan'!M6:M15)</f>
        <v>365</v>
      </c>
      <c r="N6" s="1988">
        <f>SUM('TITULADOS plan'!N6:N15)</f>
        <v>351</v>
      </c>
      <c r="O6" s="1988">
        <f>SUM('TITULADOS plan'!O6:O15)</f>
        <v>395</v>
      </c>
      <c r="P6" s="1988">
        <f>SUM('TITULADOS plan'!P6:P15)</f>
        <v>363</v>
      </c>
      <c r="Q6" s="1988">
        <f>SUM('TITULADOS plan'!Q6:Q15)</f>
        <v>303</v>
      </c>
      <c r="R6" s="1988">
        <f>SUM('TITULADOS plan'!R6:R15)</f>
        <v>351</v>
      </c>
      <c r="S6" s="1988">
        <f>SUM('TITULADOS plan'!S6:S15)</f>
        <v>363</v>
      </c>
      <c r="T6" s="1988">
        <f>SUM('TITULADOS plan'!T6:T15)</f>
        <v>353</v>
      </c>
      <c r="U6" s="1988">
        <f>SUM('TITULADOS plan'!U6:U15)</f>
        <v>355</v>
      </c>
      <c r="V6" s="1988">
        <f>SUM('TITULADOS plan'!V6:V15)</f>
        <v>392</v>
      </c>
      <c r="W6" s="1988">
        <f>SUM('TITULADOS plan'!W6:W15)</f>
        <v>526</v>
      </c>
      <c r="X6" s="1988">
        <f>SUM('TITULADOS plan'!X6:X15)</f>
        <v>392</v>
      </c>
      <c r="Y6" s="1988">
        <f>SUM('TITULADOS plan'!Y6:Y15)</f>
        <v>530</v>
      </c>
      <c r="Z6" s="1988">
        <f>SUM('TITULADOS plan'!Z6:Z15)</f>
        <v>375</v>
      </c>
    </row>
    <row r="7" spans="1:26" ht="15" x14ac:dyDescent="0.2">
      <c r="A7" s="5889"/>
      <c r="B7" s="992" t="s">
        <v>6</v>
      </c>
      <c r="C7" s="992"/>
      <c r="D7" s="992"/>
      <c r="E7" s="992"/>
      <c r="F7" s="992"/>
      <c r="G7" s="992"/>
      <c r="H7" s="1989">
        <f>SUM('TITULADOS plan'!H17:H20)</f>
        <v>602</v>
      </c>
      <c r="I7" s="1989">
        <f>SUM('TITULADOS plan'!I17:I20)</f>
        <v>553</v>
      </c>
      <c r="J7" s="1989">
        <f>SUM('TITULADOS plan'!J17:J20)</f>
        <v>585</v>
      </c>
      <c r="K7" s="1989">
        <f>SUM('TITULADOS plan'!K17:K20)</f>
        <v>566</v>
      </c>
      <c r="L7" s="1989">
        <f>SUM('TITULADOS plan'!L17:L20)</f>
        <v>602</v>
      </c>
      <c r="M7" s="1989">
        <f>SUM('TITULADOS plan'!M17:M20)</f>
        <v>503</v>
      </c>
      <c r="N7" s="1989">
        <f>SUM('TITULADOS plan'!N17:N20)</f>
        <v>451</v>
      </c>
      <c r="O7" s="1989">
        <f>SUM('TITULADOS plan'!O17:O20)</f>
        <v>444</v>
      </c>
      <c r="P7" s="1989">
        <f>SUM('TITULADOS plan'!P17:P20)</f>
        <v>449</v>
      </c>
      <c r="Q7" s="1989">
        <f>SUM('TITULADOS plan'!Q17:Q20)</f>
        <v>322</v>
      </c>
      <c r="R7" s="1989">
        <f>SUM('TITULADOS plan'!R17:R20)</f>
        <v>406</v>
      </c>
      <c r="S7" s="1989">
        <f>SUM('TITULADOS plan'!S17:S20)</f>
        <v>410</v>
      </c>
      <c r="T7" s="1989">
        <f>SUM('TITULADOS plan'!T17:T20)</f>
        <v>397</v>
      </c>
      <c r="U7" s="1989">
        <f>SUM('TITULADOS plan'!U17:U20)</f>
        <v>380</v>
      </c>
      <c r="V7" s="1989">
        <f>SUM('TITULADOS plan'!V17:V20)</f>
        <v>464</v>
      </c>
      <c r="W7" s="1989">
        <f>SUM('TITULADOS plan'!W17:W20)</f>
        <v>403</v>
      </c>
      <c r="X7" s="1989">
        <f>SUM('TITULADOS plan'!X17:X20)</f>
        <v>385</v>
      </c>
      <c r="Y7" s="1989">
        <f>SUM('TITULADOS plan'!Y17:Y20)</f>
        <v>525</v>
      </c>
      <c r="Z7" s="1989">
        <f>SUM('TITULADOS plan'!Z17:Z20)</f>
        <v>588</v>
      </c>
    </row>
    <row r="8" spans="1:26" ht="15" x14ac:dyDescent="0.2">
      <c r="A8" s="5889"/>
      <c r="B8" s="992" t="s">
        <v>7</v>
      </c>
      <c r="C8" s="992"/>
      <c r="D8" s="992"/>
      <c r="E8" s="992"/>
      <c r="F8" s="992"/>
      <c r="G8" s="992"/>
      <c r="H8" s="1989">
        <f>SUM('TITULADOS plan'!H22:H24)</f>
        <v>346</v>
      </c>
      <c r="I8" s="1989">
        <f>SUM('TITULADOS plan'!I22:I24)</f>
        <v>334</v>
      </c>
      <c r="J8" s="1989">
        <f>SUM('TITULADOS plan'!J22:J24)</f>
        <v>379</v>
      </c>
      <c r="K8" s="1989">
        <f>SUM('TITULADOS plan'!K22:K24)</f>
        <v>278</v>
      </c>
      <c r="L8" s="1989">
        <f>SUM('TITULADOS plan'!L22:L24)</f>
        <v>320</v>
      </c>
      <c r="M8" s="1989">
        <f>SUM('TITULADOS plan'!M22:M24)</f>
        <v>311</v>
      </c>
      <c r="N8" s="1989">
        <f>SUM('TITULADOS plan'!N22:N24)</f>
        <v>271</v>
      </c>
      <c r="O8" s="1989">
        <f>SUM('TITULADOS plan'!O22:O24)</f>
        <v>271</v>
      </c>
      <c r="P8" s="1989">
        <f>SUM('TITULADOS plan'!P22:P24)</f>
        <v>329</v>
      </c>
      <c r="Q8" s="1989">
        <f>SUM('TITULADOS plan'!Q22:Q24)</f>
        <v>245</v>
      </c>
      <c r="R8" s="1989">
        <f>SUM('TITULADOS plan'!R22:R24)</f>
        <v>386</v>
      </c>
      <c r="S8" s="1989">
        <f>SUM('TITULADOS plan'!S22:S24)</f>
        <v>311</v>
      </c>
      <c r="T8" s="1989">
        <f>SUM('TITULADOS plan'!T22:T24)</f>
        <v>277</v>
      </c>
      <c r="U8" s="1989">
        <f>SUM('TITULADOS plan'!U22:U24)</f>
        <v>199</v>
      </c>
      <c r="V8" s="1989">
        <f>SUM('TITULADOS plan'!V22:V24)</f>
        <v>262</v>
      </c>
      <c r="W8" s="1989">
        <f>SUM('TITULADOS plan'!W22:W24)</f>
        <v>312</v>
      </c>
      <c r="X8" s="1989">
        <f>SUM('TITULADOS plan'!X22:X24)</f>
        <v>224</v>
      </c>
      <c r="Y8" s="1989">
        <f>SUM('TITULADOS plan'!Y22:Y24)</f>
        <v>255</v>
      </c>
      <c r="Z8" s="1989">
        <f>SUM('TITULADOS plan'!Z22:Z24)</f>
        <v>184</v>
      </c>
    </row>
    <row r="9" spans="1:26" ht="15" x14ac:dyDescent="0.2">
      <c r="A9" s="5890"/>
      <c r="B9" s="2386" t="s">
        <v>12</v>
      </c>
      <c r="C9" s="2386"/>
      <c r="D9" s="2386"/>
      <c r="E9" s="2386"/>
      <c r="F9" s="2386"/>
      <c r="G9" s="2386"/>
      <c r="H9" s="2387">
        <f t="shared" ref="H9:Q9" si="0">H6+H7+H8</f>
        <v>1391</v>
      </c>
      <c r="I9" s="2387">
        <f t="shared" si="0"/>
        <v>1223</v>
      </c>
      <c r="J9" s="2387">
        <f t="shared" si="0"/>
        <v>1314</v>
      </c>
      <c r="K9" s="2387">
        <f t="shared" si="0"/>
        <v>1184</v>
      </c>
      <c r="L9" s="2387">
        <f t="shared" si="0"/>
        <v>1334</v>
      </c>
      <c r="M9" s="2387">
        <f t="shared" si="0"/>
        <v>1179</v>
      </c>
      <c r="N9" s="2387">
        <f t="shared" si="0"/>
        <v>1073</v>
      </c>
      <c r="O9" s="2387">
        <f t="shared" si="0"/>
        <v>1110</v>
      </c>
      <c r="P9" s="2387">
        <f t="shared" si="0"/>
        <v>1141</v>
      </c>
      <c r="Q9" s="2387">
        <f t="shared" si="0"/>
        <v>870</v>
      </c>
      <c r="R9" s="2387">
        <f t="shared" ref="R9:W9" si="1">R6+R7+R8</f>
        <v>1143</v>
      </c>
      <c r="S9" s="2387">
        <f t="shared" si="1"/>
        <v>1084</v>
      </c>
      <c r="T9" s="2387">
        <f t="shared" si="1"/>
        <v>1027</v>
      </c>
      <c r="U9" s="2387">
        <f t="shared" si="1"/>
        <v>934</v>
      </c>
      <c r="V9" s="2387">
        <f t="shared" si="1"/>
        <v>1118</v>
      </c>
      <c r="W9" s="2387">
        <f t="shared" si="1"/>
        <v>1241</v>
      </c>
      <c r="X9" s="2387">
        <f>X6+X7+X8</f>
        <v>1001</v>
      </c>
      <c r="Y9" s="2387">
        <f>Y6+Y7+Y8</f>
        <v>1310</v>
      </c>
      <c r="Z9" s="2387">
        <f>Z6+Z7+Z8</f>
        <v>1147</v>
      </c>
    </row>
    <row r="10" spans="1:26" ht="15.75" x14ac:dyDescent="0.2">
      <c r="A10" s="681"/>
      <c r="B10" s="932"/>
      <c r="C10" s="932"/>
      <c r="D10" s="932"/>
      <c r="E10" s="932"/>
      <c r="F10" s="932"/>
      <c r="G10" s="932"/>
      <c r="H10" s="1990"/>
      <c r="I10" s="1990"/>
      <c r="J10" s="1990"/>
      <c r="K10" s="1990"/>
      <c r="L10" s="1990"/>
      <c r="M10" s="1990"/>
      <c r="N10" s="1990"/>
      <c r="O10" s="1990"/>
      <c r="P10" s="1990"/>
      <c r="Q10" s="1990"/>
      <c r="R10" s="1990"/>
      <c r="S10" s="1990"/>
      <c r="T10" s="1990"/>
      <c r="U10" s="1990"/>
      <c r="V10" s="1990"/>
      <c r="W10" s="1990"/>
      <c r="X10" s="1990"/>
      <c r="Y10" s="1990"/>
      <c r="Z10" s="1990"/>
    </row>
    <row r="11" spans="1:26" ht="15" x14ac:dyDescent="0.2">
      <c r="A11" s="5897" t="s">
        <v>407</v>
      </c>
      <c r="B11" s="245" t="s">
        <v>6</v>
      </c>
      <c r="C11" s="245"/>
      <c r="D11" s="245"/>
      <c r="E11" s="245"/>
      <c r="F11" s="245"/>
      <c r="G11" s="245"/>
      <c r="H11" s="1991"/>
      <c r="I11" s="1992"/>
      <c r="J11" s="1992"/>
      <c r="K11" s="1992"/>
      <c r="L11" s="1992"/>
      <c r="M11" s="1992"/>
      <c r="N11" s="1992"/>
      <c r="O11" s="1992"/>
      <c r="P11" s="1992"/>
      <c r="Q11" s="1992"/>
      <c r="R11" s="732"/>
      <c r="S11" s="1988">
        <f>SUM('TITULADOS plan'!S80:S83)</f>
        <v>10</v>
      </c>
      <c r="T11" s="1988">
        <f>SUM('TITULADOS plan'!T80:T83)</f>
        <v>51</v>
      </c>
      <c r="U11" s="1988">
        <f>SUM('TITULADOS plan'!U80:U83)</f>
        <v>39</v>
      </c>
      <c r="V11" s="1988">
        <f>SUM('TITULADOS plan'!V80:V83)</f>
        <v>36</v>
      </c>
      <c r="W11" s="1988">
        <f>SUM('TITULADOS plan'!W80:W83)</f>
        <v>33</v>
      </c>
      <c r="X11" s="1988">
        <f>SUM('TITULADOS plan'!X80:X83)</f>
        <v>33</v>
      </c>
      <c r="Y11" s="1988">
        <f>SUM('TITULADOS plan'!Y80:Y83)</f>
        <v>33</v>
      </c>
      <c r="Z11" s="1988">
        <f>SUM('TITULADOS plan'!Z80:Z83)</f>
        <v>21</v>
      </c>
    </row>
    <row r="12" spans="1:26" ht="15" x14ac:dyDescent="0.2">
      <c r="A12" s="5898"/>
      <c r="B12" s="246" t="s">
        <v>9</v>
      </c>
      <c r="C12" s="246"/>
      <c r="D12" s="246"/>
      <c r="E12" s="246"/>
      <c r="F12" s="246"/>
      <c r="G12" s="246"/>
      <c r="H12" s="1993"/>
      <c r="I12" s="1994"/>
      <c r="J12" s="1994"/>
      <c r="K12" s="1994"/>
      <c r="L12" s="1994"/>
      <c r="M12" s="1994"/>
      <c r="N12" s="1994"/>
      <c r="O12" s="1994"/>
      <c r="P12" s="1994"/>
      <c r="Q12" s="1994"/>
      <c r="R12" s="735"/>
      <c r="S12" s="1989">
        <f>SUM('TITULADOS plan'!S85:S87)</f>
        <v>3</v>
      </c>
      <c r="T12" s="1989">
        <f>SUM('TITULADOS plan'!T85:T87)</f>
        <v>7</v>
      </c>
      <c r="U12" s="1989">
        <f>SUM('TITULADOS plan'!U85:U87)</f>
        <v>31</v>
      </c>
      <c r="V12" s="1989">
        <f>SUM('TITULADOS plan'!V85:V87)</f>
        <v>37</v>
      </c>
      <c r="W12" s="1989">
        <f>SUM('TITULADOS plan'!W85:W87)</f>
        <v>30</v>
      </c>
      <c r="X12" s="1989">
        <f>SUM('TITULADOS plan'!X85:X87)</f>
        <v>35</v>
      </c>
      <c r="Y12" s="1989">
        <f>SUM('TITULADOS plan'!Y85:Y87)</f>
        <v>34</v>
      </c>
      <c r="Z12" s="1989">
        <f>SUM('TITULADOS plan'!Z85:Z87)</f>
        <v>32</v>
      </c>
    </row>
    <row r="13" spans="1:26" ht="15" x14ac:dyDescent="0.2">
      <c r="A13" s="5898"/>
      <c r="B13" s="246" t="s">
        <v>74</v>
      </c>
      <c r="C13" s="246"/>
      <c r="D13" s="246"/>
      <c r="E13" s="246"/>
      <c r="F13" s="246"/>
      <c r="G13" s="246"/>
      <c r="H13" s="1993"/>
      <c r="I13" s="1994"/>
      <c r="J13" s="1994"/>
      <c r="K13" s="1994"/>
      <c r="L13" s="1994"/>
      <c r="M13" s="1994"/>
      <c r="N13" s="1994"/>
      <c r="O13" s="1994"/>
      <c r="P13" s="1994"/>
      <c r="Q13" s="1994"/>
      <c r="R13" s="735"/>
      <c r="S13" s="1989">
        <f>SUM('TITULADOS plan'!S89:S90)</f>
        <v>5</v>
      </c>
      <c r="T13" s="1989">
        <f>SUM('TITULADOS plan'!T89:T90)</f>
        <v>9</v>
      </c>
      <c r="U13" s="1989">
        <f>SUM('TITULADOS plan'!U89:U90)</f>
        <v>6</v>
      </c>
      <c r="V13" s="1989">
        <f>SUM('TITULADOS plan'!V89:V91)</f>
        <v>19</v>
      </c>
      <c r="W13" s="1989">
        <f>SUM('TITULADOS plan'!W89:W91)</f>
        <v>18</v>
      </c>
      <c r="X13" s="1989">
        <f>SUM('TITULADOS plan'!X93)</f>
        <v>20</v>
      </c>
      <c r="Y13" s="1989">
        <f>SUM('TITULADOS plan'!Y93)</f>
        <v>35</v>
      </c>
      <c r="Z13" s="1989">
        <f>SUM('TITULADOS plan'!Z93)</f>
        <v>36</v>
      </c>
    </row>
    <row r="14" spans="1:26" ht="15" x14ac:dyDescent="0.2">
      <c r="A14" s="5899"/>
      <c r="B14" s="2388" t="s">
        <v>12</v>
      </c>
      <c r="C14" s="2388"/>
      <c r="D14" s="2388"/>
      <c r="E14" s="2388"/>
      <c r="F14" s="2388"/>
      <c r="G14" s="2388"/>
      <c r="H14" s="2389"/>
      <c r="I14" s="2390"/>
      <c r="J14" s="2390"/>
      <c r="K14" s="2390"/>
      <c r="L14" s="2390"/>
      <c r="M14" s="2390"/>
      <c r="N14" s="2390"/>
      <c r="O14" s="2390"/>
      <c r="P14" s="2390"/>
      <c r="Q14" s="2390"/>
      <c r="R14" s="2198"/>
      <c r="S14" s="2391">
        <f t="shared" ref="S14:X14" si="2">S11+S12+S13</f>
        <v>18</v>
      </c>
      <c r="T14" s="2391">
        <f t="shared" si="2"/>
        <v>67</v>
      </c>
      <c r="U14" s="2391">
        <f t="shared" si="2"/>
        <v>76</v>
      </c>
      <c r="V14" s="2391">
        <f t="shared" si="2"/>
        <v>92</v>
      </c>
      <c r="W14" s="2391">
        <f t="shared" si="2"/>
        <v>81</v>
      </c>
      <c r="X14" s="2391">
        <f t="shared" si="2"/>
        <v>88</v>
      </c>
      <c r="Y14" s="2391">
        <f>Y11+Y12+Y13</f>
        <v>102</v>
      </c>
      <c r="Z14" s="2391">
        <f>Z11+Z12+Z13</f>
        <v>89</v>
      </c>
    </row>
    <row r="15" spans="1:26" ht="15.75" customHeight="1" x14ac:dyDescent="0.2">
      <c r="A15" s="1782"/>
      <c r="B15" s="736"/>
      <c r="C15" s="736"/>
      <c r="D15" s="736"/>
      <c r="E15" s="736"/>
      <c r="F15" s="736"/>
      <c r="G15" s="736"/>
      <c r="H15" s="1995"/>
      <c r="I15" s="1995"/>
      <c r="J15" s="1995"/>
      <c r="K15" s="1995"/>
      <c r="L15" s="1995"/>
      <c r="M15" s="1995"/>
      <c r="N15" s="1995"/>
      <c r="O15" s="1995"/>
      <c r="P15" s="1995"/>
      <c r="Q15" s="1995"/>
      <c r="R15" s="741"/>
      <c r="S15" s="741"/>
      <c r="T15" s="741"/>
      <c r="U15" s="741"/>
      <c r="V15" s="741"/>
      <c r="W15" s="741"/>
      <c r="X15" s="741"/>
      <c r="Y15" s="741"/>
      <c r="Z15" s="741"/>
    </row>
    <row r="16" spans="1:26" ht="15" x14ac:dyDescent="0.2">
      <c r="A16" s="5891" t="s">
        <v>162</v>
      </c>
      <c r="B16" s="991" t="s">
        <v>5</v>
      </c>
      <c r="C16" s="991"/>
      <c r="D16" s="991"/>
      <c r="E16" s="991"/>
      <c r="F16" s="991"/>
      <c r="G16" s="991"/>
      <c r="H16" s="1988">
        <f>SUM('TITULADOS plan'!H27:H35)</f>
        <v>187</v>
      </c>
      <c r="I16" s="1988">
        <f>SUM('TITULADOS plan'!I27:I35)</f>
        <v>201</v>
      </c>
      <c r="J16" s="1988">
        <f>SUM('TITULADOS plan'!J27:J35)</f>
        <v>200</v>
      </c>
      <c r="K16" s="1988">
        <f>SUM('TITULADOS plan'!K27:K35)</f>
        <v>195</v>
      </c>
      <c r="L16" s="1988">
        <f>SUM('TITULADOS plan'!L27:L35)</f>
        <v>202</v>
      </c>
      <c r="M16" s="1988">
        <f>SUM('TITULADOS plan'!M27:M35)</f>
        <v>227</v>
      </c>
      <c r="N16" s="1988">
        <f>SUM('TITULADOS plan'!N27:N35)</f>
        <v>223</v>
      </c>
      <c r="O16" s="1988">
        <f>SUM('TITULADOS plan'!O27:O35)</f>
        <v>234</v>
      </c>
      <c r="P16" s="1988">
        <f>SUM('TITULADOS plan'!P27:P35)</f>
        <v>234</v>
      </c>
      <c r="Q16" s="1988">
        <f>SUM('TITULADOS plan'!Q27:Q35)</f>
        <v>193</v>
      </c>
      <c r="R16" s="1988">
        <f>SUM('TITULADOS plan'!R27:R35)</f>
        <v>153</v>
      </c>
      <c r="S16" s="1988">
        <f>SUM('TITULADOS plan'!S27:S35)</f>
        <v>200</v>
      </c>
      <c r="T16" s="1988">
        <f>SUM('TITULADOS plan'!T27:T35)</f>
        <v>201</v>
      </c>
      <c r="U16" s="1988">
        <f>SUM('TITULADOS plan'!U27:U35)</f>
        <v>204</v>
      </c>
      <c r="V16" s="1988">
        <f>SUM('TITULADOS plan'!V27:V35)</f>
        <v>174</v>
      </c>
      <c r="W16" s="1988">
        <f>SUM('TITULADOS plan'!W27:W35)</f>
        <v>218</v>
      </c>
      <c r="X16" s="1988">
        <f>SUM('TITULADOS plan'!X27:X35)</f>
        <v>183</v>
      </c>
      <c r="Y16" s="1988">
        <f>SUM('TITULADOS plan'!Y27:Y35)</f>
        <v>196</v>
      </c>
      <c r="Z16" s="1988">
        <f>SUM('TITULADOS plan'!Z27:Z35)</f>
        <v>192</v>
      </c>
    </row>
    <row r="17" spans="1:26" ht="15" x14ac:dyDescent="0.2">
      <c r="A17" s="5892"/>
      <c r="B17" s="992" t="s">
        <v>6</v>
      </c>
      <c r="C17" s="992"/>
      <c r="D17" s="992"/>
      <c r="E17" s="992"/>
      <c r="F17" s="992"/>
      <c r="G17" s="992"/>
      <c r="H17" s="1989">
        <f>SUM('TITULADOS plan'!H37:H48)</f>
        <v>417</v>
      </c>
      <c r="I17" s="1989">
        <f>SUM('TITULADOS plan'!I37:I48)</f>
        <v>478</v>
      </c>
      <c r="J17" s="1989">
        <f>SUM('TITULADOS plan'!J37:J48)</f>
        <v>465</v>
      </c>
      <c r="K17" s="1989">
        <f>SUM('TITULADOS plan'!K37:K48)</f>
        <v>470</v>
      </c>
      <c r="L17" s="1989">
        <f>SUM('TITULADOS plan'!L37:L48)</f>
        <v>509</v>
      </c>
      <c r="M17" s="1989">
        <f>SUM('TITULADOS plan'!M37:M48)</f>
        <v>500</v>
      </c>
      <c r="N17" s="1989">
        <f>SUM('TITULADOS plan'!N37:N48)</f>
        <v>516</v>
      </c>
      <c r="O17" s="1989">
        <f>SUM('TITULADOS plan'!O37:O48)</f>
        <v>466</v>
      </c>
      <c r="P17" s="1989">
        <f>SUM('TITULADOS plan'!P37:P48)</f>
        <v>495</v>
      </c>
      <c r="Q17" s="1989">
        <f>SUM('TITULADOS plan'!Q37:Q48)</f>
        <v>487</v>
      </c>
      <c r="R17" s="1989">
        <f>SUM('TITULADOS plan'!R37:R48)</f>
        <v>427</v>
      </c>
      <c r="S17" s="1989">
        <f>SUM('TITULADOS plan'!S37:S48)</f>
        <v>545</v>
      </c>
      <c r="T17" s="1989">
        <f>SUM('TITULADOS plan'!T37:T48)</f>
        <v>531</v>
      </c>
      <c r="U17" s="1989">
        <f>SUM('TITULADOS plan'!U37:U48)</f>
        <v>513</v>
      </c>
      <c r="V17" s="1989">
        <f>SUM('TITULADOS plan'!V37:V48)</f>
        <v>538</v>
      </c>
      <c r="W17" s="1989">
        <f>SUM('TITULADOS plan'!W37:W48)</f>
        <v>624</v>
      </c>
      <c r="X17" s="1989">
        <f>SUM('TITULADOS plan'!X37:X48)</f>
        <v>448</v>
      </c>
      <c r="Y17" s="1989">
        <f>SUM('TITULADOS plan'!Y37:Y48)</f>
        <v>570</v>
      </c>
      <c r="Z17" s="1989">
        <f>SUM('TITULADOS plan'!Z37:Z48)</f>
        <v>372</v>
      </c>
    </row>
    <row r="18" spans="1:26" ht="15" x14ac:dyDescent="0.2">
      <c r="A18" s="5892"/>
      <c r="B18" s="992" t="s">
        <v>11</v>
      </c>
      <c r="C18" s="992"/>
      <c r="D18" s="992"/>
      <c r="E18" s="992"/>
      <c r="F18" s="992"/>
      <c r="G18" s="992"/>
      <c r="H18" s="1989">
        <f>SUM('TITULADOS plan'!H50:H55)</f>
        <v>187</v>
      </c>
      <c r="I18" s="1989">
        <f>SUM('TITULADOS plan'!I50:I55)</f>
        <v>142</v>
      </c>
      <c r="J18" s="1989">
        <f>SUM('TITULADOS plan'!J50:J55)</f>
        <v>200</v>
      </c>
      <c r="K18" s="1989">
        <f>SUM('TITULADOS plan'!K50:K55)</f>
        <v>191</v>
      </c>
      <c r="L18" s="1989">
        <f>SUM('TITULADOS plan'!L50:L55)</f>
        <v>261</v>
      </c>
      <c r="M18" s="1989">
        <f>SUM('TITULADOS plan'!M50:M55)</f>
        <v>310</v>
      </c>
      <c r="N18" s="1989">
        <f>SUM('TITULADOS plan'!N50:N55)</f>
        <v>323</v>
      </c>
      <c r="O18" s="1989">
        <f>SUM('TITULADOS plan'!O50:O55)</f>
        <v>336</v>
      </c>
      <c r="P18" s="1989">
        <f>SUM('TITULADOS plan'!P50:P55)</f>
        <v>327</v>
      </c>
      <c r="Q18" s="1989">
        <f>SUM('TITULADOS plan'!Q50:Q55)</f>
        <v>250</v>
      </c>
      <c r="R18" s="1989">
        <f>SUM('TITULADOS plan'!R50:R55)</f>
        <v>290</v>
      </c>
      <c r="S18" s="1989">
        <f>SUM('TITULADOS plan'!S50:S55)</f>
        <v>259</v>
      </c>
      <c r="T18" s="1989">
        <f>SUM('TITULADOS plan'!T50:T55)</f>
        <v>293</v>
      </c>
      <c r="U18" s="1989">
        <f>SUM('TITULADOS plan'!U50:U55)</f>
        <v>249</v>
      </c>
      <c r="V18" s="1989">
        <f>SUM('TITULADOS plan'!V50:V55)</f>
        <v>253</v>
      </c>
      <c r="W18" s="1989">
        <f>SUM('TITULADOS plan'!W50:W55)</f>
        <v>369</v>
      </c>
      <c r="X18" s="1989">
        <f>SUM('TITULADOS plan'!X50:X55)</f>
        <v>243</v>
      </c>
      <c r="Y18" s="1989">
        <f>SUM('TITULADOS plan'!Y50:Y55)</f>
        <v>351</v>
      </c>
      <c r="Z18" s="1989">
        <f>SUM('TITULADOS plan'!Z50:Z55)</f>
        <v>263</v>
      </c>
    </row>
    <row r="19" spans="1:26" ht="15" x14ac:dyDescent="0.2">
      <c r="A19" s="5893"/>
      <c r="B19" s="2384" t="s">
        <v>12</v>
      </c>
      <c r="C19" s="2384"/>
      <c r="D19" s="2384"/>
      <c r="E19" s="2384"/>
      <c r="F19" s="2384"/>
      <c r="G19" s="2384"/>
      <c r="H19" s="2385">
        <f t="shared" ref="H19:Q19" si="3">H16+H17+H18</f>
        <v>791</v>
      </c>
      <c r="I19" s="2385">
        <f t="shared" si="3"/>
        <v>821</v>
      </c>
      <c r="J19" s="2385">
        <f t="shared" si="3"/>
        <v>865</v>
      </c>
      <c r="K19" s="2385">
        <f t="shared" si="3"/>
        <v>856</v>
      </c>
      <c r="L19" s="2385">
        <f t="shared" si="3"/>
        <v>972</v>
      </c>
      <c r="M19" s="2385">
        <f t="shared" si="3"/>
        <v>1037</v>
      </c>
      <c r="N19" s="2385">
        <f t="shared" si="3"/>
        <v>1062</v>
      </c>
      <c r="O19" s="2385">
        <f t="shared" si="3"/>
        <v>1036</v>
      </c>
      <c r="P19" s="2385">
        <f t="shared" si="3"/>
        <v>1056</v>
      </c>
      <c r="Q19" s="2385">
        <f t="shared" si="3"/>
        <v>930</v>
      </c>
      <c r="R19" s="2385">
        <f t="shared" ref="R19:W19" si="4">R16+R17+R18</f>
        <v>870</v>
      </c>
      <c r="S19" s="2385">
        <f t="shared" si="4"/>
        <v>1004</v>
      </c>
      <c r="T19" s="2385">
        <f t="shared" si="4"/>
        <v>1025</v>
      </c>
      <c r="U19" s="2385">
        <f t="shared" si="4"/>
        <v>966</v>
      </c>
      <c r="V19" s="2385">
        <f t="shared" si="4"/>
        <v>965</v>
      </c>
      <c r="W19" s="2385">
        <f t="shared" si="4"/>
        <v>1211</v>
      </c>
      <c r="X19" s="2385">
        <f>X16+X17+X18</f>
        <v>874</v>
      </c>
      <c r="Y19" s="2385">
        <f>Y16+Y17+Y18</f>
        <v>1117</v>
      </c>
      <c r="Z19" s="2385">
        <f>Z16+Z17+Z18</f>
        <v>827</v>
      </c>
    </row>
    <row r="21" spans="1:26" ht="15" x14ac:dyDescent="0.2">
      <c r="A21" s="5900" t="s">
        <v>408</v>
      </c>
      <c r="B21" s="991" t="s">
        <v>5</v>
      </c>
      <c r="C21" s="991"/>
      <c r="D21" s="991"/>
      <c r="E21" s="991"/>
      <c r="F21" s="991"/>
      <c r="G21" s="991"/>
      <c r="H21" s="1988"/>
      <c r="I21" s="1988"/>
      <c r="J21" s="1988"/>
      <c r="K21" s="1988"/>
      <c r="L21" s="1988"/>
      <c r="M21" s="1988"/>
      <c r="N21" s="1988"/>
      <c r="O21" s="1988"/>
      <c r="P21" s="1988"/>
      <c r="Q21" s="1988"/>
      <c r="R21" s="1988"/>
      <c r="S21" s="1988"/>
      <c r="T21" s="1988"/>
      <c r="U21" s="1988"/>
      <c r="V21" s="1988"/>
      <c r="W21" s="1988"/>
      <c r="X21" s="1988">
        <f>+'TITULADOS plan'!X96</f>
        <v>1</v>
      </c>
      <c r="Y21" s="1988">
        <f>+'TITULADOS plan'!Y96</f>
        <v>20</v>
      </c>
      <c r="Z21" s="1988">
        <f>+'TITULADOS plan'!Z96</f>
        <v>3</v>
      </c>
    </row>
    <row r="22" spans="1:26" ht="15" x14ac:dyDescent="0.2">
      <c r="A22" s="5901"/>
      <c r="B22" s="992" t="s">
        <v>6</v>
      </c>
      <c r="C22" s="992"/>
      <c r="D22" s="992"/>
      <c r="E22" s="992"/>
      <c r="F22" s="992"/>
      <c r="G22" s="992"/>
      <c r="H22" s="1989"/>
      <c r="I22" s="1989"/>
      <c r="J22" s="1989"/>
      <c r="K22" s="1989"/>
      <c r="L22" s="1989"/>
      <c r="M22" s="1989"/>
      <c r="N22" s="1989"/>
      <c r="O22" s="1989"/>
      <c r="P22" s="1989"/>
      <c r="Q22" s="1989"/>
      <c r="R22" s="1989"/>
      <c r="S22" s="1989"/>
      <c r="T22" s="1989"/>
      <c r="U22" s="1989"/>
      <c r="V22" s="1989"/>
      <c r="W22" s="1989"/>
      <c r="X22" s="1989">
        <f>+'TITULADOS plan'!X99</f>
        <v>5</v>
      </c>
      <c r="Y22" s="1989">
        <f>+'TITULADOS plan'!Y99</f>
        <v>16</v>
      </c>
      <c r="Z22" s="1989">
        <f>+'TITULADOS plan'!Z99</f>
        <v>6</v>
      </c>
    </row>
    <row r="23" spans="1:26" ht="15" x14ac:dyDescent="0.2">
      <c r="A23" s="5901"/>
      <c r="B23" s="992" t="s">
        <v>11</v>
      </c>
      <c r="C23" s="992"/>
      <c r="D23" s="992"/>
      <c r="E23" s="992"/>
      <c r="F23" s="992"/>
      <c r="G23" s="992"/>
      <c r="H23" s="1989"/>
      <c r="I23" s="1989"/>
      <c r="J23" s="1989"/>
      <c r="K23" s="1989"/>
      <c r="L23" s="1989"/>
      <c r="M23" s="1989"/>
      <c r="N23" s="1989"/>
      <c r="O23" s="1989"/>
      <c r="P23" s="1989"/>
      <c r="Q23" s="1989"/>
      <c r="R23" s="1989"/>
      <c r="S23" s="1989"/>
      <c r="T23" s="1989"/>
      <c r="U23" s="1989"/>
      <c r="V23" s="1989"/>
      <c r="W23" s="1989"/>
      <c r="X23" s="1989">
        <f>+'TITULADOS plan'!X101</f>
        <v>6</v>
      </c>
      <c r="Y23" s="1989">
        <f>+'TITULADOS plan'!Y101</f>
        <v>16</v>
      </c>
      <c r="Z23" s="1989">
        <f>+'TITULADOS plan'!Z101</f>
        <v>2</v>
      </c>
    </row>
    <row r="24" spans="1:26" ht="15" x14ac:dyDescent="0.2">
      <c r="A24" s="5902"/>
      <c r="B24" s="4198" t="s">
        <v>12</v>
      </c>
      <c r="C24" s="4198"/>
      <c r="D24" s="4198"/>
      <c r="E24" s="4198"/>
      <c r="F24" s="4198"/>
      <c r="G24" s="4198"/>
      <c r="H24" s="4199"/>
      <c r="I24" s="4199"/>
      <c r="J24" s="4199"/>
      <c r="K24" s="4199"/>
      <c r="L24" s="4199"/>
      <c r="M24" s="4199"/>
      <c r="N24" s="4199"/>
      <c r="O24" s="4199"/>
      <c r="P24" s="4199"/>
      <c r="Q24" s="4199"/>
      <c r="R24" s="4199"/>
      <c r="S24" s="4199"/>
      <c r="T24" s="4199"/>
      <c r="U24" s="4199"/>
      <c r="V24" s="4199"/>
      <c r="W24" s="4199"/>
      <c r="X24" s="4199">
        <f>X21+X22+X23</f>
        <v>12</v>
      </c>
      <c r="Y24" s="4199">
        <f>Y21+Y22+Y23</f>
        <v>52</v>
      </c>
      <c r="Z24" s="4199">
        <f>Z21+Z22+Z23</f>
        <v>11</v>
      </c>
    </row>
    <row r="25" spans="1:26" ht="15.75" x14ac:dyDescent="0.2">
      <c r="A25" s="1782"/>
      <c r="B25" s="736"/>
      <c r="C25" s="736"/>
      <c r="D25" s="736"/>
      <c r="E25" s="736"/>
      <c r="F25" s="736"/>
      <c r="G25" s="736"/>
      <c r="H25" s="1995"/>
      <c r="I25" s="1995"/>
      <c r="J25" s="1995"/>
      <c r="K25" s="1995"/>
      <c r="L25" s="1995"/>
      <c r="M25" s="1995"/>
      <c r="N25" s="1995"/>
      <c r="O25" s="1995"/>
      <c r="P25" s="1995"/>
      <c r="Q25" s="1995"/>
      <c r="R25" s="741"/>
      <c r="S25" s="741"/>
      <c r="T25" s="741"/>
      <c r="U25" s="741"/>
      <c r="V25" s="741"/>
      <c r="W25" s="741"/>
      <c r="X25" s="741"/>
      <c r="Y25" s="741"/>
      <c r="Z25" s="741"/>
    </row>
    <row r="26" spans="1:26" ht="15" x14ac:dyDescent="0.2">
      <c r="A26" s="5894" t="s">
        <v>163</v>
      </c>
      <c r="B26" s="991" t="s">
        <v>6</v>
      </c>
      <c r="C26" s="991"/>
      <c r="D26" s="991"/>
      <c r="E26" s="991"/>
      <c r="F26" s="991"/>
      <c r="G26" s="991"/>
      <c r="H26" s="1988">
        <f>SUM('TITULADOS plan'!H58:H63)</f>
        <v>679</v>
      </c>
      <c r="I26" s="1988">
        <f>SUM('TITULADOS plan'!I58:I63)</f>
        <v>619</v>
      </c>
      <c r="J26" s="1988">
        <f>SUM('TITULADOS plan'!J58:J63)</f>
        <v>714</v>
      </c>
      <c r="K26" s="1988">
        <f>SUM('TITULADOS plan'!K58:K63)</f>
        <v>749</v>
      </c>
      <c r="L26" s="1988">
        <f>SUM('TITULADOS plan'!L58:L63)</f>
        <v>804</v>
      </c>
      <c r="M26" s="1988">
        <f>SUM('TITULADOS plan'!M58:M63)</f>
        <v>779</v>
      </c>
      <c r="N26" s="1988">
        <f>SUM('TITULADOS plan'!N58:N63)</f>
        <v>679</v>
      </c>
      <c r="O26" s="1988">
        <f>SUM('TITULADOS plan'!O58:O63)</f>
        <v>672</v>
      </c>
      <c r="P26" s="1988">
        <f>SUM('TITULADOS plan'!P58:P63)</f>
        <v>716</v>
      </c>
      <c r="Q26" s="1988">
        <f>SUM('TITULADOS plan'!Q58:Q63)</f>
        <v>619</v>
      </c>
      <c r="R26" s="1988">
        <f>SUM('TITULADOS plan'!R58:R63)</f>
        <v>811</v>
      </c>
      <c r="S26" s="1988">
        <f>SUM('TITULADOS plan'!S58:S63)</f>
        <v>835</v>
      </c>
      <c r="T26" s="1988">
        <f>SUM('TITULADOS plan'!T58:T63)</f>
        <v>848</v>
      </c>
      <c r="U26" s="1988">
        <f>SUM('TITULADOS plan'!U58:U63)</f>
        <v>740</v>
      </c>
      <c r="V26" s="1988">
        <f>SUM('TITULADOS plan'!V58:V63)</f>
        <v>665</v>
      </c>
      <c r="W26" s="1988">
        <f>SUM('TITULADOS plan'!W58:W63)</f>
        <v>750</v>
      </c>
      <c r="X26" s="1988">
        <f>SUM('TITULADOS plan'!X58:X63)</f>
        <v>655</v>
      </c>
      <c r="Y26" s="1988">
        <f>SUM('TITULADOS plan'!Y58:Y63)</f>
        <v>728</v>
      </c>
      <c r="Z26" s="1988">
        <f>SUM('TITULADOS plan'!Z58:Z63)</f>
        <v>476</v>
      </c>
    </row>
    <row r="27" spans="1:26" ht="15" x14ac:dyDescent="0.2">
      <c r="A27" s="5895"/>
      <c r="B27" s="992" t="s">
        <v>11</v>
      </c>
      <c r="C27" s="992"/>
      <c r="D27" s="992"/>
      <c r="E27" s="992"/>
      <c r="F27" s="992"/>
      <c r="G27" s="992"/>
      <c r="H27" s="1989">
        <f>SUM('TITULADOS plan'!H65:H72)</f>
        <v>895</v>
      </c>
      <c r="I27" s="1989">
        <f>SUM('TITULADOS plan'!I65:I72)</f>
        <v>889</v>
      </c>
      <c r="J27" s="1989">
        <f>SUM('TITULADOS plan'!J65:J72)</f>
        <v>853</v>
      </c>
      <c r="K27" s="1989">
        <f>SUM('TITULADOS plan'!K65:K72)</f>
        <v>994</v>
      </c>
      <c r="L27" s="1989">
        <f>SUM('TITULADOS plan'!L65:L72)</f>
        <v>948</v>
      </c>
      <c r="M27" s="1989">
        <f>SUM('TITULADOS plan'!M65:M72)</f>
        <v>879</v>
      </c>
      <c r="N27" s="1989">
        <f>SUM('TITULADOS plan'!N65:N72)</f>
        <v>968</v>
      </c>
      <c r="O27" s="1989">
        <f>SUM('TITULADOS plan'!O65:O72)</f>
        <v>695</v>
      </c>
      <c r="P27" s="1989">
        <f>SUM('TITULADOS plan'!P65:P72)</f>
        <v>843</v>
      </c>
      <c r="Q27" s="1989">
        <f>SUM('TITULADOS plan'!Q65:Q72)</f>
        <v>808</v>
      </c>
      <c r="R27" s="1989">
        <f>SUM('TITULADOS plan'!R65:R72)</f>
        <v>987</v>
      </c>
      <c r="S27" s="1989">
        <f>SUM('TITULADOS plan'!S65:S72)</f>
        <v>1216</v>
      </c>
      <c r="T27" s="1989">
        <f>SUM('TITULADOS plan'!T65:T72)</f>
        <v>1228</v>
      </c>
      <c r="U27" s="1989">
        <f>SUM('TITULADOS plan'!U65:U72)</f>
        <v>1144</v>
      </c>
      <c r="V27" s="1989">
        <f>SUM('TITULADOS plan'!V65:V72)</f>
        <v>1109</v>
      </c>
      <c r="W27" s="1989">
        <f>SUM('TITULADOS plan'!W65:W72)</f>
        <v>1031</v>
      </c>
      <c r="X27" s="1989">
        <f>SUM('TITULADOS plan'!X65:X72)</f>
        <v>944</v>
      </c>
      <c r="Y27" s="1989">
        <f>SUM('TITULADOS plan'!Y65:Y72)</f>
        <v>1023</v>
      </c>
      <c r="Z27" s="1989">
        <f>SUM('TITULADOS plan'!Z65:Z72)</f>
        <v>734</v>
      </c>
    </row>
    <row r="28" spans="1:26" ht="15" x14ac:dyDescent="0.2">
      <c r="A28" s="5895"/>
      <c r="B28" s="992" t="s">
        <v>7</v>
      </c>
      <c r="C28" s="992"/>
      <c r="D28" s="992"/>
      <c r="E28" s="992"/>
      <c r="F28" s="992"/>
      <c r="G28" s="992"/>
      <c r="H28" s="1989">
        <f>SUM('TITULADOS plan'!H74:H77)</f>
        <v>258</v>
      </c>
      <c r="I28" s="1989">
        <f>SUM('TITULADOS plan'!I74:I77)</f>
        <v>236</v>
      </c>
      <c r="J28" s="1989">
        <f>SUM('TITULADOS plan'!J74:J77)</f>
        <v>327</v>
      </c>
      <c r="K28" s="1989">
        <f>SUM('TITULADOS plan'!K74:K77)</f>
        <v>374</v>
      </c>
      <c r="L28" s="1989">
        <f>SUM('TITULADOS plan'!L74:L77)</f>
        <v>348</v>
      </c>
      <c r="M28" s="1989">
        <f>SUM('TITULADOS plan'!M74:M77)</f>
        <v>285</v>
      </c>
      <c r="N28" s="1989">
        <f>SUM('TITULADOS plan'!N74:N77)</f>
        <v>268</v>
      </c>
      <c r="O28" s="1989">
        <f>SUM('TITULADOS plan'!O74:O77)</f>
        <v>300</v>
      </c>
      <c r="P28" s="1989">
        <f>SUM('TITULADOS plan'!P74:P77)</f>
        <v>292</v>
      </c>
      <c r="Q28" s="1989">
        <f>SUM('TITULADOS plan'!Q74:Q77)</f>
        <v>260</v>
      </c>
      <c r="R28" s="1989">
        <f>SUM('TITULADOS plan'!R74:R77)</f>
        <v>369</v>
      </c>
      <c r="S28" s="1989">
        <f>SUM('TITULADOS plan'!S74:S77)</f>
        <v>380</v>
      </c>
      <c r="T28" s="1989">
        <f>SUM('TITULADOS plan'!T74:T77)</f>
        <v>344</v>
      </c>
      <c r="U28" s="1989">
        <f>SUM('TITULADOS plan'!U74:U77)</f>
        <v>345</v>
      </c>
      <c r="V28" s="1989">
        <f>SUM('TITULADOS plan'!V74:V77)</f>
        <v>319</v>
      </c>
      <c r="W28" s="1989">
        <f>SUM('TITULADOS plan'!W74:W77)</f>
        <v>376</v>
      </c>
      <c r="X28" s="1989">
        <f>SUM('TITULADOS plan'!X74:X77)</f>
        <v>349</v>
      </c>
      <c r="Y28" s="1989">
        <f>SUM('TITULADOS plan'!Y74:Y77)</f>
        <v>431</v>
      </c>
      <c r="Z28" s="1989">
        <f>SUM('TITULADOS plan'!Z74:Z77)</f>
        <v>295</v>
      </c>
    </row>
    <row r="29" spans="1:26" ht="15" x14ac:dyDescent="0.2">
      <c r="A29" s="5896"/>
      <c r="B29" s="2382" t="s">
        <v>12</v>
      </c>
      <c r="C29" s="2382"/>
      <c r="D29" s="2382"/>
      <c r="E29" s="2382"/>
      <c r="F29" s="2382"/>
      <c r="G29" s="2382"/>
      <c r="H29" s="2383">
        <f t="shared" ref="H29:Q29" si="5">H26+H27+H28</f>
        <v>1832</v>
      </c>
      <c r="I29" s="2383">
        <f t="shared" si="5"/>
        <v>1744</v>
      </c>
      <c r="J29" s="2383">
        <f t="shared" si="5"/>
        <v>1894</v>
      </c>
      <c r="K29" s="2383">
        <f t="shared" si="5"/>
        <v>2117</v>
      </c>
      <c r="L29" s="2383">
        <f t="shared" si="5"/>
        <v>2100</v>
      </c>
      <c r="M29" s="2383">
        <f t="shared" si="5"/>
        <v>1943</v>
      </c>
      <c r="N29" s="2383">
        <f t="shared" si="5"/>
        <v>1915</v>
      </c>
      <c r="O29" s="2383">
        <f t="shared" si="5"/>
        <v>1667</v>
      </c>
      <c r="P29" s="2383">
        <f t="shared" si="5"/>
        <v>1851</v>
      </c>
      <c r="Q29" s="2383">
        <f t="shared" si="5"/>
        <v>1687</v>
      </c>
      <c r="R29" s="2383">
        <f t="shared" ref="R29:W29" si="6">R26+R27+R28</f>
        <v>2167</v>
      </c>
      <c r="S29" s="2383">
        <f t="shared" si="6"/>
        <v>2431</v>
      </c>
      <c r="T29" s="2383">
        <f t="shared" si="6"/>
        <v>2420</v>
      </c>
      <c r="U29" s="2383">
        <f t="shared" si="6"/>
        <v>2229</v>
      </c>
      <c r="V29" s="2383">
        <f t="shared" si="6"/>
        <v>2093</v>
      </c>
      <c r="W29" s="2383">
        <f t="shared" si="6"/>
        <v>2157</v>
      </c>
      <c r="X29" s="2383">
        <f>X26+X27+X28</f>
        <v>1948</v>
      </c>
      <c r="Y29" s="2383">
        <f>Y26+Y27+Y28</f>
        <v>2182</v>
      </c>
      <c r="Z29" s="2383">
        <f>Z26+Z27+Z28</f>
        <v>1505</v>
      </c>
    </row>
    <row r="30" spans="1:26" ht="15" x14ac:dyDescent="0.2">
      <c r="A30" s="729"/>
      <c r="B30" s="729"/>
      <c r="C30" s="729"/>
      <c r="D30" s="729"/>
      <c r="E30" s="729"/>
      <c r="F30" s="729"/>
      <c r="G30" s="729"/>
      <c r="H30" s="1996"/>
      <c r="I30" s="1996"/>
      <c r="J30" s="1996"/>
      <c r="K30" s="1996"/>
      <c r="L30" s="1996"/>
      <c r="M30" s="1996"/>
      <c r="N30" s="1996"/>
      <c r="O30" s="1996"/>
      <c r="P30" s="1996"/>
      <c r="Q30" s="1996"/>
      <c r="R30" s="786"/>
      <c r="S30" s="786"/>
      <c r="T30" s="786"/>
      <c r="U30" s="786"/>
      <c r="V30" s="786"/>
      <c r="W30" s="786"/>
      <c r="X30" s="786"/>
      <c r="Y30" s="786"/>
      <c r="Z30" s="786"/>
    </row>
    <row r="31" spans="1:26" ht="15" x14ac:dyDescent="0.2">
      <c r="A31" s="5828" t="s">
        <v>60</v>
      </c>
      <c r="B31" s="991" t="s">
        <v>5</v>
      </c>
      <c r="C31" s="991"/>
      <c r="D31" s="991"/>
      <c r="E31" s="991"/>
      <c r="F31" s="991"/>
      <c r="G31" s="997"/>
      <c r="H31" s="730">
        <f t="shared" ref="H31:U31" si="7">SUM(H6,H16)</f>
        <v>630</v>
      </c>
      <c r="I31" s="730">
        <f t="shared" si="7"/>
        <v>537</v>
      </c>
      <c r="J31" s="730">
        <f t="shared" si="7"/>
        <v>550</v>
      </c>
      <c r="K31" s="730">
        <f t="shared" si="7"/>
        <v>535</v>
      </c>
      <c r="L31" s="730">
        <f t="shared" si="7"/>
        <v>614</v>
      </c>
      <c r="M31" s="730">
        <f t="shared" si="7"/>
        <v>592</v>
      </c>
      <c r="N31" s="730">
        <f t="shared" si="7"/>
        <v>574</v>
      </c>
      <c r="O31" s="730">
        <f t="shared" si="7"/>
        <v>629</v>
      </c>
      <c r="P31" s="730">
        <f t="shared" si="7"/>
        <v>597</v>
      </c>
      <c r="Q31" s="730">
        <f t="shared" si="7"/>
        <v>496</v>
      </c>
      <c r="R31" s="730">
        <f t="shared" si="7"/>
        <v>504</v>
      </c>
      <c r="S31" s="1988">
        <f t="shared" si="7"/>
        <v>563</v>
      </c>
      <c r="T31" s="1988">
        <f t="shared" si="7"/>
        <v>554</v>
      </c>
      <c r="U31" s="1988">
        <f t="shared" si="7"/>
        <v>559</v>
      </c>
      <c r="V31" s="1988">
        <f>SUM(V6,V16)</f>
        <v>566</v>
      </c>
      <c r="W31" s="1988">
        <f>SUM(W6,W16)</f>
        <v>744</v>
      </c>
      <c r="X31" s="1988">
        <f>SUM(X6,X16,X21)</f>
        <v>576</v>
      </c>
      <c r="Y31" s="1988">
        <f>SUM(Y6,Y16,Y21)</f>
        <v>746</v>
      </c>
      <c r="Z31" s="1988">
        <f>SUM(Z6,Z16,Z21)</f>
        <v>570</v>
      </c>
    </row>
    <row r="32" spans="1:26" ht="15" x14ac:dyDescent="0.2">
      <c r="A32" s="5829"/>
      <c r="B32" s="992" t="s">
        <v>6</v>
      </c>
      <c r="C32" s="992"/>
      <c r="D32" s="992"/>
      <c r="E32" s="992"/>
      <c r="F32" s="992"/>
      <c r="G32" s="998"/>
      <c r="H32" s="733">
        <f t="shared" ref="H32:U32" si="8">SUM(H7,H11,H17,H26)</f>
        <v>1698</v>
      </c>
      <c r="I32" s="733">
        <f t="shared" si="8"/>
        <v>1650</v>
      </c>
      <c r="J32" s="733">
        <f t="shared" si="8"/>
        <v>1764</v>
      </c>
      <c r="K32" s="733">
        <f t="shared" si="8"/>
        <v>1785</v>
      </c>
      <c r="L32" s="733">
        <f t="shared" si="8"/>
        <v>1915</v>
      </c>
      <c r="M32" s="733">
        <f t="shared" si="8"/>
        <v>1782</v>
      </c>
      <c r="N32" s="733">
        <f t="shared" si="8"/>
        <v>1646</v>
      </c>
      <c r="O32" s="733">
        <f t="shared" si="8"/>
        <v>1582</v>
      </c>
      <c r="P32" s="733">
        <f t="shared" si="8"/>
        <v>1660</v>
      </c>
      <c r="Q32" s="733">
        <f t="shared" si="8"/>
        <v>1428</v>
      </c>
      <c r="R32" s="733">
        <f t="shared" si="8"/>
        <v>1644</v>
      </c>
      <c r="S32" s="1989">
        <f t="shared" si="8"/>
        <v>1800</v>
      </c>
      <c r="T32" s="1989">
        <f t="shared" si="8"/>
        <v>1827</v>
      </c>
      <c r="U32" s="1989">
        <f t="shared" si="8"/>
        <v>1672</v>
      </c>
      <c r="V32" s="1989">
        <f>SUM(V7,V11,V17,V26)</f>
        <v>1703</v>
      </c>
      <c r="W32" s="1989">
        <f>SUM(W7,W11,W17,W26)</f>
        <v>1810</v>
      </c>
      <c r="X32" s="1989">
        <f>SUM(X7,X11,X17,X22,X26)</f>
        <v>1526</v>
      </c>
      <c r="Y32" s="1989">
        <f>SUM(Y7,Y11,Y17,Y22,Y26)</f>
        <v>1872</v>
      </c>
      <c r="Z32" s="1989">
        <f>SUM(Z7,Z11,Z17,Z22,Z26)</f>
        <v>1463</v>
      </c>
    </row>
    <row r="33" spans="1:26" ht="15" x14ac:dyDescent="0.2">
      <c r="A33" s="5829"/>
      <c r="B33" s="992" t="s">
        <v>11</v>
      </c>
      <c r="C33" s="992"/>
      <c r="D33" s="992"/>
      <c r="E33" s="992"/>
      <c r="F33" s="992"/>
      <c r="G33" s="998"/>
      <c r="H33" s="733">
        <f t="shared" ref="H33:U33" si="9">SUM(H18,H27)</f>
        <v>1082</v>
      </c>
      <c r="I33" s="733">
        <f t="shared" si="9"/>
        <v>1031</v>
      </c>
      <c r="J33" s="733">
        <f t="shared" si="9"/>
        <v>1053</v>
      </c>
      <c r="K33" s="733">
        <f t="shared" si="9"/>
        <v>1185</v>
      </c>
      <c r="L33" s="733">
        <f t="shared" si="9"/>
        <v>1209</v>
      </c>
      <c r="M33" s="733">
        <f t="shared" si="9"/>
        <v>1189</v>
      </c>
      <c r="N33" s="733">
        <f t="shared" si="9"/>
        <v>1291</v>
      </c>
      <c r="O33" s="733">
        <f t="shared" si="9"/>
        <v>1031</v>
      </c>
      <c r="P33" s="733">
        <f t="shared" si="9"/>
        <v>1170</v>
      </c>
      <c r="Q33" s="733">
        <f t="shared" si="9"/>
        <v>1058</v>
      </c>
      <c r="R33" s="733">
        <f t="shared" si="9"/>
        <v>1277</v>
      </c>
      <c r="S33" s="1989">
        <f t="shared" si="9"/>
        <v>1475</v>
      </c>
      <c r="T33" s="1989">
        <f t="shared" si="9"/>
        <v>1521</v>
      </c>
      <c r="U33" s="1989">
        <f t="shared" si="9"/>
        <v>1393</v>
      </c>
      <c r="V33" s="1989">
        <f>SUM(V18,V27)</f>
        <v>1362</v>
      </c>
      <c r="W33" s="1989">
        <f>SUM(W18,W27)</f>
        <v>1400</v>
      </c>
      <c r="X33" s="1989">
        <f>SUM(X18,X23,X27)</f>
        <v>1193</v>
      </c>
      <c r="Y33" s="1989">
        <f>SUM(Y18,Y23,Y27)</f>
        <v>1390</v>
      </c>
      <c r="Z33" s="1989">
        <f>SUM(Z18,Z23,Z27)</f>
        <v>999</v>
      </c>
    </row>
    <row r="34" spans="1:26" ht="15" x14ac:dyDescent="0.2">
      <c r="A34" s="5829"/>
      <c r="B34" s="992" t="s">
        <v>7</v>
      </c>
      <c r="C34" s="992"/>
      <c r="D34" s="992"/>
      <c r="E34" s="992"/>
      <c r="F34" s="992"/>
      <c r="G34" s="998"/>
      <c r="H34" s="733">
        <f t="shared" ref="H34:U34" si="10">SUM(H8,H28)</f>
        <v>604</v>
      </c>
      <c r="I34" s="733">
        <f t="shared" si="10"/>
        <v>570</v>
      </c>
      <c r="J34" s="733">
        <f t="shared" si="10"/>
        <v>706</v>
      </c>
      <c r="K34" s="733">
        <f t="shared" si="10"/>
        <v>652</v>
      </c>
      <c r="L34" s="733">
        <f t="shared" si="10"/>
        <v>668</v>
      </c>
      <c r="M34" s="733">
        <f t="shared" si="10"/>
        <v>596</v>
      </c>
      <c r="N34" s="733">
        <f t="shared" si="10"/>
        <v>539</v>
      </c>
      <c r="O34" s="733">
        <f t="shared" si="10"/>
        <v>571</v>
      </c>
      <c r="P34" s="733">
        <f t="shared" si="10"/>
        <v>621</v>
      </c>
      <c r="Q34" s="733">
        <f t="shared" si="10"/>
        <v>505</v>
      </c>
      <c r="R34" s="733">
        <f t="shared" si="10"/>
        <v>755</v>
      </c>
      <c r="S34" s="1989">
        <f t="shared" si="10"/>
        <v>691</v>
      </c>
      <c r="T34" s="1989">
        <f t="shared" si="10"/>
        <v>621</v>
      </c>
      <c r="U34" s="1989">
        <f t="shared" si="10"/>
        <v>544</v>
      </c>
      <c r="V34" s="1989">
        <f>SUM(V8,V28)</f>
        <v>581</v>
      </c>
      <c r="W34" s="1989">
        <f>SUM(W8,W28)</f>
        <v>688</v>
      </c>
      <c r="X34" s="1989">
        <f>SUM(X8,X28)</f>
        <v>573</v>
      </c>
      <c r="Y34" s="1989">
        <f>SUM(Y8,Y28)</f>
        <v>686</v>
      </c>
      <c r="Z34" s="1989">
        <f>SUM(Z8,Z28)</f>
        <v>479</v>
      </c>
    </row>
    <row r="35" spans="1:26" ht="15" x14ac:dyDescent="0.2">
      <c r="A35" s="5829"/>
      <c r="B35" s="992" t="s">
        <v>9</v>
      </c>
      <c r="C35" s="992"/>
      <c r="D35" s="992"/>
      <c r="E35" s="992"/>
      <c r="F35" s="992"/>
      <c r="G35" s="998"/>
      <c r="H35" s="733">
        <f t="shared" ref="H35:U35" si="11">SUM(H12)</f>
        <v>0</v>
      </c>
      <c r="I35" s="733">
        <f t="shared" si="11"/>
        <v>0</v>
      </c>
      <c r="J35" s="733">
        <f t="shared" si="11"/>
        <v>0</v>
      </c>
      <c r="K35" s="733">
        <f t="shared" si="11"/>
        <v>0</v>
      </c>
      <c r="L35" s="733">
        <f t="shared" si="11"/>
        <v>0</v>
      </c>
      <c r="M35" s="733">
        <f t="shared" si="11"/>
        <v>0</v>
      </c>
      <c r="N35" s="733">
        <f t="shared" si="11"/>
        <v>0</v>
      </c>
      <c r="O35" s="733">
        <f t="shared" si="11"/>
        <v>0</v>
      </c>
      <c r="P35" s="733">
        <f t="shared" si="11"/>
        <v>0</v>
      </c>
      <c r="Q35" s="733">
        <f t="shared" si="11"/>
        <v>0</v>
      </c>
      <c r="R35" s="733">
        <f t="shared" si="11"/>
        <v>0</v>
      </c>
      <c r="S35" s="1989">
        <f t="shared" si="11"/>
        <v>3</v>
      </c>
      <c r="T35" s="1989">
        <f t="shared" si="11"/>
        <v>7</v>
      </c>
      <c r="U35" s="1989">
        <f t="shared" si="11"/>
        <v>31</v>
      </c>
      <c r="V35" s="1989">
        <f t="shared" ref="V35:X36" si="12">SUM(V12)</f>
        <v>37</v>
      </c>
      <c r="W35" s="1989">
        <f t="shared" si="12"/>
        <v>30</v>
      </c>
      <c r="X35" s="1989">
        <f t="shared" si="12"/>
        <v>35</v>
      </c>
      <c r="Y35" s="1989">
        <f>SUM(Y12)</f>
        <v>34</v>
      </c>
      <c r="Z35" s="1989">
        <f>SUM(Z12)</f>
        <v>32</v>
      </c>
    </row>
    <row r="36" spans="1:26" ht="15" x14ac:dyDescent="0.2">
      <c r="A36" s="5829"/>
      <c r="B36" s="993" t="s">
        <v>74</v>
      </c>
      <c r="C36" s="993"/>
      <c r="D36" s="993"/>
      <c r="E36" s="993"/>
      <c r="F36" s="993"/>
      <c r="G36" s="999"/>
      <c r="H36" s="743">
        <f t="shared" ref="H36:U36" si="13">SUM(H13)</f>
        <v>0</v>
      </c>
      <c r="I36" s="743">
        <f t="shared" si="13"/>
        <v>0</v>
      </c>
      <c r="J36" s="743">
        <f t="shared" si="13"/>
        <v>0</v>
      </c>
      <c r="K36" s="743">
        <f t="shared" si="13"/>
        <v>0</v>
      </c>
      <c r="L36" s="743">
        <f t="shared" si="13"/>
        <v>0</v>
      </c>
      <c r="M36" s="743">
        <f t="shared" si="13"/>
        <v>0</v>
      </c>
      <c r="N36" s="743">
        <f t="shared" si="13"/>
        <v>0</v>
      </c>
      <c r="O36" s="743">
        <f t="shared" si="13"/>
        <v>0</v>
      </c>
      <c r="P36" s="743">
        <f t="shared" si="13"/>
        <v>0</v>
      </c>
      <c r="Q36" s="743">
        <f t="shared" si="13"/>
        <v>0</v>
      </c>
      <c r="R36" s="743">
        <f t="shared" si="13"/>
        <v>0</v>
      </c>
      <c r="S36" s="1997">
        <f t="shared" si="13"/>
        <v>5</v>
      </c>
      <c r="T36" s="1997">
        <f t="shared" si="13"/>
        <v>9</v>
      </c>
      <c r="U36" s="1997">
        <f t="shared" si="13"/>
        <v>6</v>
      </c>
      <c r="V36" s="1997">
        <f t="shared" si="12"/>
        <v>19</v>
      </c>
      <c r="W36" s="1997">
        <f t="shared" si="12"/>
        <v>18</v>
      </c>
      <c r="X36" s="1997">
        <f t="shared" si="12"/>
        <v>20</v>
      </c>
      <c r="Y36" s="1997">
        <f>SUM(Y13)</f>
        <v>35</v>
      </c>
      <c r="Z36" s="1997">
        <f>SUM(Z13)</f>
        <v>36</v>
      </c>
    </row>
    <row r="37" spans="1:26" ht="15" x14ac:dyDescent="0.2">
      <c r="A37" s="5830"/>
      <c r="B37" s="722" t="s">
        <v>12</v>
      </c>
      <c r="C37" s="722"/>
      <c r="D37" s="722"/>
      <c r="E37" s="722"/>
      <c r="F37" s="722"/>
      <c r="G37" s="1000"/>
      <c r="H37" s="1998">
        <f t="shared" ref="H37:Q37" si="14">SUM(H31:H36)</f>
        <v>4014</v>
      </c>
      <c r="I37" s="1998">
        <f t="shared" si="14"/>
        <v>3788</v>
      </c>
      <c r="J37" s="1998">
        <f t="shared" si="14"/>
        <v>4073</v>
      </c>
      <c r="K37" s="1998">
        <f t="shared" si="14"/>
        <v>4157</v>
      </c>
      <c r="L37" s="1998">
        <f t="shared" si="14"/>
        <v>4406</v>
      </c>
      <c r="M37" s="1998">
        <f t="shared" si="14"/>
        <v>4159</v>
      </c>
      <c r="N37" s="1998">
        <f t="shared" si="14"/>
        <v>4050</v>
      </c>
      <c r="O37" s="1998">
        <f t="shared" si="14"/>
        <v>3813</v>
      </c>
      <c r="P37" s="1998">
        <f t="shared" si="14"/>
        <v>4048</v>
      </c>
      <c r="Q37" s="1998">
        <f t="shared" si="14"/>
        <v>3487</v>
      </c>
      <c r="R37" s="1998">
        <f t="shared" ref="R37:W37" si="15">SUM(R31:R36)</f>
        <v>4180</v>
      </c>
      <c r="S37" s="1998">
        <f t="shared" si="15"/>
        <v>4537</v>
      </c>
      <c r="T37" s="1998">
        <f t="shared" si="15"/>
        <v>4539</v>
      </c>
      <c r="U37" s="1998">
        <f t="shared" si="15"/>
        <v>4205</v>
      </c>
      <c r="V37" s="1998">
        <f t="shared" si="15"/>
        <v>4268</v>
      </c>
      <c r="W37" s="1998">
        <f t="shared" si="15"/>
        <v>4690</v>
      </c>
      <c r="X37" s="1998">
        <f>SUM(X31:X36)</f>
        <v>3923</v>
      </c>
      <c r="Y37" s="1998">
        <f>SUM(Y31:Y36)</f>
        <v>4763</v>
      </c>
      <c r="Z37" s="1998">
        <f>SUM(Z31:Z36)</f>
        <v>3579</v>
      </c>
    </row>
    <row r="39" spans="1:26" x14ac:dyDescent="0.2">
      <c r="A39" s="240" t="s">
        <v>648</v>
      </c>
    </row>
  </sheetData>
  <sheetProtection algorithmName="SHA-512" hashValue="w+QZMM6HkSvgXzl6Kt2ZT36NbBbPEwl/HcfxBN2wPSJnGpx1hWTM9pgdRr864A+T7THNDjE5a0Cpp/u0YNQOEg==" saltValue="WO8423zJfohtkyYM3icvTw==" spinCount="100000" sheet="1" objects="1" scenarios="1"/>
  <mergeCells count="6">
    <mergeCell ref="A31:A37"/>
    <mergeCell ref="A6:A9"/>
    <mergeCell ref="A11:A14"/>
    <mergeCell ref="A16:A19"/>
    <mergeCell ref="A26:A29"/>
    <mergeCell ref="A21:A24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55" pageOrder="overThenDown" orientation="landscape" r:id="rId1"/>
  <rowBreaks count="1" manualBreakCount="1">
    <brk id="39" max="16383" man="1"/>
  </rowBreaks>
  <ignoredErrors>
    <ignoredError sqref="R15:T15 U15 R25:T25 U25 R29:T29 U29 U9 R9:T9 X11:X12 X26:X28 U19 R19:T19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S85"/>
  <sheetViews>
    <sheetView showGridLines="0" zoomScaleNormal="100" workbookViewId="0">
      <pane xSplit="4" ySplit="4" topLeftCell="E5" activePane="bottomRight" state="frozen"/>
      <selection sqref="A1:E1"/>
      <selection pane="topRight" sqref="A1:E1"/>
      <selection pane="bottomLeft" sqref="A1:E1"/>
      <selection pane="bottomRight" sqref="A1:D1"/>
    </sheetView>
  </sheetViews>
  <sheetFormatPr baseColWidth="10" defaultRowHeight="12.75" x14ac:dyDescent="0.2"/>
  <cols>
    <col min="1" max="1" width="9.42578125" style="199" customWidth="1"/>
    <col min="2" max="2" width="5.7109375" style="199" customWidth="1"/>
    <col min="3" max="3" width="6.140625" style="199" customWidth="1"/>
    <col min="4" max="4" width="35.42578125" style="199" bestFit="1" customWidth="1"/>
    <col min="5" max="19" width="9.7109375" style="199" customWidth="1"/>
    <col min="20" max="255" width="11.42578125" style="199"/>
    <col min="256" max="256" width="1.7109375" style="199" customWidth="1"/>
    <col min="257" max="257" width="17.85546875" style="199" customWidth="1"/>
    <col min="258" max="258" width="5.7109375" style="199" customWidth="1"/>
    <col min="259" max="259" width="6.140625" style="199" customWidth="1"/>
    <col min="260" max="260" width="36.7109375" style="199" customWidth="1"/>
    <col min="261" max="267" width="9.7109375" style="199" customWidth="1"/>
    <col min="268" max="511" width="11.42578125" style="199"/>
    <col min="512" max="512" width="1.7109375" style="199" customWidth="1"/>
    <col min="513" max="513" width="17.85546875" style="199" customWidth="1"/>
    <col min="514" max="514" width="5.7109375" style="199" customWidth="1"/>
    <col min="515" max="515" width="6.140625" style="199" customWidth="1"/>
    <col min="516" max="516" width="36.7109375" style="199" customWidth="1"/>
    <col min="517" max="523" width="9.7109375" style="199" customWidth="1"/>
    <col min="524" max="767" width="11.42578125" style="199"/>
    <col min="768" max="768" width="1.7109375" style="199" customWidth="1"/>
    <col min="769" max="769" width="17.85546875" style="199" customWidth="1"/>
    <col min="770" max="770" width="5.7109375" style="199" customWidth="1"/>
    <col min="771" max="771" width="6.140625" style="199" customWidth="1"/>
    <col min="772" max="772" width="36.7109375" style="199" customWidth="1"/>
    <col min="773" max="779" width="9.7109375" style="199" customWidth="1"/>
    <col min="780" max="1023" width="11.42578125" style="199"/>
    <col min="1024" max="1024" width="1.7109375" style="199" customWidth="1"/>
    <col min="1025" max="1025" width="17.85546875" style="199" customWidth="1"/>
    <col min="1026" max="1026" width="5.7109375" style="199" customWidth="1"/>
    <col min="1027" max="1027" width="6.140625" style="199" customWidth="1"/>
    <col min="1028" max="1028" width="36.7109375" style="199" customWidth="1"/>
    <col min="1029" max="1035" width="9.7109375" style="199" customWidth="1"/>
    <col min="1036" max="1279" width="11.42578125" style="199"/>
    <col min="1280" max="1280" width="1.7109375" style="199" customWidth="1"/>
    <col min="1281" max="1281" width="17.85546875" style="199" customWidth="1"/>
    <col min="1282" max="1282" width="5.7109375" style="199" customWidth="1"/>
    <col min="1283" max="1283" width="6.140625" style="199" customWidth="1"/>
    <col min="1284" max="1284" width="36.7109375" style="199" customWidth="1"/>
    <col min="1285" max="1291" width="9.7109375" style="199" customWidth="1"/>
    <col min="1292" max="1535" width="11.42578125" style="199"/>
    <col min="1536" max="1536" width="1.7109375" style="199" customWidth="1"/>
    <col min="1537" max="1537" width="17.85546875" style="199" customWidth="1"/>
    <col min="1538" max="1538" width="5.7109375" style="199" customWidth="1"/>
    <col min="1539" max="1539" width="6.140625" style="199" customWidth="1"/>
    <col min="1540" max="1540" width="36.7109375" style="199" customWidth="1"/>
    <col min="1541" max="1547" width="9.7109375" style="199" customWidth="1"/>
    <col min="1548" max="1791" width="11.42578125" style="199"/>
    <col min="1792" max="1792" width="1.7109375" style="199" customWidth="1"/>
    <col min="1793" max="1793" width="17.85546875" style="199" customWidth="1"/>
    <col min="1794" max="1794" width="5.7109375" style="199" customWidth="1"/>
    <col min="1795" max="1795" width="6.140625" style="199" customWidth="1"/>
    <col min="1796" max="1796" width="36.7109375" style="199" customWidth="1"/>
    <col min="1797" max="1803" width="9.7109375" style="199" customWidth="1"/>
    <col min="1804" max="2047" width="11.42578125" style="199"/>
    <col min="2048" max="2048" width="1.7109375" style="199" customWidth="1"/>
    <col min="2049" max="2049" width="17.85546875" style="199" customWidth="1"/>
    <col min="2050" max="2050" width="5.7109375" style="199" customWidth="1"/>
    <col min="2051" max="2051" width="6.140625" style="199" customWidth="1"/>
    <col min="2052" max="2052" width="36.7109375" style="199" customWidth="1"/>
    <col min="2053" max="2059" width="9.7109375" style="199" customWidth="1"/>
    <col min="2060" max="2303" width="11.42578125" style="199"/>
    <col min="2304" max="2304" width="1.7109375" style="199" customWidth="1"/>
    <col min="2305" max="2305" width="17.85546875" style="199" customWidth="1"/>
    <col min="2306" max="2306" width="5.7109375" style="199" customWidth="1"/>
    <col min="2307" max="2307" width="6.140625" style="199" customWidth="1"/>
    <col min="2308" max="2308" width="36.7109375" style="199" customWidth="1"/>
    <col min="2309" max="2315" width="9.7109375" style="199" customWidth="1"/>
    <col min="2316" max="2559" width="11.42578125" style="199"/>
    <col min="2560" max="2560" width="1.7109375" style="199" customWidth="1"/>
    <col min="2561" max="2561" width="17.85546875" style="199" customWidth="1"/>
    <col min="2562" max="2562" width="5.7109375" style="199" customWidth="1"/>
    <col min="2563" max="2563" width="6.140625" style="199" customWidth="1"/>
    <col min="2564" max="2564" width="36.7109375" style="199" customWidth="1"/>
    <col min="2565" max="2571" width="9.7109375" style="199" customWidth="1"/>
    <col min="2572" max="2815" width="11.42578125" style="199"/>
    <col min="2816" max="2816" width="1.7109375" style="199" customWidth="1"/>
    <col min="2817" max="2817" width="17.85546875" style="199" customWidth="1"/>
    <col min="2818" max="2818" width="5.7109375" style="199" customWidth="1"/>
    <col min="2819" max="2819" width="6.140625" style="199" customWidth="1"/>
    <col min="2820" max="2820" width="36.7109375" style="199" customWidth="1"/>
    <col min="2821" max="2827" width="9.7109375" style="199" customWidth="1"/>
    <col min="2828" max="3071" width="11.42578125" style="199"/>
    <col min="3072" max="3072" width="1.7109375" style="199" customWidth="1"/>
    <col min="3073" max="3073" width="17.85546875" style="199" customWidth="1"/>
    <col min="3074" max="3074" width="5.7109375" style="199" customWidth="1"/>
    <col min="3075" max="3075" width="6.140625" style="199" customWidth="1"/>
    <col min="3076" max="3076" width="36.7109375" style="199" customWidth="1"/>
    <col min="3077" max="3083" width="9.7109375" style="199" customWidth="1"/>
    <col min="3084" max="3327" width="11.42578125" style="199"/>
    <col min="3328" max="3328" width="1.7109375" style="199" customWidth="1"/>
    <col min="3329" max="3329" width="17.85546875" style="199" customWidth="1"/>
    <col min="3330" max="3330" width="5.7109375" style="199" customWidth="1"/>
    <col min="3331" max="3331" width="6.140625" style="199" customWidth="1"/>
    <col min="3332" max="3332" width="36.7109375" style="199" customWidth="1"/>
    <col min="3333" max="3339" width="9.7109375" style="199" customWidth="1"/>
    <col min="3340" max="3583" width="11.42578125" style="199"/>
    <col min="3584" max="3584" width="1.7109375" style="199" customWidth="1"/>
    <col min="3585" max="3585" width="17.85546875" style="199" customWidth="1"/>
    <col min="3586" max="3586" width="5.7109375" style="199" customWidth="1"/>
    <col min="3587" max="3587" width="6.140625" style="199" customWidth="1"/>
    <col min="3588" max="3588" width="36.7109375" style="199" customWidth="1"/>
    <col min="3589" max="3595" width="9.7109375" style="199" customWidth="1"/>
    <col min="3596" max="3839" width="11.42578125" style="199"/>
    <col min="3840" max="3840" width="1.7109375" style="199" customWidth="1"/>
    <col min="3841" max="3841" width="17.85546875" style="199" customWidth="1"/>
    <col min="3842" max="3842" width="5.7109375" style="199" customWidth="1"/>
    <col min="3843" max="3843" width="6.140625" style="199" customWidth="1"/>
    <col min="3844" max="3844" width="36.7109375" style="199" customWidth="1"/>
    <col min="3845" max="3851" width="9.7109375" style="199" customWidth="1"/>
    <col min="3852" max="4095" width="11.42578125" style="199"/>
    <col min="4096" max="4096" width="1.7109375" style="199" customWidth="1"/>
    <col min="4097" max="4097" width="17.85546875" style="199" customWidth="1"/>
    <col min="4098" max="4098" width="5.7109375" style="199" customWidth="1"/>
    <col min="4099" max="4099" width="6.140625" style="199" customWidth="1"/>
    <col min="4100" max="4100" width="36.7109375" style="199" customWidth="1"/>
    <col min="4101" max="4107" width="9.7109375" style="199" customWidth="1"/>
    <col min="4108" max="4351" width="11.42578125" style="199"/>
    <col min="4352" max="4352" width="1.7109375" style="199" customWidth="1"/>
    <col min="4353" max="4353" width="17.85546875" style="199" customWidth="1"/>
    <col min="4354" max="4354" width="5.7109375" style="199" customWidth="1"/>
    <col min="4355" max="4355" width="6.140625" style="199" customWidth="1"/>
    <col min="4356" max="4356" width="36.7109375" style="199" customWidth="1"/>
    <col min="4357" max="4363" width="9.7109375" style="199" customWidth="1"/>
    <col min="4364" max="4607" width="11.42578125" style="199"/>
    <col min="4608" max="4608" width="1.7109375" style="199" customWidth="1"/>
    <col min="4609" max="4609" width="17.85546875" style="199" customWidth="1"/>
    <col min="4610" max="4610" width="5.7109375" style="199" customWidth="1"/>
    <col min="4611" max="4611" width="6.140625" style="199" customWidth="1"/>
    <col min="4612" max="4612" width="36.7109375" style="199" customWidth="1"/>
    <col min="4613" max="4619" width="9.7109375" style="199" customWidth="1"/>
    <col min="4620" max="4863" width="11.42578125" style="199"/>
    <col min="4864" max="4864" width="1.7109375" style="199" customWidth="1"/>
    <col min="4865" max="4865" width="17.85546875" style="199" customWidth="1"/>
    <col min="4866" max="4866" width="5.7109375" style="199" customWidth="1"/>
    <col min="4867" max="4867" width="6.140625" style="199" customWidth="1"/>
    <col min="4868" max="4868" width="36.7109375" style="199" customWidth="1"/>
    <col min="4869" max="4875" width="9.7109375" style="199" customWidth="1"/>
    <col min="4876" max="5119" width="11.42578125" style="199"/>
    <col min="5120" max="5120" width="1.7109375" style="199" customWidth="1"/>
    <col min="5121" max="5121" width="17.85546875" style="199" customWidth="1"/>
    <col min="5122" max="5122" width="5.7109375" style="199" customWidth="1"/>
    <col min="5123" max="5123" width="6.140625" style="199" customWidth="1"/>
    <col min="5124" max="5124" width="36.7109375" style="199" customWidth="1"/>
    <col min="5125" max="5131" width="9.7109375" style="199" customWidth="1"/>
    <col min="5132" max="5375" width="11.42578125" style="199"/>
    <col min="5376" max="5376" width="1.7109375" style="199" customWidth="1"/>
    <col min="5377" max="5377" width="17.85546875" style="199" customWidth="1"/>
    <col min="5378" max="5378" width="5.7109375" style="199" customWidth="1"/>
    <col min="5379" max="5379" width="6.140625" style="199" customWidth="1"/>
    <col min="5380" max="5380" width="36.7109375" style="199" customWidth="1"/>
    <col min="5381" max="5387" width="9.7109375" style="199" customWidth="1"/>
    <col min="5388" max="5631" width="11.42578125" style="199"/>
    <col min="5632" max="5632" width="1.7109375" style="199" customWidth="1"/>
    <col min="5633" max="5633" width="17.85546875" style="199" customWidth="1"/>
    <col min="5634" max="5634" width="5.7109375" style="199" customWidth="1"/>
    <col min="5635" max="5635" width="6.140625" style="199" customWidth="1"/>
    <col min="5636" max="5636" width="36.7109375" style="199" customWidth="1"/>
    <col min="5637" max="5643" width="9.7109375" style="199" customWidth="1"/>
    <col min="5644" max="5887" width="11.42578125" style="199"/>
    <col min="5888" max="5888" width="1.7109375" style="199" customWidth="1"/>
    <col min="5889" max="5889" width="17.85546875" style="199" customWidth="1"/>
    <col min="5890" max="5890" width="5.7109375" style="199" customWidth="1"/>
    <col min="5891" max="5891" width="6.140625" style="199" customWidth="1"/>
    <col min="5892" max="5892" width="36.7109375" style="199" customWidth="1"/>
    <col min="5893" max="5899" width="9.7109375" style="199" customWidth="1"/>
    <col min="5900" max="6143" width="11.42578125" style="199"/>
    <col min="6144" max="6144" width="1.7109375" style="199" customWidth="1"/>
    <col min="6145" max="6145" width="17.85546875" style="199" customWidth="1"/>
    <col min="6146" max="6146" width="5.7109375" style="199" customWidth="1"/>
    <col min="6147" max="6147" width="6.140625" style="199" customWidth="1"/>
    <col min="6148" max="6148" width="36.7109375" style="199" customWidth="1"/>
    <col min="6149" max="6155" width="9.7109375" style="199" customWidth="1"/>
    <col min="6156" max="6399" width="11.42578125" style="199"/>
    <col min="6400" max="6400" width="1.7109375" style="199" customWidth="1"/>
    <col min="6401" max="6401" width="17.85546875" style="199" customWidth="1"/>
    <col min="6402" max="6402" width="5.7109375" style="199" customWidth="1"/>
    <col min="6403" max="6403" width="6.140625" style="199" customWidth="1"/>
    <col min="6404" max="6404" width="36.7109375" style="199" customWidth="1"/>
    <col min="6405" max="6411" width="9.7109375" style="199" customWidth="1"/>
    <col min="6412" max="6655" width="11.42578125" style="199"/>
    <col min="6656" max="6656" width="1.7109375" style="199" customWidth="1"/>
    <col min="6657" max="6657" width="17.85546875" style="199" customWidth="1"/>
    <col min="6658" max="6658" width="5.7109375" style="199" customWidth="1"/>
    <col min="6659" max="6659" width="6.140625" style="199" customWidth="1"/>
    <col min="6660" max="6660" width="36.7109375" style="199" customWidth="1"/>
    <col min="6661" max="6667" width="9.7109375" style="199" customWidth="1"/>
    <col min="6668" max="6911" width="11.42578125" style="199"/>
    <col min="6912" max="6912" width="1.7109375" style="199" customWidth="1"/>
    <col min="6913" max="6913" width="17.85546875" style="199" customWidth="1"/>
    <col min="6914" max="6914" width="5.7109375" style="199" customWidth="1"/>
    <col min="6915" max="6915" width="6.140625" style="199" customWidth="1"/>
    <col min="6916" max="6916" width="36.7109375" style="199" customWidth="1"/>
    <col min="6917" max="6923" width="9.7109375" style="199" customWidth="1"/>
    <col min="6924" max="7167" width="11.42578125" style="199"/>
    <col min="7168" max="7168" width="1.7109375" style="199" customWidth="1"/>
    <col min="7169" max="7169" width="17.85546875" style="199" customWidth="1"/>
    <col min="7170" max="7170" width="5.7109375" style="199" customWidth="1"/>
    <col min="7171" max="7171" width="6.140625" style="199" customWidth="1"/>
    <col min="7172" max="7172" width="36.7109375" style="199" customWidth="1"/>
    <col min="7173" max="7179" width="9.7109375" style="199" customWidth="1"/>
    <col min="7180" max="7423" width="11.42578125" style="199"/>
    <col min="7424" max="7424" width="1.7109375" style="199" customWidth="1"/>
    <col min="7425" max="7425" width="17.85546875" style="199" customWidth="1"/>
    <col min="7426" max="7426" width="5.7109375" style="199" customWidth="1"/>
    <col min="7427" max="7427" width="6.140625" style="199" customWidth="1"/>
    <col min="7428" max="7428" width="36.7109375" style="199" customWidth="1"/>
    <col min="7429" max="7435" width="9.7109375" style="199" customWidth="1"/>
    <col min="7436" max="7679" width="11.42578125" style="199"/>
    <col min="7680" max="7680" width="1.7109375" style="199" customWidth="1"/>
    <col min="7681" max="7681" width="17.85546875" style="199" customWidth="1"/>
    <col min="7682" max="7682" width="5.7109375" style="199" customWidth="1"/>
    <col min="7683" max="7683" width="6.140625" style="199" customWidth="1"/>
    <col min="7684" max="7684" width="36.7109375" style="199" customWidth="1"/>
    <col min="7685" max="7691" width="9.7109375" style="199" customWidth="1"/>
    <col min="7692" max="7935" width="11.42578125" style="199"/>
    <col min="7936" max="7936" width="1.7109375" style="199" customWidth="1"/>
    <col min="7937" max="7937" width="17.85546875" style="199" customWidth="1"/>
    <col min="7938" max="7938" width="5.7109375" style="199" customWidth="1"/>
    <col min="7939" max="7939" width="6.140625" style="199" customWidth="1"/>
    <col min="7940" max="7940" width="36.7109375" style="199" customWidth="1"/>
    <col min="7941" max="7947" width="9.7109375" style="199" customWidth="1"/>
    <col min="7948" max="8191" width="11.42578125" style="199"/>
    <col min="8192" max="8192" width="1.7109375" style="199" customWidth="1"/>
    <col min="8193" max="8193" width="17.85546875" style="199" customWidth="1"/>
    <col min="8194" max="8194" width="5.7109375" style="199" customWidth="1"/>
    <col min="8195" max="8195" width="6.140625" style="199" customWidth="1"/>
    <col min="8196" max="8196" width="36.7109375" style="199" customWidth="1"/>
    <col min="8197" max="8203" width="9.7109375" style="199" customWidth="1"/>
    <col min="8204" max="8447" width="11.42578125" style="199"/>
    <col min="8448" max="8448" width="1.7109375" style="199" customWidth="1"/>
    <col min="8449" max="8449" width="17.85546875" style="199" customWidth="1"/>
    <col min="8450" max="8450" width="5.7109375" style="199" customWidth="1"/>
    <col min="8451" max="8451" width="6.140625" style="199" customWidth="1"/>
    <col min="8452" max="8452" width="36.7109375" style="199" customWidth="1"/>
    <col min="8453" max="8459" width="9.7109375" style="199" customWidth="1"/>
    <col min="8460" max="8703" width="11.42578125" style="199"/>
    <col min="8704" max="8704" width="1.7109375" style="199" customWidth="1"/>
    <col min="8705" max="8705" width="17.85546875" style="199" customWidth="1"/>
    <col min="8706" max="8706" width="5.7109375" style="199" customWidth="1"/>
    <col min="8707" max="8707" width="6.140625" style="199" customWidth="1"/>
    <col min="8708" max="8708" width="36.7109375" style="199" customWidth="1"/>
    <col min="8709" max="8715" width="9.7109375" style="199" customWidth="1"/>
    <col min="8716" max="8959" width="11.42578125" style="199"/>
    <col min="8960" max="8960" width="1.7109375" style="199" customWidth="1"/>
    <col min="8961" max="8961" width="17.85546875" style="199" customWidth="1"/>
    <col min="8962" max="8962" width="5.7109375" style="199" customWidth="1"/>
    <col min="8963" max="8963" width="6.140625" style="199" customWidth="1"/>
    <col min="8964" max="8964" width="36.7109375" style="199" customWidth="1"/>
    <col min="8965" max="8971" width="9.7109375" style="199" customWidth="1"/>
    <col min="8972" max="9215" width="11.42578125" style="199"/>
    <col min="9216" max="9216" width="1.7109375" style="199" customWidth="1"/>
    <col min="9217" max="9217" width="17.85546875" style="199" customWidth="1"/>
    <col min="9218" max="9218" width="5.7109375" style="199" customWidth="1"/>
    <col min="9219" max="9219" width="6.140625" style="199" customWidth="1"/>
    <col min="9220" max="9220" width="36.7109375" style="199" customWidth="1"/>
    <col min="9221" max="9227" width="9.7109375" style="199" customWidth="1"/>
    <col min="9228" max="9471" width="11.42578125" style="199"/>
    <col min="9472" max="9472" width="1.7109375" style="199" customWidth="1"/>
    <col min="9473" max="9473" width="17.85546875" style="199" customWidth="1"/>
    <col min="9474" max="9474" width="5.7109375" style="199" customWidth="1"/>
    <col min="9475" max="9475" width="6.140625" style="199" customWidth="1"/>
    <col min="9476" max="9476" width="36.7109375" style="199" customWidth="1"/>
    <col min="9477" max="9483" width="9.7109375" style="199" customWidth="1"/>
    <col min="9484" max="9727" width="11.42578125" style="199"/>
    <col min="9728" max="9728" width="1.7109375" style="199" customWidth="1"/>
    <col min="9729" max="9729" width="17.85546875" style="199" customWidth="1"/>
    <col min="9730" max="9730" width="5.7109375" style="199" customWidth="1"/>
    <col min="9731" max="9731" width="6.140625" style="199" customWidth="1"/>
    <col min="9732" max="9732" width="36.7109375" style="199" customWidth="1"/>
    <col min="9733" max="9739" width="9.7109375" style="199" customWidth="1"/>
    <col min="9740" max="9983" width="11.42578125" style="199"/>
    <col min="9984" max="9984" width="1.7109375" style="199" customWidth="1"/>
    <col min="9985" max="9985" width="17.85546875" style="199" customWidth="1"/>
    <col min="9986" max="9986" width="5.7109375" style="199" customWidth="1"/>
    <col min="9987" max="9987" width="6.140625" style="199" customWidth="1"/>
    <col min="9988" max="9988" width="36.7109375" style="199" customWidth="1"/>
    <col min="9989" max="9995" width="9.7109375" style="199" customWidth="1"/>
    <col min="9996" max="10239" width="11.42578125" style="199"/>
    <col min="10240" max="10240" width="1.7109375" style="199" customWidth="1"/>
    <col min="10241" max="10241" width="17.85546875" style="199" customWidth="1"/>
    <col min="10242" max="10242" width="5.7109375" style="199" customWidth="1"/>
    <col min="10243" max="10243" width="6.140625" style="199" customWidth="1"/>
    <col min="10244" max="10244" width="36.7109375" style="199" customWidth="1"/>
    <col min="10245" max="10251" width="9.7109375" style="199" customWidth="1"/>
    <col min="10252" max="10495" width="11.42578125" style="199"/>
    <col min="10496" max="10496" width="1.7109375" style="199" customWidth="1"/>
    <col min="10497" max="10497" width="17.85546875" style="199" customWidth="1"/>
    <col min="10498" max="10498" width="5.7109375" style="199" customWidth="1"/>
    <col min="10499" max="10499" width="6.140625" style="199" customWidth="1"/>
    <col min="10500" max="10500" width="36.7109375" style="199" customWidth="1"/>
    <col min="10501" max="10507" width="9.7109375" style="199" customWidth="1"/>
    <col min="10508" max="10751" width="11.42578125" style="199"/>
    <col min="10752" max="10752" width="1.7109375" style="199" customWidth="1"/>
    <col min="10753" max="10753" width="17.85546875" style="199" customWidth="1"/>
    <col min="10754" max="10754" width="5.7109375" style="199" customWidth="1"/>
    <col min="10755" max="10755" width="6.140625" style="199" customWidth="1"/>
    <col min="10756" max="10756" width="36.7109375" style="199" customWidth="1"/>
    <col min="10757" max="10763" width="9.7109375" style="199" customWidth="1"/>
    <col min="10764" max="11007" width="11.42578125" style="199"/>
    <col min="11008" max="11008" width="1.7109375" style="199" customWidth="1"/>
    <col min="11009" max="11009" width="17.85546875" style="199" customWidth="1"/>
    <col min="11010" max="11010" width="5.7109375" style="199" customWidth="1"/>
    <col min="11011" max="11011" width="6.140625" style="199" customWidth="1"/>
    <col min="11012" max="11012" width="36.7109375" style="199" customWidth="1"/>
    <col min="11013" max="11019" width="9.7109375" style="199" customWidth="1"/>
    <col min="11020" max="11263" width="11.42578125" style="199"/>
    <col min="11264" max="11264" width="1.7109375" style="199" customWidth="1"/>
    <col min="11265" max="11265" width="17.85546875" style="199" customWidth="1"/>
    <col min="11266" max="11266" width="5.7109375" style="199" customWidth="1"/>
    <col min="11267" max="11267" width="6.140625" style="199" customWidth="1"/>
    <col min="11268" max="11268" width="36.7109375" style="199" customWidth="1"/>
    <col min="11269" max="11275" width="9.7109375" style="199" customWidth="1"/>
    <col min="11276" max="11519" width="11.42578125" style="199"/>
    <col min="11520" max="11520" width="1.7109375" style="199" customWidth="1"/>
    <col min="11521" max="11521" width="17.85546875" style="199" customWidth="1"/>
    <col min="11522" max="11522" width="5.7109375" style="199" customWidth="1"/>
    <col min="11523" max="11523" width="6.140625" style="199" customWidth="1"/>
    <col min="11524" max="11524" width="36.7109375" style="199" customWidth="1"/>
    <col min="11525" max="11531" width="9.7109375" style="199" customWidth="1"/>
    <col min="11532" max="11775" width="11.42578125" style="199"/>
    <col min="11776" max="11776" width="1.7109375" style="199" customWidth="1"/>
    <col min="11777" max="11777" width="17.85546875" style="199" customWidth="1"/>
    <col min="11778" max="11778" width="5.7109375" style="199" customWidth="1"/>
    <col min="11779" max="11779" width="6.140625" style="199" customWidth="1"/>
    <col min="11780" max="11780" width="36.7109375" style="199" customWidth="1"/>
    <col min="11781" max="11787" width="9.7109375" style="199" customWidth="1"/>
    <col min="11788" max="12031" width="11.42578125" style="199"/>
    <col min="12032" max="12032" width="1.7109375" style="199" customWidth="1"/>
    <col min="12033" max="12033" width="17.85546875" style="199" customWidth="1"/>
    <col min="12034" max="12034" width="5.7109375" style="199" customWidth="1"/>
    <col min="12035" max="12035" width="6.140625" style="199" customWidth="1"/>
    <col min="12036" max="12036" width="36.7109375" style="199" customWidth="1"/>
    <col min="12037" max="12043" width="9.7109375" style="199" customWidth="1"/>
    <col min="12044" max="12287" width="11.42578125" style="199"/>
    <col min="12288" max="12288" width="1.7109375" style="199" customWidth="1"/>
    <col min="12289" max="12289" width="17.85546875" style="199" customWidth="1"/>
    <col min="12290" max="12290" width="5.7109375" style="199" customWidth="1"/>
    <col min="12291" max="12291" width="6.140625" style="199" customWidth="1"/>
    <col min="12292" max="12292" width="36.7109375" style="199" customWidth="1"/>
    <col min="12293" max="12299" width="9.7109375" style="199" customWidth="1"/>
    <col min="12300" max="12543" width="11.42578125" style="199"/>
    <col min="12544" max="12544" width="1.7109375" style="199" customWidth="1"/>
    <col min="12545" max="12545" width="17.85546875" style="199" customWidth="1"/>
    <col min="12546" max="12546" width="5.7109375" style="199" customWidth="1"/>
    <col min="12547" max="12547" width="6.140625" style="199" customWidth="1"/>
    <col min="12548" max="12548" width="36.7109375" style="199" customWidth="1"/>
    <col min="12549" max="12555" width="9.7109375" style="199" customWidth="1"/>
    <col min="12556" max="12799" width="11.42578125" style="199"/>
    <col min="12800" max="12800" width="1.7109375" style="199" customWidth="1"/>
    <col min="12801" max="12801" width="17.85546875" style="199" customWidth="1"/>
    <col min="12802" max="12802" width="5.7109375" style="199" customWidth="1"/>
    <col min="12803" max="12803" width="6.140625" style="199" customWidth="1"/>
    <col min="12804" max="12804" width="36.7109375" style="199" customWidth="1"/>
    <col min="12805" max="12811" width="9.7109375" style="199" customWidth="1"/>
    <col min="12812" max="13055" width="11.42578125" style="199"/>
    <col min="13056" max="13056" width="1.7109375" style="199" customWidth="1"/>
    <col min="13057" max="13057" width="17.85546875" style="199" customWidth="1"/>
    <col min="13058" max="13058" width="5.7109375" style="199" customWidth="1"/>
    <col min="13059" max="13059" width="6.140625" style="199" customWidth="1"/>
    <col min="13060" max="13060" width="36.7109375" style="199" customWidth="1"/>
    <col min="13061" max="13067" width="9.7109375" style="199" customWidth="1"/>
    <col min="13068" max="13311" width="11.42578125" style="199"/>
    <col min="13312" max="13312" width="1.7109375" style="199" customWidth="1"/>
    <col min="13313" max="13313" width="17.85546875" style="199" customWidth="1"/>
    <col min="13314" max="13314" width="5.7109375" style="199" customWidth="1"/>
    <col min="13315" max="13315" width="6.140625" style="199" customWidth="1"/>
    <col min="13316" max="13316" width="36.7109375" style="199" customWidth="1"/>
    <col min="13317" max="13323" width="9.7109375" style="199" customWidth="1"/>
    <col min="13324" max="13567" width="11.42578125" style="199"/>
    <col min="13568" max="13568" width="1.7109375" style="199" customWidth="1"/>
    <col min="13569" max="13569" width="17.85546875" style="199" customWidth="1"/>
    <col min="13570" max="13570" width="5.7109375" style="199" customWidth="1"/>
    <col min="13571" max="13571" width="6.140625" style="199" customWidth="1"/>
    <col min="13572" max="13572" width="36.7109375" style="199" customWidth="1"/>
    <col min="13573" max="13579" width="9.7109375" style="199" customWidth="1"/>
    <col min="13580" max="13823" width="11.42578125" style="199"/>
    <col min="13824" max="13824" width="1.7109375" style="199" customWidth="1"/>
    <col min="13825" max="13825" width="17.85546875" style="199" customWidth="1"/>
    <col min="13826" max="13826" width="5.7109375" style="199" customWidth="1"/>
    <col min="13827" max="13827" width="6.140625" style="199" customWidth="1"/>
    <col min="13828" max="13828" width="36.7109375" style="199" customWidth="1"/>
    <col min="13829" max="13835" width="9.7109375" style="199" customWidth="1"/>
    <col min="13836" max="14079" width="11.42578125" style="199"/>
    <col min="14080" max="14080" width="1.7109375" style="199" customWidth="1"/>
    <col min="14081" max="14081" width="17.85546875" style="199" customWidth="1"/>
    <col min="14082" max="14082" width="5.7109375" style="199" customWidth="1"/>
    <col min="14083" max="14083" width="6.140625" style="199" customWidth="1"/>
    <col min="14084" max="14084" width="36.7109375" style="199" customWidth="1"/>
    <col min="14085" max="14091" width="9.7109375" style="199" customWidth="1"/>
    <col min="14092" max="14335" width="11.42578125" style="199"/>
    <col min="14336" max="14336" width="1.7109375" style="199" customWidth="1"/>
    <col min="14337" max="14337" width="17.85546875" style="199" customWidth="1"/>
    <col min="14338" max="14338" width="5.7109375" style="199" customWidth="1"/>
    <col min="14339" max="14339" width="6.140625" style="199" customWidth="1"/>
    <col min="14340" max="14340" width="36.7109375" style="199" customWidth="1"/>
    <col min="14341" max="14347" width="9.7109375" style="199" customWidth="1"/>
    <col min="14348" max="14591" width="11.42578125" style="199"/>
    <col min="14592" max="14592" width="1.7109375" style="199" customWidth="1"/>
    <col min="14593" max="14593" width="17.85546875" style="199" customWidth="1"/>
    <col min="14594" max="14594" width="5.7109375" style="199" customWidth="1"/>
    <col min="14595" max="14595" width="6.140625" style="199" customWidth="1"/>
    <col min="14596" max="14596" width="36.7109375" style="199" customWidth="1"/>
    <col min="14597" max="14603" width="9.7109375" style="199" customWidth="1"/>
    <col min="14604" max="14847" width="11.42578125" style="199"/>
    <col min="14848" max="14848" width="1.7109375" style="199" customWidth="1"/>
    <col min="14849" max="14849" width="17.85546875" style="199" customWidth="1"/>
    <col min="14850" max="14850" width="5.7109375" style="199" customWidth="1"/>
    <col min="14851" max="14851" width="6.140625" style="199" customWidth="1"/>
    <col min="14852" max="14852" width="36.7109375" style="199" customWidth="1"/>
    <col min="14853" max="14859" width="9.7109375" style="199" customWidth="1"/>
    <col min="14860" max="15103" width="11.42578125" style="199"/>
    <col min="15104" max="15104" width="1.7109375" style="199" customWidth="1"/>
    <col min="15105" max="15105" width="17.85546875" style="199" customWidth="1"/>
    <col min="15106" max="15106" width="5.7109375" style="199" customWidth="1"/>
    <col min="15107" max="15107" width="6.140625" style="199" customWidth="1"/>
    <col min="15108" max="15108" width="36.7109375" style="199" customWidth="1"/>
    <col min="15109" max="15115" width="9.7109375" style="199" customWidth="1"/>
    <col min="15116" max="15359" width="11.42578125" style="199"/>
    <col min="15360" max="15360" width="1.7109375" style="199" customWidth="1"/>
    <col min="15361" max="15361" width="17.85546875" style="199" customWidth="1"/>
    <col min="15362" max="15362" width="5.7109375" style="199" customWidth="1"/>
    <col min="15363" max="15363" width="6.140625" style="199" customWidth="1"/>
    <col min="15364" max="15364" width="36.7109375" style="199" customWidth="1"/>
    <col min="15365" max="15371" width="9.7109375" style="199" customWidth="1"/>
    <col min="15372" max="15615" width="11.42578125" style="199"/>
    <col min="15616" max="15616" width="1.7109375" style="199" customWidth="1"/>
    <col min="15617" max="15617" width="17.85546875" style="199" customWidth="1"/>
    <col min="15618" max="15618" width="5.7109375" style="199" customWidth="1"/>
    <col min="15619" max="15619" width="6.140625" style="199" customWidth="1"/>
    <col min="15620" max="15620" width="36.7109375" style="199" customWidth="1"/>
    <col min="15621" max="15627" width="9.7109375" style="199" customWidth="1"/>
    <col min="15628" max="15871" width="11.42578125" style="199"/>
    <col min="15872" max="15872" width="1.7109375" style="199" customWidth="1"/>
    <col min="15873" max="15873" width="17.85546875" style="199" customWidth="1"/>
    <col min="15874" max="15874" width="5.7109375" style="199" customWidth="1"/>
    <col min="15875" max="15875" width="6.140625" style="199" customWidth="1"/>
    <col min="15876" max="15876" width="36.7109375" style="199" customWidth="1"/>
    <col min="15877" max="15883" width="9.7109375" style="199" customWidth="1"/>
    <col min="15884" max="16127" width="11.42578125" style="199"/>
    <col min="16128" max="16128" width="1.7109375" style="199" customWidth="1"/>
    <col min="16129" max="16129" width="17.85546875" style="199" customWidth="1"/>
    <col min="16130" max="16130" width="5.7109375" style="199" customWidth="1"/>
    <col min="16131" max="16131" width="6.140625" style="199" customWidth="1"/>
    <col min="16132" max="16132" width="36.7109375" style="199" customWidth="1"/>
    <col min="16133" max="16139" width="9.7109375" style="199" customWidth="1"/>
    <col min="16140" max="16384" width="11.42578125" style="199"/>
  </cols>
  <sheetData>
    <row r="1" spans="1:19" s="203" customFormat="1" ht="31.5" customHeight="1" x14ac:dyDescent="0.25">
      <c r="A1" s="5722" t="s">
        <v>1274</v>
      </c>
      <c r="B1" s="5722"/>
      <c r="C1" s="5722"/>
      <c r="D1" s="5722"/>
      <c r="E1" s="205"/>
      <c r="F1" s="205"/>
      <c r="G1" s="205"/>
      <c r="H1" s="205"/>
      <c r="I1" s="205"/>
      <c r="J1" s="205"/>
      <c r="K1" s="205"/>
    </row>
    <row r="2" spans="1:19" s="203" customFormat="1" ht="15.75" x14ac:dyDescent="0.25">
      <c r="A2" s="205"/>
      <c r="B2" s="205"/>
      <c r="C2" s="205"/>
      <c r="D2" s="205"/>
      <c r="E2" s="205"/>
      <c r="F2" s="205"/>
      <c r="G2" s="205"/>
      <c r="H2" s="205"/>
      <c r="I2" s="205"/>
      <c r="J2" s="205"/>
      <c r="K2" s="205"/>
    </row>
    <row r="3" spans="1:19" s="196" customFormat="1" ht="29.25" customHeight="1" x14ac:dyDescent="0.25">
      <c r="A3" s="1914" t="s">
        <v>16</v>
      </c>
      <c r="B3" s="1914" t="s">
        <v>166</v>
      </c>
      <c r="C3" s="1914" t="s">
        <v>229</v>
      </c>
      <c r="D3" s="1914" t="s">
        <v>349</v>
      </c>
      <c r="E3" s="557">
        <v>2003</v>
      </c>
      <c r="F3" s="557">
        <v>2004</v>
      </c>
      <c r="G3" s="1382">
        <v>2005</v>
      </c>
      <c r="H3" s="558">
        <v>2006</v>
      </c>
      <c r="I3" s="558">
        <v>2007</v>
      </c>
      <c r="J3" s="558">
        <v>2008</v>
      </c>
      <c r="K3" s="558">
        <v>2009</v>
      </c>
      <c r="L3" s="558">
        <v>2010</v>
      </c>
      <c r="M3" s="558">
        <v>2011</v>
      </c>
      <c r="N3" s="558">
        <v>2012</v>
      </c>
      <c r="O3" s="558">
        <v>2013</v>
      </c>
      <c r="P3" s="558">
        <v>2014</v>
      </c>
      <c r="Q3" s="558">
        <v>2015</v>
      </c>
      <c r="R3" s="558">
        <v>2016</v>
      </c>
      <c r="S3" s="558">
        <v>2017</v>
      </c>
    </row>
    <row r="4" spans="1:19" s="186" customFormat="1" ht="15" customHeight="1" x14ac:dyDescent="0.2">
      <c r="A4" s="491"/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</row>
    <row r="5" spans="1:19" s="186" customFormat="1" ht="15" customHeight="1" x14ac:dyDescent="0.25">
      <c r="A5" s="5976" t="s">
        <v>3</v>
      </c>
      <c r="B5" s="5674" t="s">
        <v>5</v>
      </c>
      <c r="C5" s="3626">
        <v>1</v>
      </c>
      <c r="D5" s="3627" t="s">
        <v>446</v>
      </c>
      <c r="E5" s="3628">
        <v>20.973684210526315</v>
      </c>
      <c r="F5" s="3628">
        <v>22</v>
      </c>
      <c r="G5" s="3629">
        <v>21.375</v>
      </c>
      <c r="H5" s="3630">
        <v>24.208333333333332</v>
      </c>
      <c r="I5" s="3630">
        <v>18.777777777777779</v>
      </c>
      <c r="J5" s="3630">
        <v>20.666666666666664</v>
      </c>
      <c r="K5" s="3631">
        <v>21.966666666666665</v>
      </c>
      <c r="L5" s="3631">
        <v>20.62962962962963</v>
      </c>
      <c r="M5" s="3631">
        <v>20.285714285714285</v>
      </c>
      <c r="N5" s="3631">
        <v>19.675000000000001</v>
      </c>
      <c r="O5" s="3631">
        <v>18.236363636363638</v>
      </c>
      <c r="P5" s="3631">
        <v>18.189655172413797</v>
      </c>
      <c r="Q5" s="3631">
        <v>18.812499999999996</v>
      </c>
      <c r="R5" s="3631">
        <v>19.59</v>
      </c>
      <c r="S5" s="3631">
        <v>19.97</v>
      </c>
    </row>
    <row r="6" spans="1:19" s="186" customFormat="1" ht="15" customHeight="1" x14ac:dyDescent="0.25">
      <c r="A6" s="5977"/>
      <c r="B6" s="5675"/>
      <c r="C6" s="3632">
        <v>2</v>
      </c>
      <c r="D6" s="3633" t="s">
        <v>447</v>
      </c>
      <c r="E6" s="3634">
        <v>23.294117647058822</v>
      </c>
      <c r="F6" s="3634">
        <v>25.3</v>
      </c>
      <c r="G6" s="3635">
        <v>22.928571428571427</v>
      </c>
      <c r="H6" s="3636">
        <v>22.774193548387096</v>
      </c>
      <c r="I6" s="3636">
        <v>23.516129032258068</v>
      </c>
      <c r="J6" s="3636">
        <v>23.684210526315788</v>
      </c>
      <c r="K6" s="3637">
        <v>22.909090909090917</v>
      </c>
      <c r="L6" s="3637">
        <v>21.375</v>
      </c>
      <c r="M6" s="3637">
        <v>20.694444444444446</v>
      </c>
      <c r="N6" s="3637">
        <v>21.428571428571431</v>
      </c>
      <c r="O6" s="3637">
        <v>20.457627118644062</v>
      </c>
      <c r="P6" s="3637">
        <v>19.232558139534891</v>
      </c>
      <c r="Q6" s="3637">
        <v>19.8</v>
      </c>
      <c r="R6" s="3637">
        <v>20.25</v>
      </c>
      <c r="S6" s="3637">
        <v>20.88</v>
      </c>
    </row>
    <row r="7" spans="1:19" s="186" customFormat="1" ht="15" customHeight="1" x14ac:dyDescent="0.25">
      <c r="A7" s="5977"/>
      <c r="B7" s="5675"/>
      <c r="C7" s="3632">
        <v>3</v>
      </c>
      <c r="D7" s="3633" t="s">
        <v>448</v>
      </c>
      <c r="E7" s="3634">
        <v>27.708333333333332</v>
      </c>
      <c r="F7" s="3634">
        <v>28.833333333333332</v>
      </c>
      <c r="G7" s="3635">
        <v>28.90909090909091</v>
      </c>
      <c r="H7" s="3636">
        <v>25.75</v>
      </c>
      <c r="I7" s="3636">
        <v>27.038461538461529</v>
      </c>
      <c r="J7" s="3636">
        <v>30.466666666666665</v>
      </c>
      <c r="K7" s="3637">
        <v>23.29411764705883</v>
      </c>
      <c r="L7" s="3637">
        <v>20.333333333333332</v>
      </c>
      <c r="M7" s="3637">
        <v>23.066666666666666</v>
      </c>
      <c r="N7" s="3637">
        <v>21.1</v>
      </c>
      <c r="O7" s="3637">
        <v>23.411764705882351</v>
      </c>
      <c r="P7" s="3637">
        <v>23.904761904761905</v>
      </c>
      <c r="Q7" s="3637">
        <v>20.095238095238098</v>
      </c>
      <c r="R7" s="3637">
        <v>21.57</v>
      </c>
      <c r="S7" s="3637">
        <v>20.67</v>
      </c>
    </row>
    <row r="8" spans="1:19" s="186" customFormat="1" ht="15" customHeight="1" x14ac:dyDescent="0.25">
      <c r="A8" s="5977"/>
      <c r="B8" s="5675"/>
      <c r="C8" s="3632">
        <v>4</v>
      </c>
      <c r="D8" s="3633" t="s">
        <v>449</v>
      </c>
      <c r="E8" s="3634">
        <v>23.5</v>
      </c>
      <c r="F8" s="3634">
        <v>26.23076923076923</v>
      </c>
      <c r="G8" s="3635">
        <v>22.3125</v>
      </c>
      <c r="H8" s="3636">
        <v>21.48</v>
      </c>
      <c r="I8" s="3636">
        <v>23.181818181818183</v>
      </c>
      <c r="J8" s="3636">
        <v>21.466666666666672</v>
      </c>
      <c r="K8" s="3637">
        <v>18.399999999999999</v>
      </c>
      <c r="L8" s="3637">
        <v>21.882352941176467</v>
      </c>
      <c r="M8" s="3637">
        <v>19.46153846153846</v>
      </c>
      <c r="N8" s="3637">
        <v>21.411764705882355</v>
      </c>
      <c r="O8" s="3637">
        <v>21.150000000000002</v>
      </c>
      <c r="P8" s="3637">
        <v>21.088235294117645</v>
      </c>
      <c r="Q8" s="3637">
        <v>20.350000000000001</v>
      </c>
      <c r="R8" s="3637">
        <v>19.41</v>
      </c>
      <c r="S8" s="3637">
        <v>20.96</v>
      </c>
    </row>
    <row r="9" spans="1:19" s="186" customFormat="1" ht="15" customHeight="1" x14ac:dyDescent="0.25">
      <c r="A9" s="5977"/>
      <c r="B9" s="5675"/>
      <c r="C9" s="3632">
        <v>5</v>
      </c>
      <c r="D9" s="3633" t="s">
        <v>450</v>
      </c>
      <c r="E9" s="3634">
        <v>21.827586206896552</v>
      </c>
      <c r="F9" s="3634">
        <v>22.705882352941178</v>
      </c>
      <c r="G9" s="3635">
        <v>21.511627906976745</v>
      </c>
      <c r="H9" s="3636">
        <v>20.863636363636363</v>
      </c>
      <c r="I9" s="3636">
        <v>21.111111111111104</v>
      </c>
      <c r="J9" s="3636">
        <v>20</v>
      </c>
      <c r="K9" s="3637">
        <v>19.539325842696634</v>
      </c>
      <c r="L9" s="3637">
        <v>20.089887640449433</v>
      </c>
      <c r="M9" s="3637">
        <v>20.577464788732403</v>
      </c>
      <c r="N9" s="3637">
        <v>20.231884057971001</v>
      </c>
      <c r="O9" s="3637">
        <v>19.819819819819823</v>
      </c>
      <c r="P9" s="3637">
        <v>20.515463917525778</v>
      </c>
      <c r="Q9" s="3637">
        <v>21.023529411764709</v>
      </c>
      <c r="R9" s="3637">
        <v>19.88</v>
      </c>
      <c r="S9" s="3637">
        <v>20.98</v>
      </c>
    </row>
    <row r="10" spans="1:19" s="186" customFormat="1" ht="15" customHeight="1" x14ac:dyDescent="0.25">
      <c r="A10" s="5977"/>
      <c r="B10" s="5675"/>
      <c r="C10" s="3632">
        <v>6</v>
      </c>
      <c r="D10" s="3633" t="s">
        <v>451</v>
      </c>
      <c r="E10" s="3634">
        <v>23.196721311475411</v>
      </c>
      <c r="F10" s="3634">
        <v>23.756756756756758</v>
      </c>
      <c r="G10" s="3635">
        <v>22.916666666666668</v>
      </c>
      <c r="H10" s="3636">
        <v>23.83050847457627</v>
      </c>
      <c r="I10" s="3636">
        <v>22.795918367346946</v>
      </c>
      <c r="J10" s="3636">
        <v>21.372549019607842</v>
      </c>
      <c r="K10" s="3637">
        <v>21.116279069767444</v>
      </c>
      <c r="L10" s="3637">
        <v>22.206896551724135</v>
      </c>
      <c r="M10" s="3637">
        <v>20.952380952380953</v>
      </c>
      <c r="N10" s="3637">
        <v>21.342105263157894</v>
      </c>
      <c r="O10" s="3637">
        <v>21.796296296296294</v>
      </c>
      <c r="P10" s="3637">
        <v>21.974358974358974</v>
      </c>
      <c r="Q10" s="3637">
        <v>21.604651162790695</v>
      </c>
      <c r="R10" s="3637">
        <v>20.47</v>
      </c>
      <c r="S10" s="3637">
        <v>21.39</v>
      </c>
    </row>
    <row r="11" spans="1:19" s="186" customFormat="1" ht="15" customHeight="1" x14ac:dyDescent="0.25">
      <c r="A11" s="5977"/>
      <c r="B11" s="5675"/>
      <c r="C11" s="3632">
        <v>7</v>
      </c>
      <c r="D11" s="3633" t="s">
        <v>452</v>
      </c>
      <c r="E11" s="3634">
        <v>24.923076923076923</v>
      </c>
      <c r="F11" s="3634">
        <v>28.857142857142858</v>
      </c>
      <c r="G11" s="3635">
        <v>24.545454545454547</v>
      </c>
      <c r="H11" s="3636">
        <v>20.222222222222221</v>
      </c>
      <c r="I11" s="3636">
        <v>21</v>
      </c>
      <c r="J11" s="3636">
        <v>17</v>
      </c>
      <c r="K11" s="3637">
        <v>18.333333333333332</v>
      </c>
      <c r="L11" s="3637">
        <v>16.8</v>
      </c>
      <c r="M11" s="3637">
        <v>21</v>
      </c>
      <c r="N11" s="3637">
        <v>21</v>
      </c>
      <c r="O11" s="3637">
        <v>21.444444444444443</v>
      </c>
      <c r="P11" s="3637">
        <v>22.473684210526315</v>
      </c>
      <c r="Q11" s="3637">
        <v>21.764705882352942</v>
      </c>
      <c r="R11" s="3637">
        <v>20.43</v>
      </c>
      <c r="S11" s="3637">
        <v>18.170000000000002</v>
      </c>
    </row>
    <row r="12" spans="1:19" s="186" customFormat="1" ht="15" customHeight="1" x14ac:dyDescent="0.25">
      <c r="A12" s="5977"/>
      <c r="B12" s="5675"/>
      <c r="C12" s="3632">
        <v>8</v>
      </c>
      <c r="D12" s="3633" t="s">
        <v>453</v>
      </c>
      <c r="E12" s="3634">
        <v>22.302325581395348</v>
      </c>
      <c r="F12" s="3634">
        <v>20.489795918367346</v>
      </c>
      <c r="G12" s="3635">
        <v>21.035714285714285</v>
      </c>
      <c r="H12" s="3636">
        <v>21.824999999999999</v>
      </c>
      <c r="I12" s="3636">
        <v>20.111111111111111</v>
      </c>
      <c r="J12" s="3636">
        <v>19.943396226415096</v>
      </c>
      <c r="K12" s="3637">
        <v>21.8125</v>
      </c>
      <c r="L12" s="3637">
        <v>19.978260869565215</v>
      </c>
      <c r="M12" s="3637">
        <v>19.622222222222213</v>
      </c>
      <c r="N12" s="3637">
        <v>18.216216216216214</v>
      </c>
      <c r="O12" s="3637">
        <v>19.185185185185183</v>
      </c>
      <c r="P12" s="3637">
        <v>20.726190476190485</v>
      </c>
      <c r="Q12" s="3637">
        <v>20.383561643835613</v>
      </c>
      <c r="R12" s="3637">
        <v>20.32</v>
      </c>
      <c r="S12" s="3637">
        <v>20.58</v>
      </c>
    </row>
    <row r="13" spans="1:19" s="186" customFormat="1" ht="15" customHeight="1" x14ac:dyDescent="0.25">
      <c r="A13" s="5977"/>
      <c r="B13" s="5675"/>
      <c r="C13" s="3632">
        <v>9</v>
      </c>
      <c r="D13" s="3633" t="s">
        <v>454</v>
      </c>
      <c r="E13" s="3634">
        <v>22.445454545454545</v>
      </c>
      <c r="F13" s="3634">
        <v>22.73</v>
      </c>
      <c r="G13" s="3635">
        <v>22.14782608695652</v>
      </c>
      <c r="H13" s="3636">
        <v>23.597826086956523</v>
      </c>
      <c r="I13" s="3636">
        <v>22.047619047619044</v>
      </c>
      <c r="J13" s="3636">
        <v>21.799999999999994</v>
      </c>
      <c r="K13" s="3637">
        <v>21.684210526315784</v>
      </c>
      <c r="L13" s="3637">
        <v>22.672727272727272</v>
      </c>
      <c r="M13" s="3637">
        <v>23.253521126760575</v>
      </c>
      <c r="N13" s="3637">
        <v>21.084507042253517</v>
      </c>
      <c r="O13" s="3637">
        <v>22.592105263157901</v>
      </c>
      <c r="P13" s="3637">
        <v>22.338983050847457</v>
      </c>
      <c r="Q13" s="3637">
        <v>23.280701754385969</v>
      </c>
      <c r="R13" s="3637">
        <v>22.91</v>
      </c>
      <c r="S13" s="3637">
        <v>22.97</v>
      </c>
    </row>
    <row r="14" spans="1:19" s="186" customFormat="1" ht="15" customHeight="1" x14ac:dyDescent="0.25">
      <c r="A14" s="5977"/>
      <c r="B14" s="5675"/>
      <c r="C14" s="3640">
        <v>122</v>
      </c>
      <c r="D14" s="3641" t="s">
        <v>455</v>
      </c>
      <c r="E14" s="3651"/>
      <c r="F14" s="3651"/>
      <c r="G14" s="3643"/>
      <c r="H14" s="3652"/>
      <c r="I14" s="3652">
        <v>11.5</v>
      </c>
      <c r="J14" s="3652">
        <v>14.562500000000002</v>
      </c>
      <c r="K14" s="3653">
        <v>14.913043478260869</v>
      </c>
      <c r="L14" s="3653">
        <v>17.101694915254239</v>
      </c>
      <c r="M14" s="3653">
        <v>18.75</v>
      </c>
      <c r="N14" s="3653">
        <v>18.800000000000008</v>
      </c>
      <c r="O14" s="3653">
        <v>20.850746268656714</v>
      </c>
      <c r="P14" s="3653">
        <v>21.458333333333318</v>
      </c>
      <c r="Q14" s="3653">
        <v>20.779220779220779</v>
      </c>
      <c r="R14" s="3653">
        <v>22.78</v>
      </c>
      <c r="S14" s="3653">
        <v>23.12</v>
      </c>
    </row>
    <row r="15" spans="1:19" s="186" customFormat="1" ht="15" customHeight="1" x14ac:dyDescent="0.25">
      <c r="A15" s="5977"/>
      <c r="B15" s="5674" t="s">
        <v>6</v>
      </c>
      <c r="C15" s="3645">
        <v>11</v>
      </c>
      <c r="D15" s="3646" t="s">
        <v>456</v>
      </c>
      <c r="E15" s="3647">
        <v>14.882926829268293</v>
      </c>
      <c r="F15" s="3647">
        <v>14.957894736842105</v>
      </c>
      <c r="G15" s="3648">
        <v>14.742331288343559</v>
      </c>
      <c r="H15" s="3649">
        <v>15.801324503311259</v>
      </c>
      <c r="I15" s="3649">
        <v>15.18</v>
      </c>
      <c r="J15" s="3649">
        <v>15.058823529411757</v>
      </c>
      <c r="K15" s="3650">
        <v>15.51592356687898</v>
      </c>
      <c r="L15" s="3650">
        <v>15.264705882352938</v>
      </c>
      <c r="M15" s="3650">
        <v>15.283687943262414</v>
      </c>
      <c r="N15" s="3650">
        <v>14.585635359116019</v>
      </c>
      <c r="O15" s="3650">
        <v>15.557142857142855</v>
      </c>
      <c r="P15" s="3650">
        <v>14.949720670391072</v>
      </c>
      <c r="Q15" s="3650">
        <v>15.731578947368426</v>
      </c>
      <c r="R15" s="3650">
        <v>14.92</v>
      </c>
      <c r="S15" s="3650">
        <v>15.32</v>
      </c>
    </row>
    <row r="16" spans="1:19" s="186" customFormat="1" ht="15" customHeight="1" x14ac:dyDescent="0.25">
      <c r="A16" s="5977"/>
      <c r="B16" s="5675"/>
      <c r="C16" s="3632">
        <v>12</v>
      </c>
      <c r="D16" s="3633" t="s">
        <v>457</v>
      </c>
      <c r="E16" s="3634">
        <v>16.13821138211382</v>
      </c>
      <c r="F16" s="3634">
        <v>16.074999999999999</v>
      </c>
      <c r="G16" s="3635">
        <v>15.647773279352228</v>
      </c>
      <c r="H16" s="3636">
        <v>16.271493212669682</v>
      </c>
      <c r="I16" s="3636">
        <v>16.1875</v>
      </c>
      <c r="J16" s="3636">
        <v>16.474885844748858</v>
      </c>
      <c r="K16" s="3637">
        <v>15.901709401709397</v>
      </c>
      <c r="L16" s="3637">
        <v>15.873417721518992</v>
      </c>
      <c r="M16" s="3637">
        <v>16.100591715976321</v>
      </c>
      <c r="N16" s="3637">
        <v>15.834782608695667</v>
      </c>
      <c r="O16" s="3637">
        <v>15.282420749279545</v>
      </c>
      <c r="P16" s="3637">
        <v>14.797468354430384</v>
      </c>
      <c r="Q16" s="3637">
        <v>15.546125461254611</v>
      </c>
      <c r="R16" s="3637">
        <v>15.26</v>
      </c>
      <c r="S16" s="3637">
        <v>15.14</v>
      </c>
    </row>
    <row r="17" spans="1:19" s="186" customFormat="1" ht="15" customHeight="1" x14ac:dyDescent="0.25">
      <c r="A17" s="5977"/>
      <c r="B17" s="5675"/>
      <c r="C17" s="3632">
        <v>13</v>
      </c>
      <c r="D17" s="3633" t="s">
        <v>458</v>
      </c>
      <c r="E17" s="3634">
        <v>20.846153846153847</v>
      </c>
      <c r="F17" s="3634">
        <v>20.23076923076923</v>
      </c>
      <c r="G17" s="3635">
        <v>20.891891891891891</v>
      </c>
      <c r="H17" s="3636">
        <v>20.333333333333332</v>
      </c>
      <c r="I17" s="3636">
        <v>18.839285714285715</v>
      </c>
      <c r="J17" s="3636">
        <v>16.666666666666675</v>
      </c>
      <c r="K17" s="3637">
        <v>17.763636363636373</v>
      </c>
      <c r="L17" s="3637">
        <v>19.426229508196727</v>
      </c>
      <c r="M17" s="3637">
        <v>18.843137254901961</v>
      </c>
      <c r="N17" s="3637">
        <v>18.928571428571427</v>
      </c>
      <c r="O17" s="3637">
        <v>18.216216216216214</v>
      </c>
      <c r="P17" s="3637">
        <v>19</v>
      </c>
      <c r="Q17" s="3637">
        <v>17.918918918918923</v>
      </c>
      <c r="R17" s="3637">
        <v>18</v>
      </c>
      <c r="S17" s="3637">
        <v>18.510000000000002</v>
      </c>
    </row>
    <row r="18" spans="1:19" s="186" customFormat="1" ht="15" customHeight="1" x14ac:dyDescent="0.25">
      <c r="A18" s="5977"/>
      <c r="B18" s="5676"/>
      <c r="C18" s="3640">
        <v>14</v>
      </c>
      <c r="D18" s="3641" t="s">
        <v>459</v>
      </c>
      <c r="E18" s="3651">
        <v>18.680555555555557</v>
      </c>
      <c r="F18" s="3651">
        <v>17.216867469879517</v>
      </c>
      <c r="G18" s="3643">
        <v>18.528301886792452</v>
      </c>
      <c r="H18" s="3652">
        <v>18.966666666666665</v>
      </c>
      <c r="I18" s="3652">
        <v>18.379310344827587</v>
      </c>
      <c r="J18" s="3652">
        <v>17.920634920634917</v>
      </c>
      <c r="K18" s="3653">
        <v>19.203703703703709</v>
      </c>
      <c r="L18" s="3653">
        <v>17.623188405797098</v>
      </c>
      <c r="M18" s="3653">
        <v>17.538461538461537</v>
      </c>
      <c r="N18" s="3653">
        <v>18.368421052631579</v>
      </c>
      <c r="O18" s="3653">
        <v>18.225806451612893</v>
      </c>
      <c r="P18" s="3653">
        <v>17.399999999999999</v>
      </c>
      <c r="Q18" s="3653">
        <v>17.861702127659573</v>
      </c>
      <c r="R18" s="3653">
        <v>16.82</v>
      </c>
      <c r="S18" s="3653">
        <v>18.84</v>
      </c>
    </row>
    <row r="19" spans="1:19" s="186" customFormat="1" ht="15" customHeight="1" x14ac:dyDescent="0.25">
      <c r="A19" s="5977"/>
      <c r="B19" s="5675" t="s">
        <v>7</v>
      </c>
      <c r="C19" s="3645">
        <v>17</v>
      </c>
      <c r="D19" s="3646" t="s">
        <v>460</v>
      </c>
      <c r="E19" s="3647">
        <v>18.965277777777779</v>
      </c>
      <c r="F19" s="3647">
        <v>18.960629921259841</v>
      </c>
      <c r="G19" s="3648">
        <v>19.333333333333332</v>
      </c>
      <c r="H19" s="3649">
        <v>18.22689075630252</v>
      </c>
      <c r="I19" s="3649">
        <v>17.089655172413785</v>
      </c>
      <c r="J19" s="3649">
        <v>16.729166666666675</v>
      </c>
      <c r="K19" s="3650">
        <v>16.959731543624155</v>
      </c>
      <c r="L19" s="3650">
        <v>17.606837606837612</v>
      </c>
      <c r="M19" s="3650">
        <v>16.131868131868135</v>
      </c>
      <c r="N19" s="3650">
        <v>16.776470588235288</v>
      </c>
      <c r="O19" s="3650">
        <v>16.693430656934307</v>
      </c>
      <c r="P19" s="3650">
        <v>17.415254237288142</v>
      </c>
      <c r="Q19" s="3650">
        <v>18.161764705882348</v>
      </c>
      <c r="R19" s="3650">
        <v>18.62</v>
      </c>
      <c r="S19" s="3650">
        <v>18.23</v>
      </c>
    </row>
    <row r="20" spans="1:19" s="186" customFormat="1" ht="15" customHeight="1" x14ac:dyDescent="0.25">
      <c r="A20" s="5977"/>
      <c r="B20" s="5675"/>
      <c r="C20" s="3632">
        <v>18</v>
      </c>
      <c r="D20" s="3633" t="s">
        <v>461</v>
      </c>
      <c r="E20" s="3634">
        <v>15.69832402234637</v>
      </c>
      <c r="F20" s="3634">
        <v>16.734513274336283</v>
      </c>
      <c r="G20" s="3635">
        <v>16.089655172413792</v>
      </c>
      <c r="H20" s="3636">
        <v>16.029411764705884</v>
      </c>
      <c r="I20" s="3636">
        <v>15.030303030303042</v>
      </c>
      <c r="J20" s="3636">
        <v>15.214285714285714</v>
      </c>
      <c r="K20" s="3637">
        <v>15.421383647798731</v>
      </c>
      <c r="L20" s="3637">
        <v>15.208333333333336</v>
      </c>
      <c r="M20" s="3637">
        <v>15.566265060240967</v>
      </c>
      <c r="N20" s="3637">
        <v>16.038095238095231</v>
      </c>
      <c r="O20" s="3637">
        <v>15.205607476635523</v>
      </c>
      <c r="P20" s="3637">
        <v>15.354330708661418</v>
      </c>
      <c r="Q20" s="3637">
        <v>15.736363636363627</v>
      </c>
      <c r="R20" s="3637">
        <v>14.52</v>
      </c>
      <c r="S20" s="3637">
        <v>15.14</v>
      </c>
    </row>
    <row r="21" spans="1:19" s="186" customFormat="1" ht="15" customHeight="1" x14ac:dyDescent="0.25">
      <c r="A21" s="5978"/>
      <c r="B21" s="5676"/>
      <c r="C21" s="3640">
        <v>19</v>
      </c>
      <c r="D21" s="3641" t="s">
        <v>462</v>
      </c>
      <c r="E21" s="3651">
        <v>16.701030927835053</v>
      </c>
      <c r="F21" s="3651">
        <v>16.620253164556964</v>
      </c>
      <c r="G21" s="3643">
        <v>16.305555555555557</v>
      </c>
      <c r="H21" s="3652">
        <v>16.623188405797102</v>
      </c>
      <c r="I21" s="3652">
        <v>14.474576271186441</v>
      </c>
      <c r="J21" s="3652">
        <v>16.083333333333339</v>
      </c>
      <c r="K21" s="3653">
        <v>15.910714285714286</v>
      </c>
      <c r="L21" s="3653">
        <v>16.714285714285708</v>
      </c>
      <c r="M21" s="3653">
        <v>16.97058823529412</v>
      </c>
      <c r="N21" s="3653">
        <v>18.603174603174601</v>
      </c>
      <c r="O21" s="3653">
        <v>16.157303370786511</v>
      </c>
      <c r="P21" s="3653">
        <v>15.91</v>
      </c>
      <c r="Q21" s="3653">
        <v>16.927835051546396</v>
      </c>
      <c r="R21" s="3653">
        <v>15.7</v>
      </c>
      <c r="S21" s="3653">
        <v>16.29</v>
      </c>
    </row>
    <row r="22" spans="1:19" s="186" customFormat="1" ht="15" customHeight="1" x14ac:dyDescent="0.25">
      <c r="A22" s="5973" t="s">
        <v>75</v>
      </c>
      <c r="B22" s="5677" t="s">
        <v>5</v>
      </c>
      <c r="C22" s="3645">
        <v>22</v>
      </c>
      <c r="D22" s="3646" t="s">
        <v>463</v>
      </c>
      <c r="E22" s="3647">
        <v>21.166666666666668</v>
      </c>
      <c r="F22" s="3647">
        <v>19.40625</v>
      </c>
      <c r="G22" s="3648">
        <v>21.484848484848484</v>
      </c>
      <c r="H22" s="3649">
        <v>21.481481481481481</v>
      </c>
      <c r="I22" s="3649">
        <v>22.483870967741939</v>
      </c>
      <c r="J22" s="3649">
        <v>21.031249999999996</v>
      </c>
      <c r="K22" s="3650">
        <v>19.052631578947373</v>
      </c>
      <c r="L22" s="3650">
        <v>17.375</v>
      </c>
      <c r="M22" s="3650">
        <v>18.642857142857139</v>
      </c>
      <c r="N22" s="3650">
        <v>20.37037037037037</v>
      </c>
      <c r="O22" s="3650">
        <v>21.409090909090907</v>
      </c>
      <c r="P22" s="3650">
        <v>21.818181818181813</v>
      </c>
      <c r="Q22" s="3650">
        <v>20.77272727272727</v>
      </c>
      <c r="R22" s="3650">
        <v>21.24</v>
      </c>
      <c r="S22" s="3650">
        <v>20.38</v>
      </c>
    </row>
    <row r="23" spans="1:19" s="186" customFormat="1" ht="15" customHeight="1" x14ac:dyDescent="0.25">
      <c r="A23" s="5974"/>
      <c r="B23" s="5678"/>
      <c r="C23" s="3632">
        <v>23</v>
      </c>
      <c r="D23" s="3633" t="s">
        <v>464</v>
      </c>
      <c r="E23" s="3634">
        <v>20.625</v>
      </c>
      <c r="F23" s="3634">
        <v>20.666666666666668</v>
      </c>
      <c r="G23" s="3635">
        <v>26</v>
      </c>
      <c r="H23" s="3636">
        <v>22.25</v>
      </c>
      <c r="I23" s="3636">
        <v>18.600000000000001</v>
      </c>
      <c r="J23" s="3636"/>
      <c r="K23" s="3637">
        <v>22</v>
      </c>
      <c r="L23" s="3637">
        <v>19</v>
      </c>
      <c r="M23" s="3637">
        <v>15.6</v>
      </c>
      <c r="N23" s="3637">
        <v>20.166666666666668</v>
      </c>
      <c r="O23" s="3637"/>
      <c r="P23" s="3637">
        <v>19.133333333333333</v>
      </c>
      <c r="Q23" s="3637">
        <v>19.700000000000003</v>
      </c>
      <c r="R23" s="3637">
        <v>18.170000000000002</v>
      </c>
      <c r="S23" s="3637">
        <v>20.43</v>
      </c>
    </row>
    <row r="24" spans="1:19" s="186" customFormat="1" ht="15" customHeight="1" x14ac:dyDescent="0.25">
      <c r="A24" s="5974"/>
      <c r="B24" s="5678"/>
      <c r="C24" s="3632">
        <v>24</v>
      </c>
      <c r="D24" s="3633" t="s">
        <v>453</v>
      </c>
      <c r="E24" s="3634">
        <v>22.512820512820515</v>
      </c>
      <c r="F24" s="3634">
        <v>20.514285714285716</v>
      </c>
      <c r="G24" s="3635">
        <v>21.512820512820515</v>
      </c>
      <c r="H24" s="3636">
        <v>22.434782608695652</v>
      </c>
      <c r="I24" s="3636">
        <v>22.3</v>
      </c>
      <c r="J24" s="3636">
        <v>22.333333333333332</v>
      </c>
      <c r="K24" s="3637">
        <v>17.352941176470587</v>
      </c>
      <c r="L24" s="3637">
        <v>16.857142857142854</v>
      </c>
      <c r="M24" s="3637">
        <v>21.200000000000003</v>
      </c>
      <c r="N24" s="3637">
        <v>18.636363636363637</v>
      </c>
      <c r="O24" s="3637">
        <v>20.380952380952383</v>
      </c>
      <c r="P24" s="3637">
        <v>16.916666666666668</v>
      </c>
      <c r="Q24" s="3637">
        <v>18.578947368421051</v>
      </c>
      <c r="R24" s="3637">
        <v>17.89</v>
      </c>
      <c r="S24" s="3637">
        <v>18.82</v>
      </c>
    </row>
    <row r="25" spans="1:19" s="186" customFormat="1" ht="15" customHeight="1" x14ac:dyDescent="0.25">
      <c r="A25" s="5974"/>
      <c r="B25" s="5678"/>
      <c r="C25" s="3632">
        <v>25</v>
      </c>
      <c r="D25" s="3633" t="s">
        <v>465</v>
      </c>
      <c r="E25" s="3634">
        <v>23.615384615384617</v>
      </c>
      <c r="F25" s="3634">
        <v>20.5</v>
      </c>
      <c r="G25" s="3635">
        <v>22.6</v>
      </c>
      <c r="H25" s="3636">
        <v>20.652173913043477</v>
      </c>
      <c r="I25" s="3636">
        <v>23.1</v>
      </c>
      <c r="J25" s="3636">
        <v>20.785714285714285</v>
      </c>
      <c r="K25" s="3637">
        <v>16.384615384615383</v>
      </c>
      <c r="L25" s="3637">
        <v>18.705882352941178</v>
      </c>
      <c r="M25" s="3637">
        <v>18.294117647058822</v>
      </c>
      <c r="N25" s="3637">
        <v>19.999999999999996</v>
      </c>
      <c r="O25" s="3637">
        <v>18.642857142857142</v>
      </c>
      <c r="P25" s="3637">
        <v>19.307692307692307</v>
      </c>
      <c r="Q25" s="3637">
        <v>18.124999999999996</v>
      </c>
      <c r="R25" s="3637">
        <v>19.21</v>
      </c>
      <c r="S25" s="3637">
        <v>19.100000000000001</v>
      </c>
    </row>
    <row r="26" spans="1:19" s="186" customFormat="1" ht="15" customHeight="1" x14ac:dyDescent="0.25">
      <c r="A26" s="5974"/>
      <c r="B26" s="5678"/>
      <c r="C26" s="3632">
        <v>26</v>
      </c>
      <c r="D26" s="3633" t="s">
        <v>466</v>
      </c>
      <c r="E26" s="3634">
        <v>20.6</v>
      </c>
      <c r="F26" s="3634">
        <v>19.8125</v>
      </c>
      <c r="G26" s="3635">
        <v>19.333333333333332</v>
      </c>
      <c r="H26" s="3636">
        <v>18.133333333333333</v>
      </c>
      <c r="I26" s="3636">
        <v>20.555555555555557</v>
      </c>
      <c r="J26" s="3636">
        <v>18.818181818181824</v>
      </c>
      <c r="K26" s="3637">
        <v>21.833333333333336</v>
      </c>
      <c r="L26" s="3637">
        <v>24.230769230769234</v>
      </c>
      <c r="M26" s="3637">
        <v>16.3</v>
      </c>
      <c r="N26" s="3637">
        <v>23.555555555555557</v>
      </c>
      <c r="O26" s="3637">
        <v>18.363636363636363</v>
      </c>
      <c r="P26" s="3637">
        <v>18.058823529411761</v>
      </c>
      <c r="Q26" s="3637">
        <v>18.476190476190474</v>
      </c>
      <c r="R26" s="3637">
        <v>15.74</v>
      </c>
      <c r="S26" s="3637">
        <v>18.809999999999999</v>
      </c>
    </row>
    <row r="27" spans="1:19" s="186" customFormat="1" ht="15" customHeight="1" x14ac:dyDescent="0.25">
      <c r="A27" s="5974"/>
      <c r="B27" s="5678"/>
      <c r="C27" s="3632">
        <v>27</v>
      </c>
      <c r="D27" s="3633" t="s">
        <v>454</v>
      </c>
      <c r="E27" s="3634">
        <v>21.314285714285713</v>
      </c>
      <c r="F27" s="3634">
        <v>19.731343283582088</v>
      </c>
      <c r="G27" s="3635">
        <v>21.615384615384617</v>
      </c>
      <c r="H27" s="3636">
        <v>21.650793650793652</v>
      </c>
      <c r="I27" s="3636">
        <v>20.125</v>
      </c>
      <c r="J27" s="3636">
        <v>22.159090909090907</v>
      </c>
      <c r="K27" s="3637">
        <v>21.696969696969695</v>
      </c>
      <c r="L27" s="3637">
        <v>19.553191489361705</v>
      </c>
      <c r="M27" s="3637">
        <v>18.928571428571434</v>
      </c>
      <c r="N27" s="3637">
        <v>21.044444444444448</v>
      </c>
      <c r="O27" s="3637">
        <v>21.09090909090909</v>
      </c>
      <c r="P27" s="3637">
        <v>19.675675675675677</v>
      </c>
      <c r="Q27" s="3637">
        <v>18.740740740740737</v>
      </c>
      <c r="R27" s="3637">
        <v>20.86</v>
      </c>
      <c r="S27" s="3637">
        <v>21.68</v>
      </c>
    </row>
    <row r="28" spans="1:19" s="186" customFormat="1" ht="15" customHeight="1" x14ac:dyDescent="0.25">
      <c r="A28" s="5974"/>
      <c r="B28" s="5678"/>
      <c r="C28" s="3632">
        <v>28</v>
      </c>
      <c r="D28" s="3633" t="s">
        <v>467</v>
      </c>
      <c r="E28" s="3634">
        <v>20</v>
      </c>
      <c r="F28" s="3634">
        <v>21.411764705882351</v>
      </c>
      <c r="G28" s="3635">
        <v>22.416666666666668</v>
      </c>
      <c r="H28" s="3636">
        <v>23.38095238095238</v>
      </c>
      <c r="I28" s="3636">
        <v>22.7</v>
      </c>
      <c r="J28" s="3636">
        <v>20.75</v>
      </c>
      <c r="K28" s="3637">
        <v>21.1</v>
      </c>
      <c r="L28" s="3637">
        <v>18.764705882352942</v>
      </c>
      <c r="M28" s="3637">
        <v>20.2</v>
      </c>
      <c r="N28" s="3637">
        <v>21.4375</v>
      </c>
      <c r="O28" s="3637">
        <v>22.36</v>
      </c>
      <c r="P28" s="3637">
        <v>20.052631578947373</v>
      </c>
      <c r="Q28" s="3637">
        <v>22.916666666666668</v>
      </c>
      <c r="R28" s="3637">
        <v>19.61</v>
      </c>
      <c r="S28" s="3637">
        <v>19.649999999999999</v>
      </c>
    </row>
    <row r="29" spans="1:19" s="186" customFormat="1" ht="15" customHeight="1" x14ac:dyDescent="0.25">
      <c r="A29" s="5974"/>
      <c r="B29" s="5678"/>
      <c r="C29" s="3632">
        <v>29</v>
      </c>
      <c r="D29" s="3633" t="s">
        <v>468</v>
      </c>
      <c r="E29" s="3634">
        <v>19</v>
      </c>
      <c r="F29" s="3634">
        <v>23.125</v>
      </c>
      <c r="G29" s="3635">
        <v>16.777777777777779</v>
      </c>
      <c r="H29" s="3636">
        <v>21.6</v>
      </c>
      <c r="I29" s="3636">
        <v>24.6</v>
      </c>
      <c r="J29" s="3636">
        <v>23</v>
      </c>
      <c r="K29" s="3637">
        <v>16.125</v>
      </c>
      <c r="L29" s="3637">
        <v>16.285714285714285</v>
      </c>
      <c r="M29" s="3637">
        <v>18.727272727272727</v>
      </c>
      <c r="N29" s="3637">
        <v>17.214285714285715</v>
      </c>
      <c r="O29" s="3637">
        <v>15.5</v>
      </c>
      <c r="P29" s="3637">
        <v>19.000000000000004</v>
      </c>
      <c r="Q29" s="3637">
        <v>18</v>
      </c>
      <c r="R29" s="3637">
        <v>17.41</v>
      </c>
      <c r="S29" s="3637">
        <v>17.79</v>
      </c>
    </row>
    <row r="30" spans="1:19" s="186" customFormat="1" ht="15" customHeight="1" x14ac:dyDescent="0.25">
      <c r="A30" s="5974"/>
      <c r="B30" s="5679"/>
      <c r="C30" s="3640">
        <v>30</v>
      </c>
      <c r="D30" s="3641" t="s">
        <v>469</v>
      </c>
      <c r="E30" s="3651">
        <v>19.830188679245282</v>
      </c>
      <c r="F30" s="3651">
        <v>20.574468085106382</v>
      </c>
      <c r="G30" s="3643">
        <v>21.107692307692307</v>
      </c>
      <c r="H30" s="3652">
        <v>21.088235294117649</v>
      </c>
      <c r="I30" s="3652">
        <v>21.90243902439024</v>
      </c>
      <c r="J30" s="3652">
        <v>21.806451612903224</v>
      </c>
      <c r="K30" s="3653">
        <v>20.571428571428573</v>
      </c>
      <c r="L30" s="3653">
        <v>19.533333333333339</v>
      </c>
      <c r="M30" s="3653">
        <v>19.499999999999993</v>
      </c>
      <c r="N30" s="3653">
        <v>19.720930232558132</v>
      </c>
      <c r="O30" s="3653">
        <v>21.973684210526319</v>
      </c>
      <c r="P30" s="3653">
        <v>20.666666666666664</v>
      </c>
      <c r="Q30" s="3653">
        <v>19.740740740740744</v>
      </c>
      <c r="R30" s="3653">
        <v>19.13</v>
      </c>
      <c r="S30" s="3653">
        <v>20.56</v>
      </c>
    </row>
    <row r="31" spans="1:19" s="186" customFormat="1" ht="15" customHeight="1" x14ac:dyDescent="0.25">
      <c r="A31" s="5974"/>
      <c r="B31" s="5677" t="s">
        <v>6</v>
      </c>
      <c r="C31" s="3645">
        <v>37</v>
      </c>
      <c r="D31" s="3646" t="s">
        <v>456</v>
      </c>
      <c r="E31" s="3647">
        <v>17.278846153846153</v>
      </c>
      <c r="F31" s="3647">
        <v>16.848101265822784</v>
      </c>
      <c r="G31" s="3648">
        <v>15.644171779141104</v>
      </c>
      <c r="H31" s="3649">
        <v>16.169230769230769</v>
      </c>
      <c r="I31" s="3649">
        <v>14.829059829059819</v>
      </c>
      <c r="J31" s="3649">
        <v>14.869918699186993</v>
      </c>
      <c r="K31" s="3650">
        <v>14.362831858407077</v>
      </c>
      <c r="L31" s="3650">
        <v>16.243421052631582</v>
      </c>
      <c r="M31" s="3650">
        <v>15.847999999999995</v>
      </c>
      <c r="N31" s="3650">
        <v>15.263157894736842</v>
      </c>
      <c r="O31" s="3650">
        <v>14.915789473684203</v>
      </c>
      <c r="P31" s="3650">
        <v>15.578231292517003</v>
      </c>
      <c r="Q31" s="3650">
        <v>16.185430463576164</v>
      </c>
      <c r="R31" s="3650">
        <v>15.39</v>
      </c>
      <c r="S31" s="3650">
        <v>15.05</v>
      </c>
    </row>
    <row r="32" spans="1:19" s="186" customFormat="1" ht="15" customHeight="1" x14ac:dyDescent="0.25">
      <c r="A32" s="5974"/>
      <c r="B32" s="5678"/>
      <c r="C32" s="3632">
        <v>38</v>
      </c>
      <c r="D32" s="3633" t="s">
        <v>470</v>
      </c>
      <c r="E32" s="3634">
        <v>18.68</v>
      </c>
      <c r="F32" s="3634">
        <v>19.024999999999999</v>
      </c>
      <c r="G32" s="3635">
        <v>18.75</v>
      </c>
      <c r="H32" s="3636">
        <v>17</v>
      </c>
      <c r="I32" s="3636">
        <v>21.2</v>
      </c>
      <c r="J32" s="3636">
        <v>18.433333333333334</v>
      </c>
      <c r="K32" s="3637">
        <v>17.125</v>
      </c>
      <c r="L32" s="3637">
        <v>17.526315789473681</v>
      </c>
      <c r="M32" s="3637">
        <v>19.695652173913043</v>
      </c>
      <c r="N32" s="3637">
        <v>17.125000000000004</v>
      </c>
      <c r="O32" s="3637">
        <v>17.411764705882355</v>
      </c>
      <c r="P32" s="3637">
        <v>16.678571428571431</v>
      </c>
      <c r="Q32" s="3637">
        <v>17.75</v>
      </c>
      <c r="R32" s="3637">
        <v>17.5</v>
      </c>
      <c r="S32" s="3637">
        <v>17.28</v>
      </c>
    </row>
    <row r="33" spans="1:19" s="186" customFormat="1" ht="15" customHeight="1" x14ac:dyDescent="0.25">
      <c r="A33" s="5974"/>
      <c r="B33" s="5678"/>
      <c r="C33" s="3632">
        <v>39</v>
      </c>
      <c r="D33" s="3633" t="s">
        <v>471</v>
      </c>
      <c r="E33" s="3638">
        <v>19.36</v>
      </c>
      <c r="F33" s="3634">
        <v>21.333333333333332</v>
      </c>
      <c r="G33" s="3635">
        <v>20.057142857142857</v>
      </c>
      <c r="H33" s="3639">
        <v>19.222222222222221</v>
      </c>
      <c r="I33" s="3636">
        <v>19.846153846153847</v>
      </c>
      <c r="J33" s="3636">
        <v>19.210526315789473</v>
      </c>
      <c r="K33" s="3637">
        <v>19.827586206896552</v>
      </c>
      <c r="L33" s="3637">
        <v>18.2</v>
      </c>
      <c r="M33" s="3637">
        <v>18.34375</v>
      </c>
      <c r="N33" s="3637">
        <v>17.435897435897434</v>
      </c>
      <c r="O33" s="3637">
        <v>17.585365853658541</v>
      </c>
      <c r="P33" s="3637">
        <v>19.916666666666668</v>
      </c>
      <c r="Q33" s="3637">
        <v>18.733333333333338</v>
      </c>
      <c r="R33" s="3637">
        <v>20.89</v>
      </c>
      <c r="S33" s="3637">
        <v>18.88</v>
      </c>
    </row>
    <row r="34" spans="1:19" s="186" customFormat="1" ht="15" customHeight="1" x14ac:dyDescent="0.25">
      <c r="A34" s="5974"/>
      <c r="B34" s="5678"/>
      <c r="C34" s="3632">
        <v>40</v>
      </c>
      <c r="D34" s="3633" t="s">
        <v>472</v>
      </c>
      <c r="E34" s="3638">
        <v>19.222222222222221</v>
      </c>
      <c r="F34" s="3634">
        <v>18.307692307692307</v>
      </c>
      <c r="G34" s="3635">
        <v>19.235294117647058</v>
      </c>
      <c r="H34" s="3639">
        <v>18.805555555555557</v>
      </c>
      <c r="I34" s="3636">
        <v>18.758620689655171</v>
      </c>
      <c r="J34" s="3636">
        <v>21.15384615384615</v>
      </c>
      <c r="K34" s="3637">
        <v>18.030303030303031</v>
      </c>
      <c r="L34" s="3637">
        <v>19.974358974358974</v>
      </c>
      <c r="M34" s="3637">
        <v>16.589743589743591</v>
      </c>
      <c r="N34" s="3637">
        <v>17.920000000000002</v>
      </c>
      <c r="O34" s="3637">
        <v>18.465116279069768</v>
      </c>
      <c r="P34" s="3637">
        <v>19.724137931034484</v>
      </c>
      <c r="Q34" s="3637">
        <v>18.785714285714285</v>
      </c>
      <c r="R34" s="3637">
        <v>19.8</v>
      </c>
      <c r="S34" s="3637">
        <v>19.79</v>
      </c>
    </row>
    <row r="35" spans="1:19" s="186" customFormat="1" ht="15" customHeight="1" x14ac:dyDescent="0.25">
      <c r="A35" s="5974"/>
      <c r="B35" s="5678"/>
      <c r="C35" s="3632">
        <v>41</v>
      </c>
      <c r="D35" s="3633" t="s">
        <v>458</v>
      </c>
      <c r="E35" s="3634">
        <v>19.714285714285715</v>
      </c>
      <c r="F35" s="3634">
        <v>18.05</v>
      </c>
      <c r="G35" s="3635">
        <v>18.463414634146343</v>
      </c>
      <c r="H35" s="3636">
        <v>21.03448275862069</v>
      </c>
      <c r="I35" s="3636">
        <v>18</v>
      </c>
      <c r="J35" s="3636">
        <v>18.225806451612907</v>
      </c>
      <c r="K35" s="3637">
        <v>17.170212765957444</v>
      </c>
      <c r="L35" s="3637">
        <v>17.589041095890412</v>
      </c>
      <c r="M35" s="3637">
        <v>15.705882352941172</v>
      </c>
      <c r="N35" s="3637">
        <v>17.157894736842106</v>
      </c>
      <c r="O35" s="3637">
        <v>16.50847457627119</v>
      </c>
      <c r="P35" s="3637">
        <v>16.738095238095241</v>
      </c>
      <c r="Q35" s="3637">
        <v>16.433333333333326</v>
      </c>
      <c r="R35" s="3637">
        <v>18.37</v>
      </c>
      <c r="S35" s="3637">
        <v>15.82</v>
      </c>
    </row>
    <row r="36" spans="1:19" s="186" customFormat="1" ht="15" customHeight="1" x14ac:dyDescent="0.25">
      <c r="A36" s="5974"/>
      <c r="B36" s="5678"/>
      <c r="C36" s="3632">
        <v>42</v>
      </c>
      <c r="D36" s="3633" t="s">
        <v>459</v>
      </c>
      <c r="E36" s="3634">
        <v>18.596491228070175</v>
      </c>
      <c r="F36" s="3634">
        <v>18.307692307692307</v>
      </c>
      <c r="G36" s="3635">
        <v>18.72</v>
      </c>
      <c r="H36" s="3636">
        <v>17.404761904761905</v>
      </c>
      <c r="I36" s="3636">
        <v>18.524999999999999</v>
      </c>
      <c r="J36" s="3636">
        <v>16.171428571428564</v>
      </c>
      <c r="K36" s="3637">
        <v>18.607142857142861</v>
      </c>
      <c r="L36" s="3637">
        <v>17.333333333333336</v>
      </c>
      <c r="M36" s="3637">
        <v>15.999999999999996</v>
      </c>
      <c r="N36" s="3637">
        <v>17.703703703703706</v>
      </c>
      <c r="O36" s="3637">
        <v>18.086956521739133</v>
      </c>
      <c r="P36" s="3637">
        <v>18.673076923076923</v>
      </c>
      <c r="Q36" s="3637">
        <v>17.414634146341463</v>
      </c>
      <c r="R36" s="3637">
        <v>17.7</v>
      </c>
      <c r="S36" s="3637">
        <v>16.88</v>
      </c>
    </row>
    <row r="37" spans="1:19" s="186" customFormat="1" ht="15" customHeight="1" x14ac:dyDescent="0.25">
      <c r="A37" s="5974"/>
      <c r="B37" s="5678"/>
      <c r="C37" s="3632">
        <v>43</v>
      </c>
      <c r="D37" s="3633" t="s">
        <v>473</v>
      </c>
      <c r="E37" s="3634">
        <v>19.600000000000001</v>
      </c>
      <c r="F37" s="3634">
        <v>21.27027027027027</v>
      </c>
      <c r="G37" s="3635">
        <v>20.666666666666668</v>
      </c>
      <c r="H37" s="3636">
        <v>21.232558139534884</v>
      </c>
      <c r="I37" s="3636">
        <v>19.75</v>
      </c>
      <c r="J37" s="3636">
        <v>21.696969696969695</v>
      </c>
      <c r="K37" s="3637">
        <v>18.060606060606062</v>
      </c>
      <c r="L37" s="3637">
        <v>18.916666666666668</v>
      </c>
      <c r="M37" s="3637">
        <v>20.039999999999996</v>
      </c>
      <c r="N37" s="3637">
        <v>19.62857142857143</v>
      </c>
      <c r="O37" s="3637">
        <v>18.441176470588232</v>
      </c>
      <c r="P37" s="3637">
        <v>17.257142857142853</v>
      </c>
      <c r="Q37" s="3637">
        <v>19.324999999999999</v>
      </c>
      <c r="R37" s="3637">
        <v>18.37</v>
      </c>
      <c r="S37" s="3637">
        <v>17.48</v>
      </c>
    </row>
    <row r="38" spans="1:19" s="186" customFormat="1" ht="15" customHeight="1" x14ac:dyDescent="0.25">
      <c r="A38" s="5974"/>
      <c r="B38" s="5678"/>
      <c r="C38" s="3632">
        <v>44</v>
      </c>
      <c r="D38" s="3633" t="s">
        <v>474</v>
      </c>
      <c r="E38" s="3634">
        <v>16.818181818181817</v>
      </c>
      <c r="F38" s="3634">
        <v>16.857142857142858</v>
      </c>
      <c r="G38" s="3635">
        <v>16.100000000000001</v>
      </c>
      <c r="H38" s="3636">
        <v>16</v>
      </c>
      <c r="I38" s="3636">
        <v>15.916666666666668</v>
      </c>
      <c r="J38" s="3636">
        <v>16.117647058823533</v>
      </c>
      <c r="K38" s="3637">
        <v>14.857142857142858</v>
      </c>
      <c r="L38" s="3637">
        <v>15.6</v>
      </c>
      <c r="M38" s="3637">
        <v>18.46153846153846</v>
      </c>
      <c r="N38" s="3637">
        <v>14.294117647058826</v>
      </c>
      <c r="O38" s="3637">
        <v>17.312499999999996</v>
      </c>
      <c r="P38" s="3637">
        <v>15.076923076923077</v>
      </c>
      <c r="Q38" s="3637">
        <v>16.761904761904763</v>
      </c>
      <c r="R38" s="3637">
        <v>15.52</v>
      </c>
      <c r="S38" s="3637">
        <v>17.78</v>
      </c>
    </row>
    <row r="39" spans="1:19" s="186" customFormat="1" ht="15" customHeight="1" x14ac:dyDescent="0.25">
      <c r="A39" s="5974"/>
      <c r="B39" s="5678"/>
      <c r="C39" s="3632">
        <v>45</v>
      </c>
      <c r="D39" s="3633" t="s">
        <v>475</v>
      </c>
      <c r="E39" s="3634">
        <v>18.383561643835616</v>
      </c>
      <c r="F39" s="3634">
        <v>16.261538461538461</v>
      </c>
      <c r="G39" s="3635">
        <v>18.68</v>
      </c>
      <c r="H39" s="3636">
        <v>19.244897959183675</v>
      </c>
      <c r="I39" s="3636">
        <v>19.260000000000002</v>
      </c>
      <c r="J39" s="3636">
        <v>19.685714285714283</v>
      </c>
      <c r="K39" s="3637">
        <v>19.787878787878793</v>
      </c>
      <c r="L39" s="3637">
        <v>17.068181818181824</v>
      </c>
      <c r="M39" s="3637">
        <v>18.63636363636363</v>
      </c>
      <c r="N39" s="3637">
        <v>17.399999999999991</v>
      </c>
      <c r="O39" s="3637">
        <v>17.166666666666661</v>
      </c>
      <c r="P39" s="3637">
        <v>17.51923076923077</v>
      </c>
      <c r="Q39" s="3637">
        <v>17.672413793103452</v>
      </c>
      <c r="R39" s="3637">
        <v>15.56</v>
      </c>
      <c r="S39" s="3637">
        <v>17.329999999999998</v>
      </c>
    </row>
    <row r="40" spans="1:19" s="186" customFormat="1" ht="15" customHeight="1" x14ac:dyDescent="0.25">
      <c r="A40" s="5974"/>
      <c r="B40" s="5678"/>
      <c r="C40" s="3632">
        <v>46</v>
      </c>
      <c r="D40" s="3633" t="s">
        <v>476</v>
      </c>
      <c r="E40" s="3634">
        <v>16.681318681318682</v>
      </c>
      <c r="F40" s="3634">
        <v>15.803921568627452</v>
      </c>
      <c r="G40" s="3635">
        <v>15.966292134831461</v>
      </c>
      <c r="H40" s="3636">
        <v>15.475</v>
      </c>
      <c r="I40" s="3636">
        <v>15.622222222222216</v>
      </c>
      <c r="J40" s="3636">
        <v>15.063291139240508</v>
      </c>
      <c r="K40" s="3637">
        <v>15.401639344262295</v>
      </c>
      <c r="L40" s="3637">
        <v>15.580645161290326</v>
      </c>
      <c r="M40" s="3637">
        <v>15.390476190476194</v>
      </c>
      <c r="N40" s="3637">
        <v>14.73154362416107</v>
      </c>
      <c r="O40" s="3637">
        <v>14.625</v>
      </c>
      <c r="P40" s="3637">
        <v>16.155737704918032</v>
      </c>
      <c r="Q40" s="3637">
        <v>16.420454545454543</v>
      </c>
      <c r="R40" s="3637">
        <v>15.19</v>
      </c>
      <c r="S40" s="3637">
        <v>15.71</v>
      </c>
    </row>
    <row r="41" spans="1:19" s="186" customFormat="1" ht="15" customHeight="1" x14ac:dyDescent="0.25">
      <c r="A41" s="5974"/>
      <c r="B41" s="5679"/>
      <c r="C41" s="3640">
        <v>121</v>
      </c>
      <c r="D41" s="3641" t="s">
        <v>477</v>
      </c>
      <c r="E41" s="3642"/>
      <c r="F41" s="3651"/>
      <c r="G41" s="3643"/>
      <c r="H41" s="3644">
        <v>12.666666666666666</v>
      </c>
      <c r="I41" s="3652">
        <v>15.166666666666668</v>
      </c>
      <c r="J41" s="3652">
        <v>13.875000000000002</v>
      </c>
      <c r="K41" s="3653">
        <v>17.333333333333332</v>
      </c>
      <c r="L41" s="3653">
        <v>15.333333333333334</v>
      </c>
      <c r="M41" s="3653">
        <v>18.25</v>
      </c>
      <c r="N41" s="3653">
        <v>21.714285714285715</v>
      </c>
      <c r="O41" s="3653">
        <v>19.142857142857142</v>
      </c>
      <c r="P41" s="3653">
        <v>19.750000000000004</v>
      </c>
      <c r="Q41" s="3653">
        <v>21.727272727272727</v>
      </c>
      <c r="R41" s="3653">
        <v>21</v>
      </c>
      <c r="S41" s="3653">
        <v>22.19</v>
      </c>
    </row>
    <row r="42" spans="1:19" s="186" customFormat="1" ht="15" customHeight="1" x14ac:dyDescent="0.25">
      <c r="A42" s="5974"/>
      <c r="B42" s="5678" t="s">
        <v>11</v>
      </c>
      <c r="C42" s="3645">
        <v>52</v>
      </c>
      <c r="D42" s="3646" t="s">
        <v>478</v>
      </c>
      <c r="E42" s="3647">
        <v>20.36</v>
      </c>
      <c r="F42" s="3647">
        <v>18.338028169014084</v>
      </c>
      <c r="G42" s="3648">
        <v>21.14516129032258</v>
      </c>
      <c r="H42" s="3649">
        <v>18.79032258064516</v>
      </c>
      <c r="I42" s="3649">
        <v>18.958333333333329</v>
      </c>
      <c r="J42" s="3649">
        <v>18.509090909090908</v>
      </c>
      <c r="K42" s="3650">
        <v>18.571428571428569</v>
      </c>
      <c r="L42" s="3650">
        <v>17.132075471698112</v>
      </c>
      <c r="M42" s="3650">
        <v>16.851063829787236</v>
      </c>
      <c r="N42" s="3650">
        <v>16.80555555555555</v>
      </c>
      <c r="O42" s="3650">
        <v>17.923913043478265</v>
      </c>
      <c r="P42" s="3650">
        <v>17.566265060240962</v>
      </c>
      <c r="Q42" s="3650">
        <v>17.757894736842104</v>
      </c>
      <c r="R42" s="3650">
        <v>19.28</v>
      </c>
      <c r="S42" s="3650">
        <v>18.46</v>
      </c>
    </row>
    <row r="43" spans="1:19" s="186" customFormat="1" ht="15" customHeight="1" x14ac:dyDescent="0.25">
      <c r="A43" s="5974"/>
      <c r="B43" s="5678"/>
      <c r="C43" s="3632">
        <v>53</v>
      </c>
      <c r="D43" s="3633" t="s">
        <v>479</v>
      </c>
      <c r="E43" s="3634">
        <v>20.431372549019606</v>
      </c>
      <c r="F43" s="3634">
        <v>21.156862745098039</v>
      </c>
      <c r="G43" s="3635">
        <v>18.720930232558139</v>
      </c>
      <c r="H43" s="3636">
        <v>22.017857142857142</v>
      </c>
      <c r="I43" s="3636">
        <v>20.5</v>
      </c>
      <c r="J43" s="3636">
        <v>17.317460317460309</v>
      </c>
      <c r="K43" s="3637">
        <v>18.982758620689655</v>
      </c>
      <c r="L43" s="3637">
        <v>18.916666666666664</v>
      </c>
      <c r="M43" s="3637">
        <v>18.769230769230766</v>
      </c>
      <c r="N43" s="3637">
        <v>19.024390243902438</v>
      </c>
      <c r="O43" s="3637">
        <v>19.17307692307693</v>
      </c>
      <c r="P43" s="3637">
        <v>19.781249999999989</v>
      </c>
      <c r="Q43" s="3637">
        <v>19.428571428571427</v>
      </c>
      <c r="R43" s="3637">
        <v>17.46</v>
      </c>
      <c r="S43" s="3637">
        <v>18.829999999999998</v>
      </c>
    </row>
    <row r="44" spans="1:19" s="186" customFormat="1" ht="15" customHeight="1" x14ac:dyDescent="0.25">
      <c r="A44" s="5974"/>
      <c r="B44" s="5678"/>
      <c r="C44" s="3632">
        <v>54</v>
      </c>
      <c r="D44" s="3633" t="s">
        <v>480</v>
      </c>
      <c r="E44" s="3634">
        <v>18.4375</v>
      </c>
      <c r="F44" s="3634">
        <v>19.884615384615383</v>
      </c>
      <c r="G44" s="3635">
        <v>19.2</v>
      </c>
      <c r="H44" s="3636">
        <v>20.307692307692307</v>
      </c>
      <c r="I44" s="3636">
        <v>19.69230769230769</v>
      </c>
      <c r="J44" s="3636">
        <v>18.370370370370374</v>
      </c>
      <c r="K44" s="3637">
        <v>20.111111111111114</v>
      </c>
      <c r="L44" s="3637">
        <v>18.173913043478265</v>
      </c>
      <c r="M44" s="3637">
        <v>18.176470588235293</v>
      </c>
      <c r="N44" s="3637">
        <v>20.483870967741936</v>
      </c>
      <c r="O44" s="3637">
        <v>19.714285714285712</v>
      </c>
      <c r="P44" s="3637">
        <v>16.700000000000003</v>
      </c>
      <c r="Q44" s="3637">
        <v>18.829268292682922</v>
      </c>
      <c r="R44" s="3637">
        <v>19.54</v>
      </c>
      <c r="S44" s="3637">
        <v>17.989999999999998</v>
      </c>
    </row>
    <row r="45" spans="1:19" s="186" customFormat="1" ht="15" customHeight="1" x14ac:dyDescent="0.25">
      <c r="A45" s="5974"/>
      <c r="B45" s="5678"/>
      <c r="C45" s="3632">
        <v>55</v>
      </c>
      <c r="D45" s="3633" t="s">
        <v>481</v>
      </c>
      <c r="E45" s="3634">
        <v>21.416666666666668</v>
      </c>
      <c r="F45" s="3634">
        <v>18.823529411764707</v>
      </c>
      <c r="G45" s="3635">
        <v>21.53846153846154</v>
      </c>
      <c r="H45" s="3636">
        <v>21</v>
      </c>
      <c r="I45" s="3636">
        <v>20.833333333333332</v>
      </c>
      <c r="J45" s="3636">
        <v>24.5</v>
      </c>
      <c r="K45" s="3637">
        <v>17.833333333333332</v>
      </c>
      <c r="L45" s="3637">
        <v>17</v>
      </c>
      <c r="M45" s="3637">
        <v>18.75</v>
      </c>
      <c r="N45" s="3637">
        <v>18.642857142857146</v>
      </c>
      <c r="O45" s="3637">
        <v>16.733333333333331</v>
      </c>
      <c r="P45" s="3637">
        <v>16.214285714285712</v>
      </c>
      <c r="Q45" s="3637">
        <v>17.760000000000002</v>
      </c>
      <c r="R45" s="3637">
        <v>16.670000000000002</v>
      </c>
      <c r="S45" s="3637">
        <v>16.8</v>
      </c>
    </row>
    <row r="46" spans="1:19" s="186" customFormat="1" ht="15" customHeight="1" x14ac:dyDescent="0.25">
      <c r="A46" s="5974"/>
      <c r="B46" s="5678"/>
      <c r="C46" s="3632">
        <v>56</v>
      </c>
      <c r="D46" s="3633" t="s">
        <v>482</v>
      </c>
      <c r="E46" s="3634">
        <v>21.118421052631579</v>
      </c>
      <c r="F46" s="3634">
        <v>21.702702702702702</v>
      </c>
      <c r="G46" s="3635">
        <v>20.14851485148515</v>
      </c>
      <c r="H46" s="3636">
        <v>20.622222222222224</v>
      </c>
      <c r="I46" s="3636">
        <v>21.258426966292131</v>
      </c>
      <c r="J46" s="3636">
        <v>20.811594202898544</v>
      </c>
      <c r="K46" s="3637">
        <v>20.044444444444441</v>
      </c>
      <c r="L46" s="3637">
        <v>18.138613861386144</v>
      </c>
      <c r="M46" s="3637">
        <v>18.508771929824565</v>
      </c>
      <c r="N46" s="3637">
        <v>18.984848484848492</v>
      </c>
      <c r="O46" s="3637">
        <v>17.316455696202528</v>
      </c>
      <c r="P46" s="3637">
        <v>18.026315789473685</v>
      </c>
      <c r="Q46" s="3637">
        <v>19.411764705882348</v>
      </c>
      <c r="R46" s="3637">
        <v>19.3</v>
      </c>
      <c r="S46" s="3637">
        <v>19.420000000000002</v>
      </c>
    </row>
    <row r="47" spans="1:19" s="186" customFormat="1" ht="15" customHeight="1" x14ac:dyDescent="0.25">
      <c r="A47" s="5975"/>
      <c r="B47" s="5678"/>
      <c r="C47" s="3640">
        <v>57</v>
      </c>
      <c r="D47" s="3641" t="s">
        <v>483</v>
      </c>
      <c r="E47" s="3651">
        <v>21.231578947368423</v>
      </c>
      <c r="F47" s="3651">
        <v>21.733333333333334</v>
      </c>
      <c r="G47" s="3643">
        <v>21.636363636363637</v>
      </c>
      <c r="H47" s="3652">
        <v>21.713178294573645</v>
      </c>
      <c r="I47" s="3652">
        <v>21.824999999999999</v>
      </c>
      <c r="J47" s="3652">
        <v>21.314049586776857</v>
      </c>
      <c r="K47" s="3653">
        <v>20.84375</v>
      </c>
      <c r="L47" s="3653">
        <v>19.358208955223883</v>
      </c>
      <c r="M47" s="3653">
        <v>19.378378378378379</v>
      </c>
      <c r="N47" s="3653">
        <v>19.534246575342461</v>
      </c>
      <c r="O47" s="3653">
        <v>19.407407407407405</v>
      </c>
      <c r="P47" s="3653">
        <v>19.909090909090914</v>
      </c>
      <c r="Q47" s="3653">
        <v>18.277108433734938</v>
      </c>
      <c r="R47" s="3653">
        <v>20.27</v>
      </c>
      <c r="S47" s="3653">
        <v>19.350000000000001</v>
      </c>
    </row>
    <row r="48" spans="1:19" s="186" customFormat="1" ht="15" customHeight="1" x14ac:dyDescent="0.25">
      <c r="A48" s="5970" t="s">
        <v>10</v>
      </c>
      <c r="B48" s="5650" t="s">
        <v>6</v>
      </c>
      <c r="C48" s="3645">
        <v>63</v>
      </c>
      <c r="D48" s="3646" t="s">
        <v>456</v>
      </c>
      <c r="E48" s="3647">
        <v>13.815789473684211</v>
      </c>
      <c r="F48" s="3647">
        <v>14.232142857142858</v>
      </c>
      <c r="G48" s="3648">
        <v>13.663157894736843</v>
      </c>
      <c r="H48" s="3649">
        <v>14.262135922330097</v>
      </c>
      <c r="I48" s="3649">
        <v>13.565217391304348</v>
      </c>
      <c r="J48" s="3649">
        <v>13.59090909090909</v>
      </c>
      <c r="K48" s="3650">
        <v>13.821428571428569</v>
      </c>
      <c r="L48" s="3650">
        <v>14</v>
      </c>
      <c r="M48" s="3650">
        <v>14.277310924369747</v>
      </c>
      <c r="N48" s="3650">
        <v>14.446153846153846</v>
      </c>
      <c r="O48" s="3650">
        <v>14.19463087248322</v>
      </c>
      <c r="P48" s="3650">
        <v>14.433962264150949</v>
      </c>
      <c r="Q48" s="3650">
        <v>14.330357142857144</v>
      </c>
      <c r="R48" s="3650">
        <v>14.4</v>
      </c>
      <c r="S48" s="3650">
        <v>14.41</v>
      </c>
    </row>
    <row r="49" spans="1:19" s="186" customFormat="1" ht="15" customHeight="1" x14ac:dyDescent="0.25">
      <c r="A49" s="5971"/>
      <c r="B49" s="5651"/>
      <c r="C49" s="3632">
        <v>64</v>
      </c>
      <c r="D49" s="3633" t="s">
        <v>484</v>
      </c>
      <c r="E49" s="3634">
        <v>13</v>
      </c>
      <c r="F49" s="3634">
        <v>12.993197278911564</v>
      </c>
      <c r="G49" s="3635">
        <v>12.978102189781023</v>
      </c>
      <c r="H49" s="3636">
        <v>13.136054421768707</v>
      </c>
      <c r="I49" s="3636">
        <v>12.9</v>
      </c>
      <c r="J49" s="3636">
        <v>12.674208144796379</v>
      </c>
      <c r="K49" s="3637">
        <v>12.860103626943014</v>
      </c>
      <c r="L49" s="3637">
        <v>13.165803108808294</v>
      </c>
      <c r="M49" s="3637">
        <v>12.97727272727273</v>
      </c>
      <c r="N49" s="3637">
        <v>12.741176470588231</v>
      </c>
      <c r="O49" s="3637">
        <v>12.824858757062147</v>
      </c>
      <c r="P49" s="3637">
        <v>12.712643678160918</v>
      </c>
      <c r="Q49" s="3637">
        <v>13.064327485380122</v>
      </c>
      <c r="R49" s="3637">
        <v>12.98</v>
      </c>
      <c r="S49" s="3637">
        <v>12.98</v>
      </c>
    </row>
    <row r="50" spans="1:19" s="186" customFormat="1" ht="15" customHeight="1" x14ac:dyDescent="0.25">
      <c r="A50" s="5971"/>
      <c r="B50" s="5651"/>
      <c r="C50" s="3632">
        <v>65</v>
      </c>
      <c r="D50" s="3633" t="s">
        <v>458</v>
      </c>
      <c r="E50" s="3634">
        <v>15.130434782608695</v>
      </c>
      <c r="F50" s="3634">
        <v>14.729166666666666</v>
      </c>
      <c r="G50" s="3635">
        <v>15.267605633802816</v>
      </c>
      <c r="H50" s="3636">
        <v>14.934782608695652</v>
      </c>
      <c r="I50" s="3636">
        <v>15.031746031746026</v>
      </c>
      <c r="J50" s="3636">
        <v>16.119402985074618</v>
      </c>
      <c r="K50" s="3637">
        <v>14.906976744186046</v>
      </c>
      <c r="L50" s="3637">
        <v>15.285714285714278</v>
      </c>
      <c r="M50" s="3637">
        <v>15.102564102564102</v>
      </c>
      <c r="N50" s="3637">
        <v>14.839506172839505</v>
      </c>
      <c r="O50" s="3637">
        <v>15.741935483870966</v>
      </c>
      <c r="P50" s="3637">
        <v>15.783783783783784</v>
      </c>
      <c r="Q50" s="3637">
        <v>16.012345679012338</v>
      </c>
      <c r="R50" s="3637">
        <v>15.42</v>
      </c>
      <c r="S50" s="3637">
        <v>15.97</v>
      </c>
    </row>
    <row r="51" spans="1:19" s="186" customFormat="1" ht="15" customHeight="1" x14ac:dyDescent="0.25">
      <c r="A51" s="5971"/>
      <c r="B51" s="5651"/>
      <c r="C51" s="3632">
        <v>66</v>
      </c>
      <c r="D51" s="3633" t="s">
        <v>485</v>
      </c>
      <c r="E51" s="3634">
        <v>12.668874172185431</v>
      </c>
      <c r="F51" s="3634">
        <v>12.8006993006993</v>
      </c>
      <c r="G51" s="3635">
        <v>12.790613718411553</v>
      </c>
      <c r="H51" s="3636">
        <v>12.732203389830508</v>
      </c>
      <c r="I51" s="3636">
        <v>12.777003484320549</v>
      </c>
      <c r="J51" s="3636">
        <v>12.602739726027398</v>
      </c>
      <c r="K51" s="3637">
        <v>12.627604166666668</v>
      </c>
      <c r="L51" s="3637">
        <v>12.875</v>
      </c>
      <c r="M51" s="3637">
        <v>12.93795620437956</v>
      </c>
      <c r="N51" s="3637">
        <v>12.734615384615385</v>
      </c>
      <c r="O51" s="3637">
        <v>12.840840840840839</v>
      </c>
      <c r="P51" s="3637">
        <v>12.64745762711865</v>
      </c>
      <c r="Q51" s="3637">
        <v>12.810526315789465</v>
      </c>
      <c r="R51" s="3637">
        <v>12.8</v>
      </c>
      <c r="S51" s="3637">
        <v>12.95</v>
      </c>
    </row>
    <row r="52" spans="1:19" s="186" customFormat="1" ht="15" customHeight="1" x14ac:dyDescent="0.25">
      <c r="A52" s="5971"/>
      <c r="B52" s="5651"/>
      <c r="C52" s="3632">
        <v>67</v>
      </c>
      <c r="D52" s="3633" t="s">
        <v>459</v>
      </c>
      <c r="E52" s="3634">
        <v>13.37719298245614</v>
      </c>
      <c r="F52" s="3634">
        <v>13.920792079207921</v>
      </c>
      <c r="G52" s="3635">
        <v>13.460869565217392</v>
      </c>
      <c r="H52" s="3636">
        <v>13.160839160839162</v>
      </c>
      <c r="I52" s="3636">
        <v>13.352941176470583</v>
      </c>
      <c r="J52" s="3636">
        <v>13.612244897959185</v>
      </c>
      <c r="K52" s="3637">
        <v>13.358208955223878</v>
      </c>
      <c r="L52" s="3637">
        <v>13.142857142857139</v>
      </c>
      <c r="M52" s="3637">
        <v>13.232758620689658</v>
      </c>
      <c r="N52" s="3637">
        <v>13.560747663551401</v>
      </c>
      <c r="O52" s="3637">
        <v>13.522388059701496</v>
      </c>
      <c r="P52" s="3637">
        <v>13.401709401709402</v>
      </c>
      <c r="Q52" s="3637">
        <v>13.330708661417322</v>
      </c>
      <c r="R52" s="3637">
        <v>13.78</v>
      </c>
      <c r="S52" s="3637">
        <v>13.32</v>
      </c>
    </row>
    <row r="53" spans="1:19" s="186" customFormat="1" ht="15" customHeight="1" x14ac:dyDescent="0.25">
      <c r="A53" s="5971"/>
      <c r="B53" s="5652"/>
      <c r="C53" s="3640">
        <v>101</v>
      </c>
      <c r="D53" s="3641" t="s">
        <v>486</v>
      </c>
      <c r="E53" s="3651">
        <v>13.282051282051283</v>
      </c>
      <c r="F53" s="3651">
        <v>13.521739130434783</v>
      </c>
      <c r="G53" s="3643">
        <v>14.135135135135135</v>
      </c>
      <c r="H53" s="3652">
        <v>13.592592592592593</v>
      </c>
      <c r="I53" s="3652">
        <v>13.025641025641029</v>
      </c>
      <c r="J53" s="3652">
        <v>13.46153846153846</v>
      </c>
      <c r="K53" s="3653">
        <v>13.78260869565217</v>
      </c>
      <c r="L53" s="3653">
        <v>13.695652173913041</v>
      </c>
      <c r="M53" s="3653">
        <v>13.679245283018865</v>
      </c>
      <c r="N53" s="3653">
        <v>13.978260869565215</v>
      </c>
      <c r="O53" s="3653">
        <v>13.818181818181818</v>
      </c>
      <c r="P53" s="3653">
        <v>13.404761904761902</v>
      </c>
      <c r="Q53" s="3653">
        <v>13.575757575757576</v>
      </c>
      <c r="R53" s="3653">
        <v>13.8</v>
      </c>
      <c r="S53" s="3653">
        <v>14.11</v>
      </c>
    </row>
    <row r="54" spans="1:19" s="186" customFormat="1" ht="15" customHeight="1" x14ac:dyDescent="0.25">
      <c r="A54" s="5971"/>
      <c r="B54" s="5651" t="s">
        <v>11</v>
      </c>
      <c r="C54" s="3645">
        <v>73</v>
      </c>
      <c r="D54" s="3646" t="s">
        <v>478</v>
      </c>
      <c r="E54" s="3647">
        <v>13.666666666666666</v>
      </c>
      <c r="F54" s="3647">
        <v>13.761904761904763</v>
      </c>
      <c r="G54" s="3648">
        <v>13.74757281553398</v>
      </c>
      <c r="H54" s="3649">
        <v>13.898148148148149</v>
      </c>
      <c r="I54" s="3649">
        <v>13.296296296296292</v>
      </c>
      <c r="J54" s="3649">
        <v>13.770491803278688</v>
      </c>
      <c r="K54" s="3650">
        <v>13.637499999999999</v>
      </c>
      <c r="L54" s="3650">
        <v>13.089655172413794</v>
      </c>
      <c r="M54" s="3650">
        <v>13.919463087248319</v>
      </c>
      <c r="N54" s="3650">
        <v>13.562913907284765</v>
      </c>
      <c r="O54" s="3650">
        <v>13.551724137931032</v>
      </c>
      <c r="P54" s="3650">
        <v>13.387500000000001</v>
      </c>
      <c r="Q54" s="3650">
        <v>13.090090090090088</v>
      </c>
      <c r="R54" s="3650">
        <v>13.53</v>
      </c>
      <c r="S54" s="3650">
        <v>13.64</v>
      </c>
    </row>
    <row r="55" spans="1:19" s="186" customFormat="1" ht="15" customHeight="1" x14ac:dyDescent="0.25">
      <c r="A55" s="5971"/>
      <c r="B55" s="5651"/>
      <c r="C55" s="3632">
        <v>74</v>
      </c>
      <c r="D55" s="3633" t="s">
        <v>487</v>
      </c>
      <c r="E55" s="3634">
        <v>12.888888888888889</v>
      </c>
      <c r="F55" s="3634">
        <v>12.772727272727273</v>
      </c>
      <c r="G55" s="3635">
        <v>12.85</v>
      </c>
      <c r="H55" s="3636">
        <v>12.887323943661972</v>
      </c>
      <c r="I55" s="3636">
        <v>12.939759036144572</v>
      </c>
      <c r="J55" s="3636">
        <v>12.975409836065579</v>
      </c>
      <c r="K55" s="3637">
        <v>12.619565217391305</v>
      </c>
      <c r="L55" s="3637">
        <v>12.805309734513271</v>
      </c>
      <c r="M55" s="3637">
        <v>13.392857142857137</v>
      </c>
      <c r="N55" s="3637">
        <v>13.25</v>
      </c>
      <c r="O55" s="3637">
        <v>12.690476190476186</v>
      </c>
      <c r="P55" s="3637">
        <v>12.732142857142859</v>
      </c>
      <c r="Q55" s="3637">
        <v>13.064220183486242</v>
      </c>
      <c r="R55" s="3637">
        <v>12.89</v>
      </c>
      <c r="S55" s="3637">
        <v>12.73</v>
      </c>
    </row>
    <row r="56" spans="1:19" s="186" customFormat="1" ht="15" customHeight="1" x14ac:dyDescent="0.25">
      <c r="A56" s="5971"/>
      <c r="B56" s="5651"/>
      <c r="C56" s="3632">
        <v>75</v>
      </c>
      <c r="D56" s="3633" t="s">
        <v>488</v>
      </c>
      <c r="E56" s="3634">
        <v>13.226415094339623</v>
      </c>
      <c r="F56" s="3634">
        <v>12.949640287769784</v>
      </c>
      <c r="G56" s="3635">
        <v>12.917241379310346</v>
      </c>
      <c r="H56" s="3636">
        <v>13.006944444444445</v>
      </c>
      <c r="I56" s="3636">
        <v>13.101010101010095</v>
      </c>
      <c r="J56" s="3636">
        <v>12.867383512544807</v>
      </c>
      <c r="K56" s="3637">
        <v>12.816326530612244</v>
      </c>
      <c r="L56" s="3637">
        <v>13.052356020942407</v>
      </c>
      <c r="M56" s="3637">
        <v>12.718954248366009</v>
      </c>
      <c r="N56" s="3637">
        <v>12.76687116564417</v>
      </c>
      <c r="O56" s="3637">
        <v>12.894736842105262</v>
      </c>
      <c r="P56" s="3637">
        <v>12.61379310344827</v>
      </c>
      <c r="Q56" s="3637">
        <v>12.955128205128206</v>
      </c>
      <c r="R56" s="3637">
        <v>12.78</v>
      </c>
      <c r="S56" s="3637">
        <v>12.99</v>
      </c>
    </row>
    <row r="57" spans="1:19" s="186" customFormat="1" ht="15" customHeight="1" x14ac:dyDescent="0.25">
      <c r="A57" s="5971"/>
      <c r="B57" s="5651"/>
      <c r="C57" s="3632">
        <v>76</v>
      </c>
      <c r="D57" s="3633" t="s">
        <v>489</v>
      </c>
      <c r="E57" s="3634">
        <v>14.383116883116884</v>
      </c>
      <c r="F57" s="3634">
        <v>14.40251572327044</v>
      </c>
      <c r="G57" s="3635">
        <v>14.32716049382716</v>
      </c>
      <c r="H57" s="3636">
        <v>14.341176470588236</v>
      </c>
      <c r="I57" s="3636">
        <v>14.258241758241763</v>
      </c>
      <c r="J57" s="3636">
        <v>13.925531914893611</v>
      </c>
      <c r="K57" s="3637">
        <v>14.059171597633133</v>
      </c>
      <c r="L57" s="3637">
        <v>14.122549019607854</v>
      </c>
      <c r="M57" s="3637">
        <v>14.568965517241391</v>
      </c>
      <c r="N57" s="3637">
        <v>14.473684210526317</v>
      </c>
      <c r="O57" s="3637">
        <v>14.174157303370796</v>
      </c>
      <c r="P57" s="3637">
        <v>14.24683544303797</v>
      </c>
      <c r="Q57" s="3637">
        <v>14.145348837209296</v>
      </c>
      <c r="R57" s="3637">
        <v>14.43</v>
      </c>
      <c r="S57" s="3637">
        <v>14.1</v>
      </c>
    </row>
    <row r="58" spans="1:19" s="186" customFormat="1" ht="15" customHeight="1" x14ac:dyDescent="0.25">
      <c r="A58" s="5971"/>
      <c r="B58" s="5651"/>
      <c r="C58" s="3632">
        <v>77</v>
      </c>
      <c r="D58" s="3633" t="s">
        <v>490</v>
      </c>
      <c r="E58" s="3634">
        <v>14.044585987261147</v>
      </c>
      <c r="F58" s="3634">
        <v>13.64406779661017</v>
      </c>
      <c r="G58" s="3635">
        <v>14.196629213483146</v>
      </c>
      <c r="H58" s="3636">
        <v>13.905882352941177</v>
      </c>
      <c r="I58" s="3636">
        <v>13.810256410256409</v>
      </c>
      <c r="J58" s="3636">
        <v>13.904306220095691</v>
      </c>
      <c r="K58" s="3637">
        <v>14.122549019607838</v>
      </c>
      <c r="L58" s="3637">
        <v>14.310880829015549</v>
      </c>
      <c r="M58" s="3637">
        <v>14.346534653465348</v>
      </c>
      <c r="N58" s="3637">
        <v>13.980132450331123</v>
      </c>
      <c r="O58" s="3637">
        <v>14.761904761904772</v>
      </c>
      <c r="P58" s="3637">
        <v>14.100628930817606</v>
      </c>
      <c r="Q58" s="3637">
        <v>14.38255033557046</v>
      </c>
      <c r="R58" s="3637">
        <v>13.85</v>
      </c>
      <c r="S58" s="3637">
        <v>14.89</v>
      </c>
    </row>
    <row r="59" spans="1:19" s="186" customFormat="1" ht="15" customHeight="1" x14ac:dyDescent="0.25">
      <c r="A59" s="5971"/>
      <c r="B59" s="5651"/>
      <c r="C59" s="3632">
        <v>78</v>
      </c>
      <c r="D59" s="3633" t="s">
        <v>491</v>
      </c>
      <c r="E59" s="3634">
        <v>13.536231884057971</v>
      </c>
      <c r="F59" s="3634">
        <v>13.26</v>
      </c>
      <c r="G59" s="3635">
        <v>13.738095238095237</v>
      </c>
      <c r="H59" s="3636">
        <v>12.672131147540984</v>
      </c>
      <c r="I59" s="3636">
        <v>13.081081081081075</v>
      </c>
      <c r="J59" s="3636">
        <v>13.404761904761903</v>
      </c>
      <c r="K59" s="3637">
        <v>13.395348837209307</v>
      </c>
      <c r="L59" s="3637">
        <v>13.434782608695652</v>
      </c>
      <c r="M59" s="3637">
        <v>13.16666666666667</v>
      </c>
      <c r="N59" s="3637">
        <v>13.198198198198201</v>
      </c>
      <c r="O59" s="3637">
        <v>13.690265486725663</v>
      </c>
      <c r="P59" s="3637">
        <v>13.127272727272727</v>
      </c>
      <c r="Q59" s="3637">
        <v>13.09448818897638</v>
      </c>
      <c r="R59" s="3637">
        <v>13.28</v>
      </c>
      <c r="S59" s="3637">
        <v>13.45</v>
      </c>
    </row>
    <row r="60" spans="1:19" s="186" customFormat="1" ht="15" customHeight="1" x14ac:dyDescent="0.25">
      <c r="A60" s="5971"/>
      <c r="B60" s="5651"/>
      <c r="C60" s="3632">
        <v>79</v>
      </c>
      <c r="D60" s="3633" t="s">
        <v>492</v>
      </c>
      <c r="E60" s="3634">
        <v>16.292517006802722</v>
      </c>
      <c r="F60" s="3634">
        <v>16.520710059171599</v>
      </c>
      <c r="G60" s="3635">
        <v>16.188405797101449</v>
      </c>
      <c r="H60" s="3636">
        <v>16.779527559055119</v>
      </c>
      <c r="I60" s="3636">
        <v>16.572463768115934</v>
      </c>
      <c r="J60" s="3636">
        <v>15.932432432432435</v>
      </c>
      <c r="K60" s="3637">
        <v>16.062857142857126</v>
      </c>
      <c r="L60" s="3637">
        <v>16.347368421052636</v>
      </c>
      <c r="M60" s="3637">
        <v>16.225609756097558</v>
      </c>
      <c r="N60" s="3637">
        <v>16.485074626865675</v>
      </c>
      <c r="O60" s="3637">
        <v>16.694444444444446</v>
      </c>
      <c r="P60" s="3637">
        <v>16.976190476190471</v>
      </c>
      <c r="Q60" s="3637">
        <v>16.569148936170201</v>
      </c>
      <c r="R60" s="3637">
        <v>16.82</v>
      </c>
      <c r="S60" s="3637">
        <v>16.75</v>
      </c>
    </row>
    <row r="61" spans="1:19" s="186" customFormat="1" ht="15" customHeight="1" x14ac:dyDescent="0.25">
      <c r="A61" s="5971"/>
      <c r="B61" s="5651"/>
      <c r="C61" s="3640">
        <v>80</v>
      </c>
      <c r="D61" s="3641" t="s">
        <v>493</v>
      </c>
      <c r="E61" s="3651">
        <v>12.967032967032967</v>
      </c>
      <c r="F61" s="3651">
        <v>12.724489795918368</v>
      </c>
      <c r="G61" s="3643">
        <v>12.674418604651162</v>
      </c>
      <c r="H61" s="3652">
        <v>12.766355140186915</v>
      </c>
      <c r="I61" s="3652">
        <v>12.84375</v>
      </c>
      <c r="J61" s="3652">
        <v>12.431034482758619</v>
      </c>
      <c r="K61" s="3653">
        <v>12.40816326530612</v>
      </c>
      <c r="L61" s="3653">
        <v>11.952941176470585</v>
      </c>
      <c r="M61" s="3653">
        <v>13.081967213114753</v>
      </c>
      <c r="N61" s="3653">
        <v>12.747663551401869</v>
      </c>
      <c r="O61" s="3653">
        <v>12.934959349593493</v>
      </c>
      <c r="P61" s="3653">
        <v>12.834782608695651</v>
      </c>
      <c r="Q61" s="3653">
        <v>13.328244274809164</v>
      </c>
      <c r="R61" s="3653">
        <v>12.71</v>
      </c>
      <c r="S61" s="3653">
        <v>12.87</v>
      </c>
    </row>
    <row r="62" spans="1:19" s="186" customFormat="1" ht="15" customHeight="1" x14ac:dyDescent="0.25">
      <c r="A62" s="5971"/>
      <c r="B62" s="5650" t="s">
        <v>7</v>
      </c>
      <c r="C62" s="3645">
        <v>85</v>
      </c>
      <c r="D62" s="3646" t="s">
        <v>460</v>
      </c>
      <c r="E62" s="3647">
        <v>13.851063829787234</v>
      </c>
      <c r="F62" s="3647">
        <v>13.986394557823129</v>
      </c>
      <c r="G62" s="3648">
        <v>14.493506493506494</v>
      </c>
      <c r="H62" s="3649">
        <v>14.418079096045197</v>
      </c>
      <c r="I62" s="3649">
        <v>13.9</v>
      </c>
      <c r="J62" s="3649">
        <v>14.018957345971568</v>
      </c>
      <c r="K62" s="3650">
        <v>14.314285714285706</v>
      </c>
      <c r="L62" s="3650">
        <v>14.442307692307688</v>
      </c>
      <c r="M62" s="3650">
        <v>14.693121693121681</v>
      </c>
      <c r="N62" s="3650">
        <v>14.292817679558013</v>
      </c>
      <c r="O62" s="3650">
        <v>14.182352941176463</v>
      </c>
      <c r="P62" s="3650">
        <v>14.220095693779903</v>
      </c>
      <c r="Q62" s="3650">
        <v>13.755952380952381</v>
      </c>
      <c r="R62" s="3650">
        <v>14.06</v>
      </c>
      <c r="S62" s="3650">
        <v>13.78</v>
      </c>
    </row>
    <row r="63" spans="1:19" s="186" customFormat="1" ht="15" customHeight="1" x14ac:dyDescent="0.25">
      <c r="A63" s="5971"/>
      <c r="B63" s="5651"/>
      <c r="C63" s="3632">
        <v>86</v>
      </c>
      <c r="D63" s="3633" t="s">
        <v>461</v>
      </c>
      <c r="E63" s="3634">
        <v>13.109589041095891</v>
      </c>
      <c r="F63" s="3634">
        <v>13.223300970873787</v>
      </c>
      <c r="G63" s="3635">
        <v>13.172413793103448</v>
      </c>
      <c r="H63" s="3636">
        <v>12.965217391304348</v>
      </c>
      <c r="I63" s="3636">
        <v>13.114754098360653</v>
      </c>
      <c r="J63" s="3636">
        <v>13.111111111111116</v>
      </c>
      <c r="K63" s="3637">
        <v>12.901960784313721</v>
      </c>
      <c r="L63" s="3637">
        <v>13.5</v>
      </c>
      <c r="M63" s="3637">
        <v>13.541666666666666</v>
      </c>
      <c r="N63" s="3637">
        <v>13.76595744680851</v>
      </c>
      <c r="O63" s="3637">
        <v>13.549549549549541</v>
      </c>
      <c r="P63" s="3637">
        <v>13.041322314049591</v>
      </c>
      <c r="Q63" s="3637">
        <v>13.231578947368423</v>
      </c>
      <c r="R63" s="3637">
        <v>12.95</v>
      </c>
      <c r="S63" s="3637">
        <v>13.07</v>
      </c>
    </row>
    <row r="64" spans="1:19" s="186" customFormat="1" ht="15" customHeight="1" x14ac:dyDescent="0.25">
      <c r="A64" s="5971"/>
      <c r="B64" s="5651"/>
      <c r="C64" s="3632">
        <v>87</v>
      </c>
      <c r="D64" s="3633" t="s">
        <v>462</v>
      </c>
      <c r="E64" s="3634">
        <v>13.268041237113403</v>
      </c>
      <c r="F64" s="3634">
        <v>13.551282051282051</v>
      </c>
      <c r="G64" s="3635">
        <v>13.592233009708737</v>
      </c>
      <c r="H64" s="3636">
        <v>13.36046511627907</v>
      </c>
      <c r="I64" s="3636">
        <v>13.455555555555557</v>
      </c>
      <c r="J64" s="3636">
        <v>13.551020408163266</v>
      </c>
      <c r="K64" s="3637">
        <v>13.514018691588781</v>
      </c>
      <c r="L64" s="3637">
        <v>14.050632911392409</v>
      </c>
      <c r="M64" s="3637">
        <v>14.46666666666667</v>
      </c>
      <c r="N64" s="3637">
        <v>13.978260869565217</v>
      </c>
      <c r="O64" s="3637">
        <v>13.592105263157894</v>
      </c>
      <c r="P64" s="3637">
        <v>13.602739726027401</v>
      </c>
      <c r="Q64" s="3637">
        <v>13.694444444444443</v>
      </c>
      <c r="R64" s="3637">
        <v>14.11</v>
      </c>
      <c r="S64" s="3637">
        <v>13.93</v>
      </c>
    </row>
    <row r="65" spans="1:19" s="186" customFormat="1" ht="15" customHeight="1" x14ac:dyDescent="0.25">
      <c r="A65" s="5972"/>
      <c r="B65" s="5652"/>
      <c r="C65" s="3640">
        <v>88</v>
      </c>
      <c r="D65" s="3641" t="s">
        <v>494</v>
      </c>
      <c r="E65" s="3651">
        <v>12.568181818181818</v>
      </c>
      <c r="F65" s="3651">
        <v>13.133333333333333</v>
      </c>
      <c r="G65" s="3643">
        <v>13.361702127659575</v>
      </c>
      <c r="H65" s="3652">
        <v>13.108695652173912</v>
      </c>
      <c r="I65" s="3652">
        <v>12.636363636363635</v>
      </c>
      <c r="J65" s="3652">
        <v>12.709090909090909</v>
      </c>
      <c r="K65" s="3653">
        <v>13.136363636363637</v>
      </c>
      <c r="L65" s="3653">
        <v>13.515151515151514</v>
      </c>
      <c r="M65" s="3653">
        <v>13.560975609756099</v>
      </c>
      <c r="N65" s="3653">
        <v>14.019607843137257</v>
      </c>
      <c r="O65" s="3653">
        <v>13.873417721518987</v>
      </c>
      <c r="P65" s="3653">
        <v>12.960000000000003</v>
      </c>
      <c r="Q65" s="3653">
        <v>14.109589041095889</v>
      </c>
      <c r="R65" s="3653">
        <v>13.96</v>
      </c>
      <c r="S65" s="3653">
        <v>12.92</v>
      </c>
    </row>
    <row r="66" spans="1:19" s="186" customFormat="1" ht="15" customHeight="1" x14ac:dyDescent="0.25">
      <c r="A66" s="5982" t="s">
        <v>8</v>
      </c>
      <c r="B66" s="5979" t="s">
        <v>6</v>
      </c>
      <c r="C66" s="3645">
        <v>128</v>
      </c>
      <c r="D66" s="3646" t="s">
        <v>456</v>
      </c>
      <c r="E66" s="3654"/>
      <c r="F66" s="3654"/>
      <c r="G66" s="3648"/>
      <c r="H66" s="3655"/>
      <c r="I66" s="3655"/>
      <c r="J66" s="3655"/>
      <c r="K66" s="3650">
        <v>13.033333333333331</v>
      </c>
      <c r="L66" s="3650">
        <v>13.333333333333336</v>
      </c>
      <c r="M66" s="3650">
        <v>13.2</v>
      </c>
      <c r="N66" s="3650">
        <v>12.933333333333335</v>
      </c>
      <c r="O66" s="3650">
        <v>14.343749999999998</v>
      </c>
      <c r="P66" s="3650">
        <v>14.958333333333334</v>
      </c>
      <c r="Q66" s="3650">
        <v>14.733333333333333</v>
      </c>
      <c r="R66" s="3650">
        <v>13.45</v>
      </c>
      <c r="S66" s="3650">
        <v>14.22</v>
      </c>
    </row>
    <row r="67" spans="1:19" s="186" customFormat="1" ht="15" customHeight="1" x14ac:dyDescent="0.25">
      <c r="A67" s="5983"/>
      <c r="B67" s="5980"/>
      <c r="C67" s="3632">
        <v>129</v>
      </c>
      <c r="D67" s="3633" t="s">
        <v>457</v>
      </c>
      <c r="E67" s="3638"/>
      <c r="F67" s="3638"/>
      <c r="G67" s="3635"/>
      <c r="H67" s="3639"/>
      <c r="I67" s="3639"/>
      <c r="J67" s="3639"/>
      <c r="K67" s="3637">
        <v>12.058823529411764</v>
      </c>
      <c r="L67" s="3637">
        <v>14.75</v>
      </c>
      <c r="M67" s="3637"/>
      <c r="N67" s="3637"/>
      <c r="O67" s="3637"/>
      <c r="P67" s="3637"/>
      <c r="Q67" s="3637"/>
      <c r="R67" s="5086"/>
      <c r="S67" s="5086"/>
    </row>
    <row r="68" spans="1:19" s="186" customFormat="1" ht="15" customHeight="1" x14ac:dyDescent="0.2">
      <c r="A68" s="5983"/>
      <c r="B68" s="5980"/>
      <c r="C68" s="3632">
        <v>135</v>
      </c>
      <c r="D68" s="3633" t="s">
        <v>495</v>
      </c>
      <c r="E68" s="3638"/>
      <c r="F68" s="3638"/>
      <c r="G68" s="3635"/>
      <c r="H68" s="3639"/>
      <c r="I68" s="3639"/>
      <c r="J68" s="3639"/>
      <c r="K68" s="3635"/>
      <c r="L68" s="3635"/>
      <c r="M68" s="3635">
        <v>12.13</v>
      </c>
      <c r="N68" s="3635">
        <v>12.529411764705882</v>
      </c>
      <c r="O68" s="3635">
        <v>14.25</v>
      </c>
      <c r="P68" s="3635">
        <v>12.75</v>
      </c>
      <c r="Q68" s="3635">
        <v>13.5</v>
      </c>
      <c r="R68" s="3635">
        <v>16.329999999999998</v>
      </c>
      <c r="S68" s="3635">
        <v>14.45</v>
      </c>
    </row>
    <row r="69" spans="1:19" s="186" customFormat="1" ht="15" customHeight="1" x14ac:dyDescent="0.2">
      <c r="A69" s="5983"/>
      <c r="B69" s="5980"/>
      <c r="C69" s="3640">
        <v>136</v>
      </c>
      <c r="D69" s="3641" t="s">
        <v>496</v>
      </c>
      <c r="E69" s="3642"/>
      <c r="F69" s="3642"/>
      <c r="G69" s="3643"/>
      <c r="H69" s="3644"/>
      <c r="I69" s="3644"/>
      <c r="J69" s="3644"/>
      <c r="K69" s="3643"/>
      <c r="L69" s="3643"/>
      <c r="M69" s="3643">
        <v>12.67</v>
      </c>
      <c r="N69" s="3643">
        <v>14.285714285714286</v>
      </c>
      <c r="O69" s="3643">
        <v>15.142857142857142</v>
      </c>
      <c r="P69" s="3643">
        <v>14</v>
      </c>
      <c r="Q69" s="3643">
        <v>16.09090909090909</v>
      </c>
      <c r="R69" s="3643">
        <v>16.86</v>
      </c>
      <c r="S69" s="3643">
        <v>18.71</v>
      </c>
    </row>
    <row r="70" spans="1:19" s="186" customFormat="1" ht="15" customHeight="1" x14ac:dyDescent="0.2">
      <c r="A70" s="5983"/>
      <c r="B70" s="5979" t="s">
        <v>9</v>
      </c>
      <c r="C70" s="3645">
        <v>130</v>
      </c>
      <c r="D70" s="3646" t="s">
        <v>497</v>
      </c>
      <c r="E70" s="3654"/>
      <c r="F70" s="3654"/>
      <c r="G70" s="3648"/>
      <c r="H70" s="3655"/>
      <c r="I70" s="3655"/>
      <c r="J70" s="3655"/>
      <c r="K70" s="3648">
        <v>13</v>
      </c>
      <c r="L70" s="3648">
        <v>13.6</v>
      </c>
      <c r="M70" s="3648">
        <v>13.866666666666669</v>
      </c>
      <c r="N70" s="3648">
        <v>14.947368421052634</v>
      </c>
      <c r="O70" s="3648">
        <v>16.5</v>
      </c>
      <c r="P70" s="3648">
        <v>17.27272727272727</v>
      </c>
      <c r="Q70" s="3648">
        <v>17.888888888888889</v>
      </c>
      <c r="R70" s="3648">
        <v>17.5</v>
      </c>
      <c r="S70" s="3648">
        <v>17.32</v>
      </c>
    </row>
    <row r="71" spans="1:19" s="186" customFormat="1" ht="15" customHeight="1" x14ac:dyDescent="0.2">
      <c r="A71" s="5983"/>
      <c r="B71" s="5980"/>
      <c r="C71" s="3632">
        <v>137</v>
      </c>
      <c r="D71" s="3633" t="s">
        <v>498</v>
      </c>
      <c r="E71" s="3638"/>
      <c r="F71" s="3638"/>
      <c r="G71" s="3635"/>
      <c r="H71" s="3639"/>
      <c r="I71" s="3639"/>
      <c r="J71" s="3639"/>
      <c r="K71" s="3635"/>
      <c r="L71" s="3635"/>
      <c r="M71" s="3635">
        <v>12.5</v>
      </c>
      <c r="N71" s="3635">
        <v>15.5</v>
      </c>
      <c r="O71" s="3635"/>
      <c r="P71" s="3635">
        <v>14.5</v>
      </c>
      <c r="Q71" s="3635">
        <v>17.000000000000004</v>
      </c>
      <c r="R71" s="3635">
        <v>19.29</v>
      </c>
      <c r="S71" s="3635">
        <v>18.14</v>
      </c>
    </row>
    <row r="72" spans="1:19" s="186" customFormat="1" ht="15" customHeight="1" x14ac:dyDescent="0.2">
      <c r="A72" s="5983"/>
      <c r="B72" s="5981"/>
      <c r="C72" s="3640">
        <v>138</v>
      </c>
      <c r="D72" s="3641" t="s">
        <v>499</v>
      </c>
      <c r="E72" s="3642"/>
      <c r="F72" s="3642"/>
      <c r="G72" s="3643"/>
      <c r="H72" s="3644"/>
      <c r="I72" s="3644"/>
      <c r="J72" s="3644"/>
      <c r="K72" s="3643"/>
      <c r="L72" s="3643"/>
      <c r="M72" s="3643">
        <v>12.266666666666666</v>
      </c>
      <c r="N72" s="3643">
        <v>13.148148148148149</v>
      </c>
      <c r="O72" s="3643">
        <v>13.2</v>
      </c>
      <c r="P72" s="3643">
        <v>13.27777777777778</v>
      </c>
      <c r="Q72" s="3643">
        <v>15.384615384615387</v>
      </c>
      <c r="R72" s="3643">
        <v>14.89</v>
      </c>
      <c r="S72" s="3643">
        <v>15.45</v>
      </c>
    </row>
    <row r="73" spans="1:19" s="186" customFormat="1" ht="15" customHeight="1" x14ac:dyDescent="0.25">
      <c r="A73" s="5983"/>
      <c r="B73" s="5647" t="s">
        <v>74</v>
      </c>
      <c r="C73" s="3645">
        <v>131</v>
      </c>
      <c r="D73" s="3646" t="s">
        <v>506</v>
      </c>
      <c r="E73" s="3654"/>
      <c r="F73" s="3654"/>
      <c r="G73" s="3648"/>
      <c r="H73" s="3655"/>
      <c r="I73" s="3655"/>
      <c r="J73" s="3655"/>
      <c r="K73" s="3650">
        <v>12</v>
      </c>
      <c r="L73" s="3650">
        <v>13.888888888888889</v>
      </c>
      <c r="M73" s="3650">
        <v>13.600000000000001</v>
      </c>
      <c r="N73" s="3650">
        <v>14.153846153846153</v>
      </c>
      <c r="O73" s="3650">
        <v>16.3</v>
      </c>
      <c r="P73" s="3650">
        <v>18.100000000000001</v>
      </c>
      <c r="Q73" s="3650">
        <v>14.666666666666666</v>
      </c>
      <c r="R73" s="3650">
        <v>19.13</v>
      </c>
      <c r="S73" s="3650">
        <v>20.399999999999999</v>
      </c>
    </row>
    <row r="74" spans="1:19" s="186" customFormat="1" ht="15" customHeight="1" x14ac:dyDescent="0.25">
      <c r="A74" s="5983"/>
      <c r="B74" s="5648"/>
      <c r="C74" s="3632">
        <v>132</v>
      </c>
      <c r="D74" s="3633" t="s">
        <v>500</v>
      </c>
      <c r="E74" s="3638"/>
      <c r="F74" s="3638"/>
      <c r="G74" s="3635"/>
      <c r="H74" s="3639"/>
      <c r="I74" s="3639"/>
      <c r="J74" s="3639"/>
      <c r="K74" s="3637">
        <v>12</v>
      </c>
      <c r="L74" s="3637">
        <v>12</v>
      </c>
      <c r="M74" s="3637">
        <v>19</v>
      </c>
      <c r="N74" s="3637">
        <v>14.75</v>
      </c>
      <c r="O74" s="3637">
        <v>15.333333333333334</v>
      </c>
      <c r="P74" s="3637">
        <v>18.333333333333332</v>
      </c>
      <c r="Q74" s="3637">
        <v>19.285714285714285</v>
      </c>
      <c r="R74" s="3637">
        <v>20.5</v>
      </c>
      <c r="S74" s="3637">
        <v>18.11</v>
      </c>
    </row>
    <row r="75" spans="1:19" s="186" customFormat="1" ht="15" customHeight="1" x14ac:dyDescent="0.2">
      <c r="A75" s="5983"/>
      <c r="B75" s="5648"/>
      <c r="C75" s="3632">
        <v>141</v>
      </c>
      <c r="D75" s="3633" t="s">
        <v>501</v>
      </c>
      <c r="E75" s="3638"/>
      <c r="F75" s="3638"/>
      <c r="G75" s="3635"/>
      <c r="H75" s="3639"/>
      <c r="I75" s="3639"/>
      <c r="J75" s="3639"/>
      <c r="K75" s="3635"/>
      <c r="L75" s="3635"/>
      <c r="M75" s="3635"/>
      <c r="N75" s="3635">
        <v>13</v>
      </c>
      <c r="O75" s="3635">
        <v>13.5</v>
      </c>
      <c r="P75" s="3635">
        <v>17.399999999999999</v>
      </c>
      <c r="Q75" s="3635">
        <v>16.142857142857142</v>
      </c>
      <c r="R75" s="3635">
        <v>18.22</v>
      </c>
      <c r="S75" s="3635">
        <v>18.75</v>
      </c>
    </row>
    <row r="76" spans="1:19" s="186" customFormat="1" ht="15" customHeight="1" x14ac:dyDescent="0.2">
      <c r="A76" s="5984"/>
      <c r="B76" s="5649"/>
      <c r="C76" s="3640">
        <v>144</v>
      </c>
      <c r="D76" s="3641" t="s">
        <v>502</v>
      </c>
      <c r="E76" s="3642"/>
      <c r="F76" s="3642"/>
      <c r="G76" s="3643"/>
      <c r="H76" s="3644"/>
      <c r="I76" s="3644"/>
      <c r="J76" s="3644"/>
      <c r="K76" s="3643"/>
      <c r="L76" s="3643"/>
      <c r="M76" s="3643"/>
      <c r="N76" s="3643"/>
      <c r="O76" s="3643"/>
      <c r="P76" s="3643">
        <v>13</v>
      </c>
      <c r="Q76" s="3643">
        <v>13.25</v>
      </c>
      <c r="R76" s="3643">
        <v>14.53</v>
      </c>
      <c r="S76" s="3643">
        <v>15.29</v>
      </c>
    </row>
    <row r="77" spans="1:19" s="186" customFormat="1" ht="15" customHeight="1" x14ac:dyDescent="0.25">
      <c r="A77" s="5985" t="s">
        <v>325</v>
      </c>
      <c r="B77" s="4171" t="s">
        <v>5</v>
      </c>
      <c r="C77" s="3645">
        <v>147</v>
      </c>
      <c r="D77" s="3646" t="s">
        <v>503</v>
      </c>
      <c r="E77" s="3654"/>
      <c r="F77" s="3654"/>
      <c r="G77" s="3648"/>
      <c r="H77" s="3655"/>
      <c r="I77" s="3655"/>
      <c r="J77" s="3655"/>
      <c r="K77" s="3650"/>
      <c r="L77" s="3650"/>
      <c r="M77" s="3650"/>
      <c r="N77" s="3650"/>
      <c r="O77" s="3650"/>
      <c r="P77" s="3650"/>
      <c r="Q77" s="3650">
        <v>12.35</v>
      </c>
      <c r="R77" s="3650">
        <v>12.6</v>
      </c>
      <c r="S77" s="3650">
        <v>13.31</v>
      </c>
    </row>
    <row r="78" spans="1:19" s="186" customFormat="1" ht="15" customHeight="1" x14ac:dyDescent="0.25">
      <c r="A78" s="5986"/>
      <c r="B78" s="5887" t="s">
        <v>6</v>
      </c>
      <c r="C78" s="3632">
        <v>148</v>
      </c>
      <c r="D78" s="3633" t="s">
        <v>504</v>
      </c>
      <c r="E78" s="3638"/>
      <c r="F78" s="3638"/>
      <c r="G78" s="3635"/>
      <c r="H78" s="3639"/>
      <c r="I78" s="3639"/>
      <c r="J78" s="3639"/>
      <c r="K78" s="3637"/>
      <c r="L78" s="3637"/>
      <c r="M78" s="3637"/>
      <c r="N78" s="3637"/>
      <c r="O78" s="3637"/>
      <c r="P78" s="3637"/>
      <c r="Q78" s="3637">
        <v>12.218749999999996</v>
      </c>
      <c r="R78" s="3637">
        <v>12.5</v>
      </c>
      <c r="S78" s="3637">
        <v>12.87</v>
      </c>
    </row>
    <row r="79" spans="1:19" s="186" customFormat="1" ht="15" customHeight="1" x14ac:dyDescent="0.2">
      <c r="A79" s="5986"/>
      <c r="B79" s="5860"/>
      <c r="C79" s="3632">
        <v>161</v>
      </c>
      <c r="D79" s="3633" t="s">
        <v>612</v>
      </c>
      <c r="E79" s="3638"/>
      <c r="F79" s="3638"/>
      <c r="G79" s="3635"/>
      <c r="H79" s="3639"/>
      <c r="I79" s="3639"/>
      <c r="J79" s="3639"/>
      <c r="K79" s="3635"/>
      <c r="L79" s="3635"/>
      <c r="M79" s="3635"/>
      <c r="N79" s="3635"/>
      <c r="O79" s="3635"/>
      <c r="P79" s="3635"/>
      <c r="Q79" s="3635"/>
      <c r="R79" s="3635"/>
      <c r="S79" s="3635">
        <v>13</v>
      </c>
    </row>
    <row r="80" spans="1:19" s="186" customFormat="1" ht="15" customHeight="1" x14ac:dyDescent="0.2">
      <c r="A80" s="5987"/>
      <c r="B80" s="4204" t="s">
        <v>11</v>
      </c>
      <c r="C80" s="3640">
        <v>149</v>
      </c>
      <c r="D80" s="3641" t="s">
        <v>505</v>
      </c>
      <c r="E80" s="3642"/>
      <c r="F80" s="3642"/>
      <c r="G80" s="3643"/>
      <c r="H80" s="3644"/>
      <c r="I80" s="3644"/>
      <c r="J80" s="3644"/>
      <c r="K80" s="3643"/>
      <c r="L80" s="3643"/>
      <c r="M80" s="3643"/>
      <c r="N80" s="3643"/>
      <c r="O80" s="3643"/>
      <c r="P80" s="3643"/>
      <c r="Q80" s="3643">
        <v>12.130434782608695</v>
      </c>
      <c r="R80" s="3643">
        <v>13.14</v>
      </c>
      <c r="S80" s="3643">
        <v>13.13</v>
      </c>
    </row>
    <row r="81" spans="1:19" s="186" customFormat="1" ht="15" customHeight="1" x14ac:dyDescent="0.2">
      <c r="A81" s="4200"/>
      <c r="B81" s="4201"/>
      <c r="C81" s="4202"/>
      <c r="D81" s="510"/>
      <c r="E81" s="4203"/>
      <c r="F81" s="4203"/>
      <c r="G81" s="4203"/>
      <c r="H81" s="4203"/>
      <c r="I81" s="4203"/>
      <c r="J81" s="4203"/>
      <c r="K81" s="4203"/>
      <c r="L81" s="4203"/>
      <c r="M81" s="4203"/>
      <c r="N81" s="4203"/>
      <c r="O81" s="4203"/>
      <c r="P81" s="4203"/>
      <c r="Q81" s="4203"/>
      <c r="R81" s="4203"/>
      <c r="S81" s="4203"/>
    </row>
    <row r="82" spans="1:19" s="197" customFormat="1" ht="15" x14ac:dyDescent="0.25">
      <c r="B82" s="5655" t="s">
        <v>76</v>
      </c>
      <c r="C82" s="5656"/>
      <c r="D82" s="5657"/>
      <c r="E82" s="1999">
        <v>16.481355209887067</v>
      </c>
      <c r="F82" s="1999">
        <v>16.611923509561304</v>
      </c>
      <c r="G82" s="2000">
        <v>16.509697789806044</v>
      </c>
      <c r="H82" s="2001">
        <v>16.575550660792953</v>
      </c>
      <c r="I82" s="2001">
        <v>15.90759150474473</v>
      </c>
      <c r="J82" s="2001">
        <v>15.536545192505656</v>
      </c>
      <c r="K82" s="2002">
        <v>15.319109461966546</v>
      </c>
      <c r="L82" s="2002">
        <v>15.627523691800636</v>
      </c>
      <c r="M82" s="2002">
        <v>15.65</v>
      </c>
      <c r="N82" s="2002">
        <v>15.569747539580661</v>
      </c>
      <c r="O82" s="2002">
        <v>15.75</v>
      </c>
      <c r="P82" s="2002">
        <v>15.858384357100615</v>
      </c>
      <c r="Q82" s="2002">
        <v>15.948707985234114</v>
      </c>
      <c r="R82" s="2002">
        <v>15.86</v>
      </c>
      <c r="S82" s="2002">
        <v>16.11</v>
      </c>
    </row>
    <row r="83" spans="1:19" s="195" customFormat="1" ht="15" x14ac:dyDescent="0.2">
      <c r="A83" s="243" t="s">
        <v>318</v>
      </c>
      <c r="B83" s="194"/>
      <c r="C83" s="194"/>
    </row>
    <row r="84" spans="1:19" s="202" customFormat="1" x14ac:dyDescent="0.2">
      <c r="A84" s="240" t="s">
        <v>648</v>
      </c>
    </row>
    <row r="85" spans="1:19" s="198" customFormat="1" ht="15" x14ac:dyDescent="0.25">
      <c r="A85" s="206"/>
      <c r="B85" s="206"/>
      <c r="C85" s="206"/>
      <c r="D85" s="241"/>
    </row>
  </sheetData>
  <sheetProtection algorithmName="SHA-512" hashValue="FzG7m10eBF5J6mwP2G5ZGTzeCybQz2Myy3NmWpyDA2Mb2Uhtqs5fMmv+25PFFzRtIU4Euj34PJ2YPyYDl5NwJg==" saltValue="wNeUcarucruQIjak2OAh0Q==" spinCount="100000" sheet="1" objects="1" scenarios="1"/>
  <mergeCells count="20">
    <mergeCell ref="B66:B69"/>
    <mergeCell ref="B70:B72"/>
    <mergeCell ref="A66:A76"/>
    <mergeCell ref="B73:B76"/>
    <mergeCell ref="B82:D82"/>
    <mergeCell ref="A77:A80"/>
    <mergeCell ref="B78:B79"/>
    <mergeCell ref="A1:D1"/>
    <mergeCell ref="A48:A65"/>
    <mergeCell ref="A22:A47"/>
    <mergeCell ref="A5:A21"/>
    <mergeCell ref="B5:B14"/>
    <mergeCell ref="B15:B18"/>
    <mergeCell ref="B19:B21"/>
    <mergeCell ref="B62:B65"/>
    <mergeCell ref="B22:B30"/>
    <mergeCell ref="B31:B41"/>
    <mergeCell ref="B42:B47"/>
    <mergeCell ref="B48:B53"/>
    <mergeCell ref="B54:B61"/>
  </mergeCells>
  <printOptions horizontalCentered="1" verticalCentered="1"/>
  <pageMargins left="0.51181102362204722" right="0.47244094488188981" top="0.31496062992125984" bottom="0.51181102362204722" header="0" footer="0"/>
  <pageSetup scale="67" orientation="landscape" r:id="rId1"/>
  <headerFooter alignWithMargins="0">
    <oddFooter xml:space="preserve">&amp;R
</oddFooter>
  </headerFooter>
  <rowBreaks count="1" manualBreakCount="1">
    <brk id="47" max="1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Q38"/>
  <sheetViews>
    <sheetView showGridLines="0" zoomScaleNormal="100" zoomScaleSheetLayoutView="90" workbookViewId="0">
      <pane xSplit="2" ySplit="4" topLeftCell="C4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16.7109375" style="23" customWidth="1"/>
    <col min="2" max="2" width="11.7109375" style="23" customWidth="1"/>
    <col min="3" max="18" width="9.7109375" style="23" customWidth="1"/>
    <col min="19" max="19" width="6" style="23" customWidth="1"/>
    <col min="20" max="249" width="11.42578125" style="23"/>
    <col min="250" max="250" width="1.7109375" style="23" customWidth="1"/>
    <col min="251" max="259" width="11.7109375" style="23" customWidth="1"/>
    <col min="260" max="261" width="10.42578125" style="23" customWidth="1"/>
    <col min="262" max="262" width="1.42578125" style="23" customWidth="1"/>
    <col min="263" max="274" width="9.7109375" style="23" customWidth="1"/>
    <col min="275" max="275" width="6" style="23" customWidth="1"/>
    <col min="276" max="505" width="11.42578125" style="23"/>
    <col min="506" max="506" width="1.7109375" style="23" customWidth="1"/>
    <col min="507" max="515" width="11.7109375" style="23" customWidth="1"/>
    <col min="516" max="517" width="10.42578125" style="23" customWidth="1"/>
    <col min="518" max="518" width="1.42578125" style="23" customWidth="1"/>
    <col min="519" max="530" width="9.7109375" style="23" customWidth="1"/>
    <col min="531" max="531" width="6" style="23" customWidth="1"/>
    <col min="532" max="761" width="11.42578125" style="23"/>
    <col min="762" max="762" width="1.7109375" style="23" customWidth="1"/>
    <col min="763" max="771" width="11.7109375" style="23" customWidth="1"/>
    <col min="772" max="773" width="10.42578125" style="23" customWidth="1"/>
    <col min="774" max="774" width="1.42578125" style="23" customWidth="1"/>
    <col min="775" max="786" width="9.7109375" style="23" customWidth="1"/>
    <col min="787" max="787" width="6" style="23" customWidth="1"/>
    <col min="788" max="1017" width="11.42578125" style="23"/>
    <col min="1018" max="1018" width="1.7109375" style="23" customWidth="1"/>
    <col min="1019" max="1027" width="11.7109375" style="23" customWidth="1"/>
    <col min="1028" max="1029" width="10.42578125" style="23" customWidth="1"/>
    <col min="1030" max="1030" width="1.42578125" style="23" customWidth="1"/>
    <col min="1031" max="1042" width="9.7109375" style="23" customWidth="1"/>
    <col min="1043" max="1043" width="6" style="23" customWidth="1"/>
    <col min="1044" max="1273" width="11.42578125" style="23"/>
    <col min="1274" max="1274" width="1.7109375" style="23" customWidth="1"/>
    <col min="1275" max="1283" width="11.7109375" style="23" customWidth="1"/>
    <col min="1284" max="1285" width="10.42578125" style="23" customWidth="1"/>
    <col min="1286" max="1286" width="1.42578125" style="23" customWidth="1"/>
    <col min="1287" max="1298" width="9.7109375" style="23" customWidth="1"/>
    <col min="1299" max="1299" width="6" style="23" customWidth="1"/>
    <col min="1300" max="1529" width="11.42578125" style="23"/>
    <col min="1530" max="1530" width="1.7109375" style="23" customWidth="1"/>
    <col min="1531" max="1539" width="11.7109375" style="23" customWidth="1"/>
    <col min="1540" max="1541" width="10.42578125" style="23" customWidth="1"/>
    <col min="1542" max="1542" width="1.42578125" style="23" customWidth="1"/>
    <col min="1543" max="1554" width="9.7109375" style="23" customWidth="1"/>
    <col min="1555" max="1555" width="6" style="23" customWidth="1"/>
    <col min="1556" max="1785" width="11.42578125" style="23"/>
    <col min="1786" max="1786" width="1.7109375" style="23" customWidth="1"/>
    <col min="1787" max="1795" width="11.7109375" style="23" customWidth="1"/>
    <col min="1796" max="1797" width="10.42578125" style="23" customWidth="1"/>
    <col min="1798" max="1798" width="1.42578125" style="23" customWidth="1"/>
    <col min="1799" max="1810" width="9.7109375" style="23" customWidth="1"/>
    <col min="1811" max="1811" width="6" style="23" customWidth="1"/>
    <col min="1812" max="2041" width="11.42578125" style="23"/>
    <col min="2042" max="2042" width="1.7109375" style="23" customWidth="1"/>
    <col min="2043" max="2051" width="11.7109375" style="23" customWidth="1"/>
    <col min="2052" max="2053" width="10.42578125" style="23" customWidth="1"/>
    <col min="2054" max="2054" width="1.42578125" style="23" customWidth="1"/>
    <col min="2055" max="2066" width="9.7109375" style="23" customWidth="1"/>
    <col min="2067" max="2067" width="6" style="23" customWidth="1"/>
    <col min="2068" max="2297" width="11.42578125" style="23"/>
    <col min="2298" max="2298" width="1.7109375" style="23" customWidth="1"/>
    <col min="2299" max="2307" width="11.7109375" style="23" customWidth="1"/>
    <col min="2308" max="2309" width="10.42578125" style="23" customWidth="1"/>
    <col min="2310" max="2310" width="1.42578125" style="23" customWidth="1"/>
    <col min="2311" max="2322" width="9.7109375" style="23" customWidth="1"/>
    <col min="2323" max="2323" width="6" style="23" customWidth="1"/>
    <col min="2324" max="2553" width="11.42578125" style="23"/>
    <col min="2554" max="2554" width="1.7109375" style="23" customWidth="1"/>
    <col min="2555" max="2563" width="11.7109375" style="23" customWidth="1"/>
    <col min="2564" max="2565" width="10.42578125" style="23" customWidth="1"/>
    <col min="2566" max="2566" width="1.42578125" style="23" customWidth="1"/>
    <col min="2567" max="2578" width="9.7109375" style="23" customWidth="1"/>
    <col min="2579" max="2579" width="6" style="23" customWidth="1"/>
    <col min="2580" max="2809" width="11.42578125" style="23"/>
    <col min="2810" max="2810" width="1.7109375" style="23" customWidth="1"/>
    <col min="2811" max="2819" width="11.7109375" style="23" customWidth="1"/>
    <col min="2820" max="2821" width="10.42578125" style="23" customWidth="1"/>
    <col min="2822" max="2822" width="1.42578125" style="23" customWidth="1"/>
    <col min="2823" max="2834" width="9.7109375" style="23" customWidth="1"/>
    <col min="2835" max="2835" width="6" style="23" customWidth="1"/>
    <col min="2836" max="3065" width="11.42578125" style="23"/>
    <col min="3066" max="3066" width="1.7109375" style="23" customWidth="1"/>
    <col min="3067" max="3075" width="11.7109375" style="23" customWidth="1"/>
    <col min="3076" max="3077" width="10.42578125" style="23" customWidth="1"/>
    <col min="3078" max="3078" width="1.42578125" style="23" customWidth="1"/>
    <col min="3079" max="3090" width="9.7109375" style="23" customWidth="1"/>
    <col min="3091" max="3091" width="6" style="23" customWidth="1"/>
    <col min="3092" max="3321" width="11.42578125" style="23"/>
    <col min="3322" max="3322" width="1.7109375" style="23" customWidth="1"/>
    <col min="3323" max="3331" width="11.7109375" style="23" customWidth="1"/>
    <col min="3332" max="3333" width="10.42578125" style="23" customWidth="1"/>
    <col min="3334" max="3334" width="1.42578125" style="23" customWidth="1"/>
    <col min="3335" max="3346" width="9.7109375" style="23" customWidth="1"/>
    <col min="3347" max="3347" width="6" style="23" customWidth="1"/>
    <col min="3348" max="3577" width="11.42578125" style="23"/>
    <col min="3578" max="3578" width="1.7109375" style="23" customWidth="1"/>
    <col min="3579" max="3587" width="11.7109375" style="23" customWidth="1"/>
    <col min="3588" max="3589" width="10.42578125" style="23" customWidth="1"/>
    <col min="3590" max="3590" width="1.42578125" style="23" customWidth="1"/>
    <col min="3591" max="3602" width="9.7109375" style="23" customWidth="1"/>
    <col min="3603" max="3603" width="6" style="23" customWidth="1"/>
    <col min="3604" max="3833" width="11.42578125" style="23"/>
    <col min="3834" max="3834" width="1.7109375" style="23" customWidth="1"/>
    <col min="3835" max="3843" width="11.7109375" style="23" customWidth="1"/>
    <col min="3844" max="3845" width="10.42578125" style="23" customWidth="1"/>
    <col min="3846" max="3846" width="1.42578125" style="23" customWidth="1"/>
    <col min="3847" max="3858" width="9.7109375" style="23" customWidth="1"/>
    <col min="3859" max="3859" width="6" style="23" customWidth="1"/>
    <col min="3860" max="4089" width="11.42578125" style="23"/>
    <col min="4090" max="4090" width="1.7109375" style="23" customWidth="1"/>
    <col min="4091" max="4099" width="11.7109375" style="23" customWidth="1"/>
    <col min="4100" max="4101" width="10.42578125" style="23" customWidth="1"/>
    <col min="4102" max="4102" width="1.42578125" style="23" customWidth="1"/>
    <col min="4103" max="4114" width="9.7109375" style="23" customWidth="1"/>
    <col min="4115" max="4115" width="6" style="23" customWidth="1"/>
    <col min="4116" max="4345" width="11.42578125" style="23"/>
    <col min="4346" max="4346" width="1.7109375" style="23" customWidth="1"/>
    <col min="4347" max="4355" width="11.7109375" style="23" customWidth="1"/>
    <col min="4356" max="4357" width="10.42578125" style="23" customWidth="1"/>
    <col min="4358" max="4358" width="1.42578125" style="23" customWidth="1"/>
    <col min="4359" max="4370" width="9.7109375" style="23" customWidth="1"/>
    <col min="4371" max="4371" width="6" style="23" customWidth="1"/>
    <col min="4372" max="4601" width="11.42578125" style="23"/>
    <col min="4602" max="4602" width="1.7109375" style="23" customWidth="1"/>
    <col min="4603" max="4611" width="11.7109375" style="23" customWidth="1"/>
    <col min="4612" max="4613" width="10.42578125" style="23" customWidth="1"/>
    <col min="4614" max="4614" width="1.42578125" style="23" customWidth="1"/>
    <col min="4615" max="4626" width="9.7109375" style="23" customWidth="1"/>
    <col min="4627" max="4627" width="6" style="23" customWidth="1"/>
    <col min="4628" max="4857" width="11.42578125" style="23"/>
    <col min="4858" max="4858" width="1.7109375" style="23" customWidth="1"/>
    <col min="4859" max="4867" width="11.7109375" style="23" customWidth="1"/>
    <col min="4868" max="4869" width="10.42578125" style="23" customWidth="1"/>
    <col min="4870" max="4870" width="1.42578125" style="23" customWidth="1"/>
    <col min="4871" max="4882" width="9.7109375" style="23" customWidth="1"/>
    <col min="4883" max="4883" width="6" style="23" customWidth="1"/>
    <col min="4884" max="5113" width="11.42578125" style="23"/>
    <col min="5114" max="5114" width="1.7109375" style="23" customWidth="1"/>
    <col min="5115" max="5123" width="11.7109375" style="23" customWidth="1"/>
    <col min="5124" max="5125" width="10.42578125" style="23" customWidth="1"/>
    <col min="5126" max="5126" width="1.42578125" style="23" customWidth="1"/>
    <col min="5127" max="5138" width="9.7109375" style="23" customWidth="1"/>
    <col min="5139" max="5139" width="6" style="23" customWidth="1"/>
    <col min="5140" max="5369" width="11.42578125" style="23"/>
    <col min="5370" max="5370" width="1.7109375" style="23" customWidth="1"/>
    <col min="5371" max="5379" width="11.7109375" style="23" customWidth="1"/>
    <col min="5380" max="5381" width="10.42578125" style="23" customWidth="1"/>
    <col min="5382" max="5382" width="1.42578125" style="23" customWidth="1"/>
    <col min="5383" max="5394" width="9.7109375" style="23" customWidth="1"/>
    <col min="5395" max="5395" width="6" style="23" customWidth="1"/>
    <col min="5396" max="5625" width="11.42578125" style="23"/>
    <col min="5626" max="5626" width="1.7109375" style="23" customWidth="1"/>
    <col min="5627" max="5635" width="11.7109375" style="23" customWidth="1"/>
    <col min="5636" max="5637" width="10.42578125" style="23" customWidth="1"/>
    <col min="5638" max="5638" width="1.42578125" style="23" customWidth="1"/>
    <col min="5639" max="5650" width="9.7109375" style="23" customWidth="1"/>
    <col min="5651" max="5651" width="6" style="23" customWidth="1"/>
    <col min="5652" max="5881" width="11.42578125" style="23"/>
    <col min="5882" max="5882" width="1.7109375" style="23" customWidth="1"/>
    <col min="5883" max="5891" width="11.7109375" style="23" customWidth="1"/>
    <col min="5892" max="5893" width="10.42578125" style="23" customWidth="1"/>
    <col min="5894" max="5894" width="1.42578125" style="23" customWidth="1"/>
    <col min="5895" max="5906" width="9.7109375" style="23" customWidth="1"/>
    <col min="5907" max="5907" width="6" style="23" customWidth="1"/>
    <col min="5908" max="6137" width="11.42578125" style="23"/>
    <col min="6138" max="6138" width="1.7109375" style="23" customWidth="1"/>
    <col min="6139" max="6147" width="11.7109375" style="23" customWidth="1"/>
    <col min="6148" max="6149" width="10.42578125" style="23" customWidth="1"/>
    <col min="6150" max="6150" width="1.42578125" style="23" customWidth="1"/>
    <col min="6151" max="6162" width="9.7109375" style="23" customWidth="1"/>
    <col min="6163" max="6163" width="6" style="23" customWidth="1"/>
    <col min="6164" max="6393" width="11.42578125" style="23"/>
    <col min="6394" max="6394" width="1.7109375" style="23" customWidth="1"/>
    <col min="6395" max="6403" width="11.7109375" style="23" customWidth="1"/>
    <col min="6404" max="6405" width="10.42578125" style="23" customWidth="1"/>
    <col min="6406" max="6406" width="1.42578125" style="23" customWidth="1"/>
    <col min="6407" max="6418" width="9.7109375" style="23" customWidth="1"/>
    <col min="6419" max="6419" width="6" style="23" customWidth="1"/>
    <col min="6420" max="6649" width="11.42578125" style="23"/>
    <col min="6650" max="6650" width="1.7109375" style="23" customWidth="1"/>
    <col min="6651" max="6659" width="11.7109375" style="23" customWidth="1"/>
    <col min="6660" max="6661" width="10.42578125" style="23" customWidth="1"/>
    <col min="6662" max="6662" width="1.42578125" style="23" customWidth="1"/>
    <col min="6663" max="6674" width="9.7109375" style="23" customWidth="1"/>
    <col min="6675" max="6675" width="6" style="23" customWidth="1"/>
    <col min="6676" max="6905" width="11.42578125" style="23"/>
    <col min="6906" max="6906" width="1.7109375" style="23" customWidth="1"/>
    <col min="6907" max="6915" width="11.7109375" style="23" customWidth="1"/>
    <col min="6916" max="6917" width="10.42578125" style="23" customWidth="1"/>
    <col min="6918" max="6918" width="1.42578125" style="23" customWidth="1"/>
    <col min="6919" max="6930" width="9.7109375" style="23" customWidth="1"/>
    <col min="6931" max="6931" width="6" style="23" customWidth="1"/>
    <col min="6932" max="7161" width="11.42578125" style="23"/>
    <col min="7162" max="7162" width="1.7109375" style="23" customWidth="1"/>
    <col min="7163" max="7171" width="11.7109375" style="23" customWidth="1"/>
    <col min="7172" max="7173" width="10.42578125" style="23" customWidth="1"/>
    <col min="7174" max="7174" width="1.42578125" style="23" customWidth="1"/>
    <col min="7175" max="7186" width="9.7109375" style="23" customWidth="1"/>
    <col min="7187" max="7187" width="6" style="23" customWidth="1"/>
    <col min="7188" max="7417" width="11.42578125" style="23"/>
    <col min="7418" max="7418" width="1.7109375" style="23" customWidth="1"/>
    <col min="7419" max="7427" width="11.7109375" style="23" customWidth="1"/>
    <col min="7428" max="7429" width="10.42578125" style="23" customWidth="1"/>
    <col min="7430" max="7430" width="1.42578125" style="23" customWidth="1"/>
    <col min="7431" max="7442" width="9.7109375" style="23" customWidth="1"/>
    <col min="7443" max="7443" width="6" style="23" customWidth="1"/>
    <col min="7444" max="7673" width="11.42578125" style="23"/>
    <col min="7674" max="7674" width="1.7109375" style="23" customWidth="1"/>
    <col min="7675" max="7683" width="11.7109375" style="23" customWidth="1"/>
    <col min="7684" max="7685" width="10.42578125" style="23" customWidth="1"/>
    <col min="7686" max="7686" width="1.42578125" style="23" customWidth="1"/>
    <col min="7687" max="7698" width="9.7109375" style="23" customWidth="1"/>
    <col min="7699" max="7699" width="6" style="23" customWidth="1"/>
    <col min="7700" max="7929" width="11.42578125" style="23"/>
    <col min="7930" max="7930" width="1.7109375" style="23" customWidth="1"/>
    <col min="7931" max="7939" width="11.7109375" style="23" customWidth="1"/>
    <col min="7940" max="7941" width="10.42578125" style="23" customWidth="1"/>
    <col min="7942" max="7942" width="1.42578125" style="23" customWidth="1"/>
    <col min="7943" max="7954" width="9.7109375" style="23" customWidth="1"/>
    <col min="7955" max="7955" width="6" style="23" customWidth="1"/>
    <col min="7956" max="8185" width="11.42578125" style="23"/>
    <col min="8186" max="8186" width="1.7109375" style="23" customWidth="1"/>
    <col min="8187" max="8195" width="11.7109375" style="23" customWidth="1"/>
    <col min="8196" max="8197" width="10.42578125" style="23" customWidth="1"/>
    <col min="8198" max="8198" width="1.42578125" style="23" customWidth="1"/>
    <col min="8199" max="8210" width="9.7109375" style="23" customWidth="1"/>
    <col min="8211" max="8211" width="6" style="23" customWidth="1"/>
    <col min="8212" max="8441" width="11.42578125" style="23"/>
    <col min="8442" max="8442" width="1.7109375" style="23" customWidth="1"/>
    <col min="8443" max="8451" width="11.7109375" style="23" customWidth="1"/>
    <col min="8452" max="8453" width="10.42578125" style="23" customWidth="1"/>
    <col min="8454" max="8454" width="1.42578125" style="23" customWidth="1"/>
    <col min="8455" max="8466" width="9.7109375" style="23" customWidth="1"/>
    <col min="8467" max="8467" width="6" style="23" customWidth="1"/>
    <col min="8468" max="8697" width="11.42578125" style="23"/>
    <col min="8698" max="8698" width="1.7109375" style="23" customWidth="1"/>
    <col min="8699" max="8707" width="11.7109375" style="23" customWidth="1"/>
    <col min="8708" max="8709" width="10.42578125" style="23" customWidth="1"/>
    <col min="8710" max="8710" width="1.42578125" style="23" customWidth="1"/>
    <col min="8711" max="8722" width="9.7109375" style="23" customWidth="1"/>
    <col min="8723" max="8723" width="6" style="23" customWidth="1"/>
    <col min="8724" max="8953" width="11.42578125" style="23"/>
    <col min="8954" max="8954" width="1.7109375" style="23" customWidth="1"/>
    <col min="8955" max="8963" width="11.7109375" style="23" customWidth="1"/>
    <col min="8964" max="8965" width="10.42578125" style="23" customWidth="1"/>
    <col min="8966" max="8966" width="1.42578125" style="23" customWidth="1"/>
    <col min="8967" max="8978" width="9.7109375" style="23" customWidth="1"/>
    <col min="8979" max="8979" width="6" style="23" customWidth="1"/>
    <col min="8980" max="9209" width="11.42578125" style="23"/>
    <col min="9210" max="9210" width="1.7109375" style="23" customWidth="1"/>
    <col min="9211" max="9219" width="11.7109375" style="23" customWidth="1"/>
    <col min="9220" max="9221" width="10.42578125" style="23" customWidth="1"/>
    <col min="9222" max="9222" width="1.42578125" style="23" customWidth="1"/>
    <col min="9223" max="9234" width="9.7109375" style="23" customWidth="1"/>
    <col min="9235" max="9235" width="6" style="23" customWidth="1"/>
    <col min="9236" max="9465" width="11.42578125" style="23"/>
    <col min="9466" max="9466" width="1.7109375" style="23" customWidth="1"/>
    <col min="9467" max="9475" width="11.7109375" style="23" customWidth="1"/>
    <col min="9476" max="9477" width="10.42578125" style="23" customWidth="1"/>
    <col min="9478" max="9478" width="1.42578125" style="23" customWidth="1"/>
    <col min="9479" max="9490" width="9.7109375" style="23" customWidth="1"/>
    <col min="9491" max="9491" width="6" style="23" customWidth="1"/>
    <col min="9492" max="9721" width="11.42578125" style="23"/>
    <col min="9722" max="9722" width="1.7109375" style="23" customWidth="1"/>
    <col min="9723" max="9731" width="11.7109375" style="23" customWidth="1"/>
    <col min="9732" max="9733" width="10.42578125" style="23" customWidth="1"/>
    <col min="9734" max="9734" width="1.42578125" style="23" customWidth="1"/>
    <col min="9735" max="9746" width="9.7109375" style="23" customWidth="1"/>
    <col min="9747" max="9747" width="6" style="23" customWidth="1"/>
    <col min="9748" max="9977" width="11.42578125" style="23"/>
    <col min="9978" max="9978" width="1.7109375" style="23" customWidth="1"/>
    <col min="9979" max="9987" width="11.7109375" style="23" customWidth="1"/>
    <col min="9988" max="9989" width="10.42578125" style="23" customWidth="1"/>
    <col min="9990" max="9990" width="1.42578125" style="23" customWidth="1"/>
    <col min="9991" max="10002" width="9.7109375" style="23" customWidth="1"/>
    <col min="10003" max="10003" width="6" style="23" customWidth="1"/>
    <col min="10004" max="10233" width="11.42578125" style="23"/>
    <col min="10234" max="10234" width="1.7109375" style="23" customWidth="1"/>
    <col min="10235" max="10243" width="11.7109375" style="23" customWidth="1"/>
    <col min="10244" max="10245" width="10.42578125" style="23" customWidth="1"/>
    <col min="10246" max="10246" width="1.42578125" style="23" customWidth="1"/>
    <col min="10247" max="10258" width="9.7109375" style="23" customWidth="1"/>
    <col min="10259" max="10259" width="6" style="23" customWidth="1"/>
    <col min="10260" max="10489" width="11.42578125" style="23"/>
    <col min="10490" max="10490" width="1.7109375" style="23" customWidth="1"/>
    <col min="10491" max="10499" width="11.7109375" style="23" customWidth="1"/>
    <col min="10500" max="10501" width="10.42578125" style="23" customWidth="1"/>
    <col min="10502" max="10502" width="1.42578125" style="23" customWidth="1"/>
    <col min="10503" max="10514" width="9.7109375" style="23" customWidth="1"/>
    <col min="10515" max="10515" width="6" style="23" customWidth="1"/>
    <col min="10516" max="10745" width="11.42578125" style="23"/>
    <col min="10746" max="10746" width="1.7109375" style="23" customWidth="1"/>
    <col min="10747" max="10755" width="11.7109375" style="23" customWidth="1"/>
    <col min="10756" max="10757" width="10.42578125" style="23" customWidth="1"/>
    <col min="10758" max="10758" width="1.42578125" style="23" customWidth="1"/>
    <col min="10759" max="10770" width="9.7109375" style="23" customWidth="1"/>
    <col min="10771" max="10771" width="6" style="23" customWidth="1"/>
    <col min="10772" max="11001" width="11.42578125" style="23"/>
    <col min="11002" max="11002" width="1.7109375" style="23" customWidth="1"/>
    <col min="11003" max="11011" width="11.7109375" style="23" customWidth="1"/>
    <col min="11012" max="11013" width="10.42578125" style="23" customWidth="1"/>
    <col min="11014" max="11014" width="1.42578125" style="23" customWidth="1"/>
    <col min="11015" max="11026" width="9.7109375" style="23" customWidth="1"/>
    <col min="11027" max="11027" width="6" style="23" customWidth="1"/>
    <col min="11028" max="11257" width="11.42578125" style="23"/>
    <col min="11258" max="11258" width="1.7109375" style="23" customWidth="1"/>
    <col min="11259" max="11267" width="11.7109375" style="23" customWidth="1"/>
    <col min="11268" max="11269" width="10.42578125" style="23" customWidth="1"/>
    <col min="11270" max="11270" width="1.42578125" style="23" customWidth="1"/>
    <col min="11271" max="11282" width="9.7109375" style="23" customWidth="1"/>
    <col min="11283" max="11283" width="6" style="23" customWidth="1"/>
    <col min="11284" max="11513" width="11.42578125" style="23"/>
    <col min="11514" max="11514" width="1.7109375" style="23" customWidth="1"/>
    <col min="11515" max="11523" width="11.7109375" style="23" customWidth="1"/>
    <col min="11524" max="11525" width="10.42578125" style="23" customWidth="1"/>
    <col min="11526" max="11526" width="1.42578125" style="23" customWidth="1"/>
    <col min="11527" max="11538" width="9.7109375" style="23" customWidth="1"/>
    <col min="11539" max="11539" width="6" style="23" customWidth="1"/>
    <col min="11540" max="11769" width="11.42578125" style="23"/>
    <col min="11770" max="11770" width="1.7109375" style="23" customWidth="1"/>
    <col min="11771" max="11779" width="11.7109375" style="23" customWidth="1"/>
    <col min="11780" max="11781" width="10.42578125" style="23" customWidth="1"/>
    <col min="11782" max="11782" width="1.42578125" style="23" customWidth="1"/>
    <col min="11783" max="11794" width="9.7109375" style="23" customWidth="1"/>
    <col min="11795" max="11795" width="6" style="23" customWidth="1"/>
    <col min="11796" max="12025" width="11.42578125" style="23"/>
    <col min="12026" max="12026" width="1.7109375" style="23" customWidth="1"/>
    <col min="12027" max="12035" width="11.7109375" style="23" customWidth="1"/>
    <col min="12036" max="12037" width="10.42578125" style="23" customWidth="1"/>
    <col min="12038" max="12038" width="1.42578125" style="23" customWidth="1"/>
    <col min="12039" max="12050" width="9.7109375" style="23" customWidth="1"/>
    <col min="12051" max="12051" width="6" style="23" customWidth="1"/>
    <col min="12052" max="12281" width="11.42578125" style="23"/>
    <col min="12282" max="12282" width="1.7109375" style="23" customWidth="1"/>
    <col min="12283" max="12291" width="11.7109375" style="23" customWidth="1"/>
    <col min="12292" max="12293" width="10.42578125" style="23" customWidth="1"/>
    <col min="12294" max="12294" width="1.42578125" style="23" customWidth="1"/>
    <col min="12295" max="12306" width="9.7109375" style="23" customWidth="1"/>
    <col min="12307" max="12307" width="6" style="23" customWidth="1"/>
    <col min="12308" max="12537" width="11.42578125" style="23"/>
    <col min="12538" max="12538" width="1.7109375" style="23" customWidth="1"/>
    <col min="12539" max="12547" width="11.7109375" style="23" customWidth="1"/>
    <col min="12548" max="12549" width="10.42578125" style="23" customWidth="1"/>
    <col min="12550" max="12550" width="1.42578125" style="23" customWidth="1"/>
    <col min="12551" max="12562" width="9.7109375" style="23" customWidth="1"/>
    <col min="12563" max="12563" width="6" style="23" customWidth="1"/>
    <col min="12564" max="12793" width="11.42578125" style="23"/>
    <col min="12794" max="12794" width="1.7109375" style="23" customWidth="1"/>
    <col min="12795" max="12803" width="11.7109375" style="23" customWidth="1"/>
    <col min="12804" max="12805" width="10.42578125" style="23" customWidth="1"/>
    <col min="12806" max="12806" width="1.42578125" style="23" customWidth="1"/>
    <col min="12807" max="12818" width="9.7109375" style="23" customWidth="1"/>
    <col min="12819" max="12819" width="6" style="23" customWidth="1"/>
    <col min="12820" max="13049" width="11.42578125" style="23"/>
    <col min="13050" max="13050" width="1.7109375" style="23" customWidth="1"/>
    <col min="13051" max="13059" width="11.7109375" style="23" customWidth="1"/>
    <col min="13060" max="13061" width="10.42578125" style="23" customWidth="1"/>
    <col min="13062" max="13062" width="1.42578125" style="23" customWidth="1"/>
    <col min="13063" max="13074" width="9.7109375" style="23" customWidth="1"/>
    <col min="13075" max="13075" width="6" style="23" customWidth="1"/>
    <col min="13076" max="13305" width="11.42578125" style="23"/>
    <col min="13306" max="13306" width="1.7109375" style="23" customWidth="1"/>
    <col min="13307" max="13315" width="11.7109375" style="23" customWidth="1"/>
    <col min="13316" max="13317" width="10.42578125" style="23" customWidth="1"/>
    <col min="13318" max="13318" width="1.42578125" style="23" customWidth="1"/>
    <col min="13319" max="13330" width="9.7109375" style="23" customWidth="1"/>
    <col min="13331" max="13331" width="6" style="23" customWidth="1"/>
    <col min="13332" max="13561" width="11.42578125" style="23"/>
    <col min="13562" max="13562" width="1.7109375" style="23" customWidth="1"/>
    <col min="13563" max="13571" width="11.7109375" style="23" customWidth="1"/>
    <col min="13572" max="13573" width="10.42578125" style="23" customWidth="1"/>
    <col min="13574" max="13574" width="1.42578125" style="23" customWidth="1"/>
    <col min="13575" max="13586" width="9.7109375" style="23" customWidth="1"/>
    <col min="13587" max="13587" width="6" style="23" customWidth="1"/>
    <col min="13588" max="13817" width="11.42578125" style="23"/>
    <col min="13818" max="13818" width="1.7109375" style="23" customWidth="1"/>
    <col min="13819" max="13827" width="11.7109375" style="23" customWidth="1"/>
    <col min="13828" max="13829" width="10.42578125" style="23" customWidth="1"/>
    <col min="13830" max="13830" width="1.42578125" style="23" customWidth="1"/>
    <col min="13831" max="13842" width="9.7109375" style="23" customWidth="1"/>
    <col min="13843" max="13843" width="6" style="23" customWidth="1"/>
    <col min="13844" max="14073" width="11.42578125" style="23"/>
    <col min="14074" max="14074" width="1.7109375" style="23" customWidth="1"/>
    <col min="14075" max="14083" width="11.7109375" style="23" customWidth="1"/>
    <col min="14084" max="14085" width="10.42578125" style="23" customWidth="1"/>
    <col min="14086" max="14086" width="1.42578125" style="23" customWidth="1"/>
    <col min="14087" max="14098" width="9.7109375" style="23" customWidth="1"/>
    <col min="14099" max="14099" width="6" style="23" customWidth="1"/>
    <col min="14100" max="14329" width="11.42578125" style="23"/>
    <col min="14330" max="14330" width="1.7109375" style="23" customWidth="1"/>
    <col min="14331" max="14339" width="11.7109375" style="23" customWidth="1"/>
    <col min="14340" max="14341" width="10.42578125" style="23" customWidth="1"/>
    <col min="14342" max="14342" width="1.42578125" style="23" customWidth="1"/>
    <col min="14343" max="14354" width="9.7109375" style="23" customWidth="1"/>
    <col min="14355" max="14355" width="6" style="23" customWidth="1"/>
    <col min="14356" max="14585" width="11.42578125" style="23"/>
    <col min="14586" max="14586" width="1.7109375" style="23" customWidth="1"/>
    <col min="14587" max="14595" width="11.7109375" style="23" customWidth="1"/>
    <col min="14596" max="14597" width="10.42578125" style="23" customWidth="1"/>
    <col min="14598" max="14598" width="1.42578125" style="23" customWidth="1"/>
    <col min="14599" max="14610" width="9.7109375" style="23" customWidth="1"/>
    <col min="14611" max="14611" width="6" style="23" customWidth="1"/>
    <col min="14612" max="14841" width="11.42578125" style="23"/>
    <col min="14842" max="14842" width="1.7109375" style="23" customWidth="1"/>
    <col min="14843" max="14851" width="11.7109375" style="23" customWidth="1"/>
    <col min="14852" max="14853" width="10.42578125" style="23" customWidth="1"/>
    <col min="14854" max="14854" width="1.42578125" style="23" customWidth="1"/>
    <col min="14855" max="14866" width="9.7109375" style="23" customWidth="1"/>
    <col min="14867" max="14867" width="6" style="23" customWidth="1"/>
    <col min="14868" max="15097" width="11.42578125" style="23"/>
    <col min="15098" max="15098" width="1.7109375" style="23" customWidth="1"/>
    <col min="15099" max="15107" width="11.7109375" style="23" customWidth="1"/>
    <col min="15108" max="15109" width="10.42578125" style="23" customWidth="1"/>
    <col min="15110" max="15110" width="1.42578125" style="23" customWidth="1"/>
    <col min="15111" max="15122" width="9.7109375" style="23" customWidth="1"/>
    <col min="15123" max="15123" width="6" style="23" customWidth="1"/>
    <col min="15124" max="15353" width="11.42578125" style="23"/>
    <col min="15354" max="15354" width="1.7109375" style="23" customWidth="1"/>
    <col min="15355" max="15363" width="11.7109375" style="23" customWidth="1"/>
    <col min="15364" max="15365" width="10.42578125" style="23" customWidth="1"/>
    <col min="15366" max="15366" width="1.42578125" style="23" customWidth="1"/>
    <col min="15367" max="15378" width="9.7109375" style="23" customWidth="1"/>
    <col min="15379" max="15379" width="6" style="23" customWidth="1"/>
    <col min="15380" max="15609" width="11.42578125" style="23"/>
    <col min="15610" max="15610" width="1.7109375" style="23" customWidth="1"/>
    <col min="15611" max="15619" width="11.7109375" style="23" customWidth="1"/>
    <col min="15620" max="15621" width="10.42578125" style="23" customWidth="1"/>
    <col min="15622" max="15622" width="1.42578125" style="23" customWidth="1"/>
    <col min="15623" max="15634" width="9.7109375" style="23" customWidth="1"/>
    <col min="15635" max="15635" width="6" style="23" customWidth="1"/>
    <col min="15636" max="15865" width="11.42578125" style="23"/>
    <col min="15866" max="15866" width="1.7109375" style="23" customWidth="1"/>
    <col min="15867" max="15875" width="11.7109375" style="23" customWidth="1"/>
    <col min="15876" max="15877" width="10.42578125" style="23" customWidth="1"/>
    <col min="15878" max="15878" width="1.42578125" style="23" customWidth="1"/>
    <col min="15879" max="15890" width="9.7109375" style="23" customWidth="1"/>
    <col min="15891" max="15891" width="6" style="23" customWidth="1"/>
    <col min="15892" max="16121" width="11.42578125" style="23"/>
    <col min="16122" max="16122" width="1.7109375" style="23" customWidth="1"/>
    <col min="16123" max="16131" width="11.7109375" style="23" customWidth="1"/>
    <col min="16132" max="16133" width="10.42578125" style="23" customWidth="1"/>
    <col min="16134" max="16134" width="1.42578125" style="23" customWidth="1"/>
    <col min="16135" max="16146" width="9.7109375" style="23" customWidth="1"/>
    <col min="16147" max="16147" width="6" style="23" customWidth="1"/>
    <col min="16148" max="16384" width="11.42578125" style="23"/>
  </cols>
  <sheetData>
    <row r="1" spans="1:17" ht="18.75" x14ac:dyDescent="0.2">
      <c r="A1" s="3746" t="s">
        <v>1274</v>
      </c>
      <c r="B1" s="38"/>
      <c r="C1" s="35"/>
      <c r="D1" s="35"/>
      <c r="E1" s="35"/>
      <c r="F1" s="35"/>
      <c r="G1" s="35"/>
      <c r="H1" s="35"/>
      <c r="I1" s="35"/>
    </row>
    <row r="2" spans="1:17" ht="15.75" x14ac:dyDescent="0.2">
      <c r="A2" s="2203"/>
      <c r="B2" s="2203"/>
      <c r="C2" s="2203"/>
      <c r="D2" s="2203"/>
      <c r="E2" s="2203"/>
      <c r="F2" s="2203"/>
      <c r="G2" s="2203"/>
      <c r="H2" s="2203"/>
      <c r="I2" s="2203"/>
    </row>
    <row r="3" spans="1:17" ht="20.25" customHeight="1" x14ac:dyDescent="0.2">
      <c r="A3" s="931" t="s">
        <v>16</v>
      </c>
      <c r="B3" s="931" t="s">
        <v>4</v>
      </c>
      <c r="C3" s="646">
        <v>2003</v>
      </c>
      <c r="D3" s="587">
        <v>2004</v>
      </c>
      <c r="E3" s="556">
        <v>2005</v>
      </c>
      <c r="F3" s="647">
        <v>2006</v>
      </c>
      <c r="G3" s="647">
        <v>2007</v>
      </c>
      <c r="H3" s="647">
        <v>2008</v>
      </c>
      <c r="I3" s="647">
        <v>2009</v>
      </c>
      <c r="J3" s="647">
        <v>2010</v>
      </c>
      <c r="K3" s="753">
        <v>2011</v>
      </c>
      <c r="L3" s="905">
        <v>2012</v>
      </c>
      <c r="M3" s="1619">
        <v>2013</v>
      </c>
      <c r="N3" s="1921">
        <v>2014</v>
      </c>
      <c r="O3" s="4165">
        <v>2015</v>
      </c>
      <c r="P3" s="5041">
        <v>2016</v>
      </c>
      <c r="Q3" s="5519">
        <v>2017</v>
      </c>
    </row>
    <row r="5" spans="1:17" ht="15" x14ac:dyDescent="0.2">
      <c r="A5" s="5888" t="s">
        <v>161</v>
      </c>
      <c r="B5" s="245" t="s">
        <v>5</v>
      </c>
      <c r="C5" s="2695">
        <v>22.75</v>
      </c>
      <c r="D5" s="2695">
        <v>23.410326086956523</v>
      </c>
      <c r="E5" s="2696">
        <v>22.360696517412936</v>
      </c>
      <c r="F5" s="2696">
        <v>22.698453608247423</v>
      </c>
      <c r="G5" s="2697">
        <v>21.929203539823021</v>
      </c>
      <c r="H5" s="2697">
        <v>21.038674033149174</v>
      </c>
      <c r="I5" s="2696">
        <v>20.61</v>
      </c>
      <c r="J5" s="2696">
        <v>20.3451086956522</v>
      </c>
      <c r="K5" s="2696">
        <v>20.732673267326739</v>
      </c>
      <c r="L5" s="2696">
        <v>20.190000000000001</v>
      </c>
      <c r="M5" s="2696">
        <v>20.6</v>
      </c>
      <c r="N5" s="2696">
        <v>20.921602787456443</v>
      </c>
      <c r="O5" s="2696">
        <v>20.721062618595809</v>
      </c>
      <c r="P5" s="2696">
        <v>20.88</v>
      </c>
      <c r="Q5" s="2696">
        <v>21.17</v>
      </c>
    </row>
    <row r="6" spans="1:17" ht="15" x14ac:dyDescent="0.2">
      <c r="A6" s="5889"/>
      <c r="B6" s="246" t="s">
        <v>6</v>
      </c>
      <c r="C6" s="2698">
        <v>16.800637958532697</v>
      </c>
      <c r="D6" s="2698">
        <v>16.424703891708969</v>
      </c>
      <c r="E6" s="2699">
        <v>16.379888268156424</v>
      </c>
      <c r="F6" s="2699">
        <v>17.011976047904191</v>
      </c>
      <c r="G6" s="2700">
        <v>16.442622950819679</v>
      </c>
      <c r="H6" s="2700">
        <v>16.239263803680977</v>
      </c>
      <c r="I6" s="2699">
        <v>16.34</v>
      </c>
      <c r="J6" s="2699">
        <v>16.37972166998011</v>
      </c>
      <c r="K6" s="2699">
        <v>16.412300683371296</v>
      </c>
      <c r="L6" s="2699">
        <v>16.010000000000002</v>
      </c>
      <c r="M6" s="2699">
        <v>16.04</v>
      </c>
      <c r="N6" s="2699">
        <v>15.675579322638137</v>
      </c>
      <c r="O6" s="2699">
        <v>16.227344992050885</v>
      </c>
      <c r="P6" s="2699">
        <v>15.62</v>
      </c>
      <c r="Q6" s="2699">
        <v>16.07</v>
      </c>
    </row>
    <row r="7" spans="1:17" ht="15" x14ac:dyDescent="0.2">
      <c r="A7" s="5889"/>
      <c r="B7" s="246" t="s">
        <v>7</v>
      </c>
      <c r="C7" s="2698">
        <v>17.05</v>
      </c>
      <c r="D7" s="2698">
        <v>17.592476489028215</v>
      </c>
      <c r="E7" s="2699">
        <v>17.37784090909091</v>
      </c>
      <c r="F7" s="2699">
        <v>16.874301675977655</v>
      </c>
      <c r="G7" s="2700">
        <v>15.750677506775059</v>
      </c>
      <c r="H7" s="2700">
        <v>16.035087719298254</v>
      </c>
      <c r="I7" s="2699">
        <v>16.13</v>
      </c>
      <c r="J7" s="2699">
        <v>16.476635514018696</v>
      </c>
      <c r="K7" s="2699">
        <v>16.17355371900825</v>
      </c>
      <c r="L7" s="2699">
        <v>16.924901185770747</v>
      </c>
      <c r="M7" s="2699">
        <v>16.07</v>
      </c>
      <c r="N7" s="2699">
        <v>16.220289855072441</v>
      </c>
      <c r="O7" s="2699">
        <v>17.034985422740519</v>
      </c>
      <c r="P7" s="2699">
        <v>16.2</v>
      </c>
      <c r="Q7" s="2699">
        <v>16.489999999999998</v>
      </c>
    </row>
    <row r="8" spans="1:17" ht="15" x14ac:dyDescent="0.2">
      <c r="A8" s="5890"/>
      <c r="B8" s="2188" t="s">
        <v>12</v>
      </c>
      <c r="C8" s="2701">
        <v>18.575323790047715</v>
      </c>
      <c r="D8" s="2701">
        <v>18.727699530516432</v>
      </c>
      <c r="E8" s="2702">
        <v>18.514329976762198</v>
      </c>
      <c r="F8" s="2702">
        <v>18.741780272654371</v>
      </c>
      <c r="G8" s="2703">
        <v>17.784280936454874</v>
      </c>
      <c r="H8" s="2703">
        <v>17.637049455155072</v>
      </c>
      <c r="I8" s="2702">
        <v>17.510000000000002</v>
      </c>
      <c r="J8" s="2702">
        <v>17.630033557046996</v>
      </c>
      <c r="K8" s="2702">
        <v>17.967741935483861</v>
      </c>
      <c r="L8" s="2702">
        <v>17.540825285338023</v>
      </c>
      <c r="M8" s="2702">
        <v>17.55</v>
      </c>
      <c r="N8" s="2702">
        <v>17.837162162162194</v>
      </c>
      <c r="O8" s="2702">
        <v>17.991994663108716</v>
      </c>
      <c r="P8" s="2702">
        <v>17.68</v>
      </c>
      <c r="Q8" s="2702">
        <v>18.03</v>
      </c>
    </row>
    <row r="9" spans="1:17" ht="15.75" x14ac:dyDescent="0.2">
      <c r="A9" s="681"/>
      <c r="C9" s="2704"/>
      <c r="D9" s="2704"/>
      <c r="E9" s="2704"/>
      <c r="F9" s="2704"/>
      <c r="G9" s="2704"/>
      <c r="H9" s="2704"/>
      <c r="I9" s="2704"/>
      <c r="J9" s="2704"/>
      <c r="K9" s="2704"/>
      <c r="L9" s="2704"/>
      <c r="M9" s="2704"/>
      <c r="N9" s="2704"/>
      <c r="O9" s="2704"/>
      <c r="P9" s="2704"/>
      <c r="Q9" s="2704"/>
    </row>
    <row r="10" spans="1:17" ht="15" x14ac:dyDescent="0.2">
      <c r="A10" s="5897" t="s">
        <v>407</v>
      </c>
      <c r="B10" s="245" t="s">
        <v>6</v>
      </c>
      <c r="C10" s="2695"/>
      <c r="D10" s="2695"/>
      <c r="E10" s="2696"/>
      <c r="F10" s="2696"/>
      <c r="G10" s="2697"/>
      <c r="H10" s="2697"/>
      <c r="I10" s="2697">
        <v>12.68</v>
      </c>
      <c r="J10" s="2696">
        <v>13.535714285714286</v>
      </c>
      <c r="K10" s="2696">
        <v>13</v>
      </c>
      <c r="L10" s="2697">
        <v>13.41</v>
      </c>
      <c r="M10" s="2697">
        <v>14.47</v>
      </c>
      <c r="N10" s="2697">
        <v>15</v>
      </c>
      <c r="O10" s="2697">
        <v>15.178571428571431</v>
      </c>
      <c r="P10" s="2697">
        <v>14.47</v>
      </c>
      <c r="Q10" s="2697">
        <v>15.17</v>
      </c>
    </row>
    <row r="11" spans="1:17" ht="15" x14ac:dyDescent="0.2">
      <c r="A11" s="5898"/>
      <c r="B11" s="246" t="s">
        <v>9</v>
      </c>
      <c r="C11" s="2698"/>
      <c r="D11" s="2698"/>
      <c r="E11" s="2699"/>
      <c r="F11" s="2699"/>
      <c r="G11" s="2700"/>
      <c r="H11" s="2700"/>
      <c r="I11" s="2700">
        <v>13</v>
      </c>
      <c r="J11" s="2699">
        <v>13.6</v>
      </c>
      <c r="K11" s="2699">
        <v>13.031250000000002</v>
      </c>
      <c r="L11" s="2700">
        <v>13.87</v>
      </c>
      <c r="M11" s="2700">
        <v>14.14</v>
      </c>
      <c r="N11" s="2700">
        <v>14.7741935483871</v>
      </c>
      <c r="O11" s="2700">
        <v>16.551724137931039</v>
      </c>
      <c r="P11" s="2700">
        <v>16.62</v>
      </c>
      <c r="Q11" s="2700">
        <v>16.440000000000001</v>
      </c>
    </row>
    <row r="12" spans="1:17" ht="15" x14ac:dyDescent="0.2">
      <c r="A12" s="5898"/>
      <c r="B12" s="246" t="s">
        <v>74</v>
      </c>
      <c r="C12" s="2698"/>
      <c r="D12" s="2698"/>
      <c r="E12" s="2699"/>
      <c r="F12" s="2699"/>
      <c r="G12" s="2700"/>
      <c r="H12" s="2700"/>
      <c r="I12" s="2700">
        <v>12</v>
      </c>
      <c r="J12" s="2699">
        <v>13.7</v>
      </c>
      <c r="K12" s="2699">
        <v>14.090909090909092</v>
      </c>
      <c r="L12" s="2700">
        <v>14.083333333333334</v>
      </c>
      <c r="M12" s="2700">
        <v>15.73</v>
      </c>
      <c r="N12" s="2700">
        <v>17.045454545454543</v>
      </c>
      <c r="O12" s="2700">
        <v>16.208333333333339</v>
      </c>
      <c r="P12" s="2700">
        <v>17.05</v>
      </c>
      <c r="Q12" s="2700">
        <v>17.12</v>
      </c>
    </row>
    <row r="13" spans="1:17" ht="15" x14ac:dyDescent="0.2">
      <c r="A13" s="5899"/>
      <c r="B13" s="2192" t="s">
        <v>12</v>
      </c>
      <c r="C13" s="4205"/>
      <c r="D13" s="4205"/>
      <c r="E13" s="4206"/>
      <c r="F13" s="4206"/>
      <c r="G13" s="4207"/>
      <c r="H13" s="4207"/>
      <c r="I13" s="2705">
        <v>12.61</v>
      </c>
      <c r="J13" s="2706">
        <v>13.584905660377357</v>
      </c>
      <c r="K13" s="2706">
        <v>13.13829787234042</v>
      </c>
      <c r="L13" s="2706">
        <v>13.748617609527864</v>
      </c>
      <c r="M13" s="2706">
        <v>14.62</v>
      </c>
      <c r="N13" s="2706">
        <v>15.441860465116276</v>
      </c>
      <c r="O13" s="2706">
        <v>15.975308641975314</v>
      </c>
      <c r="P13" s="2706">
        <v>16.170000000000002</v>
      </c>
      <c r="Q13" s="2706">
        <v>16.309999999999999</v>
      </c>
    </row>
    <row r="14" spans="1:17" ht="15.75" x14ac:dyDescent="0.2">
      <c r="A14" s="1782"/>
      <c r="C14" s="2704"/>
      <c r="D14" s="2704"/>
      <c r="E14" s="2704"/>
      <c r="F14" s="2704"/>
      <c r="G14" s="2704"/>
      <c r="H14" s="2704"/>
      <c r="I14" s="2704"/>
      <c r="J14" s="2704"/>
      <c r="K14" s="2704"/>
      <c r="L14" s="2707"/>
      <c r="M14" s="2707"/>
      <c r="N14" s="2707"/>
      <c r="O14" s="2707"/>
      <c r="P14" s="2707"/>
      <c r="Q14" s="2707"/>
    </row>
    <row r="15" spans="1:17" ht="15" x14ac:dyDescent="0.2">
      <c r="A15" s="5891" t="s">
        <v>162</v>
      </c>
      <c r="B15" s="245" t="s">
        <v>5</v>
      </c>
      <c r="C15" s="2695">
        <v>21.162162162162161</v>
      </c>
      <c r="D15" s="2695">
        <v>20.357723577235774</v>
      </c>
      <c r="E15" s="2696">
        <v>21.514403292181068</v>
      </c>
      <c r="F15" s="2696">
        <v>21.409420289855074</v>
      </c>
      <c r="G15" s="2697">
        <v>21.79768786127168</v>
      </c>
      <c r="H15" s="2697">
        <v>21.490797546012278</v>
      </c>
      <c r="I15" s="2697">
        <v>19.72</v>
      </c>
      <c r="J15" s="2697">
        <v>18.895397489539743</v>
      </c>
      <c r="K15" s="2697">
        <v>19.122905027932958</v>
      </c>
      <c r="L15" s="2697">
        <v>20.16</v>
      </c>
      <c r="M15" s="2697">
        <v>20.71</v>
      </c>
      <c r="N15" s="2697">
        <v>19.863207547169836</v>
      </c>
      <c r="O15" s="2697">
        <v>19.317919075144495</v>
      </c>
      <c r="P15" s="2697">
        <v>18.91</v>
      </c>
      <c r="Q15" s="2697">
        <v>19.87</v>
      </c>
    </row>
    <row r="16" spans="1:17" ht="15" x14ac:dyDescent="0.2">
      <c r="A16" s="5892"/>
      <c r="B16" s="246" t="s">
        <v>6</v>
      </c>
      <c r="C16" s="2698">
        <v>18.177606177606176</v>
      </c>
      <c r="D16" s="2698">
        <v>17.541889483065955</v>
      </c>
      <c r="E16" s="2699">
        <v>17.430528375733854</v>
      </c>
      <c r="F16" s="2699">
        <v>17.828343313373253</v>
      </c>
      <c r="G16" s="2700">
        <v>17.247334754797432</v>
      </c>
      <c r="H16" s="2700">
        <v>16.990825688073421</v>
      </c>
      <c r="I16" s="2700">
        <v>16.54</v>
      </c>
      <c r="J16" s="2700">
        <v>17.049360146252276</v>
      </c>
      <c r="K16" s="2700">
        <v>16.721991701244814</v>
      </c>
      <c r="L16" s="2700">
        <v>16.3</v>
      </c>
      <c r="M16" s="2700">
        <v>16.29</v>
      </c>
      <c r="N16" s="2700">
        <v>16.88586956521738</v>
      </c>
      <c r="O16" s="2700">
        <v>17.242160278745629</v>
      </c>
      <c r="P16" s="2700">
        <v>16.7</v>
      </c>
      <c r="Q16" s="2700">
        <v>16.649999999999999</v>
      </c>
    </row>
    <row r="17" spans="1:17" ht="15" x14ac:dyDescent="0.2">
      <c r="A17" s="5892"/>
      <c r="B17" s="246" t="s">
        <v>11</v>
      </c>
      <c r="C17" s="2698">
        <v>20.78</v>
      </c>
      <c r="D17" s="2698">
        <v>20.758530183727036</v>
      </c>
      <c r="E17" s="2699">
        <v>20.56268221574344</v>
      </c>
      <c r="F17" s="2699">
        <v>20.892761394101878</v>
      </c>
      <c r="G17" s="2700">
        <v>20.758842443729908</v>
      </c>
      <c r="H17" s="2700">
        <v>19.925072046109523</v>
      </c>
      <c r="I17" s="2700">
        <v>19.62</v>
      </c>
      <c r="J17" s="2700">
        <v>18.31683168316831</v>
      </c>
      <c r="K17" s="2700">
        <v>18.494117647058808</v>
      </c>
      <c r="L17" s="2700">
        <v>18.737373737373733</v>
      </c>
      <c r="M17" s="2700">
        <v>18.440000000000001</v>
      </c>
      <c r="N17" s="2700">
        <v>18.571014492753633</v>
      </c>
      <c r="O17" s="2700">
        <v>18.592207792207788</v>
      </c>
      <c r="P17" s="2700">
        <v>19.12</v>
      </c>
      <c r="Q17" s="2700">
        <v>18.649999999999999</v>
      </c>
    </row>
    <row r="18" spans="1:17" ht="15" x14ac:dyDescent="0.2">
      <c r="A18" s="5893"/>
      <c r="B18" s="2184" t="s">
        <v>12</v>
      </c>
      <c r="C18" s="2708">
        <v>19.565384615384616</v>
      </c>
      <c r="D18" s="2708">
        <v>19.156565656565657</v>
      </c>
      <c r="E18" s="2709">
        <v>19.314494074749316</v>
      </c>
      <c r="F18" s="2709">
        <v>19.681739130434782</v>
      </c>
      <c r="G18" s="2710">
        <v>19.219307450157412</v>
      </c>
      <c r="H18" s="2710">
        <v>18.842494714587744</v>
      </c>
      <c r="I18" s="2709">
        <v>17.98</v>
      </c>
      <c r="J18" s="2709">
        <v>17.807162534435271</v>
      </c>
      <c r="K18" s="2709">
        <v>17.68449781659389</v>
      </c>
      <c r="L18" s="2709">
        <v>17.710526315789497</v>
      </c>
      <c r="M18" s="2709">
        <v>17.54</v>
      </c>
      <c r="N18" s="2709">
        <v>17.979260595130754</v>
      </c>
      <c r="O18" s="2709">
        <v>18.018551236749143</v>
      </c>
      <c r="P18" s="2709">
        <v>18</v>
      </c>
      <c r="Q18" s="2709">
        <v>17.989999999999998</v>
      </c>
    </row>
    <row r="20" spans="1:17" ht="15" x14ac:dyDescent="0.2">
      <c r="A20" s="5900" t="s">
        <v>408</v>
      </c>
      <c r="B20" s="245" t="s">
        <v>5</v>
      </c>
      <c r="C20" s="2695"/>
      <c r="D20" s="2695"/>
      <c r="E20" s="2696"/>
      <c r="F20" s="2696"/>
      <c r="G20" s="2697"/>
      <c r="H20" s="2697"/>
      <c r="I20" s="2697"/>
      <c r="J20" s="2697"/>
      <c r="K20" s="2697"/>
      <c r="L20" s="2697"/>
      <c r="M20" s="2697"/>
      <c r="N20" s="2697"/>
      <c r="O20" s="2697">
        <v>12.35</v>
      </c>
      <c r="P20" s="2697">
        <v>12.6</v>
      </c>
      <c r="Q20" s="2697">
        <v>13.31</v>
      </c>
    </row>
    <row r="21" spans="1:17" ht="15" x14ac:dyDescent="0.2">
      <c r="A21" s="5901"/>
      <c r="B21" s="246" t="s">
        <v>6</v>
      </c>
      <c r="C21" s="2698"/>
      <c r="D21" s="2698"/>
      <c r="E21" s="2699"/>
      <c r="F21" s="2699"/>
      <c r="G21" s="2700"/>
      <c r="H21" s="2700"/>
      <c r="I21" s="2700"/>
      <c r="J21" s="2700"/>
      <c r="K21" s="2700"/>
      <c r="L21" s="2700"/>
      <c r="M21" s="2700"/>
      <c r="N21" s="2700"/>
      <c r="O21" s="2700">
        <v>12.218749999999996</v>
      </c>
      <c r="P21" s="2700">
        <v>12.5</v>
      </c>
      <c r="Q21" s="2700">
        <v>12.89</v>
      </c>
    </row>
    <row r="22" spans="1:17" ht="15" x14ac:dyDescent="0.2">
      <c r="A22" s="5901"/>
      <c r="B22" s="246" t="s">
        <v>11</v>
      </c>
      <c r="C22" s="2698"/>
      <c r="D22" s="2698"/>
      <c r="E22" s="2699"/>
      <c r="F22" s="2699"/>
      <c r="G22" s="2700"/>
      <c r="H22" s="2700"/>
      <c r="I22" s="2700"/>
      <c r="J22" s="2700"/>
      <c r="K22" s="2700"/>
      <c r="L22" s="2700"/>
      <c r="M22" s="2700"/>
      <c r="N22" s="2700"/>
      <c r="O22" s="2700">
        <v>12.130434782608695</v>
      </c>
      <c r="P22" s="2700">
        <v>13.14</v>
      </c>
      <c r="Q22" s="2700">
        <v>13.13</v>
      </c>
    </row>
    <row r="23" spans="1:17" ht="15" x14ac:dyDescent="0.2">
      <c r="A23" s="5902"/>
      <c r="B23" s="2247" t="s">
        <v>12</v>
      </c>
      <c r="C23" s="4205"/>
      <c r="D23" s="4205"/>
      <c r="E23" s="4206"/>
      <c r="F23" s="4206"/>
      <c r="G23" s="4207"/>
      <c r="H23" s="4207"/>
      <c r="I23" s="4206"/>
      <c r="J23" s="4206"/>
      <c r="K23" s="4206"/>
      <c r="L23" s="4206"/>
      <c r="M23" s="4206"/>
      <c r="N23" s="4206"/>
      <c r="O23" s="4206">
        <v>12.226666666666667</v>
      </c>
      <c r="P23" s="4206">
        <v>12.83</v>
      </c>
      <c r="Q23" s="4206">
        <v>13.05</v>
      </c>
    </row>
    <row r="24" spans="1:17" ht="15.75" x14ac:dyDescent="0.2">
      <c r="A24" s="1782"/>
      <c r="C24" s="2704"/>
      <c r="D24" s="2704"/>
      <c r="E24" s="2704"/>
      <c r="F24" s="2704"/>
      <c r="G24" s="2704"/>
      <c r="H24" s="2704"/>
      <c r="I24" s="2704"/>
      <c r="J24" s="2704"/>
      <c r="K24" s="2704"/>
      <c r="L24" s="2704"/>
      <c r="M24" s="2704"/>
      <c r="N24" s="2704"/>
      <c r="O24" s="2704"/>
      <c r="P24" s="2704"/>
      <c r="Q24" s="2704"/>
    </row>
    <row r="25" spans="1:17" ht="15" x14ac:dyDescent="0.2">
      <c r="A25" s="5894" t="s">
        <v>163</v>
      </c>
      <c r="B25" s="245" t="s">
        <v>6</v>
      </c>
      <c r="C25" s="2695">
        <v>13.23716381418093</v>
      </c>
      <c r="D25" s="2695">
        <v>13.373779637377964</v>
      </c>
      <c r="E25" s="2696">
        <v>13.352459016393443</v>
      </c>
      <c r="F25" s="2696">
        <v>13.26149802890933</v>
      </c>
      <c r="G25" s="2697">
        <v>13.184673366834177</v>
      </c>
      <c r="H25" s="2697">
        <v>13.192346424974831</v>
      </c>
      <c r="I25" s="2697">
        <v>13.156926406926388</v>
      </c>
      <c r="J25" s="2697">
        <v>13.503954802259878</v>
      </c>
      <c r="K25" s="2697">
        <v>13.438725490196065</v>
      </c>
      <c r="L25" s="2696">
        <v>12.98</v>
      </c>
      <c r="M25" s="2696">
        <v>13.42</v>
      </c>
      <c r="N25" s="2696">
        <v>13.331683168316831</v>
      </c>
      <c r="O25" s="2696">
        <v>13.508034610630425</v>
      </c>
      <c r="P25" s="2696">
        <v>13.54</v>
      </c>
      <c r="Q25" s="2696">
        <v>13.53</v>
      </c>
    </row>
    <row r="26" spans="1:17" ht="15" x14ac:dyDescent="0.2">
      <c r="A26" s="5895"/>
      <c r="B26" s="246" t="s">
        <v>11</v>
      </c>
      <c r="C26" s="2698">
        <v>13.989141164856861</v>
      </c>
      <c r="D26" s="2698">
        <v>14.037610619469026</v>
      </c>
      <c r="E26" s="2699">
        <v>14.04026845637584</v>
      </c>
      <c r="F26" s="2699">
        <v>13.946764091858038</v>
      </c>
      <c r="G26" s="2700">
        <v>13.825497287522591</v>
      </c>
      <c r="H26" s="2700">
        <v>13.654159869494297</v>
      </c>
      <c r="I26" s="2700">
        <v>13.68</v>
      </c>
      <c r="J26" s="2700">
        <v>13.890756302521012</v>
      </c>
      <c r="K26" s="2700">
        <v>14.065517241379318</v>
      </c>
      <c r="L26" s="2699">
        <v>13.96</v>
      </c>
      <c r="M26" s="2699">
        <v>14.07</v>
      </c>
      <c r="N26" s="2699">
        <v>13.897071872227155</v>
      </c>
      <c r="O26" s="2699">
        <v>13.996500437445308</v>
      </c>
      <c r="P26" s="2699">
        <v>13.84</v>
      </c>
      <c r="Q26" s="2699">
        <v>13.99</v>
      </c>
    </row>
    <row r="27" spans="1:17" ht="15" x14ac:dyDescent="0.2">
      <c r="A27" s="5895"/>
      <c r="B27" s="246" t="s">
        <v>7</v>
      </c>
      <c r="C27" s="2698">
        <v>13.380281690140846</v>
      </c>
      <c r="D27" s="2698">
        <v>13.600558659217876</v>
      </c>
      <c r="E27" s="2699">
        <v>13.780952380952382</v>
      </c>
      <c r="F27" s="2699">
        <v>13.66745283018868</v>
      </c>
      <c r="G27" s="2700">
        <v>13.426666666666671</v>
      </c>
      <c r="H27" s="2700">
        <v>13.537074148296588</v>
      </c>
      <c r="I27" s="2700">
        <v>13.706263498920084</v>
      </c>
      <c r="J27" s="2700">
        <v>14.040449438202241</v>
      </c>
      <c r="K27" s="2700">
        <v>14.305039787798409</v>
      </c>
      <c r="L27" s="2699">
        <v>14.222222222222223</v>
      </c>
      <c r="M27" s="2699">
        <v>13.862385321100916</v>
      </c>
      <c r="N27" s="2699">
        <v>13.666666666666671</v>
      </c>
      <c r="O27" s="2699">
        <v>13.686274509803924</v>
      </c>
      <c r="P27" s="2699">
        <v>13.75</v>
      </c>
      <c r="Q27" s="2699">
        <v>13.53</v>
      </c>
    </row>
    <row r="28" spans="1:17" ht="15" x14ac:dyDescent="0.2">
      <c r="A28" s="5896"/>
      <c r="B28" s="2180" t="s">
        <v>12</v>
      </c>
      <c r="C28" s="2711">
        <v>13.608874656907593</v>
      </c>
      <c r="D28" s="2711">
        <v>13.718039413845377</v>
      </c>
      <c r="E28" s="2712">
        <v>13.740957966764418</v>
      </c>
      <c r="F28" s="2712">
        <v>13.648156789547363</v>
      </c>
      <c r="G28" s="2713">
        <v>13.535792709705744</v>
      </c>
      <c r="H28" s="2713">
        <v>13.463944076526859</v>
      </c>
      <c r="I28" s="2712">
        <v>13.5</v>
      </c>
      <c r="J28" s="2712">
        <v>13.781349206349185</v>
      </c>
      <c r="K28" s="2712">
        <v>13.886527836804103</v>
      </c>
      <c r="L28" s="2712">
        <v>13.558333333333332</v>
      </c>
      <c r="M28" s="2712">
        <v>13.8</v>
      </c>
      <c r="N28" s="2712">
        <v>13.662060301507545</v>
      </c>
      <c r="O28" s="2712">
        <v>13.775423728813557</v>
      </c>
      <c r="P28" s="2712">
        <v>13.71</v>
      </c>
      <c r="Q28" s="2712">
        <v>13.76</v>
      </c>
    </row>
    <row r="29" spans="1:17" x14ac:dyDescent="0.2">
      <c r="C29" s="2704"/>
      <c r="D29" s="2704"/>
      <c r="E29" s="2704"/>
      <c r="F29" s="2704"/>
      <c r="G29" s="2704"/>
      <c r="H29" s="2704"/>
      <c r="I29" s="2704"/>
      <c r="J29" s="2704"/>
      <c r="K29" s="2704"/>
      <c r="L29" s="2704"/>
      <c r="M29" s="2704"/>
      <c r="N29" s="2704"/>
      <c r="O29" s="2704"/>
      <c r="P29" s="2704"/>
      <c r="Q29" s="2704"/>
    </row>
    <row r="30" spans="1:17" ht="15" x14ac:dyDescent="0.2">
      <c r="A30" s="5828" t="s">
        <v>60</v>
      </c>
      <c r="B30" s="245" t="s">
        <v>5</v>
      </c>
      <c r="C30" s="2695">
        <v>22.2</v>
      </c>
      <c r="D30" s="2695">
        <v>22.19</v>
      </c>
      <c r="E30" s="2696">
        <v>22.04</v>
      </c>
      <c r="F30" s="2696">
        <v>22.16</v>
      </c>
      <c r="G30" s="2697">
        <v>21.884765625</v>
      </c>
      <c r="H30" s="2697">
        <v>21.18</v>
      </c>
      <c r="I30" s="2697">
        <v>20.32</v>
      </c>
      <c r="J30" s="2697">
        <v>19.774299835255352</v>
      </c>
      <c r="K30" s="2697">
        <v>20.238421955403101</v>
      </c>
      <c r="L30" s="2697">
        <v>20.177304964539012</v>
      </c>
      <c r="M30" s="2697">
        <v>20.621897810218968</v>
      </c>
      <c r="N30" s="2697">
        <v>20.636132315521618</v>
      </c>
      <c r="O30" s="2697">
        <v>20.151388888888864</v>
      </c>
      <c r="P30" s="2697">
        <v>20.23</v>
      </c>
      <c r="Q30" s="2697">
        <v>20.69</v>
      </c>
    </row>
    <row r="31" spans="1:17" ht="15" x14ac:dyDescent="0.2">
      <c r="A31" s="5829"/>
      <c r="B31" s="246" t="s">
        <v>6</v>
      </c>
      <c r="C31" s="2698">
        <v>15.68</v>
      </c>
      <c r="D31" s="2698">
        <v>15.59</v>
      </c>
      <c r="E31" s="2699">
        <v>15.44</v>
      </c>
      <c r="F31" s="2699">
        <v>15.63</v>
      </c>
      <c r="G31" s="2700">
        <v>15.178551055333731</v>
      </c>
      <c r="H31" s="2700">
        <v>14.83</v>
      </c>
      <c r="I31" s="2700">
        <v>14.79</v>
      </c>
      <c r="J31" s="2700">
        <v>15.22924095771773</v>
      </c>
      <c r="K31" s="2700">
        <v>15.041387024608484</v>
      </c>
      <c r="L31" s="2700">
        <v>14.944759938048525</v>
      </c>
      <c r="M31" s="2700">
        <v>15.063113006396613</v>
      </c>
      <c r="N31" s="2700">
        <v>15.036847492323407</v>
      </c>
      <c r="O31" s="2700">
        <v>15.370656370656359</v>
      </c>
      <c r="P31" s="2700">
        <v>14.98</v>
      </c>
      <c r="Q31" s="2700">
        <v>15.21</v>
      </c>
    </row>
    <row r="32" spans="1:17" ht="15" x14ac:dyDescent="0.2">
      <c r="A32" s="5829"/>
      <c r="B32" s="246" t="s">
        <v>11</v>
      </c>
      <c r="C32" s="2698">
        <v>15.54</v>
      </c>
      <c r="D32" s="2698">
        <v>16.03</v>
      </c>
      <c r="E32" s="2699">
        <v>15.85</v>
      </c>
      <c r="F32" s="2699">
        <v>15.89</v>
      </c>
      <c r="G32" s="2700">
        <v>15.347212420606921</v>
      </c>
      <c r="H32" s="2700">
        <v>15.04</v>
      </c>
      <c r="I32" s="2700">
        <v>14.63</v>
      </c>
      <c r="J32" s="2700">
        <v>14.789015405224372</v>
      </c>
      <c r="K32" s="2700">
        <v>14.863604240282683</v>
      </c>
      <c r="L32" s="2700">
        <v>14.843454790823222</v>
      </c>
      <c r="M32" s="2700">
        <v>15.104736490994004</v>
      </c>
      <c r="N32" s="2700">
        <v>14.992527173913057</v>
      </c>
      <c r="O32" s="2700">
        <v>15.10960670535138</v>
      </c>
      <c r="P32" s="2700">
        <v>15.34</v>
      </c>
      <c r="Q32" s="2700">
        <v>15.3</v>
      </c>
    </row>
    <row r="33" spans="1:17" ht="15" x14ac:dyDescent="0.2">
      <c r="A33" s="5829"/>
      <c r="B33" s="246" t="s">
        <v>7</v>
      </c>
      <c r="C33" s="2698">
        <v>15.37</v>
      </c>
      <c r="D33" s="2698">
        <v>15.48</v>
      </c>
      <c r="E33" s="2699">
        <v>15.42</v>
      </c>
      <c r="F33" s="2699">
        <v>15.14</v>
      </c>
      <c r="G33" s="2700">
        <v>14.579301075268813</v>
      </c>
      <c r="H33" s="2700">
        <v>14.55</v>
      </c>
      <c r="I33" s="2700">
        <v>14.77</v>
      </c>
      <c r="J33" s="2700">
        <v>15.06135770234987</v>
      </c>
      <c r="K33" s="2700">
        <v>15.035541195476599</v>
      </c>
      <c r="L33" s="2700">
        <v>15.233599999999983</v>
      </c>
      <c r="M33" s="2700">
        <v>14.819245773732113</v>
      </c>
      <c r="N33" s="2700">
        <v>14.770676691729317</v>
      </c>
      <c r="O33" s="2700">
        <v>15.215712383488661</v>
      </c>
      <c r="P33" s="2700">
        <v>14.78</v>
      </c>
      <c r="Q33" s="2700">
        <v>15.03</v>
      </c>
    </row>
    <row r="34" spans="1:17" ht="15" x14ac:dyDescent="0.2">
      <c r="A34" s="5829"/>
      <c r="B34" s="246" t="s">
        <v>9</v>
      </c>
      <c r="C34" s="2698"/>
      <c r="D34" s="2698"/>
      <c r="E34" s="2699"/>
      <c r="F34" s="2699"/>
      <c r="G34" s="2700"/>
      <c r="H34" s="2700"/>
      <c r="I34" s="2700">
        <v>13</v>
      </c>
      <c r="J34" s="2700">
        <v>13.6</v>
      </c>
      <c r="K34" s="2700">
        <v>13.031250000000002</v>
      </c>
      <c r="L34" s="2700">
        <v>13.958333333333334</v>
      </c>
      <c r="M34" s="2700">
        <v>14.142857142857142</v>
      </c>
      <c r="N34" s="2700">
        <v>14.7741935483871</v>
      </c>
      <c r="O34" s="2700">
        <v>16.551724137931039</v>
      </c>
      <c r="P34" s="2700">
        <v>16.62</v>
      </c>
      <c r="Q34" s="2700">
        <v>16.440000000000001</v>
      </c>
    </row>
    <row r="35" spans="1:17" ht="15" x14ac:dyDescent="0.2">
      <c r="A35" s="5829"/>
      <c r="B35" s="247" t="s">
        <v>74</v>
      </c>
      <c r="C35" s="2714"/>
      <c r="D35" s="2714"/>
      <c r="E35" s="2715"/>
      <c r="F35" s="2715"/>
      <c r="G35" s="2716"/>
      <c r="H35" s="2716"/>
      <c r="I35" s="2716">
        <v>12</v>
      </c>
      <c r="J35" s="2716">
        <v>13.7</v>
      </c>
      <c r="K35" s="2716">
        <v>14.090909090909092</v>
      </c>
      <c r="L35" s="2716">
        <v>14.222222222222223</v>
      </c>
      <c r="M35" s="2716">
        <v>15.733333333333334</v>
      </c>
      <c r="N35" s="2716">
        <v>17.045454545454543</v>
      </c>
      <c r="O35" s="2716">
        <v>16.208333333333339</v>
      </c>
      <c r="P35" s="2716">
        <v>17.05</v>
      </c>
      <c r="Q35" s="2716">
        <v>17.12</v>
      </c>
    </row>
    <row r="36" spans="1:17" ht="15" x14ac:dyDescent="0.2">
      <c r="A36" s="5830"/>
      <c r="B36" s="593" t="s">
        <v>12</v>
      </c>
      <c r="C36" s="2717">
        <v>16.481355209887067</v>
      </c>
      <c r="D36" s="2717">
        <v>16.611923509561304</v>
      </c>
      <c r="E36" s="2718">
        <v>16.509697789806044</v>
      </c>
      <c r="F36" s="2718">
        <v>16.575550660792953</v>
      </c>
      <c r="G36" s="2719">
        <v>15.90759150474473</v>
      </c>
      <c r="H36" s="2719">
        <v>15.536545192505656</v>
      </c>
      <c r="I36" s="2718">
        <v>15.32</v>
      </c>
      <c r="J36" s="2718">
        <v>15.627523691800636</v>
      </c>
      <c r="K36" s="2718">
        <v>15.648381294964095</v>
      </c>
      <c r="L36" s="2720">
        <v>15.57</v>
      </c>
      <c r="M36" s="2720">
        <v>15.751781027371603</v>
      </c>
      <c r="N36" s="2720">
        <v>15.858384357100615</v>
      </c>
      <c r="O36" s="2720">
        <v>15.948707985234114</v>
      </c>
      <c r="P36" s="2720">
        <v>15.86</v>
      </c>
      <c r="Q36" s="2720">
        <v>16.11</v>
      </c>
    </row>
    <row r="37" spans="1:17" ht="15" customHeight="1" x14ac:dyDescent="0.2">
      <c r="A37" s="382" t="s">
        <v>133</v>
      </c>
      <c r="B37" s="382"/>
      <c r="C37" s="382"/>
      <c r="D37" s="382"/>
      <c r="E37" s="382"/>
      <c r="F37" s="382"/>
      <c r="G37" s="382"/>
      <c r="H37" s="261"/>
      <c r="I37" s="261"/>
    </row>
    <row r="38" spans="1:17" ht="15" customHeight="1" x14ac:dyDescent="0.2">
      <c r="A38" s="240" t="s">
        <v>648</v>
      </c>
      <c r="B38" s="321"/>
      <c r="C38" s="321"/>
      <c r="D38" s="321"/>
      <c r="E38" s="321"/>
      <c r="F38" s="321"/>
      <c r="G38" s="321"/>
      <c r="H38" s="261"/>
      <c r="I38" s="261"/>
    </row>
  </sheetData>
  <sheetProtection algorithmName="SHA-512" hashValue="Azi7EBugLu7VL8SNP44ldOpzwM3JVf3WGSiCUaqBjhkr13Pxlx95bKVp1AaY5D/W4aiLT5VKKOFhhzI4jaAfXA==" saltValue="B+NReMgnnoEMkcvMpWRALA==" spinCount="100000" sheet="1" objects="1" scenarios="1"/>
  <mergeCells count="6">
    <mergeCell ref="A15:A18"/>
    <mergeCell ref="A25:A28"/>
    <mergeCell ref="A30:A36"/>
    <mergeCell ref="A5:A8"/>
    <mergeCell ref="A10:A13"/>
    <mergeCell ref="A20:A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orientation="landscape" horizontalDpi="1200" verticalDpi="1200" r:id="rId1"/>
  <headerFooter alignWithMargins="0"/>
  <rowBreaks count="1" manualBreakCount="1">
    <brk id="3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V110"/>
  <sheetViews>
    <sheetView showGridLines="0" zoomScaleNormal="100" zoomScaleSheetLayoutView="50" workbookViewId="0">
      <pane xSplit="3" ySplit="5" topLeftCell="AJ77" activePane="bottomRight" state="frozen"/>
      <selection sqref="A1:E1"/>
      <selection pane="topRight" sqref="A1:E1"/>
      <selection pane="bottomLeft" sqref="A1:E1"/>
      <selection pane="bottomRight" activeCell="A4" sqref="A4:C104"/>
    </sheetView>
  </sheetViews>
  <sheetFormatPr baseColWidth="10" defaultRowHeight="12.75" x14ac:dyDescent="0.2"/>
  <cols>
    <col min="1" max="1" width="9.140625" style="184" customWidth="1"/>
    <col min="2" max="2" width="9.28515625" style="184" customWidth="1"/>
    <col min="3" max="3" width="45.42578125" style="184" bestFit="1" customWidth="1"/>
    <col min="4" max="48" width="8.7109375" style="184" customWidth="1"/>
    <col min="49" max="255" width="11.42578125" style="184"/>
    <col min="256" max="256" width="0.28515625" style="184" customWidth="1"/>
    <col min="257" max="257" width="19" style="184" customWidth="1"/>
    <col min="258" max="258" width="7.140625" style="184" customWidth="1"/>
    <col min="259" max="259" width="41.28515625" style="184" customWidth="1"/>
    <col min="260" max="261" width="9" style="184" customWidth="1"/>
    <col min="262" max="262" width="10.5703125" style="184" customWidth="1"/>
    <col min="263" max="263" width="9.42578125" style="184" customWidth="1"/>
    <col min="264" max="264" width="9.85546875" style="184" customWidth="1"/>
    <col min="265" max="265" width="10.5703125" style="184" customWidth="1"/>
    <col min="266" max="267" width="9.42578125" style="184" customWidth="1"/>
    <col min="268" max="268" width="10.5703125" style="184" customWidth="1"/>
    <col min="269" max="270" width="9" style="184" customWidth="1"/>
    <col min="271" max="271" width="10.5703125" style="184" customWidth="1"/>
    <col min="272" max="273" width="9.42578125" style="184" customWidth="1"/>
    <col min="274" max="274" width="10.5703125" style="184" customWidth="1"/>
    <col min="275" max="275" width="9.42578125" style="184" customWidth="1"/>
    <col min="276" max="276" width="9.85546875" style="184" customWidth="1"/>
    <col min="277" max="277" width="10.5703125" style="184" customWidth="1"/>
    <col min="278" max="278" width="9" style="184" customWidth="1"/>
    <col min="279" max="279" width="9.85546875" style="184" customWidth="1"/>
    <col min="280" max="280" width="12" style="184" customWidth="1"/>
    <col min="281" max="511" width="11.42578125" style="184"/>
    <col min="512" max="512" width="0.28515625" style="184" customWidth="1"/>
    <col min="513" max="513" width="19" style="184" customWidth="1"/>
    <col min="514" max="514" width="7.140625" style="184" customWidth="1"/>
    <col min="515" max="515" width="41.28515625" style="184" customWidth="1"/>
    <col min="516" max="517" width="9" style="184" customWidth="1"/>
    <col min="518" max="518" width="10.5703125" style="184" customWidth="1"/>
    <col min="519" max="519" width="9.42578125" style="184" customWidth="1"/>
    <col min="520" max="520" width="9.85546875" style="184" customWidth="1"/>
    <col min="521" max="521" width="10.5703125" style="184" customWidth="1"/>
    <col min="522" max="523" width="9.42578125" style="184" customWidth="1"/>
    <col min="524" max="524" width="10.5703125" style="184" customWidth="1"/>
    <col min="525" max="526" width="9" style="184" customWidth="1"/>
    <col min="527" max="527" width="10.5703125" style="184" customWidth="1"/>
    <col min="528" max="529" width="9.42578125" style="184" customWidth="1"/>
    <col min="530" max="530" width="10.5703125" style="184" customWidth="1"/>
    <col min="531" max="531" width="9.42578125" style="184" customWidth="1"/>
    <col min="532" max="532" width="9.85546875" style="184" customWidth="1"/>
    <col min="533" max="533" width="10.5703125" style="184" customWidth="1"/>
    <col min="534" max="534" width="9" style="184" customWidth="1"/>
    <col min="535" max="535" width="9.85546875" style="184" customWidth="1"/>
    <col min="536" max="536" width="12" style="184" customWidth="1"/>
    <col min="537" max="767" width="11.42578125" style="184"/>
    <col min="768" max="768" width="0.28515625" style="184" customWidth="1"/>
    <col min="769" max="769" width="19" style="184" customWidth="1"/>
    <col min="770" max="770" width="7.140625" style="184" customWidth="1"/>
    <col min="771" max="771" width="41.28515625" style="184" customWidth="1"/>
    <col min="772" max="773" width="9" style="184" customWidth="1"/>
    <col min="774" max="774" width="10.5703125" style="184" customWidth="1"/>
    <col min="775" max="775" width="9.42578125" style="184" customWidth="1"/>
    <col min="776" max="776" width="9.85546875" style="184" customWidth="1"/>
    <col min="777" max="777" width="10.5703125" style="184" customWidth="1"/>
    <col min="778" max="779" width="9.42578125" style="184" customWidth="1"/>
    <col min="780" max="780" width="10.5703125" style="184" customWidth="1"/>
    <col min="781" max="782" width="9" style="184" customWidth="1"/>
    <col min="783" max="783" width="10.5703125" style="184" customWidth="1"/>
    <col min="784" max="785" width="9.42578125" style="184" customWidth="1"/>
    <col min="786" max="786" width="10.5703125" style="184" customWidth="1"/>
    <col min="787" max="787" width="9.42578125" style="184" customWidth="1"/>
    <col min="788" max="788" width="9.85546875" style="184" customWidth="1"/>
    <col min="789" max="789" width="10.5703125" style="184" customWidth="1"/>
    <col min="790" max="790" width="9" style="184" customWidth="1"/>
    <col min="791" max="791" width="9.85546875" style="184" customWidth="1"/>
    <col min="792" max="792" width="12" style="184" customWidth="1"/>
    <col min="793" max="1023" width="11.42578125" style="184"/>
    <col min="1024" max="1024" width="0.28515625" style="184" customWidth="1"/>
    <col min="1025" max="1025" width="19" style="184" customWidth="1"/>
    <col min="1026" max="1026" width="7.140625" style="184" customWidth="1"/>
    <col min="1027" max="1027" width="41.28515625" style="184" customWidth="1"/>
    <col min="1028" max="1029" width="9" style="184" customWidth="1"/>
    <col min="1030" max="1030" width="10.5703125" style="184" customWidth="1"/>
    <col min="1031" max="1031" width="9.42578125" style="184" customWidth="1"/>
    <col min="1032" max="1032" width="9.85546875" style="184" customWidth="1"/>
    <col min="1033" max="1033" width="10.5703125" style="184" customWidth="1"/>
    <col min="1034" max="1035" width="9.42578125" style="184" customWidth="1"/>
    <col min="1036" max="1036" width="10.5703125" style="184" customWidth="1"/>
    <col min="1037" max="1038" width="9" style="184" customWidth="1"/>
    <col min="1039" max="1039" width="10.5703125" style="184" customWidth="1"/>
    <col min="1040" max="1041" width="9.42578125" style="184" customWidth="1"/>
    <col min="1042" max="1042" width="10.5703125" style="184" customWidth="1"/>
    <col min="1043" max="1043" width="9.42578125" style="184" customWidth="1"/>
    <col min="1044" max="1044" width="9.85546875" style="184" customWidth="1"/>
    <col min="1045" max="1045" width="10.5703125" style="184" customWidth="1"/>
    <col min="1046" max="1046" width="9" style="184" customWidth="1"/>
    <col min="1047" max="1047" width="9.85546875" style="184" customWidth="1"/>
    <col min="1048" max="1048" width="12" style="184" customWidth="1"/>
    <col min="1049" max="1279" width="11.42578125" style="184"/>
    <col min="1280" max="1280" width="0.28515625" style="184" customWidth="1"/>
    <col min="1281" max="1281" width="19" style="184" customWidth="1"/>
    <col min="1282" max="1282" width="7.140625" style="184" customWidth="1"/>
    <col min="1283" max="1283" width="41.28515625" style="184" customWidth="1"/>
    <col min="1284" max="1285" width="9" style="184" customWidth="1"/>
    <col min="1286" max="1286" width="10.5703125" style="184" customWidth="1"/>
    <col min="1287" max="1287" width="9.42578125" style="184" customWidth="1"/>
    <col min="1288" max="1288" width="9.85546875" style="184" customWidth="1"/>
    <col min="1289" max="1289" width="10.5703125" style="184" customWidth="1"/>
    <col min="1290" max="1291" width="9.42578125" style="184" customWidth="1"/>
    <col min="1292" max="1292" width="10.5703125" style="184" customWidth="1"/>
    <col min="1293" max="1294" width="9" style="184" customWidth="1"/>
    <col min="1295" max="1295" width="10.5703125" style="184" customWidth="1"/>
    <col min="1296" max="1297" width="9.42578125" style="184" customWidth="1"/>
    <col min="1298" max="1298" width="10.5703125" style="184" customWidth="1"/>
    <col min="1299" max="1299" width="9.42578125" style="184" customWidth="1"/>
    <col min="1300" max="1300" width="9.85546875" style="184" customWidth="1"/>
    <col min="1301" max="1301" width="10.5703125" style="184" customWidth="1"/>
    <col min="1302" max="1302" width="9" style="184" customWidth="1"/>
    <col min="1303" max="1303" width="9.85546875" style="184" customWidth="1"/>
    <col min="1304" max="1304" width="12" style="184" customWidth="1"/>
    <col min="1305" max="1535" width="11.42578125" style="184"/>
    <col min="1536" max="1536" width="0.28515625" style="184" customWidth="1"/>
    <col min="1537" max="1537" width="19" style="184" customWidth="1"/>
    <col min="1538" max="1538" width="7.140625" style="184" customWidth="1"/>
    <col min="1539" max="1539" width="41.28515625" style="184" customWidth="1"/>
    <col min="1540" max="1541" width="9" style="184" customWidth="1"/>
    <col min="1542" max="1542" width="10.5703125" style="184" customWidth="1"/>
    <col min="1543" max="1543" width="9.42578125" style="184" customWidth="1"/>
    <col min="1544" max="1544" width="9.85546875" style="184" customWidth="1"/>
    <col min="1545" max="1545" width="10.5703125" style="184" customWidth="1"/>
    <col min="1546" max="1547" width="9.42578125" style="184" customWidth="1"/>
    <col min="1548" max="1548" width="10.5703125" style="184" customWidth="1"/>
    <col min="1549" max="1550" width="9" style="184" customWidth="1"/>
    <col min="1551" max="1551" width="10.5703125" style="184" customWidth="1"/>
    <col min="1552" max="1553" width="9.42578125" style="184" customWidth="1"/>
    <col min="1554" max="1554" width="10.5703125" style="184" customWidth="1"/>
    <col min="1555" max="1555" width="9.42578125" style="184" customWidth="1"/>
    <col min="1556" max="1556" width="9.85546875" style="184" customWidth="1"/>
    <col min="1557" max="1557" width="10.5703125" style="184" customWidth="1"/>
    <col min="1558" max="1558" width="9" style="184" customWidth="1"/>
    <col min="1559" max="1559" width="9.85546875" style="184" customWidth="1"/>
    <col min="1560" max="1560" width="12" style="184" customWidth="1"/>
    <col min="1561" max="1791" width="11.42578125" style="184"/>
    <col min="1792" max="1792" width="0.28515625" style="184" customWidth="1"/>
    <col min="1793" max="1793" width="19" style="184" customWidth="1"/>
    <col min="1794" max="1794" width="7.140625" style="184" customWidth="1"/>
    <col min="1795" max="1795" width="41.28515625" style="184" customWidth="1"/>
    <col min="1796" max="1797" width="9" style="184" customWidth="1"/>
    <col min="1798" max="1798" width="10.5703125" style="184" customWidth="1"/>
    <col min="1799" max="1799" width="9.42578125" style="184" customWidth="1"/>
    <col min="1800" max="1800" width="9.85546875" style="184" customWidth="1"/>
    <col min="1801" max="1801" width="10.5703125" style="184" customWidth="1"/>
    <col min="1802" max="1803" width="9.42578125" style="184" customWidth="1"/>
    <col min="1804" max="1804" width="10.5703125" style="184" customWidth="1"/>
    <col min="1805" max="1806" width="9" style="184" customWidth="1"/>
    <col min="1807" max="1807" width="10.5703125" style="184" customWidth="1"/>
    <col min="1808" max="1809" width="9.42578125" style="184" customWidth="1"/>
    <col min="1810" max="1810" width="10.5703125" style="184" customWidth="1"/>
    <col min="1811" max="1811" width="9.42578125" style="184" customWidth="1"/>
    <col min="1812" max="1812" width="9.85546875" style="184" customWidth="1"/>
    <col min="1813" max="1813" width="10.5703125" style="184" customWidth="1"/>
    <col min="1814" max="1814" width="9" style="184" customWidth="1"/>
    <col min="1815" max="1815" width="9.85546875" style="184" customWidth="1"/>
    <col min="1816" max="1816" width="12" style="184" customWidth="1"/>
    <col min="1817" max="2047" width="11.42578125" style="184"/>
    <col min="2048" max="2048" width="0.28515625" style="184" customWidth="1"/>
    <col min="2049" max="2049" width="19" style="184" customWidth="1"/>
    <col min="2050" max="2050" width="7.140625" style="184" customWidth="1"/>
    <col min="2051" max="2051" width="41.28515625" style="184" customWidth="1"/>
    <col min="2052" max="2053" width="9" style="184" customWidth="1"/>
    <col min="2054" max="2054" width="10.5703125" style="184" customWidth="1"/>
    <col min="2055" max="2055" width="9.42578125" style="184" customWidth="1"/>
    <col min="2056" max="2056" width="9.85546875" style="184" customWidth="1"/>
    <col min="2057" max="2057" width="10.5703125" style="184" customWidth="1"/>
    <col min="2058" max="2059" width="9.42578125" style="184" customWidth="1"/>
    <col min="2060" max="2060" width="10.5703125" style="184" customWidth="1"/>
    <col min="2061" max="2062" width="9" style="184" customWidth="1"/>
    <col min="2063" max="2063" width="10.5703125" style="184" customWidth="1"/>
    <col min="2064" max="2065" width="9.42578125" style="184" customWidth="1"/>
    <col min="2066" max="2066" width="10.5703125" style="184" customWidth="1"/>
    <col min="2067" max="2067" width="9.42578125" style="184" customWidth="1"/>
    <col min="2068" max="2068" width="9.85546875" style="184" customWidth="1"/>
    <col min="2069" max="2069" width="10.5703125" style="184" customWidth="1"/>
    <col min="2070" max="2070" width="9" style="184" customWidth="1"/>
    <col min="2071" max="2071" width="9.85546875" style="184" customWidth="1"/>
    <col min="2072" max="2072" width="12" style="184" customWidth="1"/>
    <col min="2073" max="2303" width="11.42578125" style="184"/>
    <col min="2304" max="2304" width="0.28515625" style="184" customWidth="1"/>
    <col min="2305" max="2305" width="19" style="184" customWidth="1"/>
    <col min="2306" max="2306" width="7.140625" style="184" customWidth="1"/>
    <col min="2307" max="2307" width="41.28515625" style="184" customWidth="1"/>
    <col min="2308" max="2309" width="9" style="184" customWidth="1"/>
    <col min="2310" max="2310" width="10.5703125" style="184" customWidth="1"/>
    <col min="2311" max="2311" width="9.42578125" style="184" customWidth="1"/>
    <col min="2312" max="2312" width="9.85546875" style="184" customWidth="1"/>
    <col min="2313" max="2313" width="10.5703125" style="184" customWidth="1"/>
    <col min="2314" max="2315" width="9.42578125" style="184" customWidth="1"/>
    <col min="2316" max="2316" width="10.5703125" style="184" customWidth="1"/>
    <col min="2317" max="2318" width="9" style="184" customWidth="1"/>
    <col min="2319" max="2319" width="10.5703125" style="184" customWidth="1"/>
    <col min="2320" max="2321" width="9.42578125" style="184" customWidth="1"/>
    <col min="2322" max="2322" width="10.5703125" style="184" customWidth="1"/>
    <col min="2323" max="2323" width="9.42578125" style="184" customWidth="1"/>
    <col min="2324" max="2324" width="9.85546875" style="184" customWidth="1"/>
    <col min="2325" max="2325" width="10.5703125" style="184" customWidth="1"/>
    <col min="2326" max="2326" width="9" style="184" customWidth="1"/>
    <col min="2327" max="2327" width="9.85546875" style="184" customWidth="1"/>
    <col min="2328" max="2328" width="12" style="184" customWidth="1"/>
    <col min="2329" max="2559" width="11.42578125" style="184"/>
    <col min="2560" max="2560" width="0.28515625" style="184" customWidth="1"/>
    <col min="2561" max="2561" width="19" style="184" customWidth="1"/>
    <col min="2562" max="2562" width="7.140625" style="184" customWidth="1"/>
    <col min="2563" max="2563" width="41.28515625" style="184" customWidth="1"/>
    <col min="2564" max="2565" width="9" style="184" customWidth="1"/>
    <col min="2566" max="2566" width="10.5703125" style="184" customWidth="1"/>
    <col min="2567" max="2567" width="9.42578125" style="184" customWidth="1"/>
    <col min="2568" max="2568" width="9.85546875" style="184" customWidth="1"/>
    <col min="2569" max="2569" width="10.5703125" style="184" customWidth="1"/>
    <col min="2570" max="2571" width="9.42578125" style="184" customWidth="1"/>
    <col min="2572" max="2572" width="10.5703125" style="184" customWidth="1"/>
    <col min="2573" max="2574" width="9" style="184" customWidth="1"/>
    <col min="2575" max="2575" width="10.5703125" style="184" customWidth="1"/>
    <col min="2576" max="2577" width="9.42578125" style="184" customWidth="1"/>
    <col min="2578" max="2578" width="10.5703125" style="184" customWidth="1"/>
    <col min="2579" max="2579" width="9.42578125" style="184" customWidth="1"/>
    <col min="2580" max="2580" width="9.85546875" style="184" customWidth="1"/>
    <col min="2581" max="2581" width="10.5703125" style="184" customWidth="1"/>
    <col min="2582" max="2582" width="9" style="184" customWidth="1"/>
    <col min="2583" max="2583" width="9.85546875" style="184" customWidth="1"/>
    <col min="2584" max="2584" width="12" style="184" customWidth="1"/>
    <col min="2585" max="2815" width="11.42578125" style="184"/>
    <col min="2816" max="2816" width="0.28515625" style="184" customWidth="1"/>
    <col min="2817" max="2817" width="19" style="184" customWidth="1"/>
    <col min="2818" max="2818" width="7.140625" style="184" customWidth="1"/>
    <col min="2819" max="2819" width="41.28515625" style="184" customWidth="1"/>
    <col min="2820" max="2821" width="9" style="184" customWidth="1"/>
    <col min="2822" max="2822" width="10.5703125" style="184" customWidth="1"/>
    <col min="2823" max="2823" width="9.42578125" style="184" customWidth="1"/>
    <col min="2824" max="2824" width="9.85546875" style="184" customWidth="1"/>
    <col min="2825" max="2825" width="10.5703125" style="184" customWidth="1"/>
    <col min="2826" max="2827" width="9.42578125" style="184" customWidth="1"/>
    <col min="2828" max="2828" width="10.5703125" style="184" customWidth="1"/>
    <col min="2829" max="2830" width="9" style="184" customWidth="1"/>
    <col min="2831" max="2831" width="10.5703125" style="184" customWidth="1"/>
    <col min="2832" max="2833" width="9.42578125" style="184" customWidth="1"/>
    <col min="2834" max="2834" width="10.5703125" style="184" customWidth="1"/>
    <col min="2835" max="2835" width="9.42578125" style="184" customWidth="1"/>
    <col min="2836" max="2836" width="9.85546875" style="184" customWidth="1"/>
    <col min="2837" max="2837" width="10.5703125" style="184" customWidth="1"/>
    <col min="2838" max="2838" width="9" style="184" customWidth="1"/>
    <col min="2839" max="2839" width="9.85546875" style="184" customWidth="1"/>
    <col min="2840" max="2840" width="12" style="184" customWidth="1"/>
    <col min="2841" max="3071" width="11.42578125" style="184"/>
    <col min="3072" max="3072" width="0.28515625" style="184" customWidth="1"/>
    <col min="3073" max="3073" width="19" style="184" customWidth="1"/>
    <col min="3074" max="3074" width="7.140625" style="184" customWidth="1"/>
    <col min="3075" max="3075" width="41.28515625" style="184" customWidth="1"/>
    <col min="3076" max="3077" width="9" style="184" customWidth="1"/>
    <col min="3078" max="3078" width="10.5703125" style="184" customWidth="1"/>
    <col min="3079" max="3079" width="9.42578125" style="184" customWidth="1"/>
    <col min="3080" max="3080" width="9.85546875" style="184" customWidth="1"/>
    <col min="3081" max="3081" width="10.5703125" style="184" customWidth="1"/>
    <col min="3082" max="3083" width="9.42578125" style="184" customWidth="1"/>
    <col min="3084" max="3084" width="10.5703125" style="184" customWidth="1"/>
    <col min="3085" max="3086" width="9" style="184" customWidth="1"/>
    <col min="3087" max="3087" width="10.5703125" style="184" customWidth="1"/>
    <col min="3088" max="3089" width="9.42578125" style="184" customWidth="1"/>
    <col min="3090" max="3090" width="10.5703125" style="184" customWidth="1"/>
    <col min="3091" max="3091" width="9.42578125" style="184" customWidth="1"/>
    <col min="3092" max="3092" width="9.85546875" style="184" customWidth="1"/>
    <col min="3093" max="3093" width="10.5703125" style="184" customWidth="1"/>
    <col min="3094" max="3094" width="9" style="184" customWidth="1"/>
    <col min="3095" max="3095" width="9.85546875" style="184" customWidth="1"/>
    <col min="3096" max="3096" width="12" style="184" customWidth="1"/>
    <col min="3097" max="3327" width="11.42578125" style="184"/>
    <col min="3328" max="3328" width="0.28515625" style="184" customWidth="1"/>
    <col min="3329" max="3329" width="19" style="184" customWidth="1"/>
    <col min="3330" max="3330" width="7.140625" style="184" customWidth="1"/>
    <col min="3331" max="3331" width="41.28515625" style="184" customWidth="1"/>
    <col min="3332" max="3333" width="9" style="184" customWidth="1"/>
    <col min="3334" max="3334" width="10.5703125" style="184" customWidth="1"/>
    <col min="3335" max="3335" width="9.42578125" style="184" customWidth="1"/>
    <col min="3336" max="3336" width="9.85546875" style="184" customWidth="1"/>
    <col min="3337" max="3337" width="10.5703125" style="184" customWidth="1"/>
    <col min="3338" max="3339" width="9.42578125" style="184" customWidth="1"/>
    <col min="3340" max="3340" width="10.5703125" style="184" customWidth="1"/>
    <col min="3341" max="3342" width="9" style="184" customWidth="1"/>
    <col min="3343" max="3343" width="10.5703125" style="184" customWidth="1"/>
    <col min="3344" max="3345" width="9.42578125" style="184" customWidth="1"/>
    <col min="3346" max="3346" width="10.5703125" style="184" customWidth="1"/>
    <col min="3347" max="3347" width="9.42578125" style="184" customWidth="1"/>
    <col min="3348" max="3348" width="9.85546875" style="184" customWidth="1"/>
    <col min="3349" max="3349" width="10.5703125" style="184" customWidth="1"/>
    <col min="3350" max="3350" width="9" style="184" customWidth="1"/>
    <col min="3351" max="3351" width="9.85546875" style="184" customWidth="1"/>
    <col min="3352" max="3352" width="12" style="184" customWidth="1"/>
    <col min="3353" max="3583" width="11.42578125" style="184"/>
    <col min="3584" max="3584" width="0.28515625" style="184" customWidth="1"/>
    <col min="3585" max="3585" width="19" style="184" customWidth="1"/>
    <col min="3586" max="3586" width="7.140625" style="184" customWidth="1"/>
    <col min="3587" max="3587" width="41.28515625" style="184" customWidth="1"/>
    <col min="3588" max="3589" width="9" style="184" customWidth="1"/>
    <col min="3590" max="3590" width="10.5703125" style="184" customWidth="1"/>
    <col min="3591" max="3591" width="9.42578125" style="184" customWidth="1"/>
    <col min="3592" max="3592" width="9.85546875" style="184" customWidth="1"/>
    <col min="3593" max="3593" width="10.5703125" style="184" customWidth="1"/>
    <col min="3594" max="3595" width="9.42578125" style="184" customWidth="1"/>
    <col min="3596" max="3596" width="10.5703125" style="184" customWidth="1"/>
    <col min="3597" max="3598" width="9" style="184" customWidth="1"/>
    <col min="3599" max="3599" width="10.5703125" style="184" customWidth="1"/>
    <col min="3600" max="3601" width="9.42578125" style="184" customWidth="1"/>
    <col min="3602" max="3602" width="10.5703125" style="184" customWidth="1"/>
    <col min="3603" max="3603" width="9.42578125" style="184" customWidth="1"/>
    <col min="3604" max="3604" width="9.85546875" style="184" customWidth="1"/>
    <col min="3605" max="3605" width="10.5703125" style="184" customWidth="1"/>
    <col min="3606" max="3606" width="9" style="184" customWidth="1"/>
    <col min="3607" max="3607" width="9.85546875" style="184" customWidth="1"/>
    <col min="3608" max="3608" width="12" style="184" customWidth="1"/>
    <col min="3609" max="3839" width="11.42578125" style="184"/>
    <col min="3840" max="3840" width="0.28515625" style="184" customWidth="1"/>
    <col min="3841" max="3841" width="19" style="184" customWidth="1"/>
    <col min="3842" max="3842" width="7.140625" style="184" customWidth="1"/>
    <col min="3843" max="3843" width="41.28515625" style="184" customWidth="1"/>
    <col min="3844" max="3845" width="9" style="184" customWidth="1"/>
    <col min="3846" max="3846" width="10.5703125" style="184" customWidth="1"/>
    <col min="3847" max="3847" width="9.42578125" style="184" customWidth="1"/>
    <col min="3848" max="3848" width="9.85546875" style="184" customWidth="1"/>
    <col min="3849" max="3849" width="10.5703125" style="184" customWidth="1"/>
    <col min="3850" max="3851" width="9.42578125" style="184" customWidth="1"/>
    <col min="3852" max="3852" width="10.5703125" style="184" customWidth="1"/>
    <col min="3853" max="3854" width="9" style="184" customWidth="1"/>
    <col min="3855" max="3855" width="10.5703125" style="184" customWidth="1"/>
    <col min="3856" max="3857" width="9.42578125" style="184" customWidth="1"/>
    <col min="3858" max="3858" width="10.5703125" style="184" customWidth="1"/>
    <col min="3859" max="3859" width="9.42578125" style="184" customWidth="1"/>
    <col min="3860" max="3860" width="9.85546875" style="184" customWidth="1"/>
    <col min="3861" max="3861" width="10.5703125" style="184" customWidth="1"/>
    <col min="3862" max="3862" width="9" style="184" customWidth="1"/>
    <col min="3863" max="3863" width="9.85546875" style="184" customWidth="1"/>
    <col min="3864" max="3864" width="12" style="184" customWidth="1"/>
    <col min="3865" max="4095" width="11.42578125" style="184"/>
    <col min="4096" max="4096" width="0.28515625" style="184" customWidth="1"/>
    <col min="4097" max="4097" width="19" style="184" customWidth="1"/>
    <col min="4098" max="4098" width="7.140625" style="184" customWidth="1"/>
    <col min="4099" max="4099" width="41.28515625" style="184" customWidth="1"/>
    <col min="4100" max="4101" width="9" style="184" customWidth="1"/>
    <col min="4102" max="4102" width="10.5703125" style="184" customWidth="1"/>
    <col min="4103" max="4103" width="9.42578125" style="184" customWidth="1"/>
    <col min="4104" max="4104" width="9.85546875" style="184" customWidth="1"/>
    <col min="4105" max="4105" width="10.5703125" style="184" customWidth="1"/>
    <col min="4106" max="4107" width="9.42578125" style="184" customWidth="1"/>
    <col min="4108" max="4108" width="10.5703125" style="184" customWidth="1"/>
    <col min="4109" max="4110" width="9" style="184" customWidth="1"/>
    <col min="4111" max="4111" width="10.5703125" style="184" customWidth="1"/>
    <col min="4112" max="4113" width="9.42578125" style="184" customWidth="1"/>
    <col min="4114" max="4114" width="10.5703125" style="184" customWidth="1"/>
    <col min="4115" max="4115" width="9.42578125" style="184" customWidth="1"/>
    <col min="4116" max="4116" width="9.85546875" style="184" customWidth="1"/>
    <col min="4117" max="4117" width="10.5703125" style="184" customWidth="1"/>
    <col min="4118" max="4118" width="9" style="184" customWidth="1"/>
    <col min="4119" max="4119" width="9.85546875" style="184" customWidth="1"/>
    <col min="4120" max="4120" width="12" style="184" customWidth="1"/>
    <col min="4121" max="4351" width="11.42578125" style="184"/>
    <col min="4352" max="4352" width="0.28515625" style="184" customWidth="1"/>
    <col min="4353" max="4353" width="19" style="184" customWidth="1"/>
    <col min="4354" max="4354" width="7.140625" style="184" customWidth="1"/>
    <col min="4355" max="4355" width="41.28515625" style="184" customWidth="1"/>
    <col min="4356" max="4357" width="9" style="184" customWidth="1"/>
    <col min="4358" max="4358" width="10.5703125" style="184" customWidth="1"/>
    <col min="4359" max="4359" width="9.42578125" style="184" customWidth="1"/>
    <col min="4360" max="4360" width="9.85546875" style="184" customWidth="1"/>
    <col min="4361" max="4361" width="10.5703125" style="184" customWidth="1"/>
    <col min="4362" max="4363" width="9.42578125" style="184" customWidth="1"/>
    <col min="4364" max="4364" width="10.5703125" style="184" customWidth="1"/>
    <col min="4365" max="4366" width="9" style="184" customWidth="1"/>
    <col min="4367" max="4367" width="10.5703125" style="184" customWidth="1"/>
    <col min="4368" max="4369" width="9.42578125" style="184" customWidth="1"/>
    <col min="4370" max="4370" width="10.5703125" style="184" customWidth="1"/>
    <col min="4371" max="4371" width="9.42578125" style="184" customWidth="1"/>
    <col min="4372" max="4372" width="9.85546875" style="184" customWidth="1"/>
    <col min="4373" max="4373" width="10.5703125" style="184" customWidth="1"/>
    <col min="4374" max="4374" width="9" style="184" customWidth="1"/>
    <col min="4375" max="4375" width="9.85546875" style="184" customWidth="1"/>
    <col min="4376" max="4376" width="12" style="184" customWidth="1"/>
    <col min="4377" max="4607" width="11.42578125" style="184"/>
    <col min="4608" max="4608" width="0.28515625" style="184" customWidth="1"/>
    <col min="4609" max="4609" width="19" style="184" customWidth="1"/>
    <col min="4610" max="4610" width="7.140625" style="184" customWidth="1"/>
    <col min="4611" max="4611" width="41.28515625" style="184" customWidth="1"/>
    <col min="4612" max="4613" width="9" style="184" customWidth="1"/>
    <col min="4614" max="4614" width="10.5703125" style="184" customWidth="1"/>
    <col min="4615" max="4615" width="9.42578125" style="184" customWidth="1"/>
    <col min="4616" max="4616" width="9.85546875" style="184" customWidth="1"/>
    <col min="4617" max="4617" width="10.5703125" style="184" customWidth="1"/>
    <col min="4618" max="4619" width="9.42578125" style="184" customWidth="1"/>
    <col min="4620" max="4620" width="10.5703125" style="184" customWidth="1"/>
    <col min="4621" max="4622" width="9" style="184" customWidth="1"/>
    <col min="4623" max="4623" width="10.5703125" style="184" customWidth="1"/>
    <col min="4624" max="4625" width="9.42578125" style="184" customWidth="1"/>
    <col min="4626" max="4626" width="10.5703125" style="184" customWidth="1"/>
    <col min="4627" max="4627" width="9.42578125" style="184" customWidth="1"/>
    <col min="4628" max="4628" width="9.85546875" style="184" customWidth="1"/>
    <col min="4629" max="4629" width="10.5703125" style="184" customWidth="1"/>
    <col min="4630" max="4630" width="9" style="184" customWidth="1"/>
    <col min="4631" max="4631" width="9.85546875" style="184" customWidth="1"/>
    <col min="4632" max="4632" width="12" style="184" customWidth="1"/>
    <col min="4633" max="4863" width="11.42578125" style="184"/>
    <col min="4864" max="4864" width="0.28515625" style="184" customWidth="1"/>
    <col min="4865" max="4865" width="19" style="184" customWidth="1"/>
    <col min="4866" max="4866" width="7.140625" style="184" customWidth="1"/>
    <col min="4867" max="4867" width="41.28515625" style="184" customWidth="1"/>
    <col min="4868" max="4869" width="9" style="184" customWidth="1"/>
    <col min="4870" max="4870" width="10.5703125" style="184" customWidth="1"/>
    <col min="4871" max="4871" width="9.42578125" style="184" customWidth="1"/>
    <col min="4872" max="4872" width="9.85546875" style="184" customWidth="1"/>
    <col min="4873" max="4873" width="10.5703125" style="184" customWidth="1"/>
    <col min="4874" max="4875" width="9.42578125" style="184" customWidth="1"/>
    <col min="4876" max="4876" width="10.5703125" style="184" customWidth="1"/>
    <col min="4877" max="4878" width="9" style="184" customWidth="1"/>
    <col min="4879" max="4879" width="10.5703125" style="184" customWidth="1"/>
    <col min="4880" max="4881" width="9.42578125" style="184" customWidth="1"/>
    <col min="4882" max="4882" width="10.5703125" style="184" customWidth="1"/>
    <col min="4883" max="4883" width="9.42578125" style="184" customWidth="1"/>
    <col min="4884" max="4884" width="9.85546875" style="184" customWidth="1"/>
    <col min="4885" max="4885" width="10.5703125" style="184" customWidth="1"/>
    <col min="4886" max="4886" width="9" style="184" customWidth="1"/>
    <col min="4887" max="4887" width="9.85546875" style="184" customWidth="1"/>
    <col min="4888" max="4888" width="12" style="184" customWidth="1"/>
    <col min="4889" max="5119" width="11.42578125" style="184"/>
    <col min="5120" max="5120" width="0.28515625" style="184" customWidth="1"/>
    <col min="5121" max="5121" width="19" style="184" customWidth="1"/>
    <col min="5122" max="5122" width="7.140625" style="184" customWidth="1"/>
    <col min="5123" max="5123" width="41.28515625" style="184" customWidth="1"/>
    <col min="5124" max="5125" width="9" style="184" customWidth="1"/>
    <col min="5126" max="5126" width="10.5703125" style="184" customWidth="1"/>
    <col min="5127" max="5127" width="9.42578125" style="184" customWidth="1"/>
    <col min="5128" max="5128" width="9.85546875" style="184" customWidth="1"/>
    <col min="5129" max="5129" width="10.5703125" style="184" customWidth="1"/>
    <col min="5130" max="5131" width="9.42578125" style="184" customWidth="1"/>
    <col min="5132" max="5132" width="10.5703125" style="184" customWidth="1"/>
    <col min="5133" max="5134" width="9" style="184" customWidth="1"/>
    <col min="5135" max="5135" width="10.5703125" style="184" customWidth="1"/>
    <col min="5136" max="5137" width="9.42578125" style="184" customWidth="1"/>
    <col min="5138" max="5138" width="10.5703125" style="184" customWidth="1"/>
    <col min="5139" max="5139" width="9.42578125" style="184" customWidth="1"/>
    <col min="5140" max="5140" width="9.85546875" style="184" customWidth="1"/>
    <col min="5141" max="5141" width="10.5703125" style="184" customWidth="1"/>
    <col min="5142" max="5142" width="9" style="184" customWidth="1"/>
    <col min="5143" max="5143" width="9.85546875" style="184" customWidth="1"/>
    <col min="5144" max="5144" width="12" style="184" customWidth="1"/>
    <col min="5145" max="5375" width="11.42578125" style="184"/>
    <col min="5376" max="5376" width="0.28515625" style="184" customWidth="1"/>
    <col min="5377" max="5377" width="19" style="184" customWidth="1"/>
    <col min="5378" max="5378" width="7.140625" style="184" customWidth="1"/>
    <col min="5379" max="5379" width="41.28515625" style="184" customWidth="1"/>
    <col min="5380" max="5381" width="9" style="184" customWidth="1"/>
    <col min="5382" max="5382" width="10.5703125" style="184" customWidth="1"/>
    <col min="5383" max="5383" width="9.42578125" style="184" customWidth="1"/>
    <col min="5384" max="5384" width="9.85546875" style="184" customWidth="1"/>
    <col min="5385" max="5385" width="10.5703125" style="184" customWidth="1"/>
    <col min="5386" max="5387" width="9.42578125" style="184" customWidth="1"/>
    <col min="5388" max="5388" width="10.5703125" style="184" customWidth="1"/>
    <col min="5389" max="5390" width="9" style="184" customWidth="1"/>
    <col min="5391" max="5391" width="10.5703125" style="184" customWidth="1"/>
    <col min="5392" max="5393" width="9.42578125" style="184" customWidth="1"/>
    <col min="5394" max="5394" width="10.5703125" style="184" customWidth="1"/>
    <col min="5395" max="5395" width="9.42578125" style="184" customWidth="1"/>
    <col min="5396" max="5396" width="9.85546875" style="184" customWidth="1"/>
    <col min="5397" max="5397" width="10.5703125" style="184" customWidth="1"/>
    <col min="5398" max="5398" width="9" style="184" customWidth="1"/>
    <col min="5399" max="5399" width="9.85546875" style="184" customWidth="1"/>
    <col min="5400" max="5400" width="12" style="184" customWidth="1"/>
    <col min="5401" max="5631" width="11.42578125" style="184"/>
    <col min="5632" max="5632" width="0.28515625" style="184" customWidth="1"/>
    <col min="5633" max="5633" width="19" style="184" customWidth="1"/>
    <col min="5634" max="5634" width="7.140625" style="184" customWidth="1"/>
    <col min="5635" max="5635" width="41.28515625" style="184" customWidth="1"/>
    <col min="5636" max="5637" width="9" style="184" customWidth="1"/>
    <col min="5638" max="5638" width="10.5703125" style="184" customWidth="1"/>
    <col min="5639" max="5639" width="9.42578125" style="184" customWidth="1"/>
    <col min="5640" max="5640" width="9.85546875" style="184" customWidth="1"/>
    <col min="5641" max="5641" width="10.5703125" style="184" customWidth="1"/>
    <col min="5642" max="5643" width="9.42578125" style="184" customWidth="1"/>
    <col min="5644" max="5644" width="10.5703125" style="184" customWidth="1"/>
    <col min="5645" max="5646" width="9" style="184" customWidth="1"/>
    <col min="5647" max="5647" width="10.5703125" style="184" customWidth="1"/>
    <col min="5648" max="5649" width="9.42578125" style="184" customWidth="1"/>
    <col min="5650" max="5650" width="10.5703125" style="184" customWidth="1"/>
    <col min="5651" max="5651" width="9.42578125" style="184" customWidth="1"/>
    <col min="5652" max="5652" width="9.85546875" style="184" customWidth="1"/>
    <col min="5653" max="5653" width="10.5703125" style="184" customWidth="1"/>
    <col min="5654" max="5654" width="9" style="184" customWidth="1"/>
    <col min="5655" max="5655" width="9.85546875" style="184" customWidth="1"/>
    <col min="5656" max="5656" width="12" style="184" customWidth="1"/>
    <col min="5657" max="5887" width="11.42578125" style="184"/>
    <col min="5888" max="5888" width="0.28515625" style="184" customWidth="1"/>
    <col min="5889" max="5889" width="19" style="184" customWidth="1"/>
    <col min="5890" max="5890" width="7.140625" style="184" customWidth="1"/>
    <col min="5891" max="5891" width="41.28515625" style="184" customWidth="1"/>
    <col min="5892" max="5893" width="9" style="184" customWidth="1"/>
    <col min="5894" max="5894" width="10.5703125" style="184" customWidth="1"/>
    <col min="5895" max="5895" width="9.42578125" style="184" customWidth="1"/>
    <col min="5896" max="5896" width="9.85546875" style="184" customWidth="1"/>
    <col min="5897" max="5897" width="10.5703125" style="184" customWidth="1"/>
    <col min="5898" max="5899" width="9.42578125" style="184" customWidth="1"/>
    <col min="5900" max="5900" width="10.5703125" style="184" customWidth="1"/>
    <col min="5901" max="5902" width="9" style="184" customWidth="1"/>
    <col min="5903" max="5903" width="10.5703125" style="184" customWidth="1"/>
    <col min="5904" max="5905" width="9.42578125" style="184" customWidth="1"/>
    <col min="5906" max="5906" width="10.5703125" style="184" customWidth="1"/>
    <col min="5907" max="5907" width="9.42578125" style="184" customWidth="1"/>
    <col min="5908" max="5908" width="9.85546875" style="184" customWidth="1"/>
    <col min="5909" max="5909" width="10.5703125" style="184" customWidth="1"/>
    <col min="5910" max="5910" width="9" style="184" customWidth="1"/>
    <col min="5911" max="5911" width="9.85546875" style="184" customWidth="1"/>
    <col min="5912" max="5912" width="12" style="184" customWidth="1"/>
    <col min="5913" max="6143" width="11.42578125" style="184"/>
    <col min="6144" max="6144" width="0.28515625" style="184" customWidth="1"/>
    <col min="6145" max="6145" width="19" style="184" customWidth="1"/>
    <col min="6146" max="6146" width="7.140625" style="184" customWidth="1"/>
    <col min="6147" max="6147" width="41.28515625" style="184" customWidth="1"/>
    <col min="6148" max="6149" width="9" style="184" customWidth="1"/>
    <col min="6150" max="6150" width="10.5703125" style="184" customWidth="1"/>
    <col min="6151" max="6151" width="9.42578125" style="184" customWidth="1"/>
    <col min="6152" max="6152" width="9.85546875" style="184" customWidth="1"/>
    <col min="6153" max="6153" width="10.5703125" style="184" customWidth="1"/>
    <col min="6154" max="6155" width="9.42578125" style="184" customWidth="1"/>
    <col min="6156" max="6156" width="10.5703125" style="184" customWidth="1"/>
    <col min="6157" max="6158" width="9" style="184" customWidth="1"/>
    <col min="6159" max="6159" width="10.5703125" style="184" customWidth="1"/>
    <col min="6160" max="6161" width="9.42578125" style="184" customWidth="1"/>
    <col min="6162" max="6162" width="10.5703125" style="184" customWidth="1"/>
    <col min="6163" max="6163" width="9.42578125" style="184" customWidth="1"/>
    <col min="6164" max="6164" width="9.85546875" style="184" customWidth="1"/>
    <col min="6165" max="6165" width="10.5703125" style="184" customWidth="1"/>
    <col min="6166" max="6166" width="9" style="184" customWidth="1"/>
    <col min="6167" max="6167" width="9.85546875" style="184" customWidth="1"/>
    <col min="6168" max="6168" width="12" style="184" customWidth="1"/>
    <col min="6169" max="6399" width="11.42578125" style="184"/>
    <col min="6400" max="6400" width="0.28515625" style="184" customWidth="1"/>
    <col min="6401" max="6401" width="19" style="184" customWidth="1"/>
    <col min="6402" max="6402" width="7.140625" style="184" customWidth="1"/>
    <col min="6403" max="6403" width="41.28515625" style="184" customWidth="1"/>
    <col min="6404" max="6405" width="9" style="184" customWidth="1"/>
    <col min="6406" max="6406" width="10.5703125" style="184" customWidth="1"/>
    <col min="6407" max="6407" width="9.42578125" style="184" customWidth="1"/>
    <col min="6408" max="6408" width="9.85546875" style="184" customWidth="1"/>
    <col min="6409" max="6409" width="10.5703125" style="184" customWidth="1"/>
    <col min="6410" max="6411" width="9.42578125" style="184" customWidth="1"/>
    <col min="6412" max="6412" width="10.5703125" style="184" customWidth="1"/>
    <col min="6413" max="6414" width="9" style="184" customWidth="1"/>
    <col min="6415" max="6415" width="10.5703125" style="184" customWidth="1"/>
    <col min="6416" max="6417" width="9.42578125" style="184" customWidth="1"/>
    <col min="6418" max="6418" width="10.5703125" style="184" customWidth="1"/>
    <col min="6419" max="6419" width="9.42578125" style="184" customWidth="1"/>
    <col min="6420" max="6420" width="9.85546875" style="184" customWidth="1"/>
    <col min="6421" max="6421" width="10.5703125" style="184" customWidth="1"/>
    <col min="6422" max="6422" width="9" style="184" customWidth="1"/>
    <col min="6423" max="6423" width="9.85546875" style="184" customWidth="1"/>
    <col min="6424" max="6424" width="12" style="184" customWidth="1"/>
    <col min="6425" max="6655" width="11.42578125" style="184"/>
    <col min="6656" max="6656" width="0.28515625" style="184" customWidth="1"/>
    <col min="6657" max="6657" width="19" style="184" customWidth="1"/>
    <col min="6658" max="6658" width="7.140625" style="184" customWidth="1"/>
    <col min="6659" max="6659" width="41.28515625" style="184" customWidth="1"/>
    <col min="6660" max="6661" width="9" style="184" customWidth="1"/>
    <col min="6662" max="6662" width="10.5703125" style="184" customWidth="1"/>
    <col min="6663" max="6663" width="9.42578125" style="184" customWidth="1"/>
    <col min="6664" max="6664" width="9.85546875" style="184" customWidth="1"/>
    <col min="6665" max="6665" width="10.5703125" style="184" customWidth="1"/>
    <col min="6666" max="6667" width="9.42578125" style="184" customWidth="1"/>
    <col min="6668" max="6668" width="10.5703125" style="184" customWidth="1"/>
    <col min="6669" max="6670" width="9" style="184" customWidth="1"/>
    <col min="6671" max="6671" width="10.5703125" style="184" customWidth="1"/>
    <col min="6672" max="6673" width="9.42578125" style="184" customWidth="1"/>
    <col min="6674" max="6674" width="10.5703125" style="184" customWidth="1"/>
    <col min="6675" max="6675" width="9.42578125" style="184" customWidth="1"/>
    <col min="6676" max="6676" width="9.85546875" style="184" customWidth="1"/>
    <col min="6677" max="6677" width="10.5703125" style="184" customWidth="1"/>
    <col min="6678" max="6678" width="9" style="184" customWidth="1"/>
    <col min="6679" max="6679" width="9.85546875" style="184" customWidth="1"/>
    <col min="6680" max="6680" width="12" style="184" customWidth="1"/>
    <col min="6681" max="6911" width="11.42578125" style="184"/>
    <col min="6912" max="6912" width="0.28515625" style="184" customWidth="1"/>
    <col min="6913" max="6913" width="19" style="184" customWidth="1"/>
    <col min="6914" max="6914" width="7.140625" style="184" customWidth="1"/>
    <col min="6915" max="6915" width="41.28515625" style="184" customWidth="1"/>
    <col min="6916" max="6917" width="9" style="184" customWidth="1"/>
    <col min="6918" max="6918" width="10.5703125" style="184" customWidth="1"/>
    <col min="6919" max="6919" width="9.42578125" style="184" customWidth="1"/>
    <col min="6920" max="6920" width="9.85546875" style="184" customWidth="1"/>
    <col min="6921" max="6921" width="10.5703125" style="184" customWidth="1"/>
    <col min="6922" max="6923" width="9.42578125" style="184" customWidth="1"/>
    <col min="6924" max="6924" width="10.5703125" style="184" customWidth="1"/>
    <col min="6925" max="6926" width="9" style="184" customWidth="1"/>
    <col min="6927" max="6927" width="10.5703125" style="184" customWidth="1"/>
    <col min="6928" max="6929" width="9.42578125" style="184" customWidth="1"/>
    <col min="6930" max="6930" width="10.5703125" style="184" customWidth="1"/>
    <col min="6931" max="6931" width="9.42578125" style="184" customWidth="1"/>
    <col min="6932" max="6932" width="9.85546875" style="184" customWidth="1"/>
    <col min="6933" max="6933" width="10.5703125" style="184" customWidth="1"/>
    <col min="6934" max="6934" width="9" style="184" customWidth="1"/>
    <col min="6935" max="6935" width="9.85546875" style="184" customWidth="1"/>
    <col min="6936" max="6936" width="12" style="184" customWidth="1"/>
    <col min="6937" max="7167" width="11.42578125" style="184"/>
    <col min="7168" max="7168" width="0.28515625" style="184" customWidth="1"/>
    <col min="7169" max="7169" width="19" style="184" customWidth="1"/>
    <col min="7170" max="7170" width="7.140625" style="184" customWidth="1"/>
    <col min="7171" max="7171" width="41.28515625" style="184" customWidth="1"/>
    <col min="7172" max="7173" width="9" style="184" customWidth="1"/>
    <col min="7174" max="7174" width="10.5703125" style="184" customWidth="1"/>
    <col min="7175" max="7175" width="9.42578125" style="184" customWidth="1"/>
    <col min="7176" max="7176" width="9.85546875" style="184" customWidth="1"/>
    <col min="7177" max="7177" width="10.5703125" style="184" customWidth="1"/>
    <col min="7178" max="7179" width="9.42578125" style="184" customWidth="1"/>
    <col min="7180" max="7180" width="10.5703125" style="184" customWidth="1"/>
    <col min="7181" max="7182" width="9" style="184" customWidth="1"/>
    <col min="7183" max="7183" width="10.5703125" style="184" customWidth="1"/>
    <col min="7184" max="7185" width="9.42578125" style="184" customWidth="1"/>
    <col min="7186" max="7186" width="10.5703125" style="184" customWidth="1"/>
    <col min="7187" max="7187" width="9.42578125" style="184" customWidth="1"/>
    <col min="7188" max="7188" width="9.85546875" style="184" customWidth="1"/>
    <col min="7189" max="7189" width="10.5703125" style="184" customWidth="1"/>
    <col min="7190" max="7190" width="9" style="184" customWidth="1"/>
    <col min="7191" max="7191" width="9.85546875" style="184" customWidth="1"/>
    <col min="7192" max="7192" width="12" style="184" customWidth="1"/>
    <col min="7193" max="7423" width="11.42578125" style="184"/>
    <col min="7424" max="7424" width="0.28515625" style="184" customWidth="1"/>
    <col min="7425" max="7425" width="19" style="184" customWidth="1"/>
    <col min="7426" max="7426" width="7.140625" style="184" customWidth="1"/>
    <col min="7427" max="7427" width="41.28515625" style="184" customWidth="1"/>
    <col min="7428" max="7429" width="9" style="184" customWidth="1"/>
    <col min="7430" max="7430" width="10.5703125" style="184" customWidth="1"/>
    <col min="7431" max="7431" width="9.42578125" style="184" customWidth="1"/>
    <col min="7432" max="7432" width="9.85546875" style="184" customWidth="1"/>
    <col min="7433" max="7433" width="10.5703125" style="184" customWidth="1"/>
    <col min="7434" max="7435" width="9.42578125" style="184" customWidth="1"/>
    <col min="7436" max="7436" width="10.5703125" style="184" customWidth="1"/>
    <col min="7437" max="7438" width="9" style="184" customWidth="1"/>
    <col min="7439" max="7439" width="10.5703125" style="184" customWidth="1"/>
    <col min="7440" max="7441" width="9.42578125" style="184" customWidth="1"/>
    <col min="7442" max="7442" width="10.5703125" style="184" customWidth="1"/>
    <col min="7443" max="7443" width="9.42578125" style="184" customWidth="1"/>
    <col min="7444" max="7444" width="9.85546875" style="184" customWidth="1"/>
    <col min="7445" max="7445" width="10.5703125" style="184" customWidth="1"/>
    <col min="7446" max="7446" width="9" style="184" customWidth="1"/>
    <col min="7447" max="7447" width="9.85546875" style="184" customWidth="1"/>
    <col min="7448" max="7448" width="12" style="184" customWidth="1"/>
    <col min="7449" max="7679" width="11.42578125" style="184"/>
    <col min="7680" max="7680" width="0.28515625" style="184" customWidth="1"/>
    <col min="7681" max="7681" width="19" style="184" customWidth="1"/>
    <col min="7682" max="7682" width="7.140625" style="184" customWidth="1"/>
    <col min="7683" max="7683" width="41.28515625" style="184" customWidth="1"/>
    <col min="7684" max="7685" width="9" style="184" customWidth="1"/>
    <col min="7686" max="7686" width="10.5703125" style="184" customWidth="1"/>
    <col min="7687" max="7687" width="9.42578125" style="184" customWidth="1"/>
    <col min="7688" max="7688" width="9.85546875" style="184" customWidth="1"/>
    <col min="7689" max="7689" width="10.5703125" style="184" customWidth="1"/>
    <col min="7690" max="7691" width="9.42578125" style="184" customWidth="1"/>
    <col min="7692" max="7692" width="10.5703125" style="184" customWidth="1"/>
    <col min="7693" max="7694" width="9" style="184" customWidth="1"/>
    <col min="7695" max="7695" width="10.5703125" style="184" customWidth="1"/>
    <col min="7696" max="7697" width="9.42578125" style="184" customWidth="1"/>
    <col min="7698" max="7698" width="10.5703125" style="184" customWidth="1"/>
    <col min="7699" max="7699" width="9.42578125" style="184" customWidth="1"/>
    <col min="7700" max="7700" width="9.85546875" style="184" customWidth="1"/>
    <col min="7701" max="7701" width="10.5703125" style="184" customWidth="1"/>
    <col min="7702" max="7702" width="9" style="184" customWidth="1"/>
    <col min="7703" max="7703" width="9.85546875" style="184" customWidth="1"/>
    <col min="7704" max="7704" width="12" style="184" customWidth="1"/>
    <col min="7705" max="7935" width="11.42578125" style="184"/>
    <col min="7936" max="7936" width="0.28515625" style="184" customWidth="1"/>
    <col min="7937" max="7937" width="19" style="184" customWidth="1"/>
    <col min="7938" max="7938" width="7.140625" style="184" customWidth="1"/>
    <col min="7939" max="7939" width="41.28515625" style="184" customWidth="1"/>
    <col min="7940" max="7941" width="9" style="184" customWidth="1"/>
    <col min="7942" max="7942" width="10.5703125" style="184" customWidth="1"/>
    <col min="7943" max="7943" width="9.42578125" style="184" customWidth="1"/>
    <col min="7944" max="7944" width="9.85546875" style="184" customWidth="1"/>
    <col min="7945" max="7945" width="10.5703125" style="184" customWidth="1"/>
    <col min="7946" max="7947" width="9.42578125" style="184" customWidth="1"/>
    <col min="7948" max="7948" width="10.5703125" style="184" customWidth="1"/>
    <col min="7949" max="7950" width="9" style="184" customWidth="1"/>
    <col min="7951" max="7951" width="10.5703125" style="184" customWidth="1"/>
    <col min="7952" max="7953" width="9.42578125" style="184" customWidth="1"/>
    <col min="7954" max="7954" width="10.5703125" style="184" customWidth="1"/>
    <col min="7955" max="7955" width="9.42578125" style="184" customWidth="1"/>
    <col min="7956" max="7956" width="9.85546875" style="184" customWidth="1"/>
    <col min="7957" max="7957" width="10.5703125" style="184" customWidth="1"/>
    <col min="7958" max="7958" width="9" style="184" customWidth="1"/>
    <col min="7959" max="7959" width="9.85546875" style="184" customWidth="1"/>
    <col min="7960" max="7960" width="12" style="184" customWidth="1"/>
    <col min="7961" max="8191" width="11.42578125" style="184"/>
    <col min="8192" max="8192" width="0.28515625" style="184" customWidth="1"/>
    <col min="8193" max="8193" width="19" style="184" customWidth="1"/>
    <col min="8194" max="8194" width="7.140625" style="184" customWidth="1"/>
    <col min="8195" max="8195" width="41.28515625" style="184" customWidth="1"/>
    <col min="8196" max="8197" width="9" style="184" customWidth="1"/>
    <col min="8198" max="8198" width="10.5703125" style="184" customWidth="1"/>
    <col min="8199" max="8199" width="9.42578125" style="184" customWidth="1"/>
    <col min="8200" max="8200" width="9.85546875" style="184" customWidth="1"/>
    <col min="8201" max="8201" width="10.5703125" style="184" customWidth="1"/>
    <col min="8202" max="8203" width="9.42578125" style="184" customWidth="1"/>
    <col min="8204" max="8204" width="10.5703125" style="184" customWidth="1"/>
    <col min="8205" max="8206" width="9" style="184" customWidth="1"/>
    <col min="8207" max="8207" width="10.5703125" style="184" customWidth="1"/>
    <col min="8208" max="8209" width="9.42578125" style="184" customWidth="1"/>
    <col min="8210" max="8210" width="10.5703125" style="184" customWidth="1"/>
    <col min="8211" max="8211" width="9.42578125" style="184" customWidth="1"/>
    <col min="8212" max="8212" width="9.85546875" style="184" customWidth="1"/>
    <col min="8213" max="8213" width="10.5703125" style="184" customWidth="1"/>
    <col min="8214" max="8214" width="9" style="184" customWidth="1"/>
    <col min="8215" max="8215" width="9.85546875" style="184" customWidth="1"/>
    <col min="8216" max="8216" width="12" style="184" customWidth="1"/>
    <col min="8217" max="8447" width="11.42578125" style="184"/>
    <col min="8448" max="8448" width="0.28515625" style="184" customWidth="1"/>
    <col min="8449" max="8449" width="19" style="184" customWidth="1"/>
    <col min="8450" max="8450" width="7.140625" style="184" customWidth="1"/>
    <col min="8451" max="8451" width="41.28515625" style="184" customWidth="1"/>
    <col min="8452" max="8453" width="9" style="184" customWidth="1"/>
    <col min="8454" max="8454" width="10.5703125" style="184" customWidth="1"/>
    <col min="8455" max="8455" width="9.42578125" style="184" customWidth="1"/>
    <col min="8456" max="8456" width="9.85546875" style="184" customWidth="1"/>
    <col min="8457" max="8457" width="10.5703125" style="184" customWidth="1"/>
    <col min="8458" max="8459" width="9.42578125" style="184" customWidth="1"/>
    <col min="8460" max="8460" width="10.5703125" style="184" customWidth="1"/>
    <col min="8461" max="8462" width="9" style="184" customWidth="1"/>
    <col min="8463" max="8463" width="10.5703125" style="184" customWidth="1"/>
    <col min="8464" max="8465" width="9.42578125" style="184" customWidth="1"/>
    <col min="8466" max="8466" width="10.5703125" style="184" customWidth="1"/>
    <col min="8467" max="8467" width="9.42578125" style="184" customWidth="1"/>
    <col min="8468" max="8468" width="9.85546875" style="184" customWidth="1"/>
    <col min="8469" max="8469" width="10.5703125" style="184" customWidth="1"/>
    <col min="8470" max="8470" width="9" style="184" customWidth="1"/>
    <col min="8471" max="8471" width="9.85546875" style="184" customWidth="1"/>
    <col min="8472" max="8472" width="12" style="184" customWidth="1"/>
    <col min="8473" max="8703" width="11.42578125" style="184"/>
    <col min="8704" max="8704" width="0.28515625" style="184" customWidth="1"/>
    <col min="8705" max="8705" width="19" style="184" customWidth="1"/>
    <col min="8706" max="8706" width="7.140625" style="184" customWidth="1"/>
    <col min="8707" max="8707" width="41.28515625" style="184" customWidth="1"/>
    <col min="8708" max="8709" width="9" style="184" customWidth="1"/>
    <col min="8710" max="8710" width="10.5703125" style="184" customWidth="1"/>
    <col min="8711" max="8711" width="9.42578125" style="184" customWidth="1"/>
    <col min="8712" max="8712" width="9.85546875" style="184" customWidth="1"/>
    <col min="8713" max="8713" width="10.5703125" style="184" customWidth="1"/>
    <col min="8714" max="8715" width="9.42578125" style="184" customWidth="1"/>
    <col min="8716" max="8716" width="10.5703125" style="184" customWidth="1"/>
    <col min="8717" max="8718" width="9" style="184" customWidth="1"/>
    <col min="8719" max="8719" width="10.5703125" style="184" customWidth="1"/>
    <col min="8720" max="8721" width="9.42578125" style="184" customWidth="1"/>
    <col min="8722" max="8722" width="10.5703125" style="184" customWidth="1"/>
    <col min="8723" max="8723" width="9.42578125" style="184" customWidth="1"/>
    <col min="8724" max="8724" width="9.85546875" style="184" customWidth="1"/>
    <col min="8725" max="8725" width="10.5703125" style="184" customWidth="1"/>
    <col min="8726" max="8726" width="9" style="184" customWidth="1"/>
    <col min="8727" max="8727" width="9.85546875" style="184" customWidth="1"/>
    <col min="8728" max="8728" width="12" style="184" customWidth="1"/>
    <col min="8729" max="8959" width="11.42578125" style="184"/>
    <col min="8960" max="8960" width="0.28515625" style="184" customWidth="1"/>
    <col min="8961" max="8961" width="19" style="184" customWidth="1"/>
    <col min="8962" max="8962" width="7.140625" style="184" customWidth="1"/>
    <col min="8963" max="8963" width="41.28515625" style="184" customWidth="1"/>
    <col min="8964" max="8965" width="9" style="184" customWidth="1"/>
    <col min="8966" max="8966" width="10.5703125" style="184" customWidth="1"/>
    <col min="8967" max="8967" width="9.42578125" style="184" customWidth="1"/>
    <col min="8968" max="8968" width="9.85546875" style="184" customWidth="1"/>
    <col min="8969" max="8969" width="10.5703125" style="184" customWidth="1"/>
    <col min="8970" max="8971" width="9.42578125" style="184" customWidth="1"/>
    <col min="8972" max="8972" width="10.5703125" style="184" customWidth="1"/>
    <col min="8973" max="8974" width="9" style="184" customWidth="1"/>
    <col min="8975" max="8975" width="10.5703125" style="184" customWidth="1"/>
    <col min="8976" max="8977" width="9.42578125" style="184" customWidth="1"/>
    <col min="8978" max="8978" width="10.5703125" style="184" customWidth="1"/>
    <col min="8979" max="8979" width="9.42578125" style="184" customWidth="1"/>
    <col min="8980" max="8980" width="9.85546875" style="184" customWidth="1"/>
    <col min="8981" max="8981" width="10.5703125" style="184" customWidth="1"/>
    <col min="8982" max="8982" width="9" style="184" customWidth="1"/>
    <col min="8983" max="8983" width="9.85546875" style="184" customWidth="1"/>
    <col min="8984" max="8984" width="12" style="184" customWidth="1"/>
    <col min="8985" max="9215" width="11.42578125" style="184"/>
    <col min="9216" max="9216" width="0.28515625" style="184" customWidth="1"/>
    <col min="9217" max="9217" width="19" style="184" customWidth="1"/>
    <col min="9218" max="9218" width="7.140625" style="184" customWidth="1"/>
    <col min="9219" max="9219" width="41.28515625" style="184" customWidth="1"/>
    <col min="9220" max="9221" width="9" style="184" customWidth="1"/>
    <col min="9222" max="9222" width="10.5703125" style="184" customWidth="1"/>
    <col min="9223" max="9223" width="9.42578125" style="184" customWidth="1"/>
    <col min="9224" max="9224" width="9.85546875" style="184" customWidth="1"/>
    <col min="9225" max="9225" width="10.5703125" style="184" customWidth="1"/>
    <col min="9226" max="9227" width="9.42578125" style="184" customWidth="1"/>
    <col min="9228" max="9228" width="10.5703125" style="184" customWidth="1"/>
    <col min="9229" max="9230" width="9" style="184" customWidth="1"/>
    <col min="9231" max="9231" width="10.5703125" style="184" customWidth="1"/>
    <col min="9232" max="9233" width="9.42578125" style="184" customWidth="1"/>
    <col min="9234" max="9234" width="10.5703125" style="184" customWidth="1"/>
    <col min="9235" max="9235" width="9.42578125" style="184" customWidth="1"/>
    <col min="9236" max="9236" width="9.85546875" style="184" customWidth="1"/>
    <col min="9237" max="9237" width="10.5703125" style="184" customWidth="1"/>
    <col min="9238" max="9238" width="9" style="184" customWidth="1"/>
    <col min="9239" max="9239" width="9.85546875" style="184" customWidth="1"/>
    <col min="9240" max="9240" width="12" style="184" customWidth="1"/>
    <col min="9241" max="9471" width="11.42578125" style="184"/>
    <col min="9472" max="9472" width="0.28515625" style="184" customWidth="1"/>
    <col min="9473" max="9473" width="19" style="184" customWidth="1"/>
    <col min="9474" max="9474" width="7.140625" style="184" customWidth="1"/>
    <col min="9475" max="9475" width="41.28515625" style="184" customWidth="1"/>
    <col min="9476" max="9477" width="9" style="184" customWidth="1"/>
    <col min="9478" max="9478" width="10.5703125" style="184" customWidth="1"/>
    <col min="9479" max="9479" width="9.42578125" style="184" customWidth="1"/>
    <col min="9480" max="9480" width="9.85546875" style="184" customWidth="1"/>
    <col min="9481" max="9481" width="10.5703125" style="184" customWidth="1"/>
    <col min="9482" max="9483" width="9.42578125" style="184" customWidth="1"/>
    <col min="9484" max="9484" width="10.5703125" style="184" customWidth="1"/>
    <col min="9485" max="9486" width="9" style="184" customWidth="1"/>
    <col min="9487" max="9487" width="10.5703125" style="184" customWidth="1"/>
    <col min="9488" max="9489" width="9.42578125" style="184" customWidth="1"/>
    <col min="9490" max="9490" width="10.5703125" style="184" customWidth="1"/>
    <col min="9491" max="9491" width="9.42578125" style="184" customWidth="1"/>
    <col min="9492" max="9492" width="9.85546875" style="184" customWidth="1"/>
    <col min="9493" max="9493" width="10.5703125" style="184" customWidth="1"/>
    <col min="9494" max="9494" width="9" style="184" customWidth="1"/>
    <col min="9495" max="9495" width="9.85546875" style="184" customWidth="1"/>
    <col min="9496" max="9496" width="12" style="184" customWidth="1"/>
    <col min="9497" max="9727" width="11.42578125" style="184"/>
    <col min="9728" max="9728" width="0.28515625" style="184" customWidth="1"/>
    <col min="9729" max="9729" width="19" style="184" customWidth="1"/>
    <col min="9730" max="9730" width="7.140625" style="184" customWidth="1"/>
    <col min="9731" max="9731" width="41.28515625" style="184" customWidth="1"/>
    <col min="9732" max="9733" width="9" style="184" customWidth="1"/>
    <col min="9734" max="9734" width="10.5703125" style="184" customWidth="1"/>
    <col min="9735" max="9735" width="9.42578125" style="184" customWidth="1"/>
    <col min="9736" max="9736" width="9.85546875" style="184" customWidth="1"/>
    <col min="9737" max="9737" width="10.5703125" style="184" customWidth="1"/>
    <col min="9738" max="9739" width="9.42578125" style="184" customWidth="1"/>
    <col min="9740" max="9740" width="10.5703125" style="184" customWidth="1"/>
    <col min="9741" max="9742" width="9" style="184" customWidth="1"/>
    <col min="9743" max="9743" width="10.5703125" style="184" customWidth="1"/>
    <col min="9744" max="9745" width="9.42578125" style="184" customWidth="1"/>
    <col min="9746" max="9746" width="10.5703125" style="184" customWidth="1"/>
    <col min="9747" max="9747" width="9.42578125" style="184" customWidth="1"/>
    <col min="9748" max="9748" width="9.85546875" style="184" customWidth="1"/>
    <col min="9749" max="9749" width="10.5703125" style="184" customWidth="1"/>
    <col min="9750" max="9750" width="9" style="184" customWidth="1"/>
    <col min="9751" max="9751" width="9.85546875" style="184" customWidth="1"/>
    <col min="9752" max="9752" width="12" style="184" customWidth="1"/>
    <col min="9753" max="9983" width="11.42578125" style="184"/>
    <col min="9984" max="9984" width="0.28515625" style="184" customWidth="1"/>
    <col min="9985" max="9985" width="19" style="184" customWidth="1"/>
    <col min="9986" max="9986" width="7.140625" style="184" customWidth="1"/>
    <col min="9987" max="9987" width="41.28515625" style="184" customWidth="1"/>
    <col min="9988" max="9989" width="9" style="184" customWidth="1"/>
    <col min="9990" max="9990" width="10.5703125" style="184" customWidth="1"/>
    <col min="9991" max="9991" width="9.42578125" style="184" customWidth="1"/>
    <col min="9992" max="9992" width="9.85546875" style="184" customWidth="1"/>
    <col min="9993" max="9993" width="10.5703125" style="184" customWidth="1"/>
    <col min="9994" max="9995" width="9.42578125" style="184" customWidth="1"/>
    <col min="9996" max="9996" width="10.5703125" style="184" customWidth="1"/>
    <col min="9997" max="9998" width="9" style="184" customWidth="1"/>
    <col min="9999" max="9999" width="10.5703125" style="184" customWidth="1"/>
    <col min="10000" max="10001" width="9.42578125" style="184" customWidth="1"/>
    <col min="10002" max="10002" width="10.5703125" style="184" customWidth="1"/>
    <col min="10003" max="10003" width="9.42578125" style="184" customWidth="1"/>
    <col min="10004" max="10004" width="9.85546875" style="184" customWidth="1"/>
    <col min="10005" max="10005" width="10.5703125" style="184" customWidth="1"/>
    <col min="10006" max="10006" width="9" style="184" customWidth="1"/>
    <col min="10007" max="10007" width="9.85546875" style="184" customWidth="1"/>
    <col min="10008" max="10008" width="12" style="184" customWidth="1"/>
    <col min="10009" max="10239" width="11.42578125" style="184"/>
    <col min="10240" max="10240" width="0.28515625" style="184" customWidth="1"/>
    <col min="10241" max="10241" width="19" style="184" customWidth="1"/>
    <col min="10242" max="10242" width="7.140625" style="184" customWidth="1"/>
    <col min="10243" max="10243" width="41.28515625" style="184" customWidth="1"/>
    <col min="10244" max="10245" width="9" style="184" customWidth="1"/>
    <col min="10246" max="10246" width="10.5703125" style="184" customWidth="1"/>
    <col min="10247" max="10247" width="9.42578125" style="184" customWidth="1"/>
    <col min="10248" max="10248" width="9.85546875" style="184" customWidth="1"/>
    <col min="10249" max="10249" width="10.5703125" style="184" customWidth="1"/>
    <col min="10250" max="10251" width="9.42578125" style="184" customWidth="1"/>
    <col min="10252" max="10252" width="10.5703125" style="184" customWidth="1"/>
    <col min="10253" max="10254" width="9" style="184" customWidth="1"/>
    <col min="10255" max="10255" width="10.5703125" style="184" customWidth="1"/>
    <col min="10256" max="10257" width="9.42578125" style="184" customWidth="1"/>
    <col min="10258" max="10258" width="10.5703125" style="184" customWidth="1"/>
    <col min="10259" max="10259" width="9.42578125" style="184" customWidth="1"/>
    <col min="10260" max="10260" width="9.85546875" style="184" customWidth="1"/>
    <col min="10261" max="10261" width="10.5703125" style="184" customWidth="1"/>
    <col min="10262" max="10262" width="9" style="184" customWidth="1"/>
    <col min="10263" max="10263" width="9.85546875" style="184" customWidth="1"/>
    <col min="10264" max="10264" width="12" style="184" customWidth="1"/>
    <col min="10265" max="10495" width="11.42578125" style="184"/>
    <col min="10496" max="10496" width="0.28515625" style="184" customWidth="1"/>
    <col min="10497" max="10497" width="19" style="184" customWidth="1"/>
    <col min="10498" max="10498" width="7.140625" style="184" customWidth="1"/>
    <col min="10499" max="10499" width="41.28515625" style="184" customWidth="1"/>
    <col min="10500" max="10501" width="9" style="184" customWidth="1"/>
    <col min="10502" max="10502" width="10.5703125" style="184" customWidth="1"/>
    <col min="10503" max="10503" width="9.42578125" style="184" customWidth="1"/>
    <col min="10504" max="10504" width="9.85546875" style="184" customWidth="1"/>
    <col min="10505" max="10505" width="10.5703125" style="184" customWidth="1"/>
    <col min="10506" max="10507" width="9.42578125" style="184" customWidth="1"/>
    <col min="10508" max="10508" width="10.5703125" style="184" customWidth="1"/>
    <col min="10509" max="10510" width="9" style="184" customWidth="1"/>
    <col min="10511" max="10511" width="10.5703125" style="184" customWidth="1"/>
    <col min="10512" max="10513" width="9.42578125" style="184" customWidth="1"/>
    <col min="10514" max="10514" width="10.5703125" style="184" customWidth="1"/>
    <col min="10515" max="10515" width="9.42578125" style="184" customWidth="1"/>
    <col min="10516" max="10516" width="9.85546875" style="184" customWidth="1"/>
    <col min="10517" max="10517" width="10.5703125" style="184" customWidth="1"/>
    <col min="10518" max="10518" width="9" style="184" customWidth="1"/>
    <col min="10519" max="10519" width="9.85546875" style="184" customWidth="1"/>
    <col min="10520" max="10520" width="12" style="184" customWidth="1"/>
    <col min="10521" max="10751" width="11.42578125" style="184"/>
    <col min="10752" max="10752" width="0.28515625" style="184" customWidth="1"/>
    <col min="10753" max="10753" width="19" style="184" customWidth="1"/>
    <col min="10754" max="10754" width="7.140625" style="184" customWidth="1"/>
    <col min="10755" max="10755" width="41.28515625" style="184" customWidth="1"/>
    <col min="10756" max="10757" width="9" style="184" customWidth="1"/>
    <col min="10758" max="10758" width="10.5703125" style="184" customWidth="1"/>
    <col min="10759" max="10759" width="9.42578125" style="184" customWidth="1"/>
    <col min="10760" max="10760" width="9.85546875" style="184" customWidth="1"/>
    <col min="10761" max="10761" width="10.5703125" style="184" customWidth="1"/>
    <col min="10762" max="10763" width="9.42578125" style="184" customWidth="1"/>
    <col min="10764" max="10764" width="10.5703125" style="184" customWidth="1"/>
    <col min="10765" max="10766" width="9" style="184" customWidth="1"/>
    <col min="10767" max="10767" width="10.5703125" style="184" customWidth="1"/>
    <col min="10768" max="10769" width="9.42578125" style="184" customWidth="1"/>
    <col min="10770" max="10770" width="10.5703125" style="184" customWidth="1"/>
    <col min="10771" max="10771" width="9.42578125" style="184" customWidth="1"/>
    <col min="10772" max="10772" width="9.85546875" style="184" customWidth="1"/>
    <col min="10773" max="10773" width="10.5703125" style="184" customWidth="1"/>
    <col min="10774" max="10774" width="9" style="184" customWidth="1"/>
    <col min="10775" max="10775" width="9.85546875" style="184" customWidth="1"/>
    <col min="10776" max="10776" width="12" style="184" customWidth="1"/>
    <col min="10777" max="11007" width="11.42578125" style="184"/>
    <col min="11008" max="11008" width="0.28515625" style="184" customWidth="1"/>
    <col min="11009" max="11009" width="19" style="184" customWidth="1"/>
    <col min="11010" max="11010" width="7.140625" style="184" customWidth="1"/>
    <col min="11011" max="11011" width="41.28515625" style="184" customWidth="1"/>
    <col min="11012" max="11013" width="9" style="184" customWidth="1"/>
    <col min="11014" max="11014" width="10.5703125" style="184" customWidth="1"/>
    <col min="11015" max="11015" width="9.42578125" style="184" customWidth="1"/>
    <col min="11016" max="11016" width="9.85546875" style="184" customWidth="1"/>
    <col min="11017" max="11017" width="10.5703125" style="184" customWidth="1"/>
    <col min="11018" max="11019" width="9.42578125" style="184" customWidth="1"/>
    <col min="11020" max="11020" width="10.5703125" style="184" customWidth="1"/>
    <col min="11021" max="11022" width="9" style="184" customWidth="1"/>
    <col min="11023" max="11023" width="10.5703125" style="184" customWidth="1"/>
    <col min="11024" max="11025" width="9.42578125" style="184" customWidth="1"/>
    <col min="11026" max="11026" width="10.5703125" style="184" customWidth="1"/>
    <col min="11027" max="11027" width="9.42578125" style="184" customWidth="1"/>
    <col min="11028" max="11028" width="9.85546875" style="184" customWidth="1"/>
    <col min="11029" max="11029" width="10.5703125" style="184" customWidth="1"/>
    <col min="11030" max="11030" width="9" style="184" customWidth="1"/>
    <col min="11031" max="11031" width="9.85546875" style="184" customWidth="1"/>
    <col min="11032" max="11032" width="12" style="184" customWidth="1"/>
    <col min="11033" max="11263" width="11.42578125" style="184"/>
    <col min="11264" max="11264" width="0.28515625" style="184" customWidth="1"/>
    <col min="11265" max="11265" width="19" style="184" customWidth="1"/>
    <col min="11266" max="11266" width="7.140625" style="184" customWidth="1"/>
    <col min="11267" max="11267" width="41.28515625" style="184" customWidth="1"/>
    <col min="11268" max="11269" width="9" style="184" customWidth="1"/>
    <col min="11270" max="11270" width="10.5703125" style="184" customWidth="1"/>
    <col min="11271" max="11271" width="9.42578125" style="184" customWidth="1"/>
    <col min="11272" max="11272" width="9.85546875" style="184" customWidth="1"/>
    <col min="11273" max="11273" width="10.5703125" style="184" customWidth="1"/>
    <col min="11274" max="11275" width="9.42578125" style="184" customWidth="1"/>
    <col min="11276" max="11276" width="10.5703125" style="184" customWidth="1"/>
    <col min="11277" max="11278" width="9" style="184" customWidth="1"/>
    <col min="11279" max="11279" width="10.5703125" style="184" customWidth="1"/>
    <col min="11280" max="11281" width="9.42578125" style="184" customWidth="1"/>
    <col min="11282" max="11282" width="10.5703125" style="184" customWidth="1"/>
    <col min="11283" max="11283" width="9.42578125" style="184" customWidth="1"/>
    <col min="11284" max="11284" width="9.85546875" style="184" customWidth="1"/>
    <col min="11285" max="11285" width="10.5703125" style="184" customWidth="1"/>
    <col min="11286" max="11286" width="9" style="184" customWidth="1"/>
    <col min="11287" max="11287" width="9.85546875" style="184" customWidth="1"/>
    <col min="11288" max="11288" width="12" style="184" customWidth="1"/>
    <col min="11289" max="11519" width="11.42578125" style="184"/>
    <col min="11520" max="11520" width="0.28515625" style="184" customWidth="1"/>
    <col min="11521" max="11521" width="19" style="184" customWidth="1"/>
    <col min="11522" max="11522" width="7.140625" style="184" customWidth="1"/>
    <col min="11523" max="11523" width="41.28515625" style="184" customWidth="1"/>
    <col min="11524" max="11525" width="9" style="184" customWidth="1"/>
    <col min="11526" max="11526" width="10.5703125" style="184" customWidth="1"/>
    <col min="11527" max="11527" width="9.42578125" style="184" customWidth="1"/>
    <col min="11528" max="11528" width="9.85546875" style="184" customWidth="1"/>
    <col min="11529" max="11529" width="10.5703125" style="184" customWidth="1"/>
    <col min="11530" max="11531" width="9.42578125" style="184" customWidth="1"/>
    <col min="11532" max="11532" width="10.5703125" style="184" customWidth="1"/>
    <col min="11533" max="11534" width="9" style="184" customWidth="1"/>
    <col min="11535" max="11535" width="10.5703125" style="184" customWidth="1"/>
    <col min="11536" max="11537" width="9.42578125" style="184" customWidth="1"/>
    <col min="11538" max="11538" width="10.5703125" style="184" customWidth="1"/>
    <col min="11539" max="11539" width="9.42578125" style="184" customWidth="1"/>
    <col min="11540" max="11540" width="9.85546875" style="184" customWidth="1"/>
    <col min="11541" max="11541" width="10.5703125" style="184" customWidth="1"/>
    <col min="11542" max="11542" width="9" style="184" customWidth="1"/>
    <col min="11543" max="11543" width="9.85546875" style="184" customWidth="1"/>
    <col min="11544" max="11544" width="12" style="184" customWidth="1"/>
    <col min="11545" max="11775" width="11.42578125" style="184"/>
    <col min="11776" max="11776" width="0.28515625" style="184" customWidth="1"/>
    <col min="11777" max="11777" width="19" style="184" customWidth="1"/>
    <col min="11778" max="11778" width="7.140625" style="184" customWidth="1"/>
    <col min="11779" max="11779" width="41.28515625" style="184" customWidth="1"/>
    <col min="11780" max="11781" width="9" style="184" customWidth="1"/>
    <col min="11782" max="11782" width="10.5703125" style="184" customWidth="1"/>
    <col min="11783" max="11783" width="9.42578125" style="184" customWidth="1"/>
    <col min="11784" max="11784" width="9.85546875" style="184" customWidth="1"/>
    <col min="11785" max="11785" width="10.5703125" style="184" customWidth="1"/>
    <col min="11786" max="11787" width="9.42578125" style="184" customWidth="1"/>
    <col min="11788" max="11788" width="10.5703125" style="184" customWidth="1"/>
    <col min="11789" max="11790" width="9" style="184" customWidth="1"/>
    <col min="11791" max="11791" width="10.5703125" style="184" customWidth="1"/>
    <col min="11792" max="11793" width="9.42578125" style="184" customWidth="1"/>
    <col min="11794" max="11794" width="10.5703125" style="184" customWidth="1"/>
    <col min="11795" max="11795" width="9.42578125" style="184" customWidth="1"/>
    <col min="11796" max="11796" width="9.85546875" style="184" customWidth="1"/>
    <col min="11797" max="11797" width="10.5703125" style="184" customWidth="1"/>
    <col min="11798" max="11798" width="9" style="184" customWidth="1"/>
    <col min="11799" max="11799" width="9.85546875" style="184" customWidth="1"/>
    <col min="11800" max="11800" width="12" style="184" customWidth="1"/>
    <col min="11801" max="12031" width="11.42578125" style="184"/>
    <col min="12032" max="12032" width="0.28515625" style="184" customWidth="1"/>
    <col min="12033" max="12033" width="19" style="184" customWidth="1"/>
    <col min="12034" max="12034" width="7.140625" style="184" customWidth="1"/>
    <col min="12035" max="12035" width="41.28515625" style="184" customWidth="1"/>
    <col min="12036" max="12037" width="9" style="184" customWidth="1"/>
    <col min="12038" max="12038" width="10.5703125" style="184" customWidth="1"/>
    <col min="12039" max="12039" width="9.42578125" style="184" customWidth="1"/>
    <col min="12040" max="12040" width="9.85546875" style="184" customWidth="1"/>
    <col min="12041" max="12041" width="10.5703125" style="184" customWidth="1"/>
    <col min="12042" max="12043" width="9.42578125" style="184" customWidth="1"/>
    <col min="12044" max="12044" width="10.5703125" style="184" customWidth="1"/>
    <col min="12045" max="12046" width="9" style="184" customWidth="1"/>
    <col min="12047" max="12047" width="10.5703125" style="184" customWidth="1"/>
    <col min="12048" max="12049" width="9.42578125" style="184" customWidth="1"/>
    <col min="12050" max="12050" width="10.5703125" style="184" customWidth="1"/>
    <col min="12051" max="12051" width="9.42578125" style="184" customWidth="1"/>
    <col min="12052" max="12052" width="9.85546875" style="184" customWidth="1"/>
    <col min="12053" max="12053" width="10.5703125" style="184" customWidth="1"/>
    <col min="12054" max="12054" width="9" style="184" customWidth="1"/>
    <col min="12055" max="12055" width="9.85546875" style="184" customWidth="1"/>
    <col min="12056" max="12056" width="12" style="184" customWidth="1"/>
    <col min="12057" max="12287" width="11.42578125" style="184"/>
    <col min="12288" max="12288" width="0.28515625" style="184" customWidth="1"/>
    <col min="12289" max="12289" width="19" style="184" customWidth="1"/>
    <col min="12290" max="12290" width="7.140625" style="184" customWidth="1"/>
    <col min="12291" max="12291" width="41.28515625" style="184" customWidth="1"/>
    <col min="12292" max="12293" width="9" style="184" customWidth="1"/>
    <col min="12294" max="12294" width="10.5703125" style="184" customWidth="1"/>
    <col min="12295" max="12295" width="9.42578125" style="184" customWidth="1"/>
    <col min="12296" max="12296" width="9.85546875" style="184" customWidth="1"/>
    <col min="12297" max="12297" width="10.5703125" style="184" customWidth="1"/>
    <col min="12298" max="12299" width="9.42578125" style="184" customWidth="1"/>
    <col min="12300" max="12300" width="10.5703125" style="184" customWidth="1"/>
    <col min="12301" max="12302" width="9" style="184" customWidth="1"/>
    <col min="12303" max="12303" width="10.5703125" style="184" customWidth="1"/>
    <col min="12304" max="12305" width="9.42578125" style="184" customWidth="1"/>
    <col min="12306" max="12306" width="10.5703125" style="184" customWidth="1"/>
    <col min="12307" max="12307" width="9.42578125" style="184" customWidth="1"/>
    <col min="12308" max="12308" width="9.85546875" style="184" customWidth="1"/>
    <col min="12309" max="12309" width="10.5703125" style="184" customWidth="1"/>
    <col min="12310" max="12310" width="9" style="184" customWidth="1"/>
    <col min="12311" max="12311" width="9.85546875" style="184" customWidth="1"/>
    <col min="12312" max="12312" width="12" style="184" customWidth="1"/>
    <col min="12313" max="12543" width="11.42578125" style="184"/>
    <col min="12544" max="12544" width="0.28515625" style="184" customWidth="1"/>
    <col min="12545" max="12545" width="19" style="184" customWidth="1"/>
    <col min="12546" max="12546" width="7.140625" style="184" customWidth="1"/>
    <col min="12547" max="12547" width="41.28515625" style="184" customWidth="1"/>
    <col min="12548" max="12549" width="9" style="184" customWidth="1"/>
    <col min="12550" max="12550" width="10.5703125" style="184" customWidth="1"/>
    <col min="12551" max="12551" width="9.42578125" style="184" customWidth="1"/>
    <col min="12552" max="12552" width="9.85546875" style="184" customWidth="1"/>
    <col min="12553" max="12553" width="10.5703125" style="184" customWidth="1"/>
    <col min="12554" max="12555" width="9.42578125" style="184" customWidth="1"/>
    <col min="12556" max="12556" width="10.5703125" style="184" customWidth="1"/>
    <col min="12557" max="12558" width="9" style="184" customWidth="1"/>
    <col min="12559" max="12559" width="10.5703125" style="184" customWidth="1"/>
    <col min="12560" max="12561" width="9.42578125" style="184" customWidth="1"/>
    <col min="12562" max="12562" width="10.5703125" style="184" customWidth="1"/>
    <col min="12563" max="12563" width="9.42578125" style="184" customWidth="1"/>
    <col min="12564" max="12564" width="9.85546875" style="184" customWidth="1"/>
    <col min="12565" max="12565" width="10.5703125" style="184" customWidth="1"/>
    <col min="12566" max="12566" width="9" style="184" customWidth="1"/>
    <col min="12567" max="12567" width="9.85546875" style="184" customWidth="1"/>
    <col min="12568" max="12568" width="12" style="184" customWidth="1"/>
    <col min="12569" max="12799" width="11.42578125" style="184"/>
    <col min="12800" max="12800" width="0.28515625" style="184" customWidth="1"/>
    <col min="12801" max="12801" width="19" style="184" customWidth="1"/>
    <col min="12802" max="12802" width="7.140625" style="184" customWidth="1"/>
    <col min="12803" max="12803" width="41.28515625" style="184" customWidth="1"/>
    <col min="12804" max="12805" width="9" style="184" customWidth="1"/>
    <col min="12806" max="12806" width="10.5703125" style="184" customWidth="1"/>
    <col min="12807" max="12807" width="9.42578125" style="184" customWidth="1"/>
    <col min="12808" max="12808" width="9.85546875" style="184" customWidth="1"/>
    <col min="12809" max="12809" width="10.5703125" style="184" customWidth="1"/>
    <col min="12810" max="12811" width="9.42578125" style="184" customWidth="1"/>
    <col min="12812" max="12812" width="10.5703125" style="184" customWidth="1"/>
    <col min="12813" max="12814" width="9" style="184" customWidth="1"/>
    <col min="12815" max="12815" width="10.5703125" style="184" customWidth="1"/>
    <col min="12816" max="12817" width="9.42578125" style="184" customWidth="1"/>
    <col min="12818" max="12818" width="10.5703125" style="184" customWidth="1"/>
    <col min="12819" max="12819" width="9.42578125" style="184" customWidth="1"/>
    <col min="12820" max="12820" width="9.85546875" style="184" customWidth="1"/>
    <col min="12821" max="12821" width="10.5703125" style="184" customWidth="1"/>
    <col min="12822" max="12822" width="9" style="184" customWidth="1"/>
    <col min="12823" max="12823" width="9.85546875" style="184" customWidth="1"/>
    <col min="12824" max="12824" width="12" style="184" customWidth="1"/>
    <col min="12825" max="13055" width="11.42578125" style="184"/>
    <col min="13056" max="13056" width="0.28515625" style="184" customWidth="1"/>
    <col min="13057" max="13057" width="19" style="184" customWidth="1"/>
    <col min="13058" max="13058" width="7.140625" style="184" customWidth="1"/>
    <col min="13059" max="13059" width="41.28515625" style="184" customWidth="1"/>
    <col min="13060" max="13061" width="9" style="184" customWidth="1"/>
    <col min="13062" max="13062" width="10.5703125" style="184" customWidth="1"/>
    <col min="13063" max="13063" width="9.42578125" style="184" customWidth="1"/>
    <col min="13064" max="13064" width="9.85546875" style="184" customWidth="1"/>
    <col min="13065" max="13065" width="10.5703125" style="184" customWidth="1"/>
    <col min="13066" max="13067" width="9.42578125" style="184" customWidth="1"/>
    <col min="13068" max="13068" width="10.5703125" style="184" customWidth="1"/>
    <col min="13069" max="13070" width="9" style="184" customWidth="1"/>
    <col min="13071" max="13071" width="10.5703125" style="184" customWidth="1"/>
    <col min="13072" max="13073" width="9.42578125" style="184" customWidth="1"/>
    <col min="13074" max="13074" width="10.5703125" style="184" customWidth="1"/>
    <col min="13075" max="13075" width="9.42578125" style="184" customWidth="1"/>
    <col min="13076" max="13076" width="9.85546875" style="184" customWidth="1"/>
    <col min="13077" max="13077" width="10.5703125" style="184" customWidth="1"/>
    <col min="13078" max="13078" width="9" style="184" customWidth="1"/>
    <col min="13079" max="13079" width="9.85546875" style="184" customWidth="1"/>
    <col min="13080" max="13080" width="12" style="184" customWidth="1"/>
    <col min="13081" max="13311" width="11.42578125" style="184"/>
    <col min="13312" max="13312" width="0.28515625" style="184" customWidth="1"/>
    <col min="13313" max="13313" width="19" style="184" customWidth="1"/>
    <col min="13314" max="13314" width="7.140625" style="184" customWidth="1"/>
    <col min="13315" max="13315" width="41.28515625" style="184" customWidth="1"/>
    <col min="13316" max="13317" width="9" style="184" customWidth="1"/>
    <col min="13318" max="13318" width="10.5703125" style="184" customWidth="1"/>
    <col min="13319" max="13319" width="9.42578125" style="184" customWidth="1"/>
    <col min="13320" max="13320" width="9.85546875" style="184" customWidth="1"/>
    <col min="13321" max="13321" width="10.5703125" style="184" customWidth="1"/>
    <col min="13322" max="13323" width="9.42578125" style="184" customWidth="1"/>
    <col min="13324" max="13324" width="10.5703125" style="184" customWidth="1"/>
    <col min="13325" max="13326" width="9" style="184" customWidth="1"/>
    <col min="13327" max="13327" width="10.5703125" style="184" customWidth="1"/>
    <col min="13328" max="13329" width="9.42578125" style="184" customWidth="1"/>
    <col min="13330" max="13330" width="10.5703125" style="184" customWidth="1"/>
    <col min="13331" max="13331" width="9.42578125" style="184" customWidth="1"/>
    <col min="13332" max="13332" width="9.85546875" style="184" customWidth="1"/>
    <col min="13333" max="13333" width="10.5703125" style="184" customWidth="1"/>
    <col min="13334" max="13334" width="9" style="184" customWidth="1"/>
    <col min="13335" max="13335" width="9.85546875" style="184" customWidth="1"/>
    <col min="13336" max="13336" width="12" style="184" customWidth="1"/>
    <col min="13337" max="13567" width="11.42578125" style="184"/>
    <col min="13568" max="13568" width="0.28515625" style="184" customWidth="1"/>
    <col min="13569" max="13569" width="19" style="184" customWidth="1"/>
    <col min="13570" max="13570" width="7.140625" style="184" customWidth="1"/>
    <col min="13571" max="13571" width="41.28515625" style="184" customWidth="1"/>
    <col min="13572" max="13573" width="9" style="184" customWidth="1"/>
    <col min="13574" max="13574" width="10.5703125" style="184" customWidth="1"/>
    <col min="13575" max="13575" width="9.42578125" style="184" customWidth="1"/>
    <col min="13576" max="13576" width="9.85546875" style="184" customWidth="1"/>
    <col min="13577" max="13577" width="10.5703125" style="184" customWidth="1"/>
    <col min="13578" max="13579" width="9.42578125" style="184" customWidth="1"/>
    <col min="13580" max="13580" width="10.5703125" style="184" customWidth="1"/>
    <col min="13581" max="13582" width="9" style="184" customWidth="1"/>
    <col min="13583" max="13583" width="10.5703125" style="184" customWidth="1"/>
    <col min="13584" max="13585" width="9.42578125" style="184" customWidth="1"/>
    <col min="13586" max="13586" width="10.5703125" style="184" customWidth="1"/>
    <col min="13587" max="13587" width="9.42578125" style="184" customWidth="1"/>
    <col min="13588" max="13588" width="9.85546875" style="184" customWidth="1"/>
    <col min="13589" max="13589" width="10.5703125" style="184" customWidth="1"/>
    <col min="13590" max="13590" width="9" style="184" customWidth="1"/>
    <col min="13591" max="13591" width="9.85546875" style="184" customWidth="1"/>
    <col min="13592" max="13592" width="12" style="184" customWidth="1"/>
    <col min="13593" max="13823" width="11.42578125" style="184"/>
    <col min="13824" max="13824" width="0.28515625" style="184" customWidth="1"/>
    <col min="13825" max="13825" width="19" style="184" customWidth="1"/>
    <col min="13826" max="13826" width="7.140625" style="184" customWidth="1"/>
    <col min="13827" max="13827" width="41.28515625" style="184" customWidth="1"/>
    <col min="13828" max="13829" width="9" style="184" customWidth="1"/>
    <col min="13830" max="13830" width="10.5703125" style="184" customWidth="1"/>
    <col min="13831" max="13831" width="9.42578125" style="184" customWidth="1"/>
    <col min="13832" max="13832" width="9.85546875" style="184" customWidth="1"/>
    <col min="13833" max="13833" width="10.5703125" style="184" customWidth="1"/>
    <col min="13834" max="13835" width="9.42578125" style="184" customWidth="1"/>
    <col min="13836" max="13836" width="10.5703125" style="184" customWidth="1"/>
    <col min="13837" max="13838" width="9" style="184" customWidth="1"/>
    <col min="13839" max="13839" width="10.5703125" style="184" customWidth="1"/>
    <col min="13840" max="13841" width="9.42578125" style="184" customWidth="1"/>
    <col min="13842" max="13842" width="10.5703125" style="184" customWidth="1"/>
    <col min="13843" max="13843" width="9.42578125" style="184" customWidth="1"/>
    <col min="13844" max="13844" width="9.85546875" style="184" customWidth="1"/>
    <col min="13845" max="13845" width="10.5703125" style="184" customWidth="1"/>
    <col min="13846" max="13846" width="9" style="184" customWidth="1"/>
    <col min="13847" max="13847" width="9.85546875" style="184" customWidth="1"/>
    <col min="13848" max="13848" width="12" style="184" customWidth="1"/>
    <col min="13849" max="14079" width="11.42578125" style="184"/>
    <col min="14080" max="14080" width="0.28515625" style="184" customWidth="1"/>
    <col min="14081" max="14081" width="19" style="184" customWidth="1"/>
    <col min="14082" max="14082" width="7.140625" style="184" customWidth="1"/>
    <col min="14083" max="14083" width="41.28515625" style="184" customWidth="1"/>
    <col min="14084" max="14085" width="9" style="184" customWidth="1"/>
    <col min="14086" max="14086" width="10.5703125" style="184" customWidth="1"/>
    <col min="14087" max="14087" width="9.42578125" style="184" customWidth="1"/>
    <col min="14088" max="14088" width="9.85546875" style="184" customWidth="1"/>
    <col min="14089" max="14089" width="10.5703125" style="184" customWidth="1"/>
    <col min="14090" max="14091" width="9.42578125" style="184" customWidth="1"/>
    <col min="14092" max="14092" width="10.5703125" style="184" customWidth="1"/>
    <col min="14093" max="14094" width="9" style="184" customWidth="1"/>
    <col min="14095" max="14095" width="10.5703125" style="184" customWidth="1"/>
    <col min="14096" max="14097" width="9.42578125" style="184" customWidth="1"/>
    <col min="14098" max="14098" width="10.5703125" style="184" customWidth="1"/>
    <col min="14099" max="14099" width="9.42578125" style="184" customWidth="1"/>
    <col min="14100" max="14100" width="9.85546875" style="184" customWidth="1"/>
    <col min="14101" max="14101" width="10.5703125" style="184" customWidth="1"/>
    <col min="14102" max="14102" width="9" style="184" customWidth="1"/>
    <col min="14103" max="14103" width="9.85546875" style="184" customWidth="1"/>
    <col min="14104" max="14104" width="12" style="184" customWidth="1"/>
    <col min="14105" max="14335" width="11.42578125" style="184"/>
    <col min="14336" max="14336" width="0.28515625" style="184" customWidth="1"/>
    <col min="14337" max="14337" width="19" style="184" customWidth="1"/>
    <col min="14338" max="14338" width="7.140625" style="184" customWidth="1"/>
    <col min="14339" max="14339" width="41.28515625" style="184" customWidth="1"/>
    <col min="14340" max="14341" width="9" style="184" customWidth="1"/>
    <col min="14342" max="14342" width="10.5703125" style="184" customWidth="1"/>
    <col min="14343" max="14343" width="9.42578125" style="184" customWidth="1"/>
    <col min="14344" max="14344" width="9.85546875" style="184" customWidth="1"/>
    <col min="14345" max="14345" width="10.5703125" style="184" customWidth="1"/>
    <col min="14346" max="14347" width="9.42578125" style="184" customWidth="1"/>
    <col min="14348" max="14348" width="10.5703125" style="184" customWidth="1"/>
    <col min="14349" max="14350" width="9" style="184" customWidth="1"/>
    <col min="14351" max="14351" width="10.5703125" style="184" customWidth="1"/>
    <col min="14352" max="14353" width="9.42578125" style="184" customWidth="1"/>
    <col min="14354" max="14354" width="10.5703125" style="184" customWidth="1"/>
    <col min="14355" max="14355" width="9.42578125" style="184" customWidth="1"/>
    <col min="14356" max="14356" width="9.85546875" style="184" customWidth="1"/>
    <col min="14357" max="14357" width="10.5703125" style="184" customWidth="1"/>
    <col min="14358" max="14358" width="9" style="184" customWidth="1"/>
    <col min="14359" max="14359" width="9.85546875" style="184" customWidth="1"/>
    <col min="14360" max="14360" width="12" style="184" customWidth="1"/>
    <col min="14361" max="14591" width="11.42578125" style="184"/>
    <col min="14592" max="14592" width="0.28515625" style="184" customWidth="1"/>
    <col min="14593" max="14593" width="19" style="184" customWidth="1"/>
    <col min="14594" max="14594" width="7.140625" style="184" customWidth="1"/>
    <col min="14595" max="14595" width="41.28515625" style="184" customWidth="1"/>
    <col min="14596" max="14597" width="9" style="184" customWidth="1"/>
    <col min="14598" max="14598" width="10.5703125" style="184" customWidth="1"/>
    <col min="14599" max="14599" width="9.42578125" style="184" customWidth="1"/>
    <col min="14600" max="14600" width="9.85546875" style="184" customWidth="1"/>
    <col min="14601" max="14601" width="10.5703125" style="184" customWidth="1"/>
    <col min="14602" max="14603" width="9.42578125" style="184" customWidth="1"/>
    <col min="14604" max="14604" width="10.5703125" style="184" customWidth="1"/>
    <col min="14605" max="14606" width="9" style="184" customWidth="1"/>
    <col min="14607" max="14607" width="10.5703125" style="184" customWidth="1"/>
    <col min="14608" max="14609" width="9.42578125" style="184" customWidth="1"/>
    <col min="14610" max="14610" width="10.5703125" style="184" customWidth="1"/>
    <col min="14611" max="14611" width="9.42578125" style="184" customWidth="1"/>
    <col min="14612" max="14612" width="9.85546875" style="184" customWidth="1"/>
    <col min="14613" max="14613" width="10.5703125" style="184" customWidth="1"/>
    <col min="14614" max="14614" width="9" style="184" customWidth="1"/>
    <col min="14615" max="14615" width="9.85546875" style="184" customWidth="1"/>
    <col min="14616" max="14616" width="12" style="184" customWidth="1"/>
    <col min="14617" max="14847" width="11.42578125" style="184"/>
    <col min="14848" max="14848" width="0.28515625" style="184" customWidth="1"/>
    <col min="14849" max="14849" width="19" style="184" customWidth="1"/>
    <col min="14850" max="14850" width="7.140625" style="184" customWidth="1"/>
    <col min="14851" max="14851" width="41.28515625" style="184" customWidth="1"/>
    <col min="14852" max="14853" width="9" style="184" customWidth="1"/>
    <col min="14854" max="14854" width="10.5703125" style="184" customWidth="1"/>
    <col min="14855" max="14855" width="9.42578125" style="184" customWidth="1"/>
    <col min="14856" max="14856" width="9.85546875" style="184" customWidth="1"/>
    <col min="14857" max="14857" width="10.5703125" style="184" customWidth="1"/>
    <col min="14858" max="14859" width="9.42578125" style="184" customWidth="1"/>
    <col min="14860" max="14860" width="10.5703125" style="184" customWidth="1"/>
    <col min="14861" max="14862" width="9" style="184" customWidth="1"/>
    <col min="14863" max="14863" width="10.5703125" style="184" customWidth="1"/>
    <col min="14864" max="14865" width="9.42578125" style="184" customWidth="1"/>
    <col min="14866" max="14866" width="10.5703125" style="184" customWidth="1"/>
    <col min="14867" max="14867" width="9.42578125" style="184" customWidth="1"/>
    <col min="14868" max="14868" width="9.85546875" style="184" customWidth="1"/>
    <col min="14869" max="14869" width="10.5703125" style="184" customWidth="1"/>
    <col min="14870" max="14870" width="9" style="184" customWidth="1"/>
    <col min="14871" max="14871" width="9.85546875" style="184" customWidth="1"/>
    <col min="14872" max="14872" width="12" style="184" customWidth="1"/>
    <col min="14873" max="15103" width="11.42578125" style="184"/>
    <col min="15104" max="15104" width="0.28515625" style="184" customWidth="1"/>
    <col min="15105" max="15105" width="19" style="184" customWidth="1"/>
    <col min="15106" max="15106" width="7.140625" style="184" customWidth="1"/>
    <col min="15107" max="15107" width="41.28515625" style="184" customWidth="1"/>
    <col min="15108" max="15109" width="9" style="184" customWidth="1"/>
    <col min="15110" max="15110" width="10.5703125" style="184" customWidth="1"/>
    <col min="15111" max="15111" width="9.42578125" style="184" customWidth="1"/>
    <col min="15112" max="15112" width="9.85546875" style="184" customWidth="1"/>
    <col min="15113" max="15113" width="10.5703125" style="184" customWidth="1"/>
    <col min="15114" max="15115" width="9.42578125" style="184" customWidth="1"/>
    <col min="15116" max="15116" width="10.5703125" style="184" customWidth="1"/>
    <col min="15117" max="15118" width="9" style="184" customWidth="1"/>
    <col min="15119" max="15119" width="10.5703125" style="184" customWidth="1"/>
    <col min="15120" max="15121" width="9.42578125" style="184" customWidth="1"/>
    <col min="15122" max="15122" width="10.5703125" style="184" customWidth="1"/>
    <col min="15123" max="15123" width="9.42578125" style="184" customWidth="1"/>
    <col min="15124" max="15124" width="9.85546875" style="184" customWidth="1"/>
    <col min="15125" max="15125" width="10.5703125" style="184" customWidth="1"/>
    <col min="15126" max="15126" width="9" style="184" customWidth="1"/>
    <col min="15127" max="15127" width="9.85546875" style="184" customWidth="1"/>
    <col min="15128" max="15128" width="12" style="184" customWidth="1"/>
    <col min="15129" max="15359" width="11.42578125" style="184"/>
    <col min="15360" max="15360" width="0.28515625" style="184" customWidth="1"/>
    <col min="15361" max="15361" width="19" style="184" customWidth="1"/>
    <col min="15362" max="15362" width="7.140625" style="184" customWidth="1"/>
    <col min="15363" max="15363" width="41.28515625" style="184" customWidth="1"/>
    <col min="15364" max="15365" width="9" style="184" customWidth="1"/>
    <col min="15366" max="15366" width="10.5703125" style="184" customWidth="1"/>
    <col min="15367" max="15367" width="9.42578125" style="184" customWidth="1"/>
    <col min="15368" max="15368" width="9.85546875" style="184" customWidth="1"/>
    <col min="15369" max="15369" width="10.5703125" style="184" customWidth="1"/>
    <col min="15370" max="15371" width="9.42578125" style="184" customWidth="1"/>
    <col min="15372" max="15372" width="10.5703125" style="184" customWidth="1"/>
    <col min="15373" max="15374" width="9" style="184" customWidth="1"/>
    <col min="15375" max="15375" width="10.5703125" style="184" customWidth="1"/>
    <col min="15376" max="15377" width="9.42578125" style="184" customWidth="1"/>
    <col min="15378" max="15378" width="10.5703125" style="184" customWidth="1"/>
    <col min="15379" max="15379" width="9.42578125" style="184" customWidth="1"/>
    <col min="15380" max="15380" width="9.85546875" style="184" customWidth="1"/>
    <col min="15381" max="15381" width="10.5703125" style="184" customWidth="1"/>
    <col min="15382" max="15382" width="9" style="184" customWidth="1"/>
    <col min="15383" max="15383" width="9.85546875" style="184" customWidth="1"/>
    <col min="15384" max="15384" width="12" style="184" customWidth="1"/>
    <col min="15385" max="15615" width="11.42578125" style="184"/>
    <col min="15616" max="15616" width="0.28515625" style="184" customWidth="1"/>
    <col min="15617" max="15617" width="19" style="184" customWidth="1"/>
    <col min="15618" max="15618" width="7.140625" style="184" customWidth="1"/>
    <col min="15619" max="15619" width="41.28515625" style="184" customWidth="1"/>
    <col min="15620" max="15621" width="9" style="184" customWidth="1"/>
    <col min="15622" max="15622" width="10.5703125" style="184" customWidth="1"/>
    <col min="15623" max="15623" width="9.42578125" style="184" customWidth="1"/>
    <col min="15624" max="15624" width="9.85546875" style="184" customWidth="1"/>
    <col min="15625" max="15625" width="10.5703125" style="184" customWidth="1"/>
    <col min="15626" max="15627" width="9.42578125" style="184" customWidth="1"/>
    <col min="15628" max="15628" width="10.5703125" style="184" customWidth="1"/>
    <col min="15629" max="15630" width="9" style="184" customWidth="1"/>
    <col min="15631" max="15631" width="10.5703125" style="184" customWidth="1"/>
    <col min="15632" max="15633" width="9.42578125" style="184" customWidth="1"/>
    <col min="15634" max="15634" width="10.5703125" style="184" customWidth="1"/>
    <col min="15635" max="15635" width="9.42578125" style="184" customWidth="1"/>
    <col min="15636" max="15636" width="9.85546875" style="184" customWidth="1"/>
    <col min="15637" max="15637" width="10.5703125" style="184" customWidth="1"/>
    <col min="15638" max="15638" width="9" style="184" customWidth="1"/>
    <col min="15639" max="15639" width="9.85546875" style="184" customWidth="1"/>
    <col min="15640" max="15640" width="12" style="184" customWidth="1"/>
    <col min="15641" max="15871" width="11.42578125" style="184"/>
    <col min="15872" max="15872" width="0.28515625" style="184" customWidth="1"/>
    <col min="15873" max="15873" width="19" style="184" customWidth="1"/>
    <col min="15874" max="15874" width="7.140625" style="184" customWidth="1"/>
    <col min="15875" max="15875" width="41.28515625" style="184" customWidth="1"/>
    <col min="15876" max="15877" width="9" style="184" customWidth="1"/>
    <col min="15878" max="15878" width="10.5703125" style="184" customWidth="1"/>
    <col min="15879" max="15879" width="9.42578125" style="184" customWidth="1"/>
    <col min="15880" max="15880" width="9.85546875" style="184" customWidth="1"/>
    <col min="15881" max="15881" width="10.5703125" style="184" customWidth="1"/>
    <col min="15882" max="15883" width="9.42578125" style="184" customWidth="1"/>
    <col min="15884" max="15884" width="10.5703125" style="184" customWidth="1"/>
    <col min="15885" max="15886" width="9" style="184" customWidth="1"/>
    <col min="15887" max="15887" width="10.5703125" style="184" customWidth="1"/>
    <col min="15888" max="15889" width="9.42578125" style="184" customWidth="1"/>
    <col min="15890" max="15890" width="10.5703125" style="184" customWidth="1"/>
    <col min="15891" max="15891" width="9.42578125" style="184" customWidth="1"/>
    <col min="15892" max="15892" width="9.85546875" style="184" customWidth="1"/>
    <col min="15893" max="15893" width="10.5703125" style="184" customWidth="1"/>
    <col min="15894" max="15894" width="9" style="184" customWidth="1"/>
    <col min="15895" max="15895" width="9.85546875" style="184" customWidth="1"/>
    <col min="15896" max="15896" width="12" style="184" customWidth="1"/>
    <col min="15897" max="16127" width="11.42578125" style="184"/>
    <col min="16128" max="16128" width="0.28515625" style="184" customWidth="1"/>
    <col min="16129" max="16129" width="19" style="184" customWidth="1"/>
    <col min="16130" max="16130" width="7.140625" style="184" customWidth="1"/>
    <col min="16131" max="16131" width="41.28515625" style="184" customWidth="1"/>
    <col min="16132" max="16133" width="9" style="184" customWidth="1"/>
    <col min="16134" max="16134" width="10.5703125" style="184" customWidth="1"/>
    <col min="16135" max="16135" width="9.42578125" style="184" customWidth="1"/>
    <col min="16136" max="16136" width="9.85546875" style="184" customWidth="1"/>
    <col min="16137" max="16137" width="10.5703125" style="184" customWidth="1"/>
    <col min="16138" max="16139" width="9.42578125" style="184" customWidth="1"/>
    <col min="16140" max="16140" width="10.5703125" style="184" customWidth="1"/>
    <col min="16141" max="16142" width="9" style="184" customWidth="1"/>
    <col min="16143" max="16143" width="10.5703125" style="184" customWidth="1"/>
    <col min="16144" max="16145" width="9.42578125" style="184" customWidth="1"/>
    <col min="16146" max="16146" width="10.5703125" style="184" customWidth="1"/>
    <col min="16147" max="16147" width="9.42578125" style="184" customWidth="1"/>
    <col min="16148" max="16148" width="9.85546875" style="184" customWidth="1"/>
    <col min="16149" max="16149" width="10.5703125" style="184" customWidth="1"/>
    <col min="16150" max="16150" width="9" style="184" customWidth="1"/>
    <col min="16151" max="16151" width="9.85546875" style="184" customWidth="1"/>
    <col min="16152" max="16152" width="12" style="184" customWidth="1"/>
    <col min="16153" max="16384" width="11.42578125" style="184"/>
  </cols>
  <sheetData>
    <row r="1" spans="1:48" ht="18" customHeight="1" x14ac:dyDescent="0.2">
      <c r="A1" s="5681" t="s">
        <v>1460</v>
      </c>
      <c r="B1" s="5681"/>
      <c r="C1" s="5681"/>
    </row>
    <row r="2" spans="1:48" x14ac:dyDescent="0.2">
      <c r="A2" s="5681"/>
      <c r="B2" s="5681"/>
      <c r="C2" s="5681"/>
    </row>
    <row r="3" spans="1:48" ht="18" x14ac:dyDescent="0.2">
      <c r="A3" s="3549"/>
      <c r="B3" s="3549"/>
      <c r="C3" s="3549"/>
    </row>
    <row r="4" spans="1:48" ht="15" x14ac:dyDescent="0.2">
      <c r="A4" s="5653" t="s">
        <v>16</v>
      </c>
      <c r="B4" s="5653" t="s">
        <v>4</v>
      </c>
      <c r="C4" s="5653" t="s">
        <v>349</v>
      </c>
      <c r="D4" s="5641">
        <v>2003</v>
      </c>
      <c r="E4" s="5642"/>
      <c r="F4" s="5643"/>
      <c r="G4" s="5641">
        <v>2004</v>
      </c>
      <c r="H4" s="5642"/>
      <c r="I4" s="5643"/>
      <c r="J4" s="5641">
        <v>2005</v>
      </c>
      <c r="K4" s="5642"/>
      <c r="L4" s="5643"/>
      <c r="M4" s="5641">
        <v>2006</v>
      </c>
      <c r="N4" s="5642"/>
      <c r="O4" s="5643"/>
      <c r="P4" s="5641">
        <v>2007</v>
      </c>
      <c r="Q4" s="5642"/>
      <c r="R4" s="5643"/>
      <c r="S4" s="5641">
        <v>2008</v>
      </c>
      <c r="T4" s="5642"/>
      <c r="U4" s="5643"/>
      <c r="V4" s="5641">
        <v>2009</v>
      </c>
      <c r="W4" s="5642"/>
      <c r="X4" s="5643"/>
      <c r="Y4" s="5641">
        <v>2010</v>
      </c>
      <c r="Z4" s="5642"/>
      <c r="AA4" s="5643"/>
      <c r="AB4" s="5641">
        <v>2011</v>
      </c>
      <c r="AC4" s="5642"/>
      <c r="AD4" s="5643"/>
      <c r="AE4" s="5641">
        <v>2012</v>
      </c>
      <c r="AF4" s="5642"/>
      <c r="AG4" s="5643"/>
      <c r="AH4" s="5641">
        <v>2013</v>
      </c>
      <c r="AI4" s="5642"/>
      <c r="AJ4" s="5643"/>
      <c r="AK4" s="5641">
        <v>2014</v>
      </c>
      <c r="AL4" s="5642"/>
      <c r="AM4" s="5643"/>
      <c r="AN4" s="5641">
        <v>2015</v>
      </c>
      <c r="AO4" s="5642"/>
      <c r="AP4" s="5643"/>
      <c r="AQ4" s="5641">
        <v>2016</v>
      </c>
      <c r="AR4" s="5642"/>
      <c r="AS4" s="5643"/>
      <c r="AT4" s="5641">
        <v>2017</v>
      </c>
      <c r="AU4" s="5642"/>
      <c r="AV4" s="5643"/>
    </row>
    <row r="5" spans="1:48" s="189" customFormat="1" ht="15.75" x14ac:dyDescent="0.2">
      <c r="A5" s="5654"/>
      <c r="B5" s="5654"/>
      <c r="C5" s="5654"/>
      <c r="D5" s="557" t="s">
        <v>651</v>
      </c>
      <c r="E5" s="558" t="s">
        <v>652</v>
      </c>
      <c r="F5" s="996" t="s">
        <v>160</v>
      </c>
      <c r="G5" s="557" t="s">
        <v>651</v>
      </c>
      <c r="H5" s="558" t="s">
        <v>652</v>
      </c>
      <c r="I5" s="996" t="s">
        <v>160</v>
      </c>
      <c r="J5" s="557" t="s">
        <v>651</v>
      </c>
      <c r="K5" s="558" t="s">
        <v>652</v>
      </c>
      <c r="L5" s="996" t="s">
        <v>160</v>
      </c>
      <c r="M5" s="557" t="s">
        <v>651</v>
      </c>
      <c r="N5" s="558" t="s">
        <v>652</v>
      </c>
      <c r="O5" s="996" t="s">
        <v>160</v>
      </c>
      <c r="P5" s="557" t="s">
        <v>651</v>
      </c>
      <c r="Q5" s="558" t="s">
        <v>652</v>
      </c>
      <c r="R5" s="996" t="s">
        <v>160</v>
      </c>
      <c r="S5" s="557" t="s">
        <v>651</v>
      </c>
      <c r="T5" s="558" t="s">
        <v>652</v>
      </c>
      <c r="U5" s="996" t="s">
        <v>160</v>
      </c>
      <c r="V5" s="557" t="s">
        <v>651</v>
      </c>
      <c r="W5" s="558" t="s">
        <v>652</v>
      </c>
      <c r="X5" s="996" t="s">
        <v>160</v>
      </c>
      <c r="Y5" s="557" t="s">
        <v>651</v>
      </c>
      <c r="Z5" s="558" t="s">
        <v>652</v>
      </c>
      <c r="AA5" s="996" t="s">
        <v>160</v>
      </c>
      <c r="AB5" s="557" t="s">
        <v>651</v>
      </c>
      <c r="AC5" s="558" t="s">
        <v>652</v>
      </c>
      <c r="AD5" s="996" t="s">
        <v>160</v>
      </c>
      <c r="AE5" s="557" t="s">
        <v>651</v>
      </c>
      <c r="AF5" s="558" t="s">
        <v>652</v>
      </c>
      <c r="AG5" s="996" t="s">
        <v>160</v>
      </c>
      <c r="AH5" s="557" t="s">
        <v>651</v>
      </c>
      <c r="AI5" s="558" t="s">
        <v>652</v>
      </c>
      <c r="AJ5" s="996" t="s">
        <v>160</v>
      </c>
      <c r="AK5" s="557" t="s">
        <v>651</v>
      </c>
      <c r="AL5" s="558" t="s">
        <v>652</v>
      </c>
      <c r="AM5" s="996" t="s">
        <v>160</v>
      </c>
      <c r="AN5" s="557" t="s">
        <v>651</v>
      </c>
      <c r="AO5" s="558" t="s">
        <v>652</v>
      </c>
      <c r="AP5" s="996" t="s">
        <v>160</v>
      </c>
      <c r="AQ5" s="557" t="s">
        <v>651</v>
      </c>
      <c r="AR5" s="558" t="s">
        <v>652</v>
      </c>
      <c r="AS5" s="996" t="s">
        <v>160</v>
      </c>
      <c r="AT5" s="557" t="s">
        <v>651</v>
      </c>
      <c r="AU5" s="558" t="s">
        <v>652</v>
      </c>
      <c r="AV5" s="996" t="s">
        <v>160</v>
      </c>
    </row>
    <row r="6" spans="1:48" s="186" customFormat="1" ht="15" customHeight="1" x14ac:dyDescent="0.25">
      <c r="A6" s="5665" t="s">
        <v>161</v>
      </c>
      <c r="B6" s="5674" t="s">
        <v>5</v>
      </c>
      <c r="C6" s="793" t="s">
        <v>446</v>
      </c>
      <c r="D6" s="794">
        <v>67</v>
      </c>
      <c r="E6" s="795">
        <v>108</v>
      </c>
      <c r="F6" s="796">
        <v>175</v>
      </c>
      <c r="G6" s="794">
        <v>59</v>
      </c>
      <c r="H6" s="795">
        <v>169</v>
      </c>
      <c r="I6" s="796">
        <v>228</v>
      </c>
      <c r="J6" s="794">
        <v>63</v>
      </c>
      <c r="K6" s="795">
        <v>221</v>
      </c>
      <c r="L6" s="796">
        <v>284</v>
      </c>
      <c r="M6" s="794">
        <v>96</v>
      </c>
      <c r="N6" s="795">
        <v>154</v>
      </c>
      <c r="O6" s="796">
        <v>250</v>
      </c>
      <c r="P6" s="794">
        <v>90</v>
      </c>
      <c r="Q6" s="795">
        <v>262</v>
      </c>
      <c r="R6" s="796">
        <v>352</v>
      </c>
      <c r="S6" s="794">
        <v>136</v>
      </c>
      <c r="T6" s="795">
        <v>392</v>
      </c>
      <c r="U6" s="796">
        <v>528</v>
      </c>
      <c r="V6" s="794">
        <v>165</v>
      </c>
      <c r="W6" s="795">
        <v>422</v>
      </c>
      <c r="X6" s="796">
        <v>587</v>
      </c>
      <c r="Y6" s="794">
        <v>207</v>
      </c>
      <c r="Z6" s="795">
        <v>562</v>
      </c>
      <c r="AA6" s="796">
        <f>SUM(Y6:Z6)</f>
        <v>769</v>
      </c>
      <c r="AB6" s="797">
        <v>238</v>
      </c>
      <c r="AC6" s="798">
        <v>599</v>
      </c>
      <c r="AD6" s="796">
        <f>SUM(AB6:AC6)</f>
        <v>837</v>
      </c>
      <c r="AE6" s="797">
        <v>250</v>
      </c>
      <c r="AF6" s="798">
        <v>628</v>
      </c>
      <c r="AG6" s="796">
        <f>SUM(AE6:AF6)</f>
        <v>878</v>
      </c>
      <c r="AH6" s="797">
        <v>269</v>
      </c>
      <c r="AI6" s="798">
        <v>633</v>
      </c>
      <c r="AJ6" s="796">
        <f>SUM(AH6:AI6)</f>
        <v>902</v>
      </c>
      <c r="AK6" s="797">
        <v>237</v>
      </c>
      <c r="AL6" s="798">
        <v>763</v>
      </c>
      <c r="AM6" s="796">
        <f>SUM(AK6:AL6)</f>
        <v>1000</v>
      </c>
      <c r="AN6" s="797">
        <v>257</v>
      </c>
      <c r="AO6" s="798">
        <v>710</v>
      </c>
      <c r="AP6" s="796">
        <f>SUM(AN6:AO6)</f>
        <v>967</v>
      </c>
      <c r="AQ6" s="797">
        <v>261</v>
      </c>
      <c r="AR6" s="798">
        <v>746</v>
      </c>
      <c r="AS6" s="796">
        <f>SUM(AQ6:AR6)</f>
        <v>1007</v>
      </c>
      <c r="AT6" s="797">
        <v>232</v>
      </c>
      <c r="AU6" s="798">
        <v>624</v>
      </c>
      <c r="AV6" s="796">
        <f>SUM(AT6:AU6)</f>
        <v>856</v>
      </c>
    </row>
    <row r="7" spans="1:48" s="186" customFormat="1" ht="15" customHeight="1" x14ac:dyDescent="0.25">
      <c r="A7" s="5666"/>
      <c r="B7" s="5675"/>
      <c r="C7" s="799" t="s">
        <v>447</v>
      </c>
      <c r="D7" s="800">
        <v>91</v>
      </c>
      <c r="E7" s="801">
        <v>252</v>
      </c>
      <c r="F7" s="802">
        <v>343</v>
      </c>
      <c r="G7" s="800">
        <v>85</v>
      </c>
      <c r="H7" s="801">
        <v>309</v>
      </c>
      <c r="I7" s="802">
        <v>394</v>
      </c>
      <c r="J7" s="800">
        <v>123</v>
      </c>
      <c r="K7" s="801">
        <v>307</v>
      </c>
      <c r="L7" s="802">
        <v>430</v>
      </c>
      <c r="M7" s="800">
        <v>137</v>
      </c>
      <c r="N7" s="801">
        <v>307</v>
      </c>
      <c r="O7" s="802">
        <v>444</v>
      </c>
      <c r="P7" s="800">
        <v>135</v>
      </c>
      <c r="Q7" s="801">
        <v>372</v>
      </c>
      <c r="R7" s="802">
        <v>507</v>
      </c>
      <c r="S7" s="800">
        <v>179</v>
      </c>
      <c r="T7" s="801">
        <v>404</v>
      </c>
      <c r="U7" s="802">
        <v>583</v>
      </c>
      <c r="V7" s="800">
        <v>188</v>
      </c>
      <c r="W7" s="801">
        <v>533</v>
      </c>
      <c r="X7" s="802">
        <v>721</v>
      </c>
      <c r="Y7" s="800">
        <v>234</v>
      </c>
      <c r="Z7" s="801">
        <v>714</v>
      </c>
      <c r="AA7" s="802">
        <f t="shared" ref="AA7:AA69" si="0">SUM(Y7:Z7)</f>
        <v>948</v>
      </c>
      <c r="AB7" s="803">
        <v>318</v>
      </c>
      <c r="AC7" s="804">
        <v>663</v>
      </c>
      <c r="AD7" s="802">
        <f t="shared" ref="AD7:AD69" si="1">SUM(AB7:AC7)</f>
        <v>981</v>
      </c>
      <c r="AE7" s="803">
        <v>324</v>
      </c>
      <c r="AF7" s="804">
        <v>831</v>
      </c>
      <c r="AG7" s="802">
        <f t="shared" ref="AG7:AG83" si="2">SUM(AE7:AF7)</f>
        <v>1155</v>
      </c>
      <c r="AH7" s="803">
        <v>294</v>
      </c>
      <c r="AI7" s="804">
        <v>866</v>
      </c>
      <c r="AJ7" s="802">
        <f t="shared" ref="AJ7:AJ15" si="3">SUM(AH7:AI7)</f>
        <v>1160</v>
      </c>
      <c r="AK7" s="803">
        <v>259</v>
      </c>
      <c r="AL7" s="804">
        <v>960</v>
      </c>
      <c r="AM7" s="802">
        <f t="shared" ref="AM7:AM15" si="4">SUM(AK7:AL7)</f>
        <v>1219</v>
      </c>
      <c r="AN7" s="803">
        <v>343</v>
      </c>
      <c r="AO7" s="804">
        <v>1048</v>
      </c>
      <c r="AP7" s="802">
        <f t="shared" ref="AP7:AP15" si="5">SUM(AN7:AO7)</f>
        <v>1391</v>
      </c>
      <c r="AQ7" s="803">
        <v>338</v>
      </c>
      <c r="AR7" s="804">
        <v>1039</v>
      </c>
      <c r="AS7" s="802">
        <f t="shared" ref="AS7:AS15" si="6">SUM(AQ7:AR7)</f>
        <v>1377</v>
      </c>
      <c r="AT7" s="803">
        <v>339</v>
      </c>
      <c r="AU7" s="804">
        <v>1068</v>
      </c>
      <c r="AV7" s="802">
        <f t="shared" ref="AV7:AV15" si="7">SUM(AT7:AU7)</f>
        <v>1407</v>
      </c>
    </row>
    <row r="8" spans="1:48" s="186" customFormat="1" ht="15" customHeight="1" x14ac:dyDescent="0.25">
      <c r="A8" s="5666"/>
      <c r="B8" s="5675"/>
      <c r="C8" s="799" t="s">
        <v>448</v>
      </c>
      <c r="D8" s="800">
        <v>67</v>
      </c>
      <c r="E8" s="801">
        <v>137</v>
      </c>
      <c r="F8" s="802">
        <v>204</v>
      </c>
      <c r="G8" s="800">
        <v>71</v>
      </c>
      <c r="H8" s="801">
        <v>164</v>
      </c>
      <c r="I8" s="802">
        <v>235</v>
      </c>
      <c r="J8" s="800">
        <v>54</v>
      </c>
      <c r="K8" s="801">
        <v>137</v>
      </c>
      <c r="L8" s="802">
        <v>191</v>
      </c>
      <c r="M8" s="800">
        <v>60</v>
      </c>
      <c r="N8" s="801">
        <v>117</v>
      </c>
      <c r="O8" s="802">
        <v>177</v>
      </c>
      <c r="P8" s="800">
        <v>72</v>
      </c>
      <c r="Q8" s="801">
        <v>166</v>
      </c>
      <c r="R8" s="802">
        <v>238</v>
      </c>
      <c r="S8" s="800">
        <v>73</v>
      </c>
      <c r="T8" s="801">
        <v>161</v>
      </c>
      <c r="U8" s="802">
        <v>234</v>
      </c>
      <c r="V8" s="800">
        <v>103</v>
      </c>
      <c r="W8" s="801">
        <v>187</v>
      </c>
      <c r="X8" s="802">
        <v>290</v>
      </c>
      <c r="Y8" s="800">
        <v>78</v>
      </c>
      <c r="Z8" s="801">
        <v>197</v>
      </c>
      <c r="AA8" s="802">
        <f t="shared" si="0"/>
        <v>275</v>
      </c>
      <c r="AB8" s="803">
        <v>112</v>
      </c>
      <c r="AC8" s="804">
        <v>192</v>
      </c>
      <c r="AD8" s="802">
        <f t="shared" si="1"/>
        <v>304</v>
      </c>
      <c r="AE8" s="803">
        <v>107</v>
      </c>
      <c r="AF8" s="804">
        <v>234</v>
      </c>
      <c r="AG8" s="802">
        <f t="shared" si="2"/>
        <v>341</v>
      </c>
      <c r="AH8" s="803">
        <v>91</v>
      </c>
      <c r="AI8" s="804">
        <v>211</v>
      </c>
      <c r="AJ8" s="802">
        <f t="shared" si="3"/>
        <v>302</v>
      </c>
      <c r="AK8" s="803">
        <v>90</v>
      </c>
      <c r="AL8" s="804">
        <v>227</v>
      </c>
      <c r="AM8" s="802">
        <f t="shared" si="4"/>
        <v>317</v>
      </c>
      <c r="AN8" s="803">
        <v>102</v>
      </c>
      <c r="AO8" s="804">
        <v>222</v>
      </c>
      <c r="AP8" s="802">
        <f t="shared" si="5"/>
        <v>324</v>
      </c>
      <c r="AQ8" s="803">
        <v>96</v>
      </c>
      <c r="AR8" s="804">
        <v>244</v>
      </c>
      <c r="AS8" s="802">
        <f t="shared" si="6"/>
        <v>340</v>
      </c>
      <c r="AT8" s="803">
        <v>127</v>
      </c>
      <c r="AU8" s="804">
        <v>241</v>
      </c>
      <c r="AV8" s="802">
        <f t="shared" si="7"/>
        <v>368</v>
      </c>
    </row>
    <row r="9" spans="1:48" s="186" customFormat="1" ht="15" customHeight="1" x14ac:dyDescent="0.25">
      <c r="A9" s="5666"/>
      <c r="B9" s="5675"/>
      <c r="C9" s="799" t="s">
        <v>449</v>
      </c>
      <c r="D9" s="800">
        <v>24</v>
      </c>
      <c r="E9" s="801">
        <v>56</v>
      </c>
      <c r="F9" s="802">
        <v>80</v>
      </c>
      <c r="G9" s="800">
        <v>25</v>
      </c>
      <c r="H9" s="801">
        <v>72</v>
      </c>
      <c r="I9" s="802">
        <v>97</v>
      </c>
      <c r="J9" s="800">
        <v>43</v>
      </c>
      <c r="K9" s="801">
        <v>79</v>
      </c>
      <c r="L9" s="802">
        <v>122</v>
      </c>
      <c r="M9" s="800">
        <v>25</v>
      </c>
      <c r="N9" s="801">
        <v>60</v>
      </c>
      <c r="O9" s="802">
        <v>85</v>
      </c>
      <c r="P9" s="800">
        <v>24</v>
      </c>
      <c r="Q9" s="801">
        <v>68</v>
      </c>
      <c r="R9" s="802">
        <v>92</v>
      </c>
      <c r="S9" s="800">
        <v>33</v>
      </c>
      <c r="T9" s="801">
        <v>79</v>
      </c>
      <c r="U9" s="802">
        <v>112</v>
      </c>
      <c r="V9" s="800">
        <v>36</v>
      </c>
      <c r="W9" s="801">
        <v>93</v>
      </c>
      <c r="X9" s="802">
        <v>129</v>
      </c>
      <c r="Y9" s="800">
        <v>47</v>
      </c>
      <c r="Z9" s="801">
        <v>151</v>
      </c>
      <c r="AA9" s="802">
        <f t="shared" si="0"/>
        <v>198</v>
      </c>
      <c r="AB9" s="803">
        <v>67</v>
      </c>
      <c r="AC9" s="804">
        <v>139</v>
      </c>
      <c r="AD9" s="802">
        <f t="shared" si="1"/>
        <v>206</v>
      </c>
      <c r="AE9" s="803">
        <v>58</v>
      </c>
      <c r="AF9" s="804">
        <v>179</v>
      </c>
      <c r="AG9" s="802">
        <f t="shared" si="2"/>
        <v>237</v>
      </c>
      <c r="AH9" s="803">
        <v>86</v>
      </c>
      <c r="AI9" s="804">
        <v>224</v>
      </c>
      <c r="AJ9" s="802">
        <f t="shared" si="3"/>
        <v>310</v>
      </c>
      <c r="AK9" s="803">
        <v>75</v>
      </c>
      <c r="AL9" s="804">
        <v>221</v>
      </c>
      <c r="AM9" s="802">
        <f t="shared" si="4"/>
        <v>296</v>
      </c>
      <c r="AN9" s="803">
        <v>100</v>
      </c>
      <c r="AO9" s="804">
        <v>307</v>
      </c>
      <c r="AP9" s="802">
        <f t="shared" si="5"/>
        <v>407</v>
      </c>
      <c r="AQ9" s="803">
        <v>133</v>
      </c>
      <c r="AR9" s="804">
        <v>301</v>
      </c>
      <c r="AS9" s="802">
        <f t="shared" si="6"/>
        <v>434</v>
      </c>
      <c r="AT9" s="803">
        <v>161</v>
      </c>
      <c r="AU9" s="804">
        <v>327</v>
      </c>
      <c r="AV9" s="802">
        <f t="shared" si="7"/>
        <v>488</v>
      </c>
    </row>
    <row r="10" spans="1:48" s="186" customFormat="1" ht="15" customHeight="1" x14ac:dyDescent="0.25">
      <c r="A10" s="5666"/>
      <c r="B10" s="5675"/>
      <c r="C10" s="799" t="s">
        <v>450</v>
      </c>
      <c r="D10" s="800">
        <v>225</v>
      </c>
      <c r="E10" s="801">
        <v>486</v>
      </c>
      <c r="F10" s="802">
        <v>711</v>
      </c>
      <c r="G10" s="800">
        <v>176</v>
      </c>
      <c r="H10" s="801">
        <v>563</v>
      </c>
      <c r="I10" s="802">
        <v>739</v>
      </c>
      <c r="J10" s="800">
        <v>199</v>
      </c>
      <c r="K10" s="801">
        <v>534</v>
      </c>
      <c r="L10" s="802">
        <v>733</v>
      </c>
      <c r="M10" s="800">
        <v>202</v>
      </c>
      <c r="N10" s="801">
        <v>481</v>
      </c>
      <c r="O10" s="802">
        <v>683</v>
      </c>
      <c r="P10" s="800">
        <v>166</v>
      </c>
      <c r="Q10" s="801">
        <v>488</v>
      </c>
      <c r="R10" s="802">
        <v>654</v>
      </c>
      <c r="S10" s="800">
        <v>203</v>
      </c>
      <c r="T10" s="801">
        <v>456</v>
      </c>
      <c r="U10" s="802">
        <v>659</v>
      </c>
      <c r="V10" s="800">
        <v>211</v>
      </c>
      <c r="W10" s="801">
        <v>522</v>
      </c>
      <c r="X10" s="802">
        <v>733</v>
      </c>
      <c r="Y10" s="800">
        <v>261</v>
      </c>
      <c r="Z10" s="801">
        <v>607</v>
      </c>
      <c r="AA10" s="802">
        <f t="shared" si="0"/>
        <v>868</v>
      </c>
      <c r="AB10" s="803">
        <v>254</v>
      </c>
      <c r="AC10" s="804">
        <v>644</v>
      </c>
      <c r="AD10" s="802">
        <f t="shared" si="1"/>
        <v>898</v>
      </c>
      <c r="AE10" s="803">
        <v>284</v>
      </c>
      <c r="AF10" s="804">
        <v>673</v>
      </c>
      <c r="AG10" s="802">
        <f t="shared" si="2"/>
        <v>957</v>
      </c>
      <c r="AH10" s="803">
        <v>281</v>
      </c>
      <c r="AI10" s="804">
        <v>849</v>
      </c>
      <c r="AJ10" s="802">
        <f t="shared" si="3"/>
        <v>1130</v>
      </c>
      <c r="AK10" s="803">
        <v>255</v>
      </c>
      <c r="AL10" s="804">
        <v>873</v>
      </c>
      <c r="AM10" s="802">
        <f t="shared" si="4"/>
        <v>1128</v>
      </c>
      <c r="AN10" s="803">
        <v>300</v>
      </c>
      <c r="AO10" s="804">
        <v>1010</v>
      </c>
      <c r="AP10" s="802">
        <f t="shared" si="5"/>
        <v>1310</v>
      </c>
      <c r="AQ10" s="803">
        <v>347</v>
      </c>
      <c r="AR10" s="804">
        <v>993</v>
      </c>
      <c r="AS10" s="802">
        <f t="shared" si="6"/>
        <v>1340</v>
      </c>
      <c r="AT10" s="803">
        <v>303</v>
      </c>
      <c r="AU10" s="804">
        <v>973</v>
      </c>
      <c r="AV10" s="802">
        <f t="shared" si="7"/>
        <v>1276</v>
      </c>
    </row>
    <row r="11" spans="1:48" s="186" customFormat="1" ht="15" customHeight="1" x14ac:dyDescent="0.25">
      <c r="A11" s="5666"/>
      <c r="B11" s="5675"/>
      <c r="C11" s="799" t="s">
        <v>451</v>
      </c>
      <c r="D11" s="800">
        <v>149</v>
      </c>
      <c r="E11" s="801">
        <v>414</v>
      </c>
      <c r="F11" s="802">
        <v>563</v>
      </c>
      <c r="G11" s="800">
        <v>149</v>
      </c>
      <c r="H11" s="801">
        <v>473</v>
      </c>
      <c r="I11" s="802">
        <v>622</v>
      </c>
      <c r="J11" s="800">
        <v>185</v>
      </c>
      <c r="K11" s="801">
        <v>580</v>
      </c>
      <c r="L11" s="802">
        <v>765</v>
      </c>
      <c r="M11" s="800">
        <v>213</v>
      </c>
      <c r="N11" s="801">
        <v>519</v>
      </c>
      <c r="O11" s="802">
        <v>732</v>
      </c>
      <c r="P11" s="800">
        <v>161</v>
      </c>
      <c r="Q11" s="801">
        <v>527</v>
      </c>
      <c r="R11" s="802">
        <v>688</v>
      </c>
      <c r="S11" s="800">
        <v>189</v>
      </c>
      <c r="T11" s="801">
        <v>494</v>
      </c>
      <c r="U11" s="802">
        <v>683</v>
      </c>
      <c r="V11" s="800">
        <v>198</v>
      </c>
      <c r="W11" s="801">
        <v>569</v>
      </c>
      <c r="X11" s="802">
        <v>767</v>
      </c>
      <c r="Y11" s="800">
        <v>247</v>
      </c>
      <c r="Z11" s="801">
        <v>653</v>
      </c>
      <c r="AA11" s="802">
        <f t="shared" si="0"/>
        <v>900</v>
      </c>
      <c r="AB11" s="803">
        <v>280</v>
      </c>
      <c r="AC11" s="804">
        <v>616</v>
      </c>
      <c r="AD11" s="802">
        <f t="shared" si="1"/>
        <v>896</v>
      </c>
      <c r="AE11" s="803">
        <v>286</v>
      </c>
      <c r="AF11" s="804">
        <v>781</v>
      </c>
      <c r="AG11" s="802">
        <f t="shared" si="2"/>
        <v>1067</v>
      </c>
      <c r="AH11" s="803">
        <v>262</v>
      </c>
      <c r="AI11" s="804">
        <v>815</v>
      </c>
      <c r="AJ11" s="802">
        <f t="shared" si="3"/>
        <v>1077</v>
      </c>
      <c r="AK11" s="803">
        <v>277</v>
      </c>
      <c r="AL11" s="804">
        <v>895</v>
      </c>
      <c r="AM11" s="802">
        <f t="shared" si="4"/>
        <v>1172</v>
      </c>
      <c r="AN11" s="803">
        <v>265</v>
      </c>
      <c r="AO11" s="804">
        <v>1019</v>
      </c>
      <c r="AP11" s="802">
        <f t="shared" si="5"/>
        <v>1284</v>
      </c>
      <c r="AQ11" s="803">
        <v>339</v>
      </c>
      <c r="AR11" s="804">
        <v>1101</v>
      </c>
      <c r="AS11" s="802">
        <f t="shared" si="6"/>
        <v>1440</v>
      </c>
      <c r="AT11" s="803">
        <v>336</v>
      </c>
      <c r="AU11" s="804">
        <v>1103</v>
      </c>
      <c r="AV11" s="802">
        <f t="shared" si="7"/>
        <v>1439</v>
      </c>
    </row>
    <row r="12" spans="1:48" s="186" customFormat="1" ht="15" customHeight="1" x14ac:dyDescent="0.25">
      <c r="A12" s="5666"/>
      <c r="B12" s="5675"/>
      <c r="C12" s="799" t="s">
        <v>452</v>
      </c>
      <c r="D12" s="800">
        <v>18</v>
      </c>
      <c r="E12" s="801">
        <v>43</v>
      </c>
      <c r="F12" s="802">
        <v>61</v>
      </c>
      <c r="G12" s="800">
        <v>15</v>
      </c>
      <c r="H12" s="801">
        <v>51</v>
      </c>
      <c r="I12" s="802">
        <v>66</v>
      </c>
      <c r="J12" s="800">
        <v>31</v>
      </c>
      <c r="K12" s="801">
        <v>62</v>
      </c>
      <c r="L12" s="802">
        <v>93</v>
      </c>
      <c r="M12" s="800">
        <v>25</v>
      </c>
      <c r="N12" s="801">
        <v>69</v>
      </c>
      <c r="O12" s="802">
        <v>94</v>
      </c>
      <c r="P12" s="800">
        <v>20</v>
      </c>
      <c r="Q12" s="801">
        <v>73</v>
      </c>
      <c r="R12" s="802">
        <v>93</v>
      </c>
      <c r="S12" s="800">
        <v>27</v>
      </c>
      <c r="T12" s="801">
        <v>82</v>
      </c>
      <c r="U12" s="802">
        <v>109</v>
      </c>
      <c r="V12" s="800">
        <v>41</v>
      </c>
      <c r="W12" s="801">
        <v>94</v>
      </c>
      <c r="X12" s="802">
        <v>135</v>
      </c>
      <c r="Y12" s="800">
        <v>49</v>
      </c>
      <c r="Z12" s="801">
        <v>112</v>
      </c>
      <c r="AA12" s="802">
        <f t="shared" si="0"/>
        <v>161</v>
      </c>
      <c r="AB12" s="803">
        <v>63</v>
      </c>
      <c r="AC12" s="804">
        <v>131</v>
      </c>
      <c r="AD12" s="802">
        <f t="shared" si="1"/>
        <v>194</v>
      </c>
      <c r="AE12" s="803">
        <v>81</v>
      </c>
      <c r="AF12" s="804">
        <v>177</v>
      </c>
      <c r="AG12" s="802">
        <f t="shared" si="2"/>
        <v>258</v>
      </c>
      <c r="AH12" s="803">
        <v>94</v>
      </c>
      <c r="AI12" s="804">
        <v>235</v>
      </c>
      <c r="AJ12" s="802">
        <f t="shared" si="3"/>
        <v>329</v>
      </c>
      <c r="AK12" s="803">
        <v>87</v>
      </c>
      <c r="AL12" s="804">
        <v>235</v>
      </c>
      <c r="AM12" s="802">
        <f t="shared" si="4"/>
        <v>322</v>
      </c>
      <c r="AN12" s="803">
        <v>136</v>
      </c>
      <c r="AO12" s="804">
        <v>372</v>
      </c>
      <c r="AP12" s="802">
        <f t="shared" si="5"/>
        <v>508</v>
      </c>
      <c r="AQ12" s="803">
        <v>125</v>
      </c>
      <c r="AR12" s="804">
        <v>286</v>
      </c>
      <c r="AS12" s="802">
        <f t="shared" si="6"/>
        <v>411</v>
      </c>
      <c r="AT12" s="803">
        <v>108</v>
      </c>
      <c r="AU12" s="804">
        <v>329</v>
      </c>
      <c r="AV12" s="802">
        <f t="shared" si="7"/>
        <v>437</v>
      </c>
    </row>
    <row r="13" spans="1:48" s="186" customFormat="1" ht="15" customHeight="1" x14ac:dyDescent="0.25">
      <c r="A13" s="5666"/>
      <c r="B13" s="5675"/>
      <c r="C13" s="799" t="s">
        <v>453</v>
      </c>
      <c r="D13" s="800">
        <v>109</v>
      </c>
      <c r="E13" s="801">
        <v>257</v>
      </c>
      <c r="F13" s="802">
        <v>366</v>
      </c>
      <c r="G13" s="800">
        <v>103</v>
      </c>
      <c r="H13" s="801">
        <v>386</v>
      </c>
      <c r="I13" s="802">
        <v>489</v>
      </c>
      <c r="J13" s="800">
        <v>125</v>
      </c>
      <c r="K13" s="801">
        <v>337</v>
      </c>
      <c r="L13" s="802">
        <v>462</v>
      </c>
      <c r="M13" s="800">
        <v>151</v>
      </c>
      <c r="N13" s="801">
        <v>312</v>
      </c>
      <c r="O13" s="802">
        <v>463</v>
      </c>
      <c r="P13" s="800">
        <v>122</v>
      </c>
      <c r="Q13" s="801">
        <v>334</v>
      </c>
      <c r="R13" s="802">
        <v>456</v>
      </c>
      <c r="S13" s="800">
        <v>130</v>
      </c>
      <c r="T13" s="801">
        <v>355</v>
      </c>
      <c r="U13" s="802">
        <v>485</v>
      </c>
      <c r="V13" s="800">
        <v>136</v>
      </c>
      <c r="W13" s="801">
        <v>422</v>
      </c>
      <c r="X13" s="802">
        <v>558</v>
      </c>
      <c r="Y13" s="800">
        <v>186</v>
      </c>
      <c r="Z13" s="801">
        <v>432</v>
      </c>
      <c r="AA13" s="802">
        <f t="shared" si="0"/>
        <v>618</v>
      </c>
      <c r="AB13" s="803">
        <v>185</v>
      </c>
      <c r="AC13" s="804">
        <v>465</v>
      </c>
      <c r="AD13" s="802">
        <f t="shared" si="1"/>
        <v>650</v>
      </c>
      <c r="AE13" s="803">
        <v>203</v>
      </c>
      <c r="AF13" s="804">
        <v>535</v>
      </c>
      <c r="AG13" s="802">
        <f t="shared" si="2"/>
        <v>738</v>
      </c>
      <c r="AH13" s="803">
        <v>184</v>
      </c>
      <c r="AI13" s="804">
        <v>593</v>
      </c>
      <c r="AJ13" s="802">
        <f t="shared" si="3"/>
        <v>777</v>
      </c>
      <c r="AK13" s="803">
        <v>178</v>
      </c>
      <c r="AL13" s="804">
        <v>719</v>
      </c>
      <c r="AM13" s="802">
        <f t="shared" si="4"/>
        <v>897</v>
      </c>
      <c r="AN13" s="803">
        <v>245</v>
      </c>
      <c r="AO13" s="804">
        <v>742</v>
      </c>
      <c r="AP13" s="802">
        <f t="shared" si="5"/>
        <v>987</v>
      </c>
      <c r="AQ13" s="803">
        <v>282</v>
      </c>
      <c r="AR13" s="804">
        <v>795</v>
      </c>
      <c r="AS13" s="802">
        <f t="shared" si="6"/>
        <v>1077</v>
      </c>
      <c r="AT13" s="803">
        <v>322</v>
      </c>
      <c r="AU13" s="804">
        <v>868</v>
      </c>
      <c r="AV13" s="802">
        <f t="shared" si="7"/>
        <v>1190</v>
      </c>
    </row>
    <row r="14" spans="1:48" s="186" customFormat="1" ht="15" customHeight="1" x14ac:dyDescent="0.25">
      <c r="A14" s="5666"/>
      <c r="B14" s="5675"/>
      <c r="C14" s="799" t="s">
        <v>454</v>
      </c>
      <c r="D14" s="800">
        <v>233</v>
      </c>
      <c r="E14" s="801">
        <v>502</v>
      </c>
      <c r="F14" s="802">
        <v>735</v>
      </c>
      <c r="G14" s="800">
        <v>183</v>
      </c>
      <c r="H14" s="801">
        <v>517</v>
      </c>
      <c r="I14" s="802">
        <v>700</v>
      </c>
      <c r="J14" s="800">
        <v>179</v>
      </c>
      <c r="K14" s="801">
        <v>436</v>
      </c>
      <c r="L14" s="802">
        <v>615</v>
      </c>
      <c r="M14" s="800">
        <v>172</v>
      </c>
      <c r="N14" s="801">
        <v>333</v>
      </c>
      <c r="O14" s="802">
        <v>505</v>
      </c>
      <c r="P14" s="800">
        <v>145</v>
      </c>
      <c r="Q14" s="801">
        <v>339</v>
      </c>
      <c r="R14" s="802">
        <v>484</v>
      </c>
      <c r="S14" s="800">
        <v>145</v>
      </c>
      <c r="T14" s="801">
        <v>322</v>
      </c>
      <c r="U14" s="802">
        <v>467</v>
      </c>
      <c r="V14" s="800">
        <v>150</v>
      </c>
      <c r="W14" s="801">
        <v>321</v>
      </c>
      <c r="X14" s="802">
        <v>471</v>
      </c>
      <c r="Y14" s="800">
        <v>214</v>
      </c>
      <c r="Z14" s="801">
        <v>403</v>
      </c>
      <c r="AA14" s="802">
        <f t="shared" si="0"/>
        <v>617</v>
      </c>
      <c r="AB14" s="803">
        <v>232</v>
      </c>
      <c r="AC14" s="804">
        <v>393</v>
      </c>
      <c r="AD14" s="802">
        <f t="shared" si="1"/>
        <v>625</v>
      </c>
      <c r="AE14" s="803">
        <v>239</v>
      </c>
      <c r="AF14" s="804">
        <v>446</v>
      </c>
      <c r="AG14" s="802">
        <f t="shared" si="2"/>
        <v>685</v>
      </c>
      <c r="AH14" s="803">
        <v>224</v>
      </c>
      <c r="AI14" s="804">
        <v>461</v>
      </c>
      <c r="AJ14" s="802">
        <f t="shared" si="3"/>
        <v>685</v>
      </c>
      <c r="AK14" s="803">
        <v>176</v>
      </c>
      <c r="AL14" s="804">
        <v>399</v>
      </c>
      <c r="AM14" s="802">
        <f t="shared" si="4"/>
        <v>575</v>
      </c>
      <c r="AN14" s="803">
        <v>180</v>
      </c>
      <c r="AO14" s="804">
        <v>444</v>
      </c>
      <c r="AP14" s="802">
        <f t="shared" si="5"/>
        <v>624</v>
      </c>
      <c r="AQ14" s="803">
        <v>195</v>
      </c>
      <c r="AR14" s="804">
        <v>460</v>
      </c>
      <c r="AS14" s="802">
        <f t="shared" si="6"/>
        <v>655</v>
      </c>
      <c r="AT14" s="803">
        <v>193</v>
      </c>
      <c r="AU14" s="804">
        <v>443</v>
      </c>
      <c r="AV14" s="802">
        <f t="shared" si="7"/>
        <v>636</v>
      </c>
    </row>
    <row r="15" spans="1:48" s="186" customFormat="1" ht="15" customHeight="1" x14ac:dyDescent="0.25">
      <c r="A15" s="5666"/>
      <c r="B15" s="5675"/>
      <c r="C15" s="808" t="s">
        <v>455</v>
      </c>
      <c r="D15" s="809"/>
      <c r="E15" s="1428">
        <v>1537</v>
      </c>
      <c r="F15" s="811">
        <v>1537</v>
      </c>
      <c r="G15" s="1429">
        <v>760</v>
      </c>
      <c r="H15" s="1428">
        <v>2161</v>
      </c>
      <c r="I15" s="811">
        <v>2921</v>
      </c>
      <c r="J15" s="809">
        <v>840</v>
      </c>
      <c r="K15" s="810">
        <v>1941</v>
      </c>
      <c r="L15" s="811">
        <v>2781</v>
      </c>
      <c r="M15" s="809">
        <v>766</v>
      </c>
      <c r="N15" s="810">
        <v>1599</v>
      </c>
      <c r="O15" s="811">
        <v>2365</v>
      </c>
      <c r="P15" s="809">
        <v>667</v>
      </c>
      <c r="Q15" s="810">
        <v>1565</v>
      </c>
      <c r="R15" s="811">
        <v>2232</v>
      </c>
      <c r="S15" s="809">
        <v>795</v>
      </c>
      <c r="T15" s="810">
        <v>1689</v>
      </c>
      <c r="U15" s="811">
        <v>2484</v>
      </c>
      <c r="V15" s="809">
        <v>849</v>
      </c>
      <c r="W15" s="810">
        <v>1753</v>
      </c>
      <c r="X15" s="811">
        <v>2602</v>
      </c>
      <c r="Y15" s="809">
        <v>991</v>
      </c>
      <c r="Z15" s="810">
        <v>1948</v>
      </c>
      <c r="AA15" s="811">
        <f t="shared" si="0"/>
        <v>2939</v>
      </c>
      <c r="AB15" s="812">
        <v>985</v>
      </c>
      <c r="AC15" s="810">
        <v>1606</v>
      </c>
      <c r="AD15" s="811">
        <f t="shared" si="1"/>
        <v>2591</v>
      </c>
      <c r="AE15" s="812">
        <v>984</v>
      </c>
      <c r="AF15" s="810">
        <v>1721</v>
      </c>
      <c r="AG15" s="811">
        <f t="shared" si="2"/>
        <v>2705</v>
      </c>
      <c r="AH15" s="812">
        <v>661</v>
      </c>
      <c r="AI15" s="810">
        <v>1616</v>
      </c>
      <c r="AJ15" s="811">
        <f t="shared" si="3"/>
        <v>2277</v>
      </c>
      <c r="AK15" s="803">
        <v>610</v>
      </c>
      <c r="AL15" s="810">
        <v>1560</v>
      </c>
      <c r="AM15" s="811">
        <f t="shared" si="4"/>
        <v>2170</v>
      </c>
      <c r="AN15" s="803">
        <v>637</v>
      </c>
      <c r="AO15" s="810">
        <v>1669</v>
      </c>
      <c r="AP15" s="811">
        <f t="shared" si="5"/>
        <v>2306</v>
      </c>
      <c r="AQ15" s="803">
        <v>651</v>
      </c>
      <c r="AR15" s="810">
        <v>1628</v>
      </c>
      <c r="AS15" s="811">
        <f t="shared" si="6"/>
        <v>2279</v>
      </c>
      <c r="AT15" s="803">
        <v>631</v>
      </c>
      <c r="AU15" s="810">
        <v>1623</v>
      </c>
      <c r="AV15" s="811">
        <f t="shared" si="7"/>
        <v>2254</v>
      </c>
    </row>
    <row r="16" spans="1:48" s="186" customFormat="1" ht="15" customHeight="1" x14ac:dyDescent="0.25">
      <c r="A16" s="5666"/>
      <c r="B16" s="5676"/>
      <c r="C16" s="4475" t="s">
        <v>160</v>
      </c>
      <c r="D16" s="4476">
        <f t="shared" ref="D16:I16" si="8">SUM(D6:D15)</f>
        <v>983</v>
      </c>
      <c r="E16" s="4477">
        <f t="shared" si="8"/>
        <v>3792</v>
      </c>
      <c r="F16" s="4478">
        <f t="shared" si="8"/>
        <v>4775</v>
      </c>
      <c r="G16" s="4476">
        <f t="shared" si="8"/>
        <v>1626</v>
      </c>
      <c r="H16" s="4477">
        <f t="shared" si="8"/>
        <v>4865</v>
      </c>
      <c r="I16" s="4478">
        <f t="shared" si="8"/>
        <v>6491</v>
      </c>
      <c r="J16" s="4476">
        <f t="shared" ref="J16:AG16" si="9">SUM(J6:J15)</f>
        <v>1842</v>
      </c>
      <c r="K16" s="4477">
        <f t="shared" si="9"/>
        <v>4634</v>
      </c>
      <c r="L16" s="4478">
        <f t="shared" si="9"/>
        <v>6476</v>
      </c>
      <c r="M16" s="4476">
        <f t="shared" si="9"/>
        <v>1847</v>
      </c>
      <c r="N16" s="4477">
        <f t="shared" si="9"/>
        <v>3951</v>
      </c>
      <c r="O16" s="4478">
        <f t="shared" si="9"/>
        <v>5798</v>
      </c>
      <c r="P16" s="4476">
        <f t="shared" si="9"/>
        <v>1602</v>
      </c>
      <c r="Q16" s="4477">
        <f t="shared" si="9"/>
        <v>4194</v>
      </c>
      <c r="R16" s="4478">
        <f t="shared" si="9"/>
        <v>5796</v>
      </c>
      <c r="S16" s="4476">
        <f t="shared" si="9"/>
        <v>1910</v>
      </c>
      <c r="T16" s="4477">
        <f t="shared" si="9"/>
        <v>4434</v>
      </c>
      <c r="U16" s="4478">
        <f t="shared" si="9"/>
        <v>6344</v>
      </c>
      <c r="V16" s="4476">
        <f t="shared" si="9"/>
        <v>2077</v>
      </c>
      <c r="W16" s="4477">
        <f t="shared" si="9"/>
        <v>4916</v>
      </c>
      <c r="X16" s="4478">
        <f t="shared" si="9"/>
        <v>6993</v>
      </c>
      <c r="Y16" s="4476">
        <f t="shared" si="9"/>
        <v>2514</v>
      </c>
      <c r="Z16" s="4477">
        <f t="shared" si="9"/>
        <v>5779</v>
      </c>
      <c r="AA16" s="4478">
        <f t="shared" si="9"/>
        <v>8293</v>
      </c>
      <c r="AB16" s="4476">
        <f t="shared" si="9"/>
        <v>2734</v>
      </c>
      <c r="AC16" s="4477">
        <f t="shared" si="9"/>
        <v>5448</v>
      </c>
      <c r="AD16" s="4478">
        <f t="shared" si="9"/>
        <v>8182</v>
      </c>
      <c r="AE16" s="4476">
        <f t="shared" si="9"/>
        <v>2816</v>
      </c>
      <c r="AF16" s="4477">
        <f t="shared" si="9"/>
        <v>6205</v>
      </c>
      <c r="AG16" s="4478">
        <f t="shared" si="9"/>
        <v>9021</v>
      </c>
      <c r="AH16" s="4476">
        <f t="shared" ref="AH16:AM16" si="10">SUM(AH6:AH15)</f>
        <v>2446</v>
      </c>
      <c r="AI16" s="4477">
        <f t="shared" si="10"/>
        <v>6503</v>
      </c>
      <c r="AJ16" s="4478">
        <f t="shared" si="10"/>
        <v>8949</v>
      </c>
      <c r="AK16" s="4479">
        <f t="shared" si="10"/>
        <v>2244</v>
      </c>
      <c r="AL16" s="4480">
        <f t="shared" si="10"/>
        <v>6852</v>
      </c>
      <c r="AM16" s="4478">
        <f t="shared" si="10"/>
        <v>9096</v>
      </c>
      <c r="AN16" s="4479">
        <f t="shared" ref="AN16:AV16" si="11">SUM(AN6:AN15)</f>
        <v>2565</v>
      </c>
      <c r="AO16" s="4480">
        <f t="shared" si="11"/>
        <v>7543</v>
      </c>
      <c r="AP16" s="4478">
        <f t="shared" si="11"/>
        <v>10108</v>
      </c>
      <c r="AQ16" s="4479">
        <f t="shared" si="11"/>
        <v>2767</v>
      </c>
      <c r="AR16" s="4480">
        <f t="shared" si="11"/>
        <v>7593</v>
      </c>
      <c r="AS16" s="4478">
        <f t="shared" si="11"/>
        <v>10360</v>
      </c>
      <c r="AT16" s="4479">
        <f t="shared" si="11"/>
        <v>2752</v>
      </c>
      <c r="AU16" s="4480">
        <f t="shared" si="11"/>
        <v>7599</v>
      </c>
      <c r="AV16" s="4478">
        <f t="shared" si="11"/>
        <v>10351</v>
      </c>
    </row>
    <row r="17" spans="1:48" s="186" customFormat="1" ht="15" customHeight="1" x14ac:dyDescent="0.25">
      <c r="A17" s="5666"/>
      <c r="B17" s="5674" t="s">
        <v>6</v>
      </c>
      <c r="C17" s="4481" t="s">
        <v>456</v>
      </c>
      <c r="D17" s="4482">
        <v>964</v>
      </c>
      <c r="E17" s="4483">
        <v>2361</v>
      </c>
      <c r="F17" s="4484">
        <v>3325</v>
      </c>
      <c r="G17" s="4482">
        <v>1004</v>
      </c>
      <c r="H17" s="4483">
        <v>2503</v>
      </c>
      <c r="I17" s="4484">
        <v>3507</v>
      </c>
      <c r="J17" s="4482">
        <v>1071</v>
      </c>
      <c r="K17" s="4483">
        <v>2448</v>
      </c>
      <c r="L17" s="4484">
        <v>3519</v>
      </c>
      <c r="M17" s="4482">
        <v>1074</v>
      </c>
      <c r="N17" s="4483">
        <v>2107</v>
      </c>
      <c r="O17" s="4484">
        <v>3181</v>
      </c>
      <c r="P17" s="4482">
        <v>1032</v>
      </c>
      <c r="Q17" s="4483">
        <v>2393</v>
      </c>
      <c r="R17" s="4484">
        <v>3425</v>
      </c>
      <c r="S17" s="4482">
        <v>1175</v>
      </c>
      <c r="T17" s="4483">
        <v>2180</v>
      </c>
      <c r="U17" s="4484">
        <v>3355</v>
      </c>
      <c r="V17" s="4482">
        <v>1053</v>
      </c>
      <c r="W17" s="4483">
        <v>2186</v>
      </c>
      <c r="X17" s="4484">
        <v>3239</v>
      </c>
      <c r="Y17" s="4482">
        <v>1088</v>
      </c>
      <c r="Z17" s="4483">
        <v>2343</v>
      </c>
      <c r="AA17" s="4484">
        <f t="shared" si="0"/>
        <v>3431</v>
      </c>
      <c r="AB17" s="4485">
        <v>1169</v>
      </c>
      <c r="AC17" s="4486">
        <v>2206</v>
      </c>
      <c r="AD17" s="4484">
        <f t="shared" si="1"/>
        <v>3375</v>
      </c>
      <c r="AE17" s="4485">
        <v>1135</v>
      </c>
      <c r="AF17" s="4486">
        <v>2484</v>
      </c>
      <c r="AG17" s="4484">
        <f t="shared" si="2"/>
        <v>3619</v>
      </c>
      <c r="AH17" s="4485">
        <v>1051</v>
      </c>
      <c r="AI17" s="4486">
        <v>2435</v>
      </c>
      <c r="AJ17" s="4484">
        <f>SUM(AH17:AI17)</f>
        <v>3486</v>
      </c>
      <c r="AK17" s="4485">
        <v>884</v>
      </c>
      <c r="AL17" s="4486">
        <v>2357</v>
      </c>
      <c r="AM17" s="4484">
        <f>SUM(AK17:AL17)</f>
        <v>3241</v>
      </c>
      <c r="AN17" s="4485">
        <v>987</v>
      </c>
      <c r="AO17" s="4486">
        <v>2659</v>
      </c>
      <c r="AP17" s="4484">
        <f>SUM(AN17:AO17)</f>
        <v>3646</v>
      </c>
      <c r="AQ17" s="4485">
        <v>1020</v>
      </c>
      <c r="AR17" s="4486">
        <v>2834</v>
      </c>
      <c r="AS17" s="4484">
        <f>SUM(AQ17:AR17)</f>
        <v>3854</v>
      </c>
      <c r="AT17" s="4485">
        <v>933</v>
      </c>
      <c r="AU17" s="4486">
        <v>2717</v>
      </c>
      <c r="AV17" s="4484">
        <f>SUM(AT17:AU17)</f>
        <v>3650</v>
      </c>
    </row>
    <row r="18" spans="1:48" s="186" customFormat="1" ht="15" customHeight="1" x14ac:dyDescent="0.25">
      <c r="A18" s="5666"/>
      <c r="B18" s="5675"/>
      <c r="C18" s="799" t="s">
        <v>457</v>
      </c>
      <c r="D18" s="800">
        <v>1183</v>
      </c>
      <c r="E18" s="801">
        <v>3384</v>
      </c>
      <c r="F18" s="802">
        <v>4567</v>
      </c>
      <c r="G18" s="800">
        <v>1118</v>
      </c>
      <c r="H18" s="801">
        <v>3487</v>
      </c>
      <c r="I18" s="802">
        <v>4605</v>
      </c>
      <c r="J18" s="800">
        <v>1295</v>
      </c>
      <c r="K18" s="801">
        <v>3396</v>
      </c>
      <c r="L18" s="802">
        <v>4691</v>
      </c>
      <c r="M18" s="800">
        <v>1397</v>
      </c>
      <c r="N18" s="801">
        <v>3168</v>
      </c>
      <c r="O18" s="802">
        <v>4565</v>
      </c>
      <c r="P18" s="800">
        <v>1278</v>
      </c>
      <c r="Q18" s="801">
        <v>3257</v>
      </c>
      <c r="R18" s="802">
        <v>4535</v>
      </c>
      <c r="S18" s="800">
        <v>1351</v>
      </c>
      <c r="T18" s="801">
        <v>3052</v>
      </c>
      <c r="U18" s="802">
        <v>4403</v>
      </c>
      <c r="V18" s="800">
        <v>1296</v>
      </c>
      <c r="W18" s="801">
        <v>3408</v>
      </c>
      <c r="X18" s="802">
        <v>4704</v>
      </c>
      <c r="Y18" s="800">
        <v>1421</v>
      </c>
      <c r="Z18" s="801">
        <v>3744</v>
      </c>
      <c r="AA18" s="802">
        <f t="shared" si="0"/>
        <v>5165</v>
      </c>
      <c r="AB18" s="803">
        <v>1679</v>
      </c>
      <c r="AC18" s="804">
        <v>3652</v>
      </c>
      <c r="AD18" s="802">
        <f t="shared" si="1"/>
        <v>5331</v>
      </c>
      <c r="AE18" s="803">
        <v>1596</v>
      </c>
      <c r="AF18" s="804">
        <v>4149</v>
      </c>
      <c r="AG18" s="802">
        <f t="shared" si="2"/>
        <v>5745</v>
      </c>
      <c r="AH18" s="803">
        <v>1490</v>
      </c>
      <c r="AI18" s="804">
        <v>4084</v>
      </c>
      <c r="AJ18" s="802">
        <f>SUM(AH18:AI18)</f>
        <v>5574</v>
      </c>
      <c r="AK18" s="803">
        <v>1250</v>
      </c>
      <c r="AL18" s="804">
        <v>4071</v>
      </c>
      <c r="AM18" s="802">
        <f>SUM(AK18:AL18)</f>
        <v>5321</v>
      </c>
      <c r="AN18" s="803">
        <v>1380</v>
      </c>
      <c r="AO18" s="804">
        <v>4062</v>
      </c>
      <c r="AP18" s="802">
        <f>SUM(AN18:AO18)</f>
        <v>5442</v>
      </c>
      <c r="AQ18" s="803">
        <v>1367</v>
      </c>
      <c r="AR18" s="804">
        <v>3925</v>
      </c>
      <c r="AS18" s="802">
        <f>SUM(AQ18:AR18)</f>
        <v>5292</v>
      </c>
      <c r="AT18" s="803">
        <v>1281</v>
      </c>
      <c r="AU18" s="804">
        <v>3699</v>
      </c>
      <c r="AV18" s="802">
        <f>SUM(AT18:AU18)</f>
        <v>4980</v>
      </c>
    </row>
    <row r="19" spans="1:48" s="186" customFormat="1" ht="15" customHeight="1" x14ac:dyDescent="0.25">
      <c r="A19" s="5666"/>
      <c r="B19" s="5675"/>
      <c r="C19" s="799" t="s">
        <v>458</v>
      </c>
      <c r="D19" s="800">
        <v>181</v>
      </c>
      <c r="E19" s="801">
        <v>379</v>
      </c>
      <c r="F19" s="802">
        <v>560</v>
      </c>
      <c r="G19" s="800">
        <v>159</v>
      </c>
      <c r="H19" s="801">
        <v>438</v>
      </c>
      <c r="I19" s="802">
        <v>597</v>
      </c>
      <c r="J19" s="800">
        <v>200</v>
      </c>
      <c r="K19" s="801">
        <v>487</v>
      </c>
      <c r="L19" s="802">
        <v>687</v>
      </c>
      <c r="M19" s="800">
        <v>209</v>
      </c>
      <c r="N19" s="801">
        <v>451</v>
      </c>
      <c r="O19" s="802">
        <v>660</v>
      </c>
      <c r="P19" s="800">
        <v>213</v>
      </c>
      <c r="Q19" s="801">
        <v>432</v>
      </c>
      <c r="R19" s="802">
        <v>645</v>
      </c>
      <c r="S19" s="800">
        <v>243</v>
      </c>
      <c r="T19" s="801">
        <v>617</v>
      </c>
      <c r="U19" s="802">
        <v>860</v>
      </c>
      <c r="V19" s="800">
        <v>340</v>
      </c>
      <c r="W19" s="801">
        <v>629</v>
      </c>
      <c r="X19" s="802">
        <v>969</v>
      </c>
      <c r="Y19" s="800">
        <v>301</v>
      </c>
      <c r="Z19" s="801">
        <v>659</v>
      </c>
      <c r="AA19" s="802">
        <f t="shared" si="0"/>
        <v>960</v>
      </c>
      <c r="AB19" s="803">
        <v>349</v>
      </c>
      <c r="AC19" s="804">
        <v>609</v>
      </c>
      <c r="AD19" s="802">
        <f t="shared" si="1"/>
        <v>958</v>
      </c>
      <c r="AE19" s="803">
        <v>306</v>
      </c>
      <c r="AF19" s="804">
        <v>710</v>
      </c>
      <c r="AG19" s="802">
        <f t="shared" si="2"/>
        <v>1016</v>
      </c>
      <c r="AH19" s="803">
        <v>315</v>
      </c>
      <c r="AI19" s="804">
        <v>753</v>
      </c>
      <c r="AJ19" s="802">
        <f>SUM(AH19:AI19)</f>
        <v>1068</v>
      </c>
      <c r="AK19" s="803">
        <v>269</v>
      </c>
      <c r="AL19" s="804">
        <v>748</v>
      </c>
      <c r="AM19" s="802">
        <f>SUM(AK19:AL19)</f>
        <v>1017</v>
      </c>
      <c r="AN19" s="803">
        <v>306</v>
      </c>
      <c r="AO19" s="804">
        <v>803</v>
      </c>
      <c r="AP19" s="802">
        <f>SUM(AN19:AO19)</f>
        <v>1109</v>
      </c>
      <c r="AQ19" s="803">
        <v>347</v>
      </c>
      <c r="AR19" s="804">
        <v>794</v>
      </c>
      <c r="AS19" s="802">
        <f>SUM(AQ19:AR19)</f>
        <v>1141</v>
      </c>
      <c r="AT19" s="803">
        <v>378</v>
      </c>
      <c r="AU19" s="804">
        <v>986</v>
      </c>
      <c r="AV19" s="802">
        <f>SUM(AT19:AU19)</f>
        <v>1364</v>
      </c>
    </row>
    <row r="20" spans="1:48" s="186" customFormat="1" ht="15" customHeight="1" x14ac:dyDescent="0.25">
      <c r="A20" s="5666"/>
      <c r="B20" s="5675"/>
      <c r="C20" s="808" t="s">
        <v>459</v>
      </c>
      <c r="D20" s="809">
        <v>221</v>
      </c>
      <c r="E20" s="1428">
        <v>447</v>
      </c>
      <c r="F20" s="811">
        <v>668</v>
      </c>
      <c r="G20" s="1429">
        <v>269</v>
      </c>
      <c r="H20" s="1428">
        <v>509</v>
      </c>
      <c r="I20" s="811">
        <v>778</v>
      </c>
      <c r="J20" s="809">
        <v>274</v>
      </c>
      <c r="K20" s="810">
        <v>505</v>
      </c>
      <c r="L20" s="811">
        <v>779</v>
      </c>
      <c r="M20" s="809">
        <v>272</v>
      </c>
      <c r="N20" s="810">
        <v>431</v>
      </c>
      <c r="O20" s="811">
        <v>703</v>
      </c>
      <c r="P20" s="809">
        <v>284</v>
      </c>
      <c r="Q20" s="810">
        <v>562</v>
      </c>
      <c r="R20" s="811">
        <v>846</v>
      </c>
      <c r="S20" s="809">
        <v>363</v>
      </c>
      <c r="T20" s="810">
        <v>722</v>
      </c>
      <c r="U20" s="811">
        <v>1085</v>
      </c>
      <c r="V20" s="809">
        <v>418</v>
      </c>
      <c r="W20" s="810">
        <v>736</v>
      </c>
      <c r="X20" s="811">
        <v>1154</v>
      </c>
      <c r="Y20" s="809">
        <v>482</v>
      </c>
      <c r="Z20" s="810">
        <v>837</v>
      </c>
      <c r="AA20" s="811">
        <f t="shared" si="0"/>
        <v>1319</v>
      </c>
      <c r="AB20" s="812">
        <v>449</v>
      </c>
      <c r="AC20" s="810">
        <v>733</v>
      </c>
      <c r="AD20" s="811">
        <f t="shared" si="1"/>
        <v>1182</v>
      </c>
      <c r="AE20" s="812">
        <v>518</v>
      </c>
      <c r="AF20" s="810">
        <v>815</v>
      </c>
      <c r="AG20" s="811">
        <f t="shared" si="2"/>
        <v>1333</v>
      </c>
      <c r="AH20" s="812">
        <v>419</v>
      </c>
      <c r="AI20" s="810">
        <v>838</v>
      </c>
      <c r="AJ20" s="811">
        <f>SUM(AH20:AI20)</f>
        <v>1257</v>
      </c>
      <c r="AK20" s="803">
        <v>350</v>
      </c>
      <c r="AL20" s="810">
        <v>823</v>
      </c>
      <c r="AM20" s="811">
        <f>SUM(AK20:AL20)</f>
        <v>1173</v>
      </c>
      <c r="AN20" s="803">
        <v>386</v>
      </c>
      <c r="AO20" s="810">
        <v>835</v>
      </c>
      <c r="AP20" s="811">
        <f>SUM(AN20:AO20)</f>
        <v>1221</v>
      </c>
      <c r="AQ20" s="803">
        <v>326</v>
      </c>
      <c r="AR20" s="810">
        <v>678</v>
      </c>
      <c r="AS20" s="811">
        <f>SUM(AQ20:AR20)</f>
        <v>1004</v>
      </c>
      <c r="AT20" s="803">
        <v>297</v>
      </c>
      <c r="AU20" s="810">
        <v>687</v>
      </c>
      <c r="AV20" s="811">
        <f>SUM(AT20:AU20)</f>
        <v>984</v>
      </c>
    </row>
    <row r="21" spans="1:48" s="186" customFormat="1" ht="15" customHeight="1" x14ac:dyDescent="0.25">
      <c r="A21" s="5666"/>
      <c r="B21" s="5676"/>
      <c r="C21" s="4475" t="s">
        <v>160</v>
      </c>
      <c r="D21" s="4476">
        <f>SUM(D17:D20)</f>
        <v>2549</v>
      </c>
      <c r="E21" s="4477">
        <f t="shared" ref="E21:AG21" si="12">SUM(E17:E20)</f>
        <v>6571</v>
      </c>
      <c r="F21" s="4478">
        <f t="shared" si="12"/>
        <v>9120</v>
      </c>
      <c r="G21" s="4476">
        <f t="shared" si="12"/>
        <v>2550</v>
      </c>
      <c r="H21" s="4477">
        <f t="shared" si="12"/>
        <v>6937</v>
      </c>
      <c r="I21" s="4478">
        <f t="shared" si="12"/>
        <v>9487</v>
      </c>
      <c r="J21" s="4476">
        <f t="shared" si="12"/>
        <v>2840</v>
      </c>
      <c r="K21" s="4477">
        <f t="shared" si="12"/>
        <v>6836</v>
      </c>
      <c r="L21" s="4478">
        <f t="shared" si="12"/>
        <v>9676</v>
      </c>
      <c r="M21" s="4476">
        <f t="shared" si="12"/>
        <v>2952</v>
      </c>
      <c r="N21" s="4477">
        <f t="shared" si="12"/>
        <v>6157</v>
      </c>
      <c r="O21" s="4478">
        <f t="shared" si="12"/>
        <v>9109</v>
      </c>
      <c r="P21" s="4476">
        <f t="shared" si="12"/>
        <v>2807</v>
      </c>
      <c r="Q21" s="4477">
        <f t="shared" si="12"/>
        <v>6644</v>
      </c>
      <c r="R21" s="4478">
        <f t="shared" si="12"/>
        <v>9451</v>
      </c>
      <c r="S21" s="4476">
        <f t="shared" si="12"/>
        <v>3132</v>
      </c>
      <c r="T21" s="4477">
        <f t="shared" si="12"/>
        <v>6571</v>
      </c>
      <c r="U21" s="4478">
        <f t="shared" si="12"/>
        <v>9703</v>
      </c>
      <c r="V21" s="4476">
        <f t="shared" si="12"/>
        <v>3107</v>
      </c>
      <c r="W21" s="4477">
        <f t="shared" si="12"/>
        <v>6959</v>
      </c>
      <c r="X21" s="4478">
        <f t="shared" si="12"/>
        <v>10066</v>
      </c>
      <c r="Y21" s="4476">
        <f t="shared" si="12"/>
        <v>3292</v>
      </c>
      <c r="Z21" s="4477">
        <f t="shared" si="12"/>
        <v>7583</v>
      </c>
      <c r="AA21" s="4478">
        <f t="shared" si="12"/>
        <v>10875</v>
      </c>
      <c r="AB21" s="4476">
        <f t="shared" si="12"/>
        <v>3646</v>
      </c>
      <c r="AC21" s="4477">
        <f t="shared" si="12"/>
        <v>7200</v>
      </c>
      <c r="AD21" s="4478">
        <f t="shared" si="12"/>
        <v>10846</v>
      </c>
      <c r="AE21" s="4476">
        <f t="shared" si="12"/>
        <v>3555</v>
      </c>
      <c r="AF21" s="4477">
        <f t="shared" si="12"/>
        <v>8158</v>
      </c>
      <c r="AG21" s="4478">
        <f t="shared" si="12"/>
        <v>11713</v>
      </c>
      <c r="AH21" s="4476">
        <f t="shared" ref="AH21:AM21" si="13">SUM(AH17:AH20)</f>
        <v>3275</v>
      </c>
      <c r="AI21" s="4477">
        <f t="shared" si="13"/>
        <v>8110</v>
      </c>
      <c r="AJ21" s="4478">
        <f t="shared" si="13"/>
        <v>11385</v>
      </c>
      <c r="AK21" s="4479">
        <f>SUM(AK17:AK20)</f>
        <v>2753</v>
      </c>
      <c r="AL21" s="4480">
        <f>SUM(AL17:AL20)</f>
        <v>7999</v>
      </c>
      <c r="AM21" s="4478">
        <f t="shared" si="13"/>
        <v>10752</v>
      </c>
      <c r="AN21" s="4479">
        <f t="shared" ref="AN21:AV21" si="14">SUM(AN17:AN20)</f>
        <v>3059</v>
      </c>
      <c r="AO21" s="4480">
        <f t="shared" si="14"/>
        <v>8359</v>
      </c>
      <c r="AP21" s="4478">
        <f t="shared" si="14"/>
        <v>11418</v>
      </c>
      <c r="AQ21" s="4479">
        <f t="shared" si="14"/>
        <v>3060</v>
      </c>
      <c r="AR21" s="4480">
        <f t="shared" si="14"/>
        <v>8231</v>
      </c>
      <c r="AS21" s="4478">
        <f t="shared" si="14"/>
        <v>11291</v>
      </c>
      <c r="AT21" s="4479">
        <f t="shared" si="14"/>
        <v>2889</v>
      </c>
      <c r="AU21" s="4480">
        <f t="shared" si="14"/>
        <v>8089</v>
      </c>
      <c r="AV21" s="4478">
        <f t="shared" si="14"/>
        <v>10978</v>
      </c>
    </row>
    <row r="22" spans="1:48" s="186" customFormat="1" ht="15" customHeight="1" x14ac:dyDescent="0.25">
      <c r="A22" s="5666"/>
      <c r="B22" s="5674" t="s">
        <v>7</v>
      </c>
      <c r="C22" s="4481" t="s">
        <v>460</v>
      </c>
      <c r="D22" s="4482">
        <v>301</v>
      </c>
      <c r="E22" s="4483">
        <v>777</v>
      </c>
      <c r="F22" s="4484">
        <v>1078</v>
      </c>
      <c r="G22" s="4482">
        <v>321</v>
      </c>
      <c r="H22" s="4483">
        <v>827</v>
      </c>
      <c r="I22" s="4484">
        <v>1148</v>
      </c>
      <c r="J22" s="4482">
        <v>325</v>
      </c>
      <c r="K22" s="4483">
        <v>914</v>
      </c>
      <c r="L22" s="4484">
        <v>1239</v>
      </c>
      <c r="M22" s="4482">
        <v>345</v>
      </c>
      <c r="N22" s="4483">
        <v>760</v>
      </c>
      <c r="O22" s="4484">
        <v>1105</v>
      </c>
      <c r="P22" s="4482">
        <v>333</v>
      </c>
      <c r="Q22" s="4483">
        <v>907</v>
      </c>
      <c r="R22" s="4484">
        <v>1240</v>
      </c>
      <c r="S22" s="4482">
        <v>495</v>
      </c>
      <c r="T22" s="4483">
        <v>973</v>
      </c>
      <c r="U22" s="4484">
        <v>1468</v>
      </c>
      <c r="V22" s="4482">
        <v>496</v>
      </c>
      <c r="W22" s="4483">
        <v>1119</v>
      </c>
      <c r="X22" s="4484">
        <v>1615</v>
      </c>
      <c r="Y22" s="4482">
        <v>536</v>
      </c>
      <c r="Z22" s="4483">
        <v>1376</v>
      </c>
      <c r="AA22" s="4484">
        <f t="shared" si="0"/>
        <v>1912</v>
      </c>
      <c r="AB22" s="4485">
        <v>663</v>
      </c>
      <c r="AC22" s="4486">
        <v>1313</v>
      </c>
      <c r="AD22" s="4484">
        <f t="shared" si="1"/>
        <v>1976</v>
      </c>
      <c r="AE22" s="4485">
        <v>665</v>
      </c>
      <c r="AF22" s="4486">
        <v>1773</v>
      </c>
      <c r="AG22" s="4484">
        <f t="shared" si="2"/>
        <v>2438</v>
      </c>
      <c r="AH22" s="4485">
        <v>693</v>
      </c>
      <c r="AI22" s="4486">
        <v>1692</v>
      </c>
      <c r="AJ22" s="4484">
        <f>SUM(AH22:AI22)</f>
        <v>2385</v>
      </c>
      <c r="AK22" s="4485">
        <v>629</v>
      </c>
      <c r="AL22" s="4486">
        <v>1766</v>
      </c>
      <c r="AM22" s="4484">
        <f>SUM(AK22:AL22)</f>
        <v>2395</v>
      </c>
      <c r="AN22" s="4485">
        <v>696</v>
      </c>
      <c r="AO22" s="4486">
        <v>1894</v>
      </c>
      <c r="AP22" s="4484">
        <f>SUM(AN22:AO22)</f>
        <v>2590</v>
      </c>
      <c r="AQ22" s="4485">
        <v>760</v>
      </c>
      <c r="AR22" s="4486">
        <v>2048</v>
      </c>
      <c r="AS22" s="4484">
        <f>SUM(AQ22:AR22)</f>
        <v>2808</v>
      </c>
      <c r="AT22" s="4485">
        <v>741</v>
      </c>
      <c r="AU22" s="4486">
        <v>2109</v>
      </c>
      <c r="AV22" s="4484">
        <f>SUM(AT22:AU22)</f>
        <v>2850</v>
      </c>
    </row>
    <row r="23" spans="1:48" s="186" customFormat="1" ht="15" customHeight="1" x14ac:dyDescent="0.25">
      <c r="A23" s="5666"/>
      <c r="B23" s="5675"/>
      <c r="C23" s="799" t="s">
        <v>461</v>
      </c>
      <c r="D23" s="800">
        <v>970</v>
      </c>
      <c r="E23" s="801">
        <v>2563</v>
      </c>
      <c r="F23" s="802">
        <v>3533</v>
      </c>
      <c r="G23" s="800">
        <v>1037</v>
      </c>
      <c r="H23" s="801">
        <v>2612</v>
      </c>
      <c r="I23" s="802">
        <v>3649</v>
      </c>
      <c r="J23" s="800">
        <v>1105</v>
      </c>
      <c r="K23" s="801">
        <v>2608</v>
      </c>
      <c r="L23" s="802">
        <v>3713</v>
      </c>
      <c r="M23" s="800">
        <v>1182</v>
      </c>
      <c r="N23" s="801">
        <v>2413</v>
      </c>
      <c r="O23" s="802">
        <v>3595</v>
      </c>
      <c r="P23" s="800">
        <v>1180</v>
      </c>
      <c r="Q23" s="801">
        <v>2826</v>
      </c>
      <c r="R23" s="802">
        <v>4006</v>
      </c>
      <c r="S23" s="800">
        <v>1477</v>
      </c>
      <c r="T23" s="801">
        <v>2995</v>
      </c>
      <c r="U23" s="802">
        <v>4472</v>
      </c>
      <c r="V23" s="800">
        <v>1531</v>
      </c>
      <c r="W23" s="801">
        <v>3193</v>
      </c>
      <c r="X23" s="802">
        <v>4724</v>
      </c>
      <c r="Y23" s="800">
        <v>1652</v>
      </c>
      <c r="Z23" s="801">
        <v>3575</v>
      </c>
      <c r="AA23" s="802">
        <f t="shared" si="0"/>
        <v>5227</v>
      </c>
      <c r="AB23" s="803">
        <v>1807</v>
      </c>
      <c r="AC23" s="804">
        <v>3245</v>
      </c>
      <c r="AD23" s="802">
        <f t="shared" si="1"/>
        <v>5052</v>
      </c>
      <c r="AE23" s="803">
        <v>1719</v>
      </c>
      <c r="AF23" s="804">
        <v>3733</v>
      </c>
      <c r="AG23" s="802">
        <f t="shared" si="2"/>
        <v>5452</v>
      </c>
      <c r="AH23" s="803">
        <v>1418</v>
      </c>
      <c r="AI23" s="804">
        <v>3331</v>
      </c>
      <c r="AJ23" s="802">
        <f>SUM(AH23:AI23)</f>
        <v>4749</v>
      </c>
      <c r="AK23" s="803">
        <v>1202</v>
      </c>
      <c r="AL23" s="804">
        <v>2911</v>
      </c>
      <c r="AM23" s="802">
        <f>SUM(AK23:AL23)</f>
        <v>4113</v>
      </c>
      <c r="AN23" s="803">
        <v>1119</v>
      </c>
      <c r="AO23" s="804">
        <v>2595</v>
      </c>
      <c r="AP23" s="802">
        <f>SUM(AN23:AO23)</f>
        <v>3714</v>
      </c>
      <c r="AQ23" s="803">
        <v>961</v>
      </c>
      <c r="AR23" s="804">
        <v>2422</v>
      </c>
      <c r="AS23" s="802">
        <f>SUM(AQ23:AR23)</f>
        <v>3383</v>
      </c>
      <c r="AT23" s="803">
        <v>946</v>
      </c>
      <c r="AU23" s="804">
        <v>2265</v>
      </c>
      <c r="AV23" s="802">
        <f>SUM(AT23:AU23)</f>
        <v>3211</v>
      </c>
    </row>
    <row r="24" spans="1:48" s="186" customFormat="1" ht="15" customHeight="1" x14ac:dyDescent="0.25">
      <c r="A24" s="5666"/>
      <c r="B24" s="5675"/>
      <c r="C24" s="808" t="s">
        <v>462</v>
      </c>
      <c r="D24" s="809">
        <v>156</v>
      </c>
      <c r="E24" s="1428">
        <v>315</v>
      </c>
      <c r="F24" s="811">
        <v>471</v>
      </c>
      <c r="G24" s="1429">
        <v>161</v>
      </c>
      <c r="H24" s="1428">
        <v>426</v>
      </c>
      <c r="I24" s="811">
        <v>587</v>
      </c>
      <c r="J24" s="809">
        <v>205</v>
      </c>
      <c r="K24" s="810">
        <v>521</v>
      </c>
      <c r="L24" s="811">
        <v>726</v>
      </c>
      <c r="M24" s="809">
        <v>185</v>
      </c>
      <c r="N24" s="810">
        <v>504</v>
      </c>
      <c r="O24" s="811">
        <v>689</v>
      </c>
      <c r="P24" s="809">
        <v>261</v>
      </c>
      <c r="Q24" s="810">
        <v>614</v>
      </c>
      <c r="R24" s="811">
        <v>875</v>
      </c>
      <c r="S24" s="809">
        <v>329</v>
      </c>
      <c r="T24" s="810">
        <v>653</v>
      </c>
      <c r="U24" s="811">
        <v>982</v>
      </c>
      <c r="V24" s="809">
        <v>346</v>
      </c>
      <c r="W24" s="810">
        <v>719</v>
      </c>
      <c r="X24" s="811">
        <v>1065</v>
      </c>
      <c r="Y24" s="809">
        <v>382</v>
      </c>
      <c r="Z24" s="810">
        <v>847</v>
      </c>
      <c r="AA24" s="811">
        <f t="shared" si="0"/>
        <v>1229</v>
      </c>
      <c r="AB24" s="812">
        <v>455</v>
      </c>
      <c r="AC24" s="810">
        <v>875</v>
      </c>
      <c r="AD24" s="811">
        <f t="shared" si="1"/>
        <v>1330</v>
      </c>
      <c r="AE24" s="812">
        <v>515</v>
      </c>
      <c r="AF24" s="810">
        <v>1073</v>
      </c>
      <c r="AG24" s="811">
        <f t="shared" si="2"/>
        <v>1588</v>
      </c>
      <c r="AH24" s="812">
        <v>494</v>
      </c>
      <c r="AI24" s="810">
        <v>1029</v>
      </c>
      <c r="AJ24" s="811">
        <f>SUM(AH24:AI24)</f>
        <v>1523</v>
      </c>
      <c r="AK24" s="803">
        <v>435</v>
      </c>
      <c r="AL24" s="810">
        <v>1042</v>
      </c>
      <c r="AM24" s="811">
        <f>SUM(AK24:AL24)</f>
        <v>1477</v>
      </c>
      <c r="AN24" s="803">
        <v>483</v>
      </c>
      <c r="AO24" s="810">
        <v>984</v>
      </c>
      <c r="AP24" s="811">
        <f>SUM(AN24:AO24)</f>
        <v>1467</v>
      </c>
      <c r="AQ24" s="803">
        <v>490</v>
      </c>
      <c r="AR24" s="810">
        <v>1031</v>
      </c>
      <c r="AS24" s="811">
        <f>SUM(AQ24:AR24)</f>
        <v>1521</v>
      </c>
      <c r="AT24" s="803">
        <v>400</v>
      </c>
      <c r="AU24" s="810">
        <v>892</v>
      </c>
      <c r="AV24" s="811">
        <f>SUM(AT24:AU24)</f>
        <v>1292</v>
      </c>
    </row>
    <row r="25" spans="1:48" s="186" customFormat="1" ht="15" customHeight="1" x14ac:dyDescent="0.25">
      <c r="A25" s="5666"/>
      <c r="B25" s="5675"/>
      <c r="C25" s="849" t="s">
        <v>160</v>
      </c>
      <c r="D25" s="850">
        <f>SUM(D22:D24)</f>
        <v>1427</v>
      </c>
      <c r="E25" s="1430">
        <f t="shared" ref="E25:AG25" si="15">SUM(E22:E24)</f>
        <v>3655</v>
      </c>
      <c r="F25" s="852">
        <f t="shared" si="15"/>
        <v>5082</v>
      </c>
      <c r="G25" s="850">
        <f t="shared" si="15"/>
        <v>1519</v>
      </c>
      <c r="H25" s="1430">
        <f t="shared" si="15"/>
        <v>3865</v>
      </c>
      <c r="I25" s="852">
        <f t="shared" si="15"/>
        <v>5384</v>
      </c>
      <c r="J25" s="850">
        <f t="shared" si="15"/>
        <v>1635</v>
      </c>
      <c r="K25" s="1430">
        <f t="shared" si="15"/>
        <v>4043</v>
      </c>
      <c r="L25" s="852">
        <f t="shared" si="15"/>
        <v>5678</v>
      </c>
      <c r="M25" s="850">
        <f t="shared" si="15"/>
        <v>1712</v>
      </c>
      <c r="N25" s="1430">
        <f t="shared" si="15"/>
        <v>3677</v>
      </c>
      <c r="O25" s="852">
        <f t="shared" si="15"/>
        <v>5389</v>
      </c>
      <c r="P25" s="850">
        <f t="shared" si="15"/>
        <v>1774</v>
      </c>
      <c r="Q25" s="1430">
        <f t="shared" si="15"/>
        <v>4347</v>
      </c>
      <c r="R25" s="852">
        <f t="shared" si="15"/>
        <v>6121</v>
      </c>
      <c r="S25" s="850">
        <f t="shared" si="15"/>
        <v>2301</v>
      </c>
      <c r="T25" s="1430">
        <f t="shared" si="15"/>
        <v>4621</v>
      </c>
      <c r="U25" s="852">
        <f t="shared" si="15"/>
        <v>6922</v>
      </c>
      <c r="V25" s="850">
        <f t="shared" si="15"/>
        <v>2373</v>
      </c>
      <c r="W25" s="1430">
        <f t="shared" si="15"/>
        <v>5031</v>
      </c>
      <c r="X25" s="852">
        <f t="shared" si="15"/>
        <v>7404</v>
      </c>
      <c r="Y25" s="850">
        <f t="shared" si="15"/>
        <v>2570</v>
      </c>
      <c r="Z25" s="1430">
        <f t="shared" si="15"/>
        <v>5798</v>
      </c>
      <c r="AA25" s="852">
        <f t="shared" si="15"/>
        <v>8368</v>
      </c>
      <c r="AB25" s="850">
        <f t="shared" si="15"/>
        <v>2925</v>
      </c>
      <c r="AC25" s="1430">
        <f t="shared" si="15"/>
        <v>5433</v>
      </c>
      <c r="AD25" s="852">
        <f t="shared" si="15"/>
        <v>8358</v>
      </c>
      <c r="AE25" s="850">
        <f t="shared" si="15"/>
        <v>2899</v>
      </c>
      <c r="AF25" s="1430">
        <f t="shared" si="15"/>
        <v>6579</v>
      </c>
      <c r="AG25" s="852">
        <f t="shared" si="15"/>
        <v>9478</v>
      </c>
      <c r="AH25" s="850">
        <f t="shared" ref="AH25:AM25" si="16">SUM(AH22:AH24)</f>
        <v>2605</v>
      </c>
      <c r="AI25" s="1430">
        <f t="shared" si="16"/>
        <v>6052</v>
      </c>
      <c r="AJ25" s="852">
        <f t="shared" si="16"/>
        <v>8657</v>
      </c>
      <c r="AK25" s="2161">
        <f t="shared" si="16"/>
        <v>2266</v>
      </c>
      <c r="AL25" s="2165">
        <f t="shared" si="16"/>
        <v>5719</v>
      </c>
      <c r="AM25" s="852">
        <f t="shared" si="16"/>
        <v>7985</v>
      </c>
      <c r="AN25" s="2161">
        <f t="shared" ref="AN25:AV25" si="17">SUM(AN22:AN24)</f>
        <v>2298</v>
      </c>
      <c r="AO25" s="2165">
        <f t="shared" si="17"/>
        <v>5473</v>
      </c>
      <c r="AP25" s="852">
        <f t="shared" si="17"/>
        <v>7771</v>
      </c>
      <c r="AQ25" s="2161">
        <f t="shared" si="17"/>
        <v>2211</v>
      </c>
      <c r="AR25" s="2165">
        <f t="shared" si="17"/>
        <v>5501</v>
      </c>
      <c r="AS25" s="852">
        <f t="shared" si="17"/>
        <v>7712</v>
      </c>
      <c r="AT25" s="2161">
        <f t="shared" si="17"/>
        <v>2087</v>
      </c>
      <c r="AU25" s="2165">
        <f t="shared" si="17"/>
        <v>5266</v>
      </c>
      <c r="AV25" s="852">
        <f t="shared" si="17"/>
        <v>7353</v>
      </c>
    </row>
    <row r="26" spans="1:48" s="186" customFormat="1" ht="15" customHeight="1" x14ac:dyDescent="0.25">
      <c r="A26" s="5667"/>
      <c r="B26" s="3539"/>
      <c r="C26" s="2257" t="s">
        <v>444</v>
      </c>
      <c r="D26" s="2258">
        <f>SUM(D25,D21,D16)</f>
        <v>4959</v>
      </c>
      <c r="E26" s="2259">
        <f t="shared" ref="E26:AG26" si="18">SUM(E25,E21,E16)</f>
        <v>14018</v>
      </c>
      <c r="F26" s="2260">
        <f t="shared" si="18"/>
        <v>18977</v>
      </c>
      <c r="G26" s="2258">
        <f t="shared" si="18"/>
        <v>5695</v>
      </c>
      <c r="H26" s="2259">
        <f t="shared" si="18"/>
        <v>15667</v>
      </c>
      <c r="I26" s="2260">
        <f t="shared" si="18"/>
        <v>21362</v>
      </c>
      <c r="J26" s="2258">
        <f t="shared" si="18"/>
        <v>6317</v>
      </c>
      <c r="K26" s="2259">
        <f t="shared" si="18"/>
        <v>15513</v>
      </c>
      <c r="L26" s="2260">
        <f t="shared" si="18"/>
        <v>21830</v>
      </c>
      <c r="M26" s="2258">
        <f t="shared" si="18"/>
        <v>6511</v>
      </c>
      <c r="N26" s="2259">
        <f t="shared" si="18"/>
        <v>13785</v>
      </c>
      <c r="O26" s="2260">
        <f t="shared" si="18"/>
        <v>20296</v>
      </c>
      <c r="P26" s="2258">
        <f t="shared" si="18"/>
        <v>6183</v>
      </c>
      <c r="Q26" s="2259">
        <f t="shared" si="18"/>
        <v>15185</v>
      </c>
      <c r="R26" s="2260">
        <f t="shared" si="18"/>
        <v>21368</v>
      </c>
      <c r="S26" s="2258">
        <f t="shared" si="18"/>
        <v>7343</v>
      </c>
      <c r="T26" s="2259">
        <f t="shared" si="18"/>
        <v>15626</v>
      </c>
      <c r="U26" s="2260">
        <f t="shared" si="18"/>
        <v>22969</v>
      </c>
      <c r="V26" s="2258">
        <f t="shared" si="18"/>
        <v>7557</v>
      </c>
      <c r="W26" s="2259">
        <f t="shared" si="18"/>
        <v>16906</v>
      </c>
      <c r="X26" s="2260">
        <f t="shared" si="18"/>
        <v>24463</v>
      </c>
      <c r="Y26" s="2258">
        <f t="shared" si="18"/>
        <v>8376</v>
      </c>
      <c r="Z26" s="2259">
        <f t="shared" si="18"/>
        <v>19160</v>
      </c>
      <c r="AA26" s="2260">
        <f t="shared" si="18"/>
        <v>27536</v>
      </c>
      <c r="AB26" s="2258">
        <f t="shared" si="18"/>
        <v>9305</v>
      </c>
      <c r="AC26" s="2259">
        <f t="shared" si="18"/>
        <v>18081</v>
      </c>
      <c r="AD26" s="2260">
        <f t="shared" si="18"/>
        <v>27386</v>
      </c>
      <c r="AE26" s="2258">
        <f t="shared" si="18"/>
        <v>9270</v>
      </c>
      <c r="AF26" s="2259">
        <f t="shared" si="18"/>
        <v>20942</v>
      </c>
      <c r="AG26" s="2260">
        <f t="shared" si="18"/>
        <v>30212</v>
      </c>
      <c r="AH26" s="2258">
        <f t="shared" ref="AH26:AM26" si="19">SUM(AH25,AH21,AH16)</f>
        <v>8326</v>
      </c>
      <c r="AI26" s="2259">
        <f t="shared" si="19"/>
        <v>20665</v>
      </c>
      <c r="AJ26" s="2260">
        <f t="shared" si="19"/>
        <v>28991</v>
      </c>
      <c r="AK26" s="2258">
        <f t="shared" si="19"/>
        <v>7263</v>
      </c>
      <c r="AL26" s="2259">
        <f t="shared" si="19"/>
        <v>20570</v>
      </c>
      <c r="AM26" s="2260">
        <f t="shared" si="19"/>
        <v>27833</v>
      </c>
      <c r="AN26" s="2258">
        <f t="shared" ref="AN26:AV26" si="20">SUM(AN25,AN21,AN16)</f>
        <v>7922</v>
      </c>
      <c r="AO26" s="2259">
        <f t="shared" si="20"/>
        <v>21375</v>
      </c>
      <c r="AP26" s="2260">
        <f t="shared" si="20"/>
        <v>29297</v>
      </c>
      <c r="AQ26" s="2258">
        <f t="shared" si="20"/>
        <v>8038</v>
      </c>
      <c r="AR26" s="2259">
        <f t="shared" si="20"/>
        <v>21325</v>
      </c>
      <c r="AS26" s="2260">
        <f t="shared" si="20"/>
        <v>29363</v>
      </c>
      <c r="AT26" s="2258">
        <f t="shared" si="20"/>
        <v>7728</v>
      </c>
      <c r="AU26" s="2259">
        <f t="shared" si="20"/>
        <v>20954</v>
      </c>
      <c r="AV26" s="2260">
        <f t="shared" si="20"/>
        <v>28682</v>
      </c>
    </row>
    <row r="27" spans="1:48" s="186" customFormat="1" ht="15" customHeight="1" x14ac:dyDescent="0.25">
      <c r="A27" s="5668" t="s">
        <v>162</v>
      </c>
      <c r="B27" s="5677" t="s">
        <v>5</v>
      </c>
      <c r="C27" s="813" t="s">
        <v>463</v>
      </c>
      <c r="D27" s="814">
        <v>87</v>
      </c>
      <c r="E27" s="815">
        <v>215</v>
      </c>
      <c r="F27" s="816">
        <v>302</v>
      </c>
      <c r="G27" s="814">
        <v>73</v>
      </c>
      <c r="H27" s="815">
        <v>225</v>
      </c>
      <c r="I27" s="816">
        <v>298</v>
      </c>
      <c r="J27" s="814">
        <v>99</v>
      </c>
      <c r="K27" s="815">
        <v>265</v>
      </c>
      <c r="L27" s="816">
        <v>364</v>
      </c>
      <c r="M27" s="814">
        <v>102</v>
      </c>
      <c r="N27" s="815">
        <v>216</v>
      </c>
      <c r="O27" s="816">
        <v>318</v>
      </c>
      <c r="P27" s="814">
        <v>76</v>
      </c>
      <c r="Q27" s="815">
        <v>216</v>
      </c>
      <c r="R27" s="816">
        <v>292</v>
      </c>
      <c r="S27" s="814">
        <v>95</v>
      </c>
      <c r="T27" s="815">
        <v>200</v>
      </c>
      <c r="U27" s="816">
        <v>295</v>
      </c>
      <c r="V27" s="814">
        <v>99</v>
      </c>
      <c r="W27" s="815">
        <v>291</v>
      </c>
      <c r="X27" s="816">
        <v>390</v>
      </c>
      <c r="Y27" s="814"/>
      <c r="Z27" s="815">
        <v>323</v>
      </c>
      <c r="AA27" s="816">
        <f t="shared" si="0"/>
        <v>323</v>
      </c>
      <c r="AB27" s="817"/>
      <c r="AC27" s="818">
        <v>357</v>
      </c>
      <c r="AD27" s="816">
        <f t="shared" si="1"/>
        <v>357</v>
      </c>
      <c r="AE27" s="817"/>
      <c r="AF27" s="818">
        <v>456</v>
      </c>
      <c r="AG27" s="816">
        <f t="shared" si="2"/>
        <v>456</v>
      </c>
      <c r="AH27" s="817"/>
      <c r="AI27" s="818">
        <v>484</v>
      </c>
      <c r="AJ27" s="816">
        <f t="shared" ref="AJ27:AJ35" si="21">SUM(AH27:AI27)</f>
        <v>484</v>
      </c>
      <c r="AK27" s="797"/>
      <c r="AL27" s="818">
        <v>577</v>
      </c>
      <c r="AM27" s="816">
        <f t="shared" ref="AM27:AM35" si="22">SUM(AK27:AL27)</f>
        <v>577</v>
      </c>
      <c r="AN27" s="797"/>
      <c r="AO27" s="818">
        <v>697</v>
      </c>
      <c r="AP27" s="816">
        <f t="shared" ref="AP27:AP35" si="23">SUM(AN27:AO27)</f>
        <v>697</v>
      </c>
      <c r="AQ27" s="797"/>
      <c r="AR27" s="818">
        <v>705</v>
      </c>
      <c r="AS27" s="816">
        <f t="shared" ref="AS27:AS36" si="24">SUM(AQ27:AR27)</f>
        <v>705</v>
      </c>
      <c r="AT27" s="797"/>
      <c r="AU27" s="818">
        <v>692</v>
      </c>
      <c r="AV27" s="816">
        <f t="shared" ref="AV27:AV36" si="25">SUM(AT27:AU27)</f>
        <v>692</v>
      </c>
    </row>
    <row r="28" spans="1:48" s="186" customFormat="1" ht="15" customHeight="1" x14ac:dyDescent="0.25">
      <c r="A28" s="5669"/>
      <c r="B28" s="5678"/>
      <c r="C28" s="799" t="s">
        <v>464</v>
      </c>
      <c r="D28" s="800">
        <v>15</v>
      </c>
      <c r="E28" s="801">
        <v>22</v>
      </c>
      <c r="F28" s="802">
        <v>37</v>
      </c>
      <c r="G28" s="800">
        <v>21</v>
      </c>
      <c r="H28" s="801">
        <v>41</v>
      </c>
      <c r="I28" s="802">
        <v>62</v>
      </c>
      <c r="J28" s="800">
        <v>17</v>
      </c>
      <c r="K28" s="801">
        <v>41</v>
      </c>
      <c r="L28" s="802">
        <v>58</v>
      </c>
      <c r="M28" s="800">
        <v>16</v>
      </c>
      <c r="N28" s="801">
        <v>29</v>
      </c>
      <c r="O28" s="802">
        <v>45</v>
      </c>
      <c r="P28" s="800">
        <v>20</v>
      </c>
      <c r="Q28" s="801">
        <v>31</v>
      </c>
      <c r="R28" s="802">
        <v>51</v>
      </c>
      <c r="S28" s="800"/>
      <c r="T28" s="801">
        <v>58</v>
      </c>
      <c r="U28" s="802">
        <v>58</v>
      </c>
      <c r="V28" s="800"/>
      <c r="W28" s="801">
        <v>47</v>
      </c>
      <c r="X28" s="802">
        <v>47</v>
      </c>
      <c r="Y28" s="800"/>
      <c r="Z28" s="801">
        <v>65</v>
      </c>
      <c r="AA28" s="802">
        <f t="shared" si="0"/>
        <v>65</v>
      </c>
      <c r="AB28" s="803"/>
      <c r="AC28" s="804">
        <v>76</v>
      </c>
      <c r="AD28" s="802">
        <f t="shared" si="1"/>
        <v>76</v>
      </c>
      <c r="AE28" s="803"/>
      <c r="AF28" s="804">
        <v>84</v>
      </c>
      <c r="AG28" s="802">
        <f t="shared" si="2"/>
        <v>84</v>
      </c>
      <c r="AH28" s="803"/>
      <c r="AI28" s="804">
        <v>66</v>
      </c>
      <c r="AJ28" s="802">
        <f t="shared" si="21"/>
        <v>66</v>
      </c>
      <c r="AK28" s="803"/>
      <c r="AL28" s="804">
        <v>85</v>
      </c>
      <c r="AM28" s="802">
        <f t="shared" si="22"/>
        <v>85</v>
      </c>
      <c r="AN28" s="803"/>
      <c r="AO28" s="804">
        <v>100</v>
      </c>
      <c r="AP28" s="802">
        <f t="shared" si="23"/>
        <v>100</v>
      </c>
      <c r="AQ28" s="803"/>
      <c r="AR28" s="804">
        <v>67</v>
      </c>
      <c r="AS28" s="802">
        <f t="shared" si="24"/>
        <v>67</v>
      </c>
      <c r="AT28" s="803"/>
      <c r="AU28" s="804">
        <v>71</v>
      </c>
      <c r="AV28" s="802">
        <f t="shared" si="25"/>
        <v>71</v>
      </c>
    </row>
    <row r="29" spans="1:48" s="186" customFormat="1" ht="15" customHeight="1" x14ac:dyDescent="0.25">
      <c r="A29" s="5669"/>
      <c r="B29" s="5678"/>
      <c r="C29" s="799" t="s">
        <v>453</v>
      </c>
      <c r="D29" s="800">
        <v>35</v>
      </c>
      <c r="E29" s="801">
        <v>91</v>
      </c>
      <c r="F29" s="802">
        <v>126</v>
      </c>
      <c r="G29" s="800">
        <v>54</v>
      </c>
      <c r="H29" s="801">
        <v>118</v>
      </c>
      <c r="I29" s="802">
        <v>172</v>
      </c>
      <c r="J29" s="800">
        <v>52</v>
      </c>
      <c r="K29" s="801">
        <v>148</v>
      </c>
      <c r="L29" s="802">
        <v>200</v>
      </c>
      <c r="M29" s="800">
        <v>63</v>
      </c>
      <c r="N29" s="801">
        <v>145</v>
      </c>
      <c r="O29" s="802">
        <v>208</v>
      </c>
      <c r="P29" s="800">
        <v>49</v>
      </c>
      <c r="Q29" s="801">
        <v>128</v>
      </c>
      <c r="R29" s="802">
        <v>177</v>
      </c>
      <c r="S29" s="800">
        <v>61</v>
      </c>
      <c r="T29" s="801">
        <v>134</v>
      </c>
      <c r="U29" s="802">
        <v>195</v>
      </c>
      <c r="V29" s="800">
        <v>69</v>
      </c>
      <c r="W29" s="801">
        <v>164</v>
      </c>
      <c r="X29" s="802">
        <v>233</v>
      </c>
      <c r="Y29" s="800">
        <v>100</v>
      </c>
      <c r="Z29" s="801">
        <v>214</v>
      </c>
      <c r="AA29" s="802">
        <f t="shared" si="0"/>
        <v>314</v>
      </c>
      <c r="AB29" s="803">
        <v>95</v>
      </c>
      <c r="AC29" s="804">
        <v>180</v>
      </c>
      <c r="AD29" s="802">
        <f t="shared" si="1"/>
        <v>275</v>
      </c>
      <c r="AE29" s="803">
        <v>91</v>
      </c>
      <c r="AF29" s="804">
        <v>213</v>
      </c>
      <c r="AG29" s="802">
        <f t="shared" si="2"/>
        <v>304</v>
      </c>
      <c r="AH29" s="803">
        <v>120</v>
      </c>
      <c r="AI29" s="804">
        <v>314</v>
      </c>
      <c r="AJ29" s="802">
        <f t="shared" si="21"/>
        <v>434</v>
      </c>
      <c r="AK29" s="803">
        <v>107</v>
      </c>
      <c r="AL29" s="804">
        <v>310</v>
      </c>
      <c r="AM29" s="802">
        <f t="shared" si="22"/>
        <v>417</v>
      </c>
      <c r="AN29" s="803">
        <v>118</v>
      </c>
      <c r="AO29" s="804">
        <v>420</v>
      </c>
      <c r="AP29" s="802">
        <f t="shared" si="23"/>
        <v>538</v>
      </c>
      <c r="AQ29" s="803">
        <v>164</v>
      </c>
      <c r="AR29" s="804">
        <v>406</v>
      </c>
      <c r="AS29" s="802">
        <f t="shared" si="24"/>
        <v>570</v>
      </c>
      <c r="AT29" s="803"/>
      <c r="AU29" s="804">
        <v>453</v>
      </c>
      <c r="AV29" s="802">
        <f t="shared" si="25"/>
        <v>453</v>
      </c>
    </row>
    <row r="30" spans="1:48" s="186" customFormat="1" ht="15" customHeight="1" x14ac:dyDescent="0.25">
      <c r="A30" s="5669"/>
      <c r="B30" s="5678"/>
      <c r="C30" s="799" t="s">
        <v>465</v>
      </c>
      <c r="D30" s="800">
        <v>31</v>
      </c>
      <c r="E30" s="801">
        <v>64</v>
      </c>
      <c r="F30" s="802">
        <v>95</v>
      </c>
      <c r="G30" s="800">
        <v>32</v>
      </c>
      <c r="H30" s="801">
        <v>67</v>
      </c>
      <c r="I30" s="802">
        <v>99</v>
      </c>
      <c r="J30" s="800">
        <v>43</v>
      </c>
      <c r="K30" s="801">
        <v>64</v>
      </c>
      <c r="L30" s="802">
        <v>107</v>
      </c>
      <c r="M30" s="800">
        <v>38</v>
      </c>
      <c r="N30" s="801">
        <v>53</v>
      </c>
      <c r="O30" s="802">
        <v>91</v>
      </c>
      <c r="P30" s="800">
        <v>24</v>
      </c>
      <c r="Q30" s="801">
        <v>64</v>
      </c>
      <c r="R30" s="802">
        <v>88</v>
      </c>
      <c r="S30" s="800">
        <v>45</v>
      </c>
      <c r="T30" s="801">
        <v>70</v>
      </c>
      <c r="U30" s="802">
        <v>115</v>
      </c>
      <c r="V30" s="800">
        <v>56</v>
      </c>
      <c r="W30" s="801">
        <v>121</v>
      </c>
      <c r="X30" s="802">
        <v>177</v>
      </c>
      <c r="Y30" s="800">
        <v>97</v>
      </c>
      <c r="Z30" s="801">
        <v>103</v>
      </c>
      <c r="AA30" s="802">
        <f t="shared" si="0"/>
        <v>200</v>
      </c>
      <c r="AB30" s="803">
        <v>124</v>
      </c>
      <c r="AC30" s="804">
        <v>125</v>
      </c>
      <c r="AD30" s="802">
        <f t="shared" si="1"/>
        <v>249</v>
      </c>
      <c r="AE30" s="803">
        <v>101</v>
      </c>
      <c r="AF30" s="804">
        <v>169</v>
      </c>
      <c r="AG30" s="802">
        <f t="shared" si="2"/>
        <v>270</v>
      </c>
      <c r="AH30" s="803">
        <v>146</v>
      </c>
      <c r="AI30" s="804">
        <v>225</v>
      </c>
      <c r="AJ30" s="802">
        <f t="shared" si="21"/>
        <v>371</v>
      </c>
      <c r="AK30" s="803">
        <v>141</v>
      </c>
      <c r="AL30" s="804">
        <v>242</v>
      </c>
      <c r="AM30" s="802">
        <f t="shared" si="22"/>
        <v>383</v>
      </c>
      <c r="AN30" s="803">
        <v>144</v>
      </c>
      <c r="AO30" s="804">
        <v>237</v>
      </c>
      <c r="AP30" s="802">
        <f t="shared" si="23"/>
        <v>381</v>
      </c>
      <c r="AQ30" s="803">
        <v>152</v>
      </c>
      <c r="AR30" s="804">
        <v>278</v>
      </c>
      <c r="AS30" s="802">
        <f t="shared" si="24"/>
        <v>430</v>
      </c>
      <c r="AT30" s="803"/>
      <c r="AU30" s="804">
        <v>284</v>
      </c>
      <c r="AV30" s="802">
        <f t="shared" si="25"/>
        <v>284</v>
      </c>
    </row>
    <row r="31" spans="1:48" s="186" customFormat="1" ht="15" customHeight="1" x14ac:dyDescent="0.25">
      <c r="A31" s="5669"/>
      <c r="B31" s="5678"/>
      <c r="C31" s="799" t="s">
        <v>466</v>
      </c>
      <c r="D31" s="800">
        <v>14</v>
      </c>
      <c r="E31" s="801">
        <v>39</v>
      </c>
      <c r="F31" s="802">
        <v>53</v>
      </c>
      <c r="G31" s="800">
        <v>12</v>
      </c>
      <c r="H31" s="801">
        <v>57</v>
      </c>
      <c r="I31" s="802">
        <v>69</v>
      </c>
      <c r="J31" s="800">
        <v>22</v>
      </c>
      <c r="K31" s="801">
        <v>64</v>
      </c>
      <c r="L31" s="802">
        <v>86</v>
      </c>
      <c r="M31" s="800">
        <v>29</v>
      </c>
      <c r="N31" s="801">
        <v>44</v>
      </c>
      <c r="O31" s="802">
        <v>73</v>
      </c>
      <c r="P31" s="800">
        <v>23</v>
      </c>
      <c r="Q31" s="801">
        <v>62</v>
      </c>
      <c r="R31" s="802">
        <v>85</v>
      </c>
      <c r="S31" s="800">
        <v>22</v>
      </c>
      <c r="T31" s="801">
        <v>56</v>
      </c>
      <c r="U31" s="802">
        <v>78</v>
      </c>
      <c r="V31" s="800">
        <v>27</v>
      </c>
      <c r="W31" s="801">
        <v>75</v>
      </c>
      <c r="X31" s="802">
        <v>102</v>
      </c>
      <c r="Y31" s="800">
        <v>52</v>
      </c>
      <c r="Z31" s="801">
        <v>110</v>
      </c>
      <c r="AA31" s="802">
        <f t="shared" si="0"/>
        <v>162</v>
      </c>
      <c r="AB31" s="803">
        <v>63</v>
      </c>
      <c r="AC31" s="804">
        <v>143</v>
      </c>
      <c r="AD31" s="802">
        <f t="shared" si="1"/>
        <v>206</v>
      </c>
      <c r="AE31" s="803">
        <v>84</v>
      </c>
      <c r="AF31" s="804">
        <v>162</v>
      </c>
      <c r="AG31" s="802">
        <f t="shared" si="2"/>
        <v>246</v>
      </c>
      <c r="AH31" s="803">
        <v>82</v>
      </c>
      <c r="AI31" s="804">
        <v>145</v>
      </c>
      <c r="AJ31" s="802">
        <f t="shared" si="21"/>
        <v>227</v>
      </c>
      <c r="AK31" s="803">
        <v>65</v>
      </c>
      <c r="AL31" s="804">
        <v>186</v>
      </c>
      <c r="AM31" s="802">
        <f t="shared" si="22"/>
        <v>251</v>
      </c>
      <c r="AN31" s="803">
        <v>115</v>
      </c>
      <c r="AO31" s="804">
        <v>279</v>
      </c>
      <c r="AP31" s="802">
        <f t="shared" si="23"/>
        <v>394</v>
      </c>
      <c r="AQ31" s="803"/>
      <c r="AR31" s="804">
        <v>352</v>
      </c>
      <c r="AS31" s="802">
        <f t="shared" si="24"/>
        <v>352</v>
      </c>
      <c r="AT31" s="803"/>
      <c r="AU31" s="804">
        <v>366</v>
      </c>
      <c r="AV31" s="802">
        <f t="shared" si="25"/>
        <v>366</v>
      </c>
    </row>
    <row r="32" spans="1:48" s="186" customFormat="1" ht="15" customHeight="1" x14ac:dyDescent="0.25">
      <c r="A32" s="5669"/>
      <c r="B32" s="5678"/>
      <c r="C32" s="799" t="s">
        <v>454</v>
      </c>
      <c r="D32" s="800">
        <v>196</v>
      </c>
      <c r="E32" s="801">
        <v>368</v>
      </c>
      <c r="F32" s="802">
        <v>564</v>
      </c>
      <c r="G32" s="800">
        <v>163</v>
      </c>
      <c r="H32" s="801">
        <v>387</v>
      </c>
      <c r="I32" s="802">
        <v>550</v>
      </c>
      <c r="J32" s="800">
        <v>179</v>
      </c>
      <c r="K32" s="801">
        <v>439</v>
      </c>
      <c r="L32" s="802">
        <v>618</v>
      </c>
      <c r="M32" s="800">
        <v>207</v>
      </c>
      <c r="N32" s="801">
        <v>391</v>
      </c>
      <c r="O32" s="802">
        <v>598</v>
      </c>
      <c r="P32" s="800">
        <v>174</v>
      </c>
      <c r="Q32" s="801">
        <v>385</v>
      </c>
      <c r="R32" s="802">
        <v>559</v>
      </c>
      <c r="S32" s="800">
        <v>174</v>
      </c>
      <c r="T32" s="801">
        <v>362</v>
      </c>
      <c r="U32" s="802">
        <v>536</v>
      </c>
      <c r="V32" s="800">
        <v>167</v>
      </c>
      <c r="W32" s="801">
        <v>427</v>
      </c>
      <c r="X32" s="802">
        <v>594</v>
      </c>
      <c r="Y32" s="800"/>
      <c r="Z32" s="801">
        <v>506</v>
      </c>
      <c r="AA32" s="802">
        <f t="shared" si="0"/>
        <v>506</v>
      </c>
      <c r="AB32" s="803"/>
      <c r="AC32" s="804">
        <v>510</v>
      </c>
      <c r="AD32" s="802">
        <f t="shared" si="1"/>
        <v>510</v>
      </c>
      <c r="AE32" s="803"/>
      <c r="AF32" s="804">
        <v>561</v>
      </c>
      <c r="AG32" s="802">
        <f t="shared" si="2"/>
        <v>561</v>
      </c>
      <c r="AH32" s="803"/>
      <c r="AI32" s="804">
        <v>533</v>
      </c>
      <c r="AJ32" s="802">
        <f t="shared" si="21"/>
        <v>533</v>
      </c>
      <c r="AK32" s="803"/>
      <c r="AL32" s="804">
        <v>518</v>
      </c>
      <c r="AM32" s="802">
        <f t="shared" si="22"/>
        <v>518</v>
      </c>
      <c r="AN32" s="803"/>
      <c r="AO32" s="804">
        <v>592</v>
      </c>
      <c r="AP32" s="802">
        <f t="shared" si="23"/>
        <v>592</v>
      </c>
      <c r="AQ32" s="803"/>
      <c r="AR32" s="804">
        <v>583</v>
      </c>
      <c r="AS32" s="802">
        <f t="shared" si="24"/>
        <v>583</v>
      </c>
      <c r="AT32" s="803"/>
      <c r="AU32" s="804">
        <v>532</v>
      </c>
      <c r="AV32" s="802">
        <f t="shared" si="25"/>
        <v>532</v>
      </c>
    </row>
    <row r="33" spans="1:48" s="186" customFormat="1" ht="15" customHeight="1" x14ac:dyDescent="0.25">
      <c r="A33" s="5669"/>
      <c r="B33" s="5678"/>
      <c r="C33" s="799" t="s">
        <v>467</v>
      </c>
      <c r="D33" s="800">
        <v>56</v>
      </c>
      <c r="E33" s="801">
        <v>136</v>
      </c>
      <c r="F33" s="802">
        <v>192</v>
      </c>
      <c r="G33" s="800">
        <v>58</v>
      </c>
      <c r="H33" s="801">
        <v>154</v>
      </c>
      <c r="I33" s="802">
        <v>212</v>
      </c>
      <c r="J33" s="800">
        <v>42</v>
      </c>
      <c r="K33" s="801">
        <v>143</v>
      </c>
      <c r="L33" s="802">
        <v>185</v>
      </c>
      <c r="M33" s="800">
        <v>78</v>
      </c>
      <c r="N33" s="801">
        <v>148</v>
      </c>
      <c r="O33" s="802">
        <v>226</v>
      </c>
      <c r="P33" s="800">
        <v>53</v>
      </c>
      <c r="Q33" s="801">
        <v>127</v>
      </c>
      <c r="R33" s="802">
        <v>180</v>
      </c>
      <c r="S33" s="800">
        <v>72</v>
      </c>
      <c r="T33" s="801">
        <v>174</v>
      </c>
      <c r="U33" s="802">
        <v>246</v>
      </c>
      <c r="V33" s="800">
        <v>70</v>
      </c>
      <c r="W33" s="801">
        <v>193</v>
      </c>
      <c r="X33" s="802">
        <v>263</v>
      </c>
      <c r="Y33" s="800"/>
      <c r="Z33" s="801">
        <v>242</v>
      </c>
      <c r="AA33" s="802">
        <f t="shared" si="0"/>
        <v>242</v>
      </c>
      <c r="AB33" s="803"/>
      <c r="AC33" s="804">
        <v>258</v>
      </c>
      <c r="AD33" s="802">
        <f t="shared" si="1"/>
        <v>258</v>
      </c>
      <c r="AE33" s="803"/>
      <c r="AF33" s="804">
        <v>310</v>
      </c>
      <c r="AG33" s="802">
        <f t="shared" si="2"/>
        <v>310</v>
      </c>
      <c r="AH33" s="803"/>
      <c r="AI33" s="804">
        <v>288</v>
      </c>
      <c r="AJ33" s="802">
        <f t="shared" si="21"/>
        <v>288</v>
      </c>
      <c r="AK33" s="803"/>
      <c r="AL33" s="804">
        <v>254</v>
      </c>
      <c r="AM33" s="802">
        <f t="shared" si="22"/>
        <v>254</v>
      </c>
      <c r="AN33" s="803"/>
      <c r="AO33" s="804">
        <v>300</v>
      </c>
      <c r="AP33" s="802">
        <f t="shared" si="23"/>
        <v>300</v>
      </c>
      <c r="AQ33" s="803"/>
      <c r="AR33" s="804">
        <v>356</v>
      </c>
      <c r="AS33" s="802">
        <f t="shared" si="24"/>
        <v>356</v>
      </c>
      <c r="AT33" s="803"/>
      <c r="AU33" s="804">
        <v>367</v>
      </c>
      <c r="AV33" s="802">
        <f t="shared" si="25"/>
        <v>367</v>
      </c>
    </row>
    <row r="34" spans="1:48" s="186" customFormat="1" ht="15" customHeight="1" x14ac:dyDescent="0.25">
      <c r="A34" s="5669"/>
      <c r="B34" s="5678"/>
      <c r="C34" s="799" t="s">
        <v>468</v>
      </c>
      <c r="D34" s="800">
        <v>15</v>
      </c>
      <c r="E34" s="801">
        <v>31</v>
      </c>
      <c r="F34" s="802">
        <v>46</v>
      </c>
      <c r="G34" s="800">
        <v>11</v>
      </c>
      <c r="H34" s="801">
        <v>30</v>
      </c>
      <c r="I34" s="802">
        <v>41</v>
      </c>
      <c r="J34" s="800">
        <v>16</v>
      </c>
      <c r="K34" s="801">
        <v>53</v>
      </c>
      <c r="L34" s="802">
        <v>69</v>
      </c>
      <c r="M34" s="800">
        <v>18</v>
      </c>
      <c r="N34" s="801">
        <v>42</v>
      </c>
      <c r="O34" s="802">
        <v>60</v>
      </c>
      <c r="P34" s="800">
        <v>21</v>
      </c>
      <c r="Q34" s="801">
        <v>42</v>
      </c>
      <c r="R34" s="802">
        <v>63</v>
      </c>
      <c r="S34" s="800">
        <v>21</v>
      </c>
      <c r="T34" s="801">
        <v>62</v>
      </c>
      <c r="U34" s="802">
        <v>83</v>
      </c>
      <c r="V34" s="800">
        <v>19</v>
      </c>
      <c r="W34" s="801">
        <v>62</v>
      </c>
      <c r="X34" s="802">
        <v>81</v>
      </c>
      <c r="Y34" s="800">
        <v>20</v>
      </c>
      <c r="Z34" s="801">
        <v>68</v>
      </c>
      <c r="AA34" s="802">
        <f t="shared" si="0"/>
        <v>88</v>
      </c>
      <c r="AB34" s="803">
        <v>34</v>
      </c>
      <c r="AC34" s="804">
        <v>71</v>
      </c>
      <c r="AD34" s="802">
        <f t="shared" si="1"/>
        <v>105</v>
      </c>
      <c r="AE34" s="803">
        <v>44</v>
      </c>
      <c r="AF34" s="804">
        <v>107</v>
      </c>
      <c r="AG34" s="802">
        <f t="shared" si="2"/>
        <v>151</v>
      </c>
      <c r="AH34" s="803">
        <v>37</v>
      </c>
      <c r="AI34" s="804">
        <v>101</v>
      </c>
      <c r="AJ34" s="802">
        <f t="shared" si="21"/>
        <v>138</v>
      </c>
      <c r="AK34" s="803">
        <v>47</v>
      </c>
      <c r="AL34" s="804">
        <v>125</v>
      </c>
      <c r="AM34" s="802">
        <f t="shared" si="22"/>
        <v>172</v>
      </c>
      <c r="AN34" s="803">
        <v>59</v>
      </c>
      <c r="AO34" s="804">
        <v>166</v>
      </c>
      <c r="AP34" s="802">
        <f t="shared" si="23"/>
        <v>225</v>
      </c>
      <c r="AQ34" s="803">
        <v>80</v>
      </c>
      <c r="AR34" s="804">
        <v>160</v>
      </c>
      <c r="AS34" s="802">
        <f t="shared" si="24"/>
        <v>240</v>
      </c>
      <c r="AT34" s="803"/>
      <c r="AU34" s="804">
        <v>213</v>
      </c>
      <c r="AV34" s="802">
        <f t="shared" si="25"/>
        <v>213</v>
      </c>
    </row>
    <row r="35" spans="1:48" s="186" customFormat="1" ht="15" customHeight="1" x14ac:dyDescent="0.25">
      <c r="A35" s="5669"/>
      <c r="B35" s="5678"/>
      <c r="C35" s="799" t="s">
        <v>469</v>
      </c>
      <c r="D35" s="800">
        <v>710</v>
      </c>
      <c r="E35" s="4514">
        <v>1474</v>
      </c>
      <c r="F35" s="802">
        <v>2184</v>
      </c>
      <c r="G35" s="4515">
        <v>478</v>
      </c>
      <c r="H35" s="4514">
        <v>971</v>
      </c>
      <c r="I35" s="802">
        <v>1449</v>
      </c>
      <c r="J35" s="800">
        <v>508</v>
      </c>
      <c r="K35" s="801">
        <v>1037</v>
      </c>
      <c r="L35" s="802">
        <v>1545</v>
      </c>
      <c r="M35" s="800">
        <v>511</v>
      </c>
      <c r="N35" s="801">
        <v>879</v>
      </c>
      <c r="O35" s="802">
        <v>1390</v>
      </c>
      <c r="P35" s="800">
        <v>410</v>
      </c>
      <c r="Q35" s="801">
        <v>948</v>
      </c>
      <c r="R35" s="802">
        <v>1358</v>
      </c>
      <c r="S35" s="800">
        <v>475</v>
      </c>
      <c r="T35" s="801">
        <v>972</v>
      </c>
      <c r="U35" s="802">
        <v>1447</v>
      </c>
      <c r="V35" s="800">
        <v>476</v>
      </c>
      <c r="W35" s="801">
        <v>1006</v>
      </c>
      <c r="X35" s="802">
        <v>1482</v>
      </c>
      <c r="Y35" s="800"/>
      <c r="Z35" s="801">
        <v>1204</v>
      </c>
      <c r="AA35" s="802">
        <f t="shared" si="0"/>
        <v>1204</v>
      </c>
      <c r="AB35" s="803"/>
      <c r="AC35" s="801">
        <v>1045</v>
      </c>
      <c r="AD35" s="802">
        <f t="shared" si="1"/>
        <v>1045</v>
      </c>
      <c r="AE35" s="803"/>
      <c r="AF35" s="801">
        <v>1208</v>
      </c>
      <c r="AG35" s="802">
        <f t="shared" si="2"/>
        <v>1208</v>
      </c>
      <c r="AH35" s="803"/>
      <c r="AI35" s="801">
        <v>1112</v>
      </c>
      <c r="AJ35" s="802">
        <f t="shared" si="21"/>
        <v>1112</v>
      </c>
      <c r="AK35" s="803"/>
      <c r="AL35" s="801">
        <v>977</v>
      </c>
      <c r="AM35" s="802">
        <f t="shared" si="22"/>
        <v>977</v>
      </c>
      <c r="AN35" s="803"/>
      <c r="AO35" s="801">
        <v>904</v>
      </c>
      <c r="AP35" s="802">
        <f t="shared" si="23"/>
        <v>904</v>
      </c>
      <c r="AQ35" s="803"/>
      <c r="AR35" s="801">
        <v>911</v>
      </c>
      <c r="AS35" s="802">
        <f t="shared" si="24"/>
        <v>911</v>
      </c>
      <c r="AT35" s="803"/>
      <c r="AU35" s="801">
        <v>867</v>
      </c>
      <c r="AV35" s="802">
        <f t="shared" si="25"/>
        <v>867</v>
      </c>
    </row>
    <row r="36" spans="1:48" s="186" customFormat="1" ht="15" customHeight="1" x14ac:dyDescent="0.25">
      <c r="A36" s="5669"/>
      <c r="B36" s="5678"/>
      <c r="C36" s="808" t="s">
        <v>1461</v>
      </c>
      <c r="D36" s="809"/>
      <c r="E36" s="1428"/>
      <c r="F36" s="811"/>
      <c r="G36" s="1429"/>
      <c r="H36" s="1428"/>
      <c r="I36" s="811"/>
      <c r="J36" s="809"/>
      <c r="K36" s="810"/>
      <c r="L36" s="811"/>
      <c r="M36" s="809"/>
      <c r="N36" s="810"/>
      <c r="O36" s="811"/>
      <c r="P36" s="809"/>
      <c r="Q36" s="810"/>
      <c r="R36" s="811"/>
      <c r="S36" s="809"/>
      <c r="T36" s="810"/>
      <c r="U36" s="811"/>
      <c r="V36" s="809"/>
      <c r="W36" s="810"/>
      <c r="X36" s="811"/>
      <c r="Y36" s="809"/>
      <c r="Z36" s="810"/>
      <c r="AA36" s="811"/>
      <c r="AB36" s="812"/>
      <c r="AC36" s="810"/>
      <c r="AD36" s="811"/>
      <c r="AE36" s="812"/>
      <c r="AF36" s="810"/>
      <c r="AG36" s="811"/>
      <c r="AH36" s="812"/>
      <c r="AI36" s="810"/>
      <c r="AJ36" s="811"/>
      <c r="AK36" s="812"/>
      <c r="AL36" s="810"/>
      <c r="AM36" s="811"/>
      <c r="AN36" s="812"/>
      <c r="AO36" s="810"/>
      <c r="AP36" s="811"/>
      <c r="AQ36" s="812"/>
      <c r="AR36" s="810">
        <v>161</v>
      </c>
      <c r="AS36" s="802">
        <f t="shared" si="24"/>
        <v>161</v>
      </c>
      <c r="AT36" s="812"/>
      <c r="AU36" s="810">
        <v>88</v>
      </c>
      <c r="AV36" s="802">
        <f t="shared" si="25"/>
        <v>88</v>
      </c>
    </row>
    <row r="37" spans="1:48" s="186" customFormat="1" ht="15" customHeight="1" x14ac:dyDescent="0.25">
      <c r="A37" s="5669"/>
      <c r="B37" s="5678"/>
      <c r="C37" s="4475" t="s">
        <v>160</v>
      </c>
      <c r="D37" s="4476">
        <f>SUM(D27:D35)</f>
        <v>1159</v>
      </c>
      <c r="E37" s="4477">
        <f t="shared" ref="E37:AG37" si="26">SUM(E27:E35)</f>
        <v>2440</v>
      </c>
      <c r="F37" s="4478">
        <f t="shared" si="26"/>
        <v>3599</v>
      </c>
      <c r="G37" s="4476">
        <f t="shared" si="26"/>
        <v>902</v>
      </c>
      <c r="H37" s="4477">
        <f t="shared" si="26"/>
        <v>2050</v>
      </c>
      <c r="I37" s="4478">
        <f t="shared" si="26"/>
        <v>2952</v>
      </c>
      <c r="J37" s="4476">
        <f t="shared" si="26"/>
        <v>978</v>
      </c>
      <c r="K37" s="4477">
        <f t="shared" si="26"/>
        <v>2254</v>
      </c>
      <c r="L37" s="4478">
        <f t="shared" si="26"/>
        <v>3232</v>
      </c>
      <c r="M37" s="4476">
        <f t="shared" si="26"/>
        <v>1062</v>
      </c>
      <c r="N37" s="4477">
        <f t="shared" si="26"/>
        <v>1947</v>
      </c>
      <c r="O37" s="4478">
        <f t="shared" si="26"/>
        <v>3009</v>
      </c>
      <c r="P37" s="4476">
        <f t="shared" si="26"/>
        <v>850</v>
      </c>
      <c r="Q37" s="4477">
        <f t="shared" si="26"/>
        <v>2003</v>
      </c>
      <c r="R37" s="4478">
        <f t="shared" si="26"/>
        <v>2853</v>
      </c>
      <c r="S37" s="4476">
        <f t="shared" si="26"/>
        <v>965</v>
      </c>
      <c r="T37" s="4477">
        <f t="shared" si="26"/>
        <v>2088</v>
      </c>
      <c r="U37" s="4478">
        <f t="shared" si="26"/>
        <v>3053</v>
      </c>
      <c r="V37" s="4476">
        <f t="shared" si="26"/>
        <v>983</v>
      </c>
      <c r="W37" s="4477">
        <f t="shared" si="26"/>
        <v>2386</v>
      </c>
      <c r="X37" s="4478">
        <f t="shared" si="26"/>
        <v>3369</v>
      </c>
      <c r="Y37" s="4476">
        <f t="shared" si="26"/>
        <v>269</v>
      </c>
      <c r="Z37" s="4477">
        <f t="shared" si="26"/>
        <v>2835</v>
      </c>
      <c r="AA37" s="4478">
        <f t="shared" si="26"/>
        <v>3104</v>
      </c>
      <c r="AB37" s="4476">
        <f t="shared" si="26"/>
        <v>316</v>
      </c>
      <c r="AC37" s="4477">
        <f t="shared" si="26"/>
        <v>2765</v>
      </c>
      <c r="AD37" s="4478">
        <f t="shared" si="26"/>
        <v>3081</v>
      </c>
      <c r="AE37" s="4476">
        <f t="shared" si="26"/>
        <v>320</v>
      </c>
      <c r="AF37" s="4477">
        <f t="shared" si="26"/>
        <v>3270</v>
      </c>
      <c r="AG37" s="4478">
        <f t="shared" si="26"/>
        <v>3590</v>
      </c>
      <c r="AH37" s="4476">
        <f t="shared" ref="AH37:AM37" si="27">SUM(AH27:AH35)</f>
        <v>385</v>
      </c>
      <c r="AI37" s="4477">
        <f t="shared" si="27"/>
        <v>3268</v>
      </c>
      <c r="AJ37" s="4478">
        <f t="shared" si="27"/>
        <v>3653</v>
      </c>
      <c r="AK37" s="4479">
        <f>SUM(AK27:AK35)</f>
        <v>360</v>
      </c>
      <c r="AL37" s="4480">
        <f>SUM(AL27:AL35)</f>
        <v>3274</v>
      </c>
      <c r="AM37" s="4478">
        <f t="shared" si="27"/>
        <v>3634</v>
      </c>
      <c r="AN37" s="4479">
        <f>SUM(AN27:AN35)</f>
        <v>436</v>
      </c>
      <c r="AO37" s="4480">
        <f>SUM(AO27:AO35)</f>
        <v>3695</v>
      </c>
      <c r="AP37" s="4478">
        <f>SUM(AP27:AP35)</f>
        <v>4131</v>
      </c>
      <c r="AQ37" s="4479">
        <f>SUM(AQ27:AQ35)</f>
        <v>396</v>
      </c>
      <c r="AR37" s="4480">
        <f>SUM(AR27:AR36)</f>
        <v>3979</v>
      </c>
      <c r="AS37" s="4478">
        <f>SUM(AS27:AS36)</f>
        <v>4375</v>
      </c>
      <c r="AT37" s="4479">
        <f>SUM(AT27:AT35)</f>
        <v>0</v>
      </c>
      <c r="AU37" s="4480">
        <f>SUM(AU27:AU36)</f>
        <v>3933</v>
      </c>
      <c r="AV37" s="4478">
        <f>SUM(AV27:AV36)</f>
        <v>3933</v>
      </c>
    </row>
    <row r="38" spans="1:48" s="186" customFormat="1" ht="15" customHeight="1" x14ac:dyDescent="0.25">
      <c r="A38" s="5669"/>
      <c r="B38" s="5678" t="s">
        <v>6</v>
      </c>
      <c r="C38" s="4481" t="s">
        <v>456</v>
      </c>
      <c r="D38" s="4482">
        <v>706</v>
      </c>
      <c r="E38" s="4483">
        <v>1430</v>
      </c>
      <c r="F38" s="4484">
        <v>2136</v>
      </c>
      <c r="G38" s="4482">
        <v>629</v>
      </c>
      <c r="H38" s="4483">
        <v>1327</v>
      </c>
      <c r="I38" s="4484">
        <v>1956</v>
      </c>
      <c r="J38" s="4482">
        <v>651</v>
      </c>
      <c r="K38" s="4483">
        <v>1221</v>
      </c>
      <c r="L38" s="4484">
        <v>1872</v>
      </c>
      <c r="M38" s="4482">
        <v>656</v>
      </c>
      <c r="N38" s="4483">
        <v>1151</v>
      </c>
      <c r="O38" s="4484">
        <v>1807</v>
      </c>
      <c r="P38" s="4482">
        <v>637</v>
      </c>
      <c r="Q38" s="4483">
        <v>1179</v>
      </c>
      <c r="R38" s="4484">
        <v>1816</v>
      </c>
      <c r="S38" s="4482">
        <v>633</v>
      </c>
      <c r="T38" s="4483">
        <v>1198</v>
      </c>
      <c r="U38" s="4484">
        <v>1831</v>
      </c>
      <c r="V38" s="4482">
        <v>659</v>
      </c>
      <c r="W38" s="4483">
        <v>1285</v>
      </c>
      <c r="X38" s="4484">
        <v>1944</v>
      </c>
      <c r="Y38" s="4482">
        <v>743</v>
      </c>
      <c r="Z38" s="4483">
        <v>1526</v>
      </c>
      <c r="AA38" s="4484">
        <f t="shared" si="0"/>
        <v>2269</v>
      </c>
      <c r="AB38" s="4485">
        <v>797</v>
      </c>
      <c r="AC38" s="4486">
        <v>1385</v>
      </c>
      <c r="AD38" s="4484">
        <f t="shared" si="1"/>
        <v>2182</v>
      </c>
      <c r="AE38" s="4485">
        <v>831</v>
      </c>
      <c r="AF38" s="4486">
        <v>1639</v>
      </c>
      <c r="AG38" s="4484">
        <f t="shared" si="2"/>
        <v>2470</v>
      </c>
      <c r="AH38" s="4485">
        <v>781</v>
      </c>
      <c r="AI38" s="4486">
        <v>1701</v>
      </c>
      <c r="AJ38" s="4484">
        <f t="shared" ref="AJ38:AJ48" si="28">SUM(AH38:AI38)</f>
        <v>2482</v>
      </c>
      <c r="AK38" s="4485">
        <v>675</v>
      </c>
      <c r="AL38" s="4486">
        <v>1848</v>
      </c>
      <c r="AM38" s="4484">
        <f t="shared" ref="AM38:AM48" si="29">SUM(AK38:AL38)</f>
        <v>2523</v>
      </c>
      <c r="AN38" s="4485">
        <v>781</v>
      </c>
      <c r="AO38" s="4486">
        <v>1914</v>
      </c>
      <c r="AP38" s="4484">
        <f t="shared" ref="AP38:AP48" si="30">SUM(AN38:AO38)</f>
        <v>2695</v>
      </c>
      <c r="AQ38" s="4485">
        <v>801</v>
      </c>
      <c r="AR38" s="4486">
        <v>2054</v>
      </c>
      <c r="AS38" s="4484">
        <f t="shared" ref="AS38:AS48" si="31">SUM(AQ38:AR38)</f>
        <v>2855</v>
      </c>
      <c r="AT38" s="4485">
        <v>794</v>
      </c>
      <c r="AU38" s="4486">
        <v>1958</v>
      </c>
      <c r="AV38" s="4484">
        <f t="shared" ref="AV38:AV48" si="32">SUM(AT38:AU38)</f>
        <v>2752</v>
      </c>
    </row>
    <row r="39" spans="1:48" s="186" customFormat="1" ht="15" customHeight="1" x14ac:dyDescent="0.25">
      <c r="A39" s="5669"/>
      <c r="B39" s="5678"/>
      <c r="C39" s="799" t="s">
        <v>470</v>
      </c>
      <c r="D39" s="800"/>
      <c r="E39" s="801">
        <v>187</v>
      </c>
      <c r="F39" s="802">
        <v>187</v>
      </c>
      <c r="G39" s="800"/>
      <c r="H39" s="801">
        <v>177</v>
      </c>
      <c r="I39" s="802">
        <v>177</v>
      </c>
      <c r="J39" s="800"/>
      <c r="K39" s="801">
        <v>211</v>
      </c>
      <c r="L39" s="802">
        <v>211</v>
      </c>
      <c r="M39" s="800"/>
      <c r="N39" s="801">
        <v>233</v>
      </c>
      <c r="O39" s="802">
        <v>233</v>
      </c>
      <c r="P39" s="800"/>
      <c r="Q39" s="801">
        <v>281</v>
      </c>
      <c r="R39" s="802">
        <v>281</v>
      </c>
      <c r="S39" s="800"/>
      <c r="T39" s="801">
        <v>225</v>
      </c>
      <c r="U39" s="802">
        <v>225</v>
      </c>
      <c r="V39" s="800"/>
      <c r="W39" s="801">
        <v>284</v>
      </c>
      <c r="X39" s="802">
        <v>284</v>
      </c>
      <c r="Y39" s="800"/>
      <c r="Z39" s="801">
        <v>357</v>
      </c>
      <c r="AA39" s="802">
        <f t="shared" si="0"/>
        <v>357</v>
      </c>
      <c r="AB39" s="803"/>
      <c r="AC39" s="804">
        <v>311</v>
      </c>
      <c r="AD39" s="802">
        <f t="shared" si="1"/>
        <v>311</v>
      </c>
      <c r="AE39" s="803"/>
      <c r="AF39" s="804">
        <v>365</v>
      </c>
      <c r="AG39" s="802">
        <f t="shared" si="2"/>
        <v>365</v>
      </c>
      <c r="AH39" s="803"/>
      <c r="AI39" s="804">
        <v>322</v>
      </c>
      <c r="AJ39" s="802">
        <f t="shared" si="28"/>
        <v>322</v>
      </c>
      <c r="AK39" s="803"/>
      <c r="AL39" s="804">
        <v>301</v>
      </c>
      <c r="AM39" s="802">
        <f t="shared" si="29"/>
        <v>301</v>
      </c>
      <c r="AN39" s="803"/>
      <c r="AO39" s="804">
        <v>323</v>
      </c>
      <c r="AP39" s="802">
        <f t="shared" si="30"/>
        <v>323</v>
      </c>
      <c r="AQ39" s="803"/>
      <c r="AR39" s="804">
        <v>248</v>
      </c>
      <c r="AS39" s="802">
        <f t="shared" si="31"/>
        <v>248</v>
      </c>
      <c r="AT39" s="803"/>
      <c r="AU39" s="804">
        <v>258</v>
      </c>
      <c r="AV39" s="802">
        <f t="shared" si="32"/>
        <v>258</v>
      </c>
    </row>
    <row r="40" spans="1:48" s="186" customFormat="1" ht="15" customHeight="1" x14ac:dyDescent="0.25">
      <c r="A40" s="5669"/>
      <c r="B40" s="5678"/>
      <c r="C40" s="799" t="s">
        <v>471</v>
      </c>
      <c r="D40" s="805"/>
      <c r="E40" s="801">
        <v>140</v>
      </c>
      <c r="F40" s="802">
        <v>140</v>
      </c>
      <c r="G40" s="805"/>
      <c r="H40" s="801">
        <v>171</v>
      </c>
      <c r="I40" s="802">
        <v>171</v>
      </c>
      <c r="J40" s="805"/>
      <c r="K40" s="801">
        <v>209</v>
      </c>
      <c r="L40" s="802">
        <v>209</v>
      </c>
      <c r="M40" s="805"/>
      <c r="N40" s="801">
        <v>202</v>
      </c>
      <c r="O40" s="802">
        <v>202</v>
      </c>
      <c r="P40" s="805"/>
      <c r="Q40" s="801">
        <v>226</v>
      </c>
      <c r="R40" s="802">
        <v>226</v>
      </c>
      <c r="S40" s="805"/>
      <c r="T40" s="801">
        <v>259</v>
      </c>
      <c r="U40" s="802">
        <v>259</v>
      </c>
      <c r="V40" s="805"/>
      <c r="W40" s="801">
        <v>242</v>
      </c>
      <c r="X40" s="802">
        <v>242</v>
      </c>
      <c r="Y40" s="805"/>
      <c r="Z40" s="801">
        <v>307</v>
      </c>
      <c r="AA40" s="802">
        <f t="shared" si="0"/>
        <v>307</v>
      </c>
      <c r="AB40" s="803"/>
      <c r="AC40" s="804">
        <v>280</v>
      </c>
      <c r="AD40" s="802">
        <f t="shared" si="1"/>
        <v>280</v>
      </c>
      <c r="AE40" s="803"/>
      <c r="AF40" s="804">
        <v>355</v>
      </c>
      <c r="AG40" s="802">
        <f t="shared" si="2"/>
        <v>355</v>
      </c>
      <c r="AH40" s="803"/>
      <c r="AI40" s="804">
        <v>356</v>
      </c>
      <c r="AJ40" s="802">
        <f t="shared" si="28"/>
        <v>356</v>
      </c>
      <c r="AK40" s="803"/>
      <c r="AL40" s="804">
        <v>313</v>
      </c>
      <c r="AM40" s="802">
        <f t="shared" si="29"/>
        <v>313</v>
      </c>
      <c r="AN40" s="803"/>
      <c r="AO40" s="804">
        <v>351</v>
      </c>
      <c r="AP40" s="802">
        <f t="shared" si="30"/>
        <v>351</v>
      </c>
      <c r="AQ40" s="803"/>
      <c r="AR40" s="804">
        <v>361</v>
      </c>
      <c r="AS40" s="802">
        <f t="shared" si="31"/>
        <v>361</v>
      </c>
      <c r="AT40" s="803"/>
      <c r="AU40" s="804">
        <v>417</v>
      </c>
      <c r="AV40" s="802">
        <f t="shared" si="32"/>
        <v>417</v>
      </c>
    </row>
    <row r="41" spans="1:48" s="186" customFormat="1" ht="15" customHeight="1" x14ac:dyDescent="0.25">
      <c r="A41" s="5669"/>
      <c r="B41" s="5678"/>
      <c r="C41" s="799" t="s">
        <v>472</v>
      </c>
      <c r="D41" s="805"/>
      <c r="E41" s="801">
        <v>136</v>
      </c>
      <c r="F41" s="802">
        <v>136</v>
      </c>
      <c r="G41" s="805"/>
      <c r="H41" s="801">
        <v>162</v>
      </c>
      <c r="I41" s="802">
        <v>162</v>
      </c>
      <c r="J41" s="805"/>
      <c r="K41" s="801">
        <v>184</v>
      </c>
      <c r="L41" s="802">
        <v>184</v>
      </c>
      <c r="M41" s="805"/>
      <c r="N41" s="801">
        <v>235</v>
      </c>
      <c r="O41" s="802">
        <v>235</v>
      </c>
      <c r="P41" s="805"/>
      <c r="Q41" s="801">
        <v>245</v>
      </c>
      <c r="R41" s="802">
        <v>245</v>
      </c>
      <c r="S41" s="805"/>
      <c r="T41" s="801">
        <v>317</v>
      </c>
      <c r="U41" s="802">
        <v>317</v>
      </c>
      <c r="V41" s="805"/>
      <c r="W41" s="801">
        <v>277</v>
      </c>
      <c r="X41" s="802">
        <v>277</v>
      </c>
      <c r="Y41" s="805"/>
      <c r="Z41" s="801">
        <v>295</v>
      </c>
      <c r="AA41" s="802">
        <f t="shared" si="0"/>
        <v>295</v>
      </c>
      <c r="AB41" s="803"/>
      <c r="AC41" s="804">
        <v>303</v>
      </c>
      <c r="AD41" s="802">
        <f t="shared" si="1"/>
        <v>303</v>
      </c>
      <c r="AE41" s="803"/>
      <c r="AF41" s="804">
        <v>317</v>
      </c>
      <c r="AG41" s="802">
        <f t="shared" si="2"/>
        <v>317</v>
      </c>
      <c r="AH41" s="803"/>
      <c r="AI41" s="804">
        <v>327</v>
      </c>
      <c r="AJ41" s="802">
        <f t="shared" si="28"/>
        <v>327</v>
      </c>
      <c r="AK41" s="803"/>
      <c r="AL41" s="804">
        <v>319</v>
      </c>
      <c r="AM41" s="802">
        <f t="shared" si="29"/>
        <v>319</v>
      </c>
      <c r="AN41" s="803"/>
      <c r="AO41" s="804">
        <v>269</v>
      </c>
      <c r="AP41" s="802">
        <f t="shared" si="30"/>
        <v>269</v>
      </c>
      <c r="AQ41" s="803"/>
      <c r="AR41" s="804">
        <v>268</v>
      </c>
      <c r="AS41" s="802">
        <f t="shared" si="31"/>
        <v>268</v>
      </c>
      <c r="AT41" s="803"/>
      <c r="AU41" s="804">
        <v>244</v>
      </c>
      <c r="AV41" s="802">
        <f t="shared" si="32"/>
        <v>244</v>
      </c>
    </row>
    <row r="42" spans="1:48" s="186" customFormat="1" ht="15" customHeight="1" x14ac:dyDescent="0.25">
      <c r="A42" s="5669"/>
      <c r="B42" s="5678"/>
      <c r="C42" s="799" t="s">
        <v>458</v>
      </c>
      <c r="D42" s="800"/>
      <c r="E42" s="801">
        <v>183</v>
      </c>
      <c r="F42" s="802">
        <v>183</v>
      </c>
      <c r="G42" s="800"/>
      <c r="H42" s="801">
        <v>184</v>
      </c>
      <c r="I42" s="802">
        <v>184</v>
      </c>
      <c r="J42" s="800"/>
      <c r="K42" s="801">
        <v>237</v>
      </c>
      <c r="L42" s="802">
        <v>237</v>
      </c>
      <c r="M42" s="800"/>
      <c r="N42" s="801">
        <v>225</v>
      </c>
      <c r="O42" s="802">
        <v>225</v>
      </c>
      <c r="P42" s="800"/>
      <c r="Q42" s="801">
        <v>276</v>
      </c>
      <c r="R42" s="802">
        <v>276</v>
      </c>
      <c r="S42" s="800"/>
      <c r="T42" s="801">
        <v>370</v>
      </c>
      <c r="U42" s="802">
        <v>370</v>
      </c>
      <c r="V42" s="800"/>
      <c r="W42" s="801">
        <v>380</v>
      </c>
      <c r="X42" s="802">
        <v>380</v>
      </c>
      <c r="Y42" s="800"/>
      <c r="Z42" s="801">
        <v>375</v>
      </c>
      <c r="AA42" s="802">
        <f t="shared" si="0"/>
        <v>375</v>
      </c>
      <c r="AB42" s="803"/>
      <c r="AC42" s="804">
        <v>344</v>
      </c>
      <c r="AD42" s="802">
        <f t="shared" si="1"/>
        <v>344</v>
      </c>
      <c r="AE42" s="803"/>
      <c r="AF42" s="804">
        <v>452</v>
      </c>
      <c r="AG42" s="802">
        <f t="shared" si="2"/>
        <v>452</v>
      </c>
      <c r="AH42" s="803"/>
      <c r="AI42" s="804">
        <v>432</v>
      </c>
      <c r="AJ42" s="802">
        <f t="shared" si="28"/>
        <v>432</v>
      </c>
      <c r="AK42" s="803"/>
      <c r="AL42" s="804">
        <v>390</v>
      </c>
      <c r="AM42" s="802">
        <f t="shared" si="29"/>
        <v>390</v>
      </c>
      <c r="AN42" s="803"/>
      <c r="AO42" s="804">
        <v>438</v>
      </c>
      <c r="AP42" s="802">
        <f t="shared" si="30"/>
        <v>438</v>
      </c>
      <c r="AQ42" s="803"/>
      <c r="AR42" s="804">
        <v>516</v>
      </c>
      <c r="AS42" s="802">
        <f t="shared" si="31"/>
        <v>516</v>
      </c>
      <c r="AT42" s="803"/>
      <c r="AU42" s="804">
        <v>598</v>
      </c>
      <c r="AV42" s="802">
        <f t="shared" si="32"/>
        <v>598</v>
      </c>
    </row>
    <row r="43" spans="1:48" s="186" customFormat="1" ht="15" customHeight="1" x14ac:dyDescent="0.25">
      <c r="A43" s="5669"/>
      <c r="B43" s="5678"/>
      <c r="C43" s="799" t="s">
        <v>459</v>
      </c>
      <c r="D43" s="800"/>
      <c r="E43" s="801">
        <v>163</v>
      </c>
      <c r="F43" s="802">
        <v>163</v>
      </c>
      <c r="G43" s="800"/>
      <c r="H43" s="801">
        <v>157</v>
      </c>
      <c r="I43" s="802">
        <v>157</v>
      </c>
      <c r="J43" s="800"/>
      <c r="K43" s="801">
        <v>179</v>
      </c>
      <c r="L43" s="802">
        <v>179</v>
      </c>
      <c r="M43" s="800"/>
      <c r="N43" s="801">
        <v>174</v>
      </c>
      <c r="O43" s="802">
        <v>174</v>
      </c>
      <c r="P43" s="800"/>
      <c r="Q43" s="801">
        <v>183</v>
      </c>
      <c r="R43" s="802">
        <v>183</v>
      </c>
      <c r="S43" s="800"/>
      <c r="T43" s="801">
        <v>274</v>
      </c>
      <c r="U43" s="802">
        <v>274</v>
      </c>
      <c r="V43" s="800"/>
      <c r="W43" s="801">
        <v>292</v>
      </c>
      <c r="X43" s="802">
        <v>292</v>
      </c>
      <c r="Y43" s="800"/>
      <c r="Z43" s="801">
        <v>330</v>
      </c>
      <c r="AA43" s="802">
        <f t="shared" si="0"/>
        <v>330</v>
      </c>
      <c r="AB43" s="803"/>
      <c r="AC43" s="804">
        <v>296</v>
      </c>
      <c r="AD43" s="802">
        <f t="shared" si="1"/>
        <v>296</v>
      </c>
      <c r="AE43" s="803"/>
      <c r="AF43" s="804">
        <v>434</v>
      </c>
      <c r="AG43" s="802">
        <f t="shared" si="2"/>
        <v>434</v>
      </c>
      <c r="AH43" s="803"/>
      <c r="AI43" s="804">
        <v>410</v>
      </c>
      <c r="AJ43" s="802">
        <f t="shared" si="28"/>
        <v>410</v>
      </c>
      <c r="AK43" s="803"/>
      <c r="AL43" s="804">
        <v>347</v>
      </c>
      <c r="AM43" s="802">
        <f t="shared" si="29"/>
        <v>347</v>
      </c>
      <c r="AN43" s="803"/>
      <c r="AO43" s="804">
        <v>353</v>
      </c>
      <c r="AP43" s="802">
        <f t="shared" si="30"/>
        <v>353</v>
      </c>
      <c r="AQ43" s="803"/>
      <c r="AR43" s="804">
        <v>302</v>
      </c>
      <c r="AS43" s="802">
        <f t="shared" si="31"/>
        <v>302</v>
      </c>
      <c r="AT43" s="803"/>
      <c r="AU43" s="804">
        <v>281</v>
      </c>
      <c r="AV43" s="802">
        <f t="shared" si="32"/>
        <v>281</v>
      </c>
    </row>
    <row r="44" spans="1:48" s="186" customFormat="1" ht="15" customHeight="1" x14ac:dyDescent="0.25">
      <c r="A44" s="5669"/>
      <c r="B44" s="5678"/>
      <c r="C44" s="799" t="s">
        <v>473</v>
      </c>
      <c r="D44" s="800"/>
      <c r="E44" s="801">
        <v>191</v>
      </c>
      <c r="F44" s="802">
        <v>191</v>
      </c>
      <c r="G44" s="800"/>
      <c r="H44" s="801">
        <v>249</v>
      </c>
      <c r="I44" s="802">
        <v>249</v>
      </c>
      <c r="J44" s="800"/>
      <c r="K44" s="801">
        <v>270</v>
      </c>
      <c r="L44" s="802">
        <v>270</v>
      </c>
      <c r="M44" s="800"/>
      <c r="N44" s="801">
        <v>295</v>
      </c>
      <c r="O44" s="802">
        <v>295</v>
      </c>
      <c r="P44" s="800"/>
      <c r="Q44" s="801">
        <v>284</v>
      </c>
      <c r="R44" s="802">
        <v>284</v>
      </c>
      <c r="S44" s="800"/>
      <c r="T44" s="801">
        <v>383</v>
      </c>
      <c r="U44" s="802">
        <v>383</v>
      </c>
      <c r="V44" s="800"/>
      <c r="W44" s="801">
        <v>488</v>
      </c>
      <c r="X44" s="802">
        <v>488</v>
      </c>
      <c r="Y44" s="800"/>
      <c r="Z44" s="801">
        <v>559</v>
      </c>
      <c r="AA44" s="802">
        <f t="shared" si="0"/>
        <v>559</v>
      </c>
      <c r="AB44" s="803"/>
      <c r="AC44" s="804">
        <v>545</v>
      </c>
      <c r="AD44" s="802">
        <f t="shared" si="1"/>
        <v>545</v>
      </c>
      <c r="AE44" s="803"/>
      <c r="AF44" s="804">
        <v>505</v>
      </c>
      <c r="AG44" s="802">
        <f t="shared" si="2"/>
        <v>505</v>
      </c>
      <c r="AH44" s="803"/>
      <c r="AI44" s="804">
        <v>490</v>
      </c>
      <c r="AJ44" s="802">
        <f t="shared" si="28"/>
        <v>490</v>
      </c>
      <c r="AK44" s="803"/>
      <c r="AL44" s="804">
        <v>442</v>
      </c>
      <c r="AM44" s="802">
        <f t="shared" si="29"/>
        <v>442</v>
      </c>
      <c r="AN44" s="803"/>
      <c r="AO44" s="804">
        <v>462</v>
      </c>
      <c r="AP44" s="802">
        <f t="shared" si="30"/>
        <v>462</v>
      </c>
      <c r="AQ44" s="803"/>
      <c r="AR44" s="804">
        <v>456</v>
      </c>
      <c r="AS44" s="802">
        <f t="shared" si="31"/>
        <v>456</v>
      </c>
      <c r="AT44" s="803"/>
      <c r="AU44" s="804">
        <v>450</v>
      </c>
      <c r="AV44" s="802">
        <f t="shared" si="32"/>
        <v>450</v>
      </c>
    </row>
    <row r="45" spans="1:48" s="186" customFormat="1" ht="15" customHeight="1" x14ac:dyDescent="0.25">
      <c r="A45" s="5669"/>
      <c r="B45" s="5678"/>
      <c r="C45" s="799" t="s">
        <v>474</v>
      </c>
      <c r="D45" s="800"/>
      <c r="E45" s="801">
        <v>92</v>
      </c>
      <c r="F45" s="802">
        <v>92</v>
      </c>
      <c r="G45" s="800"/>
      <c r="H45" s="801">
        <v>89</v>
      </c>
      <c r="I45" s="802">
        <v>89</v>
      </c>
      <c r="J45" s="800"/>
      <c r="K45" s="801">
        <v>105</v>
      </c>
      <c r="L45" s="802">
        <v>105</v>
      </c>
      <c r="M45" s="800"/>
      <c r="N45" s="801">
        <v>98</v>
      </c>
      <c r="O45" s="802">
        <v>98</v>
      </c>
      <c r="P45" s="800"/>
      <c r="Q45" s="801">
        <v>125</v>
      </c>
      <c r="R45" s="802">
        <v>125</v>
      </c>
      <c r="S45" s="800"/>
      <c r="T45" s="801">
        <v>134</v>
      </c>
      <c r="U45" s="802">
        <v>134</v>
      </c>
      <c r="V45" s="800"/>
      <c r="W45" s="801">
        <v>168</v>
      </c>
      <c r="X45" s="802">
        <v>168</v>
      </c>
      <c r="Y45" s="800"/>
      <c r="Z45" s="801">
        <v>202</v>
      </c>
      <c r="AA45" s="802">
        <f t="shared" si="0"/>
        <v>202</v>
      </c>
      <c r="AB45" s="803"/>
      <c r="AC45" s="804">
        <v>199</v>
      </c>
      <c r="AD45" s="802">
        <f t="shared" si="1"/>
        <v>199</v>
      </c>
      <c r="AE45" s="803"/>
      <c r="AF45" s="804">
        <v>241</v>
      </c>
      <c r="AG45" s="802">
        <f t="shared" si="2"/>
        <v>241</v>
      </c>
      <c r="AH45" s="803"/>
      <c r="AI45" s="804">
        <v>248</v>
      </c>
      <c r="AJ45" s="802">
        <f t="shared" si="28"/>
        <v>248</v>
      </c>
      <c r="AK45" s="803"/>
      <c r="AL45" s="804">
        <v>282</v>
      </c>
      <c r="AM45" s="802">
        <f t="shared" si="29"/>
        <v>282</v>
      </c>
      <c r="AN45" s="803"/>
      <c r="AO45" s="804">
        <v>282</v>
      </c>
      <c r="AP45" s="802">
        <f t="shared" si="30"/>
        <v>282</v>
      </c>
      <c r="AQ45" s="803"/>
      <c r="AR45" s="804">
        <v>328</v>
      </c>
      <c r="AS45" s="802">
        <f t="shared" si="31"/>
        <v>328</v>
      </c>
      <c r="AT45" s="803"/>
      <c r="AU45" s="804">
        <v>271</v>
      </c>
      <c r="AV45" s="802">
        <f t="shared" si="32"/>
        <v>271</v>
      </c>
    </row>
    <row r="46" spans="1:48" s="186" customFormat="1" ht="15" customHeight="1" x14ac:dyDescent="0.25">
      <c r="A46" s="5669"/>
      <c r="B46" s="5678"/>
      <c r="C46" s="799" t="s">
        <v>475</v>
      </c>
      <c r="D46" s="800"/>
      <c r="E46" s="801">
        <v>443</v>
      </c>
      <c r="F46" s="802">
        <v>443</v>
      </c>
      <c r="G46" s="800"/>
      <c r="H46" s="801">
        <v>378</v>
      </c>
      <c r="I46" s="802">
        <v>378</v>
      </c>
      <c r="J46" s="800"/>
      <c r="K46" s="801">
        <v>486</v>
      </c>
      <c r="L46" s="802">
        <v>486</v>
      </c>
      <c r="M46" s="800"/>
      <c r="N46" s="801">
        <v>635</v>
      </c>
      <c r="O46" s="802">
        <v>635</v>
      </c>
      <c r="P46" s="800"/>
      <c r="Q46" s="801">
        <v>564</v>
      </c>
      <c r="R46" s="802">
        <v>564</v>
      </c>
      <c r="S46" s="800"/>
      <c r="T46" s="801">
        <v>557</v>
      </c>
      <c r="U46" s="802">
        <v>557</v>
      </c>
      <c r="V46" s="800"/>
      <c r="W46" s="801">
        <v>649</v>
      </c>
      <c r="X46" s="802">
        <v>649</v>
      </c>
      <c r="Y46" s="800"/>
      <c r="Z46" s="801">
        <v>666</v>
      </c>
      <c r="AA46" s="802">
        <f t="shared" si="0"/>
        <v>666</v>
      </c>
      <c r="AB46" s="803"/>
      <c r="AC46" s="804">
        <v>621</v>
      </c>
      <c r="AD46" s="802">
        <f t="shared" si="1"/>
        <v>621</v>
      </c>
      <c r="AE46" s="803"/>
      <c r="AF46" s="804">
        <v>773</v>
      </c>
      <c r="AG46" s="802">
        <f t="shared" si="2"/>
        <v>773</v>
      </c>
      <c r="AH46" s="803"/>
      <c r="AI46" s="804">
        <v>689</v>
      </c>
      <c r="AJ46" s="802">
        <f t="shared" si="28"/>
        <v>689</v>
      </c>
      <c r="AK46" s="803"/>
      <c r="AL46" s="804">
        <v>657</v>
      </c>
      <c r="AM46" s="802">
        <f t="shared" si="29"/>
        <v>657</v>
      </c>
      <c r="AN46" s="803"/>
      <c r="AO46" s="804">
        <v>682</v>
      </c>
      <c r="AP46" s="802">
        <f t="shared" si="30"/>
        <v>682</v>
      </c>
      <c r="AQ46" s="803"/>
      <c r="AR46" s="804">
        <v>640</v>
      </c>
      <c r="AS46" s="802">
        <f t="shared" si="31"/>
        <v>640</v>
      </c>
      <c r="AT46" s="803"/>
      <c r="AU46" s="804">
        <v>619</v>
      </c>
      <c r="AV46" s="802">
        <f t="shared" si="32"/>
        <v>619</v>
      </c>
    </row>
    <row r="47" spans="1:48" s="186" customFormat="1" ht="15" customHeight="1" x14ac:dyDescent="0.25">
      <c r="A47" s="5669"/>
      <c r="B47" s="5678"/>
      <c r="C47" s="799" t="s">
        <v>476</v>
      </c>
      <c r="D47" s="800">
        <v>340</v>
      </c>
      <c r="E47" s="801">
        <v>679</v>
      </c>
      <c r="F47" s="802">
        <v>1019</v>
      </c>
      <c r="G47" s="800">
        <v>284</v>
      </c>
      <c r="H47" s="801">
        <v>575</v>
      </c>
      <c r="I47" s="802">
        <v>859</v>
      </c>
      <c r="J47" s="800">
        <v>373</v>
      </c>
      <c r="K47" s="801">
        <v>740</v>
      </c>
      <c r="L47" s="802">
        <v>1113</v>
      </c>
      <c r="M47" s="800">
        <v>404</v>
      </c>
      <c r="N47" s="801">
        <v>856</v>
      </c>
      <c r="O47" s="802">
        <v>1260</v>
      </c>
      <c r="P47" s="800">
        <v>435</v>
      </c>
      <c r="Q47" s="801">
        <v>886</v>
      </c>
      <c r="R47" s="802">
        <v>1321</v>
      </c>
      <c r="S47" s="800">
        <v>513</v>
      </c>
      <c r="T47" s="801">
        <v>991</v>
      </c>
      <c r="U47" s="802">
        <v>1504</v>
      </c>
      <c r="V47" s="800">
        <v>538</v>
      </c>
      <c r="W47" s="801">
        <v>1084</v>
      </c>
      <c r="X47" s="802">
        <v>1622</v>
      </c>
      <c r="Y47" s="800">
        <v>633</v>
      </c>
      <c r="Z47" s="801">
        <v>1254</v>
      </c>
      <c r="AA47" s="802">
        <f t="shared" si="0"/>
        <v>1887</v>
      </c>
      <c r="AB47" s="803">
        <v>726</v>
      </c>
      <c r="AC47" s="804">
        <v>1301</v>
      </c>
      <c r="AD47" s="802">
        <f t="shared" si="1"/>
        <v>2027</v>
      </c>
      <c r="AE47" s="803">
        <v>724</v>
      </c>
      <c r="AF47" s="804">
        <v>1496</v>
      </c>
      <c r="AG47" s="802">
        <f t="shared" si="2"/>
        <v>2220</v>
      </c>
      <c r="AH47" s="803">
        <v>689</v>
      </c>
      <c r="AI47" s="804">
        <v>1590</v>
      </c>
      <c r="AJ47" s="802">
        <f t="shared" si="28"/>
        <v>2279</v>
      </c>
      <c r="AK47" s="803">
        <v>617</v>
      </c>
      <c r="AL47" s="804">
        <v>1478</v>
      </c>
      <c r="AM47" s="802">
        <f t="shared" si="29"/>
        <v>2095</v>
      </c>
      <c r="AN47" s="803">
        <v>635</v>
      </c>
      <c r="AO47" s="804">
        <v>1515</v>
      </c>
      <c r="AP47" s="802">
        <f t="shared" si="30"/>
        <v>2150</v>
      </c>
      <c r="AQ47" s="803">
        <v>620</v>
      </c>
      <c r="AR47" s="804">
        <v>1363</v>
      </c>
      <c r="AS47" s="802">
        <f t="shared" si="31"/>
        <v>1983</v>
      </c>
      <c r="AT47" s="803">
        <v>504</v>
      </c>
      <c r="AU47" s="804">
        <v>1311</v>
      </c>
      <c r="AV47" s="802">
        <f t="shared" si="32"/>
        <v>1815</v>
      </c>
    </row>
    <row r="48" spans="1:48" s="186" customFormat="1" ht="15" customHeight="1" x14ac:dyDescent="0.25">
      <c r="A48" s="5669"/>
      <c r="B48" s="5678"/>
      <c r="C48" s="808" t="s">
        <v>477</v>
      </c>
      <c r="D48" s="809"/>
      <c r="E48" s="1428">
        <v>113</v>
      </c>
      <c r="F48" s="811">
        <v>113</v>
      </c>
      <c r="G48" s="1429"/>
      <c r="H48" s="1428">
        <v>92</v>
      </c>
      <c r="I48" s="811">
        <v>92</v>
      </c>
      <c r="J48" s="809"/>
      <c r="K48" s="810">
        <v>99</v>
      </c>
      <c r="L48" s="811">
        <v>99</v>
      </c>
      <c r="M48" s="809"/>
      <c r="N48" s="810">
        <v>99</v>
      </c>
      <c r="O48" s="811">
        <v>99</v>
      </c>
      <c r="P48" s="809"/>
      <c r="Q48" s="810">
        <v>99</v>
      </c>
      <c r="R48" s="811">
        <v>99</v>
      </c>
      <c r="S48" s="809"/>
      <c r="T48" s="810">
        <v>121</v>
      </c>
      <c r="U48" s="811">
        <v>121</v>
      </c>
      <c r="V48" s="809"/>
      <c r="W48" s="810">
        <v>126</v>
      </c>
      <c r="X48" s="811">
        <v>126</v>
      </c>
      <c r="Y48" s="809"/>
      <c r="Z48" s="810">
        <v>151</v>
      </c>
      <c r="AA48" s="811">
        <f t="shared" si="0"/>
        <v>151</v>
      </c>
      <c r="AB48" s="812"/>
      <c r="AC48" s="810">
        <v>215</v>
      </c>
      <c r="AD48" s="811">
        <f t="shared" si="1"/>
        <v>215</v>
      </c>
      <c r="AE48" s="812"/>
      <c r="AF48" s="810">
        <v>181</v>
      </c>
      <c r="AG48" s="811">
        <f t="shared" si="2"/>
        <v>181</v>
      </c>
      <c r="AH48" s="812"/>
      <c r="AI48" s="810">
        <v>172</v>
      </c>
      <c r="AJ48" s="811">
        <f t="shared" si="28"/>
        <v>172</v>
      </c>
      <c r="AK48" s="803"/>
      <c r="AL48" s="810">
        <v>167</v>
      </c>
      <c r="AM48" s="811">
        <f t="shared" si="29"/>
        <v>167</v>
      </c>
      <c r="AN48" s="803"/>
      <c r="AO48" s="810">
        <v>150</v>
      </c>
      <c r="AP48" s="811">
        <f t="shared" si="30"/>
        <v>150</v>
      </c>
      <c r="AQ48" s="803"/>
      <c r="AR48" s="810">
        <v>142</v>
      </c>
      <c r="AS48" s="811">
        <f t="shared" si="31"/>
        <v>142</v>
      </c>
      <c r="AT48" s="803"/>
      <c r="AU48" s="810">
        <v>138</v>
      </c>
      <c r="AV48" s="811">
        <f t="shared" si="32"/>
        <v>138</v>
      </c>
    </row>
    <row r="49" spans="1:48" s="186" customFormat="1" ht="15" customHeight="1" x14ac:dyDescent="0.25">
      <c r="A49" s="5669"/>
      <c r="B49" s="5679"/>
      <c r="C49" s="4475" t="s">
        <v>160</v>
      </c>
      <c r="D49" s="4476">
        <f>SUM(D38:D48)</f>
        <v>1046</v>
      </c>
      <c r="E49" s="4477">
        <f t="shared" ref="E49:AG49" si="33">SUM(E38:E48)</f>
        <v>3757</v>
      </c>
      <c r="F49" s="4478">
        <f t="shared" si="33"/>
        <v>4803</v>
      </c>
      <c r="G49" s="4476">
        <f t="shared" si="33"/>
        <v>913</v>
      </c>
      <c r="H49" s="4477">
        <f t="shared" si="33"/>
        <v>3561</v>
      </c>
      <c r="I49" s="4478">
        <f t="shared" si="33"/>
        <v>4474</v>
      </c>
      <c r="J49" s="4476">
        <f t="shared" si="33"/>
        <v>1024</v>
      </c>
      <c r="K49" s="4477">
        <f t="shared" si="33"/>
        <v>3941</v>
      </c>
      <c r="L49" s="4478">
        <f t="shared" si="33"/>
        <v>4965</v>
      </c>
      <c r="M49" s="4476">
        <f t="shared" si="33"/>
        <v>1060</v>
      </c>
      <c r="N49" s="4477">
        <f t="shared" si="33"/>
        <v>4203</v>
      </c>
      <c r="O49" s="4478">
        <f t="shared" si="33"/>
        <v>5263</v>
      </c>
      <c r="P49" s="4476">
        <f t="shared" si="33"/>
        <v>1072</v>
      </c>
      <c r="Q49" s="4477">
        <f t="shared" si="33"/>
        <v>4348</v>
      </c>
      <c r="R49" s="4478">
        <f t="shared" si="33"/>
        <v>5420</v>
      </c>
      <c r="S49" s="4476">
        <f t="shared" si="33"/>
        <v>1146</v>
      </c>
      <c r="T49" s="4477">
        <f t="shared" si="33"/>
        <v>4829</v>
      </c>
      <c r="U49" s="4478">
        <f t="shared" si="33"/>
        <v>5975</v>
      </c>
      <c r="V49" s="4476">
        <f t="shared" si="33"/>
        <v>1197</v>
      </c>
      <c r="W49" s="4477">
        <f t="shared" si="33"/>
        <v>5275</v>
      </c>
      <c r="X49" s="4478">
        <f t="shared" si="33"/>
        <v>6472</v>
      </c>
      <c r="Y49" s="4476">
        <f t="shared" si="33"/>
        <v>1376</v>
      </c>
      <c r="Z49" s="4477">
        <f t="shared" si="33"/>
        <v>6022</v>
      </c>
      <c r="AA49" s="4478">
        <f t="shared" si="33"/>
        <v>7398</v>
      </c>
      <c r="AB49" s="4476">
        <f t="shared" si="33"/>
        <v>1523</v>
      </c>
      <c r="AC49" s="4477">
        <f t="shared" si="33"/>
        <v>5800</v>
      </c>
      <c r="AD49" s="4478">
        <f t="shared" si="33"/>
        <v>7323</v>
      </c>
      <c r="AE49" s="4476">
        <f t="shared" si="33"/>
        <v>1555</v>
      </c>
      <c r="AF49" s="4477">
        <f t="shared" si="33"/>
        <v>6758</v>
      </c>
      <c r="AG49" s="4478">
        <f t="shared" si="33"/>
        <v>8313</v>
      </c>
      <c r="AH49" s="4476">
        <f t="shared" ref="AH49:AM49" si="34">SUM(AH38:AH48)</f>
        <v>1470</v>
      </c>
      <c r="AI49" s="4477">
        <f t="shared" si="34"/>
        <v>6737</v>
      </c>
      <c r="AJ49" s="4478">
        <f t="shared" si="34"/>
        <v>8207</v>
      </c>
      <c r="AK49" s="4479">
        <f>SUM(AK38:AK48)</f>
        <v>1292</v>
      </c>
      <c r="AL49" s="4480">
        <f>SUM(AL38:AL48)</f>
        <v>6544</v>
      </c>
      <c r="AM49" s="4478">
        <f t="shared" si="34"/>
        <v>7836</v>
      </c>
      <c r="AN49" s="4479">
        <f t="shared" ref="AN49:AV49" si="35">SUM(AN38:AN48)</f>
        <v>1416</v>
      </c>
      <c r="AO49" s="4480">
        <f t="shared" si="35"/>
        <v>6739</v>
      </c>
      <c r="AP49" s="4478">
        <f t="shared" si="35"/>
        <v>8155</v>
      </c>
      <c r="AQ49" s="4479">
        <f t="shared" si="35"/>
        <v>1421</v>
      </c>
      <c r="AR49" s="4480">
        <f t="shared" si="35"/>
        <v>6678</v>
      </c>
      <c r="AS49" s="4478">
        <f t="shared" si="35"/>
        <v>8099</v>
      </c>
      <c r="AT49" s="4479">
        <f t="shared" si="35"/>
        <v>1298</v>
      </c>
      <c r="AU49" s="4480">
        <f t="shared" si="35"/>
        <v>6545</v>
      </c>
      <c r="AV49" s="4478">
        <f t="shared" si="35"/>
        <v>7843</v>
      </c>
    </row>
    <row r="50" spans="1:48" s="186" customFormat="1" ht="15" customHeight="1" x14ac:dyDescent="0.25">
      <c r="A50" s="5669"/>
      <c r="B50" s="5677" t="s">
        <v>11</v>
      </c>
      <c r="C50" s="4481" t="s">
        <v>478</v>
      </c>
      <c r="D50" s="4482">
        <v>64</v>
      </c>
      <c r="E50" s="4483">
        <v>116</v>
      </c>
      <c r="F50" s="4484">
        <v>180</v>
      </c>
      <c r="G50" s="4482">
        <v>68</v>
      </c>
      <c r="H50" s="4483">
        <v>158</v>
      </c>
      <c r="I50" s="4484">
        <v>226</v>
      </c>
      <c r="J50" s="4482">
        <v>94</v>
      </c>
      <c r="K50" s="4483">
        <v>212</v>
      </c>
      <c r="L50" s="4484">
        <v>306</v>
      </c>
      <c r="M50" s="4482">
        <v>111</v>
      </c>
      <c r="N50" s="4483">
        <v>232</v>
      </c>
      <c r="O50" s="4484">
        <v>343</v>
      </c>
      <c r="P50" s="4482">
        <v>118</v>
      </c>
      <c r="Q50" s="4483">
        <v>235</v>
      </c>
      <c r="R50" s="4484">
        <v>353</v>
      </c>
      <c r="S50" s="4482">
        <v>156</v>
      </c>
      <c r="T50" s="4483">
        <v>352</v>
      </c>
      <c r="U50" s="4484">
        <v>508</v>
      </c>
      <c r="V50" s="4482">
        <v>170</v>
      </c>
      <c r="W50" s="4483">
        <v>364</v>
      </c>
      <c r="X50" s="4484">
        <v>534</v>
      </c>
      <c r="Y50" s="4482">
        <v>158</v>
      </c>
      <c r="Z50" s="4483">
        <v>434</v>
      </c>
      <c r="AA50" s="4484">
        <f t="shared" si="0"/>
        <v>592</v>
      </c>
      <c r="AB50" s="4485">
        <v>230</v>
      </c>
      <c r="AC50" s="4486">
        <v>412</v>
      </c>
      <c r="AD50" s="4484">
        <f t="shared" si="1"/>
        <v>642</v>
      </c>
      <c r="AE50" s="4485">
        <v>232</v>
      </c>
      <c r="AF50" s="4486">
        <v>495</v>
      </c>
      <c r="AG50" s="4484">
        <f t="shared" si="2"/>
        <v>727</v>
      </c>
      <c r="AH50" s="4485">
        <v>193</v>
      </c>
      <c r="AI50" s="4486">
        <v>514</v>
      </c>
      <c r="AJ50" s="4484">
        <f t="shared" ref="AJ50:AJ55" si="36">SUM(AH50:AI50)</f>
        <v>707</v>
      </c>
      <c r="AK50" s="4485">
        <v>206</v>
      </c>
      <c r="AL50" s="4486">
        <v>577</v>
      </c>
      <c r="AM50" s="4484">
        <f t="shared" ref="AM50:AM55" si="37">SUM(AK50:AL50)</f>
        <v>783</v>
      </c>
      <c r="AN50" s="4485">
        <v>248</v>
      </c>
      <c r="AO50" s="4486">
        <v>605</v>
      </c>
      <c r="AP50" s="4484">
        <f t="shared" ref="AP50:AP55" si="38">SUM(AN50:AO50)</f>
        <v>853</v>
      </c>
      <c r="AQ50" s="4485">
        <v>247</v>
      </c>
      <c r="AR50" s="4486">
        <v>557</v>
      </c>
      <c r="AS50" s="4484">
        <f t="shared" ref="AS50:AS55" si="39">SUM(AQ50:AR50)</f>
        <v>804</v>
      </c>
      <c r="AT50" s="4485">
        <v>230</v>
      </c>
      <c r="AU50" s="4486">
        <v>609</v>
      </c>
      <c r="AV50" s="4484">
        <f t="shared" ref="AV50:AV55" si="40">SUM(AT50:AU50)</f>
        <v>839</v>
      </c>
    </row>
    <row r="51" spans="1:48" s="186" customFormat="1" ht="15" customHeight="1" x14ac:dyDescent="0.25">
      <c r="A51" s="5669"/>
      <c r="B51" s="5678"/>
      <c r="C51" s="799" t="s">
        <v>479</v>
      </c>
      <c r="D51" s="800">
        <v>73</v>
      </c>
      <c r="E51" s="801">
        <v>159</v>
      </c>
      <c r="F51" s="802">
        <v>232</v>
      </c>
      <c r="G51" s="800">
        <v>66</v>
      </c>
      <c r="H51" s="801">
        <v>133</v>
      </c>
      <c r="I51" s="802">
        <v>199</v>
      </c>
      <c r="J51" s="800">
        <v>54</v>
      </c>
      <c r="K51" s="801">
        <v>142</v>
      </c>
      <c r="L51" s="802">
        <v>196</v>
      </c>
      <c r="M51" s="800">
        <v>69</v>
      </c>
      <c r="N51" s="801">
        <v>144</v>
      </c>
      <c r="O51" s="802">
        <v>213</v>
      </c>
      <c r="P51" s="800">
        <v>68</v>
      </c>
      <c r="Q51" s="801">
        <v>139</v>
      </c>
      <c r="R51" s="802">
        <v>207</v>
      </c>
      <c r="S51" s="800">
        <v>78</v>
      </c>
      <c r="T51" s="801">
        <v>203</v>
      </c>
      <c r="U51" s="802">
        <v>281</v>
      </c>
      <c r="V51" s="800">
        <v>106</v>
      </c>
      <c r="W51" s="801">
        <v>233</v>
      </c>
      <c r="X51" s="802">
        <v>339</v>
      </c>
      <c r="Y51" s="800">
        <v>107</v>
      </c>
      <c r="Z51" s="801">
        <v>258</v>
      </c>
      <c r="AA51" s="802">
        <f t="shared" si="0"/>
        <v>365</v>
      </c>
      <c r="AB51" s="803">
        <v>123</v>
      </c>
      <c r="AC51" s="804">
        <v>263</v>
      </c>
      <c r="AD51" s="802">
        <f t="shared" si="1"/>
        <v>386</v>
      </c>
      <c r="AE51" s="803">
        <v>125</v>
      </c>
      <c r="AF51" s="804">
        <v>287</v>
      </c>
      <c r="AG51" s="802">
        <f t="shared" si="2"/>
        <v>412</v>
      </c>
      <c r="AH51" s="803">
        <v>135</v>
      </c>
      <c r="AI51" s="804">
        <v>295</v>
      </c>
      <c r="AJ51" s="802">
        <f t="shared" si="36"/>
        <v>430</v>
      </c>
      <c r="AK51" s="803">
        <v>114</v>
      </c>
      <c r="AL51" s="804">
        <v>331</v>
      </c>
      <c r="AM51" s="802">
        <f t="shared" si="37"/>
        <v>445</v>
      </c>
      <c r="AN51" s="803">
        <v>140</v>
      </c>
      <c r="AO51" s="804">
        <v>325</v>
      </c>
      <c r="AP51" s="802">
        <f t="shared" si="38"/>
        <v>465</v>
      </c>
      <c r="AQ51" s="803">
        <v>137</v>
      </c>
      <c r="AR51" s="804">
        <v>339</v>
      </c>
      <c r="AS51" s="802">
        <f t="shared" si="39"/>
        <v>476</v>
      </c>
      <c r="AT51" s="803">
        <v>119</v>
      </c>
      <c r="AU51" s="804">
        <v>310</v>
      </c>
      <c r="AV51" s="802">
        <f t="shared" si="40"/>
        <v>429</v>
      </c>
    </row>
    <row r="52" spans="1:48" s="186" customFormat="1" ht="15" customHeight="1" x14ac:dyDescent="0.25">
      <c r="A52" s="5669"/>
      <c r="B52" s="5678"/>
      <c r="C52" s="799" t="s">
        <v>480</v>
      </c>
      <c r="D52" s="800"/>
      <c r="E52" s="801">
        <v>91</v>
      </c>
      <c r="F52" s="802">
        <v>91</v>
      </c>
      <c r="G52" s="800"/>
      <c r="H52" s="801">
        <v>67</v>
      </c>
      <c r="I52" s="802">
        <v>67</v>
      </c>
      <c r="J52" s="800"/>
      <c r="K52" s="801">
        <v>99</v>
      </c>
      <c r="L52" s="802">
        <v>99</v>
      </c>
      <c r="M52" s="800"/>
      <c r="N52" s="801">
        <v>117</v>
      </c>
      <c r="O52" s="802">
        <v>117</v>
      </c>
      <c r="P52" s="800"/>
      <c r="Q52" s="801">
        <v>89</v>
      </c>
      <c r="R52" s="802">
        <v>89</v>
      </c>
      <c r="S52" s="800"/>
      <c r="T52" s="801">
        <v>88</v>
      </c>
      <c r="U52" s="802">
        <v>88</v>
      </c>
      <c r="V52" s="807"/>
      <c r="W52" s="801">
        <v>165</v>
      </c>
      <c r="X52" s="802">
        <v>165</v>
      </c>
      <c r="Y52" s="807">
        <v>61</v>
      </c>
      <c r="Z52" s="801">
        <v>181</v>
      </c>
      <c r="AA52" s="802">
        <f t="shared" si="0"/>
        <v>242</v>
      </c>
      <c r="AB52" s="803">
        <v>90</v>
      </c>
      <c r="AC52" s="804">
        <v>189</v>
      </c>
      <c r="AD52" s="802">
        <f t="shared" si="1"/>
        <v>279</v>
      </c>
      <c r="AE52" s="803">
        <v>84</v>
      </c>
      <c r="AF52" s="804">
        <v>168</v>
      </c>
      <c r="AG52" s="802">
        <f t="shared" si="2"/>
        <v>252</v>
      </c>
      <c r="AH52" s="803">
        <v>88</v>
      </c>
      <c r="AI52" s="804">
        <v>202</v>
      </c>
      <c r="AJ52" s="802">
        <f t="shared" si="36"/>
        <v>290</v>
      </c>
      <c r="AK52" s="803">
        <v>85</v>
      </c>
      <c r="AL52" s="804">
        <v>239</v>
      </c>
      <c r="AM52" s="802">
        <f t="shared" si="37"/>
        <v>324</v>
      </c>
      <c r="AN52" s="803">
        <v>97</v>
      </c>
      <c r="AO52" s="804">
        <v>236</v>
      </c>
      <c r="AP52" s="802">
        <f t="shared" si="38"/>
        <v>333</v>
      </c>
      <c r="AQ52" s="803">
        <v>94</v>
      </c>
      <c r="AR52" s="804">
        <v>238</v>
      </c>
      <c r="AS52" s="802">
        <f t="shared" si="39"/>
        <v>332</v>
      </c>
      <c r="AT52" s="803">
        <v>97</v>
      </c>
      <c r="AU52" s="804">
        <v>219</v>
      </c>
      <c r="AV52" s="802">
        <f t="shared" si="40"/>
        <v>316</v>
      </c>
    </row>
    <row r="53" spans="1:48" s="186" customFormat="1" ht="15" customHeight="1" x14ac:dyDescent="0.25">
      <c r="A53" s="5669"/>
      <c r="B53" s="5678"/>
      <c r="C53" s="799" t="s">
        <v>481</v>
      </c>
      <c r="D53" s="800"/>
      <c r="E53" s="801">
        <v>33</v>
      </c>
      <c r="F53" s="802">
        <v>33</v>
      </c>
      <c r="G53" s="800"/>
      <c r="H53" s="801">
        <v>37</v>
      </c>
      <c r="I53" s="802">
        <v>37</v>
      </c>
      <c r="J53" s="800"/>
      <c r="K53" s="801">
        <v>43</v>
      </c>
      <c r="L53" s="802">
        <v>43</v>
      </c>
      <c r="M53" s="800"/>
      <c r="N53" s="801">
        <v>46</v>
      </c>
      <c r="O53" s="802">
        <v>46</v>
      </c>
      <c r="P53" s="800"/>
      <c r="Q53" s="801">
        <v>61</v>
      </c>
      <c r="R53" s="802">
        <v>61</v>
      </c>
      <c r="S53" s="800"/>
      <c r="T53" s="801">
        <v>49</v>
      </c>
      <c r="U53" s="802">
        <v>49</v>
      </c>
      <c r="V53" s="807"/>
      <c r="W53" s="801">
        <v>80</v>
      </c>
      <c r="X53" s="802">
        <v>80</v>
      </c>
      <c r="Y53" s="807">
        <v>52</v>
      </c>
      <c r="Z53" s="801">
        <v>87</v>
      </c>
      <c r="AA53" s="802">
        <f t="shared" si="0"/>
        <v>139</v>
      </c>
      <c r="AB53" s="803">
        <v>56</v>
      </c>
      <c r="AC53" s="804">
        <v>91</v>
      </c>
      <c r="AD53" s="802">
        <f t="shared" si="1"/>
        <v>147</v>
      </c>
      <c r="AE53" s="803">
        <v>52</v>
      </c>
      <c r="AF53" s="804">
        <v>117</v>
      </c>
      <c r="AG53" s="802">
        <f t="shared" si="2"/>
        <v>169</v>
      </c>
      <c r="AH53" s="803">
        <v>65</v>
      </c>
      <c r="AI53" s="804">
        <v>158</v>
      </c>
      <c r="AJ53" s="802">
        <f t="shared" si="36"/>
        <v>223</v>
      </c>
      <c r="AK53" s="803">
        <v>65</v>
      </c>
      <c r="AL53" s="804">
        <v>176</v>
      </c>
      <c r="AM53" s="802">
        <f t="shared" si="37"/>
        <v>241</v>
      </c>
      <c r="AN53" s="803">
        <v>81</v>
      </c>
      <c r="AO53" s="804">
        <v>162</v>
      </c>
      <c r="AP53" s="802">
        <f t="shared" si="38"/>
        <v>243</v>
      </c>
      <c r="AQ53" s="803">
        <v>68</v>
      </c>
      <c r="AR53" s="804">
        <v>117</v>
      </c>
      <c r="AS53" s="802">
        <f t="shared" si="39"/>
        <v>185</v>
      </c>
      <c r="AT53" s="803">
        <v>79</v>
      </c>
      <c r="AU53" s="804">
        <v>113</v>
      </c>
      <c r="AV53" s="802">
        <f t="shared" si="40"/>
        <v>192</v>
      </c>
    </row>
    <row r="54" spans="1:48" s="186" customFormat="1" ht="15" customHeight="1" x14ac:dyDescent="0.25">
      <c r="A54" s="5669"/>
      <c r="B54" s="5678"/>
      <c r="C54" s="799" t="s">
        <v>482</v>
      </c>
      <c r="D54" s="800">
        <v>79</v>
      </c>
      <c r="E54" s="801">
        <v>156</v>
      </c>
      <c r="F54" s="802">
        <v>235</v>
      </c>
      <c r="G54" s="800">
        <v>64</v>
      </c>
      <c r="H54" s="801">
        <v>168</v>
      </c>
      <c r="I54" s="802">
        <v>232</v>
      </c>
      <c r="J54" s="800">
        <v>65</v>
      </c>
      <c r="K54" s="801">
        <v>135</v>
      </c>
      <c r="L54" s="802">
        <v>200</v>
      </c>
      <c r="M54" s="800">
        <v>61</v>
      </c>
      <c r="N54" s="801">
        <v>171</v>
      </c>
      <c r="O54" s="802">
        <v>232</v>
      </c>
      <c r="P54" s="800">
        <v>67</v>
      </c>
      <c r="Q54" s="801">
        <v>176</v>
      </c>
      <c r="R54" s="802">
        <v>243</v>
      </c>
      <c r="S54" s="800">
        <v>81</v>
      </c>
      <c r="T54" s="801">
        <v>234</v>
      </c>
      <c r="U54" s="802">
        <v>315</v>
      </c>
      <c r="V54" s="800">
        <v>115</v>
      </c>
      <c r="W54" s="801">
        <v>297</v>
      </c>
      <c r="X54" s="802">
        <v>412</v>
      </c>
      <c r="Y54" s="800">
        <v>92</v>
      </c>
      <c r="Z54" s="801">
        <v>286</v>
      </c>
      <c r="AA54" s="802">
        <f t="shared" si="0"/>
        <v>378</v>
      </c>
      <c r="AB54" s="803">
        <v>141</v>
      </c>
      <c r="AC54" s="804">
        <v>294</v>
      </c>
      <c r="AD54" s="802">
        <f t="shared" si="1"/>
        <v>435</v>
      </c>
      <c r="AE54" s="803">
        <v>138</v>
      </c>
      <c r="AF54" s="804">
        <v>352</v>
      </c>
      <c r="AG54" s="802">
        <f t="shared" si="2"/>
        <v>490</v>
      </c>
      <c r="AH54" s="803">
        <v>126</v>
      </c>
      <c r="AI54" s="804">
        <v>352</v>
      </c>
      <c r="AJ54" s="802">
        <f t="shared" si="36"/>
        <v>478</v>
      </c>
      <c r="AK54" s="803">
        <v>138</v>
      </c>
      <c r="AL54" s="804">
        <v>342</v>
      </c>
      <c r="AM54" s="802">
        <f t="shared" si="37"/>
        <v>480</v>
      </c>
      <c r="AN54" s="803">
        <v>143</v>
      </c>
      <c r="AO54" s="804">
        <v>378</v>
      </c>
      <c r="AP54" s="802">
        <f t="shared" si="38"/>
        <v>521</v>
      </c>
      <c r="AQ54" s="803">
        <v>161</v>
      </c>
      <c r="AR54" s="804">
        <v>412</v>
      </c>
      <c r="AS54" s="802">
        <f t="shared" si="39"/>
        <v>573</v>
      </c>
      <c r="AT54" s="803">
        <v>213</v>
      </c>
      <c r="AU54" s="804">
        <v>472</v>
      </c>
      <c r="AV54" s="802">
        <f t="shared" si="40"/>
        <v>685</v>
      </c>
    </row>
    <row r="55" spans="1:48" s="186" customFormat="1" ht="15" customHeight="1" x14ac:dyDescent="0.25">
      <c r="A55" s="5669"/>
      <c r="B55" s="5678"/>
      <c r="C55" s="808" t="s">
        <v>483</v>
      </c>
      <c r="D55" s="809">
        <v>124</v>
      </c>
      <c r="E55" s="1428">
        <v>299</v>
      </c>
      <c r="F55" s="811">
        <v>423</v>
      </c>
      <c r="G55" s="1429">
        <v>134</v>
      </c>
      <c r="H55" s="1428">
        <v>354</v>
      </c>
      <c r="I55" s="811">
        <v>488</v>
      </c>
      <c r="J55" s="809">
        <v>126</v>
      </c>
      <c r="K55" s="810">
        <v>390</v>
      </c>
      <c r="L55" s="811">
        <v>516</v>
      </c>
      <c r="M55" s="809">
        <v>173</v>
      </c>
      <c r="N55" s="810">
        <v>360</v>
      </c>
      <c r="O55" s="811">
        <v>533</v>
      </c>
      <c r="P55" s="809">
        <v>148</v>
      </c>
      <c r="Q55" s="810">
        <v>344</v>
      </c>
      <c r="R55" s="811">
        <v>492</v>
      </c>
      <c r="S55" s="809">
        <v>183</v>
      </c>
      <c r="T55" s="810">
        <v>472</v>
      </c>
      <c r="U55" s="811">
        <v>655</v>
      </c>
      <c r="V55" s="809">
        <v>190</v>
      </c>
      <c r="W55" s="810">
        <v>476</v>
      </c>
      <c r="X55" s="811">
        <v>666</v>
      </c>
      <c r="Y55" s="809">
        <v>194</v>
      </c>
      <c r="Z55" s="810">
        <v>484</v>
      </c>
      <c r="AA55" s="811">
        <f t="shared" si="0"/>
        <v>678</v>
      </c>
      <c r="AB55" s="812">
        <v>246</v>
      </c>
      <c r="AC55" s="810">
        <v>469</v>
      </c>
      <c r="AD55" s="811">
        <f t="shared" si="1"/>
        <v>715</v>
      </c>
      <c r="AE55" s="812">
        <v>227</v>
      </c>
      <c r="AF55" s="810">
        <v>551</v>
      </c>
      <c r="AG55" s="811">
        <f t="shared" si="2"/>
        <v>778</v>
      </c>
      <c r="AH55" s="812">
        <v>203</v>
      </c>
      <c r="AI55" s="810">
        <v>499</v>
      </c>
      <c r="AJ55" s="811">
        <f t="shared" si="36"/>
        <v>702</v>
      </c>
      <c r="AK55" s="803">
        <v>174</v>
      </c>
      <c r="AL55" s="810">
        <v>526</v>
      </c>
      <c r="AM55" s="811">
        <f t="shared" si="37"/>
        <v>700</v>
      </c>
      <c r="AN55" s="803">
        <v>178</v>
      </c>
      <c r="AO55" s="810">
        <v>522</v>
      </c>
      <c r="AP55" s="811">
        <f t="shared" si="38"/>
        <v>700</v>
      </c>
      <c r="AQ55" s="803">
        <v>203</v>
      </c>
      <c r="AR55" s="810">
        <v>594</v>
      </c>
      <c r="AS55" s="811">
        <f t="shared" si="39"/>
        <v>797</v>
      </c>
      <c r="AT55" s="803">
        <v>185</v>
      </c>
      <c r="AU55" s="810">
        <v>553</v>
      </c>
      <c r="AV55" s="811">
        <f t="shared" si="40"/>
        <v>738</v>
      </c>
    </row>
    <row r="56" spans="1:48" s="186" customFormat="1" ht="15" customHeight="1" x14ac:dyDescent="0.25">
      <c r="A56" s="5669"/>
      <c r="B56" s="5678"/>
      <c r="C56" s="849" t="s">
        <v>160</v>
      </c>
      <c r="D56" s="850">
        <f>SUM(D50:D55)</f>
        <v>340</v>
      </c>
      <c r="E56" s="1430">
        <f t="shared" ref="E56:AG56" si="41">SUM(E50:E55)</f>
        <v>854</v>
      </c>
      <c r="F56" s="852">
        <f t="shared" si="41"/>
        <v>1194</v>
      </c>
      <c r="G56" s="850">
        <f t="shared" si="41"/>
        <v>332</v>
      </c>
      <c r="H56" s="1430">
        <f t="shared" si="41"/>
        <v>917</v>
      </c>
      <c r="I56" s="852">
        <f t="shared" si="41"/>
        <v>1249</v>
      </c>
      <c r="J56" s="850">
        <f t="shared" si="41"/>
        <v>339</v>
      </c>
      <c r="K56" s="1430">
        <f t="shared" si="41"/>
        <v>1021</v>
      </c>
      <c r="L56" s="852">
        <f t="shared" si="41"/>
        <v>1360</v>
      </c>
      <c r="M56" s="850">
        <f t="shared" si="41"/>
        <v>414</v>
      </c>
      <c r="N56" s="1430">
        <f t="shared" si="41"/>
        <v>1070</v>
      </c>
      <c r="O56" s="852">
        <f t="shared" si="41"/>
        <v>1484</v>
      </c>
      <c r="P56" s="850">
        <f t="shared" si="41"/>
        <v>401</v>
      </c>
      <c r="Q56" s="1430">
        <f t="shared" si="41"/>
        <v>1044</v>
      </c>
      <c r="R56" s="852">
        <f t="shared" si="41"/>
        <v>1445</v>
      </c>
      <c r="S56" s="850">
        <f t="shared" si="41"/>
        <v>498</v>
      </c>
      <c r="T56" s="1430">
        <f t="shared" si="41"/>
        <v>1398</v>
      </c>
      <c r="U56" s="852">
        <f t="shared" si="41"/>
        <v>1896</v>
      </c>
      <c r="V56" s="850">
        <f t="shared" si="41"/>
        <v>581</v>
      </c>
      <c r="W56" s="1430">
        <f t="shared" si="41"/>
        <v>1615</v>
      </c>
      <c r="X56" s="852">
        <f t="shared" si="41"/>
        <v>2196</v>
      </c>
      <c r="Y56" s="850">
        <f t="shared" si="41"/>
        <v>664</v>
      </c>
      <c r="Z56" s="1430">
        <f t="shared" si="41"/>
        <v>1730</v>
      </c>
      <c r="AA56" s="852">
        <f t="shared" si="41"/>
        <v>2394</v>
      </c>
      <c r="AB56" s="850">
        <f t="shared" si="41"/>
        <v>886</v>
      </c>
      <c r="AC56" s="1430">
        <f t="shared" si="41"/>
        <v>1718</v>
      </c>
      <c r="AD56" s="852">
        <f t="shared" si="41"/>
        <v>2604</v>
      </c>
      <c r="AE56" s="850">
        <f t="shared" si="41"/>
        <v>858</v>
      </c>
      <c r="AF56" s="1430">
        <f t="shared" si="41"/>
        <v>1970</v>
      </c>
      <c r="AG56" s="852">
        <f t="shared" si="41"/>
        <v>2828</v>
      </c>
      <c r="AH56" s="850">
        <f t="shared" ref="AH56:AM56" si="42">SUM(AH50:AH55)</f>
        <v>810</v>
      </c>
      <c r="AI56" s="1430">
        <f t="shared" si="42"/>
        <v>2020</v>
      </c>
      <c r="AJ56" s="852">
        <f t="shared" si="42"/>
        <v>2830</v>
      </c>
      <c r="AK56" s="2161">
        <f>SUM(AK50:AK55)</f>
        <v>782</v>
      </c>
      <c r="AL56" s="2165">
        <f>SUM(AL50:AL55)</f>
        <v>2191</v>
      </c>
      <c r="AM56" s="852">
        <f t="shared" si="42"/>
        <v>2973</v>
      </c>
      <c r="AN56" s="2161">
        <f t="shared" ref="AN56:AV56" si="43">SUM(AN50:AN55)</f>
        <v>887</v>
      </c>
      <c r="AO56" s="2165">
        <f t="shared" si="43"/>
        <v>2228</v>
      </c>
      <c r="AP56" s="852">
        <f t="shared" si="43"/>
        <v>3115</v>
      </c>
      <c r="AQ56" s="2161">
        <f t="shared" si="43"/>
        <v>910</v>
      </c>
      <c r="AR56" s="2165">
        <f t="shared" si="43"/>
        <v>2257</v>
      </c>
      <c r="AS56" s="852">
        <f t="shared" si="43"/>
        <v>3167</v>
      </c>
      <c r="AT56" s="2161">
        <f t="shared" si="43"/>
        <v>923</v>
      </c>
      <c r="AU56" s="2165">
        <f t="shared" si="43"/>
        <v>2276</v>
      </c>
      <c r="AV56" s="852">
        <f t="shared" si="43"/>
        <v>3199</v>
      </c>
    </row>
    <row r="57" spans="1:48" s="186" customFormat="1" ht="15" customHeight="1" x14ac:dyDescent="0.25">
      <c r="A57" s="5670"/>
      <c r="B57" s="3540"/>
      <c r="C57" s="2265" t="s">
        <v>444</v>
      </c>
      <c r="D57" s="2266">
        <f>SUM(D56,D49,D37)</f>
        <v>2545</v>
      </c>
      <c r="E57" s="2267">
        <f t="shared" ref="E57:AG57" si="44">SUM(E56,E49,E37)</f>
        <v>7051</v>
      </c>
      <c r="F57" s="2268">
        <f t="shared" si="44"/>
        <v>9596</v>
      </c>
      <c r="G57" s="2266">
        <f t="shared" si="44"/>
        <v>2147</v>
      </c>
      <c r="H57" s="2267">
        <f t="shared" si="44"/>
        <v>6528</v>
      </c>
      <c r="I57" s="2268">
        <f t="shared" si="44"/>
        <v>8675</v>
      </c>
      <c r="J57" s="2266">
        <f t="shared" si="44"/>
        <v>2341</v>
      </c>
      <c r="K57" s="2267">
        <f t="shared" si="44"/>
        <v>7216</v>
      </c>
      <c r="L57" s="2268">
        <f t="shared" si="44"/>
        <v>9557</v>
      </c>
      <c r="M57" s="2266">
        <f t="shared" si="44"/>
        <v>2536</v>
      </c>
      <c r="N57" s="2267">
        <f t="shared" si="44"/>
        <v>7220</v>
      </c>
      <c r="O57" s="2268">
        <f t="shared" si="44"/>
        <v>9756</v>
      </c>
      <c r="P57" s="2266">
        <f t="shared" si="44"/>
        <v>2323</v>
      </c>
      <c r="Q57" s="2267">
        <f t="shared" si="44"/>
        <v>7395</v>
      </c>
      <c r="R57" s="2268">
        <f t="shared" si="44"/>
        <v>9718</v>
      </c>
      <c r="S57" s="2266">
        <f t="shared" si="44"/>
        <v>2609</v>
      </c>
      <c r="T57" s="2267">
        <f t="shared" si="44"/>
        <v>8315</v>
      </c>
      <c r="U57" s="2268">
        <f t="shared" si="44"/>
        <v>10924</v>
      </c>
      <c r="V57" s="2266">
        <f t="shared" si="44"/>
        <v>2761</v>
      </c>
      <c r="W57" s="2267">
        <f t="shared" si="44"/>
        <v>9276</v>
      </c>
      <c r="X57" s="2268">
        <f t="shared" si="44"/>
        <v>12037</v>
      </c>
      <c r="Y57" s="2266">
        <f t="shared" si="44"/>
        <v>2309</v>
      </c>
      <c r="Z57" s="2267">
        <f t="shared" si="44"/>
        <v>10587</v>
      </c>
      <c r="AA57" s="2268">
        <f t="shared" si="44"/>
        <v>12896</v>
      </c>
      <c r="AB57" s="2266">
        <f t="shared" si="44"/>
        <v>2725</v>
      </c>
      <c r="AC57" s="2267">
        <f t="shared" si="44"/>
        <v>10283</v>
      </c>
      <c r="AD57" s="2268">
        <f t="shared" si="44"/>
        <v>13008</v>
      </c>
      <c r="AE57" s="2266">
        <f t="shared" si="44"/>
        <v>2733</v>
      </c>
      <c r="AF57" s="2267">
        <f t="shared" si="44"/>
        <v>11998</v>
      </c>
      <c r="AG57" s="2268">
        <f t="shared" si="44"/>
        <v>14731</v>
      </c>
      <c r="AH57" s="2266">
        <f t="shared" ref="AH57:AM57" si="45">SUM(AH56,AH49,AH37)</f>
        <v>2665</v>
      </c>
      <c r="AI57" s="2267">
        <f t="shared" si="45"/>
        <v>12025</v>
      </c>
      <c r="AJ57" s="2268">
        <f t="shared" si="45"/>
        <v>14690</v>
      </c>
      <c r="AK57" s="2266">
        <f t="shared" si="45"/>
        <v>2434</v>
      </c>
      <c r="AL57" s="2267">
        <f t="shared" si="45"/>
        <v>12009</v>
      </c>
      <c r="AM57" s="2268">
        <f t="shared" si="45"/>
        <v>14443</v>
      </c>
      <c r="AN57" s="2266">
        <f t="shared" ref="AN57:AV57" si="46">SUM(AN56,AN49,AN37)</f>
        <v>2739</v>
      </c>
      <c r="AO57" s="2267">
        <f t="shared" si="46"/>
        <v>12662</v>
      </c>
      <c r="AP57" s="2268">
        <f t="shared" si="46"/>
        <v>15401</v>
      </c>
      <c r="AQ57" s="2266">
        <f t="shared" si="46"/>
        <v>2727</v>
      </c>
      <c r="AR57" s="2267">
        <f t="shared" si="46"/>
        <v>12914</v>
      </c>
      <c r="AS57" s="2268">
        <f t="shared" si="46"/>
        <v>15641</v>
      </c>
      <c r="AT57" s="2266">
        <f t="shared" si="46"/>
        <v>2221</v>
      </c>
      <c r="AU57" s="2267">
        <f t="shared" si="46"/>
        <v>12754</v>
      </c>
      <c r="AV57" s="2268">
        <f t="shared" si="46"/>
        <v>14975</v>
      </c>
    </row>
    <row r="58" spans="1:48" s="186" customFormat="1" ht="15" customHeight="1" x14ac:dyDescent="0.25">
      <c r="A58" s="5671" t="s">
        <v>163</v>
      </c>
      <c r="B58" s="5650" t="s">
        <v>6</v>
      </c>
      <c r="C58" s="793" t="s">
        <v>456</v>
      </c>
      <c r="D58" s="794">
        <v>916</v>
      </c>
      <c r="E58" s="795">
        <v>1693</v>
      </c>
      <c r="F58" s="796">
        <v>2609</v>
      </c>
      <c r="G58" s="794">
        <v>818</v>
      </c>
      <c r="H58" s="795">
        <v>1585</v>
      </c>
      <c r="I58" s="796">
        <v>2403</v>
      </c>
      <c r="J58" s="794">
        <v>938</v>
      </c>
      <c r="K58" s="795">
        <v>1775</v>
      </c>
      <c r="L58" s="796">
        <v>2713</v>
      </c>
      <c r="M58" s="794">
        <v>861</v>
      </c>
      <c r="N58" s="795">
        <v>1513</v>
      </c>
      <c r="O58" s="796">
        <v>2374</v>
      </c>
      <c r="P58" s="794">
        <v>887</v>
      </c>
      <c r="Q58" s="795">
        <v>1566</v>
      </c>
      <c r="R58" s="796">
        <v>2453</v>
      </c>
      <c r="S58" s="794">
        <v>957</v>
      </c>
      <c r="T58" s="795">
        <v>1589</v>
      </c>
      <c r="U58" s="796">
        <v>2546</v>
      </c>
      <c r="V58" s="794">
        <v>940</v>
      </c>
      <c r="W58" s="795">
        <v>1713</v>
      </c>
      <c r="X58" s="796">
        <v>2653</v>
      </c>
      <c r="Y58" s="794">
        <v>933</v>
      </c>
      <c r="Z58" s="795">
        <v>1866</v>
      </c>
      <c r="AA58" s="796">
        <f t="shared" si="0"/>
        <v>2799</v>
      </c>
      <c r="AB58" s="797">
        <v>1074</v>
      </c>
      <c r="AC58" s="798">
        <v>1774</v>
      </c>
      <c r="AD58" s="796">
        <f t="shared" si="1"/>
        <v>2848</v>
      </c>
      <c r="AE58" s="797">
        <v>1069</v>
      </c>
      <c r="AF58" s="798">
        <v>1915</v>
      </c>
      <c r="AG58" s="796">
        <f t="shared" si="2"/>
        <v>2984</v>
      </c>
      <c r="AH58" s="797">
        <v>913</v>
      </c>
      <c r="AI58" s="798">
        <v>1877</v>
      </c>
      <c r="AJ58" s="796">
        <f t="shared" ref="AJ58:AJ63" si="47">SUM(AH58:AI58)</f>
        <v>2790</v>
      </c>
      <c r="AK58" s="797">
        <v>804</v>
      </c>
      <c r="AL58" s="798">
        <v>1888</v>
      </c>
      <c r="AM58" s="796">
        <f t="shared" ref="AM58:AM63" si="48">SUM(AK58:AL58)</f>
        <v>2692</v>
      </c>
      <c r="AN58" s="797">
        <v>904</v>
      </c>
      <c r="AO58" s="798">
        <v>1972</v>
      </c>
      <c r="AP58" s="796">
        <f t="shared" ref="AP58:AP63" si="49">SUM(AN58:AO58)</f>
        <v>2876</v>
      </c>
      <c r="AQ58" s="797">
        <v>964</v>
      </c>
      <c r="AR58" s="798">
        <v>2071</v>
      </c>
      <c r="AS58" s="796">
        <f t="shared" ref="AS58:AS63" si="50">SUM(AQ58:AR58)</f>
        <v>3035</v>
      </c>
      <c r="AT58" s="797">
        <v>922</v>
      </c>
      <c r="AU58" s="798">
        <v>2070</v>
      </c>
      <c r="AV58" s="796">
        <f t="shared" ref="AV58:AV63" si="51">SUM(AT58:AU58)</f>
        <v>2992</v>
      </c>
    </row>
    <row r="59" spans="1:48" s="186" customFormat="1" ht="15" customHeight="1" x14ac:dyDescent="0.25">
      <c r="A59" s="5672"/>
      <c r="B59" s="5651"/>
      <c r="C59" s="799" t="s">
        <v>484</v>
      </c>
      <c r="D59" s="800">
        <v>735</v>
      </c>
      <c r="E59" s="801">
        <v>1705</v>
      </c>
      <c r="F59" s="802">
        <v>2440</v>
      </c>
      <c r="G59" s="800">
        <v>693</v>
      </c>
      <c r="H59" s="801">
        <v>1694</v>
      </c>
      <c r="I59" s="802">
        <v>2387</v>
      </c>
      <c r="J59" s="800">
        <v>725</v>
      </c>
      <c r="K59" s="801">
        <v>1691</v>
      </c>
      <c r="L59" s="802">
        <v>2416</v>
      </c>
      <c r="M59" s="800">
        <v>734</v>
      </c>
      <c r="N59" s="801">
        <v>1438</v>
      </c>
      <c r="O59" s="802">
        <v>2172</v>
      </c>
      <c r="P59" s="800">
        <v>723</v>
      </c>
      <c r="Q59" s="801">
        <v>1284</v>
      </c>
      <c r="R59" s="802">
        <v>2007</v>
      </c>
      <c r="S59" s="800">
        <v>723</v>
      </c>
      <c r="T59" s="801">
        <v>1205</v>
      </c>
      <c r="U59" s="802">
        <v>1928</v>
      </c>
      <c r="V59" s="800">
        <v>778</v>
      </c>
      <c r="W59" s="801">
        <v>1253</v>
      </c>
      <c r="X59" s="802">
        <v>2031</v>
      </c>
      <c r="Y59" s="800">
        <v>725</v>
      </c>
      <c r="Z59" s="801">
        <v>1377</v>
      </c>
      <c r="AA59" s="802">
        <f t="shared" si="0"/>
        <v>2102</v>
      </c>
      <c r="AB59" s="803">
        <v>787</v>
      </c>
      <c r="AC59" s="804">
        <v>1360</v>
      </c>
      <c r="AD59" s="802">
        <f t="shared" si="1"/>
        <v>2147</v>
      </c>
      <c r="AE59" s="803">
        <v>856</v>
      </c>
      <c r="AF59" s="804">
        <v>1560</v>
      </c>
      <c r="AG59" s="802">
        <f t="shared" si="2"/>
        <v>2416</v>
      </c>
      <c r="AH59" s="803">
        <v>776</v>
      </c>
      <c r="AI59" s="804">
        <v>1417</v>
      </c>
      <c r="AJ59" s="802">
        <f t="shared" si="47"/>
        <v>2193</v>
      </c>
      <c r="AK59" s="803">
        <v>698</v>
      </c>
      <c r="AL59" s="804">
        <v>1411</v>
      </c>
      <c r="AM59" s="802">
        <f t="shared" si="48"/>
        <v>2109</v>
      </c>
      <c r="AN59" s="803">
        <v>687</v>
      </c>
      <c r="AO59" s="804">
        <v>1358</v>
      </c>
      <c r="AP59" s="802">
        <f t="shared" si="49"/>
        <v>2045</v>
      </c>
      <c r="AQ59" s="803">
        <v>670</v>
      </c>
      <c r="AR59" s="804">
        <v>1250</v>
      </c>
      <c r="AS59" s="802">
        <f t="shared" si="50"/>
        <v>1920</v>
      </c>
      <c r="AT59" s="803">
        <v>608</v>
      </c>
      <c r="AU59" s="804">
        <v>1231</v>
      </c>
      <c r="AV59" s="802">
        <f t="shared" si="51"/>
        <v>1839</v>
      </c>
    </row>
    <row r="60" spans="1:48" s="186" customFormat="1" ht="15" customHeight="1" x14ac:dyDescent="0.25">
      <c r="A60" s="5672"/>
      <c r="B60" s="5651"/>
      <c r="C60" s="799" t="s">
        <v>458</v>
      </c>
      <c r="D60" s="800">
        <v>201</v>
      </c>
      <c r="E60" s="801">
        <v>345</v>
      </c>
      <c r="F60" s="802">
        <v>546</v>
      </c>
      <c r="G60" s="800">
        <v>170</v>
      </c>
      <c r="H60" s="801">
        <v>378</v>
      </c>
      <c r="I60" s="802">
        <v>548</v>
      </c>
      <c r="J60" s="800">
        <v>171</v>
      </c>
      <c r="K60" s="801">
        <v>320</v>
      </c>
      <c r="L60" s="802">
        <v>491</v>
      </c>
      <c r="M60" s="800">
        <v>169</v>
      </c>
      <c r="N60" s="801">
        <v>284</v>
      </c>
      <c r="O60" s="802">
        <v>453</v>
      </c>
      <c r="P60" s="800">
        <v>215</v>
      </c>
      <c r="Q60" s="801">
        <v>319</v>
      </c>
      <c r="R60" s="802">
        <v>534</v>
      </c>
      <c r="S60" s="800">
        <v>238</v>
      </c>
      <c r="T60" s="801">
        <v>445</v>
      </c>
      <c r="U60" s="802">
        <v>683</v>
      </c>
      <c r="V60" s="800">
        <v>321</v>
      </c>
      <c r="W60" s="801">
        <v>463</v>
      </c>
      <c r="X60" s="802">
        <v>784</v>
      </c>
      <c r="Y60" s="800">
        <v>309</v>
      </c>
      <c r="Z60" s="801">
        <v>482</v>
      </c>
      <c r="AA60" s="802">
        <f t="shared" si="0"/>
        <v>791</v>
      </c>
      <c r="AB60" s="803">
        <v>291</v>
      </c>
      <c r="AC60" s="804">
        <v>480</v>
      </c>
      <c r="AD60" s="802">
        <f t="shared" si="1"/>
        <v>771</v>
      </c>
      <c r="AE60" s="803">
        <v>291</v>
      </c>
      <c r="AF60" s="804">
        <v>500</v>
      </c>
      <c r="AG60" s="802">
        <f t="shared" si="2"/>
        <v>791</v>
      </c>
      <c r="AH60" s="803">
        <v>248</v>
      </c>
      <c r="AI60" s="804">
        <v>522</v>
      </c>
      <c r="AJ60" s="802">
        <f t="shared" si="47"/>
        <v>770</v>
      </c>
      <c r="AK60" s="803">
        <v>234</v>
      </c>
      <c r="AL60" s="804">
        <v>478</v>
      </c>
      <c r="AM60" s="802">
        <f t="shared" si="48"/>
        <v>712</v>
      </c>
      <c r="AN60" s="803">
        <v>269</v>
      </c>
      <c r="AO60" s="804">
        <v>526</v>
      </c>
      <c r="AP60" s="802">
        <f t="shared" si="49"/>
        <v>795</v>
      </c>
      <c r="AQ60" s="803">
        <v>295</v>
      </c>
      <c r="AR60" s="804">
        <v>601</v>
      </c>
      <c r="AS60" s="802">
        <f t="shared" si="50"/>
        <v>896</v>
      </c>
      <c r="AT60" s="803">
        <v>325</v>
      </c>
      <c r="AU60" s="804">
        <v>726</v>
      </c>
      <c r="AV60" s="802">
        <f t="shared" si="51"/>
        <v>1051</v>
      </c>
    </row>
    <row r="61" spans="1:48" s="186" customFormat="1" ht="15" customHeight="1" x14ac:dyDescent="0.25">
      <c r="A61" s="5672"/>
      <c r="B61" s="5651"/>
      <c r="C61" s="799" t="s">
        <v>485</v>
      </c>
      <c r="D61" s="800">
        <v>1038</v>
      </c>
      <c r="E61" s="801">
        <v>2355</v>
      </c>
      <c r="F61" s="802">
        <v>3393</v>
      </c>
      <c r="G61" s="800">
        <v>1034</v>
      </c>
      <c r="H61" s="801">
        <v>2188</v>
      </c>
      <c r="I61" s="802">
        <v>3222</v>
      </c>
      <c r="J61" s="800">
        <v>1231</v>
      </c>
      <c r="K61" s="801">
        <v>2609</v>
      </c>
      <c r="L61" s="802">
        <v>3840</v>
      </c>
      <c r="M61" s="800">
        <v>1303</v>
      </c>
      <c r="N61" s="801">
        <v>2480</v>
      </c>
      <c r="O61" s="802">
        <v>3783</v>
      </c>
      <c r="P61" s="800">
        <v>1218</v>
      </c>
      <c r="Q61" s="801">
        <v>2619</v>
      </c>
      <c r="R61" s="802">
        <v>3837</v>
      </c>
      <c r="S61" s="800">
        <v>1406</v>
      </c>
      <c r="T61" s="801">
        <v>2522</v>
      </c>
      <c r="U61" s="802">
        <v>3928</v>
      </c>
      <c r="V61" s="800">
        <v>1522</v>
      </c>
      <c r="W61" s="801">
        <v>2800</v>
      </c>
      <c r="X61" s="802">
        <v>4322</v>
      </c>
      <c r="Y61" s="800">
        <v>1567</v>
      </c>
      <c r="Z61" s="801">
        <v>3185</v>
      </c>
      <c r="AA61" s="802">
        <f t="shared" si="0"/>
        <v>4752</v>
      </c>
      <c r="AB61" s="803">
        <v>1748</v>
      </c>
      <c r="AC61" s="804">
        <v>3293</v>
      </c>
      <c r="AD61" s="802">
        <f t="shared" si="1"/>
        <v>5041</v>
      </c>
      <c r="AE61" s="803">
        <v>1780</v>
      </c>
      <c r="AF61" s="804">
        <v>3461</v>
      </c>
      <c r="AG61" s="802">
        <f t="shared" si="2"/>
        <v>5241</v>
      </c>
      <c r="AH61" s="803">
        <v>1607</v>
      </c>
      <c r="AI61" s="804">
        <v>3484</v>
      </c>
      <c r="AJ61" s="802">
        <f t="shared" si="47"/>
        <v>5091</v>
      </c>
      <c r="AK61" s="803">
        <v>1311</v>
      </c>
      <c r="AL61" s="804">
        <v>3378</v>
      </c>
      <c r="AM61" s="802">
        <f t="shared" si="48"/>
        <v>4689</v>
      </c>
      <c r="AN61" s="803">
        <v>1464</v>
      </c>
      <c r="AO61" s="804">
        <v>3278</v>
      </c>
      <c r="AP61" s="802">
        <f t="shared" si="49"/>
        <v>4742</v>
      </c>
      <c r="AQ61" s="803">
        <v>1359</v>
      </c>
      <c r="AR61" s="804">
        <v>3139</v>
      </c>
      <c r="AS61" s="802">
        <f t="shared" si="50"/>
        <v>4498</v>
      </c>
      <c r="AT61" s="803">
        <v>1222</v>
      </c>
      <c r="AU61" s="804">
        <v>2921</v>
      </c>
      <c r="AV61" s="802">
        <f t="shared" si="51"/>
        <v>4143</v>
      </c>
    </row>
    <row r="62" spans="1:48" s="186" customFormat="1" ht="15" customHeight="1" x14ac:dyDescent="0.25">
      <c r="A62" s="5672"/>
      <c r="B62" s="5651"/>
      <c r="C62" s="799" t="s">
        <v>459</v>
      </c>
      <c r="D62" s="800">
        <v>140</v>
      </c>
      <c r="E62" s="801">
        <v>282</v>
      </c>
      <c r="F62" s="802">
        <v>422</v>
      </c>
      <c r="G62" s="800">
        <v>174</v>
      </c>
      <c r="H62" s="801">
        <v>242</v>
      </c>
      <c r="I62" s="802">
        <v>416</v>
      </c>
      <c r="J62" s="800">
        <v>182</v>
      </c>
      <c r="K62" s="801">
        <v>301</v>
      </c>
      <c r="L62" s="802">
        <v>483</v>
      </c>
      <c r="M62" s="800">
        <v>206</v>
      </c>
      <c r="N62" s="801">
        <v>250</v>
      </c>
      <c r="O62" s="802">
        <v>456</v>
      </c>
      <c r="P62" s="800">
        <v>188</v>
      </c>
      <c r="Q62" s="801">
        <v>323</v>
      </c>
      <c r="R62" s="802">
        <v>511</v>
      </c>
      <c r="S62" s="800">
        <v>238</v>
      </c>
      <c r="T62" s="801">
        <v>485</v>
      </c>
      <c r="U62" s="802">
        <v>723</v>
      </c>
      <c r="V62" s="800">
        <v>318</v>
      </c>
      <c r="W62" s="801">
        <v>410</v>
      </c>
      <c r="X62" s="802">
        <v>728</v>
      </c>
      <c r="Y62" s="800">
        <v>324</v>
      </c>
      <c r="Z62" s="801">
        <v>399</v>
      </c>
      <c r="AA62" s="802">
        <f t="shared" si="0"/>
        <v>723</v>
      </c>
      <c r="AB62" s="803">
        <v>326</v>
      </c>
      <c r="AC62" s="804">
        <v>385</v>
      </c>
      <c r="AD62" s="802">
        <f t="shared" si="1"/>
        <v>711</v>
      </c>
      <c r="AE62" s="803">
        <v>307</v>
      </c>
      <c r="AF62" s="804">
        <v>488</v>
      </c>
      <c r="AG62" s="802">
        <f t="shared" si="2"/>
        <v>795</v>
      </c>
      <c r="AH62" s="803">
        <v>312</v>
      </c>
      <c r="AI62" s="804">
        <v>440</v>
      </c>
      <c r="AJ62" s="802">
        <f t="shared" si="47"/>
        <v>752</v>
      </c>
      <c r="AK62" s="803">
        <v>243</v>
      </c>
      <c r="AL62" s="804">
        <v>385</v>
      </c>
      <c r="AM62" s="802">
        <f t="shared" si="48"/>
        <v>628</v>
      </c>
      <c r="AN62" s="803">
        <v>252</v>
      </c>
      <c r="AO62" s="804">
        <v>384</v>
      </c>
      <c r="AP62" s="802">
        <f t="shared" si="49"/>
        <v>636</v>
      </c>
      <c r="AQ62" s="803">
        <v>223</v>
      </c>
      <c r="AR62" s="804">
        <v>351</v>
      </c>
      <c r="AS62" s="802">
        <f t="shared" si="50"/>
        <v>574</v>
      </c>
      <c r="AT62" s="803">
        <v>191</v>
      </c>
      <c r="AU62" s="804">
        <v>346</v>
      </c>
      <c r="AV62" s="802">
        <f t="shared" si="51"/>
        <v>537</v>
      </c>
    </row>
    <row r="63" spans="1:48" s="186" customFormat="1" ht="15" customHeight="1" x14ac:dyDescent="0.25">
      <c r="A63" s="5672"/>
      <c r="B63" s="5651"/>
      <c r="C63" s="808" t="s">
        <v>486</v>
      </c>
      <c r="D63" s="809">
        <v>184</v>
      </c>
      <c r="E63" s="1428">
        <v>315</v>
      </c>
      <c r="F63" s="811">
        <v>499</v>
      </c>
      <c r="G63" s="1429">
        <v>178</v>
      </c>
      <c r="H63" s="1428">
        <v>332</v>
      </c>
      <c r="I63" s="811">
        <v>510</v>
      </c>
      <c r="J63" s="809">
        <v>177</v>
      </c>
      <c r="K63" s="810">
        <v>266</v>
      </c>
      <c r="L63" s="811">
        <v>443</v>
      </c>
      <c r="M63" s="809">
        <v>193</v>
      </c>
      <c r="N63" s="810">
        <v>262</v>
      </c>
      <c r="O63" s="811">
        <v>455</v>
      </c>
      <c r="P63" s="809">
        <v>195</v>
      </c>
      <c r="Q63" s="810">
        <v>254</v>
      </c>
      <c r="R63" s="811">
        <v>449</v>
      </c>
      <c r="S63" s="809">
        <v>198</v>
      </c>
      <c r="T63" s="810">
        <v>292</v>
      </c>
      <c r="U63" s="811">
        <v>490</v>
      </c>
      <c r="V63" s="809">
        <v>203</v>
      </c>
      <c r="W63" s="810">
        <v>297</v>
      </c>
      <c r="X63" s="811">
        <v>500</v>
      </c>
      <c r="Y63" s="809">
        <v>198</v>
      </c>
      <c r="Z63" s="810">
        <v>305</v>
      </c>
      <c r="AA63" s="811">
        <f t="shared" si="0"/>
        <v>503</v>
      </c>
      <c r="AB63" s="812">
        <v>204</v>
      </c>
      <c r="AC63" s="810">
        <v>261</v>
      </c>
      <c r="AD63" s="811">
        <f t="shared" si="1"/>
        <v>465</v>
      </c>
      <c r="AE63" s="812">
        <v>229</v>
      </c>
      <c r="AF63" s="810">
        <v>360</v>
      </c>
      <c r="AG63" s="811">
        <f t="shared" si="2"/>
        <v>589</v>
      </c>
      <c r="AH63" s="812">
        <v>199</v>
      </c>
      <c r="AI63" s="810">
        <v>348</v>
      </c>
      <c r="AJ63" s="811">
        <f t="shared" si="47"/>
        <v>547</v>
      </c>
      <c r="AK63" s="803">
        <v>170</v>
      </c>
      <c r="AL63" s="810">
        <v>330</v>
      </c>
      <c r="AM63" s="811">
        <f t="shared" si="48"/>
        <v>500</v>
      </c>
      <c r="AN63" s="803">
        <v>182</v>
      </c>
      <c r="AO63" s="810">
        <v>327</v>
      </c>
      <c r="AP63" s="811">
        <f t="shared" si="49"/>
        <v>509</v>
      </c>
      <c r="AQ63" s="803">
        <v>181</v>
      </c>
      <c r="AR63" s="810">
        <v>257</v>
      </c>
      <c r="AS63" s="811">
        <f t="shared" si="50"/>
        <v>438</v>
      </c>
      <c r="AT63" s="803">
        <v>154</v>
      </c>
      <c r="AU63" s="810">
        <v>292</v>
      </c>
      <c r="AV63" s="811">
        <f t="shared" si="51"/>
        <v>446</v>
      </c>
    </row>
    <row r="64" spans="1:48" s="186" customFormat="1" ht="15" customHeight="1" x14ac:dyDescent="0.25">
      <c r="A64" s="5672"/>
      <c r="B64" s="5652"/>
      <c r="C64" s="4475" t="s">
        <v>160</v>
      </c>
      <c r="D64" s="4476">
        <f>SUM(D58:D63)</f>
        <v>3214</v>
      </c>
      <c r="E64" s="4477">
        <f t="shared" ref="E64:AG64" si="52">SUM(E58:E63)</f>
        <v>6695</v>
      </c>
      <c r="F64" s="4478">
        <f t="shared" si="52"/>
        <v>9909</v>
      </c>
      <c r="G64" s="4476">
        <f t="shared" si="52"/>
        <v>3067</v>
      </c>
      <c r="H64" s="4477">
        <f t="shared" si="52"/>
        <v>6419</v>
      </c>
      <c r="I64" s="4478">
        <f t="shared" si="52"/>
        <v>9486</v>
      </c>
      <c r="J64" s="4476">
        <f t="shared" si="52"/>
        <v>3424</v>
      </c>
      <c r="K64" s="4477">
        <f t="shared" si="52"/>
        <v>6962</v>
      </c>
      <c r="L64" s="4478">
        <f t="shared" si="52"/>
        <v>10386</v>
      </c>
      <c r="M64" s="4476">
        <f t="shared" si="52"/>
        <v>3466</v>
      </c>
      <c r="N64" s="4477">
        <f t="shared" si="52"/>
        <v>6227</v>
      </c>
      <c r="O64" s="4478">
        <f t="shared" si="52"/>
        <v>9693</v>
      </c>
      <c r="P64" s="4476">
        <f t="shared" si="52"/>
        <v>3426</v>
      </c>
      <c r="Q64" s="4477">
        <f t="shared" si="52"/>
        <v>6365</v>
      </c>
      <c r="R64" s="4478">
        <f t="shared" si="52"/>
        <v>9791</v>
      </c>
      <c r="S64" s="4476">
        <f t="shared" si="52"/>
        <v>3760</v>
      </c>
      <c r="T64" s="4477">
        <f t="shared" si="52"/>
        <v>6538</v>
      </c>
      <c r="U64" s="4478">
        <f t="shared" si="52"/>
        <v>10298</v>
      </c>
      <c r="V64" s="4476">
        <f t="shared" si="52"/>
        <v>4082</v>
      </c>
      <c r="W64" s="4477">
        <f t="shared" si="52"/>
        <v>6936</v>
      </c>
      <c r="X64" s="4478">
        <f t="shared" si="52"/>
        <v>11018</v>
      </c>
      <c r="Y64" s="4476">
        <f t="shared" si="52"/>
        <v>4056</v>
      </c>
      <c r="Z64" s="4477">
        <f t="shared" si="52"/>
        <v>7614</v>
      </c>
      <c r="AA64" s="4478">
        <f t="shared" si="52"/>
        <v>11670</v>
      </c>
      <c r="AB64" s="4476">
        <f t="shared" si="52"/>
        <v>4430</v>
      </c>
      <c r="AC64" s="4477">
        <f t="shared" si="52"/>
        <v>7553</v>
      </c>
      <c r="AD64" s="4478">
        <f t="shared" si="52"/>
        <v>11983</v>
      </c>
      <c r="AE64" s="4476">
        <f t="shared" si="52"/>
        <v>4532</v>
      </c>
      <c r="AF64" s="4477">
        <f t="shared" si="52"/>
        <v>8284</v>
      </c>
      <c r="AG64" s="4478">
        <f t="shared" si="52"/>
        <v>12816</v>
      </c>
      <c r="AH64" s="4476">
        <f t="shared" ref="AH64:AM64" si="53">SUM(AH58:AH63)</f>
        <v>4055</v>
      </c>
      <c r="AI64" s="4477">
        <f t="shared" si="53"/>
        <v>8088</v>
      </c>
      <c r="AJ64" s="4478">
        <f t="shared" si="53"/>
        <v>12143</v>
      </c>
      <c r="AK64" s="4479">
        <f>SUM(AK58:AK63)</f>
        <v>3460</v>
      </c>
      <c r="AL64" s="4480">
        <f>SUM(AL58:AL63)</f>
        <v>7870</v>
      </c>
      <c r="AM64" s="4478">
        <f t="shared" si="53"/>
        <v>11330</v>
      </c>
      <c r="AN64" s="4479">
        <f t="shared" ref="AN64:AV64" si="54">SUM(AN58:AN63)</f>
        <v>3758</v>
      </c>
      <c r="AO64" s="4480">
        <f t="shared" si="54"/>
        <v>7845</v>
      </c>
      <c r="AP64" s="4478">
        <f t="shared" si="54"/>
        <v>11603</v>
      </c>
      <c r="AQ64" s="4479">
        <f t="shared" si="54"/>
        <v>3692</v>
      </c>
      <c r="AR64" s="4480">
        <f t="shared" si="54"/>
        <v>7669</v>
      </c>
      <c r="AS64" s="4478">
        <f t="shared" si="54"/>
        <v>11361</v>
      </c>
      <c r="AT64" s="4479">
        <f t="shared" si="54"/>
        <v>3422</v>
      </c>
      <c r="AU64" s="4480">
        <f t="shared" si="54"/>
        <v>7586</v>
      </c>
      <c r="AV64" s="4478">
        <f t="shared" si="54"/>
        <v>11008</v>
      </c>
    </row>
    <row r="65" spans="1:48" s="186" customFormat="1" ht="15" customHeight="1" x14ac:dyDescent="0.25">
      <c r="A65" s="5672"/>
      <c r="B65" s="5650" t="s">
        <v>11</v>
      </c>
      <c r="C65" s="4481" t="s">
        <v>478</v>
      </c>
      <c r="D65" s="4482">
        <v>138</v>
      </c>
      <c r="E65" s="4483">
        <v>277</v>
      </c>
      <c r="F65" s="4484">
        <v>415</v>
      </c>
      <c r="G65" s="4482">
        <v>120</v>
      </c>
      <c r="H65" s="4483">
        <v>314</v>
      </c>
      <c r="I65" s="4484">
        <v>434</v>
      </c>
      <c r="J65" s="4482">
        <v>159</v>
      </c>
      <c r="K65" s="4483">
        <v>373</v>
      </c>
      <c r="L65" s="4484">
        <v>532</v>
      </c>
      <c r="M65" s="4482">
        <v>165</v>
      </c>
      <c r="N65" s="4483">
        <v>350</v>
      </c>
      <c r="O65" s="4484">
        <v>515</v>
      </c>
      <c r="P65" s="4482">
        <v>160</v>
      </c>
      <c r="Q65" s="4483">
        <v>385</v>
      </c>
      <c r="R65" s="4484">
        <v>545</v>
      </c>
      <c r="S65" s="4482">
        <v>231</v>
      </c>
      <c r="T65" s="4483">
        <v>534</v>
      </c>
      <c r="U65" s="4484">
        <v>765</v>
      </c>
      <c r="V65" s="4482">
        <v>268</v>
      </c>
      <c r="W65" s="4483">
        <v>559</v>
      </c>
      <c r="X65" s="4484">
        <v>827</v>
      </c>
      <c r="Y65" s="4482">
        <v>255</v>
      </c>
      <c r="Z65" s="4483">
        <v>526</v>
      </c>
      <c r="AA65" s="4484">
        <f t="shared" si="0"/>
        <v>781</v>
      </c>
      <c r="AB65" s="4485">
        <v>300</v>
      </c>
      <c r="AC65" s="4486">
        <v>539</v>
      </c>
      <c r="AD65" s="4484">
        <f t="shared" si="1"/>
        <v>839</v>
      </c>
      <c r="AE65" s="4485">
        <v>286</v>
      </c>
      <c r="AF65" s="4486">
        <v>548</v>
      </c>
      <c r="AG65" s="4484">
        <f t="shared" si="2"/>
        <v>834</v>
      </c>
      <c r="AH65" s="4485">
        <v>278</v>
      </c>
      <c r="AI65" s="4486">
        <v>584</v>
      </c>
      <c r="AJ65" s="4484">
        <f t="shared" ref="AJ65:AJ72" si="55">SUM(AH65:AI65)</f>
        <v>862</v>
      </c>
      <c r="AK65" s="4485">
        <v>248</v>
      </c>
      <c r="AL65" s="4486">
        <v>635</v>
      </c>
      <c r="AM65" s="4484">
        <f t="shared" ref="AM65:AM72" si="56">SUM(AK65:AL65)</f>
        <v>883</v>
      </c>
      <c r="AN65" s="4485">
        <v>264</v>
      </c>
      <c r="AO65" s="4486">
        <v>680</v>
      </c>
      <c r="AP65" s="4484">
        <f t="shared" ref="AP65:AP72" si="57">SUM(AN65:AO65)</f>
        <v>944</v>
      </c>
      <c r="AQ65" s="4485">
        <v>309</v>
      </c>
      <c r="AR65" s="4486">
        <v>662</v>
      </c>
      <c r="AS65" s="4484">
        <f t="shared" ref="AS65:AS72" si="58">SUM(AQ65:AR65)</f>
        <v>971</v>
      </c>
      <c r="AT65" s="4485">
        <v>313</v>
      </c>
      <c r="AU65" s="4486">
        <v>717</v>
      </c>
      <c r="AV65" s="4484">
        <f t="shared" ref="AV65:AV72" si="59">SUM(AT65:AU65)</f>
        <v>1030</v>
      </c>
    </row>
    <row r="66" spans="1:48" s="186" customFormat="1" ht="15" customHeight="1" x14ac:dyDescent="0.25">
      <c r="A66" s="5672"/>
      <c r="B66" s="5651"/>
      <c r="C66" s="799" t="s">
        <v>487</v>
      </c>
      <c r="D66" s="800">
        <v>147</v>
      </c>
      <c r="E66" s="801">
        <v>278</v>
      </c>
      <c r="F66" s="802">
        <v>425</v>
      </c>
      <c r="G66" s="800">
        <v>198</v>
      </c>
      <c r="H66" s="801">
        <v>370</v>
      </c>
      <c r="I66" s="802">
        <v>568</v>
      </c>
      <c r="J66" s="800">
        <v>256</v>
      </c>
      <c r="K66" s="801">
        <v>515</v>
      </c>
      <c r="L66" s="802">
        <v>771</v>
      </c>
      <c r="M66" s="800">
        <v>313</v>
      </c>
      <c r="N66" s="801">
        <v>471</v>
      </c>
      <c r="O66" s="802">
        <v>784</v>
      </c>
      <c r="P66" s="800">
        <v>327</v>
      </c>
      <c r="Q66" s="801">
        <v>624</v>
      </c>
      <c r="R66" s="802">
        <v>951</v>
      </c>
      <c r="S66" s="800">
        <v>420</v>
      </c>
      <c r="T66" s="801">
        <v>753</v>
      </c>
      <c r="U66" s="802">
        <v>1173</v>
      </c>
      <c r="V66" s="800">
        <v>530</v>
      </c>
      <c r="W66" s="801">
        <v>894</v>
      </c>
      <c r="X66" s="802">
        <v>1424</v>
      </c>
      <c r="Y66" s="800">
        <v>604</v>
      </c>
      <c r="Z66" s="801">
        <v>1244</v>
      </c>
      <c r="AA66" s="802">
        <f t="shared" si="0"/>
        <v>1848</v>
      </c>
      <c r="AB66" s="803">
        <v>825</v>
      </c>
      <c r="AC66" s="804">
        <v>1300</v>
      </c>
      <c r="AD66" s="802">
        <f t="shared" si="1"/>
        <v>2125</v>
      </c>
      <c r="AE66" s="803">
        <v>944</v>
      </c>
      <c r="AF66" s="804">
        <v>1664</v>
      </c>
      <c r="AG66" s="802">
        <f t="shared" si="2"/>
        <v>2608</v>
      </c>
      <c r="AH66" s="803">
        <v>980</v>
      </c>
      <c r="AI66" s="804">
        <v>1899</v>
      </c>
      <c r="AJ66" s="802">
        <f t="shared" si="55"/>
        <v>2879</v>
      </c>
      <c r="AK66" s="803">
        <v>986</v>
      </c>
      <c r="AL66" s="804">
        <v>2169</v>
      </c>
      <c r="AM66" s="802">
        <f t="shared" si="56"/>
        <v>3155</v>
      </c>
      <c r="AN66" s="803">
        <v>1005</v>
      </c>
      <c r="AO66" s="804">
        <v>2208</v>
      </c>
      <c r="AP66" s="802">
        <f t="shared" si="57"/>
        <v>3213</v>
      </c>
      <c r="AQ66" s="803">
        <v>1114</v>
      </c>
      <c r="AR66" s="804">
        <v>2141</v>
      </c>
      <c r="AS66" s="802">
        <f t="shared" si="58"/>
        <v>3255</v>
      </c>
      <c r="AT66" s="803">
        <v>1195</v>
      </c>
      <c r="AU66" s="804">
        <v>2465</v>
      </c>
      <c r="AV66" s="802">
        <f t="shared" si="59"/>
        <v>3660</v>
      </c>
    </row>
    <row r="67" spans="1:48" s="186" customFormat="1" ht="15" customHeight="1" x14ac:dyDescent="0.25">
      <c r="A67" s="5672"/>
      <c r="B67" s="5651"/>
      <c r="C67" s="799" t="s">
        <v>488</v>
      </c>
      <c r="D67" s="800">
        <v>522</v>
      </c>
      <c r="E67" s="801">
        <v>1003</v>
      </c>
      <c r="F67" s="802">
        <v>1525</v>
      </c>
      <c r="G67" s="800">
        <v>504</v>
      </c>
      <c r="H67" s="801">
        <v>1162</v>
      </c>
      <c r="I67" s="802">
        <v>1666</v>
      </c>
      <c r="J67" s="800">
        <v>560</v>
      </c>
      <c r="K67" s="801">
        <v>1094</v>
      </c>
      <c r="L67" s="802">
        <v>1654</v>
      </c>
      <c r="M67" s="800">
        <v>560</v>
      </c>
      <c r="N67" s="801">
        <v>961</v>
      </c>
      <c r="O67" s="802">
        <v>1521</v>
      </c>
      <c r="P67" s="800">
        <v>555</v>
      </c>
      <c r="Q67" s="801">
        <v>980</v>
      </c>
      <c r="R67" s="802">
        <v>1535</v>
      </c>
      <c r="S67" s="800">
        <v>598</v>
      </c>
      <c r="T67" s="801">
        <v>1000</v>
      </c>
      <c r="U67" s="802">
        <v>1598</v>
      </c>
      <c r="V67" s="800">
        <v>532</v>
      </c>
      <c r="W67" s="801">
        <v>913</v>
      </c>
      <c r="X67" s="802">
        <v>1445</v>
      </c>
      <c r="Y67" s="800">
        <v>508</v>
      </c>
      <c r="Z67" s="801">
        <v>1034</v>
      </c>
      <c r="AA67" s="802">
        <f t="shared" si="0"/>
        <v>1542</v>
      </c>
      <c r="AB67" s="803">
        <v>523</v>
      </c>
      <c r="AC67" s="804">
        <v>975</v>
      </c>
      <c r="AD67" s="802">
        <f t="shared" si="1"/>
        <v>1498</v>
      </c>
      <c r="AE67" s="803">
        <v>575</v>
      </c>
      <c r="AF67" s="804">
        <v>1097</v>
      </c>
      <c r="AG67" s="802">
        <f t="shared" si="2"/>
        <v>1672</v>
      </c>
      <c r="AH67" s="803">
        <v>560</v>
      </c>
      <c r="AI67" s="804">
        <v>1217</v>
      </c>
      <c r="AJ67" s="802">
        <f t="shared" si="55"/>
        <v>1777</v>
      </c>
      <c r="AK67" s="803">
        <v>536</v>
      </c>
      <c r="AL67" s="804">
        <v>1279</v>
      </c>
      <c r="AM67" s="802">
        <f t="shared" si="56"/>
        <v>1815</v>
      </c>
      <c r="AN67" s="803">
        <v>598</v>
      </c>
      <c r="AO67" s="804">
        <v>1458</v>
      </c>
      <c r="AP67" s="802">
        <f t="shared" si="57"/>
        <v>2056</v>
      </c>
      <c r="AQ67" s="803">
        <v>664</v>
      </c>
      <c r="AR67" s="804">
        <v>1440</v>
      </c>
      <c r="AS67" s="802">
        <f t="shared" si="58"/>
        <v>2104</v>
      </c>
      <c r="AT67" s="803">
        <v>653</v>
      </c>
      <c r="AU67" s="804">
        <v>1542</v>
      </c>
      <c r="AV67" s="802">
        <f t="shared" si="59"/>
        <v>2195</v>
      </c>
    </row>
    <row r="68" spans="1:48" s="186" customFormat="1" ht="15" customHeight="1" x14ac:dyDescent="0.25">
      <c r="A68" s="5672"/>
      <c r="B68" s="5651"/>
      <c r="C68" s="799" t="s">
        <v>489</v>
      </c>
      <c r="D68" s="800">
        <v>294</v>
      </c>
      <c r="E68" s="801">
        <v>716</v>
      </c>
      <c r="F68" s="802">
        <v>1010</v>
      </c>
      <c r="G68" s="800">
        <v>347</v>
      </c>
      <c r="H68" s="801">
        <v>838</v>
      </c>
      <c r="I68" s="802">
        <v>1185</v>
      </c>
      <c r="J68" s="800">
        <v>406</v>
      </c>
      <c r="K68" s="801">
        <v>934</v>
      </c>
      <c r="L68" s="802">
        <v>1340</v>
      </c>
      <c r="M68" s="800">
        <v>481</v>
      </c>
      <c r="N68" s="801">
        <v>872</v>
      </c>
      <c r="O68" s="802">
        <v>1353</v>
      </c>
      <c r="P68" s="800">
        <v>432</v>
      </c>
      <c r="Q68" s="801">
        <v>992</v>
      </c>
      <c r="R68" s="802">
        <v>1424</v>
      </c>
      <c r="S68" s="800">
        <v>517</v>
      </c>
      <c r="T68" s="801">
        <v>1122</v>
      </c>
      <c r="U68" s="802">
        <v>1639</v>
      </c>
      <c r="V68" s="800">
        <v>521</v>
      </c>
      <c r="W68" s="801">
        <v>1134</v>
      </c>
      <c r="X68" s="802">
        <v>1655</v>
      </c>
      <c r="Y68" s="800">
        <v>567</v>
      </c>
      <c r="Z68" s="801">
        <v>1170</v>
      </c>
      <c r="AA68" s="802">
        <f t="shared" si="0"/>
        <v>1737</v>
      </c>
      <c r="AB68" s="803">
        <v>649</v>
      </c>
      <c r="AC68" s="804">
        <v>1257</v>
      </c>
      <c r="AD68" s="802">
        <f t="shared" si="1"/>
        <v>1906</v>
      </c>
      <c r="AE68" s="803">
        <v>650</v>
      </c>
      <c r="AF68" s="804">
        <v>1412</v>
      </c>
      <c r="AG68" s="802">
        <f t="shared" si="2"/>
        <v>2062</v>
      </c>
      <c r="AH68" s="803">
        <v>647</v>
      </c>
      <c r="AI68" s="804">
        <v>1450</v>
      </c>
      <c r="AJ68" s="802">
        <f t="shared" si="55"/>
        <v>2097</v>
      </c>
      <c r="AK68" s="803">
        <v>551</v>
      </c>
      <c r="AL68" s="804">
        <v>1537</v>
      </c>
      <c r="AM68" s="802">
        <f t="shared" si="56"/>
        <v>2088</v>
      </c>
      <c r="AN68" s="803">
        <v>681</v>
      </c>
      <c r="AO68" s="804">
        <v>1715</v>
      </c>
      <c r="AP68" s="802">
        <f t="shared" si="57"/>
        <v>2396</v>
      </c>
      <c r="AQ68" s="803">
        <v>718</v>
      </c>
      <c r="AR68" s="804">
        <v>1863</v>
      </c>
      <c r="AS68" s="802">
        <f t="shared" si="58"/>
        <v>2581</v>
      </c>
      <c r="AT68" s="803">
        <v>726</v>
      </c>
      <c r="AU68" s="804">
        <v>1988</v>
      </c>
      <c r="AV68" s="802">
        <f t="shared" si="59"/>
        <v>2714</v>
      </c>
    </row>
    <row r="69" spans="1:48" s="186" customFormat="1" ht="15" customHeight="1" x14ac:dyDescent="0.25">
      <c r="A69" s="5672"/>
      <c r="B69" s="5651"/>
      <c r="C69" s="799" t="s">
        <v>490</v>
      </c>
      <c r="D69" s="800">
        <v>286</v>
      </c>
      <c r="E69" s="801">
        <v>650</v>
      </c>
      <c r="F69" s="802">
        <v>936</v>
      </c>
      <c r="G69" s="800">
        <v>267</v>
      </c>
      <c r="H69" s="801">
        <v>610</v>
      </c>
      <c r="I69" s="802">
        <v>877</v>
      </c>
      <c r="J69" s="800">
        <v>254</v>
      </c>
      <c r="K69" s="801">
        <v>679</v>
      </c>
      <c r="L69" s="802">
        <v>933</v>
      </c>
      <c r="M69" s="800">
        <v>338</v>
      </c>
      <c r="N69" s="801">
        <v>630</v>
      </c>
      <c r="O69" s="802">
        <v>968</v>
      </c>
      <c r="P69" s="800">
        <v>301</v>
      </c>
      <c r="Q69" s="801">
        <v>683</v>
      </c>
      <c r="R69" s="802">
        <v>984</v>
      </c>
      <c r="S69" s="800">
        <v>377</v>
      </c>
      <c r="T69" s="801">
        <v>763</v>
      </c>
      <c r="U69" s="802">
        <v>1140</v>
      </c>
      <c r="V69" s="800">
        <v>394</v>
      </c>
      <c r="W69" s="801">
        <v>756</v>
      </c>
      <c r="X69" s="802">
        <v>1150</v>
      </c>
      <c r="Y69" s="800">
        <v>375</v>
      </c>
      <c r="Z69" s="801">
        <v>906</v>
      </c>
      <c r="AA69" s="802">
        <f t="shared" si="0"/>
        <v>1281</v>
      </c>
      <c r="AB69" s="803">
        <v>489</v>
      </c>
      <c r="AC69" s="804">
        <v>870</v>
      </c>
      <c r="AD69" s="802">
        <f t="shared" si="1"/>
        <v>1359</v>
      </c>
      <c r="AE69" s="803">
        <v>533</v>
      </c>
      <c r="AF69" s="804">
        <v>1171</v>
      </c>
      <c r="AG69" s="802">
        <f t="shared" si="2"/>
        <v>1704</v>
      </c>
      <c r="AH69" s="803">
        <v>621</v>
      </c>
      <c r="AI69" s="804">
        <v>1460</v>
      </c>
      <c r="AJ69" s="802">
        <f t="shared" si="55"/>
        <v>2081</v>
      </c>
      <c r="AK69" s="803">
        <v>590</v>
      </c>
      <c r="AL69" s="804">
        <v>1584</v>
      </c>
      <c r="AM69" s="802">
        <f t="shared" si="56"/>
        <v>2174</v>
      </c>
      <c r="AN69" s="803">
        <v>775</v>
      </c>
      <c r="AO69" s="804">
        <v>1805</v>
      </c>
      <c r="AP69" s="802">
        <f t="shared" si="57"/>
        <v>2580</v>
      </c>
      <c r="AQ69" s="803">
        <v>831</v>
      </c>
      <c r="AR69" s="804">
        <v>1975</v>
      </c>
      <c r="AS69" s="802">
        <f t="shared" si="58"/>
        <v>2806</v>
      </c>
      <c r="AT69" s="803">
        <v>884</v>
      </c>
      <c r="AU69" s="804">
        <v>2224</v>
      </c>
      <c r="AV69" s="802">
        <f t="shared" si="59"/>
        <v>3108</v>
      </c>
    </row>
    <row r="70" spans="1:48" s="186" customFormat="1" ht="15" customHeight="1" x14ac:dyDescent="0.25">
      <c r="A70" s="5672"/>
      <c r="B70" s="5651"/>
      <c r="C70" s="799" t="s">
        <v>491</v>
      </c>
      <c r="D70" s="800">
        <v>40</v>
      </c>
      <c r="E70" s="801">
        <v>94</v>
      </c>
      <c r="F70" s="802">
        <v>134</v>
      </c>
      <c r="G70" s="800">
        <v>45</v>
      </c>
      <c r="H70" s="801">
        <v>121</v>
      </c>
      <c r="I70" s="802">
        <v>166</v>
      </c>
      <c r="J70" s="800">
        <v>65</v>
      </c>
      <c r="K70" s="801">
        <v>126</v>
      </c>
      <c r="L70" s="802">
        <v>191</v>
      </c>
      <c r="M70" s="800">
        <v>87</v>
      </c>
      <c r="N70" s="801">
        <v>123</v>
      </c>
      <c r="O70" s="802">
        <v>210</v>
      </c>
      <c r="P70" s="800">
        <v>65</v>
      </c>
      <c r="Q70" s="801">
        <v>136</v>
      </c>
      <c r="R70" s="802">
        <v>201</v>
      </c>
      <c r="S70" s="800">
        <v>104</v>
      </c>
      <c r="T70" s="801">
        <v>172</v>
      </c>
      <c r="U70" s="802">
        <v>276</v>
      </c>
      <c r="V70" s="800">
        <v>97</v>
      </c>
      <c r="W70" s="801">
        <v>205</v>
      </c>
      <c r="X70" s="802">
        <v>302</v>
      </c>
      <c r="Y70" s="800">
        <v>123</v>
      </c>
      <c r="Z70" s="801">
        <v>276</v>
      </c>
      <c r="AA70" s="802">
        <f t="shared" ref="AA70:AA77" si="60">SUM(Y70:Z70)</f>
        <v>399</v>
      </c>
      <c r="AB70" s="803">
        <v>149</v>
      </c>
      <c r="AC70" s="804">
        <v>280</v>
      </c>
      <c r="AD70" s="802">
        <f>SUM(AB70:AC70)</f>
        <v>429</v>
      </c>
      <c r="AE70" s="803">
        <v>155</v>
      </c>
      <c r="AF70" s="804">
        <v>326</v>
      </c>
      <c r="AG70" s="802">
        <f t="shared" si="2"/>
        <v>481</v>
      </c>
      <c r="AH70" s="803">
        <v>172</v>
      </c>
      <c r="AI70" s="804">
        <v>410</v>
      </c>
      <c r="AJ70" s="802">
        <f t="shared" si="55"/>
        <v>582</v>
      </c>
      <c r="AK70" s="803">
        <v>182</v>
      </c>
      <c r="AL70" s="804">
        <v>347</v>
      </c>
      <c r="AM70" s="802">
        <f t="shared" si="56"/>
        <v>529</v>
      </c>
      <c r="AN70" s="803">
        <v>217</v>
      </c>
      <c r="AO70" s="804">
        <v>427</v>
      </c>
      <c r="AP70" s="802">
        <f t="shared" si="57"/>
        <v>644</v>
      </c>
      <c r="AQ70" s="803">
        <v>217</v>
      </c>
      <c r="AR70" s="804">
        <v>363</v>
      </c>
      <c r="AS70" s="802">
        <f t="shared" si="58"/>
        <v>580</v>
      </c>
      <c r="AT70" s="803">
        <v>183</v>
      </c>
      <c r="AU70" s="804">
        <v>404</v>
      </c>
      <c r="AV70" s="802">
        <f t="shared" si="59"/>
        <v>587</v>
      </c>
    </row>
    <row r="71" spans="1:48" s="186" customFormat="1" ht="15" customHeight="1" x14ac:dyDescent="0.25">
      <c r="A71" s="5672"/>
      <c r="B71" s="5651"/>
      <c r="C71" s="799" t="s">
        <v>492</v>
      </c>
      <c r="D71" s="800">
        <v>1231</v>
      </c>
      <c r="E71" s="801">
        <v>3524</v>
      </c>
      <c r="F71" s="802">
        <v>4755</v>
      </c>
      <c r="G71" s="800">
        <v>1324</v>
      </c>
      <c r="H71" s="801">
        <v>3696</v>
      </c>
      <c r="I71" s="802">
        <v>5020</v>
      </c>
      <c r="J71" s="800">
        <v>1612</v>
      </c>
      <c r="K71" s="801">
        <v>3807</v>
      </c>
      <c r="L71" s="802">
        <v>5419</v>
      </c>
      <c r="M71" s="800">
        <v>1520</v>
      </c>
      <c r="N71" s="801">
        <v>3471</v>
      </c>
      <c r="O71" s="802">
        <v>4991</v>
      </c>
      <c r="P71" s="800">
        <v>1393</v>
      </c>
      <c r="Q71" s="801">
        <v>3801</v>
      </c>
      <c r="R71" s="802">
        <v>5194</v>
      </c>
      <c r="S71" s="800">
        <v>1745</v>
      </c>
      <c r="T71" s="801">
        <v>3683</v>
      </c>
      <c r="U71" s="802">
        <v>5428</v>
      </c>
      <c r="V71" s="800">
        <v>1778</v>
      </c>
      <c r="W71" s="801">
        <v>4233</v>
      </c>
      <c r="X71" s="802">
        <v>6011</v>
      </c>
      <c r="Y71" s="800">
        <v>1681</v>
      </c>
      <c r="Z71" s="801">
        <v>4450</v>
      </c>
      <c r="AA71" s="802">
        <f t="shared" si="60"/>
        <v>6131</v>
      </c>
      <c r="AB71" s="803">
        <v>2113</v>
      </c>
      <c r="AC71" s="804">
        <v>4530</v>
      </c>
      <c r="AD71" s="802">
        <f>SUM(AB71:AC71)</f>
        <v>6643</v>
      </c>
      <c r="AE71" s="803">
        <v>2168</v>
      </c>
      <c r="AF71" s="804">
        <v>5211</v>
      </c>
      <c r="AG71" s="802">
        <f t="shared" si="2"/>
        <v>7379</v>
      </c>
      <c r="AH71" s="803">
        <v>2004</v>
      </c>
      <c r="AI71" s="804">
        <v>5602</v>
      </c>
      <c r="AJ71" s="802">
        <f t="shared" si="55"/>
        <v>7606</v>
      </c>
      <c r="AK71" s="803">
        <v>1944</v>
      </c>
      <c r="AL71" s="804">
        <v>5946</v>
      </c>
      <c r="AM71" s="802">
        <f t="shared" si="56"/>
        <v>7890</v>
      </c>
      <c r="AN71" s="803">
        <v>2321</v>
      </c>
      <c r="AO71" s="804">
        <v>6958</v>
      </c>
      <c r="AP71" s="802">
        <f t="shared" si="57"/>
        <v>9279</v>
      </c>
      <c r="AQ71" s="803">
        <v>2509</v>
      </c>
      <c r="AR71" s="804">
        <v>6790</v>
      </c>
      <c r="AS71" s="802">
        <f t="shared" si="58"/>
        <v>9299</v>
      </c>
      <c r="AT71" s="803">
        <v>2521</v>
      </c>
      <c r="AU71" s="804">
        <v>7260</v>
      </c>
      <c r="AV71" s="802">
        <f t="shared" si="59"/>
        <v>9781</v>
      </c>
    </row>
    <row r="72" spans="1:48" s="186" customFormat="1" ht="15" customHeight="1" x14ac:dyDescent="0.25">
      <c r="A72" s="5672"/>
      <c r="B72" s="5651"/>
      <c r="C72" s="808" t="s">
        <v>493</v>
      </c>
      <c r="D72" s="809">
        <v>455</v>
      </c>
      <c r="E72" s="1428">
        <v>977</v>
      </c>
      <c r="F72" s="811">
        <v>1432</v>
      </c>
      <c r="G72" s="1429">
        <v>512</v>
      </c>
      <c r="H72" s="1428">
        <v>1087</v>
      </c>
      <c r="I72" s="811">
        <v>1599</v>
      </c>
      <c r="J72" s="809">
        <v>675</v>
      </c>
      <c r="K72" s="810">
        <v>1305</v>
      </c>
      <c r="L72" s="811">
        <v>1980</v>
      </c>
      <c r="M72" s="809">
        <v>678</v>
      </c>
      <c r="N72" s="810">
        <v>1210</v>
      </c>
      <c r="O72" s="811">
        <v>1888</v>
      </c>
      <c r="P72" s="809">
        <v>711</v>
      </c>
      <c r="Q72" s="810">
        <v>1393</v>
      </c>
      <c r="R72" s="811">
        <v>2104</v>
      </c>
      <c r="S72" s="809">
        <v>816</v>
      </c>
      <c r="T72" s="810">
        <v>1429</v>
      </c>
      <c r="U72" s="811">
        <v>2245</v>
      </c>
      <c r="V72" s="809">
        <v>873</v>
      </c>
      <c r="W72" s="810">
        <v>1467</v>
      </c>
      <c r="X72" s="811">
        <v>2340</v>
      </c>
      <c r="Y72" s="809">
        <v>901</v>
      </c>
      <c r="Z72" s="810">
        <v>1692</v>
      </c>
      <c r="AA72" s="811">
        <f t="shared" si="60"/>
        <v>2593</v>
      </c>
      <c r="AB72" s="812">
        <v>1039</v>
      </c>
      <c r="AC72" s="810">
        <v>1743</v>
      </c>
      <c r="AD72" s="811">
        <f>SUM(AB72:AC72)</f>
        <v>2782</v>
      </c>
      <c r="AE72" s="812">
        <v>1069</v>
      </c>
      <c r="AF72" s="810">
        <v>1963</v>
      </c>
      <c r="AG72" s="811">
        <f t="shared" si="2"/>
        <v>3032</v>
      </c>
      <c r="AH72" s="812">
        <v>1080</v>
      </c>
      <c r="AI72" s="810">
        <v>2290</v>
      </c>
      <c r="AJ72" s="811">
        <f t="shared" si="55"/>
        <v>3370</v>
      </c>
      <c r="AK72" s="803">
        <v>990</v>
      </c>
      <c r="AL72" s="810">
        <v>2205</v>
      </c>
      <c r="AM72" s="811">
        <f t="shared" si="56"/>
        <v>3195</v>
      </c>
      <c r="AN72" s="803">
        <v>1104</v>
      </c>
      <c r="AO72" s="810">
        <v>2378</v>
      </c>
      <c r="AP72" s="811">
        <f t="shared" si="57"/>
        <v>3482</v>
      </c>
      <c r="AQ72" s="803">
        <v>1159</v>
      </c>
      <c r="AR72" s="810">
        <v>2267</v>
      </c>
      <c r="AS72" s="811">
        <f t="shared" si="58"/>
        <v>3426</v>
      </c>
      <c r="AT72" s="803">
        <v>1049</v>
      </c>
      <c r="AU72" s="810">
        <v>2014</v>
      </c>
      <c r="AV72" s="811">
        <f t="shared" si="59"/>
        <v>3063</v>
      </c>
    </row>
    <row r="73" spans="1:48" s="186" customFormat="1" ht="15" customHeight="1" x14ac:dyDescent="0.25">
      <c r="A73" s="5672"/>
      <c r="B73" s="5652"/>
      <c r="C73" s="4475" t="s">
        <v>160</v>
      </c>
      <c r="D73" s="4476">
        <f>SUM(D65:D72)</f>
        <v>3113</v>
      </c>
      <c r="E73" s="4477">
        <f t="shared" ref="E73:AG73" si="61">SUM(E65:E72)</f>
        <v>7519</v>
      </c>
      <c r="F73" s="4478">
        <f t="shared" si="61"/>
        <v>10632</v>
      </c>
      <c r="G73" s="4476">
        <f t="shared" si="61"/>
        <v>3317</v>
      </c>
      <c r="H73" s="4477">
        <f t="shared" si="61"/>
        <v>8198</v>
      </c>
      <c r="I73" s="4478">
        <f t="shared" si="61"/>
        <v>11515</v>
      </c>
      <c r="J73" s="4476">
        <f t="shared" si="61"/>
        <v>3987</v>
      </c>
      <c r="K73" s="4477">
        <f t="shared" si="61"/>
        <v>8833</v>
      </c>
      <c r="L73" s="4478">
        <f t="shared" si="61"/>
        <v>12820</v>
      </c>
      <c r="M73" s="4476">
        <f t="shared" si="61"/>
        <v>4142</v>
      </c>
      <c r="N73" s="4477">
        <f t="shared" si="61"/>
        <v>8088</v>
      </c>
      <c r="O73" s="4478">
        <f t="shared" si="61"/>
        <v>12230</v>
      </c>
      <c r="P73" s="4476">
        <f t="shared" si="61"/>
        <v>3944</v>
      </c>
      <c r="Q73" s="4477">
        <f t="shared" si="61"/>
        <v>8994</v>
      </c>
      <c r="R73" s="4478">
        <f t="shared" si="61"/>
        <v>12938</v>
      </c>
      <c r="S73" s="4476">
        <f t="shared" si="61"/>
        <v>4808</v>
      </c>
      <c r="T73" s="4477">
        <f t="shared" si="61"/>
        <v>9456</v>
      </c>
      <c r="U73" s="4478">
        <f t="shared" si="61"/>
        <v>14264</v>
      </c>
      <c r="V73" s="4476">
        <f t="shared" si="61"/>
        <v>4993</v>
      </c>
      <c r="W73" s="4477">
        <f t="shared" si="61"/>
        <v>10161</v>
      </c>
      <c r="X73" s="4478">
        <f t="shared" si="61"/>
        <v>15154</v>
      </c>
      <c r="Y73" s="4476">
        <f t="shared" si="61"/>
        <v>5014</v>
      </c>
      <c r="Z73" s="4477">
        <f t="shared" si="61"/>
        <v>11298</v>
      </c>
      <c r="AA73" s="4478">
        <f t="shared" si="61"/>
        <v>16312</v>
      </c>
      <c r="AB73" s="4476">
        <f t="shared" si="61"/>
        <v>6087</v>
      </c>
      <c r="AC73" s="4477">
        <f t="shared" si="61"/>
        <v>11494</v>
      </c>
      <c r="AD73" s="4478">
        <f t="shared" si="61"/>
        <v>17581</v>
      </c>
      <c r="AE73" s="4476">
        <f t="shared" si="61"/>
        <v>6380</v>
      </c>
      <c r="AF73" s="4477">
        <f t="shared" si="61"/>
        <v>13392</v>
      </c>
      <c r="AG73" s="4478">
        <f t="shared" si="61"/>
        <v>19772</v>
      </c>
      <c r="AH73" s="4476">
        <f t="shared" ref="AH73:AM73" si="62">SUM(AH65:AH72)</f>
        <v>6342</v>
      </c>
      <c r="AI73" s="4477">
        <f t="shared" si="62"/>
        <v>14912</v>
      </c>
      <c r="AJ73" s="4478">
        <f t="shared" si="62"/>
        <v>21254</v>
      </c>
      <c r="AK73" s="4479">
        <f>SUM(AK65:AK72)</f>
        <v>6027</v>
      </c>
      <c r="AL73" s="4480">
        <f>SUM(AL65:AL72)</f>
        <v>15702</v>
      </c>
      <c r="AM73" s="4478">
        <f t="shared" si="62"/>
        <v>21729</v>
      </c>
      <c r="AN73" s="4479">
        <f t="shared" ref="AN73:AV73" si="63">SUM(AN65:AN72)</f>
        <v>6965</v>
      </c>
      <c r="AO73" s="4480">
        <f t="shared" si="63"/>
        <v>17629</v>
      </c>
      <c r="AP73" s="4478">
        <f t="shared" si="63"/>
        <v>24594</v>
      </c>
      <c r="AQ73" s="4479">
        <f t="shared" si="63"/>
        <v>7521</v>
      </c>
      <c r="AR73" s="4480">
        <f t="shared" si="63"/>
        <v>17501</v>
      </c>
      <c r="AS73" s="4478">
        <f t="shared" si="63"/>
        <v>25022</v>
      </c>
      <c r="AT73" s="4479">
        <f t="shared" si="63"/>
        <v>7524</v>
      </c>
      <c r="AU73" s="4480">
        <f t="shared" si="63"/>
        <v>18614</v>
      </c>
      <c r="AV73" s="4478">
        <f t="shared" si="63"/>
        <v>26138</v>
      </c>
    </row>
    <row r="74" spans="1:48" s="186" customFormat="1" ht="15" customHeight="1" x14ac:dyDescent="0.25">
      <c r="A74" s="5672"/>
      <c r="B74" s="5650" t="s">
        <v>7</v>
      </c>
      <c r="C74" s="4481" t="s">
        <v>460</v>
      </c>
      <c r="D74" s="4482">
        <v>292</v>
      </c>
      <c r="E74" s="4483">
        <v>715</v>
      </c>
      <c r="F74" s="4484">
        <v>1007</v>
      </c>
      <c r="G74" s="4482">
        <v>281</v>
      </c>
      <c r="H74" s="4483">
        <v>660</v>
      </c>
      <c r="I74" s="4484">
        <v>941</v>
      </c>
      <c r="J74" s="4482">
        <v>310</v>
      </c>
      <c r="K74" s="4483">
        <v>689</v>
      </c>
      <c r="L74" s="4484">
        <v>999</v>
      </c>
      <c r="M74" s="4482">
        <v>303</v>
      </c>
      <c r="N74" s="4483">
        <v>664</v>
      </c>
      <c r="O74" s="4484">
        <v>967</v>
      </c>
      <c r="P74" s="4482">
        <v>354</v>
      </c>
      <c r="Q74" s="4483">
        <v>796</v>
      </c>
      <c r="R74" s="4484">
        <v>1150</v>
      </c>
      <c r="S74" s="4482">
        <v>463</v>
      </c>
      <c r="T74" s="4483">
        <v>842</v>
      </c>
      <c r="U74" s="4484">
        <v>1305</v>
      </c>
      <c r="V74" s="4482">
        <v>432</v>
      </c>
      <c r="W74" s="4483">
        <v>967</v>
      </c>
      <c r="X74" s="4484">
        <v>1399</v>
      </c>
      <c r="Y74" s="4482">
        <v>563</v>
      </c>
      <c r="Z74" s="4483">
        <v>1195</v>
      </c>
      <c r="AA74" s="4484">
        <f t="shared" si="60"/>
        <v>1758</v>
      </c>
      <c r="AB74" s="4485">
        <v>662</v>
      </c>
      <c r="AC74" s="4486">
        <v>1288</v>
      </c>
      <c r="AD74" s="4484">
        <f>SUM(AB74:AC74)</f>
        <v>1950</v>
      </c>
      <c r="AE74" s="4485">
        <v>753</v>
      </c>
      <c r="AF74" s="4486">
        <v>1592</v>
      </c>
      <c r="AG74" s="4484">
        <f t="shared" si="2"/>
        <v>2345</v>
      </c>
      <c r="AH74" s="4485">
        <v>726</v>
      </c>
      <c r="AI74" s="4486">
        <v>1571</v>
      </c>
      <c r="AJ74" s="4484">
        <f>SUM(AH74:AI74)</f>
        <v>2297</v>
      </c>
      <c r="AK74" s="4485">
        <v>553</v>
      </c>
      <c r="AL74" s="4486">
        <v>1602</v>
      </c>
      <c r="AM74" s="4484">
        <f>SUM(AK74:AL74)</f>
        <v>2155</v>
      </c>
      <c r="AN74" s="4485">
        <v>683</v>
      </c>
      <c r="AO74" s="4486">
        <v>1744</v>
      </c>
      <c r="AP74" s="4484">
        <f>SUM(AN74:AO74)</f>
        <v>2427</v>
      </c>
      <c r="AQ74" s="4485">
        <v>756</v>
      </c>
      <c r="AR74" s="4486">
        <v>1973</v>
      </c>
      <c r="AS74" s="4484">
        <f>SUM(AQ74:AR74)</f>
        <v>2729</v>
      </c>
      <c r="AT74" s="4485">
        <v>784</v>
      </c>
      <c r="AU74" s="4486">
        <v>1859</v>
      </c>
      <c r="AV74" s="4484">
        <f>SUM(AT74:AU74)</f>
        <v>2643</v>
      </c>
    </row>
    <row r="75" spans="1:48" s="186" customFormat="1" ht="15" customHeight="1" x14ac:dyDescent="0.25">
      <c r="A75" s="5672"/>
      <c r="B75" s="5651"/>
      <c r="C75" s="799" t="s">
        <v>461</v>
      </c>
      <c r="D75" s="800">
        <v>804</v>
      </c>
      <c r="E75" s="801">
        <v>1796</v>
      </c>
      <c r="F75" s="802">
        <v>2600</v>
      </c>
      <c r="G75" s="800">
        <v>816</v>
      </c>
      <c r="H75" s="801">
        <v>1943</v>
      </c>
      <c r="I75" s="802">
        <v>2759</v>
      </c>
      <c r="J75" s="800">
        <v>864</v>
      </c>
      <c r="K75" s="801">
        <v>1798</v>
      </c>
      <c r="L75" s="802">
        <v>2662</v>
      </c>
      <c r="M75" s="800">
        <v>954</v>
      </c>
      <c r="N75" s="801">
        <v>1740</v>
      </c>
      <c r="O75" s="802">
        <v>2694</v>
      </c>
      <c r="P75" s="800">
        <v>920</v>
      </c>
      <c r="Q75" s="801">
        <v>1982</v>
      </c>
      <c r="R75" s="802">
        <v>2902</v>
      </c>
      <c r="S75" s="800">
        <v>1160</v>
      </c>
      <c r="T75" s="801">
        <v>2136</v>
      </c>
      <c r="U75" s="802">
        <v>3296</v>
      </c>
      <c r="V75" s="800">
        <v>1213</v>
      </c>
      <c r="W75" s="801">
        <v>2277</v>
      </c>
      <c r="X75" s="802">
        <v>3490</v>
      </c>
      <c r="Y75" s="800">
        <v>1257</v>
      </c>
      <c r="Z75" s="801">
        <v>2555</v>
      </c>
      <c r="AA75" s="802">
        <f t="shared" si="60"/>
        <v>3812</v>
      </c>
      <c r="AB75" s="803">
        <v>1374</v>
      </c>
      <c r="AC75" s="804">
        <v>2349</v>
      </c>
      <c r="AD75" s="802">
        <f>SUM(AB75:AC75)</f>
        <v>3723</v>
      </c>
      <c r="AE75" s="803">
        <v>1293</v>
      </c>
      <c r="AF75" s="804">
        <v>2538</v>
      </c>
      <c r="AG75" s="802">
        <f t="shared" si="2"/>
        <v>3831</v>
      </c>
      <c r="AH75" s="803">
        <v>1192</v>
      </c>
      <c r="AI75" s="804">
        <v>2311</v>
      </c>
      <c r="AJ75" s="802">
        <f>SUM(AH75:AI75)</f>
        <v>3503</v>
      </c>
      <c r="AK75" s="803">
        <v>931</v>
      </c>
      <c r="AL75" s="804">
        <v>2017</v>
      </c>
      <c r="AM75" s="802">
        <f>SUM(AK75:AL75)</f>
        <v>2948</v>
      </c>
      <c r="AN75" s="803">
        <v>899</v>
      </c>
      <c r="AO75" s="804">
        <v>1881</v>
      </c>
      <c r="AP75" s="802">
        <f>SUM(AN75:AO75)</f>
        <v>2780</v>
      </c>
      <c r="AQ75" s="803">
        <v>817</v>
      </c>
      <c r="AR75" s="804">
        <v>1716</v>
      </c>
      <c r="AS75" s="802">
        <f>SUM(AQ75:AR75)</f>
        <v>2533</v>
      </c>
      <c r="AT75" s="803">
        <v>706</v>
      </c>
      <c r="AU75" s="804">
        <v>1616</v>
      </c>
      <c r="AV75" s="802">
        <f>SUM(AT75:AU75)</f>
        <v>2322</v>
      </c>
    </row>
    <row r="76" spans="1:48" s="186" customFormat="1" ht="15" customHeight="1" x14ac:dyDescent="0.25">
      <c r="A76" s="5672"/>
      <c r="B76" s="5651"/>
      <c r="C76" s="799" t="s">
        <v>462</v>
      </c>
      <c r="D76" s="800">
        <v>139</v>
      </c>
      <c r="E76" s="801">
        <v>311</v>
      </c>
      <c r="F76" s="802">
        <v>450</v>
      </c>
      <c r="G76" s="800">
        <v>133</v>
      </c>
      <c r="H76" s="801">
        <v>331</v>
      </c>
      <c r="I76" s="802">
        <v>464</v>
      </c>
      <c r="J76" s="800">
        <v>159</v>
      </c>
      <c r="K76" s="801">
        <v>416</v>
      </c>
      <c r="L76" s="802">
        <v>575</v>
      </c>
      <c r="M76" s="800">
        <v>176</v>
      </c>
      <c r="N76" s="801">
        <v>344</v>
      </c>
      <c r="O76" s="802">
        <v>520</v>
      </c>
      <c r="P76" s="800">
        <v>195</v>
      </c>
      <c r="Q76" s="801">
        <v>454</v>
      </c>
      <c r="R76" s="802">
        <v>649</v>
      </c>
      <c r="S76" s="800">
        <v>290</v>
      </c>
      <c r="T76" s="801">
        <v>458</v>
      </c>
      <c r="U76" s="802">
        <v>748</v>
      </c>
      <c r="V76" s="800">
        <v>276</v>
      </c>
      <c r="W76" s="801">
        <v>526</v>
      </c>
      <c r="X76" s="802">
        <v>802</v>
      </c>
      <c r="Y76" s="800">
        <v>282</v>
      </c>
      <c r="Z76" s="801">
        <v>626</v>
      </c>
      <c r="AA76" s="802">
        <f t="shared" si="60"/>
        <v>908</v>
      </c>
      <c r="AB76" s="803">
        <v>344</v>
      </c>
      <c r="AC76" s="804">
        <v>661</v>
      </c>
      <c r="AD76" s="802">
        <f>SUM(AB76:AC76)</f>
        <v>1005</v>
      </c>
      <c r="AE76" s="803">
        <v>408</v>
      </c>
      <c r="AF76" s="804">
        <v>798</v>
      </c>
      <c r="AG76" s="802">
        <f t="shared" si="2"/>
        <v>1206</v>
      </c>
      <c r="AH76" s="803">
        <v>374</v>
      </c>
      <c r="AI76" s="804">
        <v>788</v>
      </c>
      <c r="AJ76" s="802">
        <f>SUM(AH76:AI76)</f>
        <v>1162</v>
      </c>
      <c r="AK76" s="803">
        <v>311</v>
      </c>
      <c r="AL76" s="804">
        <v>749</v>
      </c>
      <c r="AM76" s="802">
        <f>SUM(AK76:AL76)</f>
        <v>1060</v>
      </c>
      <c r="AN76" s="803">
        <v>361</v>
      </c>
      <c r="AO76" s="804">
        <v>802</v>
      </c>
      <c r="AP76" s="802">
        <f>SUM(AN76:AO76)</f>
        <v>1163</v>
      </c>
      <c r="AQ76" s="803">
        <v>382</v>
      </c>
      <c r="AR76" s="804">
        <v>764</v>
      </c>
      <c r="AS76" s="802">
        <f>SUM(AQ76:AR76)</f>
        <v>1146</v>
      </c>
      <c r="AT76" s="803">
        <v>317</v>
      </c>
      <c r="AU76" s="804">
        <v>604</v>
      </c>
      <c r="AV76" s="802">
        <f>SUM(AT76:AU76)</f>
        <v>921</v>
      </c>
    </row>
    <row r="77" spans="1:48" s="186" customFormat="1" ht="15" customHeight="1" x14ac:dyDescent="0.25">
      <c r="A77" s="5672"/>
      <c r="B77" s="5651"/>
      <c r="C77" s="808" t="s">
        <v>494</v>
      </c>
      <c r="D77" s="809">
        <v>39</v>
      </c>
      <c r="E77" s="1428">
        <v>70</v>
      </c>
      <c r="F77" s="811">
        <v>109</v>
      </c>
      <c r="G77" s="1429">
        <v>42</v>
      </c>
      <c r="H77" s="1428">
        <v>79</v>
      </c>
      <c r="I77" s="811">
        <v>121</v>
      </c>
      <c r="J77" s="809">
        <v>44</v>
      </c>
      <c r="K77" s="810">
        <v>65</v>
      </c>
      <c r="L77" s="811">
        <v>109</v>
      </c>
      <c r="M77" s="809">
        <v>36</v>
      </c>
      <c r="N77" s="810">
        <v>57</v>
      </c>
      <c r="O77" s="811">
        <v>93</v>
      </c>
      <c r="P77" s="809">
        <v>54</v>
      </c>
      <c r="Q77" s="810">
        <v>86</v>
      </c>
      <c r="R77" s="811">
        <v>140</v>
      </c>
      <c r="S77" s="809">
        <v>83</v>
      </c>
      <c r="T77" s="810">
        <v>155</v>
      </c>
      <c r="U77" s="811">
        <v>238</v>
      </c>
      <c r="V77" s="809">
        <v>103</v>
      </c>
      <c r="W77" s="810">
        <v>162</v>
      </c>
      <c r="X77" s="811">
        <v>265</v>
      </c>
      <c r="Y77" s="809">
        <v>103</v>
      </c>
      <c r="Z77" s="810">
        <v>152</v>
      </c>
      <c r="AA77" s="811">
        <f t="shared" si="60"/>
        <v>255</v>
      </c>
      <c r="AB77" s="812">
        <v>119</v>
      </c>
      <c r="AC77" s="810">
        <v>158</v>
      </c>
      <c r="AD77" s="811">
        <f>SUM(AB77:AC77)</f>
        <v>277</v>
      </c>
      <c r="AE77" s="812">
        <v>116</v>
      </c>
      <c r="AF77" s="810">
        <v>179</v>
      </c>
      <c r="AG77" s="811">
        <f t="shared" si="2"/>
        <v>295</v>
      </c>
      <c r="AH77" s="812">
        <v>109</v>
      </c>
      <c r="AI77" s="810">
        <v>195</v>
      </c>
      <c r="AJ77" s="811">
        <f>SUM(AH77:AI77)</f>
        <v>304</v>
      </c>
      <c r="AK77" s="803">
        <v>109</v>
      </c>
      <c r="AL77" s="810">
        <v>193</v>
      </c>
      <c r="AM77" s="811">
        <f>SUM(AK77:AL77)</f>
        <v>302</v>
      </c>
      <c r="AN77" s="803">
        <v>111</v>
      </c>
      <c r="AO77" s="810">
        <v>200</v>
      </c>
      <c r="AP77" s="811">
        <f>SUM(AN77:AO77)</f>
        <v>311</v>
      </c>
      <c r="AQ77" s="803">
        <v>70</v>
      </c>
      <c r="AR77" s="810">
        <v>207</v>
      </c>
      <c r="AS77" s="811">
        <f>SUM(AQ77:AR77)</f>
        <v>277</v>
      </c>
      <c r="AT77" s="803">
        <v>90</v>
      </c>
      <c r="AU77" s="810">
        <v>182</v>
      </c>
      <c r="AV77" s="811">
        <f>SUM(AT77:AU77)</f>
        <v>272</v>
      </c>
    </row>
    <row r="78" spans="1:48" s="186" customFormat="1" ht="15" customHeight="1" x14ac:dyDescent="0.25">
      <c r="A78" s="5672"/>
      <c r="B78" s="5651"/>
      <c r="C78" s="849" t="s">
        <v>160</v>
      </c>
      <c r="D78" s="850">
        <f>SUM(D74:D77)</f>
        <v>1274</v>
      </c>
      <c r="E78" s="1430">
        <f t="shared" ref="E78:AG78" si="64">SUM(E74:E77)</f>
        <v>2892</v>
      </c>
      <c r="F78" s="852">
        <f t="shared" si="64"/>
        <v>4166</v>
      </c>
      <c r="G78" s="850">
        <f t="shared" si="64"/>
        <v>1272</v>
      </c>
      <c r="H78" s="1430">
        <f t="shared" si="64"/>
        <v>3013</v>
      </c>
      <c r="I78" s="852">
        <f t="shared" si="64"/>
        <v>4285</v>
      </c>
      <c r="J78" s="850">
        <f t="shared" si="64"/>
        <v>1377</v>
      </c>
      <c r="K78" s="1430">
        <f t="shared" si="64"/>
        <v>2968</v>
      </c>
      <c r="L78" s="852">
        <f t="shared" si="64"/>
        <v>4345</v>
      </c>
      <c r="M78" s="850">
        <f t="shared" si="64"/>
        <v>1469</v>
      </c>
      <c r="N78" s="1430">
        <f t="shared" si="64"/>
        <v>2805</v>
      </c>
      <c r="O78" s="852">
        <f t="shared" si="64"/>
        <v>4274</v>
      </c>
      <c r="P78" s="850">
        <f t="shared" si="64"/>
        <v>1523</v>
      </c>
      <c r="Q78" s="1430">
        <f t="shared" si="64"/>
        <v>3318</v>
      </c>
      <c r="R78" s="852">
        <f t="shared" si="64"/>
        <v>4841</v>
      </c>
      <c r="S78" s="850">
        <f t="shared" si="64"/>
        <v>1996</v>
      </c>
      <c r="T78" s="1430">
        <f t="shared" si="64"/>
        <v>3591</v>
      </c>
      <c r="U78" s="852">
        <f t="shared" si="64"/>
        <v>5587</v>
      </c>
      <c r="V78" s="850">
        <f t="shared" si="64"/>
        <v>2024</v>
      </c>
      <c r="W78" s="1430">
        <f t="shared" si="64"/>
        <v>3932</v>
      </c>
      <c r="X78" s="852">
        <f t="shared" si="64"/>
        <v>5956</v>
      </c>
      <c r="Y78" s="850">
        <f t="shared" si="64"/>
        <v>2205</v>
      </c>
      <c r="Z78" s="1430">
        <f t="shared" si="64"/>
        <v>4528</v>
      </c>
      <c r="AA78" s="852">
        <f t="shared" si="64"/>
        <v>6733</v>
      </c>
      <c r="AB78" s="850">
        <f t="shared" si="64"/>
        <v>2499</v>
      </c>
      <c r="AC78" s="1430">
        <f t="shared" si="64"/>
        <v>4456</v>
      </c>
      <c r="AD78" s="852">
        <f t="shared" si="64"/>
        <v>6955</v>
      </c>
      <c r="AE78" s="850">
        <f t="shared" si="64"/>
        <v>2570</v>
      </c>
      <c r="AF78" s="1430">
        <f t="shared" si="64"/>
        <v>5107</v>
      </c>
      <c r="AG78" s="852">
        <f t="shared" si="64"/>
        <v>7677</v>
      </c>
      <c r="AH78" s="850">
        <f t="shared" ref="AH78:AM78" si="65">SUM(AH74:AH77)</f>
        <v>2401</v>
      </c>
      <c r="AI78" s="1430">
        <f t="shared" si="65"/>
        <v>4865</v>
      </c>
      <c r="AJ78" s="852">
        <f t="shared" si="65"/>
        <v>7266</v>
      </c>
      <c r="AK78" s="2161">
        <f>SUM(AK74:AK77)</f>
        <v>1904</v>
      </c>
      <c r="AL78" s="2165">
        <f>SUM(AL74:AL77)</f>
        <v>4561</v>
      </c>
      <c r="AM78" s="852">
        <f t="shared" si="65"/>
        <v>6465</v>
      </c>
      <c r="AN78" s="2161">
        <f t="shared" ref="AN78:AV78" si="66">SUM(AN74:AN77)</f>
        <v>2054</v>
      </c>
      <c r="AO78" s="2165">
        <f t="shared" si="66"/>
        <v>4627</v>
      </c>
      <c r="AP78" s="852">
        <f t="shared" si="66"/>
        <v>6681</v>
      </c>
      <c r="AQ78" s="2161">
        <f t="shared" si="66"/>
        <v>2025</v>
      </c>
      <c r="AR78" s="2165">
        <f t="shared" si="66"/>
        <v>4660</v>
      </c>
      <c r="AS78" s="852">
        <f t="shared" si="66"/>
        <v>6685</v>
      </c>
      <c r="AT78" s="2161">
        <f t="shared" si="66"/>
        <v>1897</v>
      </c>
      <c r="AU78" s="2165">
        <f t="shared" si="66"/>
        <v>4261</v>
      </c>
      <c r="AV78" s="852">
        <f t="shared" si="66"/>
        <v>6158</v>
      </c>
    </row>
    <row r="79" spans="1:48" s="186" customFormat="1" ht="15" customHeight="1" x14ac:dyDescent="0.25">
      <c r="A79" s="5673"/>
      <c r="B79" s="3541"/>
      <c r="C79" s="2273" t="s">
        <v>444</v>
      </c>
      <c r="D79" s="2274">
        <f>SUM(D78,D73,D64)</f>
        <v>7601</v>
      </c>
      <c r="E79" s="2275">
        <f t="shared" ref="E79:AG79" si="67">SUM(E78,E73,E64)</f>
        <v>17106</v>
      </c>
      <c r="F79" s="2276">
        <f t="shared" si="67"/>
        <v>24707</v>
      </c>
      <c r="G79" s="2274">
        <f t="shared" si="67"/>
        <v>7656</v>
      </c>
      <c r="H79" s="2275">
        <f t="shared" si="67"/>
        <v>17630</v>
      </c>
      <c r="I79" s="2276">
        <f t="shared" si="67"/>
        <v>25286</v>
      </c>
      <c r="J79" s="2274">
        <f t="shared" si="67"/>
        <v>8788</v>
      </c>
      <c r="K79" s="2275">
        <f t="shared" si="67"/>
        <v>18763</v>
      </c>
      <c r="L79" s="2276">
        <f t="shared" si="67"/>
        <v>27551</v>
      </c>
      <c r="M79" s="2274">
        <f t="shared" si="67"/>
        <v>9077</v>
      </c>
      <c r="N79" s="2275">
        <f t="shared" si="67"/>
        <v>17120</v>
      </c>
      <c r="O79" s="2276">
        <f t="shared" si="67"/>
        <v>26197</v>
      </c>
      <c r="P79" s="2274">
        <f t="shared" si="67"/>
        <v>8893</v>
      </c>
      <c r="Q79" s="2275">
        <f t="shared" si="67"/>
        <v>18677</v>
      </c>
      <c r="R79" s="2276">
        <f t="shared" si="67"/>
        <v>27570</v>
      </c>
      <c r="S79" s="2274">
        <f t="shared" si="67"/>
        <v>10564</v>
      </c>
      <c r="T79" s="2275">
        <f t="shared" si="67"/>
        <v>19585</v>
      </c>
      <c r="U79" s="2276">
        <f t="shared" si="67"/>
        <v>30149</v>
      </c>
      <c r="V79" s="2274">
        <f t="shared" si="67"/>
        <v>11099</v>
      </c>
      <c r="W79" s="2275">
        <f t="shared" si="67"/>
        <v>21029</v>
      </c>
      <c r="X79" s="2276">
        <f t="shared" si="67"/>
        <v>32128</v>
      </c>
      <c r="Y79" s="2274">
        <f t="shared" si="67"/>
        <v>11275</v>
      </c>
      <c r="Z79" s="2275">
        <f t="shared" si="67"/>
        <v>23440</v>
      </c>
      <c r="AA79" s="2276">
        <f t="shared" si="67"/>
        <v>34715</v>
      </c>
      <c r="AB79" s="2274">
        <f t="shared" si="67"/>
        <v>13016</v>
      </c>
      <c r="AC79" s="2275">
        <f t="shared" si="67"/>
        <v>23503</v>
      </c>
      <c r="AD79" s="2276">
        <f t="shared" si="67"/>
        <v>36519</v>
      </c>
      <c r="AE79" s="2274">
        <f t="shared" si="67"/>
        <v>13482</v>
      </c>
      <c r="AF79" s="2275">
        <f t="shared" si="67"/>
        <v>26783</v>
      </c>
      <c r="AG79" s="2276">
        <f t="shared" si="67"/>
        <v>40265</v>
      </c>
      <c r="AH79" s="2274">
        <f t="shared" ref="AH79:AM79" si="68">SUM(AH78,AH73,AH64)</f>
        <v>12798</v>
      </c>
      <c r="AI79" s="2275">
        <f t="shared" si="68"/>
        <v>27865</v>
      </c>
      <c r="AJ79" s="2276">
        <f t="shared" si="68"/>
        <v>40663</v>
      </c>
      <c r="AK79" s="2274">
        <f t="shared" si="68"/>
        <v>11391</v>
      </c>
      <c r="AL79" s="2275">
        <f t="shared" si="68"/>
        <v>28133</v>
      </c>
      <c r="AM79" s="2276">
        <f t="shared" si="68"/>
        <v>39524</v>
      </c>
      <c r="AN79" s="2274">
        <f t="shared" ref="AN79:AV79" si="69">SUM(AN78,AN73,AN64)</f>
        <v>12777</v>
      </c>
      <c r="AO79" s="2275">
        <f t="shared" si="69"/>
        <v>30101</v>
      </c>
      <c r="AP79" s="2276">
        <f t="shared" si="69"/>
        <v>42878</v>
      </c>
      <c r="AQ79" s="2274">
        <f t="shared" si="69"/>
        <v>13238</v>
      </c>
      <c r="AR79" s="2275">
        <f t="shared" si="69"/>
        <v>29830</v>
      </c>
      <c r="AS79" s="2276">
        <f t="shared" si="69"/>
        <v>43068</v>
      </c>
      <c r="AT79" s="2274">
        <f t="shared" si="69"/>
        <v>12843</v>
      </c>
      <c r="AU79" s="2275">
        <f t="shared" si="69"/>
        <v>30461</v>
      </c>
      <c r="AV79" s="2276">
        <f t="shared" si="69"/>
        <v>43304</v>
      </c>
    </row>
    <row r="80" spans="1:48" s="186" customFormat="1" ht="15" customHeight="1" x14ac:dyDescent="0.25">
      <c r="A80" s="5658" t="s">
        <v>407</v>
      </c>
      <c r="B80" s="5647" t="s">
        <v>6</v>
      </c>
      <c r="C80" s="813" t="s">
        <v>456</v>
      </c>
      <c r="D80" s="819"/>
      <c r="E80" s="820"/>
      <c r="F80" s="816"/>
      <c r="G80" s="819"/>
      <c r="H80" s="820"/>
      <c r="I80" s="816"/>
      <c r="J80" s="819"/>
      <c r="K80" s="820">
        <v>212</v>
      </c>
      <c r="L80" s="816">
        <v>212</v>
      </c>
      <c r="M80" s="819"/>
      <c r="N80" s="820">
        <v>103</v>
      </c>
      <c r="O80" s="816">
        <v>103</v>
      </c>
      <c r="P80" s="819"/>
      <c r="Q80" s="820">
        <v>129</v>
      </c>
      <c r="R80" s="816">
        <v>129</v>
      </c>
      <c r="S80" s="819"/>
      <c r="T80" s="820">
        <v>153</v>
      </c>
      <c r="U80" s="816">
        <v>153</v>
      </c>
      <c r="V80" s="819"/>
      <c r="W80" s="820">
        <v>179</v>
      </c>
      <c r="X80" s="816">
        <v>179</v>
      </c>
      <c r="Y80" s="819"/>
      <c r="Z80" s="820">
        <v>201</v>
      </c>
      <c r="AA80" s="816">
        <f t="shared" ref="AA80:AA92" si="70">SUM(Y80:Z80)</f>
        <v>201</v>
      </c>
      <c r="AB80" s="1432"/>
      <c r="AC80" s="818">
        <v>209</v>
      </c>
      <c r="AD80" s="816">
        <f t="shared" ref="AD80:AD92" si="71">SUM(AB80:AC80)</f>
        <v>209</v>
      </c>
      <c r="AE80" s="1432"/>
      <c r="AF80" s="818">
        <v>197</v>
      </c>
      <c r="AG80" s="816">
        <f t="shared" si="2"/>
        <v>197</v>
      </c>
      <c r="AH80" s="1432"/>
      <c r="AI80" s="818">
        <v>428</v>
      </c>
      <c r="AJ80" s="816">
        <f>SUM(AH80:AI80)</f>
        <v>428</v>
      </c>
      <c r="AK80" s="797">
        <v>220</v>
      </c>
      <c r="AL80" s="818">
        <v>517</v>
      </c>
      <c r="AM80" s="816">
        <f>SUM(AK80:AL80)</f>
        <v>737</v>
      </c>
      <c r="AN80" s="797">
        <v>276</v>
      </c>
      <c r="AO80" s="818">
        <v>650</v>
      </c>
      <c r="AP80" s="816">
        <f>SUM(AN80:AO80)</f>
        <v>926</v>
      </c>
      <c r="AQ80" s="797">
        <v>307</v>
      </c>
      <c r="AR80" s="818">
        <v>628</v>
      </c>
      <c r="AS80" s="816">
        <f>SUM(AQ80:AR80)</f>
        <v>935</v>
      </c>
      <c r="AT80" s="797">
        <v>257</v>
      </c>
      <c r="AU80" s="818">
        <v>664</v>
      </c>
      <c r="AV80" s="816">
        <f>SUM(AT80:AU80)</f>
        <v>921</v>
      </c>
    </row>
    <row r="81" spans="1:48" s="186" customFormat="1" ht="15" customHeight="1" x14ac:dyDescent="0.25">
      <c r="A81" s="5659"/>
      <c r="B81" s="5648"/>
      <c r="C81" s="799" t="s">
        <v>457</v>
      </c>
      <c r="D81" s="805"/>
      <c r="E81" s="807"/>
      <c r="F81" s="802"/>
      <c r="G81" s="805"/>
      <c r="H81" s="807"/>
      <c r="I81" s="802"/>
      <c r="J81" s="805"/>
      <c r="K81" s="807">
        <v>270</v>
      </c>
      <c r="L81" s="802">
        <v>270</v>
      </c>
      <c r="M81" s="805"/>
      <c r="N81" s="807"/>
      <c r="O81" s="802">
        <v>0</v>
      </c>
      <c r="P81" s="805"/>
      <c r="Q81" s="807"/>
      <c r="R81" s="802">
        <v>0</v>
      </c>
      <c r="S81" s="805"/>
      <c r="T81" s="807"/>
      <c r="U81" s="802">
        <v>0</v>
      </c>
      <c r="V81" s="805"/>
      <c r="W81" s="807"/>
      <c r="X81" s="802">
        <v>0</v>
      </c>
      <c r="Y81" s="805"/>
      <c r="Z81" s="807"/>
      <c r="AA81" s="802">
        <f t="shared" si="70"/>
        <v>0</v>
      </c>
      <c r="AB81" s="1433"/>
      <c r="AC81" s="1434"/>
      <c r="AD81" s="802"/>
      <c r="AE81" s="1433"/>
      <c r="AF81" s="1434"/>
      <c r="AG81" s="802"/>
      <c r="AH81" s="1433"/>
      <c r="AI81" s="807"/>
      <c r="AJ81" s="802"/>
      <c r="AK81" s="803"/>
      <c r="AL81" s="807"/>
      <c r="AM81" s="802"/>
      <c r="AN81" s="803"/>
      <c r="AO81" s="807">
        <v>216</v>
      </c>
      <c r="AP81" s="816">
        <f>SUM(AN81:AO81)</f>
        <v>216</v>
      </c>
      <c r="AQ81" s="803"/>
      <c r="AR81" s="807">
        <v>728</v>
      </c>
      <c r="AS81" s="816">
        <f>SUM(AQ81:AR81)</f>
        <v>728</v>
      </c>
      <c r="AT81" s="803"/>
      <c r="AU81" s="807">
        <v>736</v>
      </c>
      <c r="AV81" s="816">
        <f>SUM(AT81:AU81)</f>
        <v>736</v>
      </c>
    </row>
    <row r="82" spans="1:48" s="186" customFormat="1" ht="15" customHeight="1" x14ac:dyDescent="0.25">
      <c r="A82" s="5659"/>
      <c r="B82" s="5648"/>
      <c r="C82" s="799" t="s">
        <v>495</v>
      </c>
      <c r="D82" s="805"/>
      <c r="E82" s="807"/>
      <c r="F82" s="802"/>
      <c r="G82" s="805"/>
      <c r="H82" s="807"/>
      <c r="I82" s="802"/>
      <c r="J82" s="805"/>
      <c r="K82" s="807"/>
      <c r="L82" s="802">
        <v>0</v>
      </c>
      <c r="M82" s="805"/>
      <c r="N82" s="807"/>
      <c r="O82" s="802">
        <v>0</v>
      </c>
      <c r="P82" s="805"/>
      <c r="Q82" s="807">
        <v>7</v>
      </c>
      <c r="R82" s="802">
        <v>7</v>
      </c>
      <c r="S82" s="805"/>
      <c r="T82" s="807">
        <v>25</v>
      </c>
      <c r="U82" s="802">
        <v>25</v>
      </c>
      <c r="V82" s="805"/>
      <c r="W82" s="807">
        <v>19</v>
      </c>
      <c r="X82" s="802">
        <v>19</v>
      </c>
      <c r="Y82" s="805"/>
      <c r="Z82" s="807">
        <v>32</v>
      </c>
      <c r="AA82" s="802">
        <f t="shared" si="70"/>
        <v>32</v>
      </c>
      <c r="AB82" s="1433"/>
      <c r="AC82" s="807">
        <v>39</v>
      </c>
      <c r="AD82" s="802">
        <f t="shared" si="71"/>
        <v>39</v>
      </c>
      <c r="AE82" s="1433"/>
      <c r="AF82" s="807">
        <v>55</v>
      </c>
      <c r="AG82" s="802">
        <f t="shared" si="2"/>
        <v>55</v>
      </c>
      <c r="AH82" s="1433"/>
      <c r="AI82" s="807">
        <v>136</v>
      </c>
      <c r="AJ82" s="802">
        <f>SUM(AH82:AI82)</f>
        <v>136</v>
      </c>
      <c r="AK82" s="803">
        <v>51</v>
      </c>
      <c r="AL82" s="807">
        <v>119</v>
      </c>
      <c r="AM82" s="802">
        <f>SUM(AK82:AL82)</f>
        <v>170</v>
      </c>
      <c r="AN82" s="803">
        <v>66</v>
      </c>
      <c r="AO82" s="807">
        <v>114</v>
      </c>
      <c r="AP82" s="802">
        <f>SUM(AN82:AO82)</f>
        <v>180</v>
      </c>
      <c r="AQ82" s="803">
        <v>54</v>
      </c>
      <c r="AR82" s="807">
        <v>82</v>
      </c>
      <c r="AS82" s="802">
        <f>SUM(AQ82:AR82)</f>
        <v>136</v>
      </c>
      <c r="AT82" s="803">
        <v>43</v>
      </c>
      <c r="AU82" s="807">
        <v>99</v>
      </c>
      <c r="AV82" s="802">
        <f>SUM(AT82:AU82)</f>
        <v>142</v>
      </c>
    </row>
    <row r="83" spans="1:48" s="186" customFormat="1" ht="15" customHeight="1" x14ac:dyDescent="0.25">
      <c r="A83" s="5659"/>
      <c r="B83" s="5648"/>
      <c r="C83" s="808" t="s">
        <v>496</v>
      </c>
      <c r="D83" s="809"/>
      <c r="E83" s="1428"/>
      <c r="F83" s="811"/>
      <c r="G83" s="1429"/>
      <c r="H83" s="1428"/>
      <c r="I83" s="811"/>
      <c r="J83" s="809"/>
      <c r="K83" s="810"/>
      <c r="L83" s="811">
        <v>0</v>
      </c>
      <c r="M83" s="809"/>
      <c r="N83" s="810"/>
      <c r="O83" s="811">
        <v>0</v>
      </c>
      <c r="P83" s="809"/>
      <c r="Q83" s="810">
        <v>34</v>
      </c>
      <c r="R83" s="811">
        <v>34</v>
      </c>
      <c r="S83" s="809"/>
      <c r="T83" s="810">
        <v>44</v>
      </c>
      <c r="U83" s="811">
        <v>44</v>
      </c>
      <c r="V83" s="809"/>
      <c r="W83" s="810">
        <v>44</v>
      </c>
      <c r="X83" s="811">
        <v>44</v>
      </c>
      <c r="Y83" s="809"/>
      <c r="Z83" s="810">
        <v>73</v>
      </c>
      <c r="AA83" s="811">
        <f t="shared" si="70"/>
        <v>73</v>
      </c>
      <c r="AB83" s="812"/>
      <c r="AC83" s="810">
        <v>73</v>
      </c>
      <c r="AD83" s="811">
        <f t="shared" si="71"/>
        <v>73</v>
      </c>
      <c r="AE83" s="812"/>
      <c r="AF83" s="810">
        <v>82</v>
      </c>
      <c r="AG83" s="811">
        <f t="shared" si="2"/>
        <v>82</v>
      </c>
      <c r="AH83" s="812"/>
      <c r="AI83" s="810">
        <v>152</v>
      </c>
      <c r="AJ83" s="811">
        <f>SUM(AH83:AI83)</f>
        <v>152</v>
      </c>
      <c r="AK83" s="812">
        <v>92</v>
      </c>
      <c r="AL83" s="810">
        <v>152</v>
      </c>
      <c r="AM83" s="811">
        <f>SUM(AK83:AL83)</f>
        <v>244</v>
      </c>
      <c r="AN83" s="812">
        <v>116</v>
      </c>
      <c r="AO83" s="810">
        <v>150</v>
      </c>
      <c r="AP83" s="811">
        <f>SUM(AN83:AO83)</f>
        <v>266</v>
      </c>
      <c r="AQ83" s="812">
        <v>109</v>
      </c>
      <c r="AR83" s="810">
        <v>134</v>
      </c>
      <c r="AS83" s="811">
        <f>SUM(AQ83:AR83)</f>
        <v>243</v>
      </c>
      <c r="AT83" s="812">
        <v>85</v>
      </c>
      <c r="AU83" s="810">
        <v>109</v>
      </c>
      <c r="AV83" s="811">
        <f>SUM(AT83:AU83)</f>
        <v>194</v>
      </c>
    </row>
    <row r="84" spans="1:48" s="186" customFormat="1" ht="15" customHeight="1" x14ac:dyDescent="0.25">
      <c r="A84" s="5659"/>
      <c r="B84" s="5649"/>
      <c r="C84" s="4475" t="s">
        <v>160</v>
      </c>
      <c r="D84" s="4476"/>
      <c r="E84" s="4477"/>
      <c r="F84" s="4478"/>
      <c r="G84" s="4476"/>
      <c r="H84" s="4477"/>
      <c r="I84" s="4478"/>
      <c r="J84" s="4476"/>
      <c r="K84" s="4477">
        <f>SUM(K80:K83)</f>
        <v>482</v>
      </c>
      <c r="L84" s="4478">
        <f t="shared" ref="L84:AG84" si="72">SUM(L80:L83)</f>
        <v>482</v>
      </c>
      <c r="M84" s="4476">
        <f t="shared" si="72"/>
        <v>0</v>
      </c>
      <c r="N84" s="4477">
        <f t="shared" si="72"/>
        <v>103</v>
      </c>
      <c r="O84" s="4478">
        <f t="shared" si="72"/>
        <v>103</v>
      </c>
      <c r="P84" s="4476">
        <f t="shared" si="72"/>
        <v>0</v>
      </c>
      <c r="Q84" s="4477">
        <f t="shared" si="72"/>
        <v>170</v>
      </c>
      <c r="R84" s="4478">
        <f t="shared" si="72"/>
        <v>170</v>
      </c>
      <c r="S84" s="4476">
        <f t="shared" si="72"/>
        <v>0</v>
      </c>
      <c r="T84" s="4477">
        <f t="shared" si="72"/>
        <v>222</v>
      </c>
      <c r="U84" s="4478">
        <f t="shared" si="72"/>
        <v>222</v>
      </c>
      <c r="V84" s="4476">
        <f t="shared" si="72"/>
        <v>0</v>
      </c>
      <c r="W84" s="4477">
        <f t="shared" si="72"/>
        <v>242</v>
      </c>
      <c r="X84" s="4478">
        <f t="shared" si="72"/>
        <v>242</v>
      </c>
      <c r="Y84" s="4476">
        <f t="shared" si="72"/>
        <v>0</v>
      </c>
      <c r="Z84" s="4477">
        <f t="shared" si="72"/>
        <v>306</v>
      </c>
      <c r="AA84" s="4478">
        <f t="shared" si="72"/>
        <v>306</v>
      </c>
      <c r="AB84" s="4476">
        <f t="shared" si="72"/>
        <v>0</v>
      </c>
      <c r="AC84" s="4477">
        <f t="shared" si="72"/>
        <v>321</v>
      </c>
      <c r="AD84" s="4478">
        <f t="shared" si="72"/>
        <v>321</v>
      </c>
      <c r="AE84" s="4476">
        <f t="shared" si="72"/>
        <v>0</v>
      </c>
      <c r="AF84" s="4477">
        <f t="shared" si="72"/>
        <v>334</v>
      </c>
      <c r="AG84" s="4478">
        <f t="shared" si="72"/>
        <v>334</v>
      </c>
      <c r="AH84" s="4476">
        <f t="shared" ref="AH84:AM84" si="73">SUM(AH80:AH83)</f>
        <v>0</v>
      </c>
      <c r="AI84" s="4477">
        <f t="shared" si="73"/>
        <v>716</v>
      </c>
      <c r="AJ84" s="4478">
        <f t="shared" si="73"/>
        <v>716</v>
      </c>
      <c r="AK84" s="4479">
        <f t="shared" si="73"/>
        <v>363</v>
      </c>
      <c r="AL84" s="4480">
        <f>SUM(AL80:AL83)</f>
        <v>788</v>
      </c>
      <c r="AM84" s="4478">
        <f t="shared" si="73"/>
        <v>1151</v>
      </c>
      <c r="AN84" s="4479">
        <f t="shared" ref="AN84:AV84" si="74">SUM(AN80:AN83)</f>
        <v>458</v>
      </c>
      <c r="AO84" s="4480">
        <f t="shared" si="74"/>
        <v>1130</v>
      </c>
      <c r="AP84" s="4478">
        <f t="shared" si="74"/>
        <v>1588</v>
      </c>
      <c r="AQ84" s="4479">
        <f t="shared" si="74"/>
        <v>470</v>
      </c>
      <c r="AR84" s="4480">
        <f t="shared" si="74"/>
        <v>1572</v>
      </c>
      <c r="AS84" s="4478">
        <f t="shared" si="74"/>
        <v>2042</v>
      </c>
      <c r="AT84" s="4479">
        <f t="shared" si="74"/>
        <v>385</v>
      </c>
      <c r="AU84" s="4480">
        <f t="shared" si="74"/>
        <v>1608</v>
      </c>
      <c r="AV84" s="4478">
        <f t="shared" si="74"/>
        <v>1993</v>
      </c>
    </row>
    <row r="85" spans="1:48" s="186" customFormat="1" ht="15" customHeight="1" x14ac:dyDescent="0.25">
      <c r="A85" s="5659"/>
      <c r="B85" s="5647" t="s">
        <v>9</v>
      </c>
      <c r="C85" s="4481" t="s">
        <v>497</v>
      </c>
      <c r="D85" s="4482"/>
      <c r="E85" s="4483"/>
      <c r="F85" s="4484"/>
      <c r="G85" s="4482"/>
      <c r="H85" s="4483"/>
      <c r="I85" s="4484"/>
      <c r="J85" s="4482"/>
      <c r="K85" s="4483">
        <v>135</v>
      </c>
      <c r="L85" s="4484">
        <v>135</v>
      </c>
      <c r="M85" s="4482"/>
      <c r="N85" s="4483">
        <v>89</v>
      </c>
      <c r="O85" s="4484">
        <v>89</v>
      </c>
      <c r="P85" s="4482"/>
      <c r="Q85" s="4483">
        <v>165</v>
      </c>
      <c r="R85" s="4484">
        <v>165</v>
      </c>
      <c r="S85" s="4482"/>
      <c r="T85" s="4483">
        <v>174</v>
      </c>
      <c r="U85" s="4484">
        <v>174</v>
      </c>
      <c r="V85" s="4482"/>
      <c r="W85" s="4483">
        <v>228</v>
      </c>
      <c r="X85" s="4484">
        <v>228</v>
      </c>
      <c r="Y85" s="4482"/>
      <c r="Z85" s="4483">
        <v>285</v>
      </c>
      <c r="AA85" s="4484">
        <f t="shared" si="70"/>
        <v>285</v>
      </c>
      <c r="AB85" s="4485"/>
      <c r="AC85" s="4486">
        <v>254</v>
      </c>
      <c r="AD85" s="4484">
        <f t="shared" si="71"/>
        <v>254</v>
      </c>
      <c r="AE85" s="4485"/>
      <c r="AF85" s="4486">
        <v>258</v>
      </c>
      <c r="AG85" s="4484">
        <f t="shared" ref="AG85:AG101" si="75">SUM(AE85:AF85)</f>
        <v>258</v>
      </c>
      <c r="AH85" s="4485"/>
      <c r="AI85" s="4486">
        <v>497</v>
      </c>
      <c r="AJ85" s="4484">
        <f>SUM(AH85:AI85)</f>
        <v>497</v>
      </c>
      <c r="AK85" s="4485"/>
      <c r="AL85" s="4486">
        <v>533</v>
      </c>
      <c r="AM85" s="4484">
        <f>SUM(AK85:AL85)</f>
        <v>533</v>
      </c>
      <c r="AN85" s="4485"/>
      <c r="AO85" s="4486">
        <v>526</v>
      </c>
      <c r="AP85" s="4484">
        <f>SUM(AN85:AO85)</f>
        <v>526</v>
      </c>
      <c r="AQ85" s="4485"/>
      <c r="AR85" s="4486">
        <v>535</v>
      </c>
      <c r="AS85" s="4484">
        <f>SUM(AQ85:AR85)</f>
        <v>535</v>
      </c>
      <c r="AT85" s="4485"/>
      <c r="AU85" s="4486">
        <v>631</v>
      </c>
      <c r="AV85" s="4484">
        <f>SUM(AT85:AU85)</f>
        <v>631</v>
      </c>
    </row>
    <row r="86" spans="1:48" s="186" customFormat="1" ht="15" customHeight="1" x14ac:dyDescent="0.2">
      <c r="A86" s="5659"/>
      <c r="B86" s="5648"/>
      <c r="C86" s="799" t="s">
        <v>498</v>
      </c>
      <c r="D86" s="805"/>
      <c r="E86" s="807"/>
      <c r="F86" s="802"/>
      <c r="G86" s="805"/>
      <c r="H86" s="807"/>
      <c r="I86" s="802"/>
      <c r="J86" s="805"/>
      <c r="K86" s="807"/>
      <c r="L86" s="802">
        <v>0</v>
      </c>
      <c r="M86" s="805"/>
      <c r="N86" s="807"/>
      <c r="O86" s="802">
        <v>0</v>
      </c>
      <c r="P86" s="805"/>
      <c r="Q86" s="807">
        <v>64</v>
      </c>
      <c r="R86" s="802">
        <v>64</v>
      </c>
      <c r="S86" s="805"/>
      <c r="T86" s="807">
        <v>113</v>
      </c>
      <c r="U86" s="802">
        <v>113</v>
      </c>
      <c r="V86" s="805"/>
      <c r="W86" s="807">
        <v>101</v>
      </c>
      <c r="X86" s="802">
        <v>101</v>
      </c>
      <c r="Y86" s="805"/>
      <c r="Z86" s="807">
        <v>130</v>
      </c>
      <c r="AA86" s="802">
        <f t="shared" si="70"/>
        <v>130</v>
      </c>
      <c r="AB86" s="1433"/>
      <c r="AC86" s="807">
        <v>139</v>
      </c>
      <c r="AD86" s="802">
        <f t="shared" si="71"/>
        <v>139</v>
      </c>
      <c r="AE86" s="1433"/>
      <c r="AF86" s="807">
        <v>95</v>
      </c>
      <c r="AG86" s="802">
        <f t="shared" si="75"/>
        <v>95</v>
      </c>
      <c r="AH86" s="1433"/>
      <c r="AI86" s="807">
        <v>160</v>
      </c>
      <c r="AJ86" s="802">
        <f>SUM(AH86:AI86)</f>
        <v>160</v>
      </c>
      <c r="AK86" s="1433"/>
      <c r="AL86" s="807">
        <v>150</v>
      </c>
      <c r="AM86" s="802">
        <f>SUM(AK86:AL86)</f>
        <v>150</v>
      </c>
      <c r="AN86" s="1433"/>
      <c r="AO86" s="807">
        <v>162</v>
      </c>
      <c r="AP86" s="802">
        <f>SUM(AN86:AO86)</f>
        <v>162</v>
      </c>
      <c r="AQ86" s="1433"/>
      <c r="AR86" s="807">
        <v>150</v>
      </c>
      <c r="AS86" s="802">
        <f>SUM(AQ86:AR86)</f>
        <v>150</v>
      </c>
      <c r="AT86" s="1433"/>
      <c r="AU86" s="807">
        <v>200</v>
      </c>
      <c r="AV86" s="802">
        <f>SUM(AT86:AU86)</f>
        <v>200</v>
      </c>
    </row>
    <row r="87" spans="1:48" s="186" customFormat="1" ht="15" customHeight="1" x14ac:dyDescent="0.25">
      <c r="A87" s="5659"/>
      <c r="B87" s="5648"/>
      <c r="C87" s="808" t="s">
        <v>499</v>
      </c>
      <c r="D87" s="809"/>
      <c r="E87" s="1428"/>
      <c r="F87" s="811"/>
      <c r="G87" s="1429"/>
      <c r="H87" s="1428"/>
      <c r="I87" s="811"/>
      <c r="J87" s="809"/>
      <c r="K87" s="810"/>
      <c r="L87" s="811">
        <v>0</v>
      </c>
      <c r="M87" s="809"/>
      <c r="N87" s="810"/>
      <c r="O87" s="811">
        <v>0</v>
      </c>
      <c r="P87" s="809"/>
      <c r="Q87" s="810">
        <v>359</v>
      </c>
      <c r="R87" s="811">
        <v>359</v>
      </c>
      <c r="S87" s="809"/>
      <c r="T87" s="810">
        <v>398</v>
      </c>
      <c r="U87" s="811">
        <v>398</v>
      </c>
      <c r="V87" s="809"/>
      <c r="W87" s="810">
        <v>550</v>
      </c>
      <c r="X87" s="811">
        <v>550</v>
      </c>
      <c r="Y87" s="809"/>
      <c r="Z87" s="810">
        <v>679</v>
      </c>
      <c r="AA87" s="811">
        <f t="shared" si="70"/>
        <v>679</v>
      </c>
      <c r="AB87" s="812"/>
      <c r="AC87" s="810">
        <v>618</v>
      </c>
      <c r="AD87" s="811">
        <f t="shared" si="71"/>
        <v>618</v>
      </c>
      <c r="AE87" s="812"/>
      <c r="AF87" s="810">
        <v>648</v>
      </c>
      <c r="AG87" s="811">
        <f t="shared" si="75"/>
        <v>648</v>
      </c>
      <c r="AH87" s="812"/>
      <c r="AI87" s="810">
        <v>1230</v>
      </c>
      <c r="AJ87" s="811">
        <f>SUM(AH87:AI87)</f>
        <v>1230</v>
      </c>
      <c r="AK87" s="812"/>
      <c r="AL87" s="810">
        <v>1237</v>
      </c>
      <c r="AM87" s="811">
        <f>SUM(AK87:AL87)</f>
        <v>1237</v>
      </c>
      <c r="AN87" s="812"/>
      <c r="AO87" s="810">
        <v>1238</v>
      </c>
      <c r="AP87" s="811">
        <f>SUM(AN87:AO87)</f>
        <v>1238</v>
      </c>
      <c r="AQ87" s="812"/>
      <c r="AR87" s="810">
        <v>1181</v>
      </c>
      <c r="AS87" s="811">
        <f>SUM(AQ87:AR87)</f>
        <v>1181</v>
      </c>
      <c r="AT87" s="812"/>
      <c r="AU87" s="810">
        <v>1061</v>
      </c>
      <c r="AV87" s="811">
        <f>SUM(AT87:AU87)</f>
        <v>1061</v>
      </c>
    </row>
    <row r="88" spans="1:48" s="186" customFormat="1" ht="15" customHeight="1" x14ac:dyDescent="0.25">
      <c r="A88" s="5659"/>
      <c r="B88" s="5649"/>
      <c r="C88" s="4475" t="s">
        <v>160</v>
      </c>
      <c r="D88" s="4476"/>
      <c r="E88" s="4477"/>
      <c r="F88" s="4478"/>
      <c r="G88" s="4476"/>
      <c r="H88" s="4477"/>
      <c r="I88" s="4478"/>
      <c r="J88" s="4476"/>
      <c r="K88" s="4477">
        <f>SUM(K85:K87)</f>
        <v>135</v>
      </c>
      <c r="L88" s="4478">
        <f t="shared" ref="L88:AG88" si="76">SUM(L85:L87)</f>
        <v>135</v>
      </c>
      <c r="M88" s="4476">
        <f t="shared" si="76"/>
        <v>0</v>
      </c>
      <c r="N88" s="4477">
        <f t="shared" si="76"/>
        <v>89</v>
      </c>
      <c r="O88" s="4478">
        <f t="shared" si="76"/>
        <v>89</v>
      </c>
      <c r="P88" s="4476">
        <f t="shared" si="76"/>
        <v>0</v>
      </c>
      <c r="Q88" s="4477">
        <f t="shared" si="76"/>
        <v>588</v>
      </c>
      <c r="R88" s="4478">
        <f t="shared" si="76"/>
        <v>588</v>
      </c>
      <c r="S88" s="4476">
        <f t="shared" si="76"/>
        <v>0</v>
      </c>
      <c r="T88" s="4477">
        <f t="shared" si="76"/>
        <v>685</v>
      </c>
      <c r="U88" s="4478">
        <f t="shared" si="76"/>
        <v>685</v>
      </c>
      <c r="V88" s="4476">
        <f t="shared" si="76"/>
        <v>0</v>
      </c>
      <c r="W88" s="4477">
        <f t="shared" si="76"/>
        <v>879</v>
      </c>
      <c r="X88" s="4478">
        <f t="shared" si="76"/>
        <v>879</v>
      </c>
      <c r="Y88" s="4476">
        <f t="shared" si="76"/>
        <v>0</v>
      </c>
      <c r="Z88" s="4477">
        <f t="shared" si="76"/>
        <v>1094</v>
      </c>
      <c r="AA88" s="4478">
        <f t="shared" si="76"/>
        <v>1094</v>
      </c>
      <c r="AB88" s="4476">
        <f t="shared" si="76"/>
        <v>0</v>
      </c>
      <c r="AC88" s="4477">
        <f t="shared" si="76"/>
        <v>1011</v>
      </c>
      <c r="AD88" s="4478">
        <f t="shared" si="76"/>
        <v>1011</v>
      </c>
      <c r="AE88" s="4476">
        <f t="shared" si="76"/>
        <v>0</v>
      </c>
      <c r="AF88" s="4477">
        <f t="shared" si="76"/>
        <v>1001</v>
      </c>
      <c r="AG88" s="4478">
        <f t="shared" si="76"/>
        <v>1001</v>
      </c>
      <c r="AH88" s="4476">
        <f t="shared" ref="AH88:AM88" si="77">SUM(AH85:AH87)</f>
        <v>0</v>
      </c>
      <c r="AI88" s="4477">
        <f t="shared" si="77"/>
        <v>1887</v>
      </c>
      <c r="AJ88" s="4478">
        <f t="shared" si="77"/>
        <v>1887</v>
      </c>
      <c r="AK88" s="4479">
        <f t="shared" si="77"/>
        <v>0</v>
      </c>
      <c r="AL88" s="4480">
        <f>SUM(AL85:AL87)</f>
        <v>1920</v>
      </c>
      <c r="AM88" s="4478">
        <f t="shared" si="77"/>
        <v>1920</v>
      </c>
      <c r="AN88" s="4479">
        <f t="shared" ref="AN88:AV88" si="78">SUM(AN85:AN87)</f>
        <v>0</v>
      </c>
      <c r="AO88" s="4480">
        <f t="shared" si="78"/>
        <v>1926</v>
      </c>
      <c r="AP88" s="4478">
        <f t="shared" si="78"/>
        <v>1926</v>
      </c>
      <c r="AQ88" s="4479">
        <f t="shared" si="78"/>
        <v>0</v>
      </c>
      <c r="AR88" s="4480">
        <f t="shared" si="78"/>
        <v>1866</v>
      </c>
      <c r="AS88" s="4478">
        <f t="shared" si="78"/>
        <v>1866</v>
      </c>
      <c r="AT88" s="4479">
        <f t="shared" si="78"/>
        <v>0</v>
      </c>
      <c r="AU88" s="4480">
        <f t="shared" si="78"/>
        <v>1892</v>
      </c>
      <c r="AV88" s="4478">
        <f t="shared" si="78"/>
        <v>1892</v>
      </c>
    </row>
    <row r="89" spans="1:48" s="186" customFormat="1" ht="15" customHeight="1" x14ac:dyDescent="0.25">
      <c r="A89" s="5659"/>
      <c r="B89" s="5647" t="s">
        <v>74</v>
      </c>
      <c r="C89" s="4481" t="s">
        <v>455</v>
      </c>
      <c r="D89" s="4482"/>
      <c r="E89" s="4483"/>
      <c r="F89" s="4484"/>
      <c r="G89" s="4482"/>
      <c r="H89" s="4483"/>
      <c r="I89" s="4484"/>
      <c r="J89" s="4482"/>
      <c r="K89" s="4483">
        <v>188</v>
      </c>
      <c r="L89" s="4484">
        <v>188</v>
      </c>
      <c r="M89" s="4482"/>
      <c r="N89" s="4483">
        <v>78</v>
      </c>
      <c r="O89" s="4484">
        <v>78</v>
      </c>
      <c r="P89" s="4482"/>
      <c r="Q89" s="4483">
        <v>140</v>
      </c>
      <c r="R89" s="4484">
        <v>140</v>
      </c>
      <c r="S89" s="4482"/>
      <c r="T89" s="4483">
        <v>181</v>
      </c>
      <c r="U89" s="4484">
        <v>181</v>
      </c>
      <c r="V89" s="4482"/>
      <c r="W89" s="4483">
        <v>160</v>
      </c>
      <c r="X89" s="4484">
        <v>160</v>
      </c>
      <c r="Y89" s="4482"/>
      <c r="Z89" s="4483">
        <v>239</v>
      </c>
      <c r="AA89" s="4484">
        <f t="shared" si="70"/>
        <v>239</v>
      </c>
      <c r="AB89" s="4485"/>
      <c r="AC89" s="4486">
        <v>204</v>
      </c>
      <c r="AD89" s="4484">
        <f t="shared" si="71"/>
        <v>204</v>
      </c>
      <c r="AE89" s="4485"/>
      <c r="AF89" s="4486">
        <v>179</v>
      </c>
      <c r="AG89" s="4484">
        <f t="shared" si="75"/>
        <v>179</v>
      </c>
      <c r="AH89" s="4485"/>
      <c r="AI89" s="4486">
        <v>343</v>
      </c>
      <c r="AJ89" s="4484">
        <f>SUM(AH89:AI89)</f>
        <v>343</v>
      </c>
      <c r="AK89" s="4485"/>
      <c r="AL89" s="4486">
        <v>396</v>
      </c>
      <c r="AM89" s="4484">
        <f>SUM(AK89:AL89)</f>
        <v>396</v>
      </c>
      <c r="AN89" s="4485"/>
      <c r="AO89" s="4486">
        <v>386</v>
      </c>
      <c r="AP89" s="4484">
        <f>SUM(AN89:AO89)</f>
        <v>386</v>
      </c>
      <c r="AQ89" s="4485"/>
      <c r="AR89" s="4486">
        <v>464</v>
      </c>
      <c r="AS89" s="4484">
        <f>SUM(AQ89:AR89)</f>
        <v>464</v>
      </c>
      <c r="AT89" s="4485"/>
      <c r="AU89" s="4486">
        <v>370</v>
      </c>
      <c r="AV89" s="4484">
        <f>SUM(AT89:AU89)</f>
        <v>370</v>
      </c>
    </row>
    <row r="90" spans="1:48" s="186" customFormat="1" ht="15" customHeight="1" x14ac:dyDescent="0.2">
      <c r="A90" s="5659"/>
      <c r="B90" s="5648"/>
      <c r="C90" s="799" t="s">
        <v>500</v>
      </c>
      <c r="D90" s="805"/>
      <c r="E90" s="807"/>
      <c r="F90" s="802"/>
      <c r="G90" s="805"/>
      <c r="H90" s="807"/>
      <c r="I90" s="802"/>
      <c r="J90" s="805"/>
      <c r="K90" s="807">
        <v>21</v>
      </c>
      <c r="L90" s="802">
        <v>21</v>
      </c>
      <c r="M90" s="805"/>
      <c r="N90" s="807">
        <v>16</v>
      </c>
      <c r="O90" s="802">
        <v>16</v>
      </c>
      <c r="P90" s="805"/>
      <c r="Q90" s="807">
        <v>29</v>
      </c>
      <c r="R90" s="802">
        <v>29</v>
      </c>
      <c r="S90" s="805"/>
      <c r="T90" s="807">
        <v>37</v>
      </c>
      <c r="U90" s="802">
        <v>37</v>
      </c>
      <c r="V90" s="805"/>
      <c r="W90" s="807">
        <v>45</v>
      </c>
      <c r="X90" s="802">
        <v>45</v>
      </c>
      <c r="Y90" s="805"/>
      <c r="Z90" s="807">
        <v>45</v>
      </c>
      <c r="AA90" s="802">
        <f t="shared" si="70"/>
        <v>45</v>
      </c>
      <c r="AB90" s="1433"/>
      <c r="AC90" s="807">
        <v>51</v>
      </c>
      <c r="AD90" s="802">
        <f t="shared" si="71"/>
        <v>51</v>
      </c>
      <c r="AE90" s="1433"/>
      <c r="AF90" s="807">
        <v>50</v>
      </c>
      <c r="AG90" s="802">
        <f t="shared" si="75"/>
        <v>50</v>
      </c>
      <c r="AH90" s="1433"/>
      <c r="AI90" s="807">
        <v>106</v>
      </c>
      <c r="AJ90" s="802">
        <f>SUM(AH90:AI90)</f>
        <v>106</v>
      </c>
      <c r="AK90" s="1433"/>
      <c r="AL90" s="807">
        <v>109</v>
      </c>
      <c r="AM90" s="802">
        <f>SUM(AK90:AL90)</f>
        <v>109</v>
      </c>
      <c r="AN90" s="1433"/>
      <c r="AO90" s="807">
        <v>123</v>
      </c>
      <c r="AP90" s="802">
        <f>SUM(AN90:AO90)</f>
        <v>123</v>
      </c>
      <c r="AQ90" s="1433"/>
      <c r="AR90" s="807">
        <v>132</v>
      </c>
      <c r="AS90" s="802">
        <f>SUM(AQ90:AR90)</f>
        <v>132</v>
      </c>
      <c r="AT90" s="1433"/>
      <c r="AU90" s="807">
        <v>170</v>
      </c>
      <c r="AV90" s="802">
        <f>SUM(AT90:AU90)</f>
        <v>170</v>
      </c>
    </row>
    <row r="91" spans="1:48" s="186" customFormat="1" ht="15" customHeight="1" x14ac:dyDescent="0.2">
      <c r="A91" s="5659"/>
      <c r="B91" s="5648"/>
      <c r="C91" s="799" t="s">
        <v>501</v>
      </c>
      <c r="D91" s="805"/>
      <c r="E91" s="807"/>
      <c r="F91" s="802"/>
      <c r="G91" s="805"/>
      <c r="H91" s="807"/>
      <c r="I91" s="802"/>
      <c r="J91" s="805"/>
      <c r="K91" s="807"/>
      <c r="L91" s="802">
        <v>0</v>
      </c>
      <c r="M91" s="805"/>
      <c r="N91" s="807"/>
      <c r="O91" s="802">
        <v>0</v>
      </c>
      <c r="P91" s="805"/>
      <c r="Q91" s="807"/>
      <c r="R91" s="802">
        <v>0</v>
      </c>
      <c r="S91" s="805"/>
      <c r="T91" s="807">
        <v>28</v>
      </c>
      <c r="U91" s="802">
        <v>28</v>
      </c>
      <c r="V91" s="805"/>
      <c r="W91" s="807">
        <v>36</v>
      </c>
      <c r="X91" s="802">
        <v>36</v>
      </c>
      <c r="Y91" s="805"/>
      <c r="Z91" s="807">
        <v>55</v>
      </c>
      <c r="AA91" s="802">
        <f t="shared" si="70"/>
        <v>55</v>
      </c>
      <c r="AB91" s="1433"/>
      <c r="AC91" s="807">
        <v>31</v>
      </c>
      <c r="AD91" s="802">
        <f t="shared" si="71"/>
        <v>31</v>
      </c>
      <c r="AE91" s="1433"/>
      <c r="AF91" s="807">
        <v>33</v>
      </c>
      <c r="AG91" s="802">
        <f t="shared" si="75"/>
        <v>33</v>
      </c>
      <c r="AH91" s="1433"/>
      <c r="AI91" s="807">
        <v>93</v>
      </c>
      <c r="AJ91" s="802">
        <f>SUM(AH91:AI91)</f>
        <v>93</v>
      </c>
      <c r="AK91" s="1433"/>
      <c r="AL91" s="807">
        <v>113</v>
      </c>
      <c r="AM91" s="802">
        <f>SUM(AK91:AL91)</f>
        <v>113</v>
      </c>
      <c r="AN91" s="1433"/>
      <c r="AO91" s="807">
        <v>118</v>
      </c>
      <c r="AP91" s="802">
        <f>SUM(AN91:AO91)</f>
        <v>118</v>
      </c>
      <c r="AQ91" s="1433"/>
      <c r="AR91" s="807">
        <v>108</v>
      </c>
      <c r="AS91" s="802">
        <f>SUM(AQ91:AR91)</f>
        <v>108</v>
      </c>
      <c r="AT91" s="1433"/>
      <c r="AU91" s="807">
        <v>188</v>
      </c>
      <c r="AV91" s="802">
        <f>SUM(AT91:AU91)</f>
        <v>188</v>
      </c>
    </row>
    <row r="92" spans="1:48" s="186" customFormat="1" ht="15" customHeight="1" x14ac:dyDescent="0.25">
      <c r="A92" s="5659"/>
      <c r="B92" s="5648"/>
      <c r="C92" s="808" t="s">
        <v>502</v>
      </c>
      <c r="D92" s="809"/>
      <c r="E92" s="1428"/>
      <c r="F92" s="811"/>
      <c r="G92" s="1429"/>
      <c r="H92" s="1428"/>
      <c r="I92" s="811"/>
      <c r="J92" s="809"/>
      <c r="K92" s="810"/>
      <c r="L92" s="811"/>
      <c r="M92" s="809"/>
      <c r="N92" s="810"/>
      <c r="O92" s="811"/>
      <c r="P92" s="809"/>
      <c r="Q92" s="810"/>
      <c r="R92" s="811"/>
      <c r="S92" s="809"/>
      <c r="T92" s="810"/>
      <c r="U92" s="811"/>
      <c r="V92" s="809"/>
      <c r="W92" s="810"/>
      <c r="X92" s="811"/>
      <c r="Y92" s="809"/>
      <c r="Z92" s="810">
        <v>105</v>
      </c>
      <c r="AA92" s="811">
        <f t="shared" si="70"/>
        <v>105</v>
      </c>
      <c r="AB92" s="812"/>
      <c r="AC92" s="810">
        <v>94</v>
      </c>
      <c r="AD92" s="811">
        <f t="shared" si="71"/>
        <v>94</v>
      </c>
      <c r="AE92" s="812"/>
      <c r="AF92" s="810">
        <v>101</v>
      </c>
      <c r="AG92" s="811">
        <f t="shared" si="75"/>
        <v>101</v>
      </c>
      <c r="AH92" s="812"/>
      <c r="AI92" s="810">
        <v>228</v>
      </c>
      <c r="AJ92" s="811">
        <f>SUM(AH92:AI92)</f>
        <v>228</v>
      </c>
      <c r="AK92" s="812"/>
      <c r="AL92" s="810">
        <v>231</v>
      </c>
      <c r="AM92" s="811">
        <f>SUM(AK92:AL92)</f>
        <v>231</v>
      </c>
      <c r="AN92" s="812"/>
      <c r="AO92" s="810">
        <v>328</v>
      </c>
      <c r="AP92" s="811">
        <f>SUM(AN92:AO92)</f>
        <v>328</v>
      </c>
      <c r="AQ92" s="812"/>
      <c r="AR92" s="810">
        <v>301</v>
      </c>
      <c r="AS92" s="811">
        <f>SUM(AQ92:AR92)</f>
        <v>301</v>
      </c>
      <c r="AT92" s="812"/>
      <c r="AU92" s="810">
        <v>265</v>
      </c>
      <c r="AV92" s="811">
        <f>SUM(AT92:AU92)</f>
        <v>265</v>
      </c>
    </row>
    <row r="93" spans="1:48" s="186" customFormat="1" ht="15" customHeight="1" x14ac:dyDescent="0.25">
      <c r="A93" s="5659"/>
      <c r="B93" s="5649"/>
      <c r="C93" s="849" t="s">
        <v>160</v>
      </c>
      <c r="D93" s="850"/>
      <c r="E93" s="1430"/>
      <c r="F93" s="852"/>
      <c r="G93" s="850"/>
      <c r="H93" s="1430"/>
      <c r="I93" s="852"/>
      <c r="J93" s="850"/>
      <c r="K93" s="1430">
        <f>SUM(K89:K92)</f>
        <v>209</v>
      </c>
      <c r="L93" s="852">
        <f t="shared" ref="L93:AG93" si="79">SUM(L89:L92)</f>
        <v>209</v>
      </c>
      <c r="M93" s="850">
        <f t="shared" si="79"/>
        <v>0</v>
      </c>
      <c r="N93" s="1430">
        <f t="shared" si="79"/>
        <v>94</v>
      </c>
      <c r="O93" s="852">
        <f t="shared" si="79"/>
        <v>94</v>
      </c>
      <c r="P93" s="850">
        <f t="shared" si="79"/>
        <v>0</v>
      </c>
      <c r="Q93" s="1430">
        <f t="shared" si="79"/>
        <v>169</v>
      </c>
      <c r="R93" s="852">
        <f t="shared" si="79"/>
        <v>169</v>
      </c>
      <c r="S93" s="850">
        <f t="shared" si="79"/>
        <v>0</v>
      </c>
      <c r="T93" s="1430">
        <f t="shared" si="79"/>
        <v>246</v>
      </c>
      <c r="U93" s="852">
        <f t="shared" si="79"/>
        <v>246</v>
      </c>
      <c r="V93" s="850">
        <f t="shared" si="79"/>
        <v>0</v>
      </c>
      <c r="W93" s="1430">
        <f t="shared" si="79"/>
        <v>241</v>
      </c>
      <c r="X93" s="852">
        <f t="shared" si="79"/>
        <v>241</v>
      </c>
      <c r="Y93" s="850">
        <f t="shared" si="79"/>
        <v>0</v>
      </c>
      <c r="Z93" s="1430">
        <f t="shared" si="79"/>
        <v>444</v>
      </c>
      <c r="AA93" s="852">
        <f t="shared" si="79"/>
        <v>444</v>
      </c>
      <c r="AB93" s="850">
        <f t="shared" si="79"/>
        <v>0</v>
      </c>
      <c r="AC93" s="1430">
        <f t="shared" si="79"/>
        <v>380</v>
      </c>
      <c r="AD93" s="852">
        <f t="shared" si="79"/>
        <v>380</v>
      </c>
      <c r="AE93" s="850">
        <f t="shared" si="79"/>
        <v>0</v>
      </c>
      <c r="AF93" s="1430">
        <f t="shared" si="79"/>
        <v>363</v>
      </c>
      <c r="AG93" s="852">
        <f t="shared" si="79"/>
        <v>363</v>
      </c>
      <c r="AH93" s="850">
        <f t="shared" ref="AH93:AM93" si="80">SUM(AH89:AH92)</f>
        <v>0</v>
      </c>
      <c r="AI93" s="1430">
        <f t="shared" si="80"/>
        <v>770</v>
      </c>
      <c r="AJ93" s="852">
        <f t="shared" si="80"/>
        <v>770</v>
      </c>
      <c r="AK93" s="1954">
        <f t="shared" si="80"/>
        <v>0</v>
      </c>
      <c r="AL93" s="2166">
        <v>849</v>
      </c>
      <c r="AM93" s="852">
        <f t="shared" si="80"/>
        <v>849</v>
      </c>
      <c r="AN93" s="1954">
        <f t="shared" ref="AN93:AV93" si="81">SUM(AN89:AN92)</f>
        <v>0</v>
      </c>
      <c r="AO93" s="2166">
        <f t="shared" si="81"/>
        <v>955</v>
      </c>
      <c r="AP93" s="852">
        <f t="shared" si="81"/>
        <v>955</v>
      </c>
      <c r="AQ93" s="1954">
        <f t="shared" si="81"/>
        <v>0</v>
      </c>
      <c r="AR93" s="2166">
        <f t="shared" si="81"/>
        <v>1005</v>
      </c>
      <c r="AS93" s="852">
        <f t="shared" si="81"/>
        <v>1005</v>
      </c>
      <c r="AT93" s="1954">
        <f t="shared" si="81"/>
        <v>0</v>
      </c>
      <c r="AU93" s="2166">
        <f t="shared" si="81"/>
        <v>993</v>
      </c>
      <c r="AV93" s="852">
        <f t="shared" si="81"/>
        <v>993</v>
      </c>
    </row>
    <row r="94" spans="1:48" s="186" customFormat="1" ht="15" customHeight="1" x14ac:dyDescent="0.25">
      <c r="A94" s="5660"/>
      <c r="B94" s="4493"/>
      <c r="C94" s="2261" t="s">
        <v>444</v>
      </c>
      <c r="D94" s="2262"/>
      <c r="E94" s="2263"/>
      <c r="F94" s="2264"/>
      <c r="G94" s="2262"/>
      <c r="H94" s="2263"/>
      <c r="I94" s="2264"/>
      <c r="J94" s="2262"/>
      <c r="K94" s="2263">
        <f>SUM(K93,K88,K84)</f>
        <v>826</v>
      </c>
      <c r="L94" s="2264">
        <f t="shared" ref="L94:AG94" si="82">SUM(L93,L88,L84)</f>
        <v>826</v>
      </c>
      <c r="M94" s="2262">
        <f t="shared" si="82"/>
        <v>0</v>
      </c>
      <c r="N94" s="2263">
        <f t="shared" si="82"/>
        <v>286</v>
      </c>
      <c r="O94" s="2264">
        <f t="shared" si="82"/>
        <v>286</v>
      </c>
      <c r="P94" s="2262">
        <f t="shared" si="82"/>
        <v>0</v>
      </c>
      <c r="Q94" s="2263">
        <f t="shared" si="82"/>
        <v>927</v>
      </c>
      <c r="R94" s="2264">
        <f t="shared" si="82"/>
        <v>927</v>
      </c>
      <c r="S94" s="2262">
        <f t="shared" si="82"/>
        <v>0</v>
      </c>
      <c r="T94" s="2263">
        <f t="shared" si="82"/>
        <v>1153</v>
      </c>
      <c r="U94" s="2264">
        <f t="shared" si="82"/>
        <v>1153</v>
      </c>
      <c r="V94" s="2262">
        <f t="shared" si="82"/>
        <v>0</v>
      </c>
      <c r="W94" s="2263">
        <f t="shared" si="82"/>
        <v>1362</v>
      </c>
      <c r="X94" s="2264">
        <f t="shared" si="82"/>
        <v>1362</v>
      </c>
      <c r="Y94" s="2262">
        <f t="shared" si="82"/>
        <v>0</v>
      </c>
      <c r="Z94" s="2263">
        <f t="shared" si="82"/>
        <v>1844</v>
      </c>
      <c r="AA94" s="2264">
        <f t="shared" si="82"/>
        <v>1844</v>
      </c>
      <c r="AB94" s="2262">
        <f t="shared" si="82"/>
        <v>0</v>
      </c>
      <c r="AC94" s="2263">
        <f t="shared" si="82"/>
        <v>1712</v>
      </c>
      <c r="AD94" s="2264">
        <f t="shared" si="82"/>
        <v>1712</v>
      </c>
      <c r="AE94" s="2262">
        <f t="shared" si="82"/>
        <v>0</v>
      </c>
      <c r="AF94" s="2263">
        <f t="shared" si="82"/>
        <v>1698</v>
      </c>
      <c r="AG94" s="2264">
        <f t="shared" si="82"/>
        <v>1698</v>
      </c>
      <c r="AH94" s="2262">
        <f t="shared" ref="AH94:AM94" si="83">SUM(AH93,AH88,AH84)</f>
        <v>0</v>
      </c>
      <c r="AI94" s="2263">
        <f t="shared" si="83"/>
        <v>3373</v>
      </c>
      <c r="AJ94" s="2264">
        <f t="shared" si="83"/>
        <v>3373</v>
      </c>
      <c r="AK94" s="2262">
        <f t="shared" si="83"/>
        <v>363</v>
      </c>
      <c r="AL94" s="2263">
        <f>SUM(AL84,AL88,AL93)</f>
        <v>3557</v>
      </c>
      <c r="AM94" s="2264">
        <f t="shared" si="83"/>
        <v>3920</v>
      </c>
      <c r="AN94" s="2262">
        <f>SUM(AN93,AN88,AN84)</f>
        <v>458</v>
      </c>
      <c r="AO94" s="2263">
        <f>SUM(AO84,AO88,AO93)</f>
        <v>4011</v>
      </c>
      <c r="AP94" s="2264">
        <f>SUM(AP93,AP88,AP84)</f>
        <v>4469</v>
      </c>
      <c r="AQ94" s="2262">
        <f>SUM(AQ93,AQ88,AQ84)</f>
        <v>470</v>
      </c>
      <c r="AR94" s="2263">
        <f>SUM(AR84,AR88,AR93)</f>
        <v>4443</v>
      </c>
      <c r="AS94" s="2264">
        <f>SUM(AS93,AS88,AS84)</f>
        <v>4913</v>
      </c>
      <c r="AT94" s="2262">
        <f>SUM(AT93,AT88,AT84)</f>
        <v>385</v>
      </c>
      <c r="AU94" s="2263">
        <f>SUM(AU84,AU88,AU93)</f>
        <v>4493</v>
      </c>
      <c r="AV94" s="2264">
        <f>SUM(AV93,AV88,AV84)</f>
        <v>4878</v>
      </c>
    </row>
    <row r="95" spans="1:48" s="186" customFormat="1" ht="15" customHeight="1" x14ac:dyDescent="0.25">
      <c r="A95" s="5661" t="s">
        <v>408</v>
      </c>
      <c r="B95" s="5644" t="s">
        <v>5</v>
      </c>
      <c r="C95" s="4481" t="s">
        <v>503</v>
      </c>
      <c r="D95" s="809"/>
      <c r="E95" s="1428"/>
      <c r="F95" s="811"/>
      <c r="G95" s="1429"/>
      <c r="H95" s="1428"/>
      <c r="I95" s="811"/>
      <c r="J95" s="809"/>
      <c r="K95" s="810"/>
      <c r="L95" s="811"/>
      <c r="M95" s="809"/>
      <c r="N95" s="810"/>
      <c r="O95" s="811"/>
      <c r="P95" s="809"/>
      <c r="Q95" s="810"/>
      <c r="R95" s="811"/>
      <c r="S95" s="809"/>
      <c r="T95" s="810"/>
      <c r="U95" s="811"/>
      <c r="V95" s="809"/>
      <c r="W95" s="810"/>
      <c r="X95" s="811"/>
      <c r="Y95" s="809"/>
      <c r="Z95" s="810"/>
      <c r="AA95" s="811"/>
      <c r="AB95" s="812">
        <v>21</v>
      </c>
      <c r="AC95" s="810">
        <v>46</v>
      </c>
      <c r="AD95" s="811">
        <f>SUM(AB95:AC95)</f>
        <v>67</v>
      </c>
      <c r="AE95" s="812"/>
      <c r="AF95" s="810">
        <v>33</v>
      </c>
      <c r="AG95" s="811">
        <f t="shared" si="75"/>
        <v>33</v>
      </c>
      <c r="AH95" s="812">
        <v>20</v>
      </c>
      <c r="AI95" s="810">
        <v>40</v>
      </c>
      <c r="AJ95" s="802">
        <f>SUM(AH95:AI95)</f>
        <v>60</v>
      </c>
      <c r="AK95" s="812">
        <v>21</v>
      </c>
      <c r="AL95" s="810">
        <v>45</v>
      </c>
      <c r="AM95" s="802">
        <f>SUM(AK95:AL95)</f>
        <v>66</v>
      </c>
      <c r="AN95" s="812">
        <v>23</v>
      </c>
      <c r="AO95" s="810">
        <v>56</v>
      </c>
      <c r="AP95" s="802">
        <f>SUM(AN95:AO95)</f>
        <v>79</v>
      </c>
      <c r="AQ95" s="812">
        <v>19</v>
      </c>
      <c r="AR95" s="810">
        <v>63</v>
      </c>
      <c r="AS95" s="802">
        <f>SUM(AQ95:AR95)</f>
        <v>82</v>
      </c>
      <c r="AT95" s="812">
        <v>30</v>
      </c>
      <c r="AU95" s="810">
        <v>46</v>
      </c>
      <c r="AV95" s="802">
        <f>SUM(AT95:AU95)</f>
        <v>76</v>
      </c>
    </row>
    <row r="96" spans="1:48" s="186" customFormat="1" ht="15" customHeight="1" x14ac:dyDescent="0.25">
      <c r="A96" s="5662"/>
      <c r="B96" s="5645"/>
      <c r="C96" s="808" t="s">
        <v>1579</v>
      </c>
      <c r="D96" s="5119"/>
      <c r="E96" s="5120"/>
      <c r="F96" s="500"/>
      <c r="G96" s="5121"/>
      <c r="H96" s="5120"/>
      <c r="I96" s="500"/>
      <c r="J96" s="5119"/>
      <c r="K96" s="512"/>
      <c r="L96" s="500"/>
      <c r="M96" s="5119"/>
      <c r="N96" s="512"/>
      <c r="O96" s="500"/>
      <c r="P96" s="5119"/>
      <c r="Q96" s="512"/>
      <c r="R96" s="500"/>
      <c r="S96" s="5119"/>
      <c r="T96" s="512"/>
      <c r="U96" s="500"/>
      <c r="V96" s="5119"/>
      <c r="W96" s="512"/>
      <c r="X96" s="500"/>
      <c r="Y96" s="5119"/>
      <c r="Z96" s="512"/>
      <c r="AA96" s="500"/>
      <c r="AB96" s="1676"/>
      <c r="AC96" s="512"/>
      <c r="AD96" s="500"/>
      <c r="AE96" s="1676"/>
      <c r="AF96" s="512"/>
      <c r="AG96" s="500"/>
      <c r="AH96" s="1676"/>
      <c r="AI96" s="512"/>
      <c r="AJ96" s="500"/>
      <c r="AK96" s="812"/>
      <c r="AL96" s="810"/>
      <c r="AM96" s="500"/>
      <c r="AN96" s="812"/>
      <c r="AO96" s="810"/>
      <c r="AP96" s="500"/>
      <c r="AQ96" s="812"/>
      <c r="AR96" s="810"/>
      <c r="AS96" s="500"/>
      <c r="AT96" s="812">
        <v>81</v>
      </c>
      <c r="AU96" s="810">
        <v>183</v>
      </c>
      <c r="AV96" s="802">
        <f>SUM(AT96:AU96)</f>
        <v>264</v>
      </c>
    </row>
    <row r="97" spans="1:48" s="186" customFormat="1" ht="15" customHeight="1" x14ac:dyDescent="0.25">
      <c r="A97" s="5662"/>
      <c r="B97" s="5646"/>
      <c r="C97" s="4475" t="s">
        <v>160</v>
      </c>
      <c r="D97" s="4476"/>
      <c r="E97" s="4477"/>
      <c r="F97" s="4478"/>
      <c r="G97" s="4476"/>
      <c r="H97" s="4477"/>
      <c r="I97" s="4478"/>
      <c r="J97" s="4476"/>
      <c r="K97" s="4477"/>
      <c r="L97" s="4478"/>
      <c r="M97" s="4476"/>
      <c r="N97" s="4477"/>
      <c r="O97" s="4478"/>
      <c r="P97" s="4476"/>
      <c r="Q97" s="4477"/>
      <c r="R97" s="4478"/>
      <c r="S97" s="4476"/>
      <c r="T97" s="4477"/>
      <c r="U97" s="4478"/>
      <c r="V97" s="4476"/>
      <c r="W97" s="4477"/>
      <c r="X97" s="4478"/>
      <c r="Y97" s="4476"/>
      <c r="Z97" s="4477"/>
      <c r="AA97" s="4478"/>
      <c r="AB97" s="4476">
        <f>SUM(AB95)</f>
        <v>21</v>
      </c>
      <c r="AC97" s="4477">
        <f t="shared" ref="AC97:AS97" si="84">SUM(AC95)</f>
        <v>46</v>
      </c>
      <c r="AD97" s="4478">
        <f t="shared" si="84"/>
        <v>67</v>
      </c>
      <c r="AE97" s="4476">
        <f t="shared" si="84"/>
        <v>0</v>
      </c>
      <c r="AF97" s="4477">
        <f t="shared" si="84"/>
        <v>33</v>
      </c>
      <c r="AG97" s="4478">
        <f t="shared" si="84"/>
        <v>33</v>
      </c>
      <c r="AH97" s="4476">
        <f t="shared" si="84"/>
        <v>20</v>
      </c>
      <c r="AI97" s="4477">
        <f t="shared" si="84"/>
        <v>40</v>
      </c>
      <c r="AJ97" s="4478">
        <f t="shared" si="84"/>
        <v>60</v>
      </c>
      <c r="AK97" s="4479">
        <f t="shared" si="84"/>
        <v>21</v>
      </c>
      <c r="AL97" s="4480">
        <f t="shared" si="84"/>
        <v>45</v>
      </c>
      <c r="AM97" s="4478">
        <f t="shared" si="84"/>
        <v>66</v>
      </c>
      <c r="AN97" s="4479">
        <f t="shared" si="84"/>
        <v>23</v>
      </c>
      <c r="AO97" s="4480">
        <f t="shared" si="84"/>
        <v>56</v>
      </c>
      <c r="AP97" s="4478">
        <f t="shared" si="84"/>
        <v>79</v>
      </c>
      <c r="AQ97" s="4479">
        <f t="shared" si="84"/>
        <v>19</v>
      </c>
      <c r="AR97" s="4480">
        <f>SUM(AR95)</f>
        <v>63</v>
      </c>
      <c r="AS97" s="4478">
        <f t="shared" si="84"/>
        <v>82</v>
      </c>
      <c r="AT97" s="4479">
        <f>SUM(AT95:AT96)</f>
        <v>111</v>
      </c>
      <c r="AU97" s="4480">
        <f>SUM(AU95:AU96)</f>
        <v>229</v>
      </c>
      <c r="AV97" s="4478">
        <f>SUM(AV95:AV96)</f>
        <v>340</v>
      </c>
    </row>
    <row r="98" spans="1:48" s="186" customFormat="1" ht="15" customHeight="1" x14ac:dyDescent="0.2">
      <c r="A98" s="5662"/>
      <c r="B98" s="5680" t="s">
        <v>6</v>
      </c>
      <c r="C98" s="4481" t="s">
        <v>504</v>
      </c>
      <c r="D98" s="4490"/>
      <c r="E98" s="4491"/>
      <c r="F98" s="4484"/>
      <c r="G98" s="4490"/>
      <c r="H98" s="4491"/>
      <c r="I98" s="4484"/>
      <c r="J98" s="4490"/>
      <c r="K98" s="4491"/>
      <c r="L98" s="4484"/>
      <c r="M98" s="4490"/>
      <c r="N98" s="4491"/>
      <c r="O98" s="4484"/>
      <c r="P98" s="4490"/>
      <c r="Q98" s="4491"/>
      <c r="R98" s="4484"/>
      <c r="S98" s="4490"/>
      <c r="T98" s="4491"/>
      <c r="U98" s="4484"/>
      <c r="V98" s="4490"/>
      <c r="W98" s="4491"/>
      <c r="X98" s="4484"/>
      <c r="Y98" s="4490"/>
      <c r="Z98" s="4491"/>
      <c r="AA98" s="4484"/>
      <c r="AB98" s="4491">
        <v>49</v>
      </c>
      <c r="AC98" s="4491">
        <v>119</v>
      </c>
      <c r="AD98" s="4484">
        <f>SUM(AB98:AC98)</f>
        <v>168</v>
      </c>
      <c r="AE98" s="4492"/>
      <c r="AF98" s="4491">
        <v>67</v>
      </c>
      <c r="AG98" s="4484">
        <f t="shared" si="75"/>
        <v>67</v>
      </c>
      <c r="AH98" s="4492">
        <v>30</v>
      </c>
      <c r="AI98" s="4491">
        <v>79</v>
      </c>
      <c r="AJ98" s="4484">
        <f>SUM(AH98:AI98)</f>
        <v>109</v>
      </c>
      <c r="AK98" s="4492"/>
      <c r="AL98" s="4491">
        <v>93</v>
      </c>
      <c r="AM98" s="4484">
        <f>SUM(AK98:AL98)</f>
        <v>93</v>
      </c>
      <c r="AN98" s="4492"/>
      <c r="AO98" s="4491">
        <v>141</v>
      </c>
      <c r="AP98" s="4484">
        <f>SUM(AN98:AO98)</f>
        <v>141</v>
      </c>
      <c r="AQ98" s="4490">
        <v>48</v>
      </c>
      <c r="AR98" s="4491">
        <v>129</v>
      </c>
      <c r="AS98" s="4484">
        <f>SUM(AQ98:AR98)</f>
        <v>177</v>
      </c>
      <c r="AT98" s="4490">
        <v>39</v>
      </c>
      <c r="AU98" s="4491">
        <v>120</v>
      </c>
      <c r="AV98" s="4484">
        <f>SUM(AT98:AU98)</f>
        <v>159</v>
      </c>
    </row>
    <row r="99" spans="1:48" s="186" customFormat="1" ht="15" customHeight="1" x14ac:dyDescent="0.25">
      <c r="A99" s="5662"/>
      <c r="B99" s="5645"/>
      <c r="C99" s="808" t="s">
        <v>612</v>
      </c>
      <c r="D99" s="809"/>
      <c r="E99" s="1428"/>
      <c r="F99" s="811"/>
      <c r="G99" s="1429"/>
      <c r="H99" s="1428"/>
      <c r="I99" s="811"/>
      <c r="J99" s="809"/>
      <c r="K99" s="810"/>
      <c r="L99" s="811"/>
      <c r="M99" s="809"/>
      <c r="N99" s="810"/>
      <c r="O99" s="811"/>
      <c r="P99" s="809"/>
      <c r="Q99" s="810"/>
      <c r="R99" s="811"/>
      <c r="S99" s="809"/>
      <c r="T99" s="810"/>
      <c r="U99" s="811"/>
      <c r="V99" s="809"/>
      <c r="W99" s="810"/>
      <c r="X99" s="811"/>
      <c r="Y99" s="809"/>
      <c r="Z99" s="810" t="s">
        <v>227</v>
      </c>
      <c r="AA99" s="811"/>
      <c r="AB99" s="812"/>
      <c r="AC99" s="810"/>
      <c r="AD99" s="811"/>
      <c r="AE99" s="812"/>
      <c r="AF99" s="810"/>
      <c r="AG99" s="811"/>
      <c r="AH99" s="812"/>
      <c r="AI99" s="810">
        <v>85</v>
      </c>
      <c r="AJ99" s="802">
        <f>SUM(AH99:AI99)</f>
        <v>85</v>
      </c>
      <c r="AK99" s="812"/>
      <c r="AL99" s="810">
        <v>192</v>
      </c>
      <c r="AM99" s="802">
        <f>SUM(AK99:AL99)</f>
        <v>192</v>
      </c>
      <c r="AN99" s="812"/>
      <c r="AO99" s="810">
        <v>254</v>
      </c>
      <c r="AP99" s="802">
        <f>SUM(AN99:AO99)</f>
        <v>254</v>
      </c>
      <c r="AQ99" s="812"/>
      <c r="AR99" s="810">
        <v>286</v>
      </c>
      <c r="AS99" s="802">
        <f>SUM(AQ99:AR99)</f>
        <v>286</v>
      </c>
      <c r="AT99" s="812"/>
      <c r="AU99" s="810">
        <v>227</v>
      </c>
      <c r="AV99" s="802">
        <f>SUM(AT99:AU99)</f>
        <v>227</v>
      </c>
    </row>
    <row r="100" spans="1:48" s="186" customFormat="1" ht="15" customHeight="1" x14ac:dyDescent="0.25">
      <c r="A100" s="5662"/>
      <c r="B100" s="5646"/>
      <c r="C100" s="4475" t="s">
        <v>160</v>
      </c>
      <c r="D100" s="4476"/>
      <c r="E100" s="4477"/>
      <c r="F100" s="4478"/>
      <c r="G100" s="4476"/>
      <c r="H100" s="4477"/>
      <c r="I100" s="4478"/>
      <c r="J100" s="4476"/>
      <c r="K100" s="4477"/>
      <c r="L100" s="4478"/>
      <c r="M100" s="4476"/>
      <c r="N100" s="4477"/>
      <c r="O100" s="4478"/>
      <c r="P100" s="4476"/>
      <c r="Q100" s="4477"/>
      <c r="R100" s="4478"/>
      <c r="S100" s="4476"/>
      <c r="T100" s="4477"/>
      <c r="U100" s="4478"/>
      <c r="V100" s="4476"/>
      <c r="W100" s="4477"/>
      <c r="X100" s="4478"/>
      <c r="Y100" s="4476"/>
      <c r="Z100" s="4477"/>
      <c r="AA100" s="4478"/>
      <c r="AB100" s="4476">
        <f>SUM(AB98:AB99)</f>
        <v>49</v>
      </c>
      <c r="AC100" s="4477">
        <f t="shared" ref="AC100:AS100" si="85">SUM(AC98:AC99)</f>
        <v>119</v>
      </c>
      <c r="AD100" s="4478">
        <f t="shared" si="85"/>
        <v>168</v>
      </c>
      <c r="AE100" s="4476">
        <f t="shared" si="85"/>
        <v>0</v>
      </c>
      <c r="AF100" s="4477">
        <f t="shared" si="85"/>
        <v>67</v>
      </c>
      <c r="AG100" s="4478">
        <f t="shared" si="85"/>
        <v>67</v>
      </c>
      <c r="AH100" s="4476">
        <f t="shared" si="85"/>
        <v>30</v>
      </c>
      <c r="AI100" s="4477">
        <f t="shared" si="85"/>
        <v>164</v>
      </c>
      <c r="AJ100" s="4478">
        <f t="shared" si="85"/>
        <v>194</v>
      </c>
      <c r="AK100" s="4479">
        <f t="shared" si="85"/>
        <v>0</v>
      </c>
      <c r="AL100" s="4480">
        <f t="shared" si="85"/>
        <v>285</v>
      </c>
      <c r="AM100" s="4478">
        <f t="shared" si="85"/>
        <v>285</v>
      </c>
      <c r="AN100" s="4479">
        <f t="shared" si="85"/>
        <v>0</v>
      </c>
      <c r="AO100" s="4480">
        <f t="shared" si="85"/>
        <v>395</v>
      </c>
      <c r="AP100" s="4478">
        <f t="shared" si="85"/>
        <v>395</v>
      </c>
      <c r="AQ100" s="4479">
        <f t="shared" si="85"/>
        <v>48</v>
      </c>
      <c r="AR100" s="4480">
        <f>SUM(AR98:AR99)</f>
        <v>415</v>
      </c>
      <c r="AS100" s="4478">
        <f t="shared" si="85"/>
        <v>463</v>
      </c>
      <c r="AT100" s="4479">
        <v>39</v>
      </c>
      <c r="AU100" s="4480">
        <f>SUM(AU98:AU99)</f>
        <v>347</v>
      </c>
      <c r="AV100" s="4478">
        <f>SUM(AV98:AV99)</f>
        <v>386</v>
      </c>
    </row>
    <row r="101" spans="1:48" s="186" customFormat="1" ht="14.25" customHeight="1" x14ac:dyDescent="0.2">
      <c r="A101" s="5663"/>
      <c r="B101" s="5644" t="s">
        <v>11</v>
      </c>
      <c r="C101" s="4481" t="s">
        <v>505</v>
      </c>
      <c r="D101" s="4490"/>
      <c r="E101" s="4491"/>
      <c r="F101" s="4484"/>
      <c r="G101" s="4490"/>
      <c r="H101" s="4491"/>
      <c r="I101" s="4484"/>
      <c r="J101" s="4490"/>
      <c r="K101" s="4491"/>
      <c r="L101" s="4484"/>
      <c r="M101" s="4490"/>
      <c r="N101" s="4491"/>
      <c r="O101" s="4484"/>
      <c r="P101" s="4490"/>
      <c r="Q101" s="4491"/>
      <c r="R101" s="4484"/>
      <c r="S101" s="4490"/>
      <c r="T101" s="4491"/>
      <c r="U101" s="4484"/>
      <c r="V101" s="4490"/>
      <c r="W101" s="4491"/>
      <c r="X101" s="4484"/>
      <c r="Y101" s="4490"/>
      <c r="Z101" s="4491"/>
      <c r="AA101" s="4484"/>
      <c r="AB101" s="4491">
        <v>34</v>
      </c>
      <c r="AC101" s="4491">
        <v>133</v>
      </c>
      <c r="AD101" s="4484">
        <f>SUM(AB101:AC101)</f>
        <v>167</v>
      </c>
      <c r="AE101" s="4492"/>
      <c r="AF101" s="4491">
        <v>63</v>
      </c>
      <c r="AG101" s="4484">
        <f t="shared" si="75"/>
        <v>63</v>
      </c>
      <c r="AH101" s="4492">
        <v>32</v>
      </c>
      <c r="AI101" s="4491">
        <v>115</v>
      </c>
      <c r="AJ101" s="4484">
        <f>SUM(AH101:AI101)</f>
        <v>147</v>
      </c>
      <c r="AK101" s="4492">
        <v>43</v>
      </c>
      <c r="AL101" s="4491">
        <v>39</v>
      </c>
      <c r="AM101" s="4484">
        <f>SUM(AK101:AL101)</f>
        <v>82</v>
      </c>
      <c r="AN101" s="4492">
        <v>38</v>
      </c>
      <c r="AO101" s="4491">
        <v>133</v>
      </c>
      <c r="AP101" s="4484">
        <f>SUM(AN101:AO101)</f>
        <v>171</v>
      </c>
      <c r="AQ101" s="4490">
        <v>51</v>
      </c>
      <c r="AR101" s="4491">
        <v>171</v>
      </c>
      <c r="AS101" s="4484">
        <f>SUM(AQ101:AR101)</f>
        <v>222</v>
      </c>
      <c r="AT101" s="4490">
        <v>45</v>
      </c>
      <c r="AU101" s="4491">
        <v>138</v>
      </c>
      <c r="AV101" s="4484">
        <f>SUM(AT101:AU101)</f>
        <v>183</v>
      </c>
    </row>
    <row r="102" spans="1:48" s="186" customFormat="1" ht="14.25" customHeight="1" x14ac:dyDescent="0.25">
      <c r="A102" s="5663"/>
      <c r="B102" s="5645"/>
      <c r="C102" s="808" t="s">
        <v>1582</v>
      </c>
      <c r="D102" s="809"/>
      <c r="E102" s="1428"/>
      <c r="F102" s="811"/>
      <c r="G102" s="1429"/>
      <c r="H102" s="1428"/>
      <c r="I102" s="811"/>
      <c r="J102" s="809"/>
      <c r="K102" s="810"/>
      <c r="L102" s="811"/>
      <c r="M102" s="809"/>
      <c r="N102" s="810"/>
      <c r="O102" s="811"/>
      <c r="P102" s="809"/>
      <c r="Q102" s="810"/>
      <c r="R102" s="811"/>
      <c r="S102" s="809"/>
      <c r="T102" s="810"/>
      <c r="U102" s="811"/>
      <c r="V102" s="809"/>
      <c r="W102" s="810"/>
      <c r="X102" s="811"/>
      <c r="Y102" s="809"/>
      <c r="Z102" s="810"/>
      <c r="AA102" s="811"/>
      <c r="AB102" s="812"/>
      <c r="AC102" s="810"/>
      <c r="AD102" s="811"/>
      <c r="AE102" s="812"/>
      <c r="AF102" s="810"/>
      <c r="AG102" s="811"/>
      <c r="AH102" s="812"/>
      <c r="AI102" s="810"/>
      <c r="AJ102" s="802"/>
      <c r="AK102" s="812"/>
      <c r="AL102" s="810"/>
      <c r="AM102" s="802"/>
      <c r="AN102" s="812"/>
      <c r="AO102" s="810"/>
      <c r="AP102" s="802"/>
      <c r="AQ102" s="812"/>
      <c r="AR102" s="810"/>
      <c r="AS102" s="802"/>
      <c r="AT102" s="812"/>
      <c r="AU102" s="810">
        <v>259</v>
      </c>
      <c r="AV102" s="4484">
        <f>SUM(AT102:AU102)</f>
        <v>259</v>
      </c>
    </row>
    <row r="103" spans="1:48" s="186" customFormat="1" ht="14.25" customHeight="1" x14ac:dyDescent="0.25">
      <c r="A103" s="5663"/>
      <c r="B103" s="5646"/>
      <c r="C103" s="4475" t="s">
        <v>160</v>
      </c>
      <c r="D103" s="4476"/>
      <c r="E103" s="4477"/>
      <c r="F103" s="4478"/>
      <c r="G103" s="4476"/>
      <c r="H103" s="4477"/>
      <c r="I103" s="4478"/>
      <c r="J103" s="4476"/>
      <c r="K103" s="4477"/>
      <c r="L103" s="4478"/>
      <c r="M103" s="4476"/>
      <c r="N103" s="4477"/>
      <c r="O103" s="4478"/>
      <c r="P103" s="4476"/>
      <c r="Q103" s="4477"/>
      <c r="R103" s="4478"/>
      <c r="S103" s="4476"/>
      <c r="T103" s="4477"/>
      <c r="U103" s="4478"/>
      <c r="V103" s="4476"/>
      <c r="W103" s="4477"/>
      <c r="X103" s="4478"/>
      <c r="Y103" s="4476"/>
      <c r="Z103" s="4477"/>
      <c r="AA103" s="4478"/>
      <c r="AB103" s="4476">
        <f>SUM(AB101)</f>
        <v>34</v>
      </c>
      <c r="AC103" s="4477">
        <f t="shared" ref="AC103:AS103" si="86">SUM(AC101)</f>
        <v>133</v>
      </c>
      <c r="AD103" s="4478">
        <f t="shared" si="86"/>
        <v>167</v>
      </c>
      <c r="AE103" s="4476">
        <f t="shared" si="86"/>
        <v>0</v>
      </c>
      <c r="AF103" s="4477">
        <f t="shared" si="86"/>
        <v>63</v>
      </c>
      <c r="AG103" s="4478">
        <f t="shared" si="86"/>
        <v>63</v>
      </c>
      <c r="AH103" s="4476">
        <f t="shared" si="86"/>
        <v>32</v>
      </c>
      <c r="AI103" s="4477">
        <f t="shared" si="86"/>
        <v>115</v>
      </c>
      <c r="AJ103" s="4478">
        <f t="shared" si="86"/>
        <v>147</v>
      </c>
      <c r="AK103" s="4479">
        <f t="shared" si="86"/>
        <v>43</v>
      </c>
      <c r="AL103" s="4480">
        <f t="shared" si="86"/>
        <v>39</v>
      </c>
      <c r="AM103" s="4478">
        <f t="shared" si="86"/>
        <v>82</v>
      </c>
      <c r="AN103" s="4479">
        <f t="shared" si="86"/>
        <v>38</v>
      </c>
      <c r="AO103" s="4480">
        <f t="shared" si="86"/>
        <v>133</v>
      </c>
      <c r="AP103" s="4478">
        <f t="shared" si="86"/>
        <v>171</v>
      </c>
      <c r="AQ103" s="4479">
        <f t="shared" si="86"/>
        <v>51</v>
      </c>
      <c r="AR103" s="4480">
        <f t="shared" si="86"/>
        <v>171</v>
      </c>
      <c r="AS103" s="4478">
        <f t="shared" si="86"/>
        <v>222</v>
      </c>
      <c r="AT103" s="4479">
        <f>SUM(AT101:AT102)</f>
        <v>45</v>
      </c>
      <c r="AU103" s="4480">
        <f>SUM(AU101:AU102)</f>
        <v>397</v>
      </c>
      <c r="AV103" s="4478">
        <f>SUM(AV101:AV102)</f>
        <v>442</v>
      </c>
    </row>
    <row r="104" spans="1:48" s="186" customFormat="1" ht="15" customHeight="1" x14ac:dyDescent="0.25">
      <c r="A104" s="5664"/>
      <c r="B104" s="3542"/>
      <c r="C104" s="2269" t="s">
        <v>444</v>
      </c>
      <c r="D104" s="2270"/>
      <c r="E104" s="2271"/>
      <c r="F104" s="2271"/>
      <c r="G104" s="2270"/>
      <c r="H104" s="2271"/>
      <c r="I104" s="2272"/>
      <c r="J104" s="2271"/>
      <c r="K104" s="2271"/>
      <c r="L104" s="2271"/>
      <c r="M104" s="2270"/>
      <c r="N104" s="2271"/>
      <c r="O104" s="2272"/>
      <c r="P104" s="2271"/>
      <c r="Q104" s="2271"/>
      <c r="R104" s="2271"/>
      <c r="S104" s="2270"/>
      <c r="T104" s="2271"/>
      <c r="U104" s="2272"/>
      <c r="V104" s="2270"/>
      <c r="W104" s="2271"/>
      <c r="X104" s="2272"/>
      <c r="Y104" s="2271"/>
      <c r="Z104" s="2271"/>
      <c r="AA104" s="2272"/>
      <c r="AB104" s="2270">
        <f>SUM(AB103,AB100,AB97)</f>
        <v>104</v>
      </c>
      <c r="AC104" s="2271">
        <f t="shared" ref="AC104:AS104" si="87">SUM(AC103,AC100,AC97)</f>
        <v>298</v>
      </c>
      <c r="AD104" s="2272">
        <f t="shared" si="87"/>
        <v>402</v>
      </c>
      <c r="AE104" s="2270">
        <f t="shared" si="87"/>
        <v>0</v>
      </c>
      <c r="AF104" s="2271">
        <f t="shared" si="87"/>
        <v>163</v>
      </c>
      <c r="AG104" s="2272">
        <f t="shared" si="87"/>
        <v>163</v>
      </c>
      <c r="AH104" s="2270">
        <f t="shared" si="87"/>
        <v>82</v>
      </c>
      <c r="AI104" s="2271">
        <f t="shared" si="87"/>
        <v>319</v>
      </c>
      <c r="AJ104" s="2272">
        <f t="shared" si="87"/>
        <v>401</v>
      </c>
      <c r="AK104" s="2270">
        <f t="shared" si="87"/>
        <v>64</v>
      </c>
      <c r="AL104" s="2271">
        <f t="shared" si="87"/>
        <v>369</v>
      </c>
      <c r="AM104" s="2272">
        <f t="shared" si="87"/>
        <v>433</v>
      </c>
      <c r="AN104" s="2270">
        <f t="shared" si="87"/>
        <v>61</v>
      </c>
      <c r="AO104" s="2271">
        <f t="shared" si="87"/>
        <v>584</v>
      </c>
      <c r="AP104" s="2272">
        <f t="shared" si="87"/>
        <v>645</v>
      </c>
      <c r="AQ104" s="2270">
        <f t="shared" si="87"/>
        <v>118</v>
      </c>
      <c r="AR104" s="2271">
        <f t="shared" si="87"/>
        <v>649</v>
      </c>
      <c r="AS104" s="2272">
        <f t="shared" si="87"/>
        <v>767</v>
      </c>
      <c r="AT104" s="2270">
        <f>SUM(AT97,AT100,AT103)</f>
        <v>195</v>
      </c>
      <c r="AU104" s="2271">
        <f>SUM(AU103,AU100,AU97)</f>
        <v>973</v>
      </c>
      <c r="AV104" s="2272">
        <f>SUM(AV97,AV100,AV103)</f>
        <v>1168</v>
      </c>
    </row>
    <row r="105" spans="1:48" s="186" customFormat="1" ht="15" customHeight="1" x14ac:dyDescent="0.2">
      <c r="D105" s="515"/>
      <c r="E105" s="515"/>
      <c r="F105" s="515"/>
      <c r="G105" s="515"/>
      <c r="H105" s="515"/>
      <c r="I105" s="515"/>
      <c r="J105" s="515"/>
      <c r="K105" s="515"/>
      <c r="L105" s="515"/>
      <c r="M105" s="515"/>
      <c r="N105" s="515"/>
      <c r="O105" s="515"/>
      <c r="P105" s="515"/>
      <c r="Q105" s="515"/>
      <c r="R105" s="515"/>
      <c r="S105" s="515"/>
      <c r="T105" s="515"/>
      <c r="U105" s="515"/>
      <c r="V105" s="515"/>
      <c r="W105" s="515"/>
      <c r="X105" s="515"/>
      <c r="Y105" s="515"/>
      <c r="Z105" s="515"/>
      <c r="AA105" s="515"/>
      <c r="AB105" s="515"/>
      <c r="AC105" s="515"/>
      <c r="AD105" s="515"/>
      <c r="AE105" s="515"/>
      <c r="AF105" s="515"/>
      <c r="AG105" s="515"/>
      <c r="AH105" s="515"/>
      <c r="AI105" s="515"/>
      <c r="AJ105" s="515"/>
      <c r="AK105" s="515"/>
      <c r="AL105" s="515"/>
      <c r="AM105" s="515"/>
      <c r="AN105" s="515"/>
      <c r="AO105" s="515"/>
      <c r="AP105" s="515"/>
      <c r="AQ105" s="515"/>
      <c r="AR105" s="515"/>
      <c r="AS105" s="515"/>
      <c r="AT105" s="515"/>
      <c r="AU105" s="515"/>
      <c r="AV105" s="515"/>
    </row>
    <row r="106" spans="1:48" s="188" customFormat="1" ht="15" x14ac:dyDescent="0.25">
      <c r="A106" s="5655" t="s">
        <v>76</v>
      </c>
      <c r="B106" s="5656"/>
      <c r="C106" s="5657"/>
      <c r="D106" s="858">
        <f>SUM(D79,D57,D26,D94,D104)</f>
        <v>15105</v>
      </c>
      <c r="E106" s="859">
        <f t="shared" ref="E106:AJ106" si="88">SUM(E79,E57,E26,E94,E104)</f>
        <v>38175</v>
      </c>
      <c r="F106" s="860">
        <f t="shared" si="88"/>
        <v>53280</v>
      </c>
      <c r="G106" s="858">
        <f t="shared" si="88"/>
        <v>15498</v>
      </c>
      <c r="H106" s="859">
        <f t="shared" si="88"/>
        <v>39825</v>
      </c>
      <c r="I106" s="860">
        <f t="shared" si="88"/>
        <v>55323</v>
      </c>
      <c r="J106" s="858">
        <f t="shared" si="88"/>
        <v>17446</v>
      </c>
      <c r="K106" s="859">
        <f t="shared" si="88"/>
        <v>42318</v>
      </c>
      <c r="L106" s="860">
        <f t="shared" si="88"/>
        <v>59764</v>
      </c>
      <c r="M106" s="858">
        <f t="shared" si="88"/>
        <v>18124</v>
      </c>
      <c r="N106" s="859">
        <f t="shared" si="88"/>
        <v>38411</v>
      </c>
      <c r="O106" s="860">
        <f t="shared" si="88"/>
        <v>56535</v>
      </c>
      <c r="P106" s="858">
        <f t="shared" si="88"/>
        <v>17399</v>
      </c>
      <c r="Q106" s="859">
        <f t="shared" si="88"/>
        <v>42184</v>
      </c>
      <c r="R106" s="860">
        <f t="shared" si="88"/>
        <v>59583</v>
      </c>
      <c r="S106" s="858">
        <f t="shared" si="88"/>
        <v>20516</v>
      </c>
      <c r="T106" s="859">
        <f t="shared" si="88"/>
        <v>44679</v>
      </c>
      <c r="U106" s="860">
        <f t="shared" si="88"/>
        <v>65195</v>
      </c>
      <c r="V106" s="858">
        <f t="shared" si="88"/>
        <v>21417</v>
      </c>
      <c r="W106" s="859">
        <f t="shared" si="88"/>
        <v>48573</v>
      </c>
      <c r="X106" s="860">
        <f t="shared" si="88"/>
        <v>69990</v>
      </c>
      <c r="Y106" s="858">
        <f t="shared" si="88"/>
        <v>21960</v>
      </c>
      <c r="Z106" s="859">
        <f t="shared" si="88"/>
        <v>55031</v>
      </c>
      <c r="AA106" s="860">
        <f t="shared" si="88"/>
        <v>76991</v>
      </c>
      <c r="AB106" s="858">
        <f t="shared" si="88"/>
        <v>25150</v>
      </c>
      <c r="AC106" s="859">
        <f t="shared" si="88"/>
        <v>53877</v>
      </c>
      <c r="AD106" s="860">
        <f t="shared" si="88"/>
        <v>79027</v>
      </c>
      <c r="AE106" s="858">
        <f t="shared" si="88"/>
        <v>25485</v>
      </c>
      <c r="AF106" s="859">
        <f t="shared" si="88"/>
        <v>61584</v>
      </c>
      <c r="AG106" s="860">
        <f t="shared" si="88"/>
        <v>87069</v>
      </c>
      <c r="AH106" s="858">
        <f t="shared" si="88"/>
        <v>23871</v>
      </c>
      <c r="AI106" s="859">
        <f t="shared" si="88"/>
        <v>64247</v>
      </c>
      <c r="AJ106" s="860">
        <f t="shared" si="88"/>
        <v>88118</v>
      </c>
      <c r="AK106" s="858">
        <f t="shared" ref="AK106:AP106" si="89">SUM(AK79,AK57,AK26,AK94,AK104)</f>
        <v>21515</v>
      </c>
      <c r="AL106" s="859">
        <f t="shared" si="89"/>
        <v>64638</v>
      </c>
      <c r="AM106" s="860">
        <f t="shared" si="89"/>
        <v>86153</v>
      </c>
      <c r="AN106" s="858">
        <f t="shared" si="89"/>
        <v>23957</v>
      </c>
      <c r="AO106" s="859">
        <f t="shared" si="89"/>
        <v>68733</v>
      </c>
      <c r="AP106" s="860">
        <f t="shared" si="89"/>
        <v>92690</v>
      </c>
      <c r="AQ106" s="858">
        <f t="shared" ref="AQ106:AV106" si="90">SUM(AQ79,AQ57,AQ26,AQ94,AQ104)</f>
        <v>24591</v>
      </c>
      <c r="AR106" s="859">
        <f t="shared" si="90"/>
        <v>69161</v>
      </c>
      <c r="AS106" s="860">
        <f t="shared" si="90"/>
        <v>93752</v>
      </c>
      <c r="AT106" s="5132">
        <f t="shared" si="90"/>
        <v>23372</v>
      </c>
      <c r="AU106" s="5133">
        <f t="shared" si="90"/>
        <v>69635</v>
      </c>
      <c r="AV106" s="5134">
        <f t="shared" si="90"/>
        <v>93007</v>
      </c>
    </row>
    <row r="107" spans="1:48" s="186" customFormat="1" ht="14.25" x14ac:dyDescent="0.2">
      <c r="B107" s="5117" t="s">
        <v>1237</v>
      </c>
      <c r="C107" s="376"/>
      <c r="D107" s="375"/>
      <c r="E107" s="375"/>
      <c r="F107" s="375"/>
      <c r="G107" s="375"/>
      <c r="H107" s="375"/>
      <c r="I107" s="375"/>
      <c r="J107" s="375"/>
    </row>
    <row r="108" spans="1:48" s="186" customFormat="1" ht="14.25" x14ac:dyDescent="0.2">
      <c r="B108" s="5118" t="s">
        <v>648</v>
      </c>
      <c r="C108" s="561"/>
      <c r="D108" s="187"/>
      <c r="AD108" s="515"/>
    </row>
    <row r="109" spans="1:48" x14ac:dyDescent="0.2">
      <c r="B109" s="560"/>
      <c r="C109" s="560"/>
      <c r="AD109" s="185"/>
      <c r="AP109" s="185"/>
    </row>
    <row r="110" spans="1:48" x14ac:dyDescent="0.2">
      <c r="D110" s="185"/>
      <c r="E110" s="185"/>
      <c r="F110" s="185"/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AD110" s="185"/>
    </row>
  </sheetData>
  <sheetProtection algorithmName="SHA-512" hashValue="EvXHj4hPSu9eYLHDI9Q0aZaj7g81dp0U3V8JQDTuzGPClXs5+0DtvHKpZ1az2ieyDYUjNQjyv5BYRBSWFGXlng==" saltValue="wounvBoL6v2N1Ky8fVx/Bg==" spinCount="100000" sheet="1" objects="1" scenarios="1"/>
  <mergeCells count="40">
    <mergeCell ref="A1:C2"/>
    <mergeCell ref="A4:A5"/>
    <mergeCell ref="B4:B5"/>
    <mergeCell ref="AH4:AJ4"/>
    <mergeCell ref="Y4:AA4"/>
    <mergeCell ref="AB4:AD4"/>
    <mergeCell ref="G4:I4"/>
    <mergeCell ref="AE4:AG4"/>
    <mergeCell ref="A106:C106"/>
    <mergeCell ref="A80:A94"/>
    <mergeCell ref="A95:A104"/>
    <mergeCell ref="B89:B93"/>
    <mergeCell ref="A6:A26"/>
    <mergeCell ref="A27:A57"/>
    <mergeCell ref="A58:A79"/>
    <mergeCell ref="B6:B16"/>
    <mergeCell ref="B17:B21"/>
    <mergeCell ref="B22:B25"/>
    <mergeCell ref="B27:B37"/>
    <mergeCell ref="B38:B49"/>
    <mergeCell ref="B58:B64"/>
    <mergeCell ref="B50:B56"/>
    <mergeCell ref="B98:B100"/>
    <mergeCell ref="B74:B78"/>
    <mergeCell ref="AT4:AV4"/>
    <mergeCell ref="AQ4:AS4"/>
    <mergeCell ref="B95:B97"/>
    <mergeCell ref="B101:B103"/>
    <mergeCell ref="AN4:AP4"/>
    <mergeCell ref="AK4:AM4"/>
    <mergeCell ref="B80:B84"/>
    <mergeCell ref="B85:B88"/>
    <mergeCell ref="B65:B73"/>
    <mergeCell ref="S4:U4"/>
    <mergeCell ref="V4:X4"/>
    <mergeCell ref="C4:C5"/>
    <mergeCell ref="J4:L4"/>
    <mergeCell ref="M4:O4"/>
    <mergeCell ref="P4:R4"/>
    <mergeCell ref="D4:F4"/>
  </mergeCells>
  <printOptions horizontalCentered="1" verticalCentered="1"/>
  <pageMargins left="0.15748031496062992" right="0.19685039370078741" top="0.31496062992125984" bottom="0.19685039370078741" header="0" footer="0.31496062992125984"/>
  <pageSetup scale="63" pageOrder="overThenDown" orientation="landscape" horizontalDpi="1200" verticalDpi="1200" r:id="rId1"/>
  <headerFooter alignWithMargins="0">
    <oddFooter xml:space="preserve">&amp;R
</oddFooter>
  </headerFooter>
  <rowBreaks count="1" manualBreakCount="1">
    <brk id="57" max="41" man="1"/>
  </rowBreaks>
  <colBreaks count="1" manualBreakCount="1">
    <brk id="21" min="3" max="103" man="1"/>
  </colBreaks>
  <ignoredErrors>
    <ignoredError sqref="AA89:AA91 AA6:AA15 AA22:AA24 AA27:AA35 AA50:AA55 AA58:AA63 AA74:AA77 AA80:AA83" formulaRange="1"/>
    <ignoredError sqref="AA17:AA20 AA38:AA48 AA65:AA72 AA85:AA87 AT103" formula="1" formulaRange="1"/>
    <ignoredError sqref="AA16:AG16 AA21:AG21 AB17:AE20 AA37:AG37 AA49:AG49 AB38:AE48 AA64:AG64 AA73:AG73 AB65:AE72 AG17:AG20 AG38:AG48 AG65:AG72 AJ16:AJ21 AJ49:AK49 AJ73 AD84:AD88 AJ84:AJ88 AG88 AA84 AA88 AK37 AK56 AK64:AK78 AL94 AO94 AP84:AP88 AP73 AP16:AP21 AP37:AP49 AP64 AM37:AM95 AM101 AJ101 AD97:AG97 AJ97:AQ100 AM16:AM35 AS37 AR78:AS79 AS97:AS100 AS73:AS77 AR93:AS94 AS80:AS92 AS16:AS22 AT84:AV96 AT98:AV101 AT97:AV97 AT104:AV104 AU103:AV103 AT102:AU102" formula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P30"/>
  <sheetViews>
    <sheetView showGridLines="0" zoomScaleNormal="100" workbookViewId="0">
      <pane xSplit="2" ySplit="4" topLeftCell="N5" activePane="bottomRight" state="frozen"/>
      <selection sqref="A1:E1"/>
      <selection pane="topRight" sqref="A1:E1"/>
      <selection pane="bottomLeft" sqref="A1:E1"/>
      <selection pane="bottomRight" activeCell="AN3" sqref="AN3:AP3"/>
    </sheetView>
  </sheetViews>
  <sheetFormatPr baseColWidth="10" defaultRowHeight="15" x14ac:dyDescent="0.25"/>
  <cols>
    <col min="1" max="1" width="15.7109375" style="1437" customWidth="1"/>
    <col min="2" max="2" width="9.140625" style="1437" bestFit="1" customWidth="1"/>
    <col min="3" max="42" width="7.7109375" style="1437" customWidth="1"/>
    <col min="43" max="16384" width="11.42578125" style="1437"/>
  </cols>
  <sheetData>
    <row r="1" spans="1:42" ht="43.5" customHeight="1" x14ac:dyDescent="0.25">
      <c r="A1" s="6000" t="s">
        <v>1275</v>
      </c>
      <c r="B1" s="6000"/>
    </row>
    <row r="3" spans="1:42" ht="21" customHeight="1" x14ac:dyDescent="0.25">
      <c r="A3" s="1436" t="s">
        <v>16</v>
      </c>
      <c r="B3" s="1436" t="s">
        <v>4</v>
      </c>
      <c r="C3" s="1438">
        <v>1978</v>
      </c>
      <c r="D3" s="1438">
        <v>1979</v>
      </c>
      <c r="E3" s="1438">
        <v>1980</v>
      </c>
      <c r="F3" s="1438">
        <v>1981</v>
      </c>
      <c r="G3" s="1438">
        <v>1982</v>
      </c>
      <c r="H3" s="1438">
        <v>1983</v>
      </c>
      <c r="I3" s="1438">
        <v>1984</v>
      </c>
      <c r="J3" s="1438">
        <v>1985</v>
      </c>
      <c r="K3" s="1438">
        <v>1986</v>
      </c>
      <c r="L3" s="1438">
        <v>1987</v>
      </c>
      <c r="M3" s="1438">
        <v>1988</v>
      </c>
      <c r="N3" s="1438">
        <v>1989</v>
      </c>
      <c r="O3" s="1438">
        <v>1990</v>
      </c>
      <c r="P3" s="1438">
        <v>1991</v>
      </c>
      <c r="Q3" s="1438">
        <v>1992</v>
      </c>
      <c r="R3" s="1438">
        <v>1993</v>
      </c>
      <c r="S3" s="1438">
        <v>1994</v>
      </c>
      <c r="T3" s="1438">
        <v>1995</v>
      </c>
      <c r="U3" s="1438">
        <v>1996</v>
      </c>
      <c r="V3" s="1438">
        <v>1997</v>
      </c>
      <c r="W3" s="1438">
        <v>1998</v>
      </c>
      <c r="X3" s="1438">
        <v>1999</v>
      </c>
      <c r="Y3" s="1438">
        <v>2000</v>
      </c>
      <c r="Z3" s="1438">
        <v>2001</v>
      </c>
      <c r="AA3" s="1438">
        <v>2002</v>
      </c>
      <c r="AB3" s="1438">
        <v>2003</v>
      </c>
      <c r="AC3" s="1438">
        <v>2004</v>
      </c>
      <c r="AD3" s="1438">
        <v>2005</v>
      </c>
      <c r="AE3" s="1438">
        <v>2006</v>
      </c>
      <c r="AF3" s="1438">
        <v>2007</v>
      </c>
      <c r="AG3" s="1438">
        <v>2008</v>
      </c>
      <c r="AH3" s="1438">
        <v>2009</v>
      </c>
      <c r="AI3" s="1438">
        <v>2010</v>
      </c>
      <c r="AJ3" s="1438">
        <v>2011</v>
      </c>
      <c r="AK3" s="1438">
        <v>2012</v>
      </c>
      <c r="AL3" s="1661">
        <v>2013</v>
      </c>
      <c r="AM3" s="1921">
        <v>2014</v>
      </c>
      <c r="AN3" s="4165">
        <v>2015</v>
      </c>
      <c r="AO3" s="5041">
        <v>2016</v>
      </c>
      <c r="AP3" s="5519">
        <v>2017</v>
      </c>
    </row>
    <row r="4" spans="1:42" x14ac:dyDescent="0.25">
      <c r="AL4" s="23"/>
      <c r="AM4" s="23"/>
      <c r="AN4" s="23"/>
      <c r="AO4" s="23"/>
      <c r="AP4" s="23"/>
    </row>
    <row r="5" spans="1:42" x14ac:dyDescent="0.25">
      <c r="A5" s="5988" t="s">
        <v>3</v>
      </c>
      <c r="B5" s="1439" t="s">
        <v>5</v>
      </c>
      <c r="C5" s="1440">
        <v>12</v>
      </c>
      <c r="D5" s="1440">
        <v>12.92</v>
      </c>
      <c r="E5" s="1440">
        <v>14.15</v>
      </c>
      <c r="F5" s="1440">
        <v>14.77</v>
      </c>
      <c r="G5" s="1440">
        <v>15.38</v>
      </c>
      <c r="H5" s="1440">
        <v>15.89</v>
      </c>
      <c r="I5" s="1440">
        <v>16.68</v>
      </c>
      <c r="J5" s="1440">
        <v>16.95</v>
      </c>
      <c r="K5" s="1440">
        <v>17.09</v>
      </c>
      <c r="L5" s="1440">
        <v>17.510000000000002</v>
      </c>
      <c r="M5" s="1440">
        <v>17.68</v>
      </c>
      <c r="N5" s="1440">
        <v>19.010000000000002</v>
      </c>
      <c r="O5" s="1440">
        <v>17.61</v>
      </c>
      <c r="P5" s="1440">
        <v>19.13</v>
      </c>
      <c r="Q5" s="1440">
        <v>18.95</v>
      </c>
      <c r="R5" s="1440">
        <v>19.510000000000002</v>
      </c>
      <c r="S5" s="1440">
        <v>20.04</v>
      </c>
      <c r="T5" s="1440">
        <v>20.83</v>
      </c>
      <c r="U5" s="1440">
        <v>20.896470588235299</v>
      </c>
      <c r="V5" s="1440">
        <v>21.837912087912095</v>
      </c>
      <c r="W5" s="1440">
        <v>22.73033707865169</v>
      </c>
      <c r="X5" s="1440">
        <v>22.412121212121196</v>
      </c>
      <c r="Y5" s="1440">
        <v>23.389655172413793</v>
      </c>
      <c r="Z5" s="1440">
        <v>23.52</v>
      </c>
      <c r="AA5" s="1440">
        <v>23.15</v>
      </c>
      <c r="AB5" s="1440">
        <v>22.75</v>
      </c>
      <c r="AC5" s="1440">
        <v>23.410326086956523</v>
      </c>
      <c r="AD5" s="1440">
        <v>22.360696517412936</v>
      </c>
      <c r="AE5" s="1440">
        <v>22.698453608247423</v>
      </c>
      <c r="AF5" s="1440">
        <v>21.929203539823021</v>
      </c>
      <c r="AG5" s="1440">
        <v>21.038674033149174</v>
      </c>
      <c r="AH5" s="1440">
        <v>20.61</v>
      </c>
      <c r="AI5" s="1440">
        <v>20.3451086956522</v>
      </c>
      <c r="AJ5" s="1440">
        <v>20.732673267326739</v>
      </c>
      <c r="AK5" s="1441">
        <v>20.190000000000001</v>
      </c>
      <c r="AL5" s="1441">
        <v>20.6</v>
      </c>
      <c r="AM5" s="1441">
        <v>20.921602787456443</v>
      </c>
      <c r="AN5" s="1441">
        <v>20.721062618595809</v>
      </c>
      <c r="AO5" s="2696">
        <v>20.88</v>
      </c>
      <c r="AP5" s="2696">
        <v>21.17</v>
      </c>
    </row>
    <row r="6" spans="1:42" x14ac:dyDescent="0.25">
      <c r="A6" s="5989"/>
      <c r="B6" s="1442" t="s">
        <v>6</v>
      </c>
      <c r="C6" s="1443">
        <v>12.37</v>
      </c>
      <c r="D6" s="1443">
        <v>13.03</v>
      </c>
      <c r="E6" s="1443">
        <v>14.08</v>
      </c>
      <c r="F6" s="1443">
        <v>13.14</v>
      </c>
      <c r="G6" s="1443">
        <v>14.05</v>
      </c>
      <c r="H6" s="1443">
        <v>14.14</v>
      </c>
      <c r="I6" s="1443">
        <v>14.75</v>
      </c>
      <c r="J6" s="1443">
        <v>14.15</v>
      </c>
      <c r="K6" s="1443">
        <v>14.58</v>
      </c>
      <c r="L6" s="1443">
        <v>14.95</v>
      </c>
      <c r="M6" s="1443">
        <v>14.8</v>
      </c>
      <c r="N6" s="1443">
        <v>15.1</v>
      </c>
      <c r="O6" s="1443">
        <v>15.34</v>
      </c>
      <c r="P6" s="1443">
        <v>15.29</v>
      </c>
      <c r="Q6" s="1443">
        <v>15.85</v>
      </c>
      <c r="R6" s="1443">
        <v>16.079999999999998</v>
      </c>
      <c r="S6" s="1443">
        <v>16.68</v>
      </c>
      <c r="T6" s="1443">
        <v>16.940000000000001</v>
      </c>
      <c r="U6" s="1443">
        <v>16.970254957507091</v>
      </c>
      <c r="V6" s="1443">
        <v>15.917127071823193</v>
      </c>
      <c r="W6" s="1443">
        <v>16.379888268156432</v>
      </c>
      <c r="X6" s="1443">
        <v>15.830687830687815</v>
      </c>
      <c r="Y6" s="1443">
        <v>16.150847457627137</v>
      </c>
      <c r="Z6" s="1443">
        <v>17</v>
      </c>
      <c r="AA6" s="1443">
        <v>16.52</v>
      </c>
      <c r="AB6" s="1443">
        <v>16.800637958532697</v>
      </c>
      <c r="AC6" s="1443">
        <v>16.424703891708969</v>
      </c>
      <c r="AD6" s="1443">
        <v>16.379888268156424</v>
      </c>
      <c r="AE6" s="1443">
        <v>17.011976047904191</v>
      </c>
      <c r="AF6" s="1443">
        <v>16.442622950819679</v>
      </c>
      <c r="AG6" s="1443">
        <v>16.239263803680977</v>
      </c>
      <c r="AH6" s="1443">
        <v>16.34</v>
      </c>
      <c r="AI6" s="1443">
        <v>16.37972166998011</v>
      </c>
      <c r="AJ6" s="1443">
        <v>16.412300683371296</v>
      </c>
      <c r="AK6" s="1444">
        <v>16.010000000000002</v>
      </c>
      <c r="AL6" s="1444">
        <v>16.04</v>
      </c>
      <c r="AM6" s="1444">
        <v>15.675579322638137</v>
      </c>
      <c r="AN6" s="1444">
        <v>16.227344992050885</v>
      </c>
      <c r="AO6" s="2699">
        <v>15.62</v>
      </c>
      <c r="AP6" s="2699">
        <v>16.07</v>
      </c>
    </row>
    <row r="7" spans="1:42" x14ac:dyDescent="0.25">
      <c r="A7" s="5989"/>
      <c r="B7" s="1442" t="s">
        <v>7</v>
      </c>
      <c r="C7" s="1443"/>
      <c r="D7" s="1443">
        <v>13</v>
      </c>
      <c r="E7" s="1443">
        <v>13.71</v>
      </c>
      <c r="F7" s="1443">
        <v>14.17</v>
      </c>
      <c r="G7" s="1443">
        <v>14.7</v>
      </c>
      <c r="H7" s="1443">
        <v>14.54</v>
      </c>
      <c r="I7" s="1443">
        <v>15</v>
      </c>
      <c r="J7" s="1443">
        <v>14.92</v>
      </c>
      <c r="K7" s="1443">
        <v>15.04</v>
      </c>
      <c r="L7" s="1443">
        <v>15.5</v>
      </c>
      <c r="M7" s="1443">
        <v>15.99</v>
      </c>
      <c r="N7" s="1443">
        <v>15.62</v>
      </c>
      <c r="O7" s="1443">
        <v>15.72</v>
      </c>
      <c r="P7" s="1443">
        <v>16.170000000000002</v>
      </c>
      <c r="Q7" s="1443">
        <v>16.39</v>
      </c>
      <c r="R7" s="1443">
        <v>16.850000000000001</v>
      </c>
      <c r="S7" s="1443">
        <v>16.21</v>
      </c>
      <c r="T7" s="1443">
        <v>17.23</v>
      </c>
      <c r="U7" s="1443">
        <v>17.396396396396405</v>
      </c>
      <c r="V7" s="1443">
        <v>17.949704142011825</v>
      </c>
      <c r="W7" s="1443">
        <v>15.83673469387754</v>
      </c>
      <c r="X7" s="1443">
        <v>17.270440251572328</v>
      </c>
      <c r="Y7" s="1443">
        <v>17.20867208672087</v>
      </c>
      <c r="Z7" s="1443">
        <v>17.170000000000002</v>
      </c>
      <c r="AA7" s="1443">
        <v>17.21</v>
      </c>
      <c r="AB7" s="1443">
        <v>17.05</v>
      </c>
      <c r="AC7" s="1443">
        <v>17.592476489028215</v>
      </c>
      <c r="AD7" s="1443">
        <v>17.37784090909091</v>
      </c>
      <c r="AE7" s="1443">
        <v>16.874301675977655</v>
      </c>
      <c r="AF7" s="1443">
        <v>15.750677506775059</v>
      </c>
      <c r="AG7" s="1443">
        <v>16.035087719298254</v>
      </c>
      <c r="AH7" s="1443">
        <v>16.13</v>
      </c>
      <c r="AI7" s="1443">
        <v>16.476635514018696</v>
      </c>
      <c r="AJ7" s="1443">
        <v>16.17355371900825</v>
      </c>
      <c r="AK7" s="1444">
        <v>16.924901185770747</v>
      </c>
      <c r="AL7" s="1444">
        <v>16.07</v>
      </c>
      <c r="AM7" s="1444">
        <v>16.220289855072441</v>
      </c>
      <c r="AN7" s="1444">
        <v>17.034985422740519</v>
      </c>
      <c r="AO7" s="2699">
        <v>16.2</v>
      </c>
      <c r="AP7" s="2699">
        <v>16.489999999999998</v>
      </c>
    </row>
    <row r="8" spans="1:42" x14ac:dyDescent="0.25">
      <c r="A8" s="5990"/>
      <c r="B8" s="2392" t="s">
        <v>12</v>
      </c>
      <c r="C8" s="2393">
        <v>12.34</v>
      </c>
      <c r="D8" s="2393">
        <v>13</v>
      </c>
      <c r="E8" s="2393">
        <v>13.97</v>
      </c>
      <c r="F8" s="2393">
        <v>13.87</v>
      </c>
      <c r="G8" s="2393">
        <v>14.63</v>
      </c>
      <c r="H8" s="2393">
        <v>14.79</v>
      </c>
      <c r="I8" s="2393">
        <v>15.41</v>
      </c>
      <c r="J8" s="2393">
        <v>15.3</v>
      </c>
      <c r="K8" s="2393">
        <v>15.46</v>
      </c>
      <c r="L8" s="2393">
        <v>15.97</v>
      </c>
      <c r="M8" s="2393">
        <v>15.95</v>
      </c>
      <c r="N8" s="2393">
        <v>16.440000000000001</v>
      </c>
      <c r="O8" s="2393">
        <v>16.11</v>
      </c>
      <c r="P8" s="2393">
        <v>16.7</v>
      </c>
      <c r="Q8" s="2393">
        <v>16.920000000000002</v>
      </c>
      <c r="R8" s="2393">
        <v>17.32</v>
      </c>
      <c r="S8" s="2393">
        <v>17.53</v>
      </c>
      <c r="T8" s="2393">
        <v>18.079999999999998</v>
      </c>
      <c r="U8" s="2393">
        <v>18.149841269841286</v>
      </c>
      <c r="V8" s="2393">
        <v>18.2</v>
      </c>
      <c r="W8" s="2393">
        <v>18.164418212478918</v>
      </c>
      <c r="X8" s="2393">
        <v>17.995061728395029</v>
      </c>
      <c r="Y8" s="2393">
        <v>18.144115292233757</v>
      </c>
      <c r="Z8" s="2393">
        <v>18.64</v>
      </c>
      <c r="AA8" s="2393">
        <v>18.55</v>
      </c>
      <c r="AB8" s="2393">
        <v>18.575323790047715</v>
      </c>
      <c r="AC8" s="2393">
        <v>18.727699530516432</v>
      </c>
      <c r="AD8" s="2393">
        <v>18.514329976762198</v>
      </c>
      <c r="AE8" s="2393">
        <v>18.741780272654371</v>
      </c>
      <c r="AF8" s="2393">
        <v>17.784280936454874</v>
      </c>
      <c r="AG8" s="2393">
        <v>17.637049455155072</v>
      </c>
      <c r="AH8" s="2393">
        <v>17.510000000000002</v>
      </c>
      <c r="AI8" s="2393">
        <v>17.630033557046996</v>
      </c>
      <c r="AJ8" s="2393">
        <v>17.967741935483861</v>
      </c>
      <c r="AK8" s="2394">
        <v>17.540825285338023</v>
      </c>
      <c r="AL8" s="2394">
        <v>17.55</v>
      </c>
      <c r="AM8" s="2394">
        <v>17.837162162162194</v>
      </c>
      <c r="AN8" s="2394">
        <v>17.991994663108716</v>
      </c>
      <c r="AO8" s="2702">
        <v>17.68</v>
      </c>
      <c r="AP8" s="2702">
        <v>18.03</v>
      </c>
    </row>
    <row r="9" spans="1:42" x14ac:dyDescent="0.25">
      <c r="A9" s="1445"/>
      <c r="U9" s="1446"/>
      <c r="V9" s="1446"/>
      <c r="W9" s="1446"/>
      <c r="X9" s="1446"/>
      <c r="Y9" s="1446"/>
      <c r="AB9" s="2721"/>
      <c r="AC9" s="2721"/>
      <c r="AD9" s="2721"/>
      <c r="AE9" s="2721"/>
      <c r="AF9" s="2721"/>
      <c r="AG9" s="2721"/>
      <c r="AH9" s="2721"/>
      <c r="AI9" s="2721"/>
      <c r="AJ9" s="2721"/>
      <c r="AK9" s="2721"/>
      <c r="AL9" s="2721"/>
      <c r="AM9" s="2721"/>
      <c r="AN9" s="2721"/>
      <c r="AO9" s="2704"/>
      <c r="AP9" s="2704"/>
    </row>
    <row r="10" spans="1:42" x14ac:dyDescent="0.25">
      <c r="A10" s="5991" t="s">
        <v>8</v>
      </c>
      <c r="B10" s="1439" t="s">
        <v>6</v>
      </c>
      <c r="C10" s="1440"/>
      <c r="D10" s="1450"/>
      <c r="E10" s="1450"/>
      <c r="F10" s="1450"/>
      <c r="G10" s="1450"/>
      <c r="H10" s="1450"/>
      <c r="I10" s="1450"/>
      <c r="J10" s="1450"/>
      <c r="K10" s="1450"/>
      <c r="L10" s="1450"/>
      <c r="M10" s="1450"/>
      <c r="N10" s="1450"/>
      <c r="O10" s="1450"/>
      <c r="P10" s="1450"/>
      <c r="Q10" s="1450"/>
      <c r="R10" s="1450"/>
      <c r="S10" s="1450"/>
      <c r="T10" s="1450"/>
      <c r="U10" s="1450"/>
      <c r="V10" s="1450"/>
      <c r="W10" s="1450"/>
      <c r="X10" s="1450"/>
      <c r="Y10" s="1450"/>
      <c r="Z10" s="1450"/>
      <c r="AA10" s="1450"/>
      <c r="AB10" s="1450"/>
      <c r="AC10" s="1450"/>
      <c r="AD10" s="1450"/>
      <c r="AE10" s="1450"/>
      <c r="AF10" s="1450"/>
      <c r="AG10" s="1451"/>
      <c r="AH10" s="1440">
        <v>12.68</v>
      </c>
      <c r="AI10" s="1440">
        <v>13.535714285714286</v>
      </c>
      <c r="AJ10" s="1440">
        <v>13</v>
      </c>
      <c r="AK10" s="1441">
        <v>13.41</v>
      </c>
      <c r="AL10" s="1441">
        <v>14.47</v>
      </c>
      <c r="AM10" s="1441">
        <v>15</v>
      </c>
      <c r="AN10" s="1441">
        <v>15.178571428571431</v>
      </c>
      <c r="AO10" s="2697">
        <v>14.47</v>
      </c>
      <c r="AP10" s="2697">
        <v>15.17</v>
      </c>
    </row>
    <row r="11" spans="1:42" x14ac:dyDescent="0.25">
      <c r="A11" s="5992"/>
      <c r="B11" s="1442" t="s">
        <v>9</v>
      </c>
      <c r="C11" s="1443"/>
      <c r="D11" s="1452"/>
      <c r="E11" s="1452"/>
      <c r="F11" s="1452"/>
      <c r="G11" s="1452"/>
      <c r="H11" s="1452"/>
      <c r="I11" s="1452"/>
      <c r="J11" s="1452"/>
      <c r="K11" s="1452"/>
      <c r="L11" s="1452"/>
      <c r="M11" s="1452"/>
      <c r="N11" s="1452"/>
      <c r="O11" s="1452"/>
      <c r="P11" s="1452"/>
      <c r="Q11" s="1452"/>
      <c r="R11" s="1452"/>
      <c r="S11" s="1452"/>
      <c r="T11" s="1452"/>
      <c r="U11" s="1452"/>
      <c r="V11" s="1452"/>
      <c r="W11" s="1452"/>
      <c r="X11" s="1452"/>
      <c r="Y11" s="1452"/>
      <c r="Z11" s="1452"/>
      <c r="AA11" s="1452"/>
      <c r="AB11" s="1452"/>
      <c r="AC11" s="1452"/>
      <c r="AD11" s="1452"/>
      <c r="AE11" s="1452"/>
      <c r="AF11" s="1452"/>
      <c r="AG11" s="1453"/>
      <c r="AH11" s="1443">
        <v>13</v>
      </c>
      <c r="AI11" s="1443">
        <v>13.6</v>
      </c>
      <c r="AJ11" s="1443">
        <v>13.031250000000002</v>
      </c>
      <c r="AK11" s="1444">
        <v>13.87</v>
      </c>
      <c r="AL11" s="1444">
        <v>14.14</v>
      </c>
      <c r="AM11" s="1444">
        <v>14.7741935483871</v>
      </c>
      <c r="AN11" s="1444">
        <v>16.551724137931039</v>
      </c>
      <c r="AO11" s="2700">
        <v>16.62</v>
      </c>
      <c r="AP11" s="2700">
        <v>16.440000000000001</v>
      </c>
    </row>
    <row r="12" spans="1:42" x14ac:dyDescent="0.25">
      <c r="A12" s="5992"/>
      <c r="B12" s="1442" t="s">
        <v>74</v>
      </c>
      <c r="C12" s="1443"/>
      <c r="D12" s="1452"/>
      <c r="E12" s="1452"/>
      <c r="F12" s="1452"/>
      <c r="G12" s="1452"/>
      <c r="H12" s="1452"/>
      <c r="I12" s="1452"/>
      <c r="J12" s="1452"/>
      <c r="K12" s="1452"/>
      <c r="L12" s="1452"/>
      <c r="M12" s="1452"/>
      <c r="N12" s="1452"/>
      <c r="O12" s="1452"/>
      <c r="P12" s="1452"/>
      <c r="Q12" s="1452"/>
      <c r="R12" s="1452"/>
      <c r="S12" s="1452"/>
      <c r="T12" s="1452"/>
      <c r="U12" s="1452"/>
      <c r="V12" s="1452"/>
      <c r="W12" s="1452"/>
      <c r="X12" s="1452"/>
      <c r="Y12" s="1452"/>
      <c r="Z12" s="1452"/>
      <c r="AA12" s="1452"/>
      <c r="AB12" s="1452"/>
      <c r="AC12" s="1452"/>
      <c r="AD12" s="1452"/>
      <c r="AE12" s="1452"/>
      <c r="AF12" s="1452"/>
      <c r="AG12" s="1453"/>
      <c r="AH12" s="1443">
        <v>12</v>
      </c>
      <c r="AI12" s="1443">
        <v>13.7</v>
      </c>
      <c r="AJ12" s="1443">
        <v>14.090909090909092</v>
      </c>
      <c r="AK12" s="1444">
        <v>14.083333333333334</v>
      </c>
      <c r="AL12" s="1444">
        <v>15.73</v>
      </c>
      <c r="AM12" s="1444">
        <v>17.045454545454543</v>
      </c>
      <c r="AN12" s="1444">
        <v>16.208333333333339</v>
      </c>
      <c r="AO12" s="2700">
        <v>17.05</v>
      </c>
      <c r="AP12" s="2700">
        <v>17.12</v>
      </c>
    </row>
    <row r="13" spans="1:42" x14ac:dyDescent="0.25">
      <c r="A13" s="5993"/>
      <c r="B13" s="2395" t="s">
        <v>12</v>
      </c>
      <c r="C13" s="2396"/>
      <c r="D13" s="2397"/>
      <c r="E13" s="2397"/>
      <c r="F13" s="2397"/>
      <c r="G13" s="2397"/>
      <c r="H13" s="2397"/>
      <c r="I13" s="2397"/>
      <c r="J13" s="2397"/>
      <c r="K13" s="2397"/>
      <c r="L13" s="2397"/>
      <c r="M13" s="2397"/>
      <c r="N13" s="2397"/>
      <c r="O13" s="2397"/>
      <c r="P13" s="2397"/>
      <c r="Q13" s="2397"/>
      <c r="R13" s="2397"/>
      <c r="S13" s="2397"/>
      <c r="T13" s="2397"/>
      <c r="U13" s="2397"/>
      <c r="V13" s="2397"/>
      <c r="W13" s="2397"/>
      <c r="X13" s="2397"/>
      <c r="Y13" s="2397"/>
      <c r="Z13" s="2397"/>
      <c r="AA13" s="2397"/>
      <c r="AB13" s="2397"/>
      <c r="AC13" s="2397"/>
      <c r="AD13" s="2397"/>
      <c r="AE13" s="2397"/>
      <c r="AF13" s="2397"/>
      <c r="AG13" s="2398"/>
      <c r="AH13" s="2396">
        <v>12.61</v>
      </c>
      <c r="AI13" s="2396">
        <v>13.584905660377357</v>
      </c>
      <c r="AJ13" s="2396">
        <v>13.13829787234042</v>
      </c>
      <c r="AK13" s="2399">
        <v>13.748617609527864</v>
      </c>
      <c r="AL13" s="2399">
        <v>14.62</v>
      </c>
      <c r="AM13" s="2399">
        <v>15.441860465116276</v>
      </c>
      <c r="AN13" s="2399">
        <v>15.975308641975314</v>
      </c>
      <c r="AO13" s="2706">
        <v>16.170000000000002</v>
      </c>
      <c r="AP13" s="2706">
        <v>16.309999999999999</v>
      </c>
    </row>
    <row r="14" spans="1:42" x14ac:dyDescent="0.25">
      <c r="A14" s="1448"/>
      <c r="B14" s="1449"/>
      <c r="U14" s="1446"/>
      <c r="V14" s="1446"/>
      <c r="W14" s="1446"/>
      <c r="X14" s="1446"/>
      <c r="Y14" s="1446"/>
      <c r="Z14" s="1446"/>
      <c r="AA14" s="1446"/>
      <c r="AB14" s="1446"/>
      <c r="AC14" s="1446"/>
      <c r="AD14" s="1446"/>
      <c r="AE14" s="1446"/>
      <c r="AF14" s="1446"/>
      <c r="AG14" s="1447"/>
      <c r="AO14" s="2707"/>
      <c r="AP14" s="2707"/>
    </row>
    <row r="15" spans="1:42" x14ac:dyDescent="0.25">
      <c r="A15" s="5994" t="s">
        <v>75</v>
      </c>
      <c r="B15" s="1439" t="s">
        <v>5</v>
      </c>
      <c r="C15" s="1440">
        <v>12.04</v>
      </c>
      <c r="D15" s="1440">
        <v>12.47</v>
      </c>
      <c r="E15" s="1440">
        <v>13.58</v>
      </c>
      <c r="F15" s="1440">
        <v>13.8</v>
      </c>
      <c r="G15" s="1440">
        <v>13.83</v>
      </c>
      <c r="H15" s="1440">
        <v>14.97</v>
      </c>
      <c r="I15" s="1440">
        <v>16.2</v>
      </c>
      <c r="J15" s="1440">
        <v>15.92</v>
      </c>
      <c r="K15" s="1440">
        <v>17.52</v>
      </c>
      <c r="L15" s="1440">
        <v>16.12</v>
      </c>
      <c r="M15" s="1440">
        <v>17.7</v>
      </c>
      <c r="N15" s="1440">
        <v>19.3</v>
      </c>
      <c r="O15" s="1440">
        <v>18.97</v>
      </c>
      <c r="P15" s="1440">
        <v>19.149999999999999</v>
      </c>
      <c r="Q15" s="1440">
        <v>19.88</v>
      </c>
      <c r="R15" s="1440">
        <v>21</v>
      </c>
      <c r="S15" s="1440">
        <v>20.34</v>
      </c>
      <c r="T15" s="1440">
        <v>20.75</v>
      </c>
      <c r="U15" s="1440">
        <v>21.14</v>
      </c>
      <c r="V15" s="1440">
        <v>21.71</v>
      </c>
      <c r="W15" s="1440">
        <v>21.88</v>
      </c>
      <c r="X15" s="1440">
        <v>22.1</v>
      </c>
      <c r="Y15" s="1440">
        <v>22.1</v>
      </c>
      <c r="Z15" s="1440">
        <v>22.42</v>
      </c>
      <c r="AA15" s="1440">
        <v>22.82</v>
      </c>
      <c r="AB15" s="1440">
        <v>21.162162162162161</v>
      </c>
      <c r="AC15" s="1440">
        <v>20.357723577235774</v>
      </c>
      <c r="AD15" s="1440">
        <v>21.514403292181068</v>
      </c>
      <c r="AE15" s="1440">
        <v>21.409420289855074</v>
      </c>
      <c r="AF15" s="1440">
        <v>21.79768786127168</v>
      </c>
      <c r="AG15" s="1440">
        <v>21.490797546012278</v>
      </c>
      <c r="AH15" s="1440">
        <v>19.72</v>
      </c>
      <c r="AI15" s="1440">
        <v>18.895397489539743</v>
      </c>
      <c r="AJ15" s="1440">
        <v>19.122905027932958</v>
      </c>
      <c r="AK15" s="1441">
        <v>20.16</v>
      </c>
      <c r="AL15" s="1441">
        <v>20.71</v>
      </c>
      <c r="AM15" s="1441">
        <v>19.863207547169836</v>
      </c>
      <c r="AN15" s="1441">
        <v>19.317919075144495</v>
      </c>
      <c r="AO15" s="2697">
        <v>18.91</v>
      </c>
      <c r="AP15" s="2697">
        <v>19.87</v>
      </c>
    </row>
    <row r="16" spans="1:42" x14ac:dyDescent="0.25">
      <c r="A16" s="5995"/>
      <c r="B16" s="1442" t="s">
        <v>6</v>
      </c>
      <c r="C16" s="1443">
        <v>11.8</v>
      </c>
      <c r="D16" s="1443">
        <v>12.49</v>
      </c>
      <c r="E16" s="1443">
        <v>13.35</v>
      </c>
      <c r="F16" s="1443">
        <v>13.63</v>
      </c>
      <c r="G16" s="1443">
        <v>13.84</v>
      </c>
      <c r="H16" s="1443">
        <v>14.05</v>
      </c>
      <c r="I16" s="1443">
        <v>14.67</v>
      </c>
      <c r="J16" s="1443">
        <v>14.44</v>
      </c>
      <c r="K16" s="1443">
        <v>14.81</v>
      </c>
      <c r="L16" s="1443">
        <v>15.3</v>
      </c>
      <c r="M16" s="1443">
        <v>15.3</v>
      </c>
      <c r="N16" s="1443">
        <v>16.82</v>
      </c>
      <c r="O16" s="1443">
        <v>16.36</v>
      </c>
      <c r="P16" s="1443">
        <v>16.61</v>
      </c>
      <c r="Q16" s="1443">
        <v>17.100000000000001</v>
      </c>
      <c r="R16" s="1443">
        <v>17.420000000000002</v>
      </c>
      <c r="S16" s="1443">
        <v>18.329999999999998</v>
      </c>
      <c r="T16" s="1443">
        <v>18.399999999999999</v>
      </c>
      <c r="U16" s="1443">
        <v>18.89</v>
      </c>
      <c r="V16" s="1443">
        <v>18.100000000000001</v>
      </c>
      <c r="W16" s="1443">
        <v>19.010000000000002</v>
      </c>
      <c r="X16" s="1443">
        <v>17.98</v>
      </c>
      <c r="Y16" s="1443">
        <v>18.71</v>
      </c>
      <c r="Z16" s="1443">
        <v>17.97</v>
      </c>
      <c r="AA16" s="1443">
        <v>17.940000000000001</v>
      </c>
      <c r="AB16" s="1443">
        <v>18.177606177606176</v>
      </c>
      <c r="AC16" s="1443">
        <v>17.541889483065955</v>
      </c>
      <c r="AD16" s="1443">
        <v>17.430528375733854</v>
      </c>
      <c r="AE16" s="1443">
        <v>17.828343313373253</v>
      </c>
      <c r="AF16" s="1443">
        <v>17.247334754797432</v>
      </c>
      <c r="AG16" s="1443">
        <v>16.990825688073421</v>
      </c>
      <c r="AH16" s="1443">
        <v>16.54</v>
      </c>
      <c r="AI16" s="1443">
        <v>17.049360146252276</v>
      </c>
      <c r="AJ16" s="1443">
        <v>16.721991701244814</v>
      </c>
      <c r="AK16" s="1444">
        <v>16.3</v>
      </c>
      <c r="AL16" s="1444">
        <v>16.29</v>
      </c>
      <c r="AM16" s="1444">
        <v>16.88586956521738</v>
      </c>
      <c r="AN16" s="1444">
        <v>17.242160278745629</v>
      </c>
      <c r="AO16" s="2700">
        <v>16.7</v>
      </c>
      <c r="AP16" s="2700">
        <v>16.649999999999999</v>
      </c>
    </row>
    <row r="17" spans="1:42" x14ac:dyDescent="0.25">
      <c r="A17" s="5995"/>
      <c r="B17" s="1442" t="s">
        <v>11</v>
      </c>
      <c r="C17" s="1443">
        <v>12.5</v>
      </c>
      <c r="D17" s="1443">
        <v>12.16</v>
      </c>
      <c r="E17" s="1443">
        <v>12.95</v>
      </c>
      <c r="F17" s="1443">
        <v>12.71</v>
      </c>
      <c r="G17" s="1443">
        <v>13.24</v>
      </c>
      <c r="H17" s="1443">
        <v>13.33</v>
      </c>
      <c r="I17" s="1443">
        <v>14.01</v>
      </c>
      <c r="J17" s="1443">
        <v>15.39</v>
      </c>
      <c r="K17" s="1443">
        <v>15.43</v>
      </c>
      <c r="L17" s="1443">
        <v>15.01</v>
      </c>
      <c r="M17" s="1443">
        <v>15.64</v>
      </c>
      <c r="N17" s="1443">
        <v>17.7</v>
      </c>
      <c r="O17" s="1443">
        <v>17.920000000000002</v>
      </c>
      <c r="P17" s="1443">
        <v>18.84</v>
      </c>
      <c r="Q17" s="1443">
        <v>19.5</v>
      </c>
      <c r="R17" s="1443">
        <v>20.170000000000002</v>
      </c>
      <c r="S17" s="1443">
        <v>20.5</v>
      </c>
      <c r="T17" s="1443">
        <v>23.24</v>
      </c>
      <c r="U17" s="1443">
        <v>22.26</v>
      </c>
      <c r="V17" s="1443">
        <v>21.92</v>
      </c>
      <c r="W17" s="1443">
        <v>22.54</v>
      </c>
      <c r="X17" s="1443">
        <v>23.35</v>
      </c>
      <c r="Y17" s="1443">
        <v>21.95</v>
      </c>
      <c r="Z17" s="1443">
        <v>22.26</v>
      </c>
      <c r="AA17" s="1443">
        <v>21.71</v>
      </c>
      <c r="AB17" s="1443">
        <v>20.78</v>
      </c>
      <c r="AC17" s="1443">
        <v>20.758530183727036</v>
      </c>
      <c r="AD17" s="1443">
        <v>20.56268221574344</v>
      </c>
      <c r="AE17" s="1443">
        <v>20.892761394101878</v>
      </c>
      <c r="AF17" s="1443">
        <v>20.758842443729908</v>
      </c>
      <c r="AG17" s="1443">
        <v>19.925072046109523</v>
      </c>
      <c r="AH17" s="1443">
        <v>19.62</v>
      </c>
      <c r="AI17" s="1443">
        <v>18.31683168316831</v>
      </c>
      <c r="AJ17" s="1443">
        <v>18.494117647058808</v>
      </c>
      <c r="AK17" s="1444">
        <v>18.737373737373733</v>
      </c>
      <c r="AL17" s="1444">
        <v>18.440000000000001</v>
      </c>
      <c r="AM17" s="1444">
        <v>18.571014492753633</v>
      </c>
      <c r="AN17" s="1444">
        <v>18.592207792207788</v>
      </c>
      <c r="AO17" s="2700">
        <v>19.12</v>
      </c>
      <c r="AP17" s="2700">
        <v>18.649999999999999</v>
      </c>
    </row>
    <row r="18" spans="1:42" x14ac:dyDescent="0.25">
      <c r="A18" s="5996"/>
      <c r="B18" s="2400" t="s">
        <v>12</v>
      </c>
      <c r="C18" s="2401">
        <v>12.24</v>
      </c>
      <c r="D18" s="2401">
        <v>12.35</v>
      </c>
      <c r="E18" s="2401">
        <v>13.24</v>
      </c>
      <c r="F18" s="2401">
        <v>13.34</v>
      </c>
      <c r="G18" s="2401">
        <v>13.58</v>
      </c>
      <c r="H18" s="2401">
        <v>13.86</v>
      </c>
      <c r="I18" s="2401">
        <v>14.81</v>
      </c>
      <c r="J18" s="2401">
        <v>15.1</v>
      </c>
      <c r="K18" s="2401">
        <v>15.51</v>
      </c>
      <c r="L18" s="2401">
        <v>15.35</v>
      </c>
      <c r="M18" s="2401">
        <v>15.84</v>
      </c>
      <c r="N18" s="2401">
        <v>17.54</v>
      </c>
      <c r="O18" s="2401">
        <v>17.260000000000002</v>
      </c>
      <c r="P18" s="2401">
        <v>17.61</v>
      </c>
      <c r="Q18" s="2401">
        <v>18.32</v>
      </c>
      <c r="R18" s="2401">
        <v>18.87</v>
      </c>
      <c r="S18" s="2401">
        <v>19.32</v>
      </c>
      <c r="T18" s="2401">
        <v>19.93</v>
      </c>
      <c r="U18" s="2401">
        <v>20.29</v>
      </c>
      <c r="V18" s="2401">
        <v>20.02</v>
      </c>
      <c r="W18" s="2401">
        <v>20.5</v>
      </c>
      <c r="X18" s="2401">
        <v>20.100000000000001</v>
      </c>
      <c r="Y18" s="2401">
        <v>20.09</v>
      </c>
      <c r="Z18" s="2401">
        <v>20.18</v>
      </c>
      <c r="AA18" s="2401">
        <v>19.78</v>
      </c>
      <c r="AB18" s="2401">
        <v>19.565384615384616</v>
      </c>
      <c r="AC18" s="2401">
        <v>19.156565656565657</v>
      </c>
      <c r="AD18" s="2401">
        <v>19.314494074749316</v>
      </c>
      <c r="AE18" s="2401">
        <v>19.681739130434782</v>
      </c>
      <c r="AF18" s="2401">
        <v>19.219307450157412</v>
      </c>
      <c r="AG18" s="2401">
        <v>18.842494714587744</v>
      </c>
      <c r="AH18" s="2401">
        <v>17.98</v>
      </c>
      <c r="AI18" s="2401">
        <v>17.807162534435271</v>
      </c>
      <c r="AJ18" s="2401">
        <v>17.68449781659389</v>
      </c>
      <c r="AK18" s="2402">
        <v>17.710526315789497</v>
      </c>
      <c r="AL18" s="2402">
        <v>17.54</v>
      </c>
      <c r="AM18" s="2402">
        <v>17.979260595130754</v>
      </c>
      <c r="AN18" s="2402">
        <v>18.018551236749143</v>
      </c>
      <c r="AO18" s="2709">
        <v>18</v>
      </c>
      <c r="AP18" s="2709">
        <v>17.989999999999998</v>
      </c>
    </row>
    <row r="19" spans="1:42" x14ac:dyDescent="0.25">
      <c r="AO19" s="23"/>
      <c r="AP19" s="23"/>
    </row>
    <row r="20" spans="1:42" x14ac:dyDescent="0.25">
      <c r="A20" s="6001" t="s">
        <v>325</v>
      </c>
      <c r="B20" s="1439" t="s">
        <v>5</v>
      </c>
      <c r="C20" s="1440"/>
      <c r="D20" s="1440"/>
      <c r="E20" s="1440"/>
      <c r="F20" s="1440"/>
      <c r="G20" s="1440"/>
      <c r="H20" s="1440"/>
      <c r="I20" s="1440"/>
      <c r="J20" s="1440"/>
      <c r="K20" s="1440"/>
      <c r="L20" s="1440"/>
      <c r="M20" s="1440"/>
      <c r="N20" s="1440"/>
      <c r="O20" s="1440"/>
      <c r="P20" s="1440"/>
      <c r="Q20" s="1440"/>
      <c r="R20" s="1440"/>
      <c r="S20" s="1440"/>
      <c r="T20" s="1440"/>
      <c r="U20" s="1440"/>
      <c r="V20" s="1440"/>
      <c r="W20" s="1440"/>
      <c r="X20" s="1440"/>
      <c r="Y20" s="1440"/>
      <c r="Z20" s="1440"/>
      <c r="AA20" s="1440"/>
      <c r="AB20" s="1440"/>
      <c r="AC20" s="1440"/>
      <c r="AD20" s="1440"/>
      <c r="AE20" s="1440"/>
      <c r="AF20" s="1440"/>
      <c r="AG20" s="1440"/>
      <c r="AH20" s="1440"/>
      <c r="AI20" s="1440"/>
      <c r="AJ20" s="1440"/>
      <c r="AK20" s="1441"/>
      <c r="AL20" s="1441"/>
      <c r="AM20" s="1441"/>
      <c r="AN20" s="1441">
        <v>12.35</v>
      </c>
      <c r="AO20" s="2697">
        <v>12.6</v>
      </c>
      <c r="AP20" s="2697">
        <v>13.31</v>
      </c>
    </row>
    <row r="21" spans="1:42" x14ac:dyDescent="0.25">
      <c r="A21" s="6002"/>
      <c r="B21" s="1442" t="s">
        <v>6</v>
      </c>
      <c r="C21" s="1443"/>
      <c r="D21" s="1443"/>
      <c r="E21" s="1443"/>
      <c r="F21" s="1443"/>
      <c r="G21" s="1443"/>
      <c r="H21" s="1443"/>
      <c r="I21" s="1443"/>
      <c r="J21" s="1443"/>
      <c r="K21" s="1443"/>
      <c r="L21" s="1443"/>
      <c r="M21" s="1443"/>
      <c r="N21" s="1443"/>
      <c r="O21" s="1443"/>
      <c r="P21" s="1443"/>
      <c r="Q21" s="1443"/>
      <c r="R21" s="1443"/>
      <c r="S21" s="1443"/>
      <c r="T21" s="1443"/>
      <c r="U21" s="1443"/>
      <c r="V21" s="1443"/>
      <c r="W21" s="1443"/>
      <c r="X21" s="1443"/>
      <c r="Y21" s="1443"/>
      <c r="Z21" s="1443"/>
      <c r="AA21" s="1443"/>
      <c r="AB21" s="1443"/>
      <c r="AC21" s="1443"/>
      <c r="AD21" s="1443"/>
      <c r="AE21" s="1443"/>
      <c r="AF21" s="1443"/>
      <c r="AG21" s="1443"/>
      <c r="AH21" s="1443"/>
      <c r="AI21" s="1443"/>
      <c r="AJ21" s="1443"/>
      <c r="AK21" s="1444"/>
      <c r="AL21" s="1444"/>
      <c r="AM21" s="1444"/>
      <c r="AN21" s="1444">
        <v>12.218749999999996</v>
      </c>
      <c r="AO21" s="2700">
        <v>12.5</v>
      </c>
      <c r="AP21" s="2700">
        <v>12.89</v>
      </c>
    </row>
    <row r="22" spans="1:42" x14ac:dyDescent="0.25">
      <c r="A22" s="6002"/>
      <c r="B22" s="1442" t="s">
        <v>11</v>
      </c>
      <c r="C22" s="1443"/>
      <c r="D22" s="1443"/>
      <c r="E22" s="1443"/>
      <c r="F22" s="1443"/>
      <c r="G22" s="1443"/>
      <c r="H22" s="1443"/>
      <c r="I22" s="1443"/>
      <c r="J22" s="1443"/>
      <c r="K22" s="1443"/>
      <c r="L22" s="1443"/>
      <c r="M22" s="1443"/>
      <c r="N22" s="1443"/>
      <c r="O22" s="1443"/>
      <c r="P22" s="1443"/>
      <c r="Q22" s="1443"/>
      <c r="R22" s="1443"/>
      <c r="S22" s="1443"/>
      <c r="T22" s="1443"/>
      <c r="U22" s="1443"/>
      <c r="V22" s="1443"/>
      <c r="W22" s="1443"/>
      <c r="X22" s="1443"/>
      <c r="Y22" s="1443"/>
      <c r="Z22" s="1443"/>
      <c r="AA22" s="1443"/>
      <c r="AB22" s="1443"/>
      <c r="AC22" s="1443"/>
      <c r="AD22" s="1443"/>
      <c r="AE22" s="1443"/>
      <c r="AF22" s="1443"/>
      <c r="AG22" s="1443"/>
      <c r="AH22" s="1443"/>
      <c r="AI22" s="1443"/>
      <c r="AJ22" s="1443"/>
      <c r="AK22" s="1444"/>
      <c r="AL22" s="1444"/>
      <c r="AM22" s="1444"/>
      <c r="AN22" s="1444">
        <v>12.130434782608695</v>
      </c>
      <c r="AO22" s="2700">
        <v>13.14</v>
      </c>
      <c r="AP22" s="2700">
        <v>13.13</v>
      </c>
    </row>
    <row r="23" spans="1:42" x14ac:dyDescent="0.25">
      <c r="A23" s="6003"/>
      <c r="B23" s="4208" t="s">
        <v>12</v>
      </c>
      <c r="C23" s="4209"/>
      <c r="D23" s="4209"/>
      <c r="E23" s="4209"/>
      <c r="F23" s="4209"/>
      <c r="G23" s="4209"/>
      <c r="H23" s="4209"/>
      <c r="I23" s="4209"/>
      <c r="J23" s="4209"/>
      <c r="K23" s="4209"/>
      <c r="L23" s="4209"/>
      <c r="M23" s="4209"/>
      <c r="N23" s="4209"/>
      <c r="O23" s="4209"/>
      <c r="P23" s="4209"/>
      <c r="Q23" s="4209"/>
      <c r="R23" s="4209"/>
      <c r="S23" s="4209"/>
      <c r="T23" s="4209"/>
      <c r="U23" s="4209"/>
      <c r="V23" s="4209"/>
      <c r="W23" s="4209"/>
      <c r="X23" s="4209"/>
      <c r="Y23" s="4209"/>
      <c r="Z23" s="4209"/>
      <c r="AA23" s="4209"/>
      <c r="AB23" s="4209"/>
      <c r="AC23" s="4209"/>
      <c r="AD23" s="4209"/>
      <c r="AE23" s="4209"/>
      <c r="AF23" s="4209"/>
      <c r="AG23" s="4209"/>
      <c r="AH23" s="4209"/>
      <c r="AI23" s="4209"/>
      <c r="AJ23" s="4209"/>
      <c r="AK23" s="4210"/>
      <c r="AL23" s="4210"/>
      <c r="AM23" s="4210"/>
      <c r="AN23" s="4210">
        <v>12.226666666666667</v>
      </c>
      <c r="AO23" s="4206">
        <v>12.83</v>
      </c>
      <c r="AP23" s="4206">
        <v>13.05</v>
      </c>
    </row>
    <row r="24" spans="1:42" x14ac:dyDescent="0.25">
      <c r="A24" s="4164"/>
      <c r="AO24" s="2704"/>
      <c r="AP24" s="2704"/>
    </row>
    <row r="25" spans="1:42" x14ac:dyDescent="0.25">
      <c r="A25" s="5997" t="s">
        <v>10</v>
      </c>
      <c r="B25" s="1439" t="s">
        <v>6</v>
      </c>
      <c r="C25" s="1440">
        <v>11.78</v>
      </c>
      <c r="D25" s="1440">
        <v>11.73</v>
      </c>
      <c r="E25" s="1440">
        <v>11.92</v>
      </c>
      <c r="F25" s="1440">
        <v>12.11</v>
      </c>
      <c r="G25" s="1440">
        <v>12.25</v>
      </c>
      <c r="H25" s="1440">
        <v>12.34</v>
      </c>
      <c r="I25" s="1440">
        <v>12.45</v>
      </c>
      <c r="J25" s="1440">
        <v>12.52</v>
      </c>
      <c r="K25" s="1440">
        <v>12.6</v>
      </c>
      <c r="L25" s="1440">
        <v>12.4</v>
      </c>
      <c r="M25" s="1440">
        <v>12.7</v>
      </c>
      <c r="N25" s="1440">
        <v>12.83</v>
      </c>
      <c r="O25" s="1440">
        <v>12.98</v>
      </c>
      <c r="P25" s="1440">
        <v>12.98</v>
      </c>
      <c r="Q25" s="1440">
        <v>13.05</v>
      </c>
      <c r="R25" s="1440">
        <v>13.42</v>
      </c>
      <c r="S25" s="1440">
        <v>13.43</v>
      </c>
      <c r="T25" s="1440">
        <v>13.36</v>
      </c>
      <c r="U25" s="1440">
        <v>13.57</v>
      </c>
      <c r="V25" s="1440">
        <v>13.39</v>
      </c>
      <c r="W25" s="1440">
        <v>13.19</v>
      </c>
      <c r="X25" s="1440">
        <v>13.27</v>
      </c>
      <c r="Y25" s="1440">
        <v>13.16</v>
      </c>
      <c r="Z25" s="1440">
        <v>13.02</v>
      </c>
      <c r="AA25" s="1440">
        <v>13.22</v>
      </c>
      <c r="AB25" s="1440">
        <v>13.23716381418093</v>
      </c>
      <c r="AC25" s="1440">
        <v>13.373779637377964</v>
      </c>
      <c r="AD25" s="1440">
        <v>13.352459016393443</v>
      </c>
      <c r="AE25" s="1440">
        <v>13.26149802890933</v>
      </c>
      <c r="AF25" s="1440">
        <v>13.184673366834177</v>
      </c>
      <c r="AG25" s="1440">
        <v>13.192346424974831</v>
      </c>
      <c r="AH25" s="1440">
        <v>13.156926406926388</v>
      </c>
      <c r="AI25" s="1440">
        <v>13.503954802259878</v>
      </c>
      <c r="AJ25" s="1440">
        <v>13.438725490196065</v>
      </c>
      <c r="AK25" s="1441">
        <v>12.98</v>
      </c>
      <c r="AL25" s="1441">
        <v>13.42</v>
      </c>
      <c r="AM25" s="1441">
        <v>13.331683168316831</v>
      </c>
      <c r="AN25" s="1441">
        <v>13.508034610630425</v>
      </c>
      <c r="AO25" s="2696">
        <v>13.54</v>
      </c>
      <c r="AP25" s="2696">
        <v>13.53</v>
      </c>
    </row>
    <row r="26" spans="1:42" x14ac:dyDescent="0.25">
      <c r="A26" s="5998"/>
      <c r="B26" s="1442" t="s">
        <v>11</v>
      </c>
      <c r="C26" s="1443">
        <v>11.91</v>
      </c>
      <c r="D26" s="1443">
        <v>12.24</v>
      </c>
      <c r="E26" s="1443">
        <v>12.95</v>
      </c>
      <c r="F26" s="1443">
        <v>12.69</v>
      </c>
      <c r="G26" s="1443">
        <v>12.96</v>
      </c>
      <c r="H26" s="1443">
        <v>13.07</v>
      </c>
      <c r="I26" s="1443">
        <v>13.31</v>
      </c>
      <c r="J26" s="1443">
        <v>13.24</v>
      </c>
      <c r="K26" s="1443">
        <v>13.34</v>
      </c>
      <c r="L26" s="1443">
        <v>13.61</v>
      </c>
      <c r="M26" s="1443">
        <v>13.43</v>
      </c>
      <c r="N26" s="1443">
        <v>13.97</v>
      </c>
      <c r="O26" s="1443">
        <v>14.18</v>
      </c>
      <c r="P26" s="1443">
        <v>14.07</v>
      </c>
      <c r="Q26" s="1443">
        <v>14.32</v>
      </c>
      <c r="R26" s="1443">
        <v>14.31</v>
      </c>
      <c r="S26" s="1443">
        <v>14.37</v>
      </c>
      <c r="T26" s="1443">
        <v>14.46</v>
      </c>
      <c r="U26" s="1443">
        <v>14.59</v>
      </c>
      <c r="V26" s="1443">
        <v>14.4</v>
      </c>
      <c r="W26" s="1443">
        <v>14.26</v>
      </c>
      <c r="X26" s="1443">
        <v>14.12</v>
      </c>
      <c r="Y26" s="1443">
        <v>14.18</v>
      </c>
      <c r="Z26" s="1443">
        <v>14.26</v>
      </c>
      <c r="AA26" s="1443">
        <v>13.95</v>
      </c>
      <c r="AB26" s="1443">
        <v>13.989141164856861</v>
      </c>
      <c r="AC26" s="1443">
        <v>14.037610619469026</v>
      </c>
      <c r="AD26" s="1443">
        <v>14.04026845637584</v>
      </c>
      <c r="AE26" s="1443">
        <v>13.946764091858038</v>
      </c>
      <c r="AF26" s="1443">
        <v>13.825497287522591</v>
      </c>
      <c r="AG26" s="1443">
        <v>13.654159869494297</v>
      </c>
      <c r="AH26" s="1443">
        <v>13.68</v>
      </c>
      <c r="AI26" s="1443">
        <v>13.890756302521012</v>
      </c>
      <c r="AJ26" s="1443">
        <v>14.065517241379318</v>
      </c>
      <c r="AK26" s="1444">
        <v>13.96</v>
      </c>
      <c r="AL26" s="1444">
        <v>14.07</v>
      </c>
      <c r="AM26" s="1444">
        <v>13.897071872227155</v>
      </c>
      <c r="AN26" s="1444">
        <v>13.996500437445308</v>
      </c>
      <c r="AO26" s="2699">
        <v>13.84</v>
      </c>
      <c r="AP26" s="2699">
        <v>13.99</v>
      </c>
    </row>
    <row r="27" spans="1:42" x14ac:dyDescent="0.25">
      <c r="A27" s="5998"/>
      <c r="B27" s="1442" t="s">
        <v>7</v>
      </c>
      <c r="C27" s="1443"/>
      <c r="D27" s="1443">
        <v>12.11</v>
      </c>
      <c r="E27" s="1443">
        <v>12.03</v>
      </c>
      <c r="F27" s="1443">
        <v>12.16</v>
      </c>
      <c r="G27" s="1443">
        <v>12.59</v>
      </c>
      <c r="H27" s="1443">
        <v>12.63</v>
      </c>
      <c r="I27" s="1443">
        <v>12.79</v>
      </c>
      <c r="J27" s="1443">
        <v>12.67</v>
      </c>
      <c r="K27" s="1443">
        <v>12.97</v>
      </c>
      <c r="L27" s="1443">
        <v>12.66</v>
      </c>
      <c r="M27" s="1443">
        <v>12.67</v>
      </c>
      <c r="N27" s="1443">
        <v>12.83</v>
      </c>
      <c r="O27" s="1443">
        <v>12.73</v>
      </c>
      <c r="P27" s="1443">
        <v>13.05</v>
      </c>
      <c r="Q27" s="1443">
        <v>13.47</v>
      </c>
      <c r="R27" s="1443">
        <v>13.73</v>
      </c>
      <c r="S27" s="1443">
        <v>13.7</v>
      </c>
      <c r="T27" s="1443">
        <v>13.99</v>
      </c>
      <c r="U27" s="1443">
        <v>13.59</v>
      </c>
      <c r="V27" s="1443">
        <v>13.88</v>
      </c>
      <c r="W27" s="1443">
        <v>13.81</v>
      </c>
      <c r="X27" s="1443">
        <v>13.49</v>
      </c>
      <c r="Y27" s="1443">
        <v>13.76</v>
      </c>
      <c r="Z27" s="1443">
        <v>13.31</v>
      </c>
      <c r="AA27" s="1443">
        <v>13.41</v>
      </c>
      <c r="AB27" s="1443">
        <v>13.380281690140846</v>
      </c>
      <c r="AC27" s="1443">
        <v>13.600558659217876</v>
      </c>
      <c r="AD27" s="1443">
        <v>13.780952380952382</v>
      </c>
      <c r="AE27" s="1443">
        <v>13.66745283018868</v>
      </c>
      <c r="AF27" s="1443">
        <v>13.426666666666671</v>
      </c>
      <c r="AG27" s="1443">
        <v>13.537074148296588</v>
      </c>
      <c r="AH27" s="1443">
        <v>13.706263498920084</v>
      </c>
      <c r="AI27" s="1443">
        <v>14.040449438202241</v>
      </c>
      <c r="AJ27" s="1443">
        <v>14.305039787798409</v>
      </c>
      <c r="AK27" s="1444">
        <v>14.222222222222223</v>
      </c>
      <c r="AL27" s="1444">
        <v>13.862385321100916</v>
      </c>
      <c r="AM27" s="1444">
        <v>13.666666666666671</v>
      </c>
      <c r="AN27" s="1444">
        <v>13.686274509803924</v>
      </c>
      <c r="AO27" s="2699">
        <v>13.75</v>
      </c>
      <c r="AP27" s="2699">
        <v>13.53</v>
      </c>
    </row>
    <row r="28" spans="1:42" x14ac:dyDescent="0.25">
      <c r="A28" s="5999"/>
      <c r="B28" s="2403" t="s">
        <v>12</v>
      </c>
      <c r="C28" s="2404">
        <v>11.85</v>
      </c>
      <c r="D28" s="2404">
        <v>12.04</v>
      </c>
      <c r="E28" s="2404">
        <v>12.57</v>
      </c>
      <c r="F28" s="2404">
        <v>12.4</v>
      </c>
      <c r="G28" s="2404">
        <v>12.69</v>
      </c>
      <c r="H28" s="2404">
        <v>12.74</v>
      </c>
      <c r="I28" s="2404">
        <v>12.93</v>
      </c>
      <c r="J28" s="2404">
        <v>12.9</v>
      </c>
      <c r="K28" s="2404">
        <v>13.04</v>
      </c>
      <c r="L28" s="2404">
        <v>13.14</v>
      </c>
      <c r="M28" s="2404">
        <v>13.03</v>
      </c>
      <c r="N28" s="2404">
        <v>13.38</v>
      </c>
      <c r="O28" s="2404">
        <v>13.52</v>
      </c>
      <c r="P28" s="2404">
        <v>13.46</v>
      </c>
      <c r="Q28" s="2404">
        <v>13.74</v>
      </c>
      <c r="R28" s="2404">
        <v>13.87</v>
      </c>
      <c r="S28" s="2404">
        <v>13.87</v>
      </c>
      <c r="T28" s="2404">
        <v>13.97</v>
      </c>
      <c r="U28" s="2404">
        <v>14</v>
      </c>
      <c r="V28" s="2404">
        <v>13.94</v>
      </c>
      <c r="W28" s="2404">
        <v>13.83</v>
      </c>
      <c r="X28" s="2404">
        <v>13.72</v>
      </c>
      <c r="Y28" s="2404">
        <v>13.77</v>
      </c>
      <c r="Z28" s="2404">
        <v>13.67</v>
      </c>
      <c r="AA28" s="2404">
        <v>13.62</v>
      </c>
      <c r="AB28" s="2404">
        <v>13.608874656907593</v>
      </c>
      <c r="AC28" s="2404">
        <v>13.718039413845377</v>
      </c>
      <c r="AD28" s="2404">
        <v>13.740957966764418</v>
      </c>
      <c r="AE28" s="2404">
        <v>13.648156789547363</v>
      </c>
      <c r="AF28" s="2404">
        <v>13.535792709705744</v>
      </c>
      <c r="AG28" s="2404">
        <v>13.463944076526859</v>
      </c>
      <c r="AH28" s="2404">
        <v>13.5</v>
      </c>
      <c r="AI28" s="2404">
        <v>13.781349206349185</v>
      </c>
      <c r="AJ28" s="2404">
        <v>13.886527836804103</v>
      </c>
      <c r="AK28" s="2405">
        <v>13.558333333333332</v>
      </c>
      <c r="AL28" s="2405">
        <v>13.8</v>
      </c>
      <c r="AM28" s="2405">
        <v>13.662060301507545</v>
      </c>
      <c r="AN28" s="2405">
        <v>13.775423728813557</v>
      </c>
      <c r="AO28" s="2712">
        <v>13.71</v>
      </c>
      <c r="AP28" s="2712">
        <v>13.76</v>
      </c>
    </row>
    <row r="29" spans="1:42" ht="15" customHeight="1" x14ac:dyDescent="0.25">
      <c r="A29" s="3447" t="s">
        <v>133</v>
      </c>
      <c r="B29" s="3447"/>
      <c r="C29" s="3447"/>
      <c r="D29" s="3447"/>
      <c r="E29" s="3447"/>
      <c r="F29" s="3447"/>
      <c r="G29" s="3447"/>
    </row>
    <row r="30" spans="1:42" x14ac:dyDescent="0.25">
      <c r="A30" s="240" t="s">
        <v>648</v>
      </c>
      <c r="B30" s="374"/>
      <c r="C30" s="374"/>
      <c r="D30" s="374"/>
      <c r="E30" s="374"/>
      <c r="F30" s="374"/>
      <c r="G30" s="374"/>
    </row>
  </sheetData>
  <sheetProtection algorithmName="SHA-512" hashValue="LRlaYJVHZvaiQvpJvyY2dBMUW+9agj7LJ4yPx0l48NuJtAjScjtjjxWGketV/2PoTMXbD/4GO1kWdib9CAv/VA==" saltValue="RB9oq3x58aWdcFHpxb0zcw==" spinCount="100000" sheet="1" objects="1" scenarios="1"/>
  <mergeCells count="6">
    <mergeCell ref="A5:A8"/>
    <mergeCell ref="A10:A13"/>
    <mergeCell ref="A15:A18"/>
    <mergeCell ref="A25:A28"/>
    <mergeCell ref="A1:B1"/>
    <mergeCell ref="A20:A23"/>
  </mergeCells>
  <printOptions horizontalCentered="1" verticalCentered="1"/>
  <pageMargins left="0.51181102362204722" right="0.51181102362204722" top="0.74803149606299213" bottom="0.74803149606299213" header="0.31496062992125984" footer="0.31496062992125984"/>
  <pageSetup scale="75" pageOrder="overThenDown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K236"/>
  <sheetViews>
    <sheetView showGridLines="0" zoomScaleNormal="100" workbookViewId="0">
      <selection activeCell="P33" sqref="P33"/>
    </sheetView>
  </sheetViews>
  <sheetFormatPr baseColWidth="10" defaultRowHeight="12.75" x14ac:dyDescent="0.2"/>
  <cols>
    <col min="1" max="1" width="15" bestFit="1" customWidth="1"/>
    <col min="2" max="2" width="9.140625" bestFit="1" customWidth="1"/>
  </cols>
  <sheetData>
    <row r="2" spans="1:10" ht="20.25" x14ac:dyDescent="0.3">
      <c r="A2" s="1766"/>
      <c r="B2" s="5109" t="s">
        <v>1392</v>
      </c>
    </row>
    <row r="3" spans="1:10" ht="20.25" x14ac:dyDescent="0.3">
      <c r="A3" s="1766"/>
      <c r="B3" s="5109"/>
    </row>
    <row r="4" spans="1:10" ht="20.25" x14ac:dyDescent="0.3">
      <c r="B4" s="5109"/>
      <c r="J4" s="5527" t="s">
        <v>1702</v>
      </c>
    </row>
    <row r="5" spans="1:10" ht="15" customHeight="1" x14ac:dyDescent="0.2">
      <c r="A5" s="6015" t="s">
        <v>16</v>
      </c>
      <c r="B5" s="6015" t="s">
        <v>4</v>
      </c>
      <c r="C5" s="6016" t="s">
        <v>660</v>
      </c>
      <c r="D5" s="6017"/>
      <c r="E5" s="6017"/>
      <c r="F5" s="6017"/>
      <c r="G5" s="6017"/>
      <c r="H5" s="6017"/>
      <c r="I5" s="6017"/>
      <c r="J5" s="6018"/>
    </row>
    <row r="6" spans="1:10" ht="15" customHeight="1" x14ac:dyDescent="0.2">
      <c r="A6" s="5654"/>
      <c r="B6" s="5654"/>
      <c r="C6" s="1749" t="s">
        <v>1701</v>
      </c>
      <c r="D6" s="1749">
        <v>2007</v>
      </c>
      <c r="E6" s="1749">
        <v>2008</v>
      </c>
      <c r="F6" s="1749">
        <v>2009</v>
      </c>
      <c r="G6" s="1749">
        <v>2010</v>
      </c>
      <c r="H6" s="1749">
        <v>2011</v>
      </c>
      <c r="I6" s="1749">
        <v>2012</v>
      </c>
      <c r="J6" s="1749">
        <v>2013</v>
      </c>
    </row>
    <row r="7" spans="1:10" ht="15" customHeight="1" x14ac:dyDescent="0.2">
      <c r="A7" s="1750"/>
      <c r="B7" s="1750"/>
      <c r="C7" s="1750"/>
      <c r="D7" s="1750"/>
      <c r="E7" s="1750"/>
      <c r="F7" s="1750"/>
      <c r="G7" s="1750"/>
      <c r="H7" s="1750"/>
      <c r="I7" s="1750"/>
      <c r="J7" s="1750"/>
    </row>
    <row r="8" spans="1:10" ht="15" customHeight="1" x14ac:dyDescent="0.25">
      <c r="A8" s="6019" t="s">
        <v>161</v>
      </c>
      <c r="B8" s="991" t="s">
        <v>5</v>
      </c>
      <c r="C8" s="1767">
        <v>0.33769465179345243</v>
      </c>
      <c r="D8" s="1768">
        <v>0.29366736256089077</v>
      </c>
      <c r="E8" s="1768">
        <v>0.31344262295081965</v>
      </c>
      <c r="F8" s="1769">
        <v>0.30476848652384242</v>
      </c>
      <c r="G8" s="1768">
        <v>0.26697353279631758</v>
      </c>
      <c r="H8" s="1769">
        <v>0.20812894183601963</v>
      </c>
      <c r="I8" s="1768">
        <v>0.17127659574468085</v>
      </c>
      <c r="J8" s="1770">
        <v>4.5497630331753552E-2</v>
      </c>
    </row>
    <row r="9" spans="1:10" ht="15" customHeight="1" x14ac:dyDescent="0.25">
      <c r="A9" s="6020"/>
      <c r="B9" s="992" t="s">
        <v>6</v>
      </c>
      <c r="C9" s="1771">
        <v>0.55895051477914315</v>
      </c>
      <c r="D9" s="1772">
        <v>0.53014789533560869</v>
      </c>
      <c r="E9" s="1772">
        <v>0.58310871518418683</v>
      </c>
      <c r="F9" s="1773">
        <v>0.54621848739495793</v>
      </c>
      <c r="G9" s="1772">
        <v>0.53100000000000003</v>
      </c>
      <c r="H9" s="1773">
        <v>0.47053140096618357</v>
      </c>
      <c r="I9" s="1772">
        <v>0.4219703574542284</v>
      </c>
      <c r="J9" s="1774">
        <v>0.24910071942446044</v>
      </c>
    </row>
    <row r="10" spans="1:10" ht="15" customHeight="1" x14ac:dyDescent="0.25">
      <c r="A10" s="6020"/>
      <c r="B10" s="992" t="s">
        <v>7</v>
      </c>
      <c r="C10" s="1771">
        <v>0.53307493540051676</v>
      </c>
      <c r="D10" s="1772">
        <v>0.5531062124248497</v>
      </c>
      <c r="E10" s="1772">
        <v>0.56429942418426104</v>
      </c>
      <c r="F10" s="1773">
        <v>0.6038095238095238</v>
      </c>
      <c r="G10" s="1772">
        <v>0.57874762808349145</v>
      </c>
      <c r="H10" s="1773">
        <v>0.47992351816443596</v>
      </c>
      <c r="I10" s="1772">
        <v>0.47637051039697542</v>
      </c>
      <c r="J10" s="1774">
        <v>0.28947368421052633</v>
      </c>
    </row>
    <row r="11" spans="1:10" ht="15" customHeight="1" x14ac:dyDescent="0.25">
      <c r="A11" s="6021"/>
      <c r="B11" s="2943" t="s">
        <v>160</v>
      </c>
      <c r="C11" s="1775">
        <v>0.46021893956282484</v>
      </c>
      <c r="D11" s="1776">
        <v>0.41349911190053285</v>
      </c>
      <c r="E11" s="1776">
        <v>0.4498258942703387</v>
      </c>
      <c r="F11" s="1777">
        <v>0.44134078212290501</v>
      </c>
      <c r="G11" s="1776">
        <v>0.39816232771822357</v>
      </c>
      <c r="H11" s="1777">
        <v>0.34673366834170855</v>
      </c>
      <c r="I11" s="1776">
        <v>0.34288990825688076</v>
      </c>
      <c r="J11" s="1778">
        <v>0.17902813299232737</v>
      </c>
    </row>
    <row r="12" spans="1:10" ht="15" customHeight="1" x14ac:dyDescent="0.2">
      <c r="A12" s="192"/>
      <c r="B12" s="192"/>
    </row>
    <row r="13" spans="1:10" ht="15" customHeight="1" x14ac:dyDescent="0.25">
      <c r="A13" s="6022" t="s">
        <v>407</v>
      </c>
      <c r="B13" s="991" t="s">
        <v>6</v>
      </c>
      <c r="C13" s="1767">
        <v>0.7142857142857143</v>
      </c>
      <c r="D13" s="1768">
        <v>0.66055045871559637</v>
      </c>
      <c r="E13" s="1768">
        <v>0.63888888888888884</v>
      </c>
      <c r="F13" s="1768">
        <v>0.46478873239436619</v>
      </c>
      <c r="G13" s="1768">
        <v>0.4358974358974359</v>
      </c>
      <c r="H13" s="1769">
        <v>0.36363636363636365</v>
      </c>
      <c r="I13" s="1768">
        <v>0.37647058823529411</v>
      </c>
      <c r="J13" s="1770">
        <v>0.17708333333333334</v>
      </c>
    </row>
    <row r="14" spans="1:10" ht="15" customHeight="1" x14ac:dyDescent="0.25">
      <c r="A14" s="6023"/>
      <c r="B14" s="992" t="s">
        <v>9</v>
      </c>
      <c r="C14" s="1771">
        <v>0.55384615384615388</v>
      </c>
      <c r="D14" s="1772">
        <v>0.50757575757575757</v>
      </c>
      <c r="E14" s="1772">
        <v>0.41803278688524592</v>
      </c>
      <c r="F14" s="1772">
        <v>0.4044943820224719</v>
      </c>
      <c r="G14" s="1772">
        <v>0.47863247863247865</v>
      </c>
      <c r="H14" s="1773">
        <v>0.34710743801652894</v>
      </c>
      <c r="I14" s="1772">
        <v>0.27200000000000002</v>
      </c>
      <c r="J14" s="1774">
        <v>0.12931034482758622</v>
      </c>
    </row>
    <row r="15" spans="1:10" ht="15" customHeight="1" x14ac:dyDescent="0.25">
      <c r="A15" s="6023"/>
      <c r="B15" s="992" t="s">
        <v>74</v>
      </c>
      <c r="C15" s="1771">
        <v>0.56666666666666665</v>
      </c>
      <c r="D15" s="1772">
        <v>0.48214285714285715</v>
      </c>
      <c r="E15" s="1772">
        <v>0.3595505617977528</v>
      </c>
      <c r="F15" s="1772">
        <v>0.35294117647058826</v>
      </c>
      <c r="G15" s="1772">
        <v>0.36956521739130432</v>
      </c>
      <c r="H15" s="1773">
        <v>0.39603960396039606</v>
      </c>
      <c r="I15" s="1772">
        <v>0.20338983050847459</v>
      </c>
      <c r="J15" s="1774">
        <v>8.7301587301587297E-2</v>
      </c>
    </row>
    <row r="16" spans="1:10" ht="15" customHeight="1" x14ac:dyDescent="0.25">
      <c r="A16" s="6024"/>
      <c r="B16" s="2943" t="s">
        <v>160</v>
      </c>
      <c r="C16" s="1775">
        <v>0.63909774436090228</v>
      </c>
      <c r="D16" s="1776">
        <v>0.55892255892255893</v>
      </c>
      <c r="E16" s="1776">
        <v>0.47648902821316613</v>
      </c>
      <c r="F16" s="1776">
        <v>0.40789473684210525</v>
      </c>
      <c r="G16" s="1776">
        <v>0.43205574912891986</v>
      </c>
      <c r="H16" s="1777">
        <v>0.36789297658862874</v>
      </c>
      <c r="I16" s="1776">
        <v>0.27439024390243905</v>
      </c>
      <c r="J16" s="1778">
        <v>0.12721893491124261</v>
      </c>
    </row>
    <row r="17" spans="1:10" ht="15" customHeight="1" x14ac:dyDescent="0.2">
      <c r="A17" s="192"/>
      <c r="B17" s="192"/>
    </row>
    <row r="18" spans="1:10" ht="15" customHeight="1" x14ac:dyDescent="0.25">
      <c r="A18" s="6004" t="s">
        <v>162</v>
      </c>
      <c r="B18" s="991" t="s">
        <v>5</v>
      </c>
      <c r="C18" s="1767">
        <v>0.33491302989271948</v>
      </c>
      <c r="D18" s="1768">
        <v>0.32150313152400833</v>
      </c>
      <c r="E18" s="1768">
        <v>0.30605564648117839</v>
      </c>
      <c r="F18" s="1769">
        <v>0.29333333333333333</v>
      </c>
      <c r="G18" s="1768">
        <v>0.26093088857545838</v>
      </c>
      <c r="H18" s="1769">
        <v>0.18732782369146006</v>
      </c>
      <c r="I18" s="1768">
        <v>9.9606815203145474E-2</v>
      </c>
      <c r="J18" s="1770">
        <v>2.6345933562428408E-2</v>
      </c>
    </row>
    <row r="19" spans="1:10" ht="15" customHeight="1" x14ac:dyDescent="0.25">
      <c r="A19" s="6005"/>
      <c r="B19" s="992" t="s">
        <v>6</v>
      </c>
      <c r="C19" s="1771">
        <v>0.44376803322870095</v>
      </c>
      <c r="D19" s="1772">
        <v>0.4991119005328597</v>
      </c>
      <c r="E19" s="1772">
        <v>0.51633393829401086</v>
      </c>
      <c r="F19" s="1773">
        <v>0.49242424242424243</v>
      </c>
      <c r="G19" s="1772">
        <v>0.4070305272895467</v>
      </c>
      <c r="H19" s="1773">
        <v>0.38883541867179983</v>
      </c>
      <c r="I19" s="1772">
        <v>0.31762488218661639</v>
      </c>
      <c r="J19" s="1774">
        <v>0.17833173537871524</v>
      </c>
    </row>
    <row r="20" spans="1:10" ht="15" customHeight="1" x14ac:dyDescent="0.25">
      <c r="A20" s="6005"/>
      <c r="B20" s="992" t="s">
        <v>11</v>
      </c>
      <c r="C20" s="1771">
        <v>0.44338343315628886</v>
      </c>
      <c r="D20" s="1772">
        <v>0.52762923351158642</v>
      </c>
      <c r="E20" s="1772">
        <v>0.49286846275752771</v>
      </c>
      <c r="F20" s="1773">
        <v>0.49336870026525198</v>
      </c>
      <c r="G20" s="1772">
        <v>0.41655716162943496</v>
      </c>
      <c r="H20" s="1773">
        <v>0.37987421383647801</v>
      </c>
      <c r="I20" s="1772">
        <v>0.24466750313676286</v>
      </c>
      <c r="J20" s="1774">
        <v>9.1145833333333329E-2</v>
      </c>
    </row>
    <row r="21" spans="1:10" ht="15" customHeight="1" x14ac:dyDescent="0.25">
      <c r="A21" s="6006"/>
      <c r="B21" s="2943" t="s">
        <v>160</v>
      </c>
      <c r="C21" s="1775">
        <v>0.41312701822060521</v>
      </c>
      <c r="D21" s="1776">
        <v>0.46722068328716526</v>
      </c>
      <c r="E21" s="1776">
        <v>0.45520477815699661</v>
      </c>
      <c r="F21" s="1777">
        <v>0.44796573875802997</v>
      </c>
      <c r="G21" s="1776">
        <v>0.3692669541356331</v>
      </c>
      <c r="H21" s="1777">
        <v>0.32890625000000001</v>
      </c>
      <c r="I21" s="1776">
        <v>0.23197252956886685</v>
      </c>
      <c r="J21" s="1778">
        <v>0.10394932935916543</v>
      </c>
    </row>
    <row r="22" spans="1:10" ht="15" customHeight="1" x14ac:dyDescent="0.2"/>
    <row r="23" spans="1:10" ht="15" customHeight="1" x14ac:dyDescent="0.25">
      <c r="A23" s="6007" t="s">
        <v>408</v>
      </c>
      <c r="B23" s="991" t="s">
        <v>5</v>
      </c>
      <c r="C23" s="1767"/>
      <c r="D23" s="1768"/>
      <c r="E23" s="1768"/>
      <c r="F23" s="1769"/>
      <c r="G23" s="1768"/>
      <c r="H23" s="1769">
        <v>0.61363636363636365</v>
      </c>
      <c r="I23" s="1768">
        <v>0.24</v>
      </c>
      <c r="J23" s="1770">
        <v>0.25</v>
      </c>
    </row>
    <row r="24" spans="1:10" ht="15" customHeight="1" x14ac:dyDescent="0.25">
      <c r="A24" s="6008"/>
      <c r="B24" s="992" t="s">
        <v>6</v>
      </c>
      <c r="C24" s="1771"/>
      <c r="D24" s="1772"/>
      <c r="E24" s="1772"/>
      <c r="F24" s="1773"/>
      <c r="G24" s="1772"/>
      <c r="H24" s="1773">
        <v>0.76595744680851063</v>
      </c>
      <c r="I24" s="1772">
        <v>0.56666666666666665</v>
      </c>
      <c r="J24" s="1774">
        <v>0.49152542372881358</v>
      </c>
    </row>
    <row r="25" spans="1:10" ht="15" customHeight="1" x14ac:dyDescent="0.25">
      <c r="A25" s="6008"/>
      <c r="B25" s="992" t="s">
        <v>11</v>
      </c>
      <c r="C25" s="1771"/>
      <c r="D25" s="1772"/>
      <c r="E25" s="1772"/>
      <c r="F25" s="1773"/>
      <c r="G25" s="1772"/>
      <c r="H25" s="1773">
        <v>0.71111111111111114</v>
      </c>
      <c r="I25" s="1772">
        <v>0.68181818181818177</v>
      </c>
      <c r="J25" s="1774">
        <v>0.45454545454545453</v>
      </c>
    </row>
    <row r="26" spans="1:10" ht="15" customHeight="1" x14ac:dyDescent="0.25">
      <c r="A26" s="6009"/>
      <c r="B26" s="2943" t="s">
        <v>160</v>
      </c>
      <c r="C26" s="1775"/>
      <c r="D26" s="1776"/>
      <c r="E26" s="1776"/>
      <c r="F26" s="1777"/>
      <c r="G26" s="1776"/>
      <c r="H26" s="1777">
        <v>0.69852941176470584</v>
      </c>
      <c r="I26" s="1776">
        <v>0.4935064935064935</v>
      </c>
      <c r="J26" s="1778">
        <v>0.41258741258741261</v>
      </c>
    </row>
    <row r="27" spans="1:10" ht="15" customHeight="1" x14ac:dyDescent="0.2">
      <c r="A27" s="192"/>
      <c r="B27" s="192"/>
    </row>
    <row r="28" spans="1:10" ht="15" customHeight="1" x14ac:dyDescent="0.25">
      <c r="A28" s="6010" t="s">
        <v>163</v>
      </c>
      <c r="B28" s="991" t="s">
        <v>6</v>
      </c>
      <c r="C28" s="1767">
        <v>0.63676001521669157</v>
      </c>
      <c r="D28" s="1768">
        <v>0.65185783521809371</v>
      </c>
      <c r="E28" s="1768">
        <v>0.68242122719734655</v>
      </c>
      <c r="F28" s="1769">
        <v>0.68867924528301883</v>
      </c>
      <c r="G28" s="1768">
        <v>0.67485667485667489</v>
      </c>
      <c r="H28" s="1769">
        <v>0.64811643835616439</v>
      </c>
      <c r="I28" s="1768">
        <v>0.58211382113821142</v>
      </c>
      <c r="J28" s="1770">
        <v>0.39347079037800686</v>
      </c>
    </row>
    <row r="29" spans="1:10" ht="15" customHeight="1" x14ac:dyDescent="0.25">
      <c r="A29" s="6011"/>
      <c r="B29" s="992" t="s">
        <v>11</v>
      </c>
      <c r="C29" s="1771">
        <v>0.67080214397929949</v>
      </c>
      <c r="D29" s="1772">
        <v>0.72862957937584805</v>
      </c>
      <c r="E29" s="1772">
        <v>0.78878116343490301</v>
      </c>
      <c r="F29" s="1773">
        <v>0.73333333333333328</v>
      </c>
      <c r="G29" s="1772">
        <v>0.75997425997425994</v>
      </c>
      <c r="H29" s="1773">
        <v>0.71565934065934067</v>
      </c>
      <c r="I29" s="1772">
        <v>0.66509115462525326</v>
      </c>
      <c r="J29" s="1774">
        <v>0.48811292719167904</v>
      </c>
    </row>
    <row r="30" spans="1:10" ht="15" customHeight="1" x14ac:dyDescent="0.25">
      <c r="A30" s="6011"/>
      <c r="B30" s="992" t="s">
        <v>7</v>
      </c>
      <c r="C30" s="1771">
        <v>0.61757614213197964</v>
      </c>
      <c r="D30" s="1772">
        <v>0.55877862595419847</v>
      </c>
      <c r="E30" s="1772">
        <v>0.65822784810126578</v>
      </c>
      <c r="F30" s="1773">
        <v>0.64897260273972601</v>
      </c>
      <c r="G30" s="1772">
        <v>0.664440734557596</v>
      </c>
      <c r="H30" s="1773">
        <v>0.61589403973509937</v>
      </c>
      <c r="I30" s="1772">
        <v>0.58597662771285475</v>
      </c>
      <c r="J30" s="1774">
        <v>0.37833333333333335</v>
      </c>
    </row>
    <row r="31" spans="1:10" ht="15" customHeight="1" x14ac:dyDescent="0.25">
      <c r="A31" s="6012"/>
      <c r="B31" s="2943" t="s">
        <v>160</v>
      </c>
      <c r="C31" s="1775">
        <v>0.64932362122788767</v>
      </c>
      <c r="D31" s="1776">
        <v>0.66735966735966734</v>
      </c>
      <c r="E31" s="1776">
        <v>0.72455819622181594</v>
      </c>
      <c r="F31" s="1777">
        <v>0.70156739811912228</v>
      </c>
      <c r="G31" s="1776">
        <v>0.71221102548903381</v>
      </c>
      <c r="H31" s="1777">
        <v>0.67255266418835191</v>
      </c>
      <c r="I31" s="1776">
        <v>0.61993957703927494</v>
      </c>
      <c r="J31" s="1778">
        <v>0.43151125401929258</v>
      </c>
    </row>
    <row r="32" spans="1:10" ht="15" customHeight="1" x14ac:dyDescent="0.2"/>
    <row r="33" spans="1:10" ht="15" customHeight="1" x14ac:dyDescent="0.2">
      <c r="A33" s="6013" t="s">
        <v>76</v>
      </c>
      <c r="B33" s="6014"/>
      <c r="C33" s="5525">
        <v>0.5186950487758496</v>
      </c>
      <c r="D33" s="5525">
        <v>0.53076567198704605</v>
      </c>
      <c r="E33" s="5525">
        <v>0.55123558484349255</v>
      </c>
      <c r="F33" s="5525">
        <v>0.53660754888585716</v>
      </c>
      <c r="G33" s="5525">
        <v>0.50321831803313288</v>
      </c>
      <c r="H33" s="5525">
        <v>0.46188097306689835</v>
      </c>
      <c r="I33" s="5525">
        <v>0.41163985701519212</v>
      </c>
      <c r="J33" s="5526">
        <v>0.24556147359076785</v>
      </c>
    </row>
    <row r="34" spans="1:10" ht="15" customHeight="1" x14ac:dyDescent="0.3">
      <c r="A34" s="1766"/>
      <c r="B34" s="5109"/>
    </row>
    <row r="35" spans="1:10" ht="15.75" x14ac:dyDescent="0.25">
      <c r="B35" s="139"/>
    </row>
    <row r="36" spans="1:10" ht="15.75" x14ac:dyDescent="0.25">
      <c r="B36" s="139"/>
      <c r="J36" s="5527" t="s">
        <v>1562</v>
      </c>
    </row>
    <row r="37" spans="1:10" ht="15" x14ac:dyDescent="0.2">
      <c r="A37" s="6027" t="s">
        <v>16</v>
      </c>
      <c r="B37" s="6027" t="s">
        <v>4</v>
      </c>
      <c r="C37" s="6028" t="s">
        <v>660</v>
      </c>
      <c r="D37" s="6017"/>
      <c r="E37" s="6017"/>
      <c r="F37" s="6017"/>
      <c r="G37" s="6017"/>
      <c r="H37" s="6017"/>
      <c r="I37" s="6017"/>
      <c r="J37" s="6018"/>
    </row>
    <row r="38" spans="1:10" ht="15" x14ac:dyDescent="0.2">
      <c r="A38" s="5654"/>
      <c r="B38" s="5654"/>
      <c r="C38" s="1749" t="s">
        <v>1563</v>
      </c>
      <c r="D38" s="1749">
        <v>2006</v>
      </c>
      <c r="E38" s="1749">
        <v>2007</v>
      </c>
      <c r="F38" s="1749">
        <v>2008</v>
      </c>
      <c r="G38" s="1749">
        <v>2009</v>
      </c>
      <c r="H38" s="1749">
        <v>2010</v>
      </c>
      <c r="I38" s="1749">
        <v>2011</v>
      </c>
      <c r="J38" s="1749">
        <v>2012</v>
      </c>
    </row>
    <row r="39" spans="1:10" ht="15" x14ac:dyDescent="0.2">
      <c r="A39" s="1750"/>
      <c r="B39" s="1750"/>
      <c r="C39" s="1750"/>
      <c r="D39" s="1750"/>
      <c r="E39" s="1750"/>
      <c r="F39" s="1750"/>
      <c r="G39" s="1750"/>
      <c r="H39" s="1750"/>
      <c r="I39" s="1750"/>
      <c r="J39" s="1750"/>
    </row>
    <row r="40" spans="1:10" ht="15" customHeight="1" x14ac:dyDescent="0.25">
      <c r="A40" s="6029" t="s">
        <v>161</v>
      </c>
      <c r="B40" s="991" t="s">
        <v>5</v>
      </c>
      <c r="C40" s="1767">
        <v>0.33812676836916256</v>
      </c>
      <c r="D40" s="1768">
        <v>0.28129205921938089</v>
      </c>
      <c r="E40" s="1768">
        <v>0.26458333333333334</v>
      </c>
      <c r="F40" s="1769">
        <v>0.28262295081967215</v>
      </c>
      <c r="G40" s="1768">
        <v>0.25</v>
      </c>
      <c r="H40" s="1769">
        <v>0.17433831990794016</v>
      </c>
      <c r="I40" s="1768">
        <v>0.10581639803784162</v>
      </c>
      <c r="J40" s="1770">
        <v>3.4151547491995699E-2</v>
      </c>
    </row>
    <row r="41" spans="1:10" ht="15" customHeight="1" x14ac:dyDescent="0.25">
      <c r="A41" s="6020"/>
      <c r="B41" s="992" t="s">
        <v>6</v>
      </c>
      <c r="C41" s="1771">
        <v>0.55961952988674857</v>
      </c>
      <c r="D41" s="1772">
        <v>0.48127128263337116</v>
      </c>
      <c r="E41" s="1772">
        <v>0.51080773606370877</v>
      </c>
      <c r="F41" s="1773">
        <v>0.56642728904847395</v>
      </c>
      <c r="G41" s="1772">
        <v>0.52194211017740433</v>
      </c>
      <c r="H41" s="1773">
        <v>0.49</v>
      </c>
      <c r="I41" s="1772">
        <v>0.40367860600193611</v>
      </c>
      <c r="J41" s="1774">
        <v>0.24303135888501742</v>
      </c>
    </row>
    <row r="42" spans="1:10" ht="15" customHeight="1" x14ac:dyDescent="0.25">
      <c r="A42" s="6020"/>
      <c r="B42" s="992" t="s">
        <v>7</v>
      </c>
      <c r="C42" s="1771">
        <v>0.53162610678118871</v>
      </c>
      <c r="D42" s="1772">
        <v>0.54805725971370145</v>
      </c>
      <c r="E42" s="1772">
        <v>0.53306613226452904</v>
      </c>
      <c r="F42" s="1773">
        <v>0.52399232245681382</v>
      </c>
      <c r="G42" s="1772">
        <v>0.55809523809523809</v>
      </c>
      <c r="H42" s="1773">
        <v>0.51140684410646386</v>
      </c>
      <c r="I42" s="1772">
        <v>0.35755258126195028</v>
      </c>
      <c r="J42" s="1774">
        <v>0.26843100189035918</v>
      </c>
    </row>
    <row r="43" spans="1:10" ht="15" customHeight="1" x14ac:dyDescent="0.25">
      <c r="A43" s="6021"/>
      <c r="B43" s="2943" t="s">
        <v>160</v>
      </c>
      <c r="C43" s="1775">
        <v>0.46102390404389892</v>
      </c>
      <c r="D43" s="1776">
        <v>0.38865546218487396</v>
      </c>
      <c r="E43" s="1776">
        <v>0.38892831795599714</v>
      </c>
      <c r="F43" s="1777">
        <v>0.42246835443037972</v>
      </c>
      <c r="G43" s="1776">
        <v>0.3988173455978975</v>
      </c>
      <c r="H43" s="1777">
        <v>0.32536764705882354</v>
      </c>
      <c r="I43" s="1776">
        <v>0.25310090512906469</v>
      </c>
      <c r="J43" s="1778">
        <v>0.17329762815608263</v>
      </c>
    </row>
    <row r="44" spans="1:10" x14ac:dyDescent="0.2">
      <c r="A44" s="192"/>
      <c r="B44" s="192"/>
    </row>
    <row r="45" spans="1:10" ht="15" customHeight="1" x14ac:dyDescent="0.25">
      <c r="A45" s="6030" t="s">
        <v>407</v>
      </c>
      <c r="B45" s="991" t="s">
        <v>6</v>
      </c>
      <c r="C45" s="1767">
        <v>0.67368421052631577</v>
      </c>
      <c r="D45" s="1768">
        <v>0.8</v>
      </c>
      <c r="E45" s="1768">
        <v>0.64220183486238536</v>
      </c>
      <c r="F45" s="1768">
        <v>0.63888888888888884</v>
      </c>
      <c r="G45" s="1768">
        <v>0.45070422535211269</v>
      </c>
      <c r="H45" s="1769">
        <v>0.39743589743589741</v>
      </c>
      <c r="I45" s="1768">
        <v>0.25974025974025972</v>
      </c>
      <c r="J45" s="1770">
        <v>0.21176470588235294</v>
      </c>
    </row>
    <row r="46" spans="1:10" ht="15" customHeight="1" x14ac:dyDescent="0.25">
      <c r="A46" s="6023"/>
      <c r="B46" s="992" t="s">
        <v>9</v>
      </c>
      <c r="C46" s="1771">
        <v>0.54054054054054057</v>
      </c>
      <c r="D46" s="1772">
        <v>0.51724137931034486</v>
      </c>
      <c r="E46" s="1772">
        <v>0.50387596899224807</v>
      </c>
      <c r="F46" s="1772">
        <v>0.3902439024390244</v>
      </c>
      <c r="G46" s="1772">
        <v>0.3707865168539326</v>
      </c>
      <c r="H46" s="1773">
        <v>0.40677966101694918</v>
      </c>
      <c r="I46" s="1772">
        <v>0.15573770491803279</v>
      </c>
      <c r="J46" s="1774">
        <v>7.9365079365079361E-2</v>
      </c>
    </row>
    <row r="47" spans="1:10" ht="15" customHeight="1" x14ac:dyDescent="0.25">
      <c r="A47" s="6023"/>
      <c r="B47" s="992" t="s">
        <v>74</v>
      </c>
      <c r="C47" s="1771">
        <v>0.61538461538461542</v>
      </c>
      <c r="D47" s="1772">
        <v>0.47619047619047616</v>
      </c>
      <c r="E47" s="1772">
        <v>0.4107142857142857</v>
      </c>
      <c r="F47" s="1772">
        <v>0.34444444444444444</v>
      </c>
      <c r="G47" s="1772">
        <v>0.29411764705882354</v>
      </c>
      <c r="H47" s="1773">
        <v>0.31521739130434784</v>
      </c>
      <c r="I47" s="1772">
        <v>0.23762376237623761</v>
      </c>
      <c r="J47" s="1774">
        <v>6.6115702479338845E-2</v>
      </c>
    </row>
    <row r="48" spans="1:10" ht="15" customHeight="1" x14ac:dyDescent="0.25">
      <c r="A48" s="6024"/>
      <c r="B48" s="2943" t="s">
        <v>160</v>
      </c>
      <c r="C48" s="1775">
        <v>0.63157894736842102</v>
      </c>
      <c r="D48" s="1776">
        <v>0.64210526315789473</v>
      </c>
      <c r="E48" s="1776">
        <v>0.5374149659863946</v>
      </c>
      <c r="F48" s="1776">
        <v>0.46105919003115264</v>
      </c>
      <c r="G48" s="1776">
        <v>0.37280701754385964</v>
      </c>
      <c r="H48" s="1777">
        <v>0.375</v>
      </c>
      <c r="I48" s="1776">
        <v>0.21</v>
      </c>
      <c r="J48" s="1778">
        <v>0.10843373493975904</v>
      </c>
    </row>
    <row r="49" spans="1:10" x14ac:dyDescent="0.2">
      <c r="A49" s="192"/>
      <c r="B49" s="192"/>
    </row>
    <row r="50" spans="1:10" ht="15" customHeight="1" x14ac:dyDescent="0.25">
      <c r="A50" s="6031" t="s">
        <v>162</v>
      </c>
      <c r="B50" s="991" t="s">
        <v>5</v>
      </c>
      <c r="C50" s="1767">
        <v>0.33279734148040951</v>
      </c>
      <c r="D50" s="1768">
        <v>0.34678899082568809</v>
      </c>
      <c r="E50" s="1768">
        <v>0.30641821946169773</v>
      </c>
      <c r="F50" s="1769">
        <v>0.27823240589198034</v>
      </c>
      <c r="G50" s="1768">
        <v>0.25475285171102663</v>
      </c>
      <c r="H50" s="1769">
        <v>0.18873239436619718</v>
      </c>
      <c r="I50" s="1768">
        <v>9.6286107290233833E-2</v>
      </c>
      <c r="J50" s="1770">
        <v>3.4031413612565446E-2</v>
      </c>
    </row>
    <row r="51" spans="1:10" ht="15" customHeight="1" x14ac:dyDescent="0.25">
      <c r="A51" s="6005"/>
      <c r="B51" s="992" t="s">
        <v>6</v>
      </c>
      <c r="C51" s="1771">
        <v>0.44034685863874345</v>
      </c>
      <c r="D51" s="1772">
        <v>0.49948927477017363</v>
      </c>
      <c r="E51" s="1772">
        <v>0.48358473824312331</v>
      </c>
      <c r="F51" s="1773">
        <v>0.49227974568574023</v>
      </c>
      <c r="G51" s="1772">
        <v>0.46685606060606061</v>
      </c>
      <c r="H51" s="1773">
        <v>0.3755781683626272</v>
      </c>
      <c r="I51" s="1772">
        <v>0.30057803468208094</v>
      </c>
      <c r="J51" s="1774">
        <v>0.16650898770104069</v>
      </c>
    </row>
    <row r="52" spans="1:10" ht="15" customHeight="1" x14ac:dyDescent="0.25">
      <c r="A52" s="6005"/>
      <c r="B52" s="992" t="s">
        <v>11</v>
      </c>
      <c r="C52" s="1771">
        <v>0.43922118926504122</v>
      </c>
      <c r="D52" s="1772">
        <v>0.52268907563025213</v>
      </c>
      <c r="E52" s="1772">
        <v>0.50355871886120995</v>
      </c>
      <c r="F52" s="1773">
        <v>0.45166402535657685</v>
      </c>
      <c r="G52" s="1772">
        <v>0.44355909694555112</v>
      </c>
      <c r="H52" s="1773">
        <v>0.35611038107752957</v>
      </c>
      <c r="I52" s="1772">
        <v>0.24748743718592964</v>
      </c>
      <c r="J52" s="1774">
        <v>6.9532237673830599E-2</v>
      </c>
    </row>
    <row r="53" spans="1:10" ht="15" customHeight="1" x14ac:dyDescent="0.25">
      <c r="A53" s="6006"/>
      <c r="B53" s="2943" t="s">
        <v>160</v>
      </c>
      <c r="C53" s="1775">
        <v>0.4098009650180941</v>
      </c>
      <c r="D53" s="1776">
        <v>0.46672958942897591</v>
      </c>
      <c r="E53" s="1776">
        <v>0.44935543278084716</v>
      </c>
      <c r="F53" s="1777">
        <v>0.42552283397353818</v>
      </c>
      <c r="G53" s="1776">
        <v>0.41156316916488223</v>
      </c>
      <c r="H53" s="1777">
        <v>0.31778996865203762</v>
      </c>
      <c r="I53" s="1776">
        <v>0.22608356110894182</v>
      </c>
      <c r="J53" s="1778">
        <v>9.8392036753445641E-2</v>
      </c>
    </row>
    <row r="55" spans="1:10" ht="15" customHeight="1" x14ac:dyDescent="0.25">
      <c r="A55" s="6026" t="s">
        <v>408</v>
      </c>
      <c r="B55" s="991" t="s">
        <v>5</v>
      </c>
      <c r="C55" s="1767"/>
      <c r="D55" s="1768"/>
      <c r="E55" s="1768"/>
      <c r="F55" s="1769"/>
      <c r="G55" s="1768"/>
      <c r="H55" s="1769"/>
      <c r="I55" s="1768">
        <v>0.59090909090909094</v>
      </c>
      <c r="J55" s="1770">
        <v>0.16</v>
      </c>
    </row>
    <row r="56" spans="1:10" ht="15" customHeight="1" x14ac:dyDescent="0.25">
      <c r="A56" s="6008"/>
      <c r="B56" s="992" t="s">
        <v>6</v>
      </c>
      <c r="C56" s="1771"/>
      <c r="D56" s="1772"/>
      <c r="E56" s="1772"/>
      <c r="F56" s="1773"/>
      <c r="G56" s="1772"/>
      <c r="H56" s="1773"/>
      <c r="I56" s="1772">
        <v>0.74468085106382975</v>
      </c>
      <c r="J56" s="1774">
        <v>0.26666666666666666</v>
      </c>
    </row>
    <row r="57" spans="1:10" ht="15" customHeight="1" x14ac:dyDescent="0.25">
      <c r="A57" s="6008"/>
      <c r="B57" s="992" t="s">
        <v>11</v>
      </c>
      <c r="C57" s="1771"/>
      <c r="D57" s="1772"/>
      <c r="E57" s="1772"/>
      <c r="F57" s="1773"/>
      <c r="G57" s="1772"/>
      <c r="H57" s="1773"/>
      <c r="I57" s="1772">
        <v>0.66666666666666663</v>
      </c>
      <c r="J57" s="1774">
        <v>0.27272727272727271</v>
      </c>
    </row>
    <row r="58" spans="1:10" ht="15" customHeight="1" x14ac:dyDescent="0.25">
      <c r="A58" s="6009"/>
      <c r="B58" s="2943" t="s">
        <v>160</v>
      </c>
      <c r="C58" s="1775"/>
      <c r="D58" s="1776"/>
      <c r="E58" s="1776"/>
      <c r="F58" s="1777"/>
      <c r="G58" s="1776"/>
      <c r="H58" s="1777"/>
      <c r="I58" s="1776">
        <v>0.66911764705882348</v>
      </c>
      <c r="J58" s="1778">
        <v>0.23376623376623376</v>
      </c>
    </row>
    <row r="59" spans="1:10" ht="15" customHeight="1" x14ac:dyDescent="0.2">
      <c r="A59" s="192"/>
      <c r="B59" s="192"/>
    </row>
    <row r="60" spans="1:10" ht="15" customHeight="1" x14ac:dyDescent="0.25">
      <c r="A60" s="6032" t="s">
        <v>163</v>
      </c>
      <c r="B60" s="991" t="s">
        <v>6</v>
      </c>
      <c r="C60" s="1767">
        <v>0.63470111909744331</v>
      </c>
      <c r="D60" s="1768">
        <v>0.68583333333333329</v>
      </c>
      <c r="E60" s="1768">
        <v>0.64777327935222673</v>
      </c>
      <c r="F60" s="1769">
        <v>0.67744610281923712</v>
      </c>
      <c r="G60" s="1768">
        <v>0.68010291595197259</v>
      </c>
      <c r="H60" s="1769">
        <v>0.65520065520065518</v>
      </c>
      <c r="I60" s="1768">
        <v>0.59468723221936592</v>
      </c>
      <c r="J60" s="1770">
        <v>0.4289195775792039</v>
      </c>
    </row>
    <row r="61" spans="1:10" ht="15" customHeight="1" x14ac:dyDescent="0.25">
      <c r="A61" s="6011"/>
      <c r="B61" s="992" t="s">
        <v>11</v>
      </c>
      <c r="C61" s="1771">
        <v>0.66791699728293541</v>
      </c>
      <c r="D61" s="1772">
        <v>0.73923303834808263</v>
      </c>
      <c r="E61" s="1772">
        <v>0.72591587516960654</v>
      </c>
      <c r="F61" s="1773">
        <v>0.78601108033240996</v>
      </c>
      <c r="G61" s="1772">
        <v>0.72430555555555554</v>
      </c>
      <c r="H61" s="1773">
        <v>0.74453024453024452</v>
      </c>
      <c r="I61" s="1772">
        <v>0.65979381443298968</v>
      </c>
      <c r="J61" s="1774">
        <v>0.49577897160399081</v>
      </c>
    </row>
    <row r="62" spans="1:10" ht="15" customHeight="1" x14ac:dyDescent="0.25">
      <c r="A62" s="6011"/>
      <c r="B62" s="992" t="s">
        <v>7</v>
      </c>
      <c r="C62" s="1771">
        <v>0.61709446943635882</v>
      </c>
      <c r="D62" s="1772">
        <v>0.61645962732919257</v>
      </c>
      <c r="E62" s="1772">
        <v>0.55913978494623651</v>
      </c>
      <c r="F62" s="1773">
        <v>0.64873417721518989</v>
      </c>
      <c r="G62" s="1772">
        <v>0.63184931506849318</v>
      </c>
      <c r="H62" s="1773">
        <v>0.64273789649415691</v>
      </c>
      <c r="I62" s="1772">
        <v>0.56053067993366501</v>
      </c>
      <c r="J62" s="1774">
        <v>0.41402337228714525</v>
      </c>
    </row>
    <row r="63" spans="1:10" ht="15" customHeight="1" x14ac:dyDescent="0.25">
      <c r="A63" s="6012"/>
      <c r="B63" s="2943" t="s">
        <v>160</v>
      </c>
      <c r="C63" s="1775">
        <v>0.64713753651954775</v>
      </c>
      <c r="D63" s="1776">
        <v>0.6987849675049449</v>
      </c>
      <c r="E63" s="1776">
        <v>0.66488095238095235</v>
      </c>
      <c r="F63" s="1777">
        <v>0.71968312004875079</v>
      </c>
      <c r="G63" s="1776">
        <v>0.69122257053291536</v>
      </c>
      <c r="H63" s="1777">
        <v>0.69413159454653228</v>
      </c>
      <c r="I63" s="1776">
        <v>0.61767441860465111</v>
      </c>
      <c r="J63" s="1778">
        <v>0.45387807213533354</v>
      </c>
    </row>
    <row r="64" spans="1:10" ht="15" customHeight="1" x14ac:dyDescent="0.2"/>
    <row r="65" spans="1:10" ht="15" customHeight="1" x14ac:dyDescent="0.2">
      <c r="A65" s="5801" t="s">
        <v>76</v>
      </c>
      <c r="B65" s="6025"/>
      <c r="C65" s="2944">
        <v>0.51687348033872726</v>
      </c>
      <c r="D65" s="2944">
        <v>0.53815774189801369</v>
      </c>
      <c r="E65" s="2944">
        <v>0.51642757982415544</v>
      </c>
      <c r="F65" s="2944">
        <v>0.53173731605534813</v>
      </c>
      <c r="G65" s="2944">
        <v>0.50755939524838012</v>
      </c>
      <c r="H65" s="2944">
        <v>0.45610888373074487</v>
      </c>
      <c r="I65" s="2944">
        <v>0.37805540467137427</v>
      </c>
      <c r="J65" s="2945">
        <v>0.24931569343065693</v>
      </c>
    </row>
    <row r="66" spans="1:10" x14ac:dyDescent="0.2">
      <c r="A66" s="240" t="s">
        <v>648</v>
      </c>
    </row>
    <row r="67" spans="1:10" x14ac:dyDescent="0.2">
      <c r="A67" s="374"/>
    </row>
    <row r="68" spans="1:10" ht="15" customHeight="1" x14ac:dyDescent="0.25">
      <c r="B68" s="139"/>
    </row>
    <row r="69" spans="1:10" ht="15" customHeight="1" x14ac:dyDescent="0.25">
      <c r="J69" s="5527" t="s">
        <v>1561</v>
      </c>
    </row>
    <row r="70" spans="1:10" ht="15" x14ac:dyDescent="0.2">
      <c r="A70" s="6027" t="s">
        <v>16</v>
      </c>
      <c r="B70" s="6027" t="s">
        <v>4</v>
      </c>
      <c r="C70" s="6028" t="s">
        <v>660</v>
      </c>
      <c r="D70" s="6017"/>
      <c r="E70" s="6017"/>
      <c r="F70" s="6017"/>
      <c r="G70" s="6017"/>
      <c r="H70" s="6017"/>
      <c r="I70" s="6017"/>
      <c r="J70" s="6018"/>
    </row>
    <row r="71" spans="1:10" ht="15" x14ac:dyDescent="0.2">
      <c r="A71" s="5654"/>
      <c r="B71" s="5654"/>
      <c r="C71" s="1749" t="s">
        <v>1393</v>
      </c>
      <c r="D71" s="1749">
        <v>2005</v>
      </c>
      <c r="E71" s="1749">
        <v>2006</v>
      </c>
      <c r="F71" s="1749">
        <v>2007</v>
      </c>
      <c r="G71" s="1749">
        <v>2008</v>
      </c>
      <c r="H71" s="1749">
        <v>2009</v>
      </c>
      <c r="I71" s="1749">
        <v>2010</v>
      </c>
      <c r="J71" s="1749">
        <v>2011</v>
      </c>
    </row>
    <row r="72" spans="1:10" ht="15" x14ac:dyDescent="0.2">
      <c r="A72" s="1750"/>
      <c r="B72" s="1750"/>
      <c r="C72" s="1750"/>
      <c r="D72" s="1750"/>
      <c r="E72" s="1750"/>
      <c r="F72" s="1750"/>
      <c r="G72" s="1750"/>
      <c r="H72" s="1750"/>
      <c r="I72" s="1750"/>
      <c r="J72" s="1750"/>
    </row>
    <row r="73" spans="1:10" ht="15" x14ac:dyDescent="0.25">
      <c r="A73" s="6029" t="s">
        <v>161</v>
      </c>
      <c r="B73" s="991" t="s">
        <v>5</v>
      </c>
      <c r="C73" s="1767">
        <v>0.33770451992836109</v>
      </c>
      <c r="D73" s="1768">
        <v>0.31684698608964451</v>
      </c>
      <c r="E73" s="1768">
        <v>0.2691007437457742</v>
      </c>
      <c r="F73" s="1769">
        <v>0.25072254335260113</v>
      </c>
      <c r="G73" s="1768">
        <v>0.24097176625082076</v>
      </c>
      <c r="H73" s="1769">
        <v>0.19557705597788527</v>
      </c>
      <c r="I73" s="1768">
        <v>9.7813578826237049E-2</v>
      </c>
      <c r="J73" s="1770">
        <v>2.5946704067321177E-2</v>
      </c>
    </row>
    <row r="74" spans="1:10" ht="15" x14ac:dyDescent="0.25">
      <c r="A74" s="6020"/>
      <c r="B74" s="992" t="s">
        <v>6</v>
      </c>
      <c r="C74" s="1771">
        <v>0.56149789402895267</v>
      </c>
      <c r="D74" s="1772">
        <v>0.50460829493087556</v>
      </c>
      <c r="E74" s="1772">
        <v>0.47193585337915234</v>
      </c>
      <c r="F74" s="1773">
        <v>0.51364175563463821</v>
      </c>
      <c r="G74" s="1772">
        <v>0.55263157894736847</v>
      </c>
      <c r="H74" s="1773">
        <v>0.49060150375939848</v>
      </c>
      <c r="I74" s="1772">
        <v>0.42179616548940463</v>
      </c>
      <c r="J74" s="1774">
        <v>0.26640548481880511</v>
      </c>
    </row>
    <row r="75" spans="1:10" ht="15" x14ac:dyDescent="0.25">
      <c r="A75" s="6020"/>
      <c r="B75" s="992" t="s">
        <v>7</v>
      </c>
      <c r="C75" s="1771">
        <v>0.5298360655737705</v>
      </c>
      <c r="D75" s="1772">
        <v>0.58394160583941601</v>
      </c>
      <c r="E75" s="1772">
        <v>0.53086419753086422</v>
      </c>
      <c r="F75" s="1773">
        <v>0.5218295218295218</v>
      </c>
      <c r="G75" s="1772">
        <v>0.48069498069498068</v>
      </c>
      <c r="H75" s="1773">
        <v>0.53537284894837478</v>
      </c>
      <c r="I75" s="1772">
        <v>0.44913627639155468</v>
      </c>
      <c r="J75" s="1774">
        <v>0.2</v>
      </c>
    </row>
    <row r="76" spans="1:10" ht="15" x14ac:dyDescent="0.25">
      <c r="A76" s="6021"/>
      <c r="B76" s="2943" t="s">
        <v>160</v>
      </c>
      <c r="C76" s="1775">
        <v>0.46146975948475394</v>
      </c>
      <c r="D76" s="1776">
        <v>0.43099630996309962</v>
      </c>
      <c r="E76" s="1776">
        <v>0.3763213530655391</v>
      </c>
      <c r="F76" s="1777">
        <v>0.38072378138847857</v>
      </c>
      <c r="G76" s="1776">
        <v>0.38975501113585748</v>
      </c>
      <c r="H76" s="1777">
        <v>0.35761371127224784</v>
      </c>
      <c r="I76" s="1776">
        <v>0.25292307692307692</v>
      </c>
      <c r="J76" s="1778">
        <v>0.13919784293899562</v>
      </c>
    </row>
    <row r="77" spans="1:10" x14ac:dyDescent="0.2">
      <c r="A77" s="192"/>
      <c r="B77" s="192"/>
    </row>
    <row r="78" spans="1:10" ht="15" x14ac:dyDescent="0.25">
      <c r="A78" s="6030" t="s">
        <v>407</v>
      </c>
      <c r="B78" s="991" t="s">
        <v>6</v>
      </c>
      <c r="C78" s="1767"/>
      <c r="D78" s="1768">
        <v>0.68085106382978722</v>
      </c>
      <c r="E78" s="1768">
        <v>0.81395348837209303</v>
      </c>
      <c r="F78" s="1768">
        <v>0.65714285714285714</v>
      </c>
      <c r="G78" s="1768">
        <v>0.61682242990654201</v>
      </c>
      <c r="H78" s="1769">
        <v>0.40845070422535212</v>
      </c>
      <c r="I78" s="1768">
        <v>0.35897435897435898</v>
      </c>
      <c r="J78" s="1770">
        <v>0.12987012987012986</v>
      </c>
    </row>
    <row r="79" spans="1:10" ht="15" x14ac:dyDescent="0.25">
      <c r="A79" s="6023"/>
      <c r="B79" s="992" t="s">
        <v>9</v>
      </c>
      <c r="C79" s="1771"/>
      <c r="D79" s="1772">
        <v>0.51351351351351349</v>
      </c>
      <c r="E79" s="1772">
        <v>0.55555555555555558</v>
      </c>
      <c r="F79" s="1772">
        <v>0.504</v>
      </c>
      <c r="G79" s="1772">
        <v>0.36885245901639346</v>
      </c>
      <c r="H79" s="1773">
        <v>0.28888888888888886</v>
      </c>
      <c r="I79" s="1772">
        <v>0.29411764705882354</v>
      </c>
      <c r="J79" s="1774">
        <v>4.0983606557377046E-2</v>
      </c>
    </row>
    <row r="80" spans="1:10" ht="15" x14ac:dyDescent="0.25">
      <c r="A80" s="6023"/>
      <c r="B80" s="992" t="s">
        <v>74</v>
      </c>
      <c r="C80" s="1771"/>
      <c r="D80" s="1772">
        <v>0.61538461538461542</v>
      </c>
      <c r="E80" s="1772">
        <v>0.47619047619047616</v>
      </c>
      <c r="F80" s="1772">
        <v>0.4</v>
      </c>
      <c r="G80" s="1772">
        <v>0.27777777777777779</v>
      </c>
      <c r="H80" s="1773">
        <v>0.22058823529411764</v>
      </c>
      <c r="I80" s="1772">
        <v>0.18478260869565216</v>
      </c>
      <c r="J80" s="1774">
        <v>5.9405940594059403E-2</v>
      </c>
    </row>
    <row r="81" spans="1:10" ht="15" x14ac:dyDescent="0.25">
      <c r="A81" s="6024"/>
      <c r="B81" s="2943" t="s">
        <v>160</v>
      </c>
      <c r="C81" s="1775"/>
      <c r="D81" s="1776">
        <v>0.62941176470588234</v>
      </c>
      <c r="E81" s="1776">
        <v>0.65934065934065933</v>
      </c>
      <c r="F81" s="1776">
        <v>0.54285714285714282</v>
      </c>
      <c r="G81" s="1776">
        <v>0.42633228840125392</v>
      </c>
      <c r="H81" s="1777">
        <v>0.3056768558951965</v>
      </c>
      <c r="I81" s="1776">
        <v>0.27681660899653981</v>
      </c>
      <c r="J81" s="1778">
        <v>7.0000000000000007E-2</v>
      </c>
    </row>
    <row r="82" spans="1:10" x14ac:dyDescent="0.2">
      <c r="A82" s="192"/>
      <c r="B82" s="192"/>
    </row>
    <row r="83" spans="1:10" ht="15" x14ac:dyDescent="0.25">
      <c r="A83" s="6031" t="s">
        <v>162</v>
      </c>
      <c r="B83" s="991" t="s">
        <v>5</v>
      </c>
      <c r="C83" s="1767">
        <v>0.33073176131960591</v>
      </c>
      <c r="D83" s="1768">
        <v>0.38502673796791442</v>
      </c>
      <c r="E83" s="1768">
        <v>0.33761467889908259</v>
      </c>
      <c r="F83" s="1769">
        <v>0.29399141630901288</v>
      </c>
      <c r="G83" s="1768">
        <v>0.23316912972085385</v>
      </c>
      <c r="H83" s="1769">
        <v>0.19047619047619047</v>
      </c>
      <c r="I83" s="1768">
        <v>9.0267983074753172E-2</v>
      </c>
      <c r="J83" s="1770">
        <v>2.7322404371584699E-2</v>
      </c>
    </row>
    <row r="84" spans="1:10" ht="15" x14ac:dyDescent="0.25">
      <c r="A84" s="6005"/>
      <c r="B84" s="992" t="s">
        <v>6</v>
      </c>
      <c r="C84" s="1771">
        <v>0.43859232361624867</v>
      </c>
      <c r="D84" s="1772">
        <v>0.49792099792099792</v>
      </c>
      <c r="E84" s="1772">
        <v>0.48911917098445595</v>
      </c>
      <c r="F84" s="1773">
        <v>0.49618320610687022</v>
      </c>
      <c r="G84" s="1772">
        <v>0.47107438016528924</v>
      </c>
      <c r="H84" s="1773">
        <v>0.43103448275862066</v>
      </c>
      <c r="I84" s="1772">
        <v>0.30602636534839922</v>
      </c>
      <c r="J84" s="1774">
        <v>0.16324535679374388</v>
      </c>
    </row>
    <row r="85" spans="1:10" ht="15" x14ac:dyDescent="0.25">
      <c r="A85" s="6005"/>
      <c r="B85" s="992" t="s">
        <v>11</v>
      </c>
      <c r="C85" s="1771">
        <v>0.43451268760171174</v>
      </c>
      <c r="D85" s="1772">
        <v>0.55421686746987953</v>
      </c>
      <c r="E85" s="1772">
        <v>0.50505050505050508</v>
      </c>
      <c r="F85" s="1773">
        <v>0.46593001841620624</v>
      </c>
      <c r="G85" s="1772">
        <v>0.40317460317460319</v>
      </c>
      <c r="H85" s="1773">
        <v>0.36254980079681276</v>
      </c>
      <c r="I85" s="1772">
        <v>0.23117569352708059</v>
      </c>
      <c r="J85" s="1774">
        <v>8.5858585858585856E-2</v>
      </c>
    </row>
    <row r="86" spans="1:10" ht="15" x14ac:dyDescent="0.25">
      <c r="A86" s="6006"/>
      <c r="B86" s="2943" t="s">
        <v>160</v>
      </c>
      <c r="C86" s="1775">
        <v>0.40714864949161</v>
      </c>
      <c r="D86" s="1776">
        <v>0.48045522018802572</v>
      </c>
      <c r="E86" s="1776">
        <v>0.45437262357414449</v>
      </c>
      <c r="F86" s="1777">
        <v>0.44239183276616434</v>
      </c>
      <c r="G86" s="1776">
        <v>0.3904639175257732</v>
      </c>
      <c r="H86" s="1777">
        <v>0.3544358311800172</v>
      </c>
      <c r="I86" s="1776">
        <v>0.22310126582278481</v>
      </c>
      <c r="J86" s="1778">
        <v>0.10011778563015312</v>
      </c>
    </row>
    <row r="88" spans="1:10" ht="15" x14ac:dyDescent="0.25">
      <c r="A88" s="6026" t="s">
        <v>408</v>
      </c>
      <c r="B88" s="991" t="s">
        <v>5</v>
      </c>
      <c r="C88" s="1767"/>
      <c r="D88" s="1768"/>
      <c r="E88" s="1768"/>
      <c r="F88" s="1769"/>
      <c r="G88" s="1768"/>
      <c r="H88" s="1769"/>
      <c r="I88" s="1768"/>
      <c r="J88" s="1770">
        <v>0.45454545454545453</v>
      </c>
    </row>
    <row r="89" spans="1:10" ht="15" x14ac:dyDescent="0.25">
      <c r="A89" s="6008"/>
      <c r="B89" s="992" t="s">
        <v>6</v>
      </c>
      <c r="C89" s="1771"/>
      <c r="D89" s="1772"/>
      <c r="E89" s="1772"/>
      <c r="F89" s="1773"/>
      <c r="G89" s="1772"/>
      <c r="H89" s="1773"/>
      <c r="I89" s="1772"/>
      <c r="J89" s="1774">
        <v>0.68085106382978722</v>
      </c>
    </row>
    <row r="90" spans="1:10" ht="15" x14ac:dyDescent="0.25">
      <c r="A90" s="6008"/>
      <c r="B90" s="992" t="s">
        <v>11</v>
      </c>
      <c r="C90" s="1771"/>
      <c r="D90" s="1772"/>
      <c r="E90" s="1772"/>
      <c r="F90" s="1773"/>
      <c r="G90" s="1772"/>
      <c r="H90" s="1773"/>
      <c r="I90" s="1772"/>
      <c r="J90" s="1774">
        <v>0.51111111111111107</v>
      </c>
    </row>
    <row r="91" spans="1:10" ht="15" x14ac:dyDescent="0.25">
      <c r="A91" s="6009"/>
      <c r="B91" s="2943" t="s">
        <v>160</v>
      </c>
      <c r="C91" s="1775"/>
      <c r="D91" s="1776"/>
      <c r="E91" s="1776"/>
      <c r="F91" s="1777"/>
      <c r="G91" s="1776"/>
      <c r="H91" s="1777"/>
      <c r="I91" s="1776"/>
      <c r="J91" s="1778">
        <v>0.55147058823529416</v>
      </c>
    </row>
    <row r="92" spans="1:10" x14ac:dyDescent="0.2">
      <c r="A92" s="192"/>
      <c r="B92" s="192"/>
    </row>
    <row r="93" spans="1:10" ht="15" x14ac:dyDescent="0.25">
      <c r="A93" s="6032" t="s">
        <v>163</v>
      </c>
      <c r="B93" s="991" t="s">
        <v>6</v>
      </c>
      <c r="C93" s="1767">
        <v>0.6332095355997841</v>
      </c>
      <c r="D93" s="1768">
        <v>0.6878654970760234</v>
      </c>
      <c r="E93" s="1768">
        <v>0.68185654008438823</v>
      </c>
      <c r="F93" s="1769">
        <v>0.65199335548172754</v>
      </c>
      <c r="G93" s="1768">
        <v>0.66666666666666663</v>
      </c>
      <c r="H93" s="1769">
        <v>0.65108225108225104</v>
      </c>
      <c r="I93" s="1768">
        <v>0.60613598673300162</v>
      </c>
      <c r="J93" s="1770">
        <v>0.42560553633217996</v>
      </c>
    </row>
    <row r="94" spans="1:10" ht="15" x14ac:dyDescent="0.25">
      <c r="A94" s="6011"/>
      <c r="B94" s="992" t="s">
        <v>11</v>
      </c>
      <c r="C94" s="1771">
        <v>0.66518250194953843</v>
      </c>
      <c r="D94" s="1772">
        <v>0.74580196873190507</v>
      </c>
      <c r="E94" s="1772">
        <v>0.73853484216795706</v>
      </c>
      <c r="F94" s="1773">
        <v>0.72789581905414669</v>
      </c>
      <c r="G94" s="1772">
        <v>0.78233657858136296</v>
      </c>
      <c r="H94" s="1773">
        <v>0.7127955493741307</v>
      </c>
      <c r="I94" s="1772">
        <v>0.70948999354422204</v>
      </c>
      <c r="J94" s="1774">
        <v>0.4952978056426332</v>
      </c>
    </row>
    <row r="95" spans="1:10" ht="15" x14ac:dyDescent="0.25">
      <c r="A95" s="6011"/>
      <c r="B95" s="992" t="s">
        <v>7</v>
      </c>
      <c r="C95" s="1771">
        <v>0.61402900159578155</v>
      </c>
      <c r="D95" s="1772">
        <v>0.68823529411764706</v>
      </c>
      <c r="E95" s="1772">
        <v>0.61562499999999998</v>
      </c>
      <c r="F95" s="1773">
        <v>0.54714064914992278</v>
      </c>
      <c r="G95" s="1772">
        <v>0.62599049128367668</v>
      </c>
      <c r="H95" s="1773">
        <v>0.61005199306759095</v>
      </c>
      <c r="I95" s="1772">
        <v>0.58853288364249579</v>
      </c>
      <c r="J95" s="1774">
        <v>0.35666666666666669</v>
      </c>
    </row>
    <row r="96" spans="1:10" ht="15" x14ac:dyDescent="0.25">
      <c r="A96" s="6012"/>
      <c r="B96" s="2943" t="s">
        <v>160</v>
      </c>
      <c r="C96" s="1775">
        <v>0.64481901271171604</v>
      </c>
      <c r="D96" s="1776">
        <v>0.71443708609271528</v>
      </c>
      <c r="E96" s="1776">
        <v>0.69691780821917804</v>
      </c>
      <c r="F96" s="1777">
        <v>0.66495468277945624</v>
      </c>
      <c r="G96" s="1776">
        <v>0.70977627949739508</v>
      </c>
      <c r="H96" s="1777">
        <v>0.671608832807571</v>
      </c>
      <c r="I96" s="1776">
        <v>0.65083632019115889</v>
      </c>
      <c r="J96" s="1778">
        <v>0.44129287598944589</v>
      </c>
    </row>
    <row r="98" spans="1:10" ht="15" x14ac:dyDescent="0.2">
      <c r="A98" s="5801" t="s">
        <v>76</v>
      </c>
      <c r="B98" s="6025"/>
      <c r="C98" s="2944">
        <v>0.51478265420495528</v>
      </c>
      <c r="D98" s="2944">
        <v>0.5697325956662056</v>
      </c>
      <c r="E98" s="2944">
        <v>0.53016282066299636</v>
      </c>
      <c r="F98" s="2944">
        <v>0.51394374625972472</v>
      </c>
      <c r="G98" s="2944">
        <v>0.50657240693692696</v>
      </c>
      <c r="H98" s="2944">
        <v>0.46910336950314108</v>
      </c>
      <c r="I98" s="2944">
        <v>0.38714816781731282</v>
      </c>
      <c r="J98" s="2945">
        <v>0.2340236027610777</v>
      </c>
    </row>
    <row r="99" spans="1:10" x14ac:dyDescent="0.2">
      <c r="A99" s="374" t="s">
        <v>55</v>
      </c>
    </row>
    <row r="102" spans="1:10" ht="15.75" x14ac:dyDescent="0.25">
      <c r="J102" s="5527" t="s">
        <v>1560</v>
      </c>
    </row>
    <row r="103" spans="1:10" ht="15" x14ac:dyDescent="0.2">
      <c r="A103" s="5653" t="s">
        <v>16</v>
      </c>
      <c r="B103" s="5653" t="s">
        <v>4</v>
      </c>
      <c r="C103" s="6033" t="s">
        <v>660</v>
      </c>
      <c r="D103" s="6034"/>
      <c r="E103" s="6034"/>
      <c r="F103" s="6034"/>
      <c r="G103" s="6034"/>
      <c r="H103" s="6034"/>
      <c r="I103" s="6034"/>
      <c r="J103" s="6035"/>
    </row>
    <row r="104" spans="1:10" ht="15" x14ac:dyDescent="0.2">
      <c r="A104" s="5654"/>
      <c r="B104" s="5654"/>
      <c r="C104" s="1749" t="s">
        <v>1080</v>
      </c>
      <c r="D104" s="1749">
        <v>2004</v>
      </c>
      <c r="E104" s="1749">
        <v>2005</v>
      </c>
      <c r="F104" s="1749">
        <v>2006</v>
      </c>
      <c r="G104" s="1749">
        <v>2007</v>
      </c>
      <c r="H104" s="1749">
        <v>2008</v>
      </c>
      <c r="I104" s="1749">
        <v>2009</v>
      </c>
      <c r="J104" s="1749">
        <v>2010</v>
      </c>
    </row>
    <row r="105" spans="1:10" ht="15" x14ac:dyDescent="0.2">
      <c r="A105" s="1750"/>
      <c r="B105" s="1750"/>
      <c r="C105" s="1750"/>
      <c r="D105" s="1750"/>
      <c r="E105" s="1750"/>
      <c r="F105" s="1750"/>
      <c r="G105" s="1750"/>
      <c r="H105" s="1750"/>
      <c r="I105" s="1750"/>
      <c r="J105" s="1750"/>
    </row>
    <row r="106" spans="1:10" ht="15" x14ac:dyDescent="0.25">
      <c r="A106" s="6029" t="s">
        <v>161</v>
      </c>
      <c r="B106" s="991" t="s">
        <v>5</v>
      </c>
      <c r="C106" s="1767">
        <v>0.33746228362712405</v>
      </c>
      <c r="D106" s="1768">
        <v>0.32717316906228611</v>
      </c>
      <c r="E106" s="1768">
        <v>0.28039513677811551</v>
      </c>
      <c r="F106" s="1769">
        <v>0.24543610547667344</v>
      </c>
      <c r="G106" s="1768">
        <v>0.20766550522648083</v>
      </c>
      <c r="H106" s="1769">
        <v>0.19250985545335086</v>
      </c>
      <c r="I106" s="1768">
        <v>0.1050449205252246</v>
      </c>
      <c r="J106" s="1770">
        <v>2.645198389879241E-2</v>
      </c>
    </row>
    <row r="107" spans="1:10" ht="15" x14ac:dyDescent="0.25">
      <c r="A107" s="6020"/>
      <c r="B107" s="992" t="s">
        <v>6</v>
      </c>
      <c r="C107" s="1771">
        <v>0.56073601642108351</v>
      </c>
      <c r="D107" s="1772">
        <v>0.54067971163748718</v>
      </c>
      <c r="E107" s="1772">
        <v>0.47845804988662133</v>
      </c>
      <c r="F107" s="1773">
        <v>0.45933562428407787</v>
      </c>
      <c r="G107" s="1772">
        <v>0.47368421052631576</v>
      </c>
      <c r="H107" s="1773">
        <v>0.4945553539019964</v>
      </c>
      <c r="I107" s="1772">
        <v>0.42050799623706492</v>
      </c>
      <c r="J107" s="1774">
        <v>0.26693629929221435</v>
      </c>
    </row>
    <row r="108" spans="1:10" ht="15" x14ac:dyDescent="0.25">
      <c r="A108" s="6020"/>
      <c r="B108" s="992" t="s">
        <v>7</v>
      </c>
      <c r="C108" s="1771">
        <v>0.5260894170911149</v>
      </c>
      <c r="D108" s="1772">
        <v>0.6063492063492063</v>
      </c>
      <c r="E108" s="1772">
        <v>0.56159420289855078</v>
      </c>
      <c r="F108" s="1773">
        <v>0.50823045267489708</v>
      </c>
      <c r="G108" s="1772">
        <v>0.48282828282828283</v>
      </c>
      <c r="H108" s="1773">
        <v>0.42003853564547206</v>
      </c>
      <c r="I108" s="1772">
        <v>0.45315487571701724</v>
      </c>
      <c r="J108" s="1774">
        <v>0.2335907335907336</v>
      </c>
    </row>
    <row r="109" spans="1:10" ht="15" x14ac:dyDescent="0.25">
      <c r="A109" s="6021"/>
      <c r="B109" s="2943" t="s">
        <v>12</v>
      </c>
      <c r="C109" s="1775">
        <v>0.46075853317110821</v>
      </c>
      <c r="D109" s="1776">
        <v>0.45231874591770083</v>
      </c>
      <c r="E109" s="1776">
        <v>0.40036363636363637</v>
      </c>
      <c r="F109" s="1777">
        <v>0.35623678646934459</v>
      </c>
      <c r="G109" s="1776">
        <v>0.33915834522111271</v>
      </c>
      <c r="H109" s="1777">
        <v>0.33598472796691059</v>
      </c>
      <c r="I109" s="1776">
        <v>0.27563468513023409</v>
      </c>
      <c r="J109" s="1778">
        <v>0.13277880468268638</v>
      </c>
    </row>
    <row r="110" spans="1:10" x14ac:dyDescent="0.2">
      <c r="A110" s="192"/>
      <c r="B110" s="192"/>
    </row>
    <row r="111" spans="1:10" ht="15" x14ac:dyDescent="0.25">
      <c r="A111" s="6030" t="s">
        <v>407</v>
      </c>
      <c r="B111" s="991" t="s">
        <v>6</v>
      </c>
      <c r="C111" s="1767"/>
      <c r="D111" s="1769"/>
      <c r="E111" s="1768">
        <v>0.68085106382978722</v>
      </c>
      <c r="F111" s="1768">
        <v>0.79545454545454541</v>
      </c>
      <c r="G111" s="1768">
        <v>0.62962962962962965</v>
      </c>
      <c r="H111" s="1769">
        <v>0.57943925233644855</v>
      </c>
      <c r="I111" s="1768">
        <v>0.352112676056338</v>
      </c>
      <c r="J111" s="1770">
        <v>0.20512820512820512</v>
      </c>
    </row>
    <row r="112" spans="1:10" ht="15" x14ac:dyDescent="0.25">
      <c r="A112" s="6023"/>
      <c r="B112" s="992" t="s">
        <v>9</v>
      </c>
      <c r="C112" s="1771"/>
      <c r="D112" s="1773"/>
      <c r="E112" s="1772">
        <v>0.51351351351351349</v>
      </c>
      <c r="F112" s="1772">
        <v>0.5</v>
      </c>
      <c r="G112" s="1772">
        <v>0.45384615384615384</v>
      </c>
      <c r="H112" s="1773">
        <v>0.31967213114754101</v>
      </c>
      <c r="I112" s="1772">
        <v>0.21111111111111111</v>
      </c>
      <c r="J112" s="1774">
        <v>0.1440677966101695</v>
      </c>
    </row>
    <row r="113" spans="1:10" ht="15" x14ac:dyDescent="0.25">
      <c r="A113" s="6023"/>
      <c r="B113" s="992" t="s">
        <v>74</v>
      </c>
      <c r="C113" s="1771"/>
      <c r="D113" s="1773"/>
      <c r="E113" s="1772">
        <v>0.58974358974358976</v>
      </c>
      <c r="F113" s="1772">
        <v>0.47619047619047616</v>
      </c>
      <c r="G113" s="1772">
        <v>0.34545454545454546</v>
      </c>
      <c r="H113" s="1773">
        <v>0.25274725274725274</v>
      </c>
      <c r="I113" s="1772">
        <v>0.14705882352941177</v>
      </c>
      <c r="J113" s="1774">
        <v>4.3478260869565216E-2</v>
      </c>
    </row>
    <row r="114" spans="1:10" ht="15" x14ac:dyDescent="0.25">
      <c r="A114" s="6024"/>
      <c r="B114" s="2943" t="s">
        <v>12</v>
      </c>
      <c r="C114" s="1775"/>
      <c r="D114" s="1777"/>
      <c r="E114" s="1776">
        <v>0.62352941176470589</v>
      </c>
      <c r="F114" s="1776">
        <v>0.63440860215053763</v>
      </c>
      <c r="G114" s="1776">
        <v>0.49829351535836175</v>
      </c>
      <c r="H114" s="1777">
        <v>0.38750000000000001</v>
      </c>
      <c r="I114" s="1776">
        <v>0.23580786026200873</v>
      </c>
      <c r="J114" s="1778">
        <v>0.12847222222222221</v>
      </c>
    </row>
    <row r="115" spans="1:10" x14ac:dyDescent="0.2">
      <c r="A115" s="192"/>
      <c r="B115" s="192"/>
    </row>
    <row r="116" spans="1:10" ht="15" x14ac:dyDescent="0.25">
      <c r="A116" s="6031" t="s">
        <v>162</v>
      </c>
      <c r="B116" s="991" t="s">
        <v>5</v>
      </c>
      <c r="C116" s="1767">
        <v>0.33116660964762229</v>
      </c>
      <c r="D116" s="1768">
        <v>0.35931558935361219</v>
      </c>
      <c r="E116" s="1768">
        <v>0.37455830388692579</v>
      </c>
      <c r="F116" s="1769">
        <v>0.31318681318681318</v>
      </c>
      <c r="G116" s="1768">
        <v>0.27027027027027029</v>
      </c>
      <c r="H116" s="1769">
        <v>0.17598684210526316</v>
      </c>
      <c r="I116" s="1768">
        <v>0.10795454545454546</v>
      </c>
      <c r="J116" s="1770">
        <v>2.8208744710860368E-2</v>
      </c>
    </row>
    <row r="117" spans="1:10" ht="15" x14ac:dyDescent="0.25">
      <c r="A117" s="6005"/>
      <c r="B117" s="992" t="s">
        <v>6</v>
      </c>
      <c r="C117" s="1771">
        <v>0.4327860801234828</v>
      </c>
      <c r="D117" s="1772">
        <v>0.54734651404786683</v>
      </c>
      <c r="E117" s="1772">
        <v>0.47046843177189407</v>
      </c>
      <c r="F117" s="1773">
        <v>0.46839378238341967</v>
      </c>
      <c r="G117" s="1772">
        <v>0.43761301989150092</v>
      </c>
      <c r="H117" s="1773">
        <v>0.42699724517906334</v>
      </c>
      <c r="I117" s="1772">
        <v>0.34167468719923005</v>
      </c>
      <c r="J117" s="1774">
        <v>0.16635160680529301</v>
      </c>
    </row>
    <row r="118" spans="1:10" ht="15" x14ac:dyDescent="0.25">
      <c r="A118" s="6005"/>
      <c r="B118" s="992" t="s">
        <v>11</v>
      </c>
      <c r="C118" s="1771">
        <v>0.43079219002611613</v>
      </c>
      <c r="D118" s="1772">
        <v>0.51574803149606296</v>
      </c>
      <c r="E118" s="1772">
        <v>0.52277227722772279</v>
      </c>
      <c r="F118" s="1773">
        <v>0.47643097643097643</v>
      </c>
      <c r="G118" s="1772">
        <v>0.3935599284436494</v>
      </c>
      <c r="H118" s="1773">
        <v>0.34126984126984128</v>
      </c>
      <c r="I118" s="1772">
        <v>0.25398936170212766</v>
      </c>
      <c r="J118" s="1774">
        <v>7.5197889182058053E-2</v>
      </c>
    </row>
    <row r="119" spans="1:10" ht="15" customHeight="1" x14ac:dyDescent="0.25">
      <c r="A119" s="6006"/>
      <c r="B119" s="2943" t="s">
        <v>12</v>
      </c>
      <c r="C119" s="1775">
        <v>0.40358304091684644</v>
      </c>
      <c r="D119" s="1776">
        <v>0.48972431077694234</v>
      </c>
      <c r="E119" s="1776">
        <v>0.45689235265465172</v>
      </c>
      <c r="F119" s="1777">
        <v>0.43040380047505938</v>
      </c>
      <c r="G119" s="1776">
        <v>0.38863000931966452</v>
      </c>
      <c r="H119" s="1777">
        <v>0.33820369574559517</v>
      </c>
      <c r="I119" s="1776">
        <v>0.26002587322121606</v>
      </c>
      <c r="J119" s="1778">
        <v>0.1001980198019802</v>
      </c>
    </row>
    <row r="120" spans="1:10" ht="15" customHeight="1" x14ac:dyDescent="0.2">
      <c r="A120" s="192"/>
      <c r="B120" s="192"/>
    </row>
    <row r="121" spans="1:10" ht="15" customHeight="1" x14ac:dyDescent="0.25">
      <c r="A121" s="6032" t="s">
        <v>163</v>
      </c>
      <c r="B121" s="991" t="s">
        <v>6</v>
      </c>
      <c r="C121" s="1767">
        <v>0.63025098195859131</v>
      </c>
      <c r="D121" s="1768">
        <v>0.69135802469135799</v>
      </c>
      <c r="E121" s="1768">
        <v>0.68374816983894582</v>
      </c>
      <c r="F121" s="1769">
        <v>0.67510548523206748</v>
      </c>
      <c r="G121" s="1768">
        <v>0.63157894736842102</v>
      </c>
      <c r="H121" s="1769">
        <v>0.64207879295892711</v>
      </c>
      <c r="I121" s="1768">
        <v>0.60779220779220777</v>
      </c>
      <c r="J121" s="1770">
        <v>0.44527363184079605</v>
      </c>
    </row>
    <row r="122" spans="1:10" ht="15" customHeight="1" x14ac:dyDescent="0.25">
      <c r="A122" s="6011"/>
      <c r="B122" s="992" t="s">
        <v>11</v>
      </c>
      <c r="C122" s="1771">
        <v>0.66035737921906024</v>
      </c>
      <c r="D122" s="1772">
        <v>0.75100401606425704</v>
      </c>
      <c r="E122" s="1772">
        <v>0.7399077277970012</v>
      </c>
      <c r="F122" s="1773">
        <v>0.73771462403789223</v>
      </c>
      <c r="G122" s="1772">
        <v>0.71769383697813116</v>
      </c>
      <c r="H122" s="1773">
        <v>0.76789587852494579</v>
      </c>
      <c r="I122" s="1772">
        <v>0.69220246238030092</v>
      </c>
      <c r="J122" s="1774">
        <v>0.53936239427456079</v>
      </c>
    </row>
    <row r="123" spans="1:10" ht="15" x14ac:dyDescent="0.25">
      <c r="A123" s="6011"/>
      <c r="B123" s="992" t="s">
        <v>7</v>
      </c>
      <c r="C123" s="1771">
        <v>0.60899073195650588</v>
      </c>
      <c r="D123" s="1772">
        <v>0.70380818053596617</v>
      </c>
      <c r="E123" s="1772">
        <v>0.67888563049853368</v>
      </c>
      <c r="F123" s="1773">
        <v>0.61093750000000002</v>
      </c>
      <c r="G123" s="1772">
        <v>0.5301391035548686</v>
      </c>
      <c r="H123" s="1773">
        <v>0.59651898734177211</v>
      </c>
      <c r="I123" s="1772">
        <v>0.53032928942807622</v>
      </c>
      <c r="J123" s="1774">
        <v>0.41821247892074198</v>
      </c>
    </row>
    <row r="124" spans="1:10" ht="15" customHeight="1" x14ac:dyDescent="0.25">
      <c r="A124" s="6012"/>
      <c r="B124" s="2943" t="s">
        <v>12</v>
      </c>
      <c r="C124" s="1775">
        <v>0.64062806673209027</v>
      </c>
      <c r="D124" s="1776">
        <v>0.72020460358056271</v>
      </c>
      <c r="E124" s="1776">
        <v>0.70861977789529351</v>
      </c>
      <c r="F124" s="1777">
        <v>0.69351166761525329</v>
      </c>
      <c r="G124" s="1776">
        <v>0.65065243179122179</v>
      </c>
      <c r="H124" s="1777">
        <v>0.68734413965087282</v>
      </c>
      <c r="I124" s="1776">
        <v>0.63243581715716968</v>
      </c>
      <c r="J124" s="1778">
        <v>0.48381294964028776</v>
      </c>
    </row>
    <row r="125" spans="1:10" ht="15" customHeight="1" x14ac:dyDescent="0.2"/>
    <row r="126" spans="1:10" ht="18" customHeight="1" x14ac:dyDescent="0.2">
      <c r="A126" s="5801" t="s">
        <v>76</v>
      </c>
      <c r="B126" s="6025"/>
      <c r="C126" s="2944">
        <v>0.51124348541232167</v>
      </c>
      <c r="D126" s="2944">
        <v>0.57745065239210436</v>
      </c>
      <c r="E126" s="2944">
        <v>0.55111364934323248</v>
      </c>
      <c r="F126" s="2944">
        <v>0.51614035087719301</v>
      </c>
      <c r="G126" s="2944">
        <v>0.4788160185722577</v>
      </c>
      <c r="H126" s="2944">
        <v>0.46365859079795513</v>
      </c>
      <c r="I126" s="2944">
        <v>0.40034188034188034</v>
      </c>
      <c r="J126" s="2945">
        <v>0.24853645556146886</v>
      </c>
    </row>
    <row r="127" spans="1:10" ht="15" customHeight="1" x14ac:dyDescent="0.2">
      <c r="A127" s="3447" t="s">
        <v>1241</v>
      </c>
    </row>
    <row r="128" spans="1:10" ht="15" customHeight="1" x14ac:dyDescent="0.2">
      <c r="A128" s="374" t="s">
        <v>55</v>
      </c>
    </row>
    <row r="129" spans="1:10" ht="15" customHeight="1" x14ac:dyDescent="0.2">
      <c r="A129" s="374"/>
    </row>
    <row r="130" spans="1:10" ht="15" customHeight="1" x14ac:dyDescent="0.2"/>
    <row r="131" spans="1:10" ht="15" customHeight="1" x14ac:dyDescent="0.25">
      <c r="J131" s="5527" t="s">
        <v>670</v>
      </c>
    </row>
    <row r="132" spans="1:10" ht="15" customHeight="1" x14ac:dyDescent="0.2">
      <c r="A132" s="5653" t="s">
        <v>16</v>
      </c>
      <c r="B132" s="5653" t="s">
        <v>4</v>
      </c>
      <c r="C132" s="6033" t="s">
        <v>660</v>
      </c>
      <c r="D132" s="6034"/>
      <c r="E132" s="6034"/>
      <c r="F132" s="6034"/>
      <c r="G132" s="6034"/>
      <c r="H132" s="6034"/>
      <c r="I132" s="6034"/>
      <c r="J132" s="6035"/>
    </row>
    <row r="133" spans="1:10" ht="15" x14ac:dyDescent="0.2">
      <c r="A133" s="5654"/>
      <c r="B133" s="5654"/>
      <c r="C133" s="1749" t="s">
        <v>669</v>
      </c>
      <c r="D133" s="1749">
        <v>2003</v>
      </c>
      <c r="E133" s="1749">
        <v>2004</v>
      </c>
      <c r="F133" s="1749">
        <v>2005</v>
      </c>
      <c r="G133" s="1749">
        <v>2006</v>
      </c>
      <c r="H133" s="1749">
        <v>2007</v>
      </c>
      <c r="I133" s="1749">
        <v>2008</v>
      </c>
      <c r="J133" s="1749">
        <v>2009</v>
      </c>
    </row>
    <row r="134" spans="1:10" ht="15" x14ac:dyDescent="0.2">
      <c r="A134" s="1750"/>
      <c r="B134" s="1750"/>
      <c r="C134" s="1750"/>
      <c r="D134" s="1750"/>
      <c r="E134" s="1750"/>
      <c r="F134" s="1750"/>
      <c r="G134" s="1750"/>
      <c r="H134" s="1750"/>
      <c r="I134" s="1750"/>
      <c r="J134" s="1750"/>
    </row>
    <row r="135" spans="1:10" ht="15" customHeight="1" x14ac:dyDescent="0.25">
      <c r="A135" s="5888" t="s">
        <v>161</v>
      </c>
      <c r="B135" s="991" t="s">
        <v>5</v>
      </c>
      <c r="C135" s="1767">
        <v>0.3362</v>
      </c>
      <c r="D135" s="1768">
        <v>0.32638164754953075</v>
      </c>
      <c r="E135" s="1768">
        <v>0.29315068493150687</v>
      </c>
      <c r="F135" s="1769">
        <v>0.24790874524714829</v>
      </c>
      <c r="G135" s="1768">
        <v>0.20622041920216364</v>
      </c>
      <c r="H135" s="1769">
        <v>0.15470383275261324</v>
      </c>
      <c r="I135" s="1768">
        <v>0.10505581089954039</v>
      </c>
      <c r="J135" s="1770">
        <v>2.5552486187845305E-2</v>
      </c>
    </row>
    <row r="136" spans="1:10" ht="15" customHeight="1" x14ac:dyDescent="0.25">
      <c r="A136" s="5889"/>
      <c r="B136" s="992" t="s">
        <v>6</v>
      </c>
      <c r="C136" s="1771">
        <v>0.56069999999999998</v>
      </c>
      <c r="D136" s="1772">
        <v>0.54624591947769319</v>
      </c>
      <c r="E136" s="1772">
        <v>0.52729145211122552</v>
      </c>
      <c r="F136" s="1773">
        <v>0.47052154195011336</v>
      </c>
      <c r="G136" s="1772">
        <v>0.43528064146620848</v>
      </c>
      <c r="H136" s="1773">
        <v>0.43577981651376146</v>
      </c>
      <c r="I136" s="1772">
        <v>0.41833030852994557</v>
      </c>
      <c r="J136" s="1774">
        <v>0.29765258215962442</v>
      </c>
    </row>
    <row r="137" spans="1:10" ht="15" customHeight="1" x14ac:dyDescent="0.25">
      <c r="A137" s="5889"/>
      <c r="B137" s="992" t="s">
        <v>7</v>
      </c>
      <c r="C137" s="1771">
        <v>0.5232</v>
      </c>
      <c r="D137" s="1772">
        <v>0.58384146341463417</v>
      </c>
      <c r="E137" s="1772">
        <v>0.6</v>
      </c>
      <c r="F137" s="1773">
        <v>0.53442028985507251</v>
      </c>
      <c r="G137" s="1772">
        <v>0.47736625514403291</v>
      </c>
      <c r="H137" s="1773">
        <v>0.44242424242424244</v>
      </c>
      <c r="I137" s="1772">
        <v>0.3365570599613153</v>
      </c>
      <c r="J137" s="1774">
        <v>0.23892100192678228</v>
      </c>
    </row>
    <row r="138" spans="1:10" ht="15" customHeight="1" x14ac:dyDescent="0.25">
      <c r="A138" s="5890"/>
      <c r="B138" s="2943" t="s">
        <v>12</v>
      </c>
      <c r="C138" s="1775">
        <v>0.45929999999999999</v>
      </c>
      <c r="D138" s="1776">
        <v>0.47277032359905286</v>
      </c>
      <c r="E138" s="1776">
        <v>0.43057824240444298</v>
      </c>
      <c r="F138" s="1777">
        <v>0.37686431429610767</v>
      </c>
      <c r="G138" s="1776">
        <v>0.32311486962649755</v>
      </c>
      <c r="H138" s="1777">
        <v>0.2930049964311206</v>
      </c>
      <c r="I138" s="1776">
        <v>0.25302355187778486</v>
      </c>
      <c r="J138" s="1778">
        <v>0.15765171503957784</v>
      </c>
    </row>
    <row r="139" spans="1:10" ht="15.75" x14ac:dyDescent="0.2">
      <c r="A139" s="681"/>
      <c r="B139" s="192"/>
      <c r="C139" s="748"/>
      <c r="D139" s="748"/>
      <c r="E139" s="748"/>
      <c r="F139" s="748"/>
      <c r="G139" s="748"/>
      <c r="H139" s="748"/>
      <c r="I139" s="748"/>
      <c r="J139" s="748"/>
    </row>
    <row r="140" spans="1:10" ht="15" customHeight="1" x14ac:dyDescent="0.25">
      <c r="A140" s="5897" t="s">
        <v>407</v>
      </c>
      <c r="B140" s="991" t="s">
        <v>6</v>
      </c>
      <c r="C140" s="1767"/>
      <c r="D140" s="1769"/>
      <c r="E140" s="1769"/>
      <c r="F140" s="1768">
        <v>0.64893617021276595</v>
      </c>
      <c r="G140" s="1768">
        <v>0.79069767441860461</v>
      </c>
      <c r="H140" s="1769">
        <v>0.59259259259259256</v>
      </c>
      <c r="I140" s="1768">
        <v>0.50467289719626163</v>
      </c>
      <c r="J140" s="1770">
        <v>0.19718309859154928</v>
      </c>
    </row>
    <row r="141" spans="1:10" ht="15" customHeight="1" x14ac:dyDescent="0.25">
      <c r="A141" s="5898"/>
      <c r="B141" s="992" t="s">
        <v>9</v>
      </c>
      <c r="C141" s="1771"/>
      <c r="D141" s="1773"/>
      <c r="E141" s="1773"/>
      <c r="F141" s="1772">
        <v>0.56756756756756754</v>
      </c>
      <c r="G141" s="1772">
        <v>0.55555555555555558</v>
      </c>
      <c r="H141" s="1773">
        <v>0.40909090909090912</v>
      </c>
      <c r="I141" s="1772">
        <v>0.25203252032520324</v>
      </c>
      <c r="J141" s="1774">
        <v>9.7826086956521743E-2</v>
      </c>
    </row>
    <row r="142" spans="1:10" ht="15" customHeight="1" x14ac:dyDescent="0.25">
      <c r="A142" s="5898"/>
      <c r="B142" s="992" t="s">
        <v>74</v>
      </c>
      <c r="C142" s="1771"/>
      <c r="D142" s="1773"/>
      <c r="E142" s="1773"/>
      <c r="F142" s="1772">
        <v>0.53846153846153844</v>
      </c>
      <c r="G142" s="1772">
        <v>0.38095238095238093</v>
      </c>
      <c r="H142" s="1773">
        <v>0.31372549019607843</v>
      </c>
      <c r="I142" s="1772">
        <v>0.18681318681318682</v>
      </c>
      <c r="J142" s="1774">
        <v>4.4776119402985072E-2</v>
      </c>
    </row>
    <row r="143" spans="1:10" ht="15" customHeight="1" x14ac:dyDescent="0.25">
      <c r="A143" s="5899"/>
      <c r="B143" s="2943" t="s">
        <v>12</v>
      </c>
      <c r="C143" s="1775"/>
      <c r="D143" s="1777"/>
      <c r="E143" s="1777"/>
      <c r="F143" s="1776">
        <v>0.60588235294117643</v>
      </c>
      <c r="G143" s="1776">
        <v>0.62637362637362637</v>
      </c>
      <c r="H143" s="1777">
        <v>0.46048109965635736</v>
      </c>
      <c r="I143" s="1776">
        <v>0.31775700934579437</v>
      </c>
      <c r="J143" s="1778">
        <v>0.11304347826086956</v>
      </c>
    </row>
    <row r="144" spans="1:10" ht="15.75" x14ac:dyDescent="0.2">
      <c r="A144" s="1782"/>
      <c r="B144" s="192"/>
      <c r="C144" s="748"/>
      <c r="D144" s="748"/>
      <c r="E144" s="748"/>
      <c r="F144" s="748"/>
      <c r="G144" s="748"/>
      <c r="H144" s="748"/>
      <c r="I144" s="748"/>
      <c r="J144" s="748"/>
    </row>
    <row r="145" spans="1:10" ht="15" customHeight="1" x14ac:dyDescent="0.25">
      <c r="A145" s="5891" t="s">
        <v>162</v>
      </c>
      <c r="B145" s="991" t="s">
        <v>5</v>
      </c>
      <c r="C145" s="1767">
        <v>0.33019999999999999</v>
      </c>
      <c r="D145" s="1768">
        <v>0.3405088062622309</v>
      </c>
      <c r="E145" s="1768">
        <v>0.34345351043643263</v>
      </c>
      <c r="F145" s="1769">
        <v>0.34805653710247347</v>
      </c>
      <c r="G145" s="1768">
        <v>0.25457875457875456</v>
      </c>
      <c r="H145" s="1769">
        <v>0.19126819126819128</v>
      </c>
      <c r="I145" s="1768">
        <v>9.2105263157894732E-2</v>
      </c>
      <c r="J145" s="1770">
        <v>3.7735849056603772E-2</v>
      </c>
    </row>
    <row r="146" spans="1:10" ht="15" customHeight="1" x14ac:dyDescent="0.25">
      <c r="A146" s="5892"/>
      <c r="B146" s="992" t="s">
        <v>6</v>
      </c>
      <c r="C146" s="1771">
        <v>0.43059999999999998</v>
      </c>
      <c r="D146" s="1772">
        <v>0.4813895781637717</v>
      </c>
      <c r="E146" s="1772">
        <v>0.52341311134235169</v>
      </c>
      <c r="F146" s="1773">
        <v>0.44297352342158858</v>
      </c>
      <c r="G146" s="1772">
        <v>0.43730569948186526</v>
      </c>
      <c r="H146" s="1773">
        <v>0.40344514959202177</v>
      </c>
      <c r="I146" s="1772">
        <v>0.35694572217111314</v>
      </c>
      <c r="J146" s="1774">
        <v>0.19323671497584541</v>
      </c>
    </row>
    <row r="147" spans="1:10" ht="15" customHeight="1" x14ac:dyDescent="0.25">
      <c r="A147" s="5892"/>
      <c r="B147" s="992" t="s">
        <v>11</v>
      </c>
      <c r="C147" s="1771">
        <v>0.42780000000000001</v>
      </c>
      <c r="D147" s="1772">
        <v>0.50569476082004561</v>
      </c>
      <c r="E147" s="1772">
        <v>0.48425196850393698</v>
      </c>
      <c r="F147" s="1773">
        <v>0.49209486166007904</v>
      </c>
      <c r="G147" s="1772">
        <v>0.43771043771043772</v>
      </c>
      <c r="H147" s="1773">
        <v>0.32142857142857145</v>
      </c>
      <c r="I147" s="1772">
        <v>0.24603174603174602</v>
      </c>
      <c r="J147" s="1774">
        <v>9.9734042553191488E-2</v>
      </c>
    </row>
    <row r="148" spans="1:10" ht="15" customHeight="1" x14ac:dyDescent="0.25">
      <c r="A148" s="5893"/>
      <c r="B148" s="2943" t="s">
        <v>12</v>
      </c>
      <c r="C148" s="1775">
        <v>0.40160000000000001</v>
      </c>
      <c r="D148" s="1776">
        <v>0.44646924829157175</v>
      </c>
      <c r="E148" s="1776">
        <v>0.46593186372745493</v>
      </c>
      <c r="F148" s="1777">
        <v>0.42891918208373903</v>
      </c>
      <c r="G148" s="1776">
        <v>0.39002375296912112</v>
      </c>
      <c r="H148" s="1777">
        <v>0.33442164179104478</v>
      </c>
      <c r="I148" s="1776">
        <v>0.25763440860215053</v>
      </c>
      <c r="J148" s="1778">
        <v>0.1273198100992663</v>
      </c>
    </row>
    <row r="149" spans="1:10" ht="15.75" x14ac:dyDescent="0.2">
      <c r="A149" s="1782"/>
      <c r="B149" s="192"/>
      <c r="C149" s="748"/>
      <c r="D149" s="748"/>
      <c r="E149" s="748"/>
      <c r="F149" s="748"/>
      <c r="G149" s="748"/>
      <c r="H149" s="748"/>
      <c r="I149" s="748"/>
      <c r="J149" s="748"/>
    </row>
    <row r="150" spans="1:10" ht="15" customHeight="1" x14ac:dyDescent="0.25">
      <c r="A150" s="5894" t="s">
        <v>163</v>
      </c>
      <c r="B150" s="991" t="s">
        <v>6</v>
      </c>
      <c r="C150" s="1767">
        <v>0.62819999999999998</v>
      </c>
      <c r="D150" s="1768">
        <v>0.6765922249793217</v>
      </c>
      <c r="E150" s="1768">
        <v>0.69135802469135799</v>
      </c>
      <c r="F150" s="1769">
        <v>0.67862371888726203</v>
      </c>
      <c r="G150" s="1768">
        <v>0.65822784810126578</v>
      </c>
      <c r="H150" s="1769">
        <v>0.60640920295809364</v>
      </c>
      <c r="I150" s="1768">
        <v>0.59346186085498742</v>
      </c>
      <c r="J150" s="1770">
        <v>0.47487001733102252</v>
      </c>
    </row>
    <row r="151" spans="1:10" ht="15" customHeight="1" x14ac:dyDescent="0.25">
      <c r="A151" s="5895"/>
      <c r="B151" s="992" t="s">
        <v>11</v>
      </c>
      <c r="C151" s="1771">
        <v>0.65769999999999995</v>
      </c>
      <c r="D151" s="1772">
        <v>0.7426160337552743</v>
      </c>
      <c r="E151" s="1772">
        <v>0.74737423991155338</v>
      </c>
      <c r="F151" s="1773">
        <v>0.7404403244495944</v>
      </c>
      <c r="G151" s="1772">
        <v>0.72228843861740166</v>
      </c>
      <c r="H151" s="1773">
        <v>0.69835841313269498</v>
      </c>
      <c r="I151" s="1772">
        <v>0.72720946416144749</v>
      </c>
      <c r="J151" s="1774">
        <v>0.46100278551532031</v>
      </c>
    </row>
    <row r="152" spans="1:10" ht="15" customHeight="1" x14ac:dyDescent="0.25">
      <c r="A152" s="5895"/>
      <c r="B152" s="992" t="s">
        <v>7</v>
      </c>
      <c r="C152" s="1771">
        <v>0.60450000000000004</v>
      </c>
      <c r="D152" s="1772">
        <v>0.69444444444444442</v>
      </c>
      <c r="E152" s="1772">
        <v>0.69675599435825109</v>
      </c>
      <c r="F152" s="1773">
        <v>0.67155425219941345</v>
      </c>
      <c r="G152" s="1772">
        <v>0.6</v>
      </c>
      <c r="H152" s="1773">
        <v>0.4938080495356037</v>
      </c>
      <c r="I152" s="1772">
        <v>0.52373417721518989</v>
      </c>
      <c r="J152" s="1774">
        <v>0.33391003460207613</v>
      </c>
    </row>
    <row r="153" spans="1:10" ht="15" customHeight="1" x14ac:dyDescent="0.25">
      <c r="A153" s="5896"/>
      <c r="B153" s="2943" t="s">
        <v>12</v>
      </c>
      <c r="C153" s="1775">
        <v>0.63800000000000001</v>
      </c>
      <c r="D153" s="1776">
        <v>0.70875266849649288</v>
      </c>
      <c r="E153" s="1776">
        <v>0.71780684104627768</v>
      </c>
      <c r="F153" s="1777">
        <v>0.70561738208797031</v>
      </c>
      <c r="G153" s="1776">
        <v>0.67827576363117326</v>
      </c>
      <c r="H153" s="1777">
        <v>0.62496240601503761</v>
      </c>
      <c r="I153" s="1776">
        <v>0.63887185775597788</v>
      </c>
      <c r="J153" s="1778">
        <v>0.4428661616161616</v>
      </c>
    </row>
    <row r="155" spans="1:10" ht="15" x14ac:dyDescent="0.2">
      <c r="A155" s="5801" t="s">
        <v>76</v>
      </c>
      <c r="B155" s="6025"/>
      <c r="C155" s="1780">
        <v>0.50880000000000003</v>
      </c>
      <c r="D155" s="1780">
        <v>0.56889945831681865</v>
      </c>
      <c r="E155" s="1780">
        <v>0.56481788995903903</v>
      </c>
      <c r="F155" s="1780">
        <v>0.53538356007774091</v>
      </c>
      <c r="G155" s="1780">
        <v>0.48857912615672955</v>
      </c>
      <c r="H155" s="1780">
        <v>0.43798177995795373</v>
      </c>
      <c r="I155" s="1780">
        <v>0.39558011049723757</v>
      </c>
      <c r="J155" s="1780">
        <v>0.25174345489882244</v>
      </c>
    </row>
    <row r="158" spans="1:10" ht="15.75" x14ac:dyDescent="0.25">
      <c r="J158" s="5527" t="s">
        <v>668</v>
      </c>
    </row>
    <row r="159" spans="1:10" ht="15" x14ac:dyDescent="0.2">
      <c r="A159" s="5653" t="s">
        <v>16</v>
      </c>
      <c r="B159" s="5653" t="s">
        <v>4</v>
      </c>
      <c r="C159" s="6033" t="s">
        <v>660</v>
      </c>
      <c r="D159" s="6034"/>
      <c r="E159" s="6034"/>
      <c r="F159" s="6034"/>
      <c r="G159" s="6034"/>
      <c r="H159" s="6034"/>
      <c r="I159" s="6034"/>
      <c r="J159" s="6035"/>
    </row>
    <row r="160" spans="1:10" ht="15" x14ac:dyDescent="0.2">
      <c r="A160" s="5654"/>
      <c r="B160" s="5654"/>
      <c r="C160" s="1749" t="s">
        <v>667</v>
      </c>
      <c r="D160" s="1749">
        <v>2002</v>
      </c>
      <c r="E160" s="1749">
        <v>2003</v>
      </c>
      <c r="F160" s="1749">
        <v>2004</v>
      </c>
      <c r="G160" s="1749">
        <v>2005</v>
      </c>
      <c r="H160" s="1749">
        <v>2006</v>
      </c>
      <c r="I160" s="1749">
        <v>2007</v>
      </c>
      <c r="J160" s="1749">
        <v>2008</v>
      </c>
    </row>
    <row r="161" spans="1:10" ht="15" x14ac:dyDescent="0.2">
      <c r="A161" s="1750"/>
      <c r="B161" s="1750"/>
      <c r="C161" s="1750"/>
      <c r="D161" s="1750"/>
      <c r="E161" s="1750"/>
      <c r="F161" s="1750"/>
      <c r="G161" s="1750"/>
      <c r="H161" s="1750"/>
      <c r="I161" s="1750"/>
      <c r="J161" s="1750"/>
    </row>
    <row r="162" spans="1:10" ht="15" x14ac:dyDescent="0.25">
      <c r="A162" s="5888" t="s">
        <v>161</v>
      </c>
      <c r="B162" s="991" t="s">
        <v>5</v>
      </c>
      <c r="C162" s="1767">
        <v>0.33525446579036061</v>
      </c>
      <c r="D162" s="1768">
        <v>0.31924882629107981</v>
      </c>
      <c r="E162" s="1768">
        <v>0.29822732012513037</v>
      </c>
      <c r="F162" s="1769">
        <v>0.25273972602739725</v>
      </c>
      <c r="G162" s="1768">
        <v>0.20380228136882128</v>
      </c>
      <c r="H162" s="1769">
        <v>0.14807302231237324</v>
      </c>
      <c r="I162" s="1768">
        <v>8.0836236933797906E-2</v>
      </c>
      <c r="J162" s="1770">
        <v>1.6108247422680411E-2</v>
      </c>
    </row>
    <row r="163" spans="1:10" ht="15" x14ac:dyDescent="0.25">
      <c r="A163" s="5889"/>
      <c r="B163" s="992" t="s">
        <v>6</v>
      </c>
      <c r="C163" s="1771">
        <v>0.56121326418356121</v>
      </c>
      <c r="D163" s="1772">
        <v>0.51491712707182324</v>
      </c>
      <c r="E163" s="1772">
        <v>0.52992383025027201</v>
      </c>
      <c r="F163" s="1773">
        <v>0.49896907216494846</v>
      </c>
      <c r="G163" s="1772">
        <v>0.4342403628117914</v>
      </c>
      <c r="H163" s="1773">
        <v>0.38373424971363118</v>
      </c>
      <c r="I163" s="1772">
        <v>0.33065442020665903</v>
      </c>
      <c r="J163" s="1774">
        <v>0.24863883847549909</v>
      </c>
    </row>
    <row r="164" spans="1:10" ht="15" x14ac:dyDescent="0.25">
      <c r="A164" s="5889"/>
      <c r="B164" s="992" t="s">
        <v>7</v>
      </c>
      <c r="C164" s="1771">
        <v>0.52065414900060569</v>
      </c>
      <c r="D164" s="1772">
        <v>0.57936507936507942</v>
      </c>
      <c r="E164" s="1772">
        <v>0.57926829268292679</v>
      </c>
      <c r="F164" s="1773">
        <v>0.59047619047619049</v>
      </c>
      <c r="G164" s="1772">
        <v>0.49637681159420288</v>
      </c>
      <c r="H164" s="1773">
        <v>0.43209876543209874</v>
      </c>
      <c r="I164" s="1772">
        <v>0.33737373737373738</v>
      </c>
      <c r="J164" s="1774">
        <v>0.15473887814313347</v>
      </c>
    </row>
    <row r="165" spans="1:10" ht="15" x14ac:dyDescent="0.25">
      <c r="A165" s="5890"/>
      <c r="B165" s="2943" t="s">
        <v>12</v>
      </c>
      <c r="C165" s="1775">
        <v>0.45827283895465715</v>
      </c>
      <c r="D165" s="1776">
        <v>0.45555064130915524</v>
      </c>
      <c r="E165" s="1776">
        <v>0.45501183898973957</v>
      </c>
      <c r="F165" s="1777">
        <v>0.40032679738562094</v>
      </c>
      <c r="G165" s="1776">
        <v>0.33648599490723902</v>
      </c>
      <c r="H165" s="1777">
        <v>0.26920366455250178</v>
      </c>
      <c r="I165" s="1776">
        <v>0.2038557657979293</v>
      </c>
      <c r="J165" s="1778">
        <v>0.119520655944497</v>
      </c>
    </row>
    <row r="166" spans="1:10" ht="15.75" x14ac:dyDescent="0.2">
      <c r="A166" s="681"/>
      <c r="B166" s="192"/>
      <c r="C166" s="748"/>
      <c r="D166" s="748"/>
      <c r="E166" s="748"/>
      <c r="F166" s="748"/>
      <c r="G166" s="748"/>
      <c r="H166" s="748"/>
      <c r="I166" s="748"/>
      <c r="J166" s="748"/>
    </row>
    <row r="167" spans="1:10" ht="15" x14ac:dyDescent="0.25">
      <c r="A167" s="5897" t="s">
        <v>407</v>
      </c>
      <c r="B167" s="991" t="s">
        <v>6</v>
      </c>
      <c r="C167" s="1767"/>
      <c r="D167" s="1768"/>
      <c r="E167" s="1768"/>
      <c r="F167" s="1769"/>
      <c r="G167" s="1768">
        <v>0.64893617021276595</v>
      </c>
      <c r="H167" s="1769">
        <v>0.73333333333333328</v>
      </c>
      <c r="I167" s="1768">
        <v>0.47706422018348627</v>
      </c>
      <c r="J167" s="1770">
        <v>0.34259259259259262</v>
      </c>
    </row>
    <row r="168" spans="1:10" ht="15" x14ac:dyDescent="0.25">
      <c r="A168" s="5898"/>
      <c r="B168" s="992" t="s">
        <v>9</v>
      </c>
      <c r="C168" s="1771"/>
      <c r="D168" s="1772"/>
      <c r="E168" s="1772"/>
      <c r="F168" s="1773"/>
      <c r="G168" s="1772">
        <v>0.51351351351351349</v>
      </c>
      <c r="H168" s="1773">
        <v>0.5357142857142857</v>
      </c>
      <c r="I168" s="1772">
        <v>0.38931297709923662</v>
      </c>
      <c r="J168" s="1774">
        <v>0.1721311475409836</v>
      </c>
    </row>
    <row r="169" spans="1:10" ht="15" x14ac:dyDescent="0.25">
      <c r="A169" s="5898"/>
      <c r="B169" s="992" t="s">
        <v>74</v>
      </c>
      <c r="C169" s="1771"/>
      <c r="D169" s="1772"/>
      <c r="E169" s="1772"/>
      <c r="F169" s="1773"/>
      <c r="G169" s="1772">
        <v>0.53846153846153844</v>
      </c>
      <c r="H169" s="1773">
        <v>0.2857142857142857</v>
      </c>
      <c r="I169" s="1772">
        <v>0.21052631578947367</v>
      </c>
      <c r="J169" s="1774">
        <v>0.11956521739130435</v>
      </c>
    </row>
    <row r="170" spans="1:10" ht="15" x14ac:dyDescent="0.25">
      <c r="A170" s="5899"/>
      <c r="B170" s="2943" t="s">
        <v>12</v>
      </c>
      <c r="C170" s="1775"/>
      <c r="D170" s="1776"/>
      <c r="E170" s="1776"/>
      <c r="F170" s="1777"/>
      <c r="G170" s="1776">
        <v>0.59411764705882353</v>
      </c>
      <c r="H170" s="1777">
        <v>0.57446808510638303</v>
      </c>
      <c r="I170" s="1776">
        <v>0.38720538720538722</v>
      </c>
      <c r="J170" s="1778">
        <v>0.21428571428571427</v>
      </c>
    </row>
    <row r="171" spans="1:10" ht="15.75" x14ac:dyDescent="0.2">
      <c r="A171" s="1782"/>
      <c r="B171" s="192"/>
      <c r="C171" s="748"/>
      <c r="D171" s="748"/>
      <c r="E171" s="748"/>
      <c r="F171" s="748"/>
      <c r="G171" s="748"/>
      <c r="H171" s="748"/>
      <c r="I171" s="748"/>
      <c r="J171" s="748"/>
    </row>
    <row r="172" spans="1:10" ht="15" x14ac:dyDescent="0.25">
      <c r="A172" s="5891" t="s">
        <v>162</v>
      </c>
      <c r="B172" s="991" t="s">
        <v>5</v>
      </c>
      <c r="C172" s="1767">
        <v>0.32994370800798983</v>
      </c>
      <c r="D172" s="1768">
        <v>0.30632411067193677</v>
      </c>
      <c r="E172" s="1768">
        <v>0.30919765166340507</v>
      </c>
      <c r="F172" s="1769">
        <v>0.31818181818181818</v>
      </c>
      <c r="G172" s="1768">
        <v>0.29982363315696647</v>
      </c>
      <c r="H172" s="1769">
        <v>0.21428571428571427</v>
      </c>
      <c r="I172" s="1768">
        <v>0.14822546972860126</v>
      </c>
      <c r="J172" s="1770">
        <v>3.2786885245901641E-2</v>
      </c>
    </row>
    <row r="173" spans="1:10" ht="15" x14ac:dyDescent="0.25">
      <c r="A173" s="5892"/>
      <c r="B173" s="992" t="s">
        <v>6</v>
      </c>
      <c r="C173" s="1771">
        <v>0.42799791837038137</v>
      </c>
      <c r="D173" s="1772">
        <v>0.4775561097256858</v>
      </c>
      <c r="E173" s="1772">
        <v>0.45838509316770187</v>
      </c>
      <c r="F173" s="1773">
        <v>0.49739854318418314</v>
      </c>
      <c r="G173" s="1772">
        <v>0.4077471967380224</v>
      </c>
      <c r="H173" s="1773">
        <v>0.39979231568016615</v>
      </c>
      <c r="I173" s="1772">
        <v>0.31125226860254085</v>
      </c>
      <c r="J173" s="1774">
        <v>0.16420664206642066</v>
      </c>
    </row>
    <row r="174" spans="1:10" ht="15" x14ac:dyDescent="0.25">
      <c r="A174" s="5892"/>
      <c r="B174" s="992" t="s">
        <v>11</v>
      </c>
      <c r="C174" s="1771">
        <v>0.42376120189773325</v>
      </c>
      <c r="D174" s="1772">
        <v>0.51709401709401714</v>
      </c>
      <c r="E174" s="1772">
        <v>0.47152619589977218</v>
      </c>
      <c r="F174" s="1773">
        <v>0.45866141732283466</v>
      </c>
      <c r="G174" s="1772">
        <v>0.44664031620553357</v>
      </c>
      <c r="H174" s="1773">
        <v>0.36026936026936029</v>
      </c>
      <c r="I174" s="1772">
        <v>0.20535714285714285</v>
      </c>
      <c r="J174" s="1774">
        <v>9.0476190476190474E-2</v>
      </c>
    </row>
    <row r="175" spans="1:10" ht="15" x14ac:dyDescent="0.25">
      <c r="A175" s="5893"/>
      <c r="B175" s="2943" t="s">
        <v>12</v>
      </c>
      <c r="C175" s="1775">
        <v>0.3992559599993174</v>
      </c>
      <c r="D175" s="1776">
        <v>0.4391891891891892</v>
      </c>
      <c r="E175" s="1776">
        <v>0.41823361823361821</v>
      </c>
      <c r="F175" s="1777">
        <v>0.4401602403605408</v>
      </c>
      <c r="G175" s="1776">
        <v>0.38753651411879259</v>
      </c>
      <c r="H175" s="1777">
        <v>0.34046600095102236</v>
      </c>
      <c r="I175" s="1776">
        <v>0.24708080336291452</v>
      </c>
      <c r="J175" s="1778">
        <v>0.10972461273666093</v>
      </c>
    </row>
    <row r="176" spans="1:10" ht="15.75" x14ac:dyDescent="0.2">
      <c r="A176" s="1782"/>
      <c r="B176" s="192"/>
      <c r="C176" s="748"/>
      <c r="D176" s="748"/>
      <c r="E176" s="748"/>
      <c r="F176" s="748"/>
      <c r="G176" s="748"/>
      <c r="H176" s="748"/>
      <c r="I176" s="748"/>
      <c r="J176" s="748"/>
    </row>
    <row r="177" spans="1:10" ht="15" x14ac:dyDescent="0.25">
      <c r="A177" s="5894" t="s">
        <v>163</v>
      </c>
      <c r="B177" s="991" t="s">
        <v>6</v>
      </c>
      <c r="C177" s="1767">
        <v>0.62764456981664318</v>
      </c>
      <c r="D177" s="1768">
        <v>0.64195450716090985</v>
      </c>
      <c r="E177" s="1768">
        <v>0.67411083540115802</v>
      </c>
      <c r="F177" s="1769">
        <v>0.68334475668265937</v>
      </c>
      <c r="G177" s="1768">
        <v>0.67032967032967028</v>
      </c>
      <c r="H177" s="1769">
        <v>0.63037974683544307</v>
      </c>
      <c r="I177" s="1768">
        <v>0.54971240755957274</v>
      </c>
      <c r="J177" s="1770">
        <v>0.40520134228187921</v>
      </c>
    </row>
    <row r="178" spans="1:10" ht="15" x14ac:dyDescent="0.25">
      <c r="A178" s="5895"/>
      <c r="B178" s="992" t="s">
        <v>11</v>
      </c>
      <c r="C178" s="1771">
        <v>0.65457651245551607</v>
      </c>
      <c r="D178" s="1772">
        <v>0.73620071684587818</v>
      </c>
      <c r="E178" s="1772">
        <v>0.73980309423347401</v>
      </c>
      <c r="F178" s="1773">
        <v>0.73963515754560527</v>
      </c>
      <c r="G178" s="1772">
        <v>0.73001158748551565</v>
      </c>
      <c r="H178" s="1773">
        <v>0.70679380214541121</v>
      </c>
      <c r="I178" s="1772">
        <v>0.64339493497604383</v>
      </c>
      <c r="J178" s="1774">
        <v>0.49200833912439196</v>
      </c>
    </row>
    <row r="179" spans="1:10" ht="15" x14ac:dyDescent="0.25">
      <c r="A179" s="5895"/>
      <c r="B179" s="992" t="s">
        <v>7</v>
      </c>
      <c r="C179" s="1771">
        <v>0.60126989230027328</v>
      </c>
      <c r="D179" s="1772">
        <v>0.66557911908646006</v>
      </c>
      <c r="E179" s="1772">
        <v>0.68981481481481477</v>
      </c>
      <c r="F179" s="1773">
        <v>0.69198312236286919</v>
      </c>
      <c r="G179" s="1772">
        <v>0.65982404692082108</v>
      </c>
      <c r="H179" s="1773">
        <v>0.56406250000000002</v>
      </c>
      <c r="I179" s="1772">
        <v>0.42592592592592593</v>
      </c>
      <c r="J179" s="1774">
        <v>0.27330173775671407</v>
      </c>
    </row>
    <row r="180" spans="1:10" ht="15" x14ac:dyDescent="0.25">
      <c r="A180" s="5896"/>
      <c r="B180" s="2943" t="s">
        <v>12</v>
      </c>
      <c r="C180" s="1775">
        <v>0.63585843813980691</v>
      </c>
      <c r="D180" s="1776">
        <v>0.68763693270735526</v>
      </c>
      <c r="E180" s="1776">
        <v>0.70570295821896922</v>
      </c>
      <c r="F180" s="1777">
        <v>0.71048002010555411</v>
      </c>
      <c r="G180" s="1776">
        <v>0.69573283858998147</v>
      </c>
      <c r="H180" s="1777">
        <v>0.65486725663716816</v>
      </c>
      <c r="I180" s="1776">
        <v>0.56674684305472034</v>
      </c>
      <c r="J180" s="1778">
        <v>0.41789215686274511</v>
      </c>
    </row>
    <row r="181" spans="1:10" ht="15" x14ac:dyDescent="0.2">
      <c r="A181" s="1763"/>
      <c r="B181" s="1763"/>
      <c r="C181" s="1779"/>
      <c r="D181" s="1779"/>
      <c r="E181" s="1779"/>
      <c r="F181" s="1779"/>
      <c r="G181" s="1779"/>
      <c r="H181" s="1779"/>
      <c r="I181" s="1779"/>
      <c r="J181" s="1779"/>
    </row>
    <row r="182" spans="1:10" ht="15" x14ac:dyDescent="0.2">
      <c r="A182" s="6036" t="s">
        <v>76</v>
      </c>
      <c r="B182" s="6036"/>
      <c r="C182" s="1780">
        <v>0.506456590200001</v>
      </c>
      <c r="D182" s="1780">
        <v>0.55406526548672563</v>
      </c>
      <c r="E182" s="1780">
        <v>0.555100422832981</v>
      </c>
      <c r="F182" s="1780">
        <v>0.54564567887573312</v>
      </c>
      <c r="G182" s="1780">
        <v>0.50846101074777039</v>
      </c>
      <c r="H182" s="1780">
        <v>0.44834855938158819</v>
      </c>
      <c r="I182" s="1780">
        <v>0.36193812025685929</v>
      </c>
      <c r="J182" s="1780">
        <v>0.22761810373306904</v>
      </c>
    </row>
    <row r="185" spans="1:10" ht="15.75" x14ac:dyDescent="0.25">
      <c r="J185" s="5527" t="s">
        <v>664</v>
      </c>
    </row>
    <row r="186" spans="1:10" ht="15" x14ac:dyDescent="0.2">
      <c r="A186" s="5653" t="s">
        <v>16</v>
      </c>
      <c r="B186" s="5653" t="s">
        <v>4</v>
      </c>
      <c r="C186" s="6033" t="s">
        <v>660</v>
      </c>
      <c r="D186" s="6034"/>
      <c r="E186" s="6034"/>
      <c r="F186" s="6034"/>
      <c r="G186" s="6034"/>
      <c r="H186" s="6034"/>
      <c r="I186" s="6034"/>
      <c r="J186" s="6035"/>
    </row>
    <row r="187" spans="1:10" ht="15" x14ac:dyDescent="0.2">
      <c r="A187" s="5654"/>
      <c r="B187" s="5654"/>
      <c r="C187" s="1749" t="s">
        <v>661</v>
      </c>
      <c r="D187" s="1749">
        <v>2001</v>
      </c>
      <c r="E187" s="1749">
        <v>2002</v>
      </c>
      <c r="F187" s="1749">
        <v>2003</v>
      </c>
      <c r="G187" s="1749">
        <v>2004</v>
      </c>
      <c r="H187" s="1749">
        <v>2005</v>
      </c>
      <c r="I187" s="1749">
        <v>2006</v>
      </c>
      <c r="J187" s="1749">
        <v>2007</v>
      </c>
    </row>
    <row r="188" spans="1:10" ht="15" x14ac:dyDescent="0.2">
      <c r="A188" s="1750"/>
      <c r="B188" s="1750"/>
      <c r="C188" s="1750"/>
      <c r="D188" s="1750"/>
      <c r="E188" s="1750"/>
      <c r="F188" s="1750"/>
      <c r="G188" s="1750"/>
      <c r="H188" s="1750"/>
      <c r="I188" s="1750"/>
      <c r="J188" s="1750"/>
    </row>
    <row r="189" spans="1:10" ht="15" x14ac:dyDescent="0.25">
      <c r="A189" s="5888" t="s">
        <v>161</v>
      </c>
      <c r="B189" s="991" t="s">
        <v>5</v>
      </c>
      <c r="C189" s="1751">
        <v>0.33642683350712549</v>
      </c>
      <c r="D189" s="1752">
        <v>0.27252502780867632</v>
      </c>
      <c r="E189" s="1752">
        <v>0.2981220657276995</v>
      </c>
      <c r="F189" s="1753">
        <v>0.27111574556830031</v>
      </c>
      <c r="G189" s="1752">
        <v>0.22876712328767124</v>
      </c>
      <c r="H189" s="1753">
        <v>0.15285171102661596</v>
      </c>
      <c r="I189" s="1752">
        <v>8.7221095334685597E-2</v>
      </c>
      <c r="J189" s="1754">
        <v>2.1587743732590529E-2</v>
      </c>
    </row>
    <row r="190" spans="1:10" ht="15" x14ac:dyDescent="0.25">
      <c r="A190" s="5889"/>
      <c r="B190" s="992" t="s">
        <v>662</v>
      </c>
      <c r="C190" s="1755">
        <v>0.56188805483028725</v>
      </c>
      <c r="D190" s="1756">
        <v>0.51923076923076927</v>
      </c>
      <c r="E190" s="1756">
        <v>0.49502762430939229</v>
      </c>
      <c r="F190" s="1757">
        <v>0.50489662676822633</v>
      </c>
      <c r="G190" s="1756">
        <v>0.477319587628866</v>
      </c>
      <c r="H190" s="1757">
        <v>0.39229024943310659</v>
      </c>
      <c r="I190" s="1756">
        <v>0.33486238532110091</v>
      </c>
      <c r="J190" s="1758">
        <v>0.2121559633027523</v>
      </c>
    </row>
    <row r="191" spans="1:10" ht="15" x14ac:dyDescent="0.25">
      <c r="A191" s="5889"/>
      <c r="B191" s="992" t="s">
        <v>7</v>
      </c>
      <c r="C191" s="1755">
        <v>0.51823079814559581</v>
      </c>
      <c r="D191" s="1756">
        <v>0.57664233576642332</v>
      </c>
      <c r="E191" s="1756">
        <v>0.56547619047619047</v>
      </c>
      <c r="F191" s="1757">
        <v>0.56097560975609762</v>
      </c>
      <c r="G191" s="1756">
        <v>0.55873015873015874</v>
      </c>
      <c r="H191" s="1757">
        <v>0.46195652173913043</v>
      </c>
      <c r="I191" s="1756">
        <v>0.36082474226804123</v>
      </c>
      <c r="J191" s="1758">
        <v>0.1898989898989899</v>
      </c>
    </row>
    <row r="192" spans="1:10" ht="15" x14ac:dyDescent="0.25">
      <c r="A192" s="5890"/>
      <c r="B192" s="2943" t="s">
        <v>12</v>
      </c>
      <c r="C192" s="1759">
        <v>0.45814799838253134</v>
      </c>
      <c r="D192" s="1760">
        <v>0.43936214855224509</v>
      </c>
      <c r="E192" s="1760">
        <v>0.43653250773993807</v>
      </c>
      <c r="F192" s="1761">
        <v>0.43093922651933703</v>
      </c>
      <c r="G192" s="1760">
        <v>0.37549019607843137</v>
      </c>
      <c r="H192" s="1761">
        <v>0.29174245180065478</v>
      </c>
      <c r="I192" s="1760">
        <v>0.21015514809590974</v>
      </c>
      <c r="J192" s="1762">
        <v>0.11059579022475918</v>
      </c>
    </row>
    <row r="193" spans="1:10" ht="15.75" x14ac:dyDescent="0.2">
      <c r="A193" s="681"/>
      <c r="B193" s="192"/>
    </row>
    <row r="194" spans="1:10" ht="15" x14ac:dyDescent="0.25">
      <c r="A194" s="5897" t="s">
        <v>407</v>
      </c>
      <c r="B194" s="991" t="s">
        <v>662</v>
      </c>
      <c r="C194" s="1751" t="s">
        <v>663</v>
      </c>
      <c r="D194" s="1752" t="s">
        <v>663</v>
      </c>
      <c r="E194" s="1752" t="s">
        <v>663</v>
      </c>
      <c r="F194" s="1753" t="s">
        <v>663</v>
      </c>
      <c r="G194" s="1752" t="s">
        <v>663</v>
      </c>
      <c r="H194" s="1753">
        <v>0.64893617021276595</v>
      </c>
      <c r="I194" s="1752">
        <v>0.68888888888888888</v>
      </c>
      <c r="J194" s="1754">
        <v>0.33944954128440369</v>
      </c>
    </row>
    <row r="195" spans="1:10" ht="15" x14ac:dyDescent="0.25">
      <c r="A195" s="5898"/>
      <c r="B195" s="992" t="s">
        <v>9</v>
      </c>
      <c r="C195" s="1755" t="s">
        <v>663</v>
      </c>
      <c r="D195" s="1756" t="s">
        <v>663</v>
      </c>
      <c r="E195" s="1756" t="s">
        <v>663</v>
      </c>
      <c r="F195" s="1757" t="s">
        <v>663</v>
      </c>
      <c r="G195" s="1756" t="s">
        <v>663</v>
      </c>
      <c r="H195" s="1757">
        <v>0.43243243243243246</v>
      </c>
      <c r="I195" s="1756">
        <v>0.48275862068965519</v>
      </c>
      <c r="J195" s="1758">
        <v>0.19696969696969696</v>
      </c>
    </row>
    <row r="196" spans="1:10" ht="15" x14ac:dyDescent="0.25">
      <c r="A196" s="5898"/>
      <c r="B196" s="992" t="s">
        <v>74</v>
      </c>
      <c r="C196" s="1755" t="s">
        <v>663</v>
      </c>
      <c r="D196" s="1756" t="s">
        <v>663</v>
      </c>
      <c r="E196" s="1756" t="s">
        <v>663</v>
      </c>
      <c r="F196" s="1757" t="s">
        <v>663</v>
      </c>
      <c r="G196" s="1756" t="s">
        <v>663</v>
      </c>
      <c r="H196" s="1757">
        <v>0.51282051282051277</v>
      </c>
      <c r="I196" s="1756">
        <v>0.23809523809523808</v>
      </c>
      <c r="J196" s="1758">
        <v>0.12280701754385964</v>
      </c>
    </row>
    <row r="197" spans="1:10" ht="15" x14ac:dyDescent="0.25">
      <c r="A197" s="5899"/>
      <c r="B197" s="2943" t="s">
        <v>12</v>
      </c>
      <c r="C197" s="1759" t="s">
        <v>663</v>
      </c>
      <c r="D197" s="1760" t="s">
        <v>663</v>
      </c>
      <c r="E197" s="1760" t="s">
        <v>663</v>
      </c>
      <c r="F197" s="1761" t="s">
        <v>663</v>
      </c>
      <c r="G197" s="1760" t="s">
        <v>663</v>
      </c>
      <c r="H197" s="1761">
        <v>0.57058823529411762</v>
      </c>
      <c r="I197" s="1760">
        <v>0.52631578947368418</v>
      </c>
      <c r="J197" s="1762">
        <v>0.2348993288590604</v>
      </c>
    </row>
    <row r="198" spans="1:10" ht="15.75" x14ac:dyDescent="0.2">
      <c r="A198" s="1782"/>
      <c r="B198" s="192"/>
    </row>
    <row r="199" spans="1:10" ht="15" x14ac:dyDescent="0.25">
      <c r="A199" s="5891" t="s">
        <v>162</v>
      </c>
      <c r="B199" s="991" t="s">
        <v>5</v>
      </c>
      <c r="C199" s="1751">
        <v>0.32810750279955209</v>
      </c>
      <c r="D199" s="1752">
        <v>0.34899328859060402</v>
      </c>
      <c r="E199" s="1752">
        <v>0.29644268774703558</v>
      </c>
      <c r="F199" s="1753">
        <v>0.28375733855185908</v>
      </c>
      <c r="G199" s="1752">
        <v>0.27134724857685011</v>
      </c>
      <c r="H199" s="1753">
        <v>0.21869488536155202</v>
      </c>
      <c r="I199" s="1752">
        <v>0.14102564102564102</v>
      </c>
      <c r="J199" s="1754">
        <v>5.8700209643605873E-2</v>
      </c>
    </row>
    <row r="200" spans="1:10" ht="15" x14ac:dyDescent="0.25">
      <c r="A200" s="5892"/>
      <c r="B200" s="992" t="s">
        <v>6</v>
      </c>
      <c r="C200" s="1755">
        <v>0.42336717104003063</v>
      </c>
      <c r="D200" s="1756">
        <v>0.53846153846153844</v>
      </c>
      <c r="E200" s="1756">
        <v>0.46009975062344138</v>
      </c>
      <c r="F200" s="1757">
        <v>0.43159203980099503</v>
      </c>
      <c r="G200" s="1756">
        <v>0.46305931321540061</v>
      </c>
      <c r="H200" s="1757">
        <v>0.36493374108053006</v>
      </c>
      <c r="I200" s="1756">
        <v>0.31048805815160957</v>
      </c>
      <c r="J200" s="1758">
        <v>0.1586582048957389</v>
      </c>
    </row>
    <row r="201" spans="1:10" ht="15" x14ac:dyDescent="0.25">
      <c r="A201" s="5892"/>
      <c r="B201" s="992" t="s">
        <v>11</v>
      </c>
      <c r="C201" s="1755">
        <v>0.42048078228982749</v>
      </c>
      <c r="D201" s="1756">
        <v>0.49220489977728288</v>
      </c>
      <c r="E201" s="1756">
        <v>0.50106609808102343</v>
      </c>
      <c r="F201" s="1757">
        <v>0.43507972665148065</v>
      </c>
      <c r="G201" s="1756">
        <v>0.40551181102362205</v>
      </c>
      <c r="H201" s="1757">
        <v>0.37029702970297029</v>
      </c>
      <c r="I201" s="1756">
        <v>0.26138279932546377</v>
      </c>
      <c r="J201" s="1758">
        <v>7.130124777183601E-2</v>
      </c>
    </row>
    <row r="202" spans="1:10" ht="15" x14ac:dyDescent="0.25">
      <c r="A202" s="5893"/>
      <c r="B202" s="2943" t="s">
        <v>12</v>
      </c>
      <c r="C202" s="1759">
        <v>0.3957121518320007</v>
      </c>
      <c r="D202" s="1760">
        <v>0.47602131438721135</v>
      </c>
      <c r="E202" s="1760">
        <v>0.42431063590320767</v>
      </c>
      <c r="F202" s="1761">
        <v>0.38939566704675027</v>
      </c>
      <c r="G202" s="1760">
        <v>0.39779559118236474</v>
      </c>
      <c r="H202" s="1761">
        <v>0.32586458840720894</v>
      </c>
      <c r="I202" s="1760">
        <v>0.252616555661275</v>
      </c>
      <c r="J202" s="1762">
        <v>0.11349836524988323</v>
      </c>
    </row>
    <row r="203" spans="1:10" ht="15.75" x14ac:dyDescent="0.2">
      <c r="A203" s="1782"/>
      <c r="B203" s="192"/>
    </row>
    <row r="204" spans="1:10" ht="15" x14ac:dyDescent="0.25">
      <c r="A204" s="5894" t="s">
        <v>163</v>
      </c>
      <c r="B204" s="991" t="s">
        <v>6</v>
      </c>
      <c r="C204" s="1751">
        <v>0.62723770677543622</v>
      </c>
      <c r="D204" s="1752">
        <v>0.6327054794520548</v>
      </c>
      <c r="E204" s="1752">
        <v>0.63774220724515585</v>
      </c>
      <c r="F204" s="1753">
        <v>0.6658395368072787</v>
      </c>
      <c r="G204" s="1752">
        <v>0.67489711934156382</v>
      </c>
      <c r="H204" s="1753">
        <v>0.65714285714285714</v>
      </c>
      <c r="I204" s="1752">
        <v>0.58059071729957801</v>
      </c>
      <c r="J204" s="1754">
        <v>0.3862520458265139</v>
      </c>
    </row>
    <row r="205" spans="1:10" ht="15" x14ac:dyDescent="0.25">
      <c r="A205" s="5895"/>
      <c r="B205" s="992" t="s">
        <v>11</v>
      </c>
      <c r="C205" s="1755">
        <v>0.65294325822814669</v>
      </c>
      <c r="D205" s="1756">
        <v>0.69926047658175838</v>
      </c>
      <c r="E205" s="1756">
        <v>0.73314203730272598</v>
      </c>
      <c r="F205" s="1757">
        <v>0.73488045007032354</v>
      </c>
      <c r="G205" s="1756">
        <v>0.73159933591588266</v>
      </c>
      <c r="H205" s="1757">
        <v>0.71263035921205098</v>
      </c>
      <c r="I205" s="1756">
        <v>0.65755053507728889</v>
      </c>
      <c r="J205" s="1758">
        <v>0.41478439425051333</v>
      </c>
    </row>
    <row r="206" spans="1:10" ht="15" x14ac:dyDescent="0.25">
      <c r="A206" s="5895"/>
      <c r="B206" s="992" t="s">
        <v>7</v>
      </c>
      <c r="C206" s="1755">
        <v>0.59924114671163575</v>
      </c>
      <c r="D206" s="1756">
        <v>0.63745704467353947</v>
      </c>
      <c r="E206" s="1756">
        <v>0.65415986949429039</v>
      </c>
      <c r="F206" s="1757">
        <v>0.68672839506172845</v>
      </c>
      <c r="G206" s="1756">
        <v>0.67842031029619176</v>
      </c>
      <c r="H206" s="1757">
        <v>0.63049853372434017</v>
      </c>
      <c r="I206" s="1756">
        <v>0.50624999999999998</v>
      </c>
      <c r="J206" s="1758">
        <v>0.23765432098765432</v>
      </c>
    </row>
    <row r="207" spans="1:10" ht="15" x14ac:dyDescent="0.25">
      <c r="A207" s="5896"/>
      <c r="B207" s="2943" t="s">
        <v>12</v>
      </c>
      <c r="C207" s="1759">
        <v>0.63470641973258035</v>
      </c>
      <c r="D207" s="1760">
        <v>0.66093697337377821</v>
      </c>
      <c r="E207" s="1760">
        <v>0.6825297432686287</v>
      </c>
      <c r="F207" s="1761">
        <v>0.69990850869167431</v>
      </c>
      <c r="G207" s="1760">
        <v>0.70130850528434829</v>
      </c>
      <c r="H207" s="1761">
        <v>0.67771004505698385</v>
      </c>
      <c r="I207" s="1760">
        <v>0.60393498716852012</v>
      </c>
      <c r="J207" s="1762">
        <v>0.36985890123086163</v>
      </c>
    </row>
    <row r="208" spans="1:10" ht="15" x14ac:dyDescent="0.2">
      <c r="A208" s="1763"/>
      <c r="B208" s="1763"/>
      <c r="C208" s="1764"/>
      <c r="D208" s="1764"/>
      <c r="E208" s="1764"/>
      <c r="F208" s="1764"/>
      <c r="G208" s="1764"/>
      <c r="H208" s="1764"/>
      <c r="I208" s="1764"/>
      <c r="J208" s="1764"/>
    </row>
    <row r="209" spans="1:11" ht="15" x14ac:dyDescent="0.2">
      <c r="A209" s="6036" t="s">
        <v>76</v>
      </c>
      <c r="B209" s="6036"/>
      <c r="C209" s="1765">
        <v>0.50453388442249048</v>
      </c>
      <c r="D209" s="1765">
        <v>0.54155419803949423</v>
      </c>
      <c r="E209" s="1765">
        <v>0.54217367256637172</v>
      </c>
      <c r="F209" s="1765">
        <v>0.53786176820404386</v>
      </c>
      <c r="G209" s="1765">
        <v>0.52375152253349577</v>
      </c>
      <c r="H209" s="1765">
        <v>0.47169811320754718</v>
      </c>
      <c r="I209" s="1765">
        <v>0.38583138173302106</v>
      </c>
      <c r="J209" s="1765">
        <v>0.21637699755044909</v>
      </c>
    </row>
    <row r="212" spans="1:11" ht="15.75" x14ac:dyDescent="0.25">
      <c r="K212" s="5527" t="s">
        <v>666</v>
      </c>
    </row>
    <row r="213" spans="1:11" ht="15" x14ac:dyDescent="0.2">
      <c r="A213" s="5653" t="s">
        <v>16</v>
      </c>
      <c r="B213" s="5653" t="s">
        <v>4</v>
      </c>
      <c r="C213" s="6033" t="s">
        <v>660</v>
      </c>
      <c r="D213" s="6034"/>
      <c r="E213" s="6034"/>
      <c r="F213" s="6034"/>
      <c r="G213" s="6034"/>
      <c r="H213" s="6034"/>
      <c r="I213" s="6034"/>
      <c r="J213" s="6034"/>
      <c r="K213" s="6035"/>
    </row>
    <row r="214" spans="1:11" ht="15" x14ac:dyDescent="0.2">
      <c r="A214" s="5654"/>
      <c r="B214" s="5654"/>
      <c r="C214" s="1749" t="s">
        <v>665</v>
      </c>
      <c r="D214" s="1749">
        <v>1998</v>
      </c>
      <c r="E214" s="1749">
        <v>1999</v>
      </c>
      <c r="F214" s="1749">
        <v>2000</v>
      </c>
      <c r="G214" s="1749">
        <v>2001</v>
      </c>
      <c r="H214" s="1749">
        <v>2002</v>
      </c>
      <c r="I214" s="1749">
        <v>2003</v>
      </c>
      <c r="J214" s="1749">
        <v>2004</v>
      </c>
      <c r="K214" s="1748">
        <v>2006</v>
      </c>
    </row>
    <row r="215" spans="1:11" ht="15" x14ac:dyDescent="0.2">
      <c r="A215" s="1750"/>
      <c r="B215" s="1750"/>
      <c r="C215" s="1750"/>
      <c r="D215" s="1750"/>
      <c r="E215" s="1750"/>
      <c r="F215" s="1750"/>
      <c r="G215" s="1750"/>
      <c r="H215" s="1750"/>
      <c r="I215" s="1750"/>
      <c r="J215" s="1750"/>
      <c r="K215" s="1750"/>
    </row>
    <row r="216" spans="1:11" ht="15" x14ac:dyDescent="0.25">
      <c r="A216" s="5888" t="s">
        <v>161</v>
      </c>
      <c r="B216" s="991" t="s">
        <v>5</v>
      </c>
      <c r="C216" s="1751">
        <v>0.34255210180041762</v>
      </c>
      <c r="D216" s="1752">
        <v>0.28484848484848485</v>
      </c>
      <c r="E216" s="1752">
        <v>0.27310924369747897</v>
      </c>
      <c r="F216" s="1753">
        <v>0.27186311787072243</v>
      </c>
      <c r="G216" s="1752">
        <v>0.25195968645016797</v>
      </c>
      <c r="H216" s="1753">
        <v>0.26315789473684209</v>
      </c>
      <c r="I216" s="1752">
        <v>0.23340040241448692</v>
      </c>
      <c r="J216" s="1753">
        <v>0.17373461012311903</v>
      </c>
      <c r="K216" s="1752">
        <v>2.6262626262626262E-2</v>
      </c>
    </row>
    <row r="217" spans="1:11" ht="15" x14ac:dyDescent="0.25">
      <c r="A217" s="5889"/>
      <c r="B217" s="992" t="s">
        <v>662</v>
      </c>
      <c r="C217" s="1755">
        <v>0.56210935691467201</v>
      </c>
      <c r="D217" s="1756">
        <v>0.57326203208556148</v>
      </c>
      <c r="E217" s="1756">
        <v>0.53892821031344795</v>
      </c>
      <c r="F217" s="1757">
        <v>0.54563691073219656</v>
      </c>
      <c r="G217" s="1756">
        <v>0.50106609808102343</v>
      </c>
      <c r="H217" s="1757">
        <v>0.4758241758241758</v>
      </c>
      <c r="I217" s="1756">
        <v>0.46572361262241568</v>
      </c>
      <c r="J217" s="1757">
        <v>0.43814432989690721</v>
      </c>
      <c r="K217" s="1756">
        <v>0.22909507445589919</v>
      </c>
    </row>
    <row r="218" spans="1:11" ht="15" x14ac:dyDescent="0.25">
      <c r="A218" s="5889"/>
      <c r="B218" s="992" t="s">
        <v>7</v>
      </c>
      <c r="C218" s="1755">
        <v>0.51095450739603687</v>
      </c>
      <c r="D218" s="1756">
        <v>0.59935897435897434</v>
      </c>
      <c r="E218" s="1756">
        <v>0.5898876404494382</v>
      </c>
      <c r="F218" s="1757">
        <v>0.5280665280665281</v>
      </c>
      <c r="G218" s="1756">
        <v>0.56466302367941712</v>
      </c>
      <c r="H218" s="1757">
        <v>0.55049504950495054</v>
      </c>
      <c r="I218" s="1756">
        <v>0.54185692541856922</v>
      </c>
      <c r="J218" s="1757">
        <v>0.52146263910969792</v>
      </c>
      <c r="K218" s="1756">
        <v>0.23505154639175257</v>
      </c>
    </row>
    <row r="219" spans="1:11" ht="15" x14ac:dyDescent="0.25">
      <c r="A219" s="5890"/>
      <c r="B219" s="2943" t="s">
        <v>12</v>
      </c>
      <c r="C219" s="1759">
        <v>0.45925889682617349</v>
      </c>
      <c r="D219" s="1760">
        <v>0.45652173913043476</v>
      </c>
      <c r="E219" s="1760">
        <v>0.4323626981201622</v>
      </c>
      <c r="F219" s="1761">
        <v>0.42845849802371544</v>
      </c>
      <c r="G219" s="1760">
        <v>0.42262405382674517</v>
      </c>
      <c r="H219" s="1761">
        <v>0.41322680869951178</v>
      </c>
      <c r="I219" s="1760">
        <v>0.39533073929961088</v>
      </c>
      <c r="J219" s="1761">
        <v>0.32897745834694542</v>
      </c>
      <c r="K219" s="1760">
        <v>0.1241646148434752</v>
      </c>
    </row>
    <row r="220" spans="1:11" ht="15.75" x14ac:dyDescent="0.2">
      <c r="A220" s="681"/>
      <c r="B220" s="192"/>
    </row>
    <row r="221" spans="1:11" ht="15" x14ac:dyDescent="0.25">
      <c r="A221" s="5897" t="s">
        <v>407</v>
      </c>
      <c r="B221" s="991" t="s">
        <v>6</v>
      </c>
      <c r="C221" s="1751" t="s">
        <v>663</v>
      </c>
      <c r="D221" s="1752" t="s">
        <v>663</v>
      </c>
      <c r="E221" s="1752" t="s">
        <v>663</v>
      </c>
      <c r="F221" s="1753" t="s">
        <v>663</v>
      </c>
      <c r="G221" s="1752" t="s">
        <v>663</v>
      </c>
      <c r="H221" s="1753" t="s">
        <v>663</v>
      </c>
      <c r="I221" s="1752" t="s">
        <v>663</v>
      </c>
      <c r="J221" s="1753" t="s">
        <v>663</v>
      </c>
      <c r="K221" s="1752">
        <v>0.44444444444444442</v>
      </c>
    </row>
    <row r="222" spans="1:11" ht="15" x14ac:dyDescent="0.25">
      <c r="A222" s="5898"/>
      <c r="B222" s="992" t="s">
        <v>9</v>
      </c>
      <c r="C222" s="1755" t="s">
        <v>663</v>
      </c>
      <c r="D222" s="1756" t="s">
        <v>663</v>
      </c>
      <c r="E222" s="1756" t="s">
        <v>663</v>
      </c>
      <c r="F222" s="1757" t="s">
        <v>663</v>
      </c>
      <c r="G222" s="1756" t="s">
        <v>663</v>
      </c>
      <c r="H222" s="1757" t="s">
        <v>663</v>
      </c>
      <c r="I222" s="1756" t="s">
        <v>663</v>
      </c>
      <c r="J222" s="1757" t="s">
        <v>663</v>
      </c>
      <c r="K222" s="1756">
        <v>0</v>
      </c>
    </row>
    <row r="223" spans="1:11" ht="15" x14ac:dyDescent="0.25">
      <c r="A223" s="5898"/>
      <c r="B223" s="992" t="s">
        <v>74</v>
      </c>
      <c r="C223" s="1755" t="s">
        <v>663</v>
      </c>
      <c r="D223" s="1756" t="s">
        <v>663</v>
      </c>
      <c r="E223" s="1756" t="s">
        <v>663</v>
      </c>
      <c r="F223" s="1757" t="s">
        <v>663</v>
      </c>
      <c r="G223" s="1756" t="s">
        <v>663</v>
      </c>
      <c r="H223" s="1757" t="s">
        <v>663</v>
      </c>
      <c r="I223" s="1756" t="s">
        <v>663</v>
      </c>
      <c r="J223" s="1757" t="s">
        <v>663</v>
      </c>
      <c r="K223" s="1756">
        <v>0.33333333333333331</v>
      </c>
    </row>
    <row r="224" spans="1:11" ht="15" x14ac:dyDescent="0.25">
      <c r="A224" s="5899"/>
      <c r="B224" s="2943" t="s">
        <v>12</v>
      </c>
      <c r="C224" s="1759" t="s">
        <v>663</v>
      </c>
      <c r="D224" s="1760" t="s">
        <v>663</v>
      </c>
      <c r="E224" s="1760" t="s">
        <v>663</v>
      </c>
      <c r="F224" s="1761" t="s">
        <v>663</v>
      </c>
      <c r="G224" s="1760" t="s">
        <v>663</v>
      </c>
      <c r="H224" s="1761" t="s">
        <v>663</v>
      </c>
      <c r="I224" s="1760" t="s">
        <v>663</v>
      </c>
      <c r="J224" s="1761" t="s">
        <v>663</v>
      </c>
      <c r="K224" s="1760">
        <v>0.37113402061855671</v>
      </c>
    </row>
    <row r="225" spans="1:11" ht="15.75" x14ac:dyDescent="0.2">
      <c r="A225" s="1782"/>
      <c r="B225" s="192"/>
    </row>
    <row r="226" spans="1:11" ht="15" x14ac:dyDescent="0.25">
      <c r="A226" s="5891" t="s">
        <v>162</v>
      </c>
      <c r="B226" s="991" t="s">
        <v>5</v>
      </c>
      <c r="C226" s="1751">
        <v>0.32801742307151888</v>
      </c>
      <c r="D226" s="1752">
        <v>0.31988041853512705</v>
      </c>
      <c r="E226" s="1752">
        <v>0.31333333333333335</v>
      </c>
      <c r="F226" s="1753">
        <v>0.32758620689655171</v>
      </c>
      <c r="G226" s="1752">
        <v>0.33482142857142855</v>
      </c>
      <c r="H226" s="1753">
        <v>0.26679841897233203</v>
      </c>
      <c r="I226" s="1752">
        <v>0.24609375</v>
      </c>
      <c r="J226" s="1753">
        <v>0.23719165085388993</v>
      </c>
      <c r="K226" s="1752">
        <v>6.2043795620437957E-2</v>
      </c>
    </row>
    <row r="227" spans="1:11" ht="15" x14ac:dyDescent="0.25">
      <c r="A227" s="5892"/>
      <c r="B227" s="992" t="s">
        <v>6</v>
      </c>
      <c r="C227" s="1755">
        <v>0.41528010662539233</v>
      </c>
      <c r="D227" s="1756">
        <v>0.47754353803849681</v>
      </c>
      <c r="E227" s="1756">
        <v>0.45289079229122053</v>
      </c>
      <c r="F227" s="1757">
        <v>0.48574821852731592</v>
      </c>
      <c r="G227" s="1756">
        <v>0.51763224181360201</v>
      </c>
      <c r="H227" s="1757">
        <v>0.43478260869565216</v>
      </c>
      <c r="I227" s="1756">
        <v>0.40148698884758366</v>
      </c>
      <c r="J227" s="1757">
        <v>0.43541666666666667</v>
      </c>
      <c r="K227" s="1756">
        <v>0.17047817047817049</v>
      </c>
    </row>
    <row r="228" spans="1:11" ht="15" x14ac:dyDescent="0.25">
      <c r="A228" s="5892"/>
      <c r="B228" s="992" t="s">
        <v>11</v>
      </c>
      <c r="C228" s="1755">
        <v>0.41485406944554298</v>
      </c>
      <c r="D228" s="1756">
        <v>0.41489361702127658</v>
      </c>
      <c r="E228" s="1756">
        <v>0.42784163473818648</v>
      </c>
      <c r="F228" s="1757">
        <v>0.54565217391304344</v>
      </c>
      <c r="G228" s="1756">
        <v>0.46799116997792495</v>
      </c>
      <c r="H228" s="1757">
        <v>0.47121535181236673</v>
      </c>
      <c r="I228" s="1756">
        <v>0.38181818181818183</v>
      </c>
      <c r="J228" s="1757">
        <v>0.34842519685039369</v>
      </c>
      <c r="K228" s="1756">
        <v>0.12121212121212122</v>
      </c>
    </row>
    <row r="229" spans="1:11" ht="15" x14ac:dyDescent="0.25">
      <c r="A229" s="5893"/>
      <c r="B229" s="2943" t="s">
        <v>12</v>
      </c>
      <c r="C229" s="1759">
        <v>0.39041027584418692</v>
      </c>
      <c r="D229" s="1760">
        <v>0.4167306216423638</v>
      </c>
      <c r="E229" s="1760">
        <v>0.4082865774708675</v>
      </c>
      <c r="F229" s="1761">
        <v>0.45164718384697133</v>
      </c>
      <c r="G229" s="1760">
        <v>0.45550972304066001</v>
      </c>
      <c r="H229" s="1761">
        <v>0.39707536557930256</v>
      </c>
      <c r="I229" s="1760">
        <v>0.35133598635588403</v>
      </c>
      <c r="J229" s="1761">
        <v>0.36090225563909772</v>
      </c>
      <c r="K229" s="1760">
        <v>0.12832699619771862</v>
      </c>
    </row>
    <row r="230" spans="1:11" ht="15.75" x14ac:dyDescent="0.2">
      <c r="A230" s="1782"/>
      <c r="B230" s="192"/>
    </row>
    <row r="231" spans="1:11" ht="15" x14ac:dyDescent="0.25">
      <c r="A231" s="5894" t="s">
        <v>163</v>
      </c>
      <c r="B231" s="991" t="s">
        <v>6</v>
      </c>
      <c r="C231" s="1751">
        <v>0.62626928656204672</v>
      </c>
      <c r="D231" s="1752">
        <v>0.6586080586080586</v>
      </c>
      <c r="E231" s="1752">
        <v>0.61634695579649712</v>
      </c>
      <c r="F231" s="1753">
        <v>0.60606060606060608</v>
      </c>
      <c r="G231" s="1752">
        <v>0.62393887945670623</v>
      </c>
      <c r="H231" s="1753">
        <v>0.6269907795473596</v>
      </c>
      <c r="I231" s="1752">
        <v>0.65702479338842978</v>
      </c>
      <c r="J231" s="1753">
        <v>0.65051194539249146</v>
      </c>
      <c r="K231" s="1752">
        <v>0.40352348993288589</v>
      </c>
    </row>
    <row r="232" spans="1:11" ht="15" x14ac:dyDescent="0.25">
      <c r="A232" s="5895"/>
      <c r="B232" s="992" t="s">
        <v>11</v>
      </c>
      <c r="C232" s="1755">
        <v>0.64747666080368016</v>
      </c>
      <c r="D232" s="1756">
        <v>0.69533169533169537</v>
      </c>
      <c r="E232" s="1756">
        <v>0.65794907088781829</v>
      </c>
      <c r="F232" s="1757">
        <v>0.70077519379844966</v>
      </c>
      <c r="G232" s="1756">
        <v>0.69281045751633985</v>
      </c>
      <c r="H232" s="1757">
        <v>0.72467902995720401</v>
      </c>
      <c r="I232" s="1756">
        <v>0.72128851540616246</v>
      </c>
      <c r="J232" s="1757">
        <v>0.7104972375690608</v>
      </c>
      <c r="K232" s="1756">
        <v>0.41824644549763035</v>
      </c>
    </row>
    <row r="233" spans="1:11" ht="15" x14ac:dyDescent="0.25">
      <c r="A233" s="5895"/>
      <c r="B233" s="992" t="s">
        <v>7</v>
      </c>
      <c r="C233" s="1755">
        <v>0.59383472236168289</v>
      </c>
      <c r="D233" s="1756">
        <v>0.67249602543720188</v>
      </c>
      <c r="E233" s="1756">
        <v>0.59771986970684043</v>
      </c>
      <c r="F233" s="1757">
        <v>0.59286775631500743</v>
      </c>
      <c r="G233" s="1756">
        <v>0.62436548223350252</v>
      </c>
      <c r="H233" s="1757">
        <v>0.63695299837925445</v>
      </c>
      <c r="I233" s="1756">
        <v>0.66158536585365857</v>
      </c>
      <c r="J233" s="1757">
        <v>0.63687150837988826</v>
      </c>
      <c r="K233" s="1756">
        <v>0.32550860719874802</v>
      </c>
    </row>
    <row r="234" spans="1:11" ht="15" x14ac:dyDescent="0.25">
      <c r="A234" s="5896"/>
      <c r="B234" s="2943" t="s">
        <v>12</v>
      </c>
      <c r="C234" s="1759">
        <v>0.63115043679342242</v>
      </c>
      <c r="D234" s="1760">
        <v>0.67752622860298173</v>
      </c>
      <c r="E234" s="1760">
        <v>0.63135333741579913</v>
      </c>
      <c r="F234" s="1761">
        <v>0.64201840685496669</v>
      </c>
      <c r="G234" s="1760">
        <v>0.65218843969261608</v>
      </c>
      <c r="H234" s="1761">
        <v>0.67154420921544211</v>
      </c>
      <c r="I234" s="1760">
        <v>0.68579234972677594</v>
      </c>
      <c r="J234" s="1761">
        <v>0.67526935605111504</v>
      </c>
      <c r="K234" s="1760">
        <v>0.39641943734015345</v>
      </c>
    </row>
    <row r="235" spans="1:11" ht="15" x14ac:dyDescent="0.2">
      <c r="A235" s="1763"/>
      <c r="B235" s="1763"/>
      <c r="C235" s="1764"/>
      <c r="D235" s="1764"/>
      <c r="E235" s="1764"/>
      <c r="F235" s="1764"/>
      <c r="G235" s="1764"/>
      <c r="H235" s="1764"/>
      <c r="I235" s="1764"/>
      <c r="J235" s="1764"/>
      <c r="K235" s="1764"/>
    </row>
    <row r="236" spans="1:11" ht="15" x14ac:dyDescent="0.2">
      <c r="A236" s="6036" t="s">
        <v>76</v>
      </c>
      <c r="B236" s="6036"/>
      <c r="C236" s="1765">
        <v>0.50100447263747461</v>
      </c>
      <c r="D236" s="1765">
        <v>0.53444419592932235</v>
      </c>
      <c r="E236" s="1765">
        <v>0.50397782063645136</v>
      </c>
      <c r="F236" s="1765">
        <v>0.52320507735025779</v>
      </c>
      <c r="G236" s="1765">
        <v>0.52773061686474254</v>
      </c>
      <c r="H236" s="1765">
        <v>0.52381609830180864</v>
      </c>
      <c r="I236" s="1765">
        <v>0.51069132887314705</v>
      </c>
      <c r="J236" s="1765">
        <v>0.48878081131866918</v>
      </c>
      <c r="K236" s="1765">
        <v>0.23986920471797268</v>
      </c>
    </row>
  </sheetData>
  <sheetProtection algorithmName="SHA-512" hashValue="suCK3DHXWn9MHWcqaKHfKTwbvxwto43Lnl7FrmHUh+Sa8BLA3BhIywcbUeq1KTHiGK+lBPxdW9M14kltikqv6w==" saltValue="PbYcu/fIGxXUC7tT+JBzWw==" spinCount="100000" sheet="1" objects="1" scenarios="1"/>
  <mergeCells count="67">
    <mergeCell ref="A37:A38"/>
    <mergeCell ref="B37:B38"/>
    <mergeCell ref="C37:J37"/>
    <mergeCell ref="A65:B65"/>
    <mergeCell ref="A40:A43"/>
    <mergeCell ref="A45:A48"/>
    <mergeCell ref="A50:A53"/>
    <mergeCell ref="A55:A58"/>
    <mergeCell ref="A60:A63"/>
    <mergeCell ref="A236:B236"/>
    <mergeCell ref="A204:A207"/>
    <mergeCell ref="A209:B209"/>
    <mergeCell ref="A213:A214"/>
    <mergeCell ref="B213:B214"/>
    <mergeCell ref="A216:A219"/>
    <mergeCell ref="A221:A224"/>
    <mergeCell ref="A182:B182"/>
    <mergeCell ref="A132:A133"/>
    <mergeCell ref="B132:B133"/>
    <mergeCell ref="A162:A165"/>
    <mergeCell ref="A231:A234"/>
    <mergeCell ref="A167:A170"/>
    <mergeCell ref="A172:A175"/>
    <mergeCell ref="A177:A180"/>
    <mergeCell ref="A159:A160"/>
    <mergeCell ref="B159:B160"/>
    <mergeCell ref="A226:A229"/>
    <mergeCell ref="C186:J186"/>
    <mergeCell ref="A189:A192"/>
    <mergeCell ref="A194:A197"/>
    <mergeCell ref="C213:K213"/>
    <mergeCell ref="A199:A202"/>
    <mergeCell ref="A186:A187"/>
    <mergeCell ref="B186:B187"/>
    <mergeCell ref="A106:A109"/>
    <mergeCell ref="A111:A114"/>
    <mergeCell ref="C159:J159"/>
    <mergeCell ref="A140:A143"/>
    <mergeCell ref="A145:A148"/>
    <mergeCell ref="A150:A153"/>
    <mergeCell ref="A155:B155"/>
    <mergeCell ref="C132:J132"/>
    <mergeCell ref="A135:A138"/>
    <mergeCell ref="A116:A119"/>
    <mergeCell ref="A121:A124"/>
    <mergeCell ref="C5:J5"/>
    <mergeCell ref="A8:A11"/>
    <mergeCell ref="A13:A16"/>
    <mergeCell ref="A126:B126"/>
    <mergeCell ref="A88:A91"/>
    <mergeCell ref="A70:A71"/>
    <mergeCell ref="B70:B71"/>
    <mergeCell ref="C70:J70"/>
    <mergeCell ref="A73:A76"/>
    <mergeCell ref="A78:A81"/>
    <mergeCell ref="A83:A86"/>
    <mergeCell ref="A93:A96"/>
    <mergeCell ref="A98:B98"/>
    <mergeCell ref="A103:A104"/>
    <mergeCell ref="B103:B104"/>
    <mergeCell ref="C103:J103"/>
    <mergeCell ref="A18:A21"/>
    <mergeCell ref="A23:A26"/>
    <mergeCell ref="A28:A31"/>
    <mergeCell ref="A33:B33"/>
    <mergeCell ref="A5:A6"/>
    <mergeCell ref="B5:B6"/>
  </mergeCells>
  <printOptions horizontalCentered="1" verticalCentered="1"/>
  <pageMargins left="0.70866141732283472" right="0.70866141732283472" top="0.55118110236220474" bottom="0.55118110236220474" header="0.31496062992125984" footer="0.31496062992125984"/>
  <pageSetup scale="47" pageOrder="overThenDown" orientation="landscape" r:id="rId1"/>
  <rowBreaks count="3" manualBreakCount="3">
    <brk id="67" max="16383" man="1"/>
    <brk id="128" max="16383" man="1"/>
    <brk id="183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H139"/>
  <sheetViews>
    <sheetView showGridLines="0" zoomScaleNormal="100" workbookViewId="0">
      <selection activeCell="H46" sqref="H46"/>
    </sheetView>
  </sheetViews>
  <sheetFormatPr baseColWidth="10" defaultRowHeight="12.75" x14ac:dyDescent="0.2"/>
  <cols>
    <col min="1" max="1" width="2.7109375" customWidth="1"/>
    <col min="2" max="2" width="15.7109375" customWidth="1"/>
    <col min="3" max="3" width="37.7109375" bestFit="1" customWidth="1"/>
    <col min="4" max="4" width="25.140625" customWidth="1"/>
    <col min="5" max="5" width="7.7109375" customWidth="1"/>
    <col min="6" max="6" width="22.28515625" bestFit="1" customWidth="1"/>
    <col min="7" max="7" width="18.85546875" customWidth="1"/>
    <col min="8" max="8" width="20.7109375" customWidth="1"/>
  </cols>
  <sheetData>
    <row r="2" spans="2:8" ht="15.75" x14ac:dyDescent="0.25">
      <c r="B2" s="6046" t="s">
        <v>1394</v>
      </c>
      <c r="C2" s="6046"/>
      <c r="D2" s="6046"/>
      <c r="E2" s="6046"/>
      <c r="F2" s="6046"/>
      <c r="G2" s="6046"/>
      <c r="H2" s="6046"/>
    </row>
    <row r="5" spans="2:8" ht="15" customHeight="1" x14ac:dyDescent="0.2">
      <c r="B5" s="6038" t="s">
        <v>4</v>
      </c>
      <c r="C5" s="6039" t="s">
        <v>77</v>
      </c>
      <c r="D5" s="6049" t="s">
        <v>1596</v>
      </c>
      <c r="E5" s="6050"/>
      <c r="F5" s="6050"/>
      <c r="G5" s="6050"/>
      <c r="H5" s="6051"/>
    </row>
    <row r="6" spans="2:8" ht="45" x14ac:dyDescent="0.2">
      <c r="B6" s="6038"/>
      <c r="C6" s="6039"/>
      <c r="D6" s="5170" t="s">
        <v>1094</v>
      </c>
      <c r="E6" s="5170" t="s">
        <v>1095</v>
      </c>
      <c r="F6" s="5170" t="s">
        <v>1096</v>
      </c>
      <c r="G6" s="5169" t="s">
        <v>1097</v>
      </c>
      <c r="H6" s="5170" t="s">
        <v>1098</v>
      </c>
    </row>
    <row r="7" spans="2:8" x14ac:dyDescent="0.2">
      <c r="B7" s="208"/>
      <c r="C7" s="208"/>
      <c r="D7" s="208"/>
      <c r="E7" s="208"/>
      <c r="F7" s="208"/>
      <c r="G7" s="208"/>
      <c r="H7" s="208"/>
    </row>
    <row r="8" spans="2:8" ht="15" customHeight="1" x14ac:dyDescent="0.2">
      <c r="B8" s="6047" t="s">
        <v>1099</v>
      </c>
      <c r="C8" s="3027" t="s">
        <v>1100</v>
      </c>
      <c r="D8" s="3028" t="s">
        <v>1101</v>
      </c>
      <c r="E8" s="3029"/>
      <c r="F8" s="3030"/>
      <c r="G8" s="3031">
        <v>43343</v>
      </c>
      <c r="H8" s="3032"/>
    </row>
    <row r="9" spans="2:8" ht="15" customHeight="1" x14ac:dyDescent="0.2">
      <c r="B9" s="6047"/>
      <c r="C9" s="3033" t="s">
        <v>1102</v>
      </c>
      <c r="D9" s="3034" t="s">
        <v>1101</v>
      </c>
      <c r="E9" s="3035"/>
      <c r="F9" s="3036"/>
      <c r="G9" s="5176">
        <v>43415</v>
      </c>
      <c r="H9" s="3037"/>
    </row>
    <row r="10" spans="2:8" ht="15" x14ac:dyDescent="0.2">
      <c r="B10" s="6047"/>
      <c r="C10" s="3033" t="s">
        <v>1103</v>
      </c>
      <c r="D10" s="3034" t="s">
        <v>1101</v>
      </c>
      <c r="E10" s="3035"/>
      <c r="F10" s="3036"/>
      <c r="G10" s="3038">
        <v>43343</v>
      </c>
      <c r="H10" s="3037"/>
    </row>
    <row r="11" spans="2:8" ht="15" x14ac:dyDescent="0.2">
      <c r="B11" s="6047"/>
      <c r="C11" s="3033" t="s">
        <v>1104</v>
      </c>
      <c r="D11" s="3034" t="s">
        <v>1101</v>
      </c>
      <c r="E11" s="3035"/>
      <c r="F11" s="3036"/>
      <c r="G11" s="3038">
        <v>43343</v>
      </c>
      <c r="H11" s="3037"/>
    </row>
    <row r="12" spans="2:8" ht="15" x14ac:dyDescent="0.2">
      <c r="B12" s="6047"/>
      <c r="C12" s="3033" t="s">
        <v>1105</v>
      </c>
      <c r="D12" s="3034" t="s">
        <v>1101</v>
      </c>
      <c r="E12" s="3035"/>
      <c r="F12" s="3036"/>
      <c r="G12" s="5176">
        <v>43415</v>
      </c>
      <c r="H12" s="3037"/>
    </row>
    <row r="13" spans="2:8" ht="15" x14ac:dyDescent="0.2">
      <c r="B13" s="6047"/>
      <c r="C13" s="3033" t="s">
        <v>1106</v>
      </c>
      <c r="D13" s="3034" t="s">
        <v>1101</v>
      </c>
      <c r="E13" s="3035"/>
      <c r="F13" s="3036"/>
      <c r="G13" s="3038">
        <v>43343</v>
      </c>
      <c r="H13" s="3037"/>
    </row>
    <row r="14" spans="2:8" ht="15" x14ac:dyDescent="0.2">
      <c r="B14" s="6047"/>
      <c r="C14" s="3033" t="s">
        <v>1107</v>
      </c>
      <c r="D14" s="3034" t="s">
        <v>1101</v>
      </c>
      <c r="E14" s="3035"/>
      <c r="F14" s="3036"/>
      <c r="G14" s="3038">
        <v>43343</v>
      </c>
      <c r="H14" s="3037"/>
    </row>
    <row r="15" spans="2:8" ht="15" x14ac:dyDescent="0.2">
      <c r="B15" s="6047"/>
      <c r="C15" s="3033" t="s">
        <v>1108</v>
      </c>
      <c r="D15" s="3034" t="s">
        <v>1101</v>
      </c>
      <c r="E15" s="3035"/>
      <c r="F15" s="3036"/>
      <c r="G15" s="3038">
        <v>43343</v>
      </c>
      <c r="H15" s="3037"/>
    </row>
    <row r="16" spans="2:8" ht="15" x14ac:dyDescent="0.2">
      <c r="B16" s="6047"/>
      <c r="C16" s="3033" t="s">
        <v>1109</v>
      </c>
      <c r="D16" s="3034" t="s">
        <v>1101</v>
      </c>
      <c r="E16" s="3035"/>
      <c r="F16" s="3036"/>
      <c r="G16" s="5176">
        <v>43415</v>
      </c>
      <c r="H16" s="3037"/>
    </row>
    <row r="17" spans="2:8" ht="15" x14ac:dyDescent="0.2">
      <c r="B17" s="6047"/>
      <c r="C17" s="3039" t="s">
        <v>455</v>
      </c>
      <c r="D17" s="3040" t="s">
        <v>1101</v>
      </c>
      <c r="E17" s="3041"/>
      <c r="F17" s="3042"/>
      <c r="G17" s="3038">
        <v>43343</v>
      </c>
      <c r="H17" s="4765"/>
    </row>
    <row r="18" spans="2:8" ht="15" customHeight="1" x14ac:dyDescent="0.2">
      <c r="B18" s="6048" t="s">
        <v>1110</v>
      </c>
      <c r="C18" s="3027" t="s">
        <v>456</v>
      </c>
      <c r="D18" s="3089"/>
      <c r="E18" s="245"/>
      <c r="F18" s="4766"/>
      <c r="G18" s="3078"/>
      <c r="H18" s="3032"/>
    </row>
    <row r="19" spans="2:8" ht="15" customHeight="1" x14ac:dyDescent="0.2">
      <c r="B19" s="6048"/>
      <c r="C19" s="3033" t="s">
        <v>457</v>
      </c>
      <c r="D19" s="3043" t="s">
        <v>1111</v>
      </c>
      <c r="E19" s="246">
        <v>2</v>
      </c>
      <c r="F19" s="3036">
        <v>38254</v>
      </c>
      <c r="G19" s="3075"/>
      <c r="H19" s="3037"/>
    </row>
    <row r="20" spans="2:8" ht="15" x14ac:dyDescent="0.2">
      <c r="B20" s="6048"/>
      <c r="C20" s="3033" t="s">
        <v>458</v>
      </c>
      <c r="D20" s="3043"/>
      <c r="E20" s="246"/>
      <c r="F20" s="3036"/>
      <c r="G20" s="5176"/>
      <c r="H20" s="4767"/>
    </row>
    <row r="21" spans="2:8" ht="15" x14ac:dyDescent="0.2">
      <c r="B21" s="6048"/>
      <c r="C21" s="3044" t="s">
        <v>459</v>
      </c>
      <c r="D21" s="3045" t="s">
        <v>1112</v>
      </c>
      <c r="E21" s="247"/>
      <c r="F21" s="3046"/>
      <c r="G21" s="3047">
        <v>43700</v>
      </c>
      <c r="H21" s="3048"/>
    </row>
    <row r="22" spans="2:8" ht="15" customHeight="1" x14ac:dyDescent="0.2">
      <c r="B22" s="6047" t="s">
        <v>1113</v>
      </c>
      <c r="C22" s="3049" t="s">
        <v>460</v>
      </c>
      <c r="D22" s="3050" t="s">
        <v>1114</v>
      </c>
      <c r="E22" s="3051"/>
      <c r="F22" s="3052"/>
      <c r="G22" s="3053">
        <v>43281</v>
      </c>
      <c r="H22" s="4768"/>
    </row>
    <row r="23" spans="2:8" ht="15" customHeight="1" x14ac:dyDescent="0.2">
      <c r="B23" s="6047"/>
      <c r="C23" s="3033" t="s">
        <v>461</v>
      </c>
      <c r="D23" s="3043" t="s">
        <v>1115</v>
      </c>
      <c r="E23" s="246"/>
      <c r="F23" s="3036"/>
      <c r="G23" s="3054">
        <v>43618</v>
      </c>
      <c r="H23" s="4768"/>
    </row>
    <row r="24" spans="2:8" ht="15" x14ac:dyDescent="0.2">
      <c r="B24" s="6047"/>
      <c r="C24" s="3055" t="s">
        <v>462</v>
      </c>
      <c r="D24" s="3056" t="s">
        <v>1115</v>
      </c>
      <c r="E24" s="248"/>
      <c r="F24" s="3057"/>
      <c r="G24" s="3054">
        <v>43618</v>
      </c>
      <c r="H24" s="4768"/>
    </row>
    <row r="25" spans="2:8" ht="12.75" customHeight="1" x14ac:dyDescent="0.2">
      <c r="B25" s="5002" t="s">
        <v>1116</v>
      </c>
      <c r="C25" s="5177"/>
      <c r="D25" s="5177"/>
      <c r="E25" s="5177"/>
      <c r="F25" s="5177"/>
      <c r="G25" s="6052" t="s">
        <v>1597</v>
      </c>
      <c r="H25" s="6052"/>
    </row>
    <row r="26" spans="2:8" ht="15" customHeight="1" x14ac:dyDescent="0.2">
      <c r="B26" s="5002" t="s">
        <v>1117</v>
      </c>
      <c r="C26" s="5178"/>
      <c r="D26" s="5178"/>
      <c r="E26" s="5179"/>
      <c r="F26" s="5179"/>
      <c r="G26" s="6053"/>
      <c r="H26" s="6053"/>
    </row>
    <row r="27" spans="2:8" x14ac:dyDescent="0.2">
      <c r="B27" s="2201" t="s">
        <v>1118</v>
      </c>
      <c r="C27" s="5002"/>
      <c r="D27" s="5002"/>
      <c r="E27" s="5002"/>
      <c r="F27" s="5002"/>
      <c r="G27" s="6053"/>
      <c r="H27" s="6053"/>
    </row>
    <row r="28" spans="2:8" x14ac:dyDescent="0.2">
      <c r="B28" s="5002" t="s">
        <v>1119</v>
      </c>
      <c r="C28" s="5002"/>
      <c r="D28" s="5002"/>
      <c r="E28" s="5002"/>
      <c r="F28" s="5002"/>
      <c r="G28" s="5236"/>
      <c r="H28" s="5236"/>
    </row>
    <row r="29" spans="2:8" x14ac:dyDescent="0.2">
      <c r="B29" s="5002" t="s">
        <v>1120</v>
      </c>
      <c r="C29" s="5002"/>
      <c r="D29" s="5002"/>
      <c r="E29" s="5002"/>
      <c r="F29" s="5002"/>
      <c r="G29" s="5236"/>
      <c r="H29" s="5236"/>
    </row>
    <row r="30" spans="2:8" x14ac:dyDescent="0.2">
      <c r="B30" s="5002" t="s">
        <v>1121</v>
      </c>
      <c r="C30" s="2201"/>
      <c r="D30" s="2201"/>
      <c r="E30" s="2201"/>
      <c r="F30" s="2201"/>
      <c r="G30" s="2201"/>
      <c r="H30" s="2201"/>
    </row>
    <row r="31" spans="2:8" x14ac:dyDescent="0.2">
      <c r="B31" s="2201" t="s">
        <v>1122</v>
      </c>
      <c r="C31" s="5002"/>
      <c r="D31" s="5002"/>
      <c r="E31" s="5002"/>
      <c r="F31" s="5002"/>
      <c r="G31" s="5002"/>
      <c r="H31" s="5002"/>
    </row>
    <row r="34" spans="2:8" ht="15" customHeight="1" x14ac:dyDescent="0.2">
      <c r="B34" s="6038" t="s">
        <v>4</v>
      </c>
      <c r="C34" s="6039" t="s">
        <v>77</v>
      </c>
      <c r="D34" s="6054" t="s">
        <v>1598</v>
      </c>
      <c r="E34" s="6055"/>
      <c r="F34" s="6055"/>
      <c r="G34" s="6055"/>
      <c r="H34" s="6056"/>
    </row>
    <row r="35" spans="2:8" ht="45" x14ac:dyDescent="0.2">
      <c r="B35" s="6038"/>
      <c r="C35" s="6039"/>
      <c r="D35" s="5170" t="s">
        <v>1094</v>
      </c>
      <c r="E35" s="5170" t="s">
        <v>1095</v>
      </c>
      <c r="F35" s="5170" t="s">
        <v>1096</v>
      </c>
      <c r="G35" s="5169" t="s">
        <v>1097</v>
      </c>
      <c r="H35" s="5170" t="s">
        <v>1123</v>
      </c>
    </row>
    <row r="36" spans="2:8" x14ac:dyDescent="0.2">
      <c r="B36" s="208"/>
      <c r="C36" s="208"/>
      <c r="D36" s="208"/>
      <c r="E36" s="208"/>
      <c r="F36" s="208"/>
      <c r="G36" s="208"/>
      <c r="H36" s="208"/>
    </row>
    <row r="37" spans="2:8" ht="12.75" customHeight="1" x14ac:dyDescent="0.25">
      <c r="B37" s="6047" t="s">
        <v>1110</v>
      </c>
      <c r="C37" s="3059" t="s">
        <v>1124</v>
      </c>
      <c r="D37" s="3060"/>
      <c r="E37" s="3060"/>
      <c r="F37" s="4769"/>
      <c r="G37" s="3061"/>
      <c r="H37" s="4770">
        <v>38551</v>
      </c>
    </row>
    <row r="38" spans="2:8" ht="12.75" customHeight="1" x14ac:dyDescent="0.25">
      <c r="B38" s="6047"/>
      <c r="C38" s="3062" t="s">
        <v>457</v>
      </c>
      <c r="D38" s="3063"/>
      <c r="E38" s="3064"/>
      <c r="F38" s="4771"/>
      <c r="G38" s="3065"/>
      <c r="H38" s="4772" t="s">
        <v>1485</v>
      </c>
    </row>
    <row r="39" spans="2:8" ht="12.75" customHeight="1" x14ac:dyDescent="0.25">
      <c r="B39" s="6047"/>
      <c r="C39" s="3062" t="s">
        <v>1125</v>
      </c>
      <c r="D39" s="3063"/>
      <c r="E39" s="3064"/>
      <c r="F39" s="4771"/>
      <c r="G39" s="3065"/>
      <c r="H39" s="4772" t="s">
        <v>1126</v>
      </c>
    </row>
    <row r="40" spans="2:8" ht="12.75" customHeight="1" x14ac:dyDescent="0.25">
      <c r="B40" s="6047"/>
      <c r="C40" s="3066" t="s">
        <v>496</v>
      </c>
      <c r="D40" s="3067"/>
      <c r="E40" s="3068"/>
      <c r="F40" s="4773"/>
      <c r="G40" s="3069"/>
      <c r="H40" s="4774" t="s">
        <v>1126</v>
      </c>
    </row>
    <row r="41" spans="2:8" ht="15" customHeight="1" x14ac:dyDescent="0.25">
      <c r="B41" s="6048" t="s">
        <v>1127</v>
      </c>
      <c r="C41" s="3027" t="s">
        <v>497</v>
      </c>
      <c r="D41" s="3043" t="s">
        <v>1115</v>
      </c>
      <c r="E41" s="4775"/>
      <c r="F41" s="4766"/>
      <c r="G41" s="3038">
        <v>44249</v>
      </c>
      <c r="H41" s="5180"/>
    </row>
    <row r="42" spans="2:8" ht="12.75" customHeight="1" x14ac:dyDescent="0.25">
      <c r="B42" s="6048"/>
      <c r="C42" s="3033" t="s">
        <v>1128</v>
      </c>
      <c r="D42" s="4776"/>
      <c r="E42" s="4777"/>
      <c r="F42" s="4778"/>
      <c r="G42" s="4779"/>
      <c r="H42" s="5181" t="s">
        <v>1126</v>
      </c>
    </row>
    <row r="43" spans="2:8" ht="12.75" customHeight="1" x14ac:dyDescent="0.25">
      <c r="B43" s="6048"/>
      <c r="C43" s="3044" t="s">
        <v>499</v>
      </c>
      <c r="D43" s="4780"/>
      <c r="E43" s="4781"/>
      <c r="F43" s="4782"/>
      <c r="G43" s="4783"/>
      <c r="H43" s="5182" t="s">
        <v>1126</v>
      </c>
    </row>
    <row r="44" spans="2:8" ht="12.75" customHeight="1" x14ac:dyDescent="0.25">
      <c r="B44" s="6047" t="s">
        <v>1129</v>
      </c>
      <c r="C44" s="3049" t="s">
        <v>1130</v>
      </c>
      <c r="D44" s="3060" t="s">
        <v>1136</v>
      </c>
      <c r="E44" s="3070"/>
      <c r="F44" s="4785"/>
      <c r="G44" s="3061">
        <v>44695</v>
      </c>
      <c r="H44" s="5183"/>
    </row>
    <row r="45" spans="2:8" ht="12.75" customHeight="1" x14ac:dyDescent="0.25">
      <c r="B45" s="6047"/>
      <c r="C45" s="3033" t="s">
        <v>500</v>
      </c>
      <c r="D45" s="3063"/>
      <c r="E45" s="3064"/>
      <c r="F45" s="4771"/>
      <c r="G45" s="3065"/>
      <c r="H45" s="5184">
        <v>38490</v>
      </c>
    </row>
    <row r="46" spans="2:8" ht="15" x14ac:dyDescent="0.25">
      <c r="B46" s="6047"/>
      <c r="C46" s="3055" t="s">
        <v>1131</v>
      </c>
      <c r="D46" s="3071" t="s">
        <v>1101</v>
      </c>
      <c r="E46" s="3072"/>
      <c r="F46" s="4786"/>
      <c r="G46" s="3073" t="s">
        <v>1774</v>
      </c>
      <c r="H46" s="5185" t="s">
        <v>1599</v>
      </c>
    </row>
    <row r="47" spans="2:8" ht="12.75" customHeight="1" x14ac:dyDescent="0.25">
      <c r="B47" s="6047"/>
      <c r="C47" s="5186" t="s">
        <v>502</v>
      </c>
      <c r="D47" s="3071" t="s">
        <v>1148</v>
      </c>
      <c r="E47" s="3072"/>
      <c r="F47" s="4786"/>
      <c r="G47" s="3069" t="s">
        <v>1600</v>
      </c>
      <c r="H47" s="5187" t="s">
        <v>1601</v>
      </c>
    </row>
    <row r="48" spans="2:8" ht="12.75" customHeight="1" x14ac:dyDescent="0.2">
      <c r="B48" s="5002" t="s">
        <v>1118</v>
      </c>
      <c r="C48" s="5177"/>
      <c r="D48" s="5177"/>
      <c r="E48" s="5177"/>
      <c r="F48" s="5177"/>
      <c r="G48" s="6041" t="s">
        <v>1132</v>
      </c>
      <c r="H48" s="6041"/>
    </row>
    <row r="49" spans="2:8" ht="12.75" customHeight="1" x14ac:dyDescent="0.2">
      <c r="B49" s="2201" t="s">
        <v>1122</v>
      </c>
      <c r="C49" s="3074"/>
      <c r="D49" s="3074"/>
      <c r="E49" s="3074"/>
      <c r="F49" s="3074"/>
      <c r="G49" s="6042"/>
      <c r="H49" s="6042"/>
    </row>
    <row r="50" spans="2:8" ht="12.75" customHeight="1" x14ac:dyDescent="0.2">
      <c r="B50" s="5179" t="s">
        <v>1155</v>
      </c>
      <c r="C50" s="86"/>
      <c r="D50" s="86"/>
      <c r="E50" s="86"/>
      <c r="F50" s="86"/>
      <c r="G50" s="6042"/>
      <c r="H50" s="6042"/>
    </row>
    <row r="51" spans="2:8" x14ac:dyDescent="0.2">
      <c r="B51" s="86"/>
      <c r="C51" s="86"/>
      <c r="D51" s="86"/>
      <c r="E51" s="86"/>
      <c r="F51" s="86"/>
      <c r="G51" s="5236"/>
      <c r="H51" s="5236"/>
    </row>
    <row r="52" spans="2:8" ht="12.75" customHeight="1" x14ac:dyDescent="0.2"/>
    <row r="53" spans="2:8" ht="12.75" customHeight="1" x14ac:dyDescent="0.2"/>
    <row r="54" spans="2:8" ht="12.75" customHeight="1" x14ac:dyDescent="0.2">
      <c r="B54" s="6038" t="s">
        <v>4</v>
      </c>
      <c r="C54" s="6039" t="s">
        <v>77</v>
      </c>
      <c r="D54" s="6065" t="s">
        <v>1602</v>
      </c>
      <c r="E54" s="6065"/>
      <c r="F54" s="6065"/>
      <c r="G54" s="6065"/>
      <c r="H54" s="6065"/>
    </row>
    <row r="55" spans="2:8" ht="42" customHeight="1" x14ac:dyDescent="0.2">
      <c r="B55" s="6038"/>
      <c r="C55" s="6039"/>
      <c r="D55" s="5188" t="s">
        <v>1094</v>
      </c>
      <c r="E55" s="5170" t="s">
        <v>1095</v>
      </c>
      <c r="F55" s="5170" t="s">
        <v>1096</v>
      </c>
      <c r="G55" s="5169" t="s">
        <v>1097</v>
      </c>
      <c r="H55" s="5170" t="s">
        <v>1098</v>
      </c>
    </row>
    <row r="56" spans="2:8" ht="15" x14ac:dyDescent="0.2">
      <c r="B56" s="249"/>
      <c r="C56" s="249"/>
      <c r="D56" s="249"/>
      <c r="E56" s="249"/>
      <c r="F56" s="249"/>
      <c r="G56" s="249"/>
      <c r="H56" s="249"/>
    </row>
    <row r="57" spans="2:8" ht="12.75" customHeight="1" x14ac:dyDescent="0.2">
      <c r="B57" s="6061" t="s">
        <v>1099</v>
      </c>
      <c r="C57" s="3027" t="s">
        <v>1133</v>
      </c>
      <c r="D57" s="3028" t="s">
        <v>1101</v>
      </c>
      <c r="E57" s="3029"/>
      <c r="F57" s="3030"/>
      <c r="G57" s="3031">
        <v>43553</v>
      </c>
      <c r="H57" s="3032"/>
    </row>
    <row r="58" spans="2:8" ht="12.75" customHeight="1" x14ac:dyDescent="0.2">
      <c r="B58" s="6062"/>
      <c r="C58" s="3033" t="s">
        <v>1134</v>
      </c>
      <c r="D58" s="3043"/>
      <c r="E58" s="246"/>
      <c r="F58" s="4778"/>
      <c r="G58" s="3075"/>
      <c r="H58" s="3037"/>
    </row>
    <row r="59" spans="2:8" ht="12.75" customHeight="1" x14ac:dyDescent="0.2">
      <c r="B59" s="6062"/>
      <c r="C59" s="3033" t="s">
        <v>1108</v>
      </c>
      <c r="D59" s="3043" t="s">
        <v>1486</v>
      </c>
      <c r="E59" s="246"/>
      <c r="F59" s="4778"/>
      <c r="G59" s="3075">
        <v>44098</v>
      </c>
      <c r="H59" s="3942"/>
    </row>
    <row r="60" spans="2:8" ht="12.75" customHeight="1" x14ac:dyDescent="0.2">
      <c r="B60" s="6062"/>
      <c r="C60" s="3033" t="s">
        <v>465</v>
      </c>
      <c r="D60" s="3043"/>
      <c r="E60" s="246"/>
      <c r="F60" s="4778"/>
      <c r="G60" s="3075"/>
      <c r="H60" s="3942"/>
    </row>
    <row r="61" spans="2:8" ht="15" x14ac:dyDescent="0.2">
      <c r="B61" s="6062"/>
      <c r="C61" s="3033" t="s">
        <v>466</v>
      </c>
      <c r="D61" s="4787"/>
      <c r="E61" s="4788"/>
      <c r="F61" s="4789"/>
      <c r="G61" s="3075"/>
      <c r="H61" s="3037"/>
    </row>
    <row r="62" spans="2:8" ht="15" x14ac:dyDescent="0.2">
      <c r="B62" s="6062"/>
      <c r="C62" s="3033" t="s">
        <v>1109</v>
      </c>
      <c r="D62" s="3043"/>
      <c r="E62" s="246"/>
      <c r="F62" s="4778"/>
      <c r="G62" s="3075"/>
      <c r="H62" s="3943"/>
    </row>
    <row r="63" spans="2:8" ht="15" x14ac:dyDescent="0.2">
      <c r="B63" s="6062"/>
      <c r="C63" s="3033" t="s">
        <v>1135</v>
      </c>
      <c r="D63" s="4787"/>
      <c r="E63" s="4788"/>
      <c r="F63" s="4789"/>
      <c r="G63" s="3075"/>
      <c r="H63" s="3037"/>
    </row>
    <row r="64" spans="2:8" ht="15" x14ac:dyDescent="0.2">
      <c r="B64" s="6062"/>
      <c r="C64" s="3033" t="s">
        <v>468</v>
      </c>
      <c r="D64" s="4787"/>
      <c r="E64" s="4788"/>
      <c r="F64" s="4789"/>
      <c r="G64" s="3075"/>
      <c r="H64" s="3944"/>
    </row>
    <row r="65" spans="2:8" ht="15" x14ac:dyDescent="0.2">
      <c r="B65" s="6062"/>
      <c r="C65" s="3033" t="s">
        <v>469</v>
      </c>
      <c r="D65" s="3043"/>
      <c r="E65" s="4788"/>
      <c r="F65" s="4789"/>
      <c r="G65" s="3075"/>
      <c r="H65" s="3037"/>
    </row>
    <row r="66" spans="2:8" ht="15" customHeight="1" x14ac:dyDescent="0.2">
      <c r="B66" s="6063"/>
      <c r="C66" s="3044" t="s">
        <v>1461</v>
      </c>
      <c r="D66" s="4790"/>
      <c r="E66" s="4791"/>
      <c r="F66" s="4792"/>
      <c r="G66" s="3077"/>
      <c r="H66" s="4793"/>
    </row>
    <row r="67" spans="2:8" ht="15" customHeight="1" x14ac:dyDescent="0.2">
      <c r="B67" s="6048" t="s">
        <v>1137</v>
      </c>
      <c r="C67" s="3049" t="s">
        <v>456</v>
      </c>
      <c r="D67" s="4794"/>
      <c r="E67" s="4795"/>
      <c r="F67" s="4796"/>
      <c r="G67" s="5189"/>
      <c r="H67" s="4797"/>
    </row>
    <row r="68" spans="2:8" ht="15" x14ac:dyDescent="0.2">
      <c r="B68" s="6048"/>
      <c r="C68" s="3033" t="s">
        <v>470</v>
      </c>
      <c r="D68" s="3043" t="s">
        <v>1111</v>
      </c>
      <c r="E68" s="246">
        <v>2</v>
      </c>
      <c r="F68" s="4778">
        <v>37970</v>
      </c>
      <c r="G68" s="3075"/>
      <c r="H68" s="3037"/>
    </row>
    <row r="69" spans="2:8" ht="12.75" customHeight="1" x14ac:dyDescent="0.2">
      <c r="B69" s="6048"/>
      <c r="C69" s="3033" t="s">
        <v>471</v>
      </c>
      <c r="D69" s="4787"/>
      <c r="E69" s="4788"/>
      <c r="F69" s="4789"/>
      <c r="G69" s="3075"/>
      <c r="H69" s="3037"/>
    </row>
    <row r="70" spans="2:8" ht="12.75" customHeight="1" x14ac:dyDescent="0.2">
      <c r="B70" s="6048"/>
      <c r="C70" s="3033" t="s">
        <v>472</v>
      </c>
      <c r="D70" s="4787"/>
      <c r="E70" s="4788"/>
      <c r="F70" s="4789"/>
      <c r="G70" s="3075"/>
      <c r="H70" s="3037"/>
    </row>
    <row r="71" spans="2:8" ht="12.75" customHeight="1" x14ac:dyDescent="0.2">
      <c r="B71" s="6048"/>
      <c r="C71" s="3033" t="s">
        <v>458</v>
      </c>
      <c r="D71" s="4787"/>
      <c r="E71" s="4788"/>
      <c r="F71" s="4789"/>
      <c r="G71" s="3075"/>
      <c r="H71" s="3037"/>
    </row>
    <row r="72" spans="2:8" ht="12.75" customHeight="1" x14ac:dyDescent="0.2">
      <c r="B72" s="6048"/>
      <c r="C72" s="3033" t="s">
        <v>459</v>
      </c>
      <c r="D72" s="3043"/>
      <c r="E72" s="3076"/>
      <c r="F72" s="4798"/>
      <c r="G72" s="3075"/>
      <c r="H72" s="3037"/>
    </row>
    <row r="73" spans="2:8" ht="15" x14ac:dyDescent="0.2">
      <c r="B73" s="6048"/>
      <c r="C73" s="3033" t="s">
        <v>473</v>
      </c>
      <c r="D73" s="4787"/>
      <c r="E73" s="4788"/>
      <c r="F73" s="4789"/>
      <c r="G73" s="3075"/>
      <c r="H73" s="3037"/>
    </row>
    <row r="74" spans="2:8" ht="12.75" customHeight="1" x14ac:dyDescent="0.2">
      <c r="B74" s="6048"/>
      <c r="C74" s="3033" t="s">
        <v>1138</v>
      </c>
      <c r="D74" s="4787"/>
      <c r="E74" s="4788"/>
      <c r="F74" s="4789"/>
      <c r="G74" s="3075"/>
      <c r="H74" s="3037"/>
    </row>
    <row r="75" spans="2:8" ht="12.75" customHeight="1" x14ac:dyDescent="0.2">
      <c r="B75" s="6048"/>
      <c r="C75" s="3033" t="s">
        <v>475</v>
      </c>
      <c r="D75" s="4787"/>
      <c r="E75" s="4788"/>
      <c r="F75" s="4789"/>
      <c r="G75" s="3075"/>
      <c r="H75" s="3037"/>
    </row>
    <row r="76" spans="2:8" ht="12.75" customHeight="1" x14ac:dyDescent="0.2">
      <c r="B76" s="6048"/>
      <c r="C76" s="3033" t="s">
        <v>476</v>
      </c>
      <c r="D76" s="4787"/>
      <c r="E76" s="4788"/>
      <c r="F76" s="4789"/>
      <c r="G76" s="3075"/>
      <c r="H76" s="3942"/>
    </row>
    <row r="77" spans="2:8" ht="12.75" customHeight="1" x14ac:dyDescent="0.2">
      <c r="B77" s="6048"/>
      <c r="C77" s="3044" t="s">
        <v>1139</v>
      </c>
      <c r="D77" s="3045"/>
      <c r="E77" s="247"/>
      <c r="F77" s="4799"/>
      <c r="G77" s="3077"/>
      <c r="H77" s="3048"/>
    </row>
    <row r="78" spans="2:8" ht="15" customHeight="1" x14ac:dyDescent="0.2">
      <c r="B78" s="6064" t="s">
        <v>1140</v>
      </c>
      <c r="C78" s="3033" t="s">
        <v>478</v>
      </c>
      <c r="D78" s="4787"/>
      <c r="E78" s="4788"/>
      <c r="F78" s="4789"/>
      <c r="G78" s="3078"/>
      <c r="H78" s="3037"/>
    </row>
    <row r="79" spans="2:8" ht="12.75" customHeight="1" x14ac:dyDescent="0.2">
      <c r="B79" s="6064"/>
      <c r="C79" s="3033" t="s">
        <v>1141</v>
      </c>
      <c r="D79" s="4787"/>
      <c r="E79" s="4788"/>
      <c r="F79" s="4789"/>
      <c r="G79" s="3075"/>
      <c r="H79" s="3037"/>
    </row>
    <row r="80" spans="2:8" ht="12.75" customHeight="1" x14ac:dyDescent="0.2">
      <c r="B80" s="6064"/>
      <c r="C80" s="3033" t="s">
        <v>480</v>
      </c>
      <c r="D80" s="4787"/>
      <c r="E80" s="4788"/>
      <c r="F80" s="4789"/>
      <c r="G80" s="3075"/>
      <c r="H80" s="3037"/>
    </row>
    <row r="81" spans="2:8" ht="12.75" customHeight="1" x14ac:dyDescent="0.2">
      <c r="B81" s="6064"/>
      <c r="C81" s="3033" t="s">
        <v>481</v>
      </c>
      <c r="D81" s="3043"/>
      <c r="E81" s="246"/>
      <c r="F81" s="4778"/>
      <c r="G81" s="3075"/>
      <c r="H81" s="3037"/>
    </row>
    <row r="82" spans="2:8" ht="12.75" customHeight="1" x14ac:dyDescent="0.2">
      <c r="B82" s="6064"/>
      <c r="C82" s="3033" t="s">
        <v>482</v>
      </c>
      <c r="D82" s="3043" t="s">
        <v>1101</v>
      </c>
      <c r="E82" s="246"/>
      <c r="F82" s="4778"/>
      <c r="G82" s="3075">
        <v>42928</v>
      </c>
      <c r="H82" s="3079"/>
    </row>
    <row r="83" spans="2:8" ht="12.75" customHeight="1" x14ac:dyDescent="0.2">
      <c r="B83" s="6064"/>
      <c r="C83" s="3044" t="s">
        <v>483</v>
      </c>
      <c r="D83" s="3043" t="s">
        <v>1101</v>
      </c>
      <c r="E83" s="247"/>
      <c r="F83" s="4778"/>
      <c r="G83" s="3075">
        <v>42928</v>
      </c>
      <c r="H83" s="3080"/>
    </row>
    <row r="84" spans="2:8" ht="12.75" customHeight="1" x14ac:dyDescent="0.2">
      <c r="B84" s="5179" t="s">
        <v>1116</v>
      </c>
      <c r="C84" s="5177"/>
      <c r="D84" s="5177"/>
      <c r="E84" s="5177"/>
      <c r="F84" s="5177"/>
      <c r="G84" s="6041" t="s">
        <v>1603</v>
      </c>
      <c r="H84" s="6041"/>
    </row>
    <row r="85" spans="2:8" ht="12.75" customHeight="1" x14ac:dyDescent="0.2">
      <c r="B85" s="5179" t="s">
        <v>1118</v>
      </c>
      <c r="C85" s="5002"/>
      <c r="D85" s="5002"/>
      <c r="E85" s="5002"/>
      <c r="F85" s="5002"/>
      <c r="G85" s="6042"/>
      <c r="H85" s="6042"/>
    </row>
    <row r="86" spans="2:8" ht="12.75" customHeight="1" x14ac:dyDescent="0.2">
      <c r="B86" s="5002" t="s">
        <v>1142</v>
      </c>
      <c r="C86" s="5002"/>
      <c r="D86" s="5002"/>
      <c r="E86" s="5002"/>
      <c r="F86" s="5002"/>
      <c r="G86" s="6042"/>
      <c r="H86" s="6042"/>
    </row>
    <row r="87" spans="2:8" ht="12.75" customHeight="1" x14ac:dyDescent="0.2">
      <c r="B87" s="5002" t="s">
        <v>1143</v>
      </c>
      <c r="C87" s="5002"/>
      <c r="D87" s="5002"/>
      <c r="E87" s="5002"/>
      <c r="F87" s="5002"/>
      <c r="G87" s="5237"/>
      <c r="H87" s="5237"/>
    </row>
    <row r="88" spans="2:8" x14ac:dyDescent="0.2">
      <c r="B88" s="5002" t="s">
        <v>1120</v>
      </c>
      <c r="C88" s="5002"/>
      <c r="D88" s="5002"/>
      <c r="E88" s="5002"/>
      <c r="F88" s="5002"/>
      <c r="G88" s="5002"/>
      <c r="H88" s="5002"/>
    </row>
    <row r="89" spans="2:8" ht="12.75" customHeight="1" x14ac:dyDescent="0.2">
      <c r="B89" s="5002" t="s">
        <v>1144</v>
      </c>
      <c r="C89" s="3081"/>
      <c r="D89" s="3081"/>
      <c r="E89" s="3081"/>
      <c r="F89" s="3081"/>
      <c r="G89" s="3081"/>
      <c r="H89" s="3081"/>
    </row>
    <row r="90" spans="2:8" ht="12.75" customHeight="1" x14ac:dyDescent="0.2">
      <c r="B90" s="5002" t="s">
        <v>1145</v>
      </c>
      <c r="C90" s="3082"/>
      <c r="D90" s="86"/>
      <c r="E90" s="86"/>
      <c r="F90" s="86"/>
      <c r="G90" s="86"/>
      <c r="H90" s="86"/>
    </row>
    <row r="91" spans="2:8" ht="12.75" customHeight="1" x14ac:dyDescent="0.2">
      <c r="B91" s="374"/>
      <c r="C91" s="3082"/>
      <c r="D91" s="208"/>
      <c r="E91" s="208"/>
      <c r="F91" s="208"/>
      <c r="G91" s="208"/>
      <c r="H91" s="208"/>
    </row>
    <row r="92" spans="2:8" ht="12.75" customHeight="1" x14ac:dyDescent="0.2">
      <c r="B92" s="374"/>
      <c r="C92" s="3082"/>
      <c r="D92" s="208"/>
      <c r="E92" s="208"/>
      <c r="F92" s="208"/>
      <c r="G92" s="208"/>
      <c r="H92" s="208"/>
    </row>
    <row r="94" spans="2:8" ht="15.75" x14ac:dyDescent="0.2">
      <c r="B94" s="6038" t="s">
        <v>4</v>
      </c>
      <c r="C94" s="6039" t="s">
        <v>77</v>
      </c>
      <c r="D94" s="6040" t="s">
        <v>1604</v>
      </c>
      <c r="E94" s="6040"/>
      <c r="F94" s="6040"/>
      <c r="G94" s="6040"/>
      <c r="H94" s="6040"/>
    </row>
    <row r="95" spans="2:8" ht="45" x14ac:dyDescent="0.2">
      <c r="B95" s="6038"/>
      <c r="C95" s="6039"/>
      <c r="D95" s="5170" t="s">
        <v>1094</v>
      </c>
      <c r="E95" s="5170" t="s">
        <v>1095</v>
      </c>
      <c r="F95" s="5170" t="s">
        <v>1096</v>
      </c>
      <c r="G95" s="5169" t="s">
        <v>1097</v>
      </c>
      <c r="H95" s="5170" t="s">
        <v>1123</v>
      </c>
    </row>
    <row r="96" spans="2:8" ht="15" x14ac:dyDescent="0.2">
      <c r="B96" s="249"/>
      <c r="C96" s="249"/>
      <c r="D96" s="249"/>
      <c r="E96" s="249"/>
      <c r="F96" s="249"/>
      <c r="G96" s="249"/>
      <c r="H96" s="249"/>
    </row>
    <row r="97" spans="2:8" ht="15" x14ac:dyDescent="0.2">
      <c r="B97" s="6044" t="s">
        <v>1099</v>
      </c>
      <c r="C97" s="3027" t="s">
        <v>1146</v>
      </c>
      <c r="D97" s="3083"/>
      <c r="E97" s="3084"/>
      <c r="F97" s="4800"/>
      <c r="G97" s="3085"/>
      <c r="H97" s="4801">
        <v>40588</v>
      </c>
    </row>
    <row r="98" spans="2:8" ht="12.75" customHeight="1" x14ac:dyDescent="0.2">
      <c r="B98" s="6045"/>
      <c r="C98" s="5190" t="s">
        <v>1579</v>
      </c>
      <c r="D98" s="3086"/>
      <c r="E98" s="3087"/>
      <c r="F98" s="4802"/>
      <c r="G98" s="3088"/>
      <c r="H98" s="4784">
        <v>42691</v>
      </c>
    </row>
    <row r="99" spans="2:8" ht="15" x14ac:dyDescent="0.2">
      <c r="B99" s="6058" t="s">
        <v>1110</v>
      </c>
      <c r="C99" s="3027" t="s">
        <v>1147</v>
      </c>
      <c r="D99" s="3083"/>
      <c r="E99" s="3084"/>
      <c r="F99" s="4800"/>
      <c r="G99" s="3085"/>
      <c r="H99" s="4801">
        <v>40598</v>
      </c>
    </row>
    <row r="100" spans="2:8" ht="15" x14ac:dyDescent="0.2">
      <c r="B100" s="6060"/>
      <c r="C100" s="3044" t="s">
        <v>612</v>
      </c>
      <c r="D100" s="3086"/>
      <c r="E100" s="3087"/>
      <c r="F100" s="4802"/>
      <c r="G100" s="3088"/>
      <c r="H100" s="4784">
        <v>41254</v>
      </c>
    </row>
    <row r="101" spans="2:8" ht="15" x14ac:dyDescent="0.2">
      <c r="B101" s="6044" t="s">
        <v>1140</v>
      </c>
      <c r="C101" s="3027" t="s">
        <v>505</v>
      </c>
      <c r="D101" s="3083"/>
      <c r="E101" s="3084"/>
      <c r="F101" s="4800"/>
      <c r="G101" s="3085"/>
      <c r="H101" s="4801">
        <v>40598</v>
      </c>
    </row>
    <row r="102" spans="2:8" ht="15" x14ac:dyDescent="0.2">
      <c r="B102" s="6045"/>
      <c r="C102" s="3044" t="s">
        <v>1582</v>
      </c>
      <c r="D102" s="3086"/>
      <c r="E102" s="3087"/>
      <c r="F102" s="4802"/>
      <c r="G102" s="3088"/>
      <c r="H102" s="4784">
        <v>42818</v>
      </c>
    </row>
    <row r="103" spans="2:8" x14ac:dyDescent="0.2">
      <c r="B103" s="208"/>
      <c r="C103" s="86"/>
      <c r="D103" s="208"/>
      <c r="E103" s="208"/>
      <c r="F103" s="208"/>
      <c r="G103" s="6043" t="s">
        <v>1605</v>
      </c>
      <c r="H103" s="6043"/>
    </row>
    <row r="106" spans="2:8" ht="15.75" x14ac:dyDescent="0.2">
      <c r="B106" s="6038" t="s">
        <v>4</v>
      </c>
      <c r="C106" s="6039" t="s">
        <v>77</v>
      </c>
      <c r="D106" s="6037" t="s">
        <v>1606</v>
      </c>
      <c r="E106" s="6037"/>
      <c r="F106" s="6037"/>
      <c r="G106" s="6037"/>
      <c r="H106" s="6037"/>
    </row>
    <row r="107" spans="2:8" ht="45" x14ac:dyDescent="0.2">
      <c r="B107" s="6038"/>
      <c r="C107" s="6039"/>
      <c r="D107" s="5170" t="s">
        <v>1094</v>
      </c>
      <c r="E107" s="5170" t="s">
        <v>1095</v>
      </c>
      <c r="F107" s="5170" t="s">
        <v>1096</v>
      </c>
      <c r="G107" s="5169" t="s">
        <v>1097</v>
      </c>
      <c r="H107" s="5170" t="s">
        <v>1098</v>
      </c>
    </row>
    <row r="108" spans="2:8" x14ac:dyDescent="0.2">
      <c r="B108" s="208"/>
      <c r="C108" s="208"/>
      <c r="D108" s="208"/>
      <c r="E108" s="208"/>
      <c r="F108" s="208"/>
      <c r="G108" s="208"/>
      <c r="H108" s="208"/>
    </row>
    <row r="109" spans="2:8" ht="15" customHeight="1" x14ac:dyDescent="0.2">
      <c r="B109" s="6044" t="s">
        <v>1110</v>
      </c>
      <c r="C109" s="3027" t="s">
        <v>456</v>
      </c>
      <c r="D109" s="3089"/>
      <c r="E109" s="245"/>
      <c r="F109" s="4766"/>
      <c r="G109" s="5191"/>
      <c r="H109" s="5192"/>
    </row>
    <row r="110" spans="2:8" ht="15" x14ac:dyDescent="0.2">
      <c r="B110" s="6057"/>
      <c r="C110" s="3033" t="s">
        <v>484</v>
      </c>
      <c r="D110" s="3043"/>
      <c r="E110" s="246"/>
      <c r="F110" s="4778"/>
      <c r="G110" s="5176"/>
      <c r="H110" s="5193"/>
    </row>
    <row r="111" spans="2:8" ht="15" x14ac:dyDescent="0.2">
      <c r="B111" s="6057"/>
      <c r="C111" s="3033" t="s">
        <v>458</v>
      </c>
      <c r="D111" s="3043"/>
      <c r="E111" s="246"/>
      <c r="F111" s="4778"/>
      <c r="G111" s="5176"/>
      <c r="H111" s="4805"/>
    </row>
    <row r="112" spans="2:8" ht="15" x14ac:dyDescent="0.2">
      <c r="B112" s="6057"/>
      <c r="C112" s="3033" t="s">
        <v>568</v>
      </c>
      <c r="D112" s="3043"/>
      <c r="E112" s="246"/>
      <c r="F112" s="3075"/>
      <c r="G112" s="3037"/>
      <c r="H112" s="5194"/>
    </row>
    <row r="113" spans="2:8" ht="15" x14ac:dyDescent="0.2">
      <c r="B113" s="6057"/>
      <c r="C113" s="3033" t="s">
        <v>459</v>
      </c>
      <c r="D113" s="3043"/>
      <c r="E113" s="246"/>
      <c r="F113" s="4778"/>
      <c r="G113" s="3075"/>
      <c r="H113" s="5193"/>
    </row>
    <row r="114" spans="2:8" ht="15" x14ac:dyDescent="0.2">
      <c r="B114" s="6045"/>
      <c r="C114" s="3044" t="s">
        <v>486</v>
      </c>
      <c r="D114" s="3045"/>
      <c r="E114" s="247"/>
      <c r="F114" s="4799"/>
      <c r="G114" s="5176"/>
      <c r="H114" s="4784"/>
    </row>
    <row r="115" spans="2:8" ht="15" customHeight="1" x14ac:dyDescent="0.2">
      <c r="B115" s="6058" t="s">
        <v>1140</v>
      </c>
      <c r="C115" s="3027" t="s">
        <v>478</v>
      </c>
      <c r="D115" s="3089" t="s">
        <v>1148</v>
      </c>
      <c r="E115" s="245"/>
      <c r="F115" s="4766"/>
      <c r="G115" s="3078">
        <v>43591</v>
      </c>
      <c r="H115" s="4803"/>
    </row>
    <row r="116" spans="2:8" ht="15" x14ac:dyDescent="0.2">
      <c r="B116" s="6059"/>
      <c r="C116" s="3033" t="s">
        <v>487</v>
      </c>
      <c r="D116" s="3043" t="s">
        <v>1487</v>
      </c>
      <c r="E116" s="246"/>
      <c r="F116" s="4778"/>
      <c r="G116" s="3075">
        <v>44286</v>
      </c>
      <c r="H116" s="4807"/>
    </row>
    <row r="117" spans="2:8" ht="15" x14ac:dyDescent="0.2">
      <c r="B117" s="6059"/>
      <c r="C117" s="3033" t="s">
        <v>1149</v>
      </c>
      <c r="D117" s="3945"/>
      <c r="E117" s="3946"/>
      <c r="F117" s="4808"/>
      <c r="G117" s="3075"/>
      <c r="H117" s="4806"/>
    </row>
    <row r="118" spans="2:8" ht="15" x14ac:dyDescent="0.2">
      <c r="B118" s="6059"/>
      <c r="C118" s="3033" t="s">
        <v>1150</v>
      </c>
      <c r="D118" s="3043" t="s">
        <v>1488</v>
      </c>
      <c r="E118" s="246"/>
      <c r="F118" s="4778"/>
      <c r="G118" s="3075">
        <v>44259</v>
      </c>
      <c r="H118" s="4807"/>
    </row>
    <row r="119" spans="2:8" ht="15" x14ac:dyDescent="0.2">
      <c r="B119" s="6059"/>
      <c r="C119" s="3033" t="s">
        <v>490</v>
      </c>
      <c r="D119" s="3043" t="s">
        <v>1111</v>
      </c>
      <c r="E119" s="246">
        <v>3</v>
      </c>
      <c r="F119" s="4778">
        <v>37239</v>
      </c>
      <c r="G119" s="3075"/>
      <c r="H119" s="4804"/>
    </row>
    <row r="120" spans="2:8" ht="15" x14ac:dyDescent="0.2">
      <c r="B120" s="6059"/>
      <c r="C120" s="3033" t="s">
        <v>491</v>
      </c>
      <c r="D120" s="3043"/>
      <c r="E120" s="246"/>
      <c r="F120" s="4778"/>
      <c r="G120" s="3075"/>
      <c r="H120" s="5193"/>
    </row>
    <row r="121" spans="2:8" ht="15" x14ac:dyDescent="0.2">
      <c r="B121" s="6059"/>
      <c r="C121" s="3033" t="s">
        <v>1151</v>
      </c>
      <c r="D121" s="3043" t="s">
        <v>1152</v>
      </c>
      <c r="E121" s="246"/>
      <c r="F121" s="4778"/>
      <c r="G121" s="3075">
        <v>44739</v>
      </c>
      <c r="H121" s="5194"/>
    </row>
    <row r="122" spans="2:8" ht="15" x14ac:dyDescent="0.2">
      <c r="B122" s="6060"/>
      <c r="C122" s="3044" t="s">
        <v>493</v>
      </c>
      <c r="D122" s="3045" t="s">
        <v>1607</v>
      </c>
      <c r="E122" s="247"/>
      <c r="F122" s="4799"/>
      <c r="G122" s="3077">
        <v>44727</v>
      </c>
      <c r="H122" s="4809"/>
    </row>
    <row r="123" spans="2:8" ht="15" customHeight="1" x14ac:dyDescent="0.2">
      <c r="B123" s="6044" t="s">
        <v>1113</v>
      </c>
      <c r="C123" s="3027" t="s">
        <v>460</v>
      </c>
      <c r="D123" s="3089" t="s">
        <v>1114</v>
      </c>
      <c r="E123" s="245"/>
      <c r="F123" s="4766"/>
      <c r="G123" s="3078">
        <v>43646</v>
      </c>
      <c r="H123" s="4810"/>
    </row>
    <row r="124" spans="2:8" ht="15" x14ac:dyDescent="0.2">
      <c r="B124" s="6057"/>
      <c r="C124" s="3033" t="s">
        <v>461</v>
      </c>
      <c r="D124" s="4787"/>
      <c r="E124" s="4788"/>
      <c r="F124" s="4789"/>
      <c r="G124" s="3075"/>
      <c r="H124" s="4804"/>
    </row>
    <row r="125" spans="2:8" ht="15" x14ac:dyDescent="0.2">
      <c r="B125" s="6057"/>
      <c r="C125" s="3033" t="s">
        <v>462</v>
      </c>
      <c r="D125" s="3043" t="s">
        <v>1111</v>
      </c>
      <c r="E125" s="246">
        <v>2</v>
      </c>
      <c r="F125" s="4778">
        <v>37769</v>
      </c>
      <c r="G125" s="3075"/>
      <c r="H125" s="4804"/>
    </row>
    <row r="126" spans="2:8" ht="15" x14ac:dyDescent="0.2">
      <c r="B126" s="6045"/>
      <c r="C126" s="3055" t="s">
        <v>1153</v>
      </c>
      <c r="D126" s="4811"/>
      <c r="E126" s="4812"/>
      <c r="F126" s="4813"/>
      <c r="G126" s="4814"/>
      <c r="H126" s="4815"/>
    </row>
    <row r="127" spans="2:8" ht="12.75" customHeight="1" x14ac:dyDescent="0.2">
      <c r="B127" s="5179" t="s">
        <v>1143</v>
      </c>
      <c r="C127" s="5177"/>
      <c r="D127" s="5177"/>
      <c r="E127" s="5177"/>
      <c r="F127" s="5177"/>
      <c r="G127" s="6041" t="s">
        <v>1603</v>
      </c>
      <c r="H127" s="6041"/>
    </row>
    <row r="128" spans="2:8" x14ac:dyDescent="0.2">
      <c r="B128" s="5179" t="s">
        <v>1120</v>
      </c>
      <c r="C128" s="5002"/>
      <c r="D128" s="5002"/>
      <c r="E128" s="5002"/>
      <c r="F128" s="5002"/>
      <c r="G128" s="6042"/>
      <c r="H128" s="6042"/>
    </row>
    <row r="129" spans="2:8" x14ac:dyDescent="0.2">
      <c r="B129" s="5179" t="s">
        <v>1154</v>
      </c>
      <c r="C129" s="5002"/>
      <c r="D129" s="5002"/>
      <c r="E129" s="5002"/>
      <c r="F129" s="5002"/>
      <c r="G129" s="6042"/>
      <c r="H129" s="6042"/>
    </row>
    <row r="130" spans="2:8" x14ac:dyDescent="0.2">
      <c r="B130" s="5179" t="s">
        <v>1144</v>
      </c>
      <c r="C130" s="5002"/>
      <c r="D130" s="5002"/>
      <c r="E130" s="5002"/>
      <c r="F130" s="5002"/>
      <c r="G130" s="5237"/>
      <c r="H130" s="5237"/>
    </row>
    <row r="131" spans="2:8" ht="15" customHeight="1" x14ac:dyDescent="0.2">
      <c r="B131" s="5179" t="s">
        <v>1155</v>
      </c>
      <c r="C131" s="5002"/>
      <c r="D131" s="5002"/>
      <c r="E131" s="5002"/>
      <c r="F131" s="5002"/>
      <c r="G131" s="5002"/>
      <c r="H131" s="5002"/>
    </row>
    <row r="132" spans="2:8" x14ac:dyDescent="0.2">
      <c r="B132" s="5179" t="s">
        <v>1156</v>
      </c>
      <c r="C132" s="5002"/>
      <c r="D132" s="5002"/>
      <c r="E132" s="5002"/>
      <c r="F132" s="5002"/>
      <c r="G132" s="5002"/>
      <c r="H132" s="5002"/>
    </row>
    <row r="133" spans="2:8" ht="12.75" customHeight="1" x14ac:dyDescent="0.2">
      <c r="B133" s="5179" t="s">
        <v>1157</v>
      </c>
      <c r="C133" s="5002"/>
      <c r="D133" s="5002"/>
      <c r="E133" s="5002"/>
      <c r="F133" s="5002"/>
      <c r="G133" s="5002"/>
      <c r="H133" s="5002"/>
    </row>
    <row r="134" spans="2:8" x14ac:dyDescent="0.2">
      <c r="B134" s="5179" t="s">
        <v>1118</v>
      </c>
      <c r="C134" s="5002"/>
      <c r="D134" s="5002"/>
      <c r="E134" s="5002"/>
      <c r="F134" s="5002"/>
      <c r="G134" s="5002"/>
      <c r="H134" s="5002"/>
    </row>
    <row r="135" spans="2:8" x14ac:dyDescent="0.2">
      <c r="B135" s="5179" t="s">
        <v>1158</v>
      </c>
      <c r="C135" s="5002"/>
      <c r="D135" s="5002"/>
      <c r="E135" s="5002"/>
      <c r="F135" s="5002"/>
      <c r="G135" s="5002"/>
      <c r="H135" s="5002"/>
    </row>
    <row r="136" spans="2:8" x14ac:dyDescent="0.2">
      <c r="B136" s="5179" t="s">
        <v>1159</v>
      </c>
      <c r="C136" s="5002"/>
      <c r="D136" s="5002"/>
      <c r="E136" s="5002"/>
      <c r="F136" s="5002"/>
      <c r="G136" s="5002"/>
      <c r="H136" s="5002"/>
    </row>
    <row r="137" spans="2:8" x14ac:dyDescent="0.2">
      <c r="B137" s="5179" t="s">
        <v>1160</v>
      </c>
      <c r="C137" s="5002"/>
      <c r="D137" s="5002"/>
      <c r="E137" s="5002"/>
      <c r="F137" s="5002"/>
      <c r="G137" s="5002"/>
      <c r="H137" s="5002"/>
    </row>
    <row r="138" spans="2:8" x14ac:dyDescent="0.2">
      <c r="B138" s="5179" t="s">
        <v>1161</v>
      </c>
      <c r="C138" s="5002"/>
      <c r="D138" s="5002"/>
      <c r="E138" s="5002"/>
      <c r="F138" s="5002"/>
      <c r="G138" s="5002"/>
      <c r="H138" s="5002"/>
    </row>
    <row r="139" spans="2:8" x14ac:dyDescent="0.2">
      <c r="B139" s="3745" t="s">
        <v>1489</v>
      </c>
      <c r="C139" s="5002"/>
      <c r="D139" s="5002"/>
      <c r="E139" s="5002"/>
      <c r="F139" s="5002"/>
      <c r="G139" s="5002"/>
      <c r="H139" s="5002"/>
    </row>
  </sheetData>
  <sheetProtection algorithmName="SHA-512" hashValue="HDcSX5xhrsfPcfLJVYS1RjnkJdrVTlNS31HyL66XZeQYdIsjr28u51IX3XYeWF4Zx5s0Olbnfibzbne9O3VRbw==" saltValue="RgKn9PnjcTaa8oPLzJKdBg==" spinCount="100000" sheet="1" objects="1" scenarios="1"/>
  <mergeCells count="36">
    <mergeCell ref="G48:H50"/>
    <mergeCell ref="G127:H129"/>
    <mergeCell ref="B34:B35"/>
    <mergeCell ref="C34:C35"/>
    <mergeCell ref="D34:H34"/>
    <mergeCell ref="B109:B114"/>
    <mergeCell ref="B115:B122"/>
    <mergeCell ref="B123:B126"/>
    <mergeCell ref="B57:B66"/>
    <mergeCell ref="B67:B77"/>
    <mergeCell ref="B78:B83"/>
    <mergeCell ref="B97:B98"/>
    <mergeCell ref="D54:H54"/>
    <mergeCell ref="B106:B107"/>
    <mergeCell ref="C106:C107"/>
    <mergeCell ref="B99:B100"/>
    <mergeCell ref="B2:H2"/>
    <mergeCell ref="B22:B24"/>
    <mergeCell ref="B37:B40"/>
    <mergeCell ref="B41:B43"/>
    <mergeCell ref="B44:B47"/>
    <mergeCell ref="B5:B6"/>
    <mergeCell ref="C5:C6"/>
    <mergeCell ref="D5:H5"/>
    <mergeCell ref="B8:B17"/>
    <mergeCell ref="B18:B21"/>
    <mergeCell ref="G25:H27"/>
    <mergeCell ref="D106:H106"/>
    <mergeCell ref="B94:B95"/>
    <mergeCell ref="C94:C95"/>
    <mergeCell ref="B54:B55"/>
    <mergeCell ref="C54:C55"/>
    <mergeCell ref="D94:H94"/>
    <mergeCell ref="G84:H86"/>
    <mergeCell ref="G103:H103"/>
    <mergeCell ref="B101:B102"/>
  </mergeCells>
  <printOptions horizontalCentered="1" verticalCentered="1"/>
  <pageMargins left="0.51181102362204722" right="0.51181102362204722" top="0.55118110236220474" bottom="0.55118110236220474" header="0.31496062992125984" footer="0.31496062992125984"/>
  <pageSetup scale="87" orientation="landscape" r:id="rId1"/>
  <rowBreaks count="4" manualBreakCount="4">
    <brk id="31" max="16383" man="1"/>
    <brk id="51" max="16383" man="1"/>
    <brk id="90" max="16383" man="1"/>
    <brk id="101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K248"/>
  <sheetViews>
    <sheetView showGridLines="0" zoomScaleNormal="100" workbookViewId="0"/>
  </sheetViews>
  <sheetFormatPr baseColWidth="10" defaultRowHeight="12.75" x14ac:dyDescent="0.2"/>
  <cols>
    <col min="1" max="1" width="15.85546875" bestFit="1" customWidth="1"/>
    <col min="3" max="3" width="12.140625" customWidth="1"/>
    <col min="4" max="4" width="13.5703125" customWidth="1"/>
    <col min="5" max="5" width="15.42578125" bestFit="1" customWidth="1"/>
    <col min="6" max="6" width="11.7109375" bestFit="1" customWidth="1"/>
    <col min="7" max="8" width="9.7109375" customWidth="1"/>
    <col min="9" max="9" width="9" bestFit="1" customWidth="1"/>
    <col min="10" max="10" width="7.140625" bestFit="1" customWidth="1"/>
  </cols>
  <sheetData>
    <row r="2" spans="1:10" ht="15.75" customHeight="1" x14ac:dyDescent="0.25">
      <c r="A2" s="6135" t="s">
        <v>1088</v>
      </c>
      <c r="B2" s="6135"/>
      <c r="C2" s="6135"/>
      <c r="D2" s="6135"/>
      <c r="E2" s="6135"/>
      <c r="F2" s="6135"/>
      <c r="G2" s="6135"/>
      <c r="H2" s="6135"/>
      <c r="I2" s="6135"/>
      <c r="J2" s="6135"/>
    </row>
    <row r="3" spans="1:10" ht="15.75" customHeight="1" x14ac:dyDescent="0.25">
      <c r="A3" s="4760"/>
      <c r="B3" s="4760"/>
      <c r="C3" s="4760"/>
      <c r="D3" s="4760"/>
      <c r="E3" s="4760"/>
      <c r="F3" s="4760"/>
      <c r="G3" s="4760"/>
      <c r="H3" s="4760"/>
      <c r="I3" s="4760"/>
      <c r="J3" s="4760"/>
    </row>
    <row r="4" spans="1:10" ht="15.75" customHeight="1" x14ac:dyDescent="0.25">
      <c r="A4" s="6083" t="s">
        <v>51</v>
      </c>
      <c r="B4" s="6083" t="s">
        <v>685</v>
      </c>
      <c r="C4" s="6085" t="s">
        <v>1775</v>
      </c>
      <c r="D4" s="6085" t="s">
        <v>1081</v>
      </c>
      <c r="E4" s="6087" t="s">
        <v>1082</v>
      </c>
      <c r="F4" s="6088"/>
      <c r="G4" s="5614"/>
      <c r="H4" s="5615"/>
      <c r="I4" s="5171"/>
      <c r="J4" s="5171"/>
    </row>
    <row r="5" spans="1:10" ht="15.75" customHeight="1" x14ac:dyDescent="0.25">
      <c r="A5" s="6084"/>
      <c r="B5" s="6084"/>
      <c r="C5" s="6086"/>
      <c r="D5" s="6086"/>
      <c r="E5" s="4818" t="s">
        <v>160</v>
      </c>
      <c r="F5" s="4819" t="s">
        <v>1083</v>
      </c>
      <c r="G5" s="6089" t="s">
        <v>1173</v>
      </c>
      <c r="H5" s="6090"/>
      <c r="I5" s="5171"/>
      <c r="J5" s="5171"/>
    </row>
    <row r="6" spans="1:10" ht="15.75" customHeight="1" x14ac:dyDescent="0.25">
      <c r="A6" s="2984"/>
      <c r="B6" s="2984"/>
      <c r="C6" s="2984"/>
      <c r="D6" s="2984"/>
      <c r="E6" s="2984"/>
      <c r="F6" s="2984"/>
      <c r="G6" s="2984"/>
      <c r="H6" s="2984"/>
      <c r="I6" s="5171"/>
      <c r="J6" s="5171"/>
    </row>
    <row r="7" spans="1:10" ht="15.75" customHeight="1" x14ac:dyDescent="0.25">
      <c r="A7" s="6071" t="s">
        <v>161</v>
      </c>
      <c r="B7" s="2985" t="s">
        <v>5</v>
      </c>
      <c r="C7" s="2986">
        <v>10</v>
      </c>
      <c r="D7" s="2986">
        <v>10</v>
      </c>
      <c r="E7" s="2987">
        <v>10</v>
      </c>
      <c r="F7" s="2988">
        <f>E7/D7</f>
        <v>1</v>
      </c>
      <c r="G7" s="2987">
        <f>D7-E7</f>
        <v>0</v>
      </c>
      <c r="H7" s="2988">
        <f t="shared" ref="H7:H32" si="0">1-F7</f>
        <v>0</v>
      </c>
      <c r="I7" s="5171"/>
      <c r="J7" s="5171"/>
    </row>
    <row r="8" spans="1:10" ht="15.75" customHeight="1" x14ac:dyDescent="0.25">
      <c r="A8" s="6072"/>
      <c r="B8" s="2989" t="s">
        <v>6</v>
      </c>
      <c r="C8" s="2990">
        <v>4</v>
      </c>
      <c r="D8" s="2990">
        <v>4</v>
      </c>
      <c r="E8" s="2991">
        <v>1</v>
      </c>
      <c r="F8" s="2992">
        <f t="shared" ref="F8:F32" si="1">E8/D8</f>
        <v>0.25</v>
      </c>
      <c r="G8" s="2991">
        <f t="shared" ref="G8:G30" si="2">D8-E8</f>
        <v>3</v>
      </c>
      <c r="H8" s="2992">
        <f t="shared" si="0"/>
        <v>0.75</v>
      </c>
      <c r="I8" s="5171"/>
      <c r="J8" s="5171"/>
    </row>
    <row r="9" spans="1:10" ht="15.75" customHeight="1" x14ac:dyDescent="0.25">
      <c r="A9" s="6072"/>
      <c r="B9" s="2993" t="s">
        <v>7</v>
      </c>
      <c r="C9" s="2994">
        <v>3</v>
      </c>
      <c r="D9" s="2994">
        <v>3</v>
      </c>
      <c r="E9" s="2995">
        <v>3</v>
      </c>
      <c r="F9" s="2996">
        <f t="shared" si="1"/>
        <v>1</v>
      </c>
      <c r="G9" s="2995">
        <f t="shared" si="2"/>
        <v>0</v>
      </c>
      <c r="H9" s="2996">
        <f t="shared" si="0"/>
        <v>0</v>
      </c>
      <c r="I9" s="5171"/>
      <c r="J9" s="5171"/>
    </row>
    <row r="10" spans="1:10" ht="15.75" customHeight="1" x14ac:dyDescent="0.25">
      <c r="A10" s="6073"/>
      <c r="B10" s="5616" t="s">
        <v>12</v>
      </c>
      <c r="C10" s="5617">
        <f>SUM(C7:C9)</f>
        <v>17</v>
      </c>
      <c r="D10" s="5617">
        <f>SUM(D7:D9)</f>
        <v>17</v>
      </c>
      <c r="E10" s="5618">
        <f>SUM(E7:E9)</f>
        <v>14</v>
      </c>
      <c r="F10" s="5619">
        <f t="shared" si="1"/>
        <v>0.82352941176470584</v>
      </c>
      <c r="G10" s="5618">
        <f t="shared" si="2"/>
        <v>3</v>
      </c>
      <c r="H10" s="5619">
        <f t="shared" si="0"/>
        <v>0.17647058823529416</v>
      </c>
      <c r="I10" s="5171"/>
      <c r="J10" s="5171"/>
    </row>
    <row r="11" spans="1:10" ht="15.75" customHeight="1" x14ac:dyDescent="0.25">
      <c r="A11" s="4033"/>
      <c r="B11" s="5620"/>
      <c r="C11" s="5620"/>
      <c r="D11" s="5620"/>
      <c r="E11" s="5621"/>
      <c r="F11" s="5621"/>
      <c r="G11" s="5621"/>
      <c r="H11" s="2988"/>
      <c r="I11" s="5171"/>
      <c r="J11" s="5171"/>
    </row>
    <row r="12" spans="1:10" ht="15.75" customHeight="1" x14ac:dyDescent="0.25">
      <c r="A12" s="6074" t="s">
        <v>407</v>
      </c>
      <c r="B12" s="2985" t="s">
        <v>6</v>
      </c>
      <c r="C12" s="2986">
        <v>4</v>
      </c>
      <c r="D12" s="2986">
        <v>3</v>
      </c>
      <c r="E12" s="2987">
        <v>0</v>
      </c>
      <c r="F12" s="2988">
        <f t="shared" si="1"/>
        <v>0</v>
      </c>
      <c r="G12" s="2987">
        <f t="shared" si="2"/>
        <v>3</v>
      </c>
      <c r="H12" s="2988">
        <f t="shared" si="0"/>
        <v>1</v>
      </c>
      <c r="I12" s="5171"/>
      <c r="J12" s="5171"/>
    </row>
    <row r="13" spans="1:10" ht="15.75" customHeight="1" x14ac:dyDescent="0.25">
      <c r="A13" s="6075"/>
      <c r="B13" s="2989" t="s">
        <v>9</v>
      </c>
      <c r="C13" s="2990">
        <v>3</v>
      </c>
      <c r="D13" s="2990">
        <v>3</v>
      </c>
      <c r="E13" s="2991">
        <v>1</v>
      </c>
      <c r="F13" s="2992">
        <f t="shared" si="1"/>
        <v>0.33333333333333331</v>
      </c>
      <c r="G13" s="2991">
        <f t="shared" si="2"/>
        <v>2</v>
      </c>
      <c r="H13" s="2992">
        <f t="shared" si="0"/>
        <v>0.66666666666666674</v>
      </c>
      <c r="I13" s="5171"/>
      <c r="J13" s="5171"/>
    </row>
    <row r="14" spans="1:10" ht="15.75" customHeight="1" x14ac:dyDescent="0.25">
      <c r="A14" s="6075"/>
      <c r="B14" s="2993" t="s">
        <v>74</v>
      </c>
      <c r="C14" s="2994">
        <v>4</v>
      </c>
      <c r="D14" s="2994">
        <v>4</v>
      </c>
      <c r="E14" s="2995">
        <v>3</v>
      </c>
      <c r="F14" s="2996">
        <f t="shared" si="1"/>
        <v>0.75</v>
      </c>
      <c r="G14" s="2995">
        <f t="shared" si="2"/>
        <v>1</v>
      </c>
      <c r="H14" s="2996">
        <f t="shared" si="0"/>
        <v>0.25</v>
      </c>
      <c r="I14" s="5171"/>
      <c r="J14" s="5171"/>
    </row>
    <row r="15" spans="1:10" ht="15.75" customHeight="1" x14ac:dyDescent="0.25">
      <c r="A15" s="6076"/>
      <c r="B15" s="5616" t="s">
        <v>12</v>
      </c>
      <c r="C15" s="5617">
        <f>SUM(C12:C14)</f>
        <v>11</v>
      </c>
      <c r="D15" s="5617">
        <f>SUM(D12:D14)</f>
        <v>10</v>
      </c>
      <c r="E15" s="5618">
        <f>SUM(E12:E14)</f>
        <v>4</v>
      </c>
      <c r="F15" s="5619">
        <f t="shared" si="1"/>
        <v>0.4</v>
      </c>
      <c r="G15" s="5618">
        <f t="shared" si="2"/>
        <v>6</v>
      </c>
      <c r="H15" s="5619">
        <f t="shared" si="0"/>
        <v>0.6</v>
      </c>
      <c r="I15" s="5171"/>
      <c r="J15" s="5171"/>
    </row>
    <row r="16" spans="1:10" ht="15.75" customHeight="1" x14ac:dyDescent="0.25">
      <c r="A16" s="4825"/>
      <c r="B16" s="3002"/>
      <c r="C16" s="3002"/>
      <c r="D16" s="3002"/>
      <c r="E16" s="5622"/>
      <c r="F16" s="5622"/>
      <c r="G16" s="5622"/>
      <c r="H16" s="5622"/>
      <c r="I16" s="5171"/>
      <c r="J16" s="5171"/>
    </row>
    <row r="17" spans="1:10" ht="15.75" customHeight="1" x14ac:dyDescent="0.25">
      <c r="A17" s="6077" t="s">
        <v>162</v>
      </c>
      <c r="B17" s="2985" t="s">
        <v>5</v>
      </c>
      <c r="C17" s="2986">
        <v>10</v>
      </c>
      <c r="D17" s="2986">
        <v>9</v>
      </c>
      <c r="E17" s="2987">
        <v>2</v>
      </c>
      <c r="F17" s="2988">
        <f t="shared" si="1"/>
        <v>0.22222222222222221</v>
      </c>
      <c r="G17" s="2987">
        <f t="shared" si="2"/>
        <v>7</v>
      </c>
      <c r="H17" s="2988">
        <f t="shared" si="0"/>
        <v>0.77777777777777779</v>
      </c>
      <c r="I17" s="5171"/>
      <c r="J17" s="5171"/>
    </row>
    <row r="18" spans="1:10" ht="15.75" customHeight="1" x14ac:dyDescent="0.25">
      <c r="A18" s="6078"/>
      <c r="B18" s="2989" t="s">
        <v>6</v>
      </c>
      <c r="C18" s="2990">
        <v>11</v>
      </c>
      <c r="D18" s="2990">
        <v>11</v>
      </c>
      <c r="E18" s="2991"/>
      <c r="F18" s="2992">
        <f t="shared" si="1"/>
        <v>0</v>
      </c>
      <c r="G18" s="2991">
        <f t="shared" si="2"/>
        <v>11</v>
      </c>
      <c r="H18" s="2992">
        <f t="shared" si="0"/>
        <v>1</v>
      </c>
      <c r="I18" s="5171"/>
      <c r="J18" s="5171"/>
    </row>
    <row r="19" spans="1:10" ht="15.75" customHeight="1" x14ac:dyDescent="0.25">
      <c r="A19" s="6078"/>
      <c r="B19" s="2993" t="s">
        <v>11</v>
      </c>
      <c r="C19" s="2994">
        <v>6</v>
      </c>
      <c r="D19" s="2994">
        <v>6</v>
      </c>
      <c r="E19" s="2995">
        <v>2</v>
      </c>
      <c r="F19" s="2996">
        <f t="shared" si="1"/>
        <v>0.33333333333333331</v>
      </c>
      <c r="G19" s="2995">
        <f t="shared" si="2"/>
        <v>4</v>
      </c>
      <c r="H19" s="2996">
        <f t="shared" si="0"/>
        <v>0.66666666666666674</v>
      </c>
      <c r="I19" s="5171"/>
      <c r="J19" s="5171"/>
    </row>
    <row r="20" spans="1:10" ht="15.75" customHeight="1" x14ac:dyDescent="0.25">
      <c r="A20" s="6079"/>
      <c r="B20" s="5616" t="s">
        <v>12</v>
      </c>
      <c r="C20" s="5617">
        <f>SUM(C17:C19)</f>
        <v>27</v>
      </c>
      <c r="D20" s="5617">
        <f>SUM(D17:D19)</f>
        <v>26</v>
      </c>
      <c r="E20" s="5618">
        <f>SUM(E17:E19)</f>
        <v>4</v>
      </c>
      <c r="F20" s="5619">
        <f t="shared" si="1"/>
        <v>0.15384615384615385</v>
      </c>
      <c r="G20" s="5618">
        <f t="shared" si="2"/>
        <v>22</v>
      </c>
      <c r="H20" s="5619">
        <f t="shared" si="0"/>
        <v>0.84615384615384615</v>
      </c>
      <c r="I20" s="5171"/>
      <c r="J20" s="5171"/>
    </row>
    <row r="21" spans="1:10" ht="15.75" customHeight="1" x14ac:dyDescent="0.25">
      <c r="A21" s="4830"/>
      <c r="B21" s="3005"/>
      <c r="C21" s="3002"/>
      <c r="D21" s="3002"/>
      <c r="E21" s="5622"/>
      <c r="F21" s="2969"/>
      <c r="G21" s="2969"/>
      <c r="H21" s="2969"/>
      <c r="I21" s="5171"/>
      <c r="J21" s="5171"/>
    </row>
    <row r="22" spans="1:10" ht="15.75" customHeight="1" x14ac:dyDescent="0.25">
      <c r="A22" s="6080" t="s">
        <v>408</v>
      </c>
      <c r="B22" s="2985" t="s">
        <v>5</v>
      </c>
      <c r="C22" s="2986">
        <v>2</v>
      </c>
      <c r="D22" s="2986">
        <v>1</v>
      </c>
      <c r="E22" s="2987"/>
      <c r="F22" s="2988">
        <f t="shared" si="1"/>
        <v>0</v>
      </c>
      <c r="G22" s="2987">
        <f t="shared" si="2"/>
        <v>1</v>
      </c>
      <c r="H22" s="2988">
        <f t="shared" si="0"/>
        <v>1</v>
      </c>
      <c r="I22" s="5171"/>
      <c r="J22" s="5171"/>
    </row>
    <row r="23" spans="1:10" ht="15.75" customHeight="1" x14ac:dyDescent="0.25">
      <c r="A23" s="6081"/>
      <c r="B23" s="2989" t="s">
        <v>6</v>
      </c>
      <c r="C23" s="2990">
        <v>2</v>
      </c>
      <c r="D23" s="2990">
        <v>2</v>
      </c>
      <c r="E23" s="2991"/>
      <c r="F23" s="2992">
        <f t="shared" si="1"/>
        <v>0</v>
      </c>
      <c r="G23" s="2991">
        <f t="shared" si="2"/>
        <v>2</v>
      </c>
      <c r="H23" s="2992">
        <f t="shared" si="0"/>
        <v>1</v>
      </c>
      <c r="I23" s="5171"/>
      <c r="J23" s="5171"/>
    </row>
    <row r="24" spans="1:10" ht="15.75" customHeight="1" x14ac:dyDescent="0.25">
      <c r="A24" s="6081"/>
      <c r="B24" s="2993" t="s">
        <v>11</v>
      </c>
      <c r="C24" s="2994">
        <v>2</v>
      </c>
      <c r="D24" s="2994">
        <v>1</v>
      </c>
      <c r="E24" s="2995"/>
      <c r="F24" s="2996">
        <f t="shared" si="1"/>
        <v>0</v>
      </c>
      <c r="G24" s="2995">
        <f t="shared" si="2"/>
        <v>1</v>
      </c>
      <c r="H24" s="2996">
        <f t="shared" si="0"/>
        <v>1</v>
      </c>
      <c r="I24" s="5171"/>
      <c r="J24" s="5171"/>
    </row>
    <row r="25" spans="1:10" ht="15.75" customHeight="1" x14ac:dyDescent="0.25">
      <c r="A25" s="6082"/>
      <c r="B25" s="5616" t="s">
        <v>12</v>
      </c>
      <c r="C25" s="5617">
        <f>SUM(C22:C24)</f>
        <v>6</v>
      </c>
      <c r="D25" s="5617">
        <f>SUM(D22:D24)</f>
        <v>4</v>
      </c>
      <c r="E25" s="5618">
        <f>SUM(E22:E24)</f>
        <v>0</v>
      </c>
      <c r="F25" s="5619">
        <f t="shared" si="1"/>
        <v>0</v>
      </c>
      <c r="G25" s="5618">
        <f t="shared" si="2"/>
        <v>4</v>
      </c>
      <c r="H25" s="5619">
        <f t="shared" si="0"/>
        <v>1</v>
      </c>
      <c r="I25" s="5171"/>
      <c r="J25" s="5171"/>
    </row>
    <row r="26" spans="1:10" ht="15.75" customHeight="1" x14ac:dyDescent="0.25">
      <c r="A26" s="4831"/>
      <c r="B26" s="5614"/>
      <c r="C26" s="5614"/>
      <c r="D26" s="5614"/>
      <c r="E26" s="5622"/>
      <c r="F26" s="5622"/>
      <c r="G26" s="5622"/>
      <c r="H26" s="5622"/>
      <c r="I26" s="5171"/>
      <c r="J26" s="5171"/>
    </row>
    <row r="27" spans="1:10" ht="15.75" customHeight="1" x14ac:dyDescent="0.25">
      <c r="A27" s="6066" t="s">
        <v>163</v>
      </c>
      <c r="B27" s="2985" t="s">
        <v>6</v>
      </c>
      <c r="C27" s="2986">
        <v>6</v>
      </c>
      <c r="D27" s="2986">
        <v>6</v>
      </c>
      <c r="E27" s="2987"/>
      <c r="F27" s="2988">
        <f t="shared" si="1"/>
        <v>0</v>
      </c>
      <c r="G27" s="2987">
        <f t="shared" si="2"/>
        <v>6</v>
      </c>
      <c r="H27" s="2988">
        <f t="shared" si="0"/>
        <v>1</v>
      </c>
      <c r="I27" s="5171"/>
      <c r="J27" s="5171"/>
    </row>
    <row r="28" spans="1:10" ht="15.75" customHeight="1" x14ac:dyDescent="0.25">
      <c r="A28" s="6067"/>
      <c r="B28" s="2989" t="s">
        <v>11</v>
      </c>
      <c r="C28" s="2990">
        <v>8</v>
      </c>
      <c r="D28" s="2990">
        <v>8</v>
      </c>
      <c r="E28" s="2991">
        <v>5</v>
      </c>
      <c r="F28" s="2992">
        <f t="shared" si="1"/>
        <v>0.625</v>
      </c>
      <c r="G28" s="2991">
        <f t="shared" si="2"/>
        <v>3</v>
      </c>
      <c r="H28" s="2992">
        <f t="shared" si="0"/>
        <v>0.375</v>
      </c>
      <c r="I28" s="5171"/>
      <c r="J28" s="5171"/>
    </row>
    <row r="29" spans="1:10" ht="15.75" customHeight="1" x14ac:dyDescent="0.25">
      <c r="A29" s="6067"/>
      <c r="B29" s="2993" t="s">
        <v>7</v>
      </c>
      <c r="C29" s="2994">
        <v>4</v>
      </c>
      <c r="D29" s="2994">
        <v>4</v>
      </c>
      <c r="E29" s="2995">
        <v>1</v>
      </c>
      <c r="F29" s="2996">
        <f t="shared" si="1"/>
        <v>0.25</v>
      </c>
      <c r="G29" s="2995">
        <f t="shared" si="2"/>
        <v>3</v>
      </c>
      <c r="H29" s="2996">
        <f t="shared" si="0"/>
        <v>0.75</v>
      </c>
      <c r="I29" s="5171"/>
      <c r="J29" s="5171"/>
    </row>
    <row r="30" spans="1:10" ht="15.75" customHeight="1" x14ac:dyDescent="0.25">
      <c r="A30" s="6068"/>
      <c r="B30" s="5616" t="s">
        <v>12</v>
      </c>
      <c r="C30" s="5617">
        <f>SUM(C27:C29)</f>
        <v>18</v>
      </c>
      <c r="D30" s="5617">
        <f>SUM(D27:D29)</f>
        <v>18</v>
      </c>
      <c r="E30" s="5618">
        <f>SUM(E27:E29)</f>
        <v>6</v>
      </c>
      <c r="F30" s="5619">
        <f t="shared" si="1"/>
        <v>0.33333333333333331</v>
      </c>
      <c r="G30" s="5618">
        <f t="shared" si="2"/>
        <v>12</v>
      </c>
      <c r="H30" s="5619">
        <f t="shared" si="0"/>
        <v>0.66666666666666674</v>
      </c>
      <c r="I30" s="5171"/>
      <c r="J30" s="5171"/>
    </row>
    <row r="31" spans="1:10" ht="15.75" customHeight="1" x14ac:dyDescent="0.25">
      <c r="A31" s="5614"/>
      <c r="B31" s="5614"/>
      <c r="C31" s="5614"/>
      <c r="D31" s="5614"/>
      <c r="E31" s="5622"/>
      <c r="F31" s="5622"/>
      <c r="G31" s="5622"/>
      <c r="H31" s="5622"/>
      <c r="I31" s="5171"/>
      <c r="J31" s="5171"/>
    </row>
    <row r="32" spans="1:10" ht="15.75" customHeight="1" x14ac:dyDescent="0.25">
      <c r="A32" s="6069" t="s">
        <v>60</v>
      </c>
      <c r="B32" s="6070"/>
      <c r="C32" s="5623">
        <f>SUM(C10,C20,C30,C15,C25)</f>
        <v>79</v>
      </c>
      <c r="D32" s="5617">
        <f t="shared" ref="D32" si="3">SUM(D10,D20,D30,D15,D25)</f>
        <v>75</v>
      </c>
      <c r="E32" s="5616">
        <f>SUM(E10,E15,E20,E25,E30)</f>
        <v>28</v>
      </c>
      <c r="F32" s="5624">
        <f t="shared" si="1"/>
        <v>0.37333333333333335</v>
      </c>
      <c r="G32" s="5616">
        <f>D32-E32</f>
        <v>47</v>
      </c>
      <c r="H32" s="5619">
        <f t="shared" si="0"/>
        <v>0.62666666666666671</v>
      </c>
      <c r="I32" s="5171"/>
      <c r="J32" s="5171"/>
    </row>
    <row r="33" spans="1:10" ht="15.75" customHeight="1" x14ac:dyDescent="0.25">
      <c r="A33" s="5171"/>
      <c r="B33" s="5171"/>
      <c r="C33" s="5171"/>
      <c r="D33" s="5171"/>
      <c r="E33" s="5171"/>
      <c r="F33" s="5171"/>
      <c r="G33" s="5171"/>
      <c r="H33" s="5171"/>
      <c r="I33" s="5171"/>
      <c r="J33" s="5171"/>
    </row>
    <row r="34" spans="1:10" ht="15.75" customHeight="1" x14ac:dyDescent="0.25">
      <c r="A34" s="5171"/>
      <c r="B34" s="5171"/>
      <c r="C34" s="5171"/>
      <c r="D34" s="5171"/>
      <c r="E34" s="5171"/>
      <c r="F34" s="5171"/>
      <c r="G34" s="5171"/>
      <c r="H34" s="5171"/>
      <c r="I34" s="5171"/>
      <c r="J34" s="5171"/>
    </row>
    <row r="35" spans="1:10" ht="15.75" customHeight="1" x14ac:dyDescent="0.2">
      <c r="A35" s="6153" t="s">
        <v>51</v>
      </c>
      <c r="B35" s="6153" t="s">
        <v>685</v>
      </c>
      <c r="C35" s="6164" t="s">
        <v>1490</v>
      </c>
      <c r="D35" s="6164" t="s">
        <v>1081</v>
      </c>
      <c r="E35" s="6165" t="s">
        <v>1501</v>
      </c>
      <c r="F35" s="6166"/>
      <c r="G35" s="6167"/>
      <c r="H35" s="6168"/>
      <c r="I35" s="6155" t="s">
        <v>1084</v>
      </c>
      <c r="J35" s="6156"/>
    </row>
    <row r="36" spans="1:10" ht="15.75" customHeight="1" x14ac:dyDescent="0.2">
      <c r="A36" s="6153"/>
      <c r="B36" s="6153"/>
      <c r="C36" s="6164"/>
      <c r="D36" s="6164"/>
      <c r="E36" s="3997" t="s">
        <v>1491</v>
      </c>
      <c r="F36" s="3997" t="s">
        <v>1082</v>
      </c>
      <c r="G36" s="4818" t="s">
        <v>160</v>
      </c>
      <c r="H36" s="4819" t="s">
        <v>1083</v>
      </c>
      <c r="I36" s="6157"/>
      <c r="J36" s="6158"/>
    </row>
    <row r="37" spans="1:10" ht="15.75" customHeight="1" x14ac:dyDescent="0.25">
      <c r="A37" s="2984"/>
      <c r="B37" s="2984"/>
      <c r="C37" s="2984"/>
      <c r="D37" s="2984"/>
      <c r="E37" s="2984"/>
      <c r="F37" s="2984"/>
      <c r="G37" s="2984"/>
      <c r="H37" s="2984"/>
      <c r="I37" s="2984"/>
      <c r="J37" s="2984"/>
    </row>
    <row r="38" spans="1:10" ht="15.75" customHeight="1" x14ac:dyDescent="0.25">
      <c r="A38" s="6159" t="s">
        <v>161</v>
      </c>
      <c r="B38" s="2985" t="s">
        <v>5</v>
      </c>
      <c r="C38" s="2986">
        <v>10</v>
      </c>
      <c r="D38" s="2987">
        <v>10</v>
      </c>
      <c r="E38" s="2985"/>
      <c r="F38" s="2986">
        <v>10</v>
      </c>
      <c r="G38" s="2987">
        <f>SUM(E38:F38)</f>
        <v>10</v>
      </c>
      <c r="H38" s="2988">
        <f>G38/D38</f>
        <v>1</v>
      </c>
      <c r="I38" s="2985">
        <f>D38-G38</f>
        <v>0</v>
      </c>
      <c r="J38" s="2988">
        <f>1-H38</f>
        <v>0</v>
      </c>
    </row>
    <row r="39" spans="1:10" ht="15.75" customHeight="1" x14ac:dyDescent="0.25">
      <c r="A39" s="6072"/>
      <c r="B39" s="2989" t="s">
        <v>6</v>
      </c>
      <c r="C39" s="2990">
        <v>4</v>
      </c>
      <c r="D39" s="2991">
        <v>4</v>
      </c>
      <c r="E39" s="2989"/>
      <c r="F39" s="2990">
        <v>2</v>
      </c>
      <c r="G39" s="2991">
        <f>SUM(E39:F39)</f>
        <v>2</v>
      </c>
      <c r="H39" s="2992">
        <f>G39/D39</f>
        <v>0.5</v>
      </c>
      <c r="I39" s="2989">
        <f t="shared" ref="I39:I63" si="4">D39-G39</f>
        <v>2</v>
      </c>
      <c r="J39" s="2992">
        <f>1-H39</f>
        <v>0.5</v>
      </c>
    </row>
    <row r="40" spans="1:10" ht="15.75" customHeight="1" x14ac:dyDescent="0.25">
      <c r="A40" s="6072"/>
      <c r="B40" s="2993" t="s">
        <v>7</v>
      </c>
      <c r="C40" s="2994">
        <v>3</v>
      </c>
      <c r="D40" s="2995">
        <v>3</v>
      </c>
      <c r="E40" s="2993"/>
      <c r="F40" s="2994">
        <v>3</v>
      </c>
      <c r="G40" s="2995">
        <f>SUM(E40:F40)</f>
        <v>3</v>
      </c>
      <c r="H40" s="2996">
        <f>G40/D40</f>
        <v>1</v>
      </c>
      <c r="I40" s="2993">
        <f t="shared" si="4"/>
        <v>0</v>
      </c>
      <c r="J40" s="2996">
        <f>1-H40</f>
        <v>0</v>
      </c>
    </row>
    <row r="41" spans="1:10" ht="15.75" customHeight="1" x14ac:dyDescent="0.25">
      <c r="A41" s="6073"/>
      <c r="B41" s="4820" t="s">
        <v>12</v>
      </c>
      <c r="C41" s="4021">
        <f>SUM(C38:C40)</f>
        <v>17</v>
      </c>
      <c r="D41" s="4821">
        <f>SUM(D38:D40)</f>
        <v>17</v>
      </c>
      <c r="E41" s="4820">
        <f>SUM(E38:E40)</f>
        <v>0</v>
      </c>
      <c r="F41" s="4021">
        <f>SUM(F38:F40)</f>
        <v>15</v>
      </c>
      <c r="G41" s="4821">
        <f>SUM(E41:F41)</f>
        <v>15</v>
      </c>
      <c r="H41" s="4822">
        <f>G41/D41</f>
        <v>0.88235294117647056</v>
      </c>
      <c r="I41" s="4820">
        <f t="shared" si="4"/>
        <v>2</v>
      </c>
      <c r="J41" s="4822">
        <f>1-H41</f>
        <v>0.11764705882352944</v>
      </c>
    </row>
    <row r="42" spans="1:10" ht="15.75" customHeight="1" x14ac:dyDescent="0.25">
      <c r="A42" s="4033"/>
      <c r="B42" s="4823"/>
      <c r="C42" s="4823"/>
      <c r="D42" s="4823"/>
      <c r="E42" s="4823"/>
      <c r="F42" s="4823"/>
      <c r="G42" s="4824"/>
      <c r="H42" s="4824"/>
      <c r="I42" s="4824"/>
      <c r="J42" s="4824"/>
    </row>
    <row r="43" spans="1:10" ht="15.75" customHeight="1" x14ac:dyDescent="0.25">
      <c r="A43" s="6160" t="s">
        <v>407</v>
      </c>
      <c r="B43" s="2985" t="s">
        <v>6</v>
      </c>
      <c r="C43" s="2986">
        <v>4</v>
      </c>
      <c r="D43" s="2987">
        <v>3</v>
      </c>
      <c r="E43" s="2985"/>
      <c r="F43" s="2986"/>
      <c r="G43" s="2987">
        <f>SUM(E43:F43)</f>
        <v>0</v>
      </c>
      <c r="H43" s="2988">
        <f>G43/D43</f>
        <v>0</v>
      </c>
      <c r="I43" s="2985">
        <f t="shared" si="4"/>
        <v>3</v>
      </c>
      <c r="J43" s="2988">
        <f>1-H43</f>
        <v>1</v>
      </c>
    </row>
    <row r="44" spans="1:10" ht="15.75" customHeight="1" x14ac:dyDescent="0.25">
      <c r="A44" s="6075"/>
      <c r="B44" s="2989" t="s">
        <v>9</v>
      </c>
      <c r="C44" s="2990">
        <v>3</v>
      </c>
      <c r="D44" s="2991">
        <v>3</v>
      </c>
      <c r="E44" s="2989"/>
      <c r="F44" s="2990">
        <v>1</v>
      </c>
      <c r="G44" s="2991">
        <f>SUM(E44:F44)</f>
        <v>1</v>
      </c>
      <c r="H44" s="2992">
        <f>G44/D44</f>
        <v>0.33333333333333331</v>
      </c>
      <c r="I44" s="2989">
        <f t="shared" si="4"/>
        <v>2</v>
      </c>
      <c r="J44" s="2992">
        <f>1-H44</f>
        <v>0.66666666666666674</v>
      </c>
    </row>
    <row r="45" spans="1:10" ht="15.75" customHeight="1" x14ac:dyDescent="0.25">
      <c r="A45" s="6075"/>
      <c r="B45" s="2993" t="s">
        <v>74</v>
      </c>
      <c r="C45" s="2994">
        <v>4</v>
      </c>
      <c r="D45" s="2995">
        <v>3</v>
      </c>
      <c r="E45" s="2993"/>
      <c r="F45" s="2994"/>
      <c r="G45" s="2995">
        <f>SUM(E45:F45)</f>
        <v>0</v>
      </c>
      <c r="H45" s="2996">
        <f>G45/D45</f>
        <v>0</v>
      </c>
      <c r="I45" s="2993">
        <f t="shared" si="4"/>
        <v>3</v>
      </c>
      <c r="J45" s="2996">
        <f>1-H45</f>
        <v>1</v>
      </c>
    </row>
    <row r="46" spans="1:10" ht="15.75" customHeight="1" x14ac:dyDescent="0.25">
      <c r="A46" s="6076"/>
      <c r="B46" s="4820" t="s">
        <v>12</v>
      </c>
      <c r="C46" s="4021">
        <f>SUM(C43:C45)</f>
        <v>11</v>
      </c>
      <c r="D46" s="4821">
        <f>SUM(D43:D45)</f>
        <v>9</v>
      </c>
      <c r="E46" s="4820">
        <f>SUM(E43:E45)</f>
        <v>0</v>
      </c>
      <c r="F46" s="4021">
        <f>SUM(F43:F45)</f>
        <v>1</v>
      </c>
      <c r="G46" s="4821">
        <f>SUM(E46:F46)</f>
        <v>1</v>
      </c>
      <c r="H46" s="4822">
        <f>G46/D46</f>
        <v>0.1111111111111111</v>
      </c>
      <c r="I46" s="4820">
        <f t="shared" si="4"/>
        <v>8</v>
      </c>
      <c r="J46" s="4822">
        <f>1-H46</f>
        <v>0.88888888888888884</v>
      </c>
    </row>
    <row r="47" spans="1:10" ht="15.75" customHeight="1" x14ac:dyDescent="0.25">
      <c r="A47" s="4825"/>
      <c r="B47" s="3002"/>
      <c r="C47" s="3002"/>
      <c r="D47" s="3002"/>
      <c r="E47" s="3003"/>
      <c r="F47" s="4826"/>
      <c r="G47" s="4826"/>
      <c r="H47" s="4826"/>
      <c r="I47" s="4826"/>
      <c r="J47" s="4826"/>
    </row>
    <row r="48" spans="1:10" ht="15.75" customHeight="1" x14ac:dyDescent="0.25">
      <c r="A48" s="6161" t="s">
        <v>162</v>
      </c>
      <c r="B48" s="2985" t="s">
        <v>5</v>
      </c>
      <c r="C48" s="2986">
        <v>10</v>
      </c>
      <c r="D48" s="2987">
        <v>9</v>
      </c>
      <c r="E48" s="4827"/>
      <c r="F48" s="2986">
        <v>3</v>
      </c>
      <c r="G48" s="2987">
        <f>SUM(E48:F48)</f>
        <v>3</v>
      </c>
      <c r="H48" s="2988">
        <f>G48/D48</f>
        <v>0.33333333333333331</v>
      </c>
      <c r="I48" s="2985">
        <f t="shared" si="4"/>
        <v>6</v>
      </c>
      <c r="J48" s="2988">
        <f>1-H48</f>
        <v>0.66666666666666674</v>
      </c>
    </row>
    <row r="49" spans="1:10" ht="15.75" customHeight="1" x14ac:dyDescent="0.25">
      <c r="A49" s="6078"/>
      <c r="B49" s="2989" t="s">
        <v>6</v>
      </c>
      <c r="C49" s="2990">
        <v>11</v>
      </c>
      <c r="D49" s="2991">
        <v>11</v>
      </c>
      <c r="E49" s="4828"/>
      <c r="F49" s="2990">
        <v>1</v>
      </c>
      <c r="G49" s="2991">
        <f>SUM(E49:F49)</f>
        <v>1</v>
      </c>
      <c r="H49" s="2992">
        <f>G49/D49</f>
        <v>9.0909090909090912E-2</v>
      </c>
      <c r="I49" s="2989">
        <f t="shared" si="4"/>
        <v>10</v>
      </c>
      <c r="J49" s="2992">
        <f>1-H49</f>
        <v>0.90909090909090906</v>
      </c>
    </row>
    <row r="50" spans="1:10" ht="15.75" customHeight="1" x14ac:dyDescent="0.25">
      <c r="A50" s="6078"/>
      <c r="B50" s="2993" t="s">
        <v>11</v>
      </c>
      <c r="C50" s="2994">
        <v>6</v>
      </c>
      <c r="D50" s="2995">
        <v>6</v>
      </c>
      <c r="E50" s="4829"/>
      <c r="F50" s="2994">
        <v>2</v>
      </c>
      <c r="G50" s="2995">
        <f>SUM(E50:F50)</f>
        <v>2</v>
      </c>
      <c r="H50" s="2996">
        <f>G50/D50</f>
        <v>0.33333333333333331</v>
      </c>
      <c r="I50" s="2993">
        <f t="shared" si="4"/>
        <v>4</v>
      </c>
      <c r="J50" s="2996">
        <f>1-H50</f>
        <v>0.66666666666666674</v>
      </c>
    </row>
    <row r="51" spans="1:10" ht="15.75" customHeight="1" x14ac:dyDescent="0.25">
      <c r="A51" s="6079"/>
      <c r="B51" s="4820" t="s">
        <v>12</v>
      </c>
      <c r="C51" s="4021">
        <f>SUM(C48:C50)</f>
        <v>27</v>
      </c>
      <c r="D51" s="4821">
        <f>SUM(D48:D50)</f>
        <v>26</v>
      </c>
      <c r="E51" s="4820">
        <f>SUM(E48:E50)</f>
        <v>0</v>
      </c>
      <c r="F51" s="4021">
        <f>SUM(F48:F50)</f>
        <v>6</v>
      </c>
      <c r="G51" s="4821">
        <f>SUM(E51:F51)</f>
        <v>6</v>
      </c>
      <c r="H51" s="4822">
        <f>G51/D51</f>
        <v>0.23076923076923078</v>
      </c>
      <c r="I51" s="4820">
        <f t="shared" si="4"/>
        <v>20</v>
      </c>
      <c r="J51" s="4822">
        <f>1-H51</f>
        <v>0.76923076923076916</v>
      </c>
    </row>
    <row r="52" spans="1:10" ht="15.75" customHeight="1" x14ac:dyDescent="0.25">
      <c r="A52" s="4830"/>
      <c r="B52" s="3005"/>
      <c r="C52" s="3002"/>
      <c r="D52" s="3002"/>
      <c r="E52" s="3003"/>
      <c r="F52" s="4826"/>
      <c r="G52" s="4826"/>
      <c r="H52" s="4826"/>
      <c r="I52" s="4826"/>
      <c r="J52" s="4826"/>
    </row>
    <row r="53" spans="1:10" ht="15.75" customHeight="1" x14ac:dyDescent="0.25">
      <c r="A53" s="6162" t="s">
        <v>408</v>
      </c>
      <c r="B53" s="2985" t="s">
        <v>5</v>
      </c>
      <c r="C53" s="2986">
        <v>1</v>
      </c>
      <c r="D53" s="2987"/>
      <c r="E53" s="2985"/>
      <c r="F53" s="2986"/>
      <c r="G53" s="2987">
        <f>SUM(E53:F53)</f>
        <v>0</v>
      </c>
      <c r="H53" s="2988"/>
      <c r="I53" s="2985">
        <f t="shared" si="4"/>
        <v>0</v>
      </c>
      <c r="J53" s="2988"/>
    </row>
    <row r="54" spans="1:10" ht="15.75" customHeight="1" x14ac:dyDescent="0.25">
      <c r="A54" s="6081"/>
      <c r="B54" s="2989" t="s">
        <v>6</v>
      </c>
      <c r="C54" s="2990">
        <v>2</v>
      </c>
      <c r="D54" s="2991"/>
      <c r="E54" s="2989"/>
      <c r="F54" s="2990"/>
      <c r="G54" s="2991">
        <f>SUM(E54:F54)</f>
        <v>0</v>
      </c>
      <c r="H54" s="2992"/>
      <c r="I54" s="2989">
        <f t="shared" si="4"/>
        <v>0</v>
      </c>
      <c r="J54" s="2992"/>
    </row>
    <row r="55" spans="1:10" ht="15.75" customHeight="1" x14ac:dyDescent="0.25">
      <c r="A55" s="6081"/>
      <c r="B55" s="2993" t="s">
        <v>11</v>
      </c>
      <c r="C55" s="2994">
        <v>1</v>
      </c>
      <c r="D55" s="2995"/>
      <c r="E55" s="2993"/>
      <c r="F55" s="2994"/>
      <c r="G55" s="2995">
        <f>SUM(E55:F55)</f>
        <v>0</v>
      </c>
      <c r="H55" s="2996"/>
      <c r="I55" s="2993">
        <f t="shared" si="4"/>
        <v>0</v>
      </c>
      <c r="J55" s="2996"/>
    </row>
    <row r="56" spans="1:10" ht="15.75" customHeight="1" x14ac:dyDescent="0.25">
      <c r="A56" s="6082"/>
      <c r="B56" s="4820" t="s">
        <v>12</v>
      </c>
      <c r="C56" s="4021">
        <f>SUM(C53:C55)</f>
        <v>4</v>
      </c>
      <c r="D56" s="4821">
        <f>SUM(D53:D55)</f>
        <v>0</v>
      </c>
      <c r="E56" s="4820">
        <f>SUM(E53:E55)</f>
        <v>0</v>
      </c>
      <c r="F56" s="4021">
        <f>SUM(F53:F55)</f>
        <v>0</v>
      </c>
      <c r="G56" s="4821">
        <f>SUM(E56:F56)</f>
        <v>0</v>
      </c>
      <c r="H56" s="4822"/>
      <c r="I56" s="4820">
        <f t="shared" si="4"/>
        <v>0</v>
      </c>
      <c r="J56" s="4822"/>
    </row>
    <row r="57" spans="1:10" ht="15.75" customHeight="1" x14ac:dyDescent="0.25">
      <c r="A57" s="4831"/>
      <c r="B57" s="4816"/>
      <c r="C57" s="4816"/>
      <c r="D57" s="4816"/>
      <c r="E57" s="4826"/>
      <c r="F57" s="4826"/>
      <c r="G57" s="4826"/>
      <c r="H57" s="4826"/>
      <c r="I57" s="4826"/>
      <c r="J57" s="4826"/>
    </row>
    <row r="58" spans="1:10" ht="15.75" customHeight="1" x14ac:dyDescent="0.25">
      <c r="A58" s="6163" t="s">
        <v>163</v>
      </c>
      <c r="B58" s="2985" t="s">
        <v>6</v>
      </c>
      <c r="C58" s="2986">
        <v>6</v>
      </c>
      <c r="D58" s="2987">
        <v>6</v>
      </c>
      <c r="E58" s="2985"/>
      <c r="F58" s="2986">
        <v>5</v>
      </c>
      <c r="G58" s="2987">
        <f>SUM(E58:F58)</f>
        <v>5</v>
      </c>
      <c r="H58" s="2988">
        <f>G58/D58</f>
        <v>0.83333333333333337</v>
      </c>
      <c r="I58" s="2985">
        <f t="shared" si="4"/>
        <v>1</v>
      </c>
      <c r="J58" s="2988">
        <f>1-H58</f>
        <v>0.16666666666666663</v>
      </c>
    </row>
    <row r="59" spans="1:10" ht="15.75" customHeight="1" x14ac:dyDescent="0.25">
      <c r="A59" s="6067"/>
      <c r="B59" s="2989" t="s">
        <v>11</v>
      </c>
      <c r="C59" s="2990">
        <v>8</v>
      </c>
      <c r="D59" s="2991">
        <v>8</v>
      </c>
      <c r="E59" s="2989"/>
      <c r="F59" s="2990">
        <v>4</v>
      </c>
      <c r="G59" s="2991">
        <f>SUM(E59:F59)</f>
        <v>4</v>
      </c>
      <c r="H59" s="2992">
        <f>G59/D59</f>
        <v>0.5</v>
      </c>
      <c r="I59" s="2989">
        <f t="shared" si="4"/>
        <v>4</v>
      </c>
      <c r="J59" s="2992">
        <f>1-H59</f>
        <v>0.5</v>
      </c>
    </row>
    <row r="60" spans="1:10" ht="15.75" customHeight="1" x14ac:dyDescent="0.25">
      <c r="A60" s="6067"/>
      <c r="B60" s="2993" t="s">
        <v>7</v>
      </c>
      <c r="C60" s="2994">
        <v>4</v>
      </c>
      <c r="D60" s="2995">
        <v>4</v>
      </c>
      <c r="E60" s="4829"/>
      <c r="F60" s="2994">
        <v>1</v>
      </c>
      <c r="G60" s="2995">
        <f>SUM(E60:F60)</f>
        <v>1</v>
      </c>
      <c r="H60" s="2996">
        <f>G60/D60</f>
        <v>0.25</v>
      </c>
      <c r="I60" s="2993">
        <f t="shared" si="4"/>
        <v>3</v>
      </c>
      <c r="J60" s="2996">
        <f>1-H60</f>
        <v>0.75</v>
      </c>
    </row>
    <row r="61" spans="1:10" ht="15.75" customHeight="1" x14ac:dyDescent="0.25">
      <c r="A61" s="6068"/>
      <c r="B61" s="4820" t="s">
        <v>12</v>
      </c>
      <c r="C61" s="4021">
        <f>SUM(C58:C60)</f>
        <v>18</v>
      </c>
      <c r="D61" s="4821">
        <f>SUM(D58:D60)</f>
        <v>18</v>
      </c>
      <c r="E61" s="4820">
        <f>SUM(E58:E60)</f>
        <v>0</v>
      </c>
      <c r="F61" s="4021">
        <f>SUM(F58:F60)</f>
        <v>10</v>
      </c>
      <c r="G61" s="4821">
        <f>SUM(E61:F61)</f>
        <v>10</v>
      </c>
      <c r="H61" s="4822">
        <f>G61/D61</f>
        <v>0.55555555555555558</v>
      </c>
      <c r="I61" s="4820">
        <f t="shared" si="4"/>
        <v>8</v>
      </c>
      <c r="J61" s="4822">
        <f>1-H61</f>
        <v>0.44444444444444442</v>
      </c>
    </row>
    <row r="62" spans="1:10" ht="15.75" customHeight="1" x14ac:dyDescent="0.25">
      <c r="A62" s="4816"/>
      <c r="B62" s="4816"/>
      <c r="C62" s="4816"/>
      <c r="D62" s="4816"/>
      <c r="E62" s="4826"/>
      <c r="F62" s="4826"/>
      <c r="G62" s="4826"/>
      <c r="H62" s="4826"/>
      <c r="I62" s="4826"/>
      <c r="J62" s="4826"/>
    </row>
    <row r="63" spans="1:10" ht="15.75" customHeight="1" x14ac:dyDescent="0.25">
      <c r="A63" s="6154" t="s">
        <v>60</v>
      </c>
      <c r="B63" s="6154"/>
      <c r="C63" s="4832">
        <f>SUM(C41,C51,C61,C46,C56)</f>
        <v>77</v>
      </c>
      <c r="D63" s="4021">
        <f>SUM(D41,D51,D61,D46,D56)</f>
        <v>70</v>
      </c>
      <c r="E63" s="4021">
        <f>SUM(E41,E51,E61,E46,E56)</f>
        <v>0</v>
      </c>
      <c r="F63" s="4021">
        <f>SUM(F41,F51,F61,F46,F56)</f>
        <v>32</v>
      </c>
      <c r="G63" s="4820">
        <f>SUM(G41,G51,G61,G46,G56)</f>
        <v>32</v>
      </c>
      <c r="H63" s="4833">
        <f>G63/D63</f>
        <v>0.45714285714285713</v>
      </c>
      <c r="I63" s="4820">
        <f t="shared" si="4"/>
        <v>38</v>
      </c>
      <c r="J63" s="4822">
        <f>1-H63</f>
        <v>0.54285714285714293</v>
      </c>
    </row>
    <row r="64" spans="1:10" ht="15.75" customHeight="1" x14ac:dyDescent="0.25">
      <c r="A64" s="4760"/>
      <c r="B64" s="4760"/>
      <c r="C64" s="4760"/>
      <c r="D64" s="4760"/>
      <c r="E64" s="4760"/>
      <c r="F64" s="4760"/>
      <c r="G64" s="4760"/>
      <c r="H64" s="4760"/>
      <c r="I64" s="4760"/>
      <c r="J64" s="4760"/>
    </row>
    <row r="65" spans="1:11" ht="15.75" customHeight="1" x14ac:dyDescent="0.25">
      <c r="A65" s="3940"/>
      <c r="B65" s="3940"/>
      <c r="C65" s="3940"/>
      <c r="D65" s="3940"/>
      <c r="E65" s="3940"/>
      <c r="F65" s="3940"/>
      <c r="G65" s="3940"/>
      <c r="H65" s="3940"/>
      <c r="I65" s="3940"/>
      <c r="J65" s="3940"/>
    </row>
    <row r="66" spans="1:11" ht="15.75" customHeight="1" x14ac:dyDescent="0.25">
      <c r="A66" s="6137" t="s">
        <v>51</v>
      </c>
      <c r="B66" s="6137" t="s">
        <v>685</v>
      </c>
      <c r="C66" s="6138" t="s">
        <v>1315</v>
      </c>
      <c r="D66" s="6138" t="s">
        <v>1081</v>
      </c>
      <c r="E66" s="6139" t="s">
        <v>1316</v>
      </c>
      <c r="F66" s="6140"/>
      <c r="G66" s="6140"/>
      <c r="H66" s="6141"/>
      <c r="I66" s="3953"/>
      <c r="J66" s="3954"/>
      <c r="K66" s="2946"/>
    </row>
    <row r="67" spans="1:11" ht="15.75" customHeight="1" x14ac:dyDescent="0.2">
      <c r="A67" s="6137"/>
      <c r="B67" s="6137"/>
      <c r="C67" s="6138"/>
      <c r="D67" s="6138"/>
      <c r="E67" s="3947" t="s">
        <v>1491</v>
      </c>
      <c r="F67" s="3948" t="s">
        <v>1082</v>
      </c>
      <c r="G67" s="3949" t="s">
        <v>160</v>
      </c>
      <c r="H67" s="3948" t="s">
        <v>1083</v>
      </c>
      <c r="I67" s="6142" t="s">
        <v>1084</v>
      </c>
      <c r="J67" s="6143"/>
    </row>
    <row r="68" spans="1:11" ht="15.75" customHeight="1" x14ac:dyDescent="0.2">
      <c r="A68" s="3955"/>
      <c r="B68" s="3955"/>
      <c r="C68" s="3955"/>
      <c r="D68" s="3955"/>
      <c r="E68" s="3955"/>
      <c r="F68" s="3955"/>
      <c r="G68" s="3955"/>
      <c r="H68" s="3955"/>
      <c r="I68" s="3955"/>
      <c r="J68" s="3956"/>
    </row>
    <row r="69" spans="1:11" ht="15.75" customHeight="1" x14ac:dyDescent="0.2">
      <c r="A69" s="6144" t="s">
        <v>161</v>
      </c>
      <c r="B69" s="3957" t="s">
        <v>5</v>
      </c>
      <c r="C69" s="3094">
        <v>10</v>
      </c>
      <c r="D69" s="3095">
        <v>10</v>
      </c>
      <c r="E69" s="3957"/>
      <c r="F69" s="3094">
        <v>10</v>
      </c>
      <c r="G69" s="3095">
        <f>SUM(E69:F69)</f>
        <v>10</v>
      </c>
      <c r="H69" s="3958">
        <f>G69/D69</f>
        <v>1</v>
      </c>
      <c r="I69" s="3957">
        <f>D69-G69</f>
        <v>0</v>
      </c>
      <c r="J69" s="3959">
        <f>1-H69</f>
        <v>0</v>
      </c>
    </row>
    <row r="70" spans="1:11" ht="15.75" customHeight="1" x14ac:dyDescent="0.2">
      <c r="A70" s="6145"/>
      <c r="B70" s="3960" t="s">
        <v>6</v>
      </c>
      <c r="C70" s="3961">
        <v>4</v>
      </c>
      <c r="D70" s="3962">
        <v>4</v>
      </c>
      <c r="E70" s="3960"/>
      <c r="F70" s="3961">
        <v>3</v>
      </c>
      <c r="G70" s="3962">
        <f>SUM(E70:F70)</f>
        <v>3</v>
      </c>
      <c r="H70" s="3963">
        <f>G70/D70</f>
        <v>0.75</v>
      </c>
      <c r="I70" s="3960">
        <f t="shared" ref="I70:I94" si="5">D70-G70</f>
        <v>1</v>
      </c>
      <c r="J70" s="3964">
        <f>1-H70</f>
        <v>0.25</v>
      </c>
    </row>
    <row r="71" spans="1:11" ht="15.75" customHeight="1" x14ac:dyDescent="0.2">
      <c r="A71" s="6145"/>
      <c r="B71" s="3965" t="s">
        <v>7</v>
      </c>
      <c r="C71" s="3966">
        <v>3</v>
      </c>
      <c r="D71" s="3967">
        <v>3</v>
      </c>
      <c r="E71" s="3965"/>
      <c r="F71" s="3966">
        <v>3</v>
      </c>
      <c r="G71" s="3967">
        <f>SUM(E71:F71)</f>
        <v>3</v>
      </c>
      <c r="H71" s="3968">
        <f>G71/D71</f>
        <v>1</v>
      </c>
      <c r="I71" s="3965">
        <f t="shared" si="5"/>
        <v>0</v>
      </c>
      <c r="J71" s="3969">
        <f>1-H71</f>
        <v>0</v>
      </c>
    </row>
    <row r="72" spans="1:11" ht="15.75" customHeight="1" x14ac:dyDescent="0.2">
      <c r="A72" s="6146"/>
      <c r="B72" s="3970" t="s">
        <v>12</v>
      </c>
      <c r="C72" s="3971">
        <f>SUM(C69:C71)</f>
        <v>17</v>
      </c>
      <c r="D72" s="3972">
        <f>SUM(D69:D71)</f>
        <v>17</v>
      </c>
      <c r="E72" s="3970">
        <f>SUM(E69:E71)</f>
        <v>0</v>
      </c>
      <c r="F72" s="3971">
        <f>SUM(F69:F71)</f>
        <v>16</v>
      </c>
      <c r="G72" s="3972">
        <f>SUM(E72:F72)</f>
        <v>16</v>
      </c>
      <c r="H72" s="3973">
        <f>G72/D72</f>
        <v>0.94117647058823528</v>
      </c>
      <c r="I72" s="3970">
        <f t="shared" si="5"/>
        <v>1</v>
      </c>
      <c r="J72" s="3974">
        <f>1-H72</f>
        <v>5.8823529411764719E-2</v>
      </c>
    </row>
    <row r="73" spans="1:11" ht="15.75" customHeight="1" x14ac:dyDescent="0.2">
      <c r="A73" s="3950"/>
      <c r="B73" s="3975"/>
      <c r="C73" s="3975"/>
      <c r="D73" s="3975"/>
      <c r="E73" s="3975"/>
      <c r="F73" s="3975"/>
      <c r="G73" s="3976"/>
      <c r="H73" s="3976"/>
      <c r="I73" s="3976"/>
      <c r="J73" s="3976"/>
    </row>
    <row r="74" spans="1:11" ht="15.75" customHeight="1" x14ac:dyDescent="0.2">
      <c r="A74" s="6147" t="s">
        <v>407</v>
      </c>
      <c r="B74" s="3957" t="s">
        <v>6</v>
      </c>
      <c r="C74" s="3094">
        <v>4</v>
      </c>
      <c r="D74" s="3095">
        <v>3</v>
      </c>
      <c r="E74" s="3957"/>
      <c r="F74" s="3094"/>
      <c r="G74" s="3095">
        <f>SUM(E74:F74)</f>
        <v>0</v>
      </c>
      <c r="H74" s="3958">
        <f>G74/D74</f>
        <v>0</v>
      </c>
      <c r="I74" s="3957">
        <f t="shared" si="5"/>
        <v>3</v>
      </c>
      <c r="J74" s="3959">
        <f>1-H74</f>
        <v>1</v>
      </c>
    </row>
    <row r="75" spans="1:11" ht="15.75" customHeight="1" x14ac:dyDescent="0.2">
      <c r="A75" s="6148"/>
      <c r="B75" s="3960" t="s">
        <v>9</v>
      </c>
      <c r="C75" s="3961">
        <v>3</v>
      </c>
      <c r="D75" s="3962">
        <v>3</v>
      </c>
      <c r="E75" s="3960"/>
      <c r="F75" s="3961"/>
      <c r="G75" s="3962">
        <f>SUM(E75:F75)</f>
        <v>0</v>
      </c>
      <c r="H75" s="3963">
        <f>G75/D75</f>
        <v>0</v>
      </c>
      <c r="I75" s="3960">
        <f t="shared" si="5"/>
        <v>3</v>
      </c>
      <c r="J75" s="3964">
        <f>1-H75</f>
        <v>1</v>
      </c>
    </row>
    <row r="76" spans="1:11" ht="15.75" customHeight="1" x14ac:dyDescent="0.2">
      <c r="A76" s="6148"/>
      <c r="B76" s="3965" t="s">
        <v>74</v>
      </c>
      <c r="C76" s="3966">
        <v>4</v>
      </c>
      <c r="D76" s="3967">
        <v>3</v>
      </c>
      <c r="E76" s="3965"/>
      <c r="F76" s="3966"/>
      <c r="G76" s="3967">
        <f>SUM(E76:F76)</f>
        <v>0</v>
      </c>
      <c r="H76" s="3968">
        <f>G76/D76</f>
        <v>0</v>
      </c>
      <c r="I76" s="3965">
        <f t="shared" si="5"/>
        <v>3</v>
      </c>
      <c r="J76" s="3969">
        <f>1-H76</f>
        <v>1</v>
      </c>
    </row>
    <row r="77" spans="1:11" ht="15.75" customHeight="1" x14ac:dyDescent="0.2">
      <c r="A77" s="6149"/>
      <c r="B77" s="3970" t="s">
        <v>12</v>
      </c>
      <c r="C77" s="3971">
        <f>SUM(C74:C76)</f>
        <v>11</v>
      </c>
      <c r="D77" s="3972">
        <f>SUM(D74:D76)</f>
        <v>9</v>
      </c>
      <c r="E77" s="3970">
        <f>SUM(E74:E76)</f>
        <v>0</v>
      </c>
      <c r="F77" s="3971">
        <f>SUM(F74:F76)</f>
        <v>0</v>
      </c>
      <c r="G77" s="3972">
        <f>SUM(E77:F77)</f>
        <v>0</v>
      </c>
      <c r="H77" s="3973">
        <f>G77/D77</f>
        <v>0</v>
      </c>
      <c r="I77" s="3970">
        <f t="shared" si="5"/>
        <v>9</v>
      </c>
      <c r="J77" s="3974">
        <f>1-H77</f>
        <v>1</v>
      </c>
    </row>
    <row r="78" spans="1:11" ht="15.75" customHeight="1" x14ac:dyDescent="0.2">
      <c r="A78" s="3951"/>
      <c r="B78" s="3977"/>
      <c r="C78" s="3977"/>
      <c r="D78" s="3977"/>
      <c r="E78" s="3978"/>
      <c r="F78" s="3979"/>
      <c r="G78" s="3979"/>
      <c r="H78" s="3979"/>
      <c r="I78" s="3979"/>
      <c r="J78" s="3980"/>
    </row>
    <row r="79" spans="1:11" ht="15.75" customHeight="1" x14ac:dyDescent="0.2">
      <c r="A79" s="6150" t="s">
        <v>162</v>
      </c>
      <c r="B79" s="3957" t="s">
        <v>5</v>
      </c>
      <c r="C79" s="3094">
        <v>9</v>
      </c>
      <c r="D79" s="3095">
        <v>9</v>
      </c>
      <c r="E79" s="3957">
        <v>4</v>
      </c>
      <c r="F79" s="3094">
        <v>2</v>
      </c>
      <c r="G79" s="3095">
        <f>SUM(E79:F79)</f>
        <v>6</v>
      </c>
      <c r="H79" s="3958">
        <f>G79/D79</f>
        <v>0.66666666666666663</v>
      </c>
      <c r="I79" s="3957">
        <f t="shared" si="5"/>
        <v>3</v>
      </c>
      <c r="J79" s="3959">
        <f>1-H79</f>
        <v>0.33333333333333337</v>
      </c>
    </row>
    <row r="80" spans="1:11" ht="15.75" customHeight="1" x14ac:dyDescent="0.2">
      <c r="A80" s="6151"/>
      <c r="B80" s="3960" t="s">
        <v>6</v>
      </c>
      <c r="C80" s="3961">
        <v>11</v>
      </c>
      <c r="D80" s="3962">
        <v>11</v>
      </c>
      <c r="E80" s="3960">
        <v>8</v>
      </c>
      <c r="F80" s="3961">
        <v>1</v>
      </c>
      <c r="G80" s="3962">
        <f>SUM(E80:F80)</f>
        <v>9</v>
      </c>
      <c r="H80" s="3963">
        <f>G80/D80</f>
        <v>0.81818181818181823</v>
      </c>
      <c r="I80" s="3960">
        <f t="shared" si="5"/>
        <v>2</v>
      </c>
      <c r="J80" s="3964">
        <f>1-H80</f>
        <v>0.18181818181818177</v>
      </c>
    </row>
    <row r="81" spans="1:10" ht="15.75" customHeight="1" x14ac:dyDescent="0.2">
      <c r="A81" s="6151"/>
      <c r="B81" s="3965" t="s">
        <v>11</v>
      </c>
      <c r="C81" s="3966">
        <v>6</v>
      </c>
      <c r="D81" s="3967">
        <v>6</v>
      </c>
      <c r="E81" s="3965">
        <v>3</v>
      </c>
      <c r="F81" s="3966">
        <v>2</v>
      </c>
      <c r="G81" s="3967">
        <f>SUM(E81:F81)</f>
        <v>5</v>
      </c>
      <c r="H81" s="3968">
        <f>G81/D81</f>
        <v>0.83333333333333337</v>
      </c>
      <c r="I81" s="3965">
        <f t="shared" si="5"/>
        <v>1</v>
      </c>
      <c r="J81" s="3969">
        <f>1-H81</f>
        <v>0.16666666666666663</v>
      </c>
    </row>
    <row r="82" spans="1:10" ht="15.75" customHeight="1" x14ac:dyDescent="0.2">
      <c r="A82" s="6152"/>
      <c r="B82" s="3970" t="s">
        <v>12</v>
      </c>
      <c r="C82" s="3971">
        <f>SUM(C79:C81)</f>
        <v>26</v>
      </c>
      <c r="D82" s="3972">
        <f>SUM(D79:D81)</f>
        <v>26</v>
      </c>
      <c r="E82" s="3970">
        <f>SUM(E79:E81)</f>
        <v>15</v>
      </c>
      <c r="F82" s="3971">
        <f>SUM(F79:F81)</f>
        <v>5</v>
      </c>
      <c r="G82" s="3972">
        <f>SUM(E82:F82)</f>
        <v>20</v>
      </c>
      <c r="H82" s="3973">
        <f>G82/D82</f>
        <v>0.76923076923076927</v>
      </c>
      <c r="I82" s="3970">
        <f t="shared" si="5"/>
        <v>6</v>
      </c>
      <c r="J82" s="3974">
        <f>1-H82</f>
        <v>0.23076923076923073</v>
      </c>
    </row>
    <row r="83" spans="1:10" ht="15.75" customHeight="1" x14ac:dyDescent="0.2">
      <c r="A83" s="3952"/>
      <c r="B83" s="3981"/>
      <c r="C83" s="3977"/>
      <c r="D83" s="3977"/>
      <c r="E83" s="3978"/>
      <c r="F83" s="3979"/>
      <c r="G83" s="3979"/>
      <c r="H83" s="3979"/>
      <c r="I83" s="3979"/>
      <c r="J83" s="3980"/>
    </row>
    <row r="84" spans="1:10" ht="15.75" customHeight="1" x14ac:dyDescent="0.2">
      <c r="A84" s="6128" t="s">
        <v>408</v>
      </c>
      <c r="B84" s="3957" t="s">
        <v>5</v>
      </c>
      <c r="C84" s="3094">
        <v>1</v>
      </c>
      <c r="D84" s="3095"/>
      <c r="E84" s="3957"/>
      <c r="F84" s="3094"/>
      <c r="G84" s="3095">
        <f>SUM(E84:F84)</f>
        <v>0</v>
      </c>
      <c r="H84" s="3958"/>
      <c r="I84" s="3957">
        <f t="shared" si="5"/>
        <v>0</v>
      </c>
      <c r="J84" s="3959"/>
    </row>
    <row r="85" spans="1:10" ht="15.75" customHeight="1" x14ac:dyDescent="0.2">
      <c r="A85" s="6129"/>
      <c r="B85" s="3960" t="s">
        <v>6</v>
      </c>
      <c r="C85" s="3961">
        <v>2</v>
      </c>
      <c r="D85" s="3962"/>
      <c r="E85" s="3960"/>
      <c r="F85" s="3961"/>
      <c r="G85" s="3962">
        <f>SUM(E85:F85)</f>
        <v>0</v>
      </c>
      <c r="H85" s="3963"/>
      <c r="I85" s="3960">
        <f t="shared" si="5"/>
        <v>0</v>
      </c>
      <c r="J85" s="3964"/>
    </row>
    <row r="86" spans="1:10" ht="15.75" customHeight="1" x14ac:dyDescent="0.2">
      <c r="A86" s="6129"/>
      <c r="B86" s="3965" t="s">
        <v>11</v>
      </c>
      <c r="C86" s="3966">
        <v>1</v>
      </c>
      <c r="D86" s="3967"/>
      <c r="E86" s="3965"/>
      <c r="F86" s="3966"/>
      <c r="G86" s="3967">
        <f>SUM(E86:F86)</f>
        <v>0</v>
      </c>
      <c r="H86" s="3968"/>
      <c r="I86" s="3965">
        <f t="shared" si="5"/>
        <v>0</v>
      </c>
      <c r="J86" s="3969"/>
    </row>
    <row r="87" spans="1:10" ht="15.75" customHeight="1" x14ac:dyDescent="0.2">
      <c r="A87" s="6130"/>
      <c r="B87" s="3970" t="s">
        <v>12</v>
      </c>
      <c r="C87" s="3971">
        <f>SUM(C84:C86)</f>
        <v>4</v>
      </c>
      <c r="D87" s="3972">
        <f>SUM(D84:D86)</f>
        <v>0</v>
      </c>
      <c r="E87" s="3970">
        <f>SUM(E84:E86)</f>
        <v>0</v>
      </c>
      <c r="F87" s="3971">
        <f>SUM(F84:F86)</f>
        <v>0</v>
      </c>
      <c r="G87" s="3972">
        <f>SUM(E87:F87)</f>
        <v>0</v>
      </c>
      <c r="H87" s="3973"/>
      <c r="I87" s="3970">
        <f t="shared" si="5"/>
        <v>0</v>
      </c>
      <c r="J87" s="3974"/>
    </row>
    <row r="88" spans="1:10" ht="15.75" customHeight="1" x14ac:dyDescent="0.2">
      <c r="A88" s="3009"/>
      <c r="B88" s="3954"/>
      <c r="C88" s="3954"/>
      <c r="D88" s="3954"/>
      <c r="E88" s="3979"/>
      <c r="F88" s="3979"/>
      <c r="G88" s="3979"/>
      <c r="H88" s="3979"/>
      <c r="I88" s="3979"/>
      <c r="J88" s="3980"/>
    </row>
    <row r="89" spans="1:10" ht="15.75" customHeight="1" x14ac:dyDescent="0.2">
      <c r="A89" s="6131" t="s">
        <v>163</v>
      </c>
      <c r="B89" s="3957" t="s">
        <v>6</v>
      </c>
      <c r="C89" s="3094">
        <v>6</v>
      </c>
      <c r="D89" s="3095">
        <v>6</v>
      </c>
      <c r="E89" s="3957"/>
      <c r="F89" s="3094">
        <v>5</v>
      </c>
      <c r="G89" s="3095">
        <f>SUM(E89:F89)</f>
        <v>5</v>
      </c>
      <c r="H89" s="3958">
        <f>G89/D89</f>
        <v>0.83333333333333337</v>
      </c>
      <c r="I89" s="3957">
        <f t="shared" si="5"/>
        <v>1</v>
      </c>
      <c r="J89" s="3959">
        <f>1-H89</f>
        <v>0.16666666666666663</v>
      </c>
    </row>
    <row r="90" spans="1:10" ht="15.75" customHeight="1" x14ac:dyDescent="0.2">
      <c r="A90" s="6132"/>
      <c r="B90" s="3960" t="s">
        <v>11</v>
      </c>
      <c r="C90" s="3961">
        <v>8</v>
      </c>
      <c r="D90" s="3962">
        <v>8</v>
      </c>
      <c r="E90" s="3960"/>
      <c r="F90" s="3961">
        <v>4</v>
      </c>
      <c r="G90" s="3962">
        <f>SUM(E90:F90)</f>
        <v>4</v>
      </c>
      <c r="H90" s="3963">
        <f>G90/D90</f>
        <v>0.5</v>
      </c>
      <c r="I90" s="3960">
        <f t="shared" si="5"/>
        <v>4</v>
      </c>
      <c r="J90" s="3964">
        <f>1-H90</f>
        <v>0.5</v>
      </c>
    </row>
    <row r="91" spans="1:10" ht="15.75" customHeight="1" x14ac:dyDescent="0.2">
      <c r="A91" s="6132"/>
      <c r="B91" s="3965" t="s">
        <v>7</v>
      </c>
      <c r="C91" s="3966">
        <v>4</v>
      </c>
      <c r="D91" s="3967">
        <v>4</v>
      </c>
      <c r="E91" s="3965">
        <v>2</v>
      </c>
      <c r="F91" s="3966">
        <v>1</v>
      </c>
      <c r="G91" s="3967">
        <f>SUM(E91:F91)</f>
        <v>3</v>
      </c>
      <c r="H91" s="3968">
        <f>G91/D91</f>
        <v>0.75</v>
      </c>
      <c r="I91" s="3965">
        <f t="shared" si="5"/>
        <v>1</v>
      </c>
      <c r="J91" s="3969">
        <f>1-H91</f>
        <v>0.25</v>
      </c>
    </row>
    <row r="92" spans="1:10" ht="15.75" customHeight="1" x14ac:dyDescent="0.2">
      <c r="A92" s="6133"/>
      <c r="B92" s="3970" t="s">
        <v>12</v>
      </c>
      <c r="C92" s="3971">
        <f>SUM(C89:C91)</f>
        <v>18</v>
      </c>
      <c r="D92" s="3972">
        <f>SUM(D89:D91)</f>
        <v>18</v>
      </c>
      <c r="E92" s="3970">
        <f>SUM(E89:E91)</f>
        <v>2</v>
      </c>
      <c r="F92" s="3971">
        <f>SUM(F89:F91)</f>
        <v>10</v>
      </c>
      <c r="G92" s="3972">
        <f>SUM(E92:F92)</f>
        <v>12</v>
      </c>
      <c r="H92" s="3973">
        <f>G92/D92</f>
        <v>0.66666666666666663</v>
      </c>
      <c r="I92" s="3970">
        <f t="shared" si="5"/>
        <v>6</v>
      </c>
      <c r="J92" s="3974">
        <f>1-H92</f>
        <v>0.33333333333333337</v>
      </c>
    </row>
    <row r="93" spans="1:10" ht="15.75" customHeight="1" x14ac:dyDescent="0.2">
      <c r="A93" s="3954"/>
      <c r="B93" s="3954"/>
      <c r="C93" s="3954"/>
      <c r="D93" s="3954"/>
      <c r="E93" s="3979"/>
      <c r="F93" s="3979"/>
      <c r="G93" s="3979"/>
      <c r="H93" s="3979"/>
      <c r="I93" s="3979"/>
      <c r="J93" s="3980"/>
    </row>
    <row r="94" spans="1:10" ht="15.75" customHeight="1" x14ac:dyDescent="0.2">
      <c r="A94" s="6134" t="s">
        <v>60</v>
      </c>
      <c r="B94" s="6134"/>
      <c r="C94" s="3982">
        <f>SUM(C72,C82,C92,C77,C87)</f>
        <v>76</v>
      </c>
      <c r="D94" s="3971">
        <f>SUM(D72,D82,D92,D77,D87)</f>
        <v>70</v>
      </c>
      <c r="E94" s="3970">
        <f>SUM(E72,E82,E92,E77,E87)</f>
        <v>17</v>
      </c>
      <c r="F94" s="3971">
        <f>SUM(F72,F82,F92,F77,F87)</f>
        <v>31</v>
      </c>
      <c r="G94" s="3972">
        <f>SUM(G72,G82,G92,G77,G87)</f>
        <v>48</v>
      </c>
      <c r="H94" s="3983">
        <f>G94/D94</f>
        <v>0.68571428571428572</v>
      </c>
      <c r="I94" s="3970">
        <f t="shared" si="5"/>
        <v>22</v>
      </c>
      <c r="J94" s="3974">
        <f>1-H94</f>
        <v>0.31428571428571428</v>
      </c>
    </row>
    <row r="95" spans="1:10" ht="15.75" customHeight="1" x14ac:dyDescent="0.25">
      <c r="A95" s="3940"/>
      <c r="B95" s="3940"/>
      <c r="C95" s="3940"/>
      <c r="D95" s="3940"/>
      <c r="E95" s="3940"/>
      <c r="F95" s="3940"/>
      <c r="G95" s="3940"/>
      <c r="H95" s="3940"/>
      <c r="I95" s="3940"/>
      <c r="J95" s="3940"/>
    </row>
    <row r="96" spans="1:10" ht="15" x14ac:dyDescent="0.25">
      <c r="A96" s="6136"/>
      <c r="B96" s="6136"/>
      <c r="C96" s="6136"/>
      <c r="D96" s="6136"/>
      <c r="E96" s="6136"/>
      <c r="F96" s="6136"/>
      <c r="G96" s="6136"/>
      <c r="H96" s="6136"/>
      <c r="I96" s="3119"/>
      <c r="J96" s="2946"/>
    </row>
    <row r="97" spans="1:10" ht="15" x14ac:dyDescent="0.25">
      <c r="A97" s="6094" t="s">
        <v>51</v>
      </c>
      <c r="B97" s="6094" t="s">
        <v>685</v>
      </c>
      <c r="C97" s="6095" t="s">
        <v>1085</v>
      </c>
      <c r="D97" s="6095" t="s">
        <v>1081</v>
      </c>
      <c r="E97" s="6096" t="s">
        <v>1086</v>
      </c>
      <c r="F97" s="6097"/>
      <c r="G97" s="6097"/>
      <c r="H97" s="6098"/>
      <c r="I97" s="2982"/>
      <c r="J97" s="2977"/>
    </row>
    <row r="98" spans="1:10" ht="15" x14ac:dyDescent="0.2">
      <c r="A98" s="6094"/>
      <c r="B98" s="6094"/>
      <c r="C98" s="6095"/>
      <c r="D98" s="6095"/>
      <c r="E98" s="3118" t="s">
        <v>1491</v>
      </c>
      <c r="F98" s="3118" t="s">
        <v>1082</v>
      </c>
      <c r="G98" s="2983" t="s">
        <v>160</v>
      </c>
      <c r="H98" s="3118" t="s">
        <v>1083</v>
      </c>
      <c r="I98" s="6120" t="s">
        <v>1084</v>
      </c>
      <c r="J98" s="6121"/>
    </row>
    <row r="99" spans="1:10" ht="15" x14ac:dyDescent="0.25">
      <c r="A99" s="2984"/>
      <c r="B99" s="2984"/>
      <c r="C99" s="2984"/>
      <c r="D99" s="2984"/>
      <c r="E99" s="2984"/>
      <c r="F99" s="2984"/>
      <c r="G99" s="2984"/>
      <c r="H99" s="2984"/>
      <c r="I99" s="2984"/>
      <c r="J99" s="2984"/>
    </row>
    <row r="100" spans="1:10" ht="15" customHeight="1" x14ac:dyDescent="0.25">
      <c r="A100" s="6122" t="s">
        <v>3</v>
      </c>
      <c r="B100" s="2985" t="s">
        <v>5</v>
      </c>
      <c r="C100" s="2986">
        <v>10</v>
      </c>
      <c r="D100" s="2987">
        <v>10</v>
      </c>
      <c r="E100" s="2985"/>
      <c r="F100" s="2987">
        <v>10</v>
      </c>
      <c r="G100" s="2987">
        <f>SUM(E100:F100)</f>
        <v>10</v>
      </c>
      <c r="H100" s="2988">
        <f>G100/D100</f>
        <v>1</v>
      </c>
      <c r="I100" s="2985">
        <f>D100-G100</f>
        <v>0</v>
      </c>
      <c r="J100" s="2988">
        <f>1-H100</f>
        <v>0</v>
      </c>
    </row>
    <row r="101" spans="1:10" ht="15" customHeight="1" x14ac:dyDescent="0.25">
      <c r="A101" s="6072"/>
      <c r="B101" s="2989" t="s">
        <v>6</v>
      </c>
      <c r="C101" s="2990">
        <v>4</v>
      </c>
      <c r="D101" s="2991">
        <v>4</v>
      </c>
      <c r="E101" s="2989"/>
      <c r="F101" s="2991">
        <v>3</v>
      </c>
      <c r="G101" s="2991">
        <f>SUM(E101:F101)</f>
        <v>3</v>
      </c>
      <c r="H101" s="2992">
        <f>G101/D101</f>
        <v>0.75</v>
      </c>
      <c r="I101" s="2989">
        <f t="shared" ref="I101:I125" si="6">D101-G101</f>
        <v>1</v>
      </c>
      <c r="J101" s="2992">
        <f>1-H101</f>
        <v>0.25</v>
      </c>
    </row>
    <row r="102" spans="1:10" ht="15" x14ac:dyDescent="0.25">
      <c r="A102" s="6072"/>
      <c r="B102" s="2993" t="s">
        <v>7</v>
      </c>
      <c r="C102" s="2994">
        <v>3</v>
      </c>
      <c r="D102" s="2995">
        <v>3</v>
      </c>
      <c r="E102" s="2993"/>
      <c r="F102" s="2995">
        <v>3</v>
      </c>
      <c r="G102" s="2995">
        <f>SUM(E102:F102)</f>
        <v>3</v>
      </c>
      <c r="H102" s="2996">
        <f>G102/D102</f>
        <v>1</v>
      </c>
      <c r="I102" s="2993">
        <f t="shared" si="6"/>
        <v>0</v>
      </c>
      <c r="J102" s="2996">
        <f>1-H102</f>
        <v>0</v>
      </c>
    </row>
    <row r="103" spans="1:10" ht="15" x14ac:dyDescent="0.25">
      <c r="A103" s="6073"/>
      <c r="B103" s="2997" t="s">
        <v>12</v>
      </c>
      <c r="C103" s="2998">
        <f>SUM(C100:C102)</f>
        <v>17</v>
      </c>
      <c r="D103" s="2999">
        <f>SUM(D100:D102)</f>
        <v>17</v>
      </c>
      <c r="E103" s="2997">
        <f>SUM(E100:E102)</f>
        <v>0</v>
      </c>
      <c r="F103" s="2999">
        <f>SUM(F100:F102)</f>
        <v>16</v>
      </c>
      <c r="G103" s="2999">
        <f>SUM(E103:F103)</f>
        <v>16</v>
      </c>
      <c r="H103" s="3000">
        <f>G103/D103</f>
        <v>0.94117647058823528</v>
      </c>
      <c r="I103" s="2997">
        <f t="shared" si="6"/>
        <v>1</v>
      </c>
      <c r="J103" s="3000">
        <f>1-H103</f>
        <v>5.8823529411764719E-2</v>
      </c>
    </row>
    <row r="104" spans="1:10" ht="15" x14ac:dyDescent="0.25">
      <c r="A104" s="2978"/>
      <c r="B104" s="2978"/>
      <c r="C104" s="2978"/>
      <c r="D104" s="2978"/>
      <c r="E104" s="2978"/>
      <c r="F104" s="2978"/>
      <c r="G104" s="2979"/>
      <c r="H104" s="2979"/>
      <c r="I104" s="2979"/>
      <c r="J104" s="2979"/>
    </row>
    <row r="105" spans="1:10" ht="15" x14ac:dyDescent="0.25">
      <c r="A105" s="6123" t="s">
        <v>8</v>
      </c>
      <c r="B105" s="2985" t="s">
        <v>6</v>
      </c>
      <c r="C105" s="2986">
        <v>4</v>
      </c>
      <c r="D105" s="2987">
        <v>1</v>
      </c>
      <c r="E105" s="2985"/>
      <c r="F105" s="2987"/>
      <c r="G105" s="2987">
        <f>SUM(E105:F105)</f>
        <v>0</v>
      </c>
      <c r="H105" s="2988">
        <f>G105/D105</f>
        <v>0</v>
      </c>
      <c r="I105" s="2985">
        <f t="shared" si="6"/>
        <v>1</v>
      </c>
      <c r="J105" s="2988">
        <f>1-H105</f>
        <v>1</v>
      </c>
    </row>
    <row r="106" spans="1:10" ht="15" x14ac:dyDescent="0.25">
      <c r="A106" s="6075"/>
      <c r="B106" s="2989" t="s">
        <v>9</v>
      </c>
      <c r="C106" s="2990">
        <v>3</v>
      </c>
      <c r="D106" s="2991">
        <v>1</v>
      </c>
      <c r="E106" s="2989"/>
      <c r="F106" s="2991"/>
      <c r="G106" s="2991">
        <f>SUM(E106:F106)</f>
        <v>0</v>
      </c>
      <c r="H106" s="2992">
        <f>G106/D106</f>
        <v>0</v>
      </c>
      <c r="I106" s="2989">
        <f t="shared" si="6"/>
        <v>1</v>
      </c>
      <c r="J106" s="2992">
        <f>1-H106</f>
        <v>1</v>
      </c>
    </row>
    <row r="107" spans="1:10" ht="15" x14ac:dyDescent="0.25">
      <c r="A107" s="6075"/>
      <c r="B107" s="2993" t="s">
        <v>74</v>
      </c>
      <c r="C107" s="2994">
        <v>4</v>
      </c>
      <c r="D107" s="2995">
        <v>2</v>
      </c>
      <c r="E107" s="2993"/>
      <c r="F107" s="2995"/>
      <c r="G107" s="2995">
        <f>SUM(E107:F107)</f>
        <v>0</v>
      </c>
      <c r="H107" s="2996">
        <f>G107/D107</f>
        <v>0</v>
      </c>
      <c r="I107" s="2993">
        <f t="shared" si="6"/>
        <v>2</v>
      </c>
      <c r="J107" s="2996">
        <f>1-H107</f>
        <v>1</v>
      </c>
    </row>
    <row r="108" spans="1:10" ht="15" x14ac:dyDescent="0.25">
      <c r="A108" s="6076"/>
      <c r="B108" s="2997" t="s">
        <v>12</v>
      </c>
      <c r="C108" s="2998">
        <f>SUM(C105:C107)</f>
        <v>11</v>
      </c>
      <c r="D108" s="2999">
        <f>SUM(D105:D107)</f>
        <v>4</v>
      </c>
      <c r="E108" s="2997">
        <f>SUM(E105:E107)</f>
        <v>0</v>
      </c>
      <c r="F108" s="2999">
        <f>SUM(F105:F107)</f>
        <v>0</v>
      </c>
      <c r="G108" s="2999">
        <f>SUM(E108:F108)</f>
        <v>0</v>
      </c>
      <c r="H108" s="3000">
        <f>G108/D108</f>
        <v>0</v>
      </c>
      <c r="I108" s="2997">
        <f t="shared" si="6"/>
        <v>4</v>
      </c>
      <c r="J108" s="3000">
        <f>1-H108</f>
        <v>1</v>
      </c>
    </row>
    <row r="109" spans="1:10" ht="15" x14ac:dyDescent="0.25">
      <c r="A109" s="3001"/>
      <c r="B109" s="3002"/>
      <c r="C109" s="3002"/>
      <c r="D109" s="3002"/>
      <c r="E109" s="3003"/>
      <c r="F109" s="2980"/>
      <c r="G109" s="2980"/>
      <c r="H109" s="2980"/>
      <c r="I109" s="2980"/>
      <c r="J109" s="2980"/>
    </row>
    <row r="110" spans="1:10" ht="15" customHeight="1" x14ac:dyDescent="0.25">
      <c r="A110" s="6124" t="s">
        <v>75</v>
      </c>
      <c r="B110" s="2985" t="s">
        <v>5</v>
      </c>
      <c r="C110" s="2986">
        <v>9</v>
      </c>
      <c r="D110" s="2987">
        <v>9</v>
      </c>
      <c r="E110" s="2985">
        <v>3</v>
      </c>
      <c r="F110" s="2987">
        <v>4</v>
      </c>
      <c r="G110" s="2987">
        <f>SUM(E110:F110)</f>
        <v>7</v>
      </c>
      <c r="H110" s="2988">
        <f>G110/D110</f>
        <v>0.77777777777777779</v>
      </c>
      <c r="I110" s="2985">
        <f t="shared" si="6"/>
        <v>2</v>
      </c>
      <c r="J110" s="2988">
        <f>1-H110</f>
        <v>0.22222222222222221</v>
      </c>
    </row>
    <row r="111" spans="1:10" ht="15" customHeight="1" x14ac:dyDescent="0.25">
      <c r="A111" s="6078"/>
      <c r="B111" s="2989" t="s">
        <v>6</v>
      </c>
      <c r="C111" s="2990">
        <v>11</v>
      </c>
      <c r="D111" s="2991">
        <v>11</v>
      </c>
      <c r="E111" s="2989">
        <v>6</v>
      </c>
      <c r="F111" s="2991">
        <v>3</v>
      </c>
      <c r="G111" s="2991">
        <f>SUM(E111:F111)</f>
        <v>9</v>
      </c>
      <c r="H111" s="2992">
        <f>G111/D111</f>
        <v>0.81818181818181823</v>
      </c>
      <c r="I111" s="2989">
        <f t="shared" si="6"/>
        <v>2</v>
      </c>
      <c r="J111" s="2992">
        <f>1-H111</f>
        <v>0.18181818181818177</v>
      </c>
    </row>
    <row r="112" spans="1:10" ht="15" x14ac:dyDescent="0.25">
      <c r="A112" s="6078"/>
      <c r="B112" s="2993" t="s">
        <v>11</v>
      </c>
      <c r="C112" s="2994">
        <v>6</v>
      </c>
      <c r="D112" s="2995">
        <v>6</v>
      </c>
      <c r="E112" s="2993">
        <v>3</v>
      </c>
      <c r="F112" s="2995">
        <v>2</v>
      </c>
      <c r="G112" s="2995">
        <f>SUM(E112:F112)</f>
        <v>5</v>
      </c>
      <c r="H112" s="2996">
        <f>G112/D112</f>
        <v>0.83333333333333337</v>
      </c>
      <c r="I112" s="2993">
        <f t="shared" si="6"/>
        <v>1</v>
      </c>
      <c r="J112" s="2996">
        <f>1-H112</f>
        <v>0.16666666666666663</v>
      </c>
    </row>
    <row r="113" spans="1:10" ht="15" x14ac:dyDescent="0.25">
      <c r="A113" s="6079"/>
      <c r="B113" s="2997" t="s">
        <v>12</v>
      </c>
      <c r="C113" s="2998">
        <f>SUM(C110:C112)</f>
        <v>26</v>
      </c>
      <c r="D113" s="2999">
        <f>SUM(D110:D112)</f>
        <v>26</v>
      </c>
      <c r="E113" s="2997">
        <f>SUM(E110:E112)</f>
        <v>12</v>
      </c>
      <c r="F113" s="2999">
        <f>SUM(F110:F112)</f>
        <v>9</v>
      </c>
      <c r="G113" s="2999">
        <f>SUM(E113:F113)</f>
        <v>21</v>
      </c>
      <c r="H113" s="3000">
        <f>G113/D113</f>
        <v>0.80769230769230771</v>
      </c>
      <c r="I113" s="2997">
        <f t="shared" si="6"/>
        <v>5</v>
      </c>
      <c r="J113" s="3000">
        <f>1-H113</f>
        <v>0.19230769230769229</v>
      </c>
    </row>
    <row r="114" spans="1:10" ht="15" customHeight="1" x14ac:dyDescent="0.25">
      <c r="A114" s="3004"/>
      <c r="B114" s="3005"/>
      <c r="C114" s="3002"/>
      <c r="D114" s="3002"/>
      <c r="E114" s="3003"/>
      <c r="F114" s="2980"/>
      <c r="G114" s="2980"/>
      <c r="H114" s="2980"/>
      <c r="I114" s="2980"/>
      <c r="J114" s="2980"/>
    </row>
    <row r="115" spans="1:10" ht="15" customHeight="1" x14ac:dyDescent="0.25">
      <c r="A115" s="6125" t="s">
        <v>325</v>
      </c>
      <c r="B115" s="2985" t="s">
        <v>5</v>
      </c>
      <c r="C115" s="2986">
        <v>1</v>
      </c>
      <c r="D115" s="2987"/>
      <c r="E115" s="2985"/>
      <c r="F115" s="2987"/>
      <c r="G115" s="2987">
        <f>SUM(E115:F115)</f>
        <v>0</v>
      </c>
      <c r="H115" s="2988"/>
      <c r="I115" s="2985">
        <f t="shared" si="6"/>
        <v>0</v>
      </c>
      <c r="J115" s="2988"/>
    </row>
    <row r="116" spans="1:10" ht="15" x14ac:dyDescent="0.25">
      <c r="A116" s="6081"/>
      <c r="B116" s="2989" t="s">
        <v>6</v>
      </c>
      <c r="C116" s="2990">
        <v>2</v>
      </c>
      <c r="D116" s="2991"/>
      <c r="E116" s="2989"/>
      <c r="F116" s="2991"/>
      <c r="G116" s="2991">
        <f>SUM(E116:F116)</f>
        <v>0</v>
      </c>
      <c r="H116" s="2992"/>
      <c r="I116" s="2989">
        <f t="shared" si="6"/>
        <v>0</v>
      </c>
      <c r="J116" s="2992"/>
    </row>
    <row r="117" spans="1:10" ht="15" customHeight="1" x14ac:dyDescent="0.25">
      <c r="A117" s="6081"/>
      <c r="B117" s="2993" t="s">
        <v>11</v>
      </c>
      <c r="C117" s="2994">
        <v>1</v>
      </c>
      <c r="D117" s="2995"/>
      <c r="E117" s="2993"/>
      <c r="F117" s="2995"/>
      <c r="G117" s="2995">
        <f>SUM(E117:F117)</f>
        <v>0</v>
      </c>
      <c r="H117" s="2996"/>
      <c r="I117" s="2993">
        <f t="shared" si="6"/>
        <v>0</v>
      </c>
      <c r="J117" s="2996"/>
    </row>
    <row r="118" spans="1:10" ht="15" customHeight="1" x14ac:dyDescent="0.25">
      <c r="A118" s="6082"/>
      <c r="B118" s="2997" t="s">
        <v>12</v>
      </c>
      <c r="C118" s="2998">
        <f>SUM(C115:C117)</f>
        <v>4</v>
      </c>
      <c r="D118" s="2999">
        <f>SUM(D115:D117)</f>
        <v>0</v>
      </c>
      <c r="E118" s="2997">
        <f>SUM(E115:E117)</f>
        <v>0</v>
      </c>
      <c r="F118" s="2999">
        <f>SUM(F115:F117)</f>
        <v>0</v>
      </c>
      <c r="G118" s="2999">
        <f>SUM(E118:F118)</f>
        <v>0</v>
      </c>
      <c r="H118" s="3000"/>
      <c r="I118" s="2997">
        <f t="shared" si="6"/>
        <v>0</v>
      </c>
      <c r="J118" s="3000"/>
    </row>
    <row r="119" spans="1:10" ht="15" x14ac:dyDescent="0.25">
      <c r="A119" s="3006"/>
      <c r="B119" s="2981"/>
      <c r="C119" s="2981"/>
      <c r="D119" s="2981"/>
      <c r="E119" s="2980"/>
      <c r="F119" s="2980"/>
      <c r="G119" s="2980"/>
      <c r="H119" s="2980"/>
      <c r="I119" s="2980"/>
      <c r="J119" s="2980"/>
    </row>
    <row r="120" spans="1:10" ht="15" x14ac:dyDescent="0.25">
      <c r="A120" s="6126" t="s">
        <v>10</v>
      </c>
      <c r="B120" s="2985" t="s">
        <v>6</v>
      </c>
      <c r="C120" s="2986">
        <v>6</v>
      </c>
      <c r="D120" s="2987">
        <v>6</v>
      </c>
      <c r="E120" s="2985"/>
      <c r="F120" s="2987">
        <v>5</v>
      </c>
      <c r="G120" s="2987">
        <f>SUM(E120:F120)</f>
        <v>5</v>
      </c>
      <c r="H120" s="2988">
        <f>G120/D120</f>
        <v>0.83333333333333337</v>
      </c>
      <c r="I120" s="2985">
        <f t="shared" si="6"/>
        <v>1</v>
      </c>
      <c r="J120" s="2988">
        <f>1-H120</f>
        <v>0.16666666666666663</v>
      </c>
    </row>
    <row r="121" spans="1:10" ht="15" x14ac:dyDescent="0.25">
      <c r="A121" s="6067"/>
      <c r="B121" s="2989" t="s">
        <v>11</v>
      </c>
      <c r="C121" s="2990">
        <v>8</v>
      </c>
      <c r="D121" s="2991">
        <v>8</v>
      </c>
      <c r="E121" s="2989"/>
      <c r="F121" s="2991">
        <v>5</v>
      </c>
      <c r="G121" s="2991">
        <f>SUM(E121:F121)</f>
        <v>5</v>
      </c>
      <c r="H121" s="2992">
        <f>G121/D121</f>
        <v>0.625</v>
      </c>
      <c r="I121" s="2989">
        <f t="shared" si="6"/>
        <v>3</v>
      </c>
      <c r="J121" s="2992">
        <f>1-H121</f>
        <v>0.375</v>
      </c>
    </row>
    <row r="122" spans="1:10" ht="15" x14ac:dyDescent="0.25">
      <c r="A122" s="6067"/>
      <c r="B122" s="2993" t="s">
        <v>7</v>
      </c>
      <c r="C122" s="2994">
        <v>4</v>
      </c>
      <c r="D122" s="2995">
        <v>4</v>
      </c>
      <c r="E122" s="2993">
        <v>2</v>
      </c>
      <c r="F122" s="2995">
        <v>1</v>
      </c>
      <c r="G122" s="2995">
        <f>SUM(E122:F122)</f>
        <v>3</v>
      </c>
      <c r="H122" s="2996">
        <f>G122/D122</f>
        <v>0.75</v>
      </c>
      <c r="I122" s="2993">
        <f t="shared" si="6"/>
        <v>1</v>
      </c>
      <c r="J122" s="2996">
        <f>1-H122</f>
        <v>0.25</v>
      </c>
    </row>
    <row r="123" spans="1:10" ht="15" x14ac:dyDescent="0.25">
      <c r="A123" s="6068"/>
      <c r="B123" s="2997" t="s">
        <v>12</v>
      </c>
      <c r="C123" s="2998">
        <f>SUM(C120:C122)</f>
        <v>18</v>
      </c>
      <c r="D123" s="2999">
        <f>SUM(D120:D122)</f>
        <v>18</v>
      </c>
      <c r="E123" s="2997">
        <f>SUM(E120:E122)</f>
        <v>2</v>
      </c>
      <c r="F123" s="2999">
        <f>SUM(F120:F122)</f>
        <v>11</v>
      </c>
      <c r="G123" s="2999">
        <f>SUM(E123:F123)</f>
        <v>13</v>
      </c>
      <c r="H123" s="3000">
        <f>G123/D123</f>
        <v>0.72222222222222221</v>
      </c>
      <c r="I123" s="2997">
        <f t="shared" si="6"/>
        <v>5</v>
      </c>
      <c r="J123" s="3000">
        <f>1-H123</f>
        <v>0.27777777777777779</v>
      </c>
    </row>
    <row r="124" spans="1:10" ht="15" x14ac:dyDescent="0.25">
      <c r="A124" s="2981"/>
      <c r="B124" s="2981"/>
      <c r="C124" s="2981"/>
      <c r="D124" s="2981"/>
      <c r="E124" s="2980"/>
      <c r="F124" s="2980"/>
      <c r="G124" s="2980"/>
      <c r="H124" s="2980"/>
      <c r="I124" s="2980"/>
      <c r="J124" s="2980"/>
    </row>
    <row r="125" spans="1:10" ht="15" x14ac:dyDescent="0.25">
      <c r="A125" s="6127" t="s">
        <v>60</v>
      </c>
      <c r="B125" s="6127"/>
      <c r="C125" s="2998">
        <f>SUM(C103,C113,C123,C108,C118)</f>
        <v>76</v>
      </c>
      <c r="D125" s="2998">
        <f>SUM(D103,D113,D123,D108,D118)</f>
        <v>65</v>
      </c>
      <c r="E125" s="2997">
        <f>SUM(E103,E113,E123,E108,E118)</f>
        <v>14</v>
      </c>
      <c r="F125" s="2999">
        <f>SUM(F103,F113,F123,F108,F118)</f>
        <v>36</v>
      </c>
      <c r="G125" s="2999">
        <f>SUM(G103,G113,G123,G108,G118)</f>
        <v>50</v>
      </c>
      <c r="H125" s="3000">
        <f>G125/D125</f>
        <v>0.76923076923076927</v>
      </c>
      <c r="I125" s="2997">
        <f t="shared" si="6"/>
        <v>15</v>
      </c>
      <c r="J125" s="3000">
        <f>1-H125</f>
        <v>0.23076923076923073</v>
      </c>
    </row>
    <row r="129" spans="1:9" ht="15" customHeight="1" x14ac:dyDescent="0.25">
      <c r="A129" s="6094" t="s">
        <v>51</v>
      </c>
      <c r="B129" s="6094" t="s">
        <v>685</v>
      </c>
      <c r="C129" s="6095" t="s">
        <v>1090</v>
      </c>
      <c r="D129" s="6095" t="s">
        <v>1081</v>
      </c>
      <c r="E129" s="6096" t="s">
        <v>1087</v>
      </c>
      <c r="F129" s="6097"/>
      <c r="G129" s="6097"/>
      <c r="H129" s="6098"/>
      <c r="I129" s="2946"/>
    </row>
    <row r="130" spans="1:9" ht="24" x14ac:dyDescent="0.2">
      <c r="A130" s="6094"/>
      <c r="B130" s="6094"/>
      <c r="C130" s="6095"/>
      <c r="D130" s="6095"/>
      <c r="E130" s="4761" t="s">
        <v>1491</v>
      </c>
      <c r="F130" s="3118" t="s">
        <v>1082</v>
      </c>
      <c r="G130" s="2983" t="s">
        <v>160</v>
      </c>
      <c r="H130" s="3118" t="s">
        <v>1083</v>
      </c>
      <c r="I130" s="3007" t="s">
        <v>1084</v>
      </c>
    </row>
    <row r="131" spans="1:9" x14ac:dyDescent="0.2">
      <c r="A131" s="2947"/>
      <c r="B131" s="2947"/>
      <c r="C131" s="2947"/>
      <c r="D131" s="2947"/>
      <c r="E131" s="2947"/>
      <c r="F131" s="2947"/>
      <c r="G131" s="2947"/>
      <c r="H131" s="2947"/>
      <c r="I131" s="2948"/>
    </row>
    <row r="132" spans="1:9" ht="12.75" customHeight="1" x14ac:dyDescent="0.2">
      <c r="A132" s="6113" t="s">
        <v>3</v>
      </c>
      <c r="B132" s="2949" t="s">
        <v>5</v>
      </c>
      <c r="C132" s="2950">
        <v>10</v>
      </c>
      <c r="D132" s="2951">
        <v>10</v>
      </c>
      <c r="E132" s="2950"/>
      <c r="F132" s="2951">
        <v>10</v>
      </c>
      <c r="G132" s="2950">
        <f>SUM(E132:F132)</f>
        <v>10</v>
      </c>
      <c r="H132" s="2952">
        <f>G132/D132</f>
        <v>1</v>
      </c>
      <c r="I132" s="2953">
        <f>1-H132</f>
        <v>0</v>
      </c>
    </row>
    <row r="133" spans="1:9" ht="12.75" customHeight="1" x14ac:dyDescent="0.2">
      <c r="A133" s="6114"/>
      <c r="B133" s="2954" t="s">
        <v>6</v>
      </c>
      <c r="C133" s="2955">
        <v>4</v>
      </c>
      <c r="D133" s="2956">
        <v>4</v>
      </c>
      <c r="E133" s="2955"/>
      <c r="F133" s="2956">
        <v>3</v>
      </c>
      <c r="G133" s="2955">
        <f>SUM(E133:F133)</f>
        <v>3</v>
      </c>
      <c r="H133" s="2957">
        <f>G133/D133</f>
        <v>0.75</v>
      </c>
      <c r="I133" s="2958">
        <f>1-H133</f>
        <v>0.25</v>
      </c>
    </row>
    <row r="134" spans="1:9" ht="12.75" customHeight="1" x14ac:dyDescent="0.2">
      <c r="A134" s="6114"/>
      <c r="B134" s="2959" t="s">
        <v>7</v>
      </c>
      <c r="C134" s="2960">
        <v>3</v>
      </c>
      <c r="D134" s="2961">
        <v>3</v>
      </c>
      <c r="E134" s="2960"/>
      <c r="F134" s="2961">
        <v>3</v>
      </c>
      <c r="G134" s="2960">
        <f>SUM(E134:F134)</f>
        <v>3</v>
      </c>
      <c r="H134" s="2962">
        <f>G134/D134</f>
        <v>1</v>
      </c>
      <c r="I134" s="2963">
        <f>1-H134</f>
        <v>0</v>
      </c>
    </row>
    <row r="135" spans="1:9" ht="12.75" customHeight="1" x14ac:dyDescent="0.2">
      <c r="A135" s="6115"/>
      <c r="B135" s="2964" t="s">
        <v>12</v>
      </c>
      <c r="C135" s="2965">
        <f>SUM(C132:C134)</f>
        <v>17</v>
      </c>
      <c r="D135" s="2966">
        <f>SUM(D132:D134)</f>
        <v>17</v>
      </c>
      <c r="E135" s="2965">
        <f>SUM(E132:E134)</f>
        <v>0</v>
      </c>
      <c r="F135" s="2966">
        <f>SUM(F132:F134)</f>
        <v>16</v>
      </c>
      <c r="G135" s="2965">
        <f>SUM(E135:F135)</f>
        <v>16</v>
      </c>
      <c r="H135" s="2967">
        <f>G135/D135</f>
        <v>0.94117647058823528</v>
      </c>
      <c r="I135" s="2968">
        <f>1-H135</f>
        <v>5.8823529411764719E-2</v>
      </c>
    </row>
    <row r="136" spans="1:9" ht="15" customHeight="1" x14ac:dyDescent="0.25">
      <c r="A136" s="2969"/>
      <c r="B136" s="2969"/>
      <c r="C136" s="2969"/>
      <c r="D136" s="2969"/>
      <c r="E136" s="2969"/>
      <c r="F136" s="2969"/>
      <c r="G136" s="2969"/>
      <c r="H136" s="2969"/>
      <c r="I136" s="2969"/>
    </row>
    <row r="137" spans="1:9" ht="12.75" customHeight="1" x14ac:dyDescent="0.2">
      <c r="A137" s="6116" t="s">
        <v>8</v>
      </c>
      <c r="B137" s="2949" t="s">
        <v>6</v>
      </c>
      <c r="C137" s="2950">
        <v>4</v>
      </c>
      <c r="D137" s="2951">
        <v>2</v>
      </c>
      <c r="E137" s="2950"/>
      <c r="F137" s="2951"/>
      <c r="G137" s="2950">
        <f>SUM(E137:F137)</f>
        <v>0</v>
      </c>
      <c r="H137" s="2952">
        <f>G137/D137</f>
        <v>0</v>
      </c>
      <c r="I137" s="2953">
        <f>1-H137</f>
        <v>1</v>
      </c>
    </row>
    <row r="138" spans="1:9" ht="12.75" customHeight="1" x14ac:dyDescent="0.2">
      <c r="A138" s="6117"/>
      <c r="B138" s="2954" t="s">
        <v>9</v>
      </c>
      <c r="C138" s="2955">
        <v>3</v>
      </c>
      <c r="D138" s="2956">
        <v>1</v>
      </c>
      <c r="E138" s="2955"/>
      <c r="F138" s="2956"/>
      <c r="G138" s="2955">
        <f>SUM(E138:F138)</f>
        <v>0</v>
      </c>
      <c r="H138" s="2957">
        <f>G138/D138</f>
        <v>0</v>
      </c>
      <c r="I138" s="2958">
        <f>1-H138</f>
        <v>1</v>
      </c>
    </row>
    <row r="139" spans="1:9" ht="12.75" customHeight="1" x14ac:dyDescent="0.2">
      <c r="A139" s="6117"/>
      <c r="B139" s="2959" t="s">
        <v>74</v>
      </c>
      <c r="C139" s="2960">
        <v>4</v>
      </c>
      <c r="D139" s="2961">
        <v>2</v>
      </c>
      <c r="E139" s="2960"/>
      <c r="F139" s="2961"/>
      <c r="G139" s="2960">
        <f>SUM(E139:F139)</f>
        <v>0</v>
      </c>
      <c r="H139" s="2962">
        <f>G139/D139</f>
        <v>0</v>
      </c>
      <c r="I139" s="2963">
        <f>1-H139</f>
        <v>1</v>
      </c>
    </row>
    <row r="140" spans="1:9" ht="12.75" customHeight="1" x14ac:dyDescent="0.2">
      <c r="A140" s="6118"/>
      <c r="B140" s="2964" t="s">
        <v>12</v>
      </c>
      <c r="C140" s="2965">
        <f>SUM(C137:C139)</f>
        <v>11</v>
      </c>
      <c r="D140" s="2966">
        <f>SUM(D137:D139)</f>
        <v>5</v>
      </c>
      <c r="E140" s="2965">
        <f>SUM(E137:E139)</f>
        <v>0</v>
      </c>
      <c r="F140" s="2966">
        <f>SUM(F137:F139)</f>
        <v>0</v>
      </c>
      <c r="G140" s="2965">
        <f>SUM(E140:F140)</f>
        <v>0</v>
      </c>
      <c r="H140" s="2967">
        <f>G140/D140</f>
        <v>0</v>
      </c>
      <c r="I140" s="2968">
        <f>1-H140</f>
        <v>1</v>
      </c>
    </row>
    <row r="141" spans="1:9" ht="15" x14ac:dyDescent="0.25">
      <c r="A141" s="2970"/>
      <c r="B141" s="2971"/>
      <c r="C141" s="2971"/>
      <c r="D141" s="2971"/>
      <c r="E141" s="2971"/>
      <c r="F141" s="2975"/>
      <c r="G141" s="2975"/>
      <c r="H141" s="2975"/>
      <c r="I141" s="2976"/>
    </row>
    <row r="142" spans="1:9" ht="12.75" customHeight="1" x14ac:dyDescent="0.2">
      <c r="A142" s="6107" t="s">
        <v>75</v>
      </c>
      <c r="B142" s="2949" t="s">
        <v>5</v>
      </c>
      <c r="C142" s="2950">
        <v>9</v>
      </c>
      <c r="D142" s="2951">
        <v>9</v>
      </c>
      <c r="E142" s="2950">
        <v>3</v>
      </c>
      <c r="F142" s="2951">
        <v>5</v>
      </c>
      <c r="G142" s="2950">
        <f>SUM(E142:F142)</f>
        <v>8</v>
      </c>
      <c r="H142" s="2952">
        <f>G142/D142</f>
        <v>0.88888888888888884</v>
      </c>
      <c r="I142" s="2953">
        <f>1-H142</f>
        <v>0.11111111111111116</v>
      </c>
    </row>
    <row r="143" spans="1:9" ht="12.75" customHeight="1" x14ac:dyDescent="0.2">
      <c r="A143" s="6108"/>
      <c r="B143" s="2954" t="s">
        <v>6</v>
      </c>
      <c r="C143" s="2955">
        <v>11</v>
      </c>
      <c r="D143" s="2956">
        <v>11</v>
      </c>
      <c r="E143" s="2955">
        <v>6</v>
      </c>
      <c r="F143" s="2956">
        <v>3</v>
      </c>
      <c r="G143" s="2955">
        <f>SUM(E143:F143)</f>
        <v>9</v>
      </c>
      <c r="H143" s="2957">
        <f>G143/D143</f>
        <v>0.81818181818181823</v>
      </c>
      <c r="I143" s="2958">
        <f>1-H143</f>
        <v>0.18181818181818177</v>
      </c>
    </row>
    <row r="144" spans="1:9" ht="12.75" customHeight="1" x14ac:dyDescent="0.2">
      <c r="A144" s="6108"/>
      <c r="B144" s="2959" t="s">
        <v>11</v>
      </c>
      <c r="C144" s="2960">
        <v>6</v>
      </c>
      <c r="D144" s="2961">
        <v>6</v>
      </c>
      <c r="E144" s="2960">
        <v>3</v>
      </c>
      <c r="F144" s="2961">
        <v>2</v>
      </c>
      <c r="G144" s="2960">
        <f>SUM(E144:F144)</f>
        <v>5</v>
      </c>
      <c r="H144" s="2962">
        <f>G144/D144</f>
        <v>0.83333333333333337</v>
      </c>
      <c r="I144" s="2963">
        <f>1-H144</f>
        <v>0.16666666666666663</v>
      </c>
    </row>
    <row r="145" spans="1:9" ht="12.75" customHeight="1" x14ac:dyDescent="0.2">
      <c r="A145" s="6109"/>
      <c r="B145" s="2964" t="s">
        <v>12</v>
      </c>
      <c r="C145" s="2965">
        <f>SUM(C142:C144)</f>
        <v>26</v>
      </c>
      <c r="D145" s="2966">
        <f>SUM(D142:D144)</f>
        <v>26</v>
      </c>
      <c r="E145" s="2965">
        <f>SUM(E142:E144)</f>
        <v>12</v>
      </c>
      <c r="F145" s="2966">
        <f>SUM(F142:F144)</f>
        <v>10</v>
      </c>
      <c r="G145" s="2965">
        <f>SUM(E145:F145)</f>
        <v>22</v>
      </c>
      <c r="H145" s="2967">
        <f>G145/D145</f>
        <v>0.84615384615384615</v>
      </c>
      <c r="I145" s="2968">
        <f>1-H145</f>
        <v>0.15384615384615385</v>
      </c>
    </row>
    <row r="146" spans="1:9" ht="15" x14ac:dyDescent="0.25">
      <c r="A146" s="2972"/>
      <c r="B146" s="2973"/>
      <c r="C146" s="2971"/>
      <c r="D146" s="2971"/>
      <c r="E146" s="2971"/>
      <c r="F146" s="2975"/>
      <c r="G146" s="2975"/>
      <c r="H146" s="2975"/>
      <c r="I146" s="2976"/>
    </row>
    <row r="147" spans="1:9" ht="12.75" customHeight="1" x14ac:dyDescent="0.2">
      <c r="A147" s="6099" t="s">
        <v>325</v>
      </c>
      <c r="B147" s="2949" t="s">
        <v>5</v>
      </c>
      <c r="C147" s="2950">
        <v>1</v>
      </c>
      <c r="D147" s="2951"/>
      <c r="E147" s="2950"/>
      <c r="F147" s="2951"/>
      <c r="G147" s="2950">
        <f>SUM(E147:F147)</f>
        <v>0</v>
      </c>
      <c r="H147" s="2952"/>
      <c r="I147" s="2953"/>
    </row>
    <row r="148" spans="1:9" ht="12.75" customHeight="1" x14ac:dyDescent="0.2">
      <c r="A148" s="6100"/>
      <c r="B148" s="2954" t="s">
        <v>6</v>
      </c>
      <c r="C148" s="2955">
        <v>2</v>
      </c>
      <c r="D148" s="2956"/>
      <c r="E148" s="2955"/>
      <c r="F148" s="2956"/>
      <c r="G148" s="2955">
        <f>SUM(E148:F148)</f>
        <v>0</v>
      </c>
      <c r="H148" s="2957"/>
      <c r="I148" s="2958"/>
    </row>
    <row r="149" spans="1:9" ht="12.75" customHeight="1" x14ac:dyDescent="0.2">
      <c r="A149" s="6100"/>
      <c r="B149" s="2959" t="s">
        <v>11</v>
      </c>
      <c r="C149" s="2960">
        <v>1</v>
      </c>
      <c r="D149" s="2961"/>
      <c r="E149" s="2960"/>
      <c r="F149" s="2961"/>
      <c r="G149" s="2960">
        <f>SUM(E149:F149)</f>
        <v>0</v>
      </c>
      <c r="H149" s="2962"/>
      <c r="I149" s="2963"/>
    </row>
    <row r="150" spans="1:9" ht="42" customHeight="1" x14ac:dyDescent="0.2">
      <c r="A150" s="6101"/>
      <c r="B150" s="3092" t="s">
        <v>12</v>
      </c>
      <c r="C150" s="3008">
        <f>SUM(C147:C149)</f>
        <v>4</v>
      </c>
      <c r="D150" s="3093">
        <f>SUM(D147:D149)</f>
        <v>0</v>
      </c>
      <c r="E150" s="3008">
        <f>SUM(E147:E149)</f>
        <v>0</v>
      </c>
      <c r="F150" s="3093">
        <f>SUM(F147:F149)</f>
        <v>0</v>
      </c>
      <c r="G150" s="3008">
        <f>SUM(E150:F150)</f>
        <v>0</v>
      </c>
      <c r="H150" s="3090"/>
      <c r="I150" s="3091"/>
    </row>
    <row r="151" spans="1:9" ht="15" x14ac:dyDescent="0.25">
      <c r="A151" s="2974"/>
      <c r="B151" s="2975"/>
      <c r="C151" s="2975"/>
      <c r="D151" s="2975"/>
      <c r="E151" s="2975"/>
      <c r="F151" s="2975"/>
      <c r="G151" s="2975"/>
      <c r="H151" s="2975"/>
      <c r="I151" s="2976"/>
    </row>
    <row r="152" spans="1:9" ht="12.75" customHeight="1" x14ac:dyDescent="0.2">
      <c r="A152" s="6102" t="s">
        <v>10</v>
      </c>
      <c r="B152" s="2949" t="s">
        <v>6</v>
      </c>
      <c r="C152" s="2950">
        <v>6</v>
      </c>
      <c r="D152" s="2951">
        <v>6</v>
      </c>
      <c r="E152" s="2950"/>
      <c r="F152" s="2951">
        <v>5</v>
      </c>
      <c r="G152" s="2950">
        <f>SUM(E152:F152)</f>
        <v>5</v>
      </c>
      <c r="H152" s="2952">
        <f>G152/D152</f>
        <v>0.83333333333333337</v>
      </c>
      <c r="I152" s="2953">
        <f>1-H152</f>
        <v>0.16666666666666663</v>
      </c>
    </row>
    <row r="153" spans="1:9" ht="12.75" customHeight="1" x14ac:dyDescent="0.2">
      <c r="A153" s="6103"/>
      <c r="B153" s="2954" t="s">
        <v>11</v>
      </c>
      <c r="C153" s="2955">
        <v>8</v>
      </c>
      <c r="D153" s="2956">
        <v>8</v>
      </c>
      <c r="E153" s="2955">
        <v>1</v>
      </c>
      <c r="F153" s="2956">
        <v>5</v>
      </c>
      <c r="G153" s="2955">
        <f>SUM(E153:F153)</f>
        <v>6</v>
      </c>
      <c r="H153" s="2957">
        <f>G153/D153</f>
        <v>0.75</v>
      </c>
      <c r="I153" s="2958">
        <f>1-H153</f>
        <v>0.25</v>
      </c>
    </row>
    <row r="154" spans="1:9" ht="12.75" customHeight="1" x14ac:dyDescent="0.2">
      <c r="A154" s="6103"/>
      <c r="B154" s="2959" t="s">
        <v>7</v>
      </c>
      <c r="C154" s="2960">
        <v>4</v>
      </c>
      <c r="D154" s="2961">
        <v>4</v>
      </c>
      <c r="E154" s="2960">
        <v>2</v>
      </c>
      <c r="F154" s="2961">
        <v>1</v>
      </c>
      <c r="G154" s="2960">
        <f>SUM(E154:F154)</f>
        <v>3</v>
      </c>
      <c r="H154" s="2962">
        <f>G154/D154</f>
        <v>0.75</v>
      </c>
      <c r="I154" s="2963">
        <f>1-H154</f>
        <v>0.25</v>
      </c>
    </row>
    <row r="155" spans="1:9" ht="12.75" customHeight="1" x14ac:dyDescent="0.2">
      <c r="A155" s="6104"/>
      <c r="B155" s="2964" t="s">
        <v>12</v>
      </c>
      <c r="C155" s="2965">
        <f>SUM(C152:C154)</f>
        <v>18</v>
      </c>
      <c r="D155" s="2966">
        <f>SUM(D152:D154)</f>
        <v>18</v>
      </c>
      <c r="E155" s="2965">
        <f>SUM(E152:E154)</f>
        <v>3</v>
      </c>
      <c r="F155" s="2966">
        <f>SUM(F152:F154)</f>
        <v>11</v>
      </c>
      <c r="G155" s="2965">
        <f>SUM(E155:F155)</f>
        <v>14</v>
      </c>
      <c r="H155" s="2967">
        <f>G155/D155</f>
        <v>0.77777777777777779</v>
      </c>
      <c r="I155" s="2968">
        <f>1-H155</f>
        <v>0.22222222222222221</v>
      </c>
    </row>
    <row r="156" spans="1:9" ht="15" x14ac:dyDescent="0.25">
      <c r="A156" s="2975"/>
      <c r="B156" s="2975"/>
      <c r="C156" s="2975"/>
      <c r="D156" s="2975"/>
      <c r="E156" s="2975"/>
      <c r="F156" s="2975"/>
      <c r="G156" s="2975"/>
      <c r="H156" s="2975"/>
      <c r="I156" s="2976"/>
    </row>
    <row r="157" spans="1:9" x14ac:dyDescent="0.2">
      <c r="A157" s="6119" t="s">
        <v>60</v>
      </c>
      <c r="B157" s="6119"/>
      <c r="C157" s="2965">
        <f>SUM(C135,C145,C155,C140,C150)</f>
        <v>76</v>
      </c>
      <c r="D157" s="2965">
        <f>SUM(D135,D145,D155,D140,D150)</f>
        <v>66</v>
      </c>
      <c r="E157" s="2965">
        <f>SUM(E135,E145,E155,E140,E150)</f>
        <v>15</v>
      </c>
      <c r="F157" s="2965">
        <f>SUM(F135,F145,F155,F140,F150)</f>
        <v>37</v>
      </c>
      <c r="G157" s="2965">
        <f>SUM(G135,G145,G155,G140,G150)</f>
        <v>52</v>
      </c>
      <c r="H157" s="2967">
        <f>G157/D157</f>
        <v>0.78787878787878785</v>
      </c>
      <c r="I157" s="2968">
        <f>1-H157</f>
        <v>0.21212121212121215</v>
      </c>
    </row>
    <row r="161" spans="1:9" ht="15" customHeight="1" x14ac:dyDescent="0.25">
      <c r="A161" s="6094" t="s">
        <v>51</v>
      </c>
      <c r="B161" s="6094" t="s">
        <v>685</v>
      </c>
      <c r="C161" s="6095" t="s">
        <v>1091</v>
      </c>
      <c r="D161" s="6095" t="s">
        <v>1081</v>
      </c>
      <c r="E161" s="6096" t="s">
        <v>1089</v>
      </c>
      <c r="F161" s="6097"/>
      <c r="G161" s="6097"/>
      <c r="H161" s="6098"/>
      <c r="I161" s="2946"/>
    </row>
    <row r="162" spans="1:9" ht="24" x14ac:dyDescent="0.2">
      <c r="A162" s="6094"/>
      <c r="B162" s="6094"/>
      <c r="C162" s="6095"/>
      <c r="D162" s="6095"/>
      <c r="E162" s="4761" t="s">
        <v>1491</v>
      </c>
      <c r="F162" s="3118" t="s">
        <v>1082</v>
      </c>
      <c r="G162" s="2983" t="s">
        <v>160</v>
      </c>
      <c r="H162" s="3118" t="s">
        <v>1083</v>
      </c>
      <c r="I162" s="3007" t="s">
        <v>1084</v>
      </c>
    </row>
    <row r="163" spans="1:9" x14ac:dyDescent="0.2">
      <c r="A163" s="2947"/>
      <c r="B163" s="2947"/>
      <c r="C163" s="2947"/>
      <c r="D163" s="2947"/>
      <c r="E163" s="2947"/>
      <c r="F163" s="2947"/>
      <c r="G163" s="2947"/>
      <c r="H163" s="2947"/>
      <c r="I163" s="2948"/>
    </row>
    <row r="164" spans="1:9" ht="12.75" customHeight="1" x14ac:dyDescent="0.2">
      <c r="A164" s="6113" t="s">
        <v>3</v>
      </c>
      <c r="B164" s="2949" t="s">
        <v>5</v>
      </c>
      <c r="C164" s="2950">
        <v>10</v>
      </c>
      <c r="D164" s="2951">
        <v>10</v>
      </c>
      <c r="E164" s="2950"/>
      <c r="F164" s="2951">
        <v>10</v>
      </c>
      <c r="G164" s="2950">
        <f>SUM(E164:F164)</f>
        <v>10</v>
      </c>
      <c r="H164" s="2952">
        <f>G164/D164</f>
        <v>1</v>
      </c>
      <c r="I164" s="2953">
        <f>1-H164</f>
        <v>0</v>
      </c>
    </row>
    <row r="165" spans="1:9" ht="12.75" customHeight="1" x14ac:dyDescent="0.2">
      <c r="A165" s="6114"/>
      <c r="B165" s="2954" t="s">
        <v>6</v>
      </c>
      <c r="C165" s="2955">
        <v>4</v>
      </c>
      <c r="D165" s="2956">
        <v>4</v>
      </c>
      <c r="E165" s="2955"/>
      <c r="F165" s="2956">
        <v>3</v>
      </c>
      <c r="G165" s="2955">
        <f>SUM(E165:F165)</f>
        <v>3</v>
      </c>
      <c r="H165" s="2957">
        <f>G165/D165</f>
        <v>0.75</v>
      </c>
      <c r="I165" s="2958">
        <f>1-H165</f>
        <v>0.25</v>
      </c>
    </row>
    <row r="166" spans="1:9" ht="12.75" customHeight="1" x14ac:dyDescent="0.2">
      <c r="A166" s="6114"/>
      <c r="B166" s="2959" t="s">
        <v>7</v>
      </c>
      <c r="C166" s="2960">
        <v>3</v>
      </c>
      <c r="D166" s="2961">
        <v>3</v>
      </c>
      <c r="E166" s="2960"/>
      <c r="F166" s="2961">
        <v>3</v>
      </c>
      <c r="G166" s="2960">
        <f>SUM(E166:F166)</f>
        <v>3</v>
      </c>
      <c r="H166" s="2962">
        <f>G166/D166</f>
        <v>1</v>
      </c>
      <c r="I166" s="2963">
        <f>1-H166</f>
        <v>0</v>
      </c>
    </row>
    <row r="167" spans="1:9" ht="12.75" customHeight="1" x14ac:dyDescent="0.2">
      <c r="A167" s="6115"/>
      <c r="B167" s="2964" t="s">
        <v>12</v>
      </c>
      <c r="C167" s="2965">
        <f>SUM(C164:C166)</f>
        <v>17</v>
      </c>
      <c r="D167" s="2966">
        <f>SUM(D164:D166)</f>
        <v>17</v>
      </c>
      <c r="E167" s="2965">
        <f>SUM(E164:E166)</f>
        <v>0</v>
      </c>
      <c r="F167" s="2966">
        <f>SUM(F164:F166)</f>
        <v>16</v>
      </c>
      <c r="G167" s="2965">
        <f>SUM(E167:F167)</f>
        <v>16</v>
      </c>
      <c r="H167" s="2967">
        <f>G167/D167</f>
        <v>0.94117647058823528</v>
      </c>
      <c r="I167" s="2968">
        <f>1-H167</f>
        <v>5.8823529411764719E-2</v>
      </c>
    </row>
    <row r="168" spans="1:9" ht="15" x14ac:dyDescent="0.25">
      <c r="A168" s="2969"/>
      <c r="B168" s="2969"/>
      <c r="C168" s="2969"/>
      <c r="D168" s="2969"/>
      <c r="E168" s="2969"/>
      <c r="F168" s="2969"/>
      <c r="G168" s="2969"/>
      <c r="H168" s="2969"/>
      <c r="I168" s="2969"/>
    </row>
    <row r="169" spans="1:9" ht="12.75" customHeight="1" x14ac:dyDescent="0.2">
      <c r="A169" s="6116" t="s">
        <v>8</v>
      </c>
      <c r="B169" s="2949" t="s">
        <v>6</v>
      </c>
      <c r="C169" s="2950">
        <v>4</v>
      </c>
      <c r="D169" s="2951">
        <v>2</v>
      </c>
      <c r="E169" s="2950"/>
      <c r="F169" s="2951"/>
      <c r="G169" s="2950">
        <f>SUM(E169:F169)</f>
        <v>0</v>
      </c>
      <c r="H169" s="2952">
        <f>G169/D169</f>
        <v>0</v>
      </c>
      <c r="I169" s="2953">
        <f>1-H169</f>
        <v>1</v>
      </c>
    </row>
    <row r="170" spans="1:9" ht="12.75" customHeight="1" x14ac:dyDescent="0.2">
      <c r="A170" s="6117"/>
      <c r="B170" s="2954" t="s">
        <v>9</v>
      </c>
      <c r="C170" s="2955">
        <v>3</v>
      </c>
      <c r="D170" s="2956">
        <v>1</v>
      </c>
      <c r="E170" s="2955"/>
      <c r="F170" s="2956"/>
      <c r="G170" s="2955">
        <f>SUM(E170:F170)</f>
        <v>0</v>
      </c>
      <c r="H170" s="2957">
        <f>G170/D170</f>
        <v>0</v>
      </c>
      <c r="I170" s="2958">
        <f>1-H170</f>
        <v>1</v>
      </c>
    </row>
    <row r="171" spans="1:9" ht="12.75" customHeight="1" x14ac:dyDescent="0.2">
      <c r="A171" s="6117"/>
      <c r="B171" s="2959" t="s">
        <v>74</v>
      </c>
      <c r="C171" s="2960">
        <v>4</v>
      </c>
      <c r="D171" s="2961">
        <v>2</v>
      </c>
      <c r="E171" s="2960">
        <v>1</v>
      </c>
      <c r="F171" s="2961"/>
      <c r="G171" s="2960">
        <f>SUM(E171:F171)</f>
        <v>1</v>
      </c>
      <c r="H171" s="2962">
        <f>G171/D171</f>
        <v>0.5</v>
      </c>
      <c r="I171" s="2963">
        <f>1-H171</f>
        <v>0.5</v>
      </c>
    </row>
    <row r="172" spans="1:9" ht="12.75" customHeight="1" x14ac:dyDescent="0.2">
      <c r="A172" s="6118"/>
      <c r="B172" s="2964" t="s">
        <v>12</v>
      </c>
      <c r="C172" s="2965">
        <f>SUM(C169:C171)</f>
        <v>11</v>
      </c>
      <c r="D172" s="2966">
        <f>SUM(D169:D171)</f>
        <v>5</v>
      </c>
      <c r="E172" s="2965">
        <f>SUM(E169:E171)</f>
        <v>1</v>
      </c>
      <c r="F172" s="2966">
        <f>SUM(F169:F171)</f>
        <v>0</v>
      </c>
      <c r="G172" s="2965">
        <f>SUM(E172:F172)</f>
        <v>1</v>
      </c>
      <c r="H172" s="2967">
        <f>G172/D172</f>
        <v>0.2</v>
      </c>
      <c r="I172" s="2968">
        <f>1-H172</f>
        <v>0.8</v>
      </c>
    </row>
    <row r="173" spans="1:9" ht="15" x14ac:dyDescent="0.25">
      <c r="A173" s="2970"/>
      <c r="B173" s="2971"/>
      <c r="C173" s="2971"/>
      <c r="D173" s="2971"/>
      <c r="E173" s="2971"/>
      <c r="F173" s="2975"/>
      <c r="G173" s="2975"/>
      <c r="H173" s="2975"/>
      <c r="I173" s="2976"/>
    </row>
    <row r="174" spans="1:9" ht="12.75" customHeight="1" x14ac:dyDescent="0.2">
      <c r="A174" s="6107" t="s">
        <v>75</v>
      </c>
      <c r="B174" s="2949" t="s">
        <v>5</v>
      </c>
      <c r="C174" s="2950">
        <v>9</v>
      </c>
      <c r="D174" s="2951">
        <v>9</v>
      </c>
      <c r="E174" s="2950">
        <v>3</v>
      </c>
      <c r="F174" s="2951">
        <v>5</v>
      </c>
      <c r="G174" s="2950">
        <f>SUM(E174:F174)</f>
        <v>8</v>
      </c>
      <c r="H174" s="2952">
        <f>G174/D174</f>
        <v>0.88888888888888884</v>
      </c>
      <c r="I174" s="2953">
        <f>1-H174</f>
        <v>0.11111111111111116</v>
      </c>
    </row>
    <row r="175" spans="1:9" ht="12.75" customHeight="1" x14ac:dyDescent="0.2">
      <c r="A175" s="6108"/>
      <c r="B175" s="2954" t="s">
        <v>6</v>
      </c>
      <c r="C175" s="2955">
        <v>11</v>
      </c>
      <c r="D175" s="2956">
        <v>11</v>
      </c>
      <c r="E175" s="2955">
        <v>6</v>
      </c>
      <c r="F175" s="2956">
        <v>3</v>
      </c>
      <c r="G175" s="2955">
        <f>SUM(E175:F175)</f>
        <v>9</v>
      </c>
      <c r="H175" s="2957">
        <f>G175/D175</f>
        <v>0.81818181818181823</v>
      </c>
      <c r="I175" s="2958">
        <f>1-H175</f>
        <v>0.18181818181818177</v>
      </c>
    </row>
    <row r="176" spans="1:9" ht="12.75" customHeight="1" x14ac:dyDescent="0.2">
      <c r="A176" s="6108"/>
      <c r="B176" s="2959" t="s">
        <v>11</v>
      </c>
      <c r="C176" s="2960">
        <v>6</v>
      </c>
      <c r="D176" s="2961">
        <v>6</v>
      </c>
      <c r="E176" s="2960">
        <v>3</v>
      </c>
      <c r="F176" s="2961">
        <v>2</v>
      </c>
      <c r="G176" s="2960">
        <f>SUM(E176:F176)</f>
        <v>5</v>
      </c>
      <c r="H176" s="2962">
        <f>G176/D176</f>
        <v>0.83333333333333337</v>
      </c>
      <c r="I176" s="2963">
        <f>1-H176</f>
        <v>0.16666666666666663</v>
      </c>
    </row>
    <row r="177" spans="1:9" ht="12.75" customHeight="1" x14ac:dyDescent="0.2">
      <c r="A177" s="6109"/>
      <c r="B177" s="2964" t="s">
        <v>12</v>
      </c>
      <c r="C177" s="2965">
        <f>SUM(C174:C176)</f>
        <v>26</v>
      </c>
      <c r="D177" s="2966">
        <f>SUM(D174:D176)</f>
        <v>26</v>
      </c>
      <c r="E177" s="2965">
        <f>SUM(E174:E176)</f>
        <v>12</v>
      </c>
      <c r="F177" s="2966">
        <f>SUM(F174:F176)</f>
        <v>10</v>
      </c>
      <c r="G177" s="2965">
        <f>SUM(E177:F177)</f>
        <v>22</v>
      </c>
      <c r="H177" s="2967">
        <f>G177/D177</f>
        <v>0.84615384615384615</v>
      </c>
      <c r="I177" s="2968">
        <f>1-H177</f>
        <v>0.15384615384615385</v>
      </c>
    </row>
    <row r="178" spans="1:9" ht="15" customHeight="1" x14ac:dyDescent="0.25">
      <c r="A178" s="2972"/>
      <c r="B178" s="2973"/>
      <c r="C178" s="2971"/>
      <c r="D178" s="2971"/>
      <c r="E178" s="2971"/>
      <c r="F178" s="2975"/>
      <c r="G178" s="2975"/>
      <c r="H178" s="2975"/>
      <c r="I178" s="2976"/>
    </row>
    <row r="179" spans="1:9" ht="12.75" customHeight="1" x14ac:dyDescent="0.2">
      <c r="A179" s="6099" t="s">
        <v>325</v>
      </c>
      <c r="B179" s="2949" t="s">
        <v>5</v>
      </c>
      <c r="C179" s="2950">
        <v>1</v>
      </c>
      <c r="D179" s="2951"/>
      <c r="E179" s="2950"/>
      <c r="F179" s="2951"/>
      <c r="G179" s="2950">
        <f>SUM(E179:F179)</f>
        <v>0</v>
      </c>
      <c r="H179" s="2952"/>
      <c r="I179" s="2953"/>
    </row>
    <row r="180" spans="1:9" ht="12.75" customHeight="1" x14ac:dyDescent="0.2">
      <c r="A180" s="6100"/>
      <c r="B180" s="2954" t="s">
        <v>6</v>
      </c>
      <c r="C180" s="2955">
        <v>1</v>
      </c>
      <c r="D180" s="2956"/>
      <c r="E180" s="2955"/>
      <c r="F180" s="2956"/>
      <c r="G180" s="2955">
        <f>SUM(E180:F180)</f>
        <v>0</v>
      </c>
      <c r="H180" s="2957"/>
      <c r="I180" s="2958"/>
    </row>
    <row r="181" spans="1:9" ht="12.75" customHeight="1" x14ac:dyDescent="0.2">
      <c r="A181" s="6100"/>
      <c r="B181" s="2959" t="s">
        <v>11</v>
      </c>
      <c r="C181" s="2960">
        <v>1</v>
      </c>
      <c r="D181" s="2961"/>
      <c r="E181" s="2960"/>
      <c r="F181" s="2961"/>
      <c r="G181" s="2960">
        <f>SUM(E181:F181)</f>
        <v>0</v>
      </c>
      <c r="H181" s="2962"/>
      <c r="I181" s="2963"/>
    </row>
    <row r="182" spans="1:9" ht="12.75" customHeight="1" x14ac:dyDescent="0.2">
      <c r="A182" s="6101"/>
      <c r="B182" s="2964" t="s">
        <v>12</v>
      </c>
      <c r="C182" s="2965">
        <f>SUM(C179:C181)</f>
        <v>3</v>
      </c>
      <c r="D182" s="2966">
        <f>SUM(D179:D181)</f>
        <v>0</v>
      </c>
      <c r="E182" s="2965">
        <f>SUM(E179:E181)</f>
        <v>0</v>
      </c>
      <c r="F182" s="2966">
        <f>SUM(F179:F181)</f>
        <v>0</v>
      </c>
      <c r="G182" s="2965">
        <f>SUM(E182:F182)</f>
        <v>0</v>
      </c>
      <c r="H182" s="2967"/>
      <c r="I182" s="2968"/>
    </row>
    <row r="183" spans="1:9" ht="15" x14ac:dyDescent="0.25">
      <c r="A183" s="2974"/>
      <c r="B183" s="2975"/>
      <c r="C183" s="2975"/>
      <c r="D183" s="2975"/>
      <c r="E183" s="2975"/>
      <c r="F183" s="2975"/>
      <c r="G183" s="2975"/>
      <c r="H183" s="2975"/>
      <c r="I183" s="2976"/>
    </row>
    <row r="184" spans="1:9" ht="12.75" customHeight="1" x14ac:dyDescent="0.2">
      <c r="A184" s="6102" t="s">
        <v>10</v>
      </c>
      <c r="B184" s="2949" t="s">
        <v>6</v>
      </c>
      <c r="C184" s="2950">
        <v>6</v>
      </c>
      <c r="D184" s="2951">
        <v>6</v>
      </c>
      <c r="E184" s="2950"/>
      <c r="F184" s="2951">
        <v>6</v>
      </c>
      <c r="G184" s="2950">
        <f>SUM(E184:F184)</f>
        <v>6</v>
      </c>
      <c r="H184" s="2952">
        <f>G184/D184</f>
        <v>1</v>
      </c>
      <c r="I184" s="2953">
        <f>1-H184</f>
        <v>0</v>
      </c>
    </row>
    <row r="185" spans="1:9" ht="12.75" customHeight="1" x14ac:dyDescent="0.2">
      <c r="A185" s="6103"/>
      <c r="B185" s="2954" t="s">
        <v>11</v>
      </c>
      <c r="C185" s="2955">
        <v>8</v>
      </c>
      <c r="D185" s="2956">
        <v>8</v>
      </c>
      <c r="E185" s="2955">
        <v>1</v>
      </c>
      <c r="F185" s="2956">
        <v>5</v>
      </c>
      <c r="G185" s="2955">
        <f>SUM(E185:F185)</f>
        <v>6</v>
      </c>
      <c r="H185" s="2957">
        <f>G185/D185</f>
        <v>0.75</v>
      </c>
      <c r="I185" s="2958">
        <f>1-H185</f>
        <v>0.25</v>
      </c>
    </row>
    <row r="186" spans="1:9" ht="12.75" customHeight="1" x14ac:dyDescent="0.2">
      <c r="A186" s="6103"/>
      <c r="B186" s="2959" t="s">
        <v>7</v>
      </c>
      <c r="C186" s="2960">
        <v>4</v>
      </c>
      <c r="D186" s="2961">
        <v>4</v>
      </c>
      <c r="E186" s="2960">
        <v>2</v>
      </c>
      <c r="F186" s="2961">
        <v>1</v>
      </c>
      <c r="G186" s="2960">
        <f>SUM(E186:F186)</f>
        <v>3</v>
      </c>
      <c r="H186" s="2962">
        <f>G186/D186</f>
        <v>0.75</v>
      </c>
      <c r="I186" s="2963">
        <f>1-H186</f>
        <v>0.25</v>
      </c>
    </row>
    <row r="187" spans="1:9" ht="12.75" customHeight="1" x14ac:dyDescent="0.2">
      <c r="A187" s="6104"/>
      <c r="B187" s="2964" t="s">
        <v>12</v>
      </c>
      <c r="C187" s="2965">
        <f>SUM(C184:C186)</f>
        <v>18</v>
      </c>
      <c r="D187" s="2966">
        <f>SUM(D184:D186)</f>
        <v>18</v>
      </c>
      <c r="E187" s="2965">
        <f>SUM(E184:E186)</f>
        <v>3</v>
      </c>
      <c r="F187" s="2966">
        <f>SUM(F184:F186)</f>
        <v>12</v>
      </c>
      <c r="G187" s="2965">
        <f>SUM(E187:F187)</f>
        <v>15</v>
      </c>
      <c r="H187" s="2967">
        <f>G187/D187</f>
        <v>0.83333333333333337</v>
      </c>
      <c r="I187" s="2968">
        <f>1-H187</f>
        <v>0.16666666666666663</v>
      </c>
    </row>
    <row r="188" spans="1:9" ht="15" x14ac:dyDescent="0.25">
      <c r="A188" s="2975"/>
      <c r="B188" s="2975"/>
      <c r="C188" s="2975"/>
      <c r="D188" s="2975"/>
      <c r="E188" s="2975"/>
      <c r="F188" s="2975"/>
      <c r="G188" s="2975"/>
      <c r="H188" s="2975"/>
      <c r="I188" s="2976"/>
    </row>
    <row r="189" spans="1:9" x14ac:dyDescent="0.2">
      <c r="A189" s="6105" t="s">
        <v>60</v>
      </c>
      <c r="B189" s="6106"/>
      <c r="C189" s="3008">
        <f>SUM(C167,C177,C187,C172,C182)</f>
        <v>75</v>
      </c>
      <c r="D189" s="3008">
        <f>SUM(D167,D177,D187,D172,D182)</f>
        <v>66</v>
      </c>
      <c r="E189" s="3008">
        <f>SUM(E167,E177,E187,E172,E182)</f>
        <v>16</v>
      </c>
      <c r="F189" s="3008">
        <f>SUM(F167,F177,F187,F172,F182)</f>
        <v>38</v>
      </c>
      <c r="G189" s="3008">
        <f>SUM(G167,G177,G187,G172,G182)</f>
        <v>54</v>
      </c>
      <c r="H189" s="3090">
        <f>G189/D189</f>
        <v>0.81818181818181823</v>
      </c>
      <c r="I189" s="3091">
        <f>1-H189</f>
        <v>0.18181818181818177</v>
      </c>
    </row>
    <row r="193" spans="1:8" ht="12.75" customHeight="1" x14ac:dyDescent="0.25">
      <c r="A193" s="6094" t="s">
        <v>51</v>
      </c>
      <c r="B193" s="6094" t="s">
        <v>685</v>
      </c>
      <c r="C193" s="6095" t="s">
        <v>1091</v>
      </c>
      <c r="D193" s="6095" t="s">
        <v>1081</v>
      </c>
      <c r="E193" s="6096" t="s">
        <v>1092</v>
      </c>
      <c r="F193" s="6097"/>
      <c r="G193" s="6097"/>
      <c r="H193" s="6098"/>
    </row>
    <row r="194" spans="1:8" ht="15" x14ac:dyDescent="0.2">
      <c r="A194" s="6094"/>
      <c r="B194" s="6094"/>
      <c r="C194" s="6095"/>
      <c r="D194" s="6095"/>
      <c r="E194" s="4761" t="s">
        <v>1491</v>
      </c>
      <c r="F194" s="3118" t="s">
        <v>1082</v>
      </c>
      <c r="G194" s="2983" t="s">
        <v>160</v>
      </c>
      <c r="H194" s="3118" t="s">
        <v>1083</v>
      </c>
    </row>
    <row r="195" spans="1:8" x14ac:dyDescent="0.2">
      <c r="A195" s="2947"/>
      <c r="B195" s="2947"/>
      <c r="C195" s="2947"/>
      <c r="D195" s="2947"/>
      <c r="E195" s="2947"/>
      <c r="F195" s="2947"/>
      <c r="G195" s="2947"/>
      <c r="H195" s="2947"/>
    </row>
    <row r="196" spans="1:8" x14ac:dyDescent="0.2">
      <c r="A196" s="6113" t="s">
        <v>3</v>
      </c>
      <c r="B196" s="2949" t="s">
        <v>5</v>
      </c>
      <c r="C196" s="2950">
        <v>10</v>
      </c>
      <c r="D196" s="2951">
        <v>10</v>
      </c>
      <c r="E196" s="2950"/>
      <c r="F196" s="2951">
        <v>10</v>
      </c>
      <c r="G196" s="2950">
        <f>SUM(E196:F196)</f>
        <v>10</v>
      </c>
      <c r="H196" s="2952">
        <f>G196/D196</f>
        <v>1</v>
      </c>
    </row>
    <row r="197" spans="1:8" x14ac:dyDescent="0.2">
      <c r="A197" s="6114"/>
      <c r="B197" s="2954" t="s">
        <v>6</v>
      </c>
      <c r="C197" s="2955">
        <v>4</v>
      </c>
      <c r="D197" s="2956">
        <v>4</v>
      </c>
      <c r="E197" s="2955"/>
      <c r="F197" s="2956">
        <v>2</v>
      </c>
      <c r="G197" s="2955">
        <f>SUM(E197:F197)</f>
        <v>2</v>
      </c>
      <c r="H197" s="2957">
        <f>G197/D197</f>
        <v>0.5</v>
      </c>
    </row>
    <row r="198" spans="1:8" x14ac:dyDescent="0.2">
      <c r="A198" s="6114"/>
      <c r="B198" s="2959" t="s">
        <v>7</v>
      </c>
      <c r="C198" s="2960">
        <v>3</v>
      </c>
      <c r="D198" s="2961">
        <v>3</v>
      </c>
      <c r="E198" s="2960"/>
      <c r="F198" s="2961">
        <v>3</v>
      </c>
      <c r="G198" s="2960">
        <f>SUM(E198:F198)</f>
        <v>3</v>
      </c>
      <c r="H198" s="2962">
        <f>G198/D198</f>
        <v>1</v>
      </c>
    </row>
    <row r="199" spans="1:8" x14ac:dyDescent="0.2">
      <c r="A199" s="6115"/>
      <c r="B199" s="2964" t="s">
        <v>12</v>
      </c>
      <c r="C199" s="2965">
        <f>SUM(C196:C198)</f>
        <v>17</v>
      </c>
      <c r="D199" s="2966">
        <f>SUM(D196:D198)</f>
        <v>17</v>
      </c>
      <c r="E199" s="2965">
        <f>SUM(E196:E198)</f>
        <v>0</v>
      </c>
      <c r="F199" s="2966">
        <f>SUM(F196:F198)</f>
        <v>15</v>
      </c>
      <c r="G199" s="2965">
        <f>SUM(E199:F199)</f>
        <v>15</v>
      </c>
      <c r="H199" s="2967">
        <f>G199/D199</f>
        <v>0.88235294117647056</v>
      </c>
    </row>
    <row r="200" spans="1:8" ht="15" x14ac:dyDescent="0.25">
      <c r="A200" s="2970"/>
      <c r="B200" s="2971"/>
      <c r="C200" s="2971"/>
      <c r="D200" s="2971"/>
      <c r="E200" s="2971"/>
      <c r="F200" s="2975"/>
      <c r="G200" s="2975"/>
      <c r="H200" s="2975"/>
    </row>
    <row r="201" spans="1:8" x14ac:dyDescent="0.2">
      <c r="A201" s="6107" t="s">
        <v>75</v>
      </c>
      <c r="B201" s="2949" t="s">
        <v>5</v>
      </c>
      <c r="C201" s="3094">
        <v>9</v>
      </c>
      <c r="D201" s="3095">
        <v>9</v>
      </c>
      <c r="E201" s="3094">
        <v>3</v>
      </c>
      <c r="F201" s="3095">
        <v>5</v>
      </c>
      <c r="G201" s="3094">
        <f>SUM(E201:F201)</f>
        <v>8</v>
      </c>
      <c r="H201" s="3096">
        <f>G201/D201</f>
        <v>0.88888888888888884</v>
      </c>
    </row>
    <row r="202" spans="1:8" x14ac:dyDescent="0.2">
      <c r="A202" s="6108"/>
      <c r="B202" s="2954" t="s">
        <v>6</v>
      </c>
      <c r="C202" s="2955">
        <v>11</v>
      </c>
      <c r="D202" s="2956">
        <v>11</v>
      </c>
      <c r="E202" s="2955">
        <v>6</v>
      </c>
      <c r="F202" s="2956">
        <v>2</v>
      </c>
      <c r="G202" s="2955">
        <f t="shared" ref="G202:G219" si="7">SUM(E202:F202)</f>
        <v>8</v>
      </c>
      <c r="H202" s="2957">
        <f>G202/D202</f>
        <v>0.72727272727272729</v>
      </c>
    </row>
    <row r="203" spans="1:8" ht="15" customHeight="1" x14ac:dyDescent="0.2">
      <c r="A203" s="6108"/>
      <c r="B203" s="2959" t="s">
        <v>11</v>
      </c>
      <c r="C203" s="2960">
        <v>6</v>
      </c>
      <c r="D203" s="2961">
        <v>6</v>
      </c>
      <c r="E203" s="2960">
        <v>2</v>
      </c>
      <c r="F203" s="2961">
        <v>1</v>
      </c>
      <c r="G203" s="2960">
        <f t="shared" si="7"/>
        <v>3</v>
      </c>
      <c r="H203" s="2962">
        <f>G203/D203</f>
        <v>0.5</v>
      </c>
    </row>
    <row r="204" spans="1:8" x14ac:dyDescent="0.2">
      <c r="A204" s="6109"/>
      <c r="B204" s="2964" t="s">
        <v>12</v>
      </c>
      <c r="C204" s="2965">
        <f>SUM(C201:C203)</f>
        <v>26</v>
      </c>
      <c r="D204" s="2966">
        <f>SUM(D201:D203)</f>
        <v>26</v>
      </c>
      <c r="E204" s="2965">
        <f>SUM(E201:E203)</f>
        <v>11</v>
      </c>
      <c r="F204" s="2966">
        <f>SUM(F201:F203)</f>
        <v>8</v>
      </c>
      <c r="G204" s="2965">
        <f t="shared" si="7"/>
        <v>19</v>
      </c>
      <c r="H204" s="2967">
        <f>G204/D204</f>
        <v>0.73076923076923073</v>
      </c>
    </row>
    <row r="205" spans="1:8" ht="15" x14ac:dyDescent="0.25">
      <c r="A205" s="2972"/>
      <c r="B205" s="2973"/>
      <c r="C205" s="2971"/>
      <c r="D205" s="2971"/>
      <c r="E205" s="2971"/>
      <c r="F205" s="2975"/>
      <c r="G205" s="2975"/>
      <c r="H205" s="2975"/>
    </row>
    <row r="206" spans="1:8" x14ac:dyDescent="0.2">
      <c r="A206" s="6102" t="s">
        <v>10</v>
      </c>
      <c r="B206" s="2949" t="s">
        <v>6</v>
      </c>
      <c r="C206" s="2950">
        <v>6</v>
      </c>
      <c r="D206" s="2951">
        <v>6</v>
      </c>
      <c r="E206" s="2950">
        <v>1</v>
      </c>
      <c r="F206" s="2951">
        <v>5</v>
      </c>
      <c r="G206" s="2950">
        <f t="shared" si="7"/>
        <v>6</v>
      </c>
      <c r="H206" s="2952">
        <f>G206/D206</f>
        <v>1</v>
      </c>
    </row>
    <row r="207" spans="1:8" x14ac:dyDescent="0.2">
      <c r="A207" s="6103"/>
      <c r="B207" s="2954" t="s">
        <v>11</v>
      </c>
      <c r="C207" s="2955">
        <v>8</v>
      </c>
      <c r="D207" s="2956">
        <v>8</v>
      </c>
      <c r="E207" s="2955"/>
      <c r="F207" s="2956">
        <v>6</v>
      </c>
      <c r="G207" s="2955">
        <f t="shared" si="7"/>
        <v>6</v>
      </c>
      <c r="H207" s="2957">
        <f>G207/D207</f>
        <v>0.75</v>
      </c>
    </row>
    <row r="208" spans="1:8" x14ac:dyDescent="0.2">
      <c r="A208" s="6103"/>
      <c r="B208" s="2959" t="s">
        <v>7</v>
      </c>
      <c r="C208" s="2960">
        <v>4</v>
      </c>
      <c r="D208" s="2961">
        <v>4</v>
      </c>
      <c r="E208" s="2960">
        <v>1</v>
      </c>
      <c r="F208" s="2961">
        <v>2</v>
      </c>
      <c r="G208" s="2960">
        <f t="shared" si="7"/>
        <v>3</v>
      </c>
      <c r="H208" s="2962">
        <f>G208/D208</f>
        <v>0.75</v>
      </c>
    </row>
    <row r="209" spans="1:8" ht="15" customHeight="1" x14ac:dyDescent="0.2">
      <c r="A209" s="6104"/>
      <c r="B209" s="2964" t="s">
        <v>12</v>
      </c>
      <c r="C209" s="2965">
        <f>SUM(C206:C208)</f>
        <v>18</v>
      </c>
      <c r="D209" s="2966">
        <f>SUM(D206:D208)</f>
        <v>18</v>
      </c>
      <c r="E209" s="2965">
        <f>SUM(E206:E208)</f>
        <v>2</v>
      </c>
      <c r="F209" s="2966">
        <f>SUM(F206:F208)</f>
        <v>13</v>
      </c>
      <c r="G209" s="2965">
        <f t="shared" si="7"/>
        <v>15</v>
      </c>
      <c r="H209" s="2967">
        <f>G209/D209</f>
        <v>0.83333333333333337</v>
      </c>
    </row>
    <row r="210" spans="1:8" ht="15" x14ac:dyDescent="0.25">
      <c r="A210" s="2974"/>
      <c r="B210" s="2975"/>
      <c r="C210" s="2975"/>
      <c r="D210" s="2975"/>
      <c r="E210" s="2975"/>
      <c r="F210" s="2975"/>
      <c r="G210" s="2975"/>
      <c r="H210" s="2975"/>
    </row>
    <row r="211" spans="1:8" x14ac:dyDescent="0.2">
      <c r="A211" s="6116" t="s">
        <v>8</v>
      </c>
      <c r="B211" s="2949" t="s">
        <v>6</v>
      </c>
      <c r="C211" s="2950">
        <v>4</v>
      </c>
      <c r="D211" s="2951"/>
      <c r="E211" s="2950"/>
      <c r="F211" s="2951"/>
      <c r="G211" s="2950">
        <f t="shared" si="7"/>
        <v>0</v>
      </c>
      <c r="H211" s="2952"/>
    </row>
    <row r="212" spans="1:8" x14ac:dyDescent="0.2">
      <c r="A212" s="6117"/>
      <c r="B212" s="2954" t="s">
        <v>9</v>
      </c>
      <c r="C212" s="2955">
        <v>3</v>
      </c>
      <c r="D212" s="2956"/>
      <c r="E212" s="2955"/>
      <c r="F212" s="2956"/>
      <c r="G212" s="2955">
        <f t="shared" si="7"/>
        <v>0</v>
      </c>
      <c r="H212" s="2957"/>
    </row>
    <row r="213" spans="1:8" x14ac:dyDescent="0.2">
      <c r="A213" s="6117"/>
      <c r="B213" s="2959" t="s">
        <v>74</v>
      </c>
      <c r="C213" s="2960">
        <v>4</v>
      </c>
      <c r="D213" s="2961"/>
      <c r="E213" s="2960"/>
      <c r="F213" s="2961"/>
      <c r="G213" s="2960">
        <f t="shared" si="7"/>
        <v>0</v>
      </c>
      <c r="H213" s="2962"/>
    </row>
    <row r="214" spans="1:8" x14ac:dyDescent="0.2">
      <c r="A214" s="6118"/>
      <c r="B214" s="2964" t="s">
        <v>12</v>
      </c>
      <c r="C214" s="2965">
        <f>SUM(C211:C213)</f>
        <v>11</v>
      </c>
      <c r="D214" s="2966">
        <f>SUM(D211:D213)</f>
        <v>0</v>
      </c>
      <c r="E214" s="2965">
        <f>SUM(E211:E213)</f>
        <v>0</v>
      </c>
      <c r="F214" s="2966">
        <f>SUM(F211:F213)</f>
        <v>0</v>
      </c>
      <c r="G214" s="2965">
        <f t="shared" si="7"/>
        <v>0</v>
      </c>
      <c r="H214" s="2967"/>
    </row>
    <row r="215" spans="1:8" ht="15" x14ac:dyDescent="0.25">
      <c r="A215" s="3009"/>
      <c r="B215" s="2975"/>
      <c r="C215" s="2975"/>
      <c r="D215" s="2975"/>
      <c r="E215" s="2975"/>
      <c r="F215" s="2975"/>
      <c r="G215" s="2975"/>
      <c r="H215" s="2975"/>
    </row>
    <row r="216" spans="1:8" x14ac:dyDescent="0.2">
      <c r="A216" s="6099" t="s">
        <v>325</v>
      </c>
      <c r="B216" s="2949" t="s">
        <v>5</v>
      </c>
      <c r="C216" s="2950">
        <v>1</v>
      </c>
      <c r="D216" s="2951"/>
      <c r="E216" s="2950"/>
      <c r="F216" s="2951"/>
      <c r="G216" s="2950">
        <f t="shared" si="7"/>
        <v>0</v>
      </c>
      <c r="H216" s="2952"/>
    </row>
    <row r="217" spans="1:8" ht="15" customHeight="1" x14ac:dyDescent="0.2">
      <c r="A217" s="6100"/>
      <c r="B217" s="2954" t="s">
        <v>6</v>
      </c>
      <c r="C217" s="2955">
        <v>1</v>
      </c>
      <c r="D217" s="2956"/>
      <c r="E217" s="2955"/>
      <c r="F217" s="2956"/>
      <c r="G217" s="2955">
        <f t="shared" si="7"/>
        <v>0</v>
      </c>
      <c r="H217" s="2957"/>
    </row>
    <row r="218" spans="1:8" x14ac:dyDescent="0.2">
      <c r="A218" s="6100"/>
      <c r="B218" s="2959" t="s">
        <v>11</v>
      </c>
      <c r="C218" s="2960">
        <v>1</v>
      </c>
      <c r="D218" s="2961"/>
      <c r="E218" s="2960"/>
      <c r="F218" s="2961"/>
      <c r="G218" s="2960">
        <f t="shared" si="7"/>
        <v>0</v>
      </c>
      <c r="H218" s="2962"/>
    </row>
    <row r="219" spans="1:8" x14ac:dyDescent="0.2">
      <c r="A219" s="6101"/>
      <c r="B219" s="2964" t="s">
        <v>12</v>
      </c>
      <c r="C219" s="2965">
        <f>SUM(C216:C218)</f>
        <v>3</v>
      </c>
      <c r="D219" s="2966">
        <f>SUM(D216:D218)</f>
        <v>0</v>
      </c>
      <c r="E219" s="2965">
        <f>SUM(E216:E218)</f>
        <v>0</v>
      </c>
      <c r="F219" s="2966">
        <f>SUM(F216:F218)</f>
        <v>0</v>
      </c>
      <c r="G219" s="2965">
        <f t="shared" si="7"/>
        <v>0</v>
      </c>
      <c r="H219" s="2967"/>
    </row>
    <row r="220" spans="1:8" ht="15" x14ac:dyDescent="0.25">
      <c r="A220" s="2975"/>
      <c r="B220" s="2975"/>
      <c r="C220" s="2975"/>
      <c r="D220" s="2975"/>
      <c r="E220" s="2975"/>
      <c r="F220" s="2975"/>
      <c r="G220" s="2975"/>
      <c r="H220" s="2975"/>
    </row>
    <row r="221" spans="1:8" ht="12.75" customHeight="1" x14ac:dyDescent="0.2">
      <c r="A221" s="6119" t="s">
        <v>60</v>
      </c>
      <c r="B221" s="6119"/>
      <c r="C221" s="2965">
        <f>SUM(C199,C204,C209,C214,C219)</f>
        <v>75</v>
      </c>
      <c r="D221" s="2965">
        <f>SUM(D199,D204,D209,D214,D219)</f>
        <v>61</v>
      </c>
      <c r="E221" s="2965">
        <f>SUM(E199,E204,E209,E214,E219)</f>
        <v>13</v>
      </c>
      <c r="F221" s="2965">
        <f>SUM(F199,F204,F209,F214,F219)</f>
        <v>36</v>
      </c>
      <c r="G221" s="2965">
        <f>SUM(G199,G204,G209,G214,G219)</f>
        <v>49</v>
      </c>
      <c r="H221" s="2967">
        <f>G221/D221</f>
        <v>0.80327868852459017</v>
      </c>
    </row>
    <row r="225" spans="1:6" x14ac:dyDescent="0.2">
      <c r="A225" s="6094" t="s">
        <v>51</v>
      </c>
      <c r="B225" s="6094" t="s">
        <v>685</v>
      </c>
      <c r="C225" s="6095" t="s">
        <v>1091</v>
      </c>
      <c r="D225" s="6095" t="s">
        <v>1081</v>
      </c>
      <c r="E225" s="6111" t="s">
        <v>1093</v>
      </c>
      <c r="F225" s="6112"/>
    </row>
    <row r="226" spans="1:6" ht="36" x14ac:dyDescent="0.2">
      <c r="A226" s="6094"/>
      <c r="B226" s="6094"/>
      <c r="C226" s="6095"/>
      <c r="D226" s="6095"/>
      <c r="E226" s="5235" t="s">
        <v>1622</v>
      </c>
      <c r="F226" s="3010" t="s">
        <v>1083</v>
      </c>
    </row>
    <row r="227" spans="1:6" ht="12.75" customHeight="1" x14ac:dyDescent="0.2">
      <c r="A227" s="3011"/>
      <c r="B227" s="3011"/>
      <c r="C227" s="3011"/>
      <c r="D227" s="3011"/>
      <c r="E227" s="3011"/>
      <c r="F227" s="3011"/>
    </row>
    <row r="228" spans="1:6" x14ac:dyDescent="0.2">
      <c r="A228" s="6091" t="s">
        <v>3</v>
      </c>
      <c r="B228" s="3012" t="s">
        <v>5</v>
      </c>
      <c r="C228" s="3013">
        <v>10</v>
      </c>
      <c r="D228" s="3012">
        <v>10</v>
      </c>
      <c r="E228" s="3013">
        <v>10</v>
      </c>
      <c r="F228" s="3014">
        <f>E228/D228</f>
        <v>1</v>
      </c>
    </row>
    <row r="229" spans="1:6" x14ac:dyDescent="0.2">
      <c r="A229" s="6092"/>
      <c r="B229" s="3015" t="s">
        <v>6</v>
      </c>
      <c r="C229" s="3016">
        <v>4</v>
      </c>
      <c r="D229" s="3015">
        <v>4</v>
      </c>
      <c r="E229" s="3016">
        <v>2</v>
      </c>
      <c r="F229" s="3017">
        <f>E229/D229</f>
        <v>0.5</v>
      </c>
    </row>
    <row r="230" spans="1:6" x14ac:dyDescent="0.2">
      <c r="A230" s="6092"/>
      <c r="B230" s="3018" t="s">
        <v>7</v>
      </c>
      <c r="C230" s="3019">
        <v>3</v>
      </c>
      <c r="D230" s="3018">
        <v>3</v>
      </c>
      <c r="E230" s="3019">
        <v>3</v>
      </c>
      <c r="F230" s="3020">
        <f>E230/D230</f>
        <v>1</v>
      </c>
    </row>
    <row r="231" spans="1:6" x14ac:dyDescent="0.2">
      <c r="A231" s="6093"/>
      <c r="B231" s="3021" t="s">
        <v>12</v>
      </c>
      <c r="C231" s="3022">
        <f>SUM(C228:C230)</f>
        <v>17</v>
      </c>
      <c r="D231" s="3021">
        <f>SUM(D228:D230)</f>
        <v>17</v>
      </c>
      <c r="E231" s="3023">
        <f>SUM(E228:E230)</f>
        <v>15</v>
      </c>
      <c r="F231" s="3024">
        <f>E231/D231</f>
        <v>0.88235294117647056</v>
      </c>
    </row>
    <row r="232" spans="1:6" x14ac:dyDescent="0.2">
      <c r="A232" s="3025"/>
      <c r="B232" s="3025"/>
      <c r="C232" s="3025"/>
      <c r="D232" s="3025"/>
      <c r="F232" s="748"/>
    </row>
    <row r="233" spans="1:6" x14ac:dyDescent="0.2">
      <c r="A233" s="6091" t="s">
        <v>75</v>
      </c>
      <c r="B233" s="3012" t="s">
        <v>5</v>
      </c>
      <c r="C233" s="3013">
        <v>9</v>
      </c>
      <c r="D233" s="3012">
        <v>9</v>
      </c>
      <c r="E233" s="3013">
        <v>7</v>
      </c>
      <c r="F233" s="3014">
        <f>E233/D233</f>
        <v>0.77777777777777779</v>
      </c>
    </row>
    <row r="234" spans="1:6" x14ac:dyDescent="0.2">
      <c r="A234" s="6092"/>
      <c r="B234" s="3015" t="s">
        <v>6</v>
      </c>
      <c r="C234" s="3016">
        <v>11</v>
      </c>
      <c r="D234" s="3015">
        <v>11</v>
      </c>
      <c r="E234" s="3016">
        <v>8</v>
      </c>
      <c r="F234" s="3017">
        <f>E234/D234</f>
        <v>0.72727272727272729</v>
      </c>
    </row>
    <row r="235" spans="1:6" x14ac:dyDescent="0.2">
      <c r="A235" s="6092"/>
      <c r="B235" s="3018" t="s">
        <v>11</v>
      </c>
      <c r="C235" s="3019">
        <v>6</v>
      </c>
      <c r="D235" s="3018">
        <v>6</v>
      </c>
      <c r="E235" s="3019">
        <v>3</v>
      </c>
      <c r="F235" s="3020">
        <f>E235/D235</f>
        <v>0.5</v>
      </c>
    </row>
    <row r="236" spans="1:6" x14ac:dyDescent="0.2">
      <c r="A236" s="6093"/>
      <c r="B236" s="3021" t="s">
        <v>12</v>
      </c>
      <c r="C236" s="3022">
        <f>SUM(C233:C235)</f>
        <v>26</v>
      </c>
      <c r="D236" s="3021">
        <f>SUM(D233:D235)</f>
        <v>26</v>
      </c>
      <c r="E236" s="3023">
        <f>SUM(E233:E235)</f>
        <v>18</v>
      </c>
      <c r="F236" s="3024">
        <f>E236/D236</f>
        <v>0.69230769230769229</v>
      </c>
    </row>
    <row r="237" spans="1:6" x14ac:dyDescent="0.2">
      <c r="A237" s="3026"/>
      <c r="B237" s="3026"/>
      <c r="C237" s="3025"/>
      <c r="D237" s="3025"/>
      <c r="E237" s="3025"/>
      <c r="F237" s="748"/>
    </row>
    <row r="238" spans="1:6" x14ac:dyDescent="0.2">
      <c r="A238" s="6091" t="s">
        <v>10</v>
      </c>
      <c r="B238" s="3012" t="s">
        <v>6</v>
      </c>
      <c r="C238" s="3013">
        <v>6</v>
      </c>
      <c r="D238" s="3012">
        <v>6</v>
      </c>
      <c r="E238" s="3013">
        <v>6</v>
      </c>
      <c r="F238" s="3014">
        <f>E238/D238</f>
        <v>1</v>
      </c>
    </row>
    <row r="239" spans="1:6" x14ac:dyDescent="0.2">
      <c r="A239" s="6092"/>
      <c r="B239" s="3015" t="s">
        <v>11</v>
      </c>
      <c r="C239" s="3016">
        <v>8</v>
      </c>
      <c r="D239" s="3015">
        <v>8</v>
      </c>
      <c r="E239" s="3016">
        <v>5</v>
      </c>
      <c r="F239" s="3017">
        <f>E239/D239</f>
        <v>0.625</v>
      </c>
    </row>
    <row r="240" spans="1:6" x14ac:dyDescent="0.2">
      <c r="A240" s="6092"/>
      <c r="B240" s="3018" t="s">
        <v>7</v>
      </c>
      <c r="C240" s="3019">
        <v>4</v>
      </c>
      <c r="D240" s="3018">
        <v>4</v>
      </c>
      <c r="E240" s="3019">
        <v>3</v>
      </c>
      <c r="F240" s="3020">
        <f>E240/D240</f>
        <v>0.75</v>
      </c>
    </row>
    <row r="241" spans="1:6" x14ac:dyDescent="0.2">
      <c r="A241" s="6093"/>
      <c r="B241" s="3021" t="s">
        <v>12</v>
      </c>
      <c r="C241" s="3022">
        <f>SUM(C238:C240)</f>
        <v>18</v>
      </c>
      <c r="D241" s="3021">
        <f>SUM(D238:D240)</f>
        <v>18</v>
      </c>
      <c r="E241" s="3023">
        <f>SUM(E238:E240)</f>
        <v>14</v>
      </c>
      <c r="F241" s="3024">
        <f>E241/D241</f>
        <v>0.77777777777777779</v>
      </c>
    </row>
    <row r="243" spans="1:6" x14ac:dyDescent="0.2">
      <c r="A243" s="6091" t="s">
        <v>8</v>
      </c>
      <c r="B243" s="3012" t="s">
        <v>6</v>
      </c>
      <c r="C243" s="3013">
        <v>4</v>
      </c>
      <c r="D243" s="3012">
        <v>0</v>
      </c>
      <c r="E243" s="3013">
        <v>0</v>
      </c>
      <c r="F243" s="3014"/>
    </row>
    <row r="244" spans="1:6" x14ac:dyDescent="0.2">
      <c r="A244" s="6092"/>
      <c r="B244" s="3015" t="s">
        <v>9</v>
      </c>
      <c r="C244" s="3016">
        <v>3</v>
      </c>
      <c r="D244" s="3015">
        <v>0</v>
      </c>
      <c r="E244" s="3016">
        <v>0</v>
      </c>
      <c r="F244" s="3017"/>
    </row>
    <row r="245" spans="1:6" x14ac:dyDescent="0.2">
      <c r="A245" s="6092"/>
      <c r="B245" s="3018" t="s">
        <v>74</v>
      </c>
      <c r="C245" s="3019">
        <v>4</v>
      </c>
      <c r="D245" s="3018">
        <v>0</v>
      </c>
      <c r="E245" s="3019">
        <v>0</v>
      </c>
      <c r="F245" s="3020"/>
    </row>
    <row r="246" spans="1:6" x14ac:dyDescent="0.2">
      <c r="A246" s="6093"/>
      <c r="B246" s="3021" t="s">
        <v>12</v>
      </c>
      <c r="C246" s="3022">
        <f>SUM(C243:C245)</f>
        <v>11</v>
      </c>
      <c r="D246" s="3021"/>
      <c r="E246" s="3023"/>
      <c r="F246" s="3024"/>
    </row>
    <row r="247" spans="1:6" x14ac:dyDescent="0.2">
      <c r="A247" s="3026"/>
      <c r="B247" s="3026"/>
      <c r="C247" s="3025"/>
      <c r="D247" s="3025"/>
      <c r="E247" s="3025"/>
      <c r="F247" s="748"/>
    </row>
    <row r="248" spans="1:6" x14ac:dyDescent="0.2">
      <c r="A248" s="6110" t="s">
        <v>60</v>
      </c>
      <c r="B248" s="6110"/>
      <c r="C248" s="3021">
        <f>SUM(C231,C246,C236,C241)</f>
        <v>72</v>
      </c>
      <c r="D248" s="3021">
        <f>SUM(D231,D246,D236,D241)</f>
        <v>61</v>
      </c>
      <c r="E248" s="3021">
        <f>SUM(E231,E246,E236,E241)</f>
        <v>47</v>
      </c>
      <c r="F248" s="3024">
        <f>E248/D248</f>
        <v>0.77049180327868849</v>
      </c>
    </row>
  </sheetData>
  <sheetProtection algorithmName="SHA-512" hashValue="n9OwdyWS4s6hNPXsgTB8u9Fg/iWfuovglOaMGWm8MYx4DzXBmbmVl0Ontw7Yf3/LLlXh0OQkW8ILrAOesRNCyg==" saltValue="bwHRFpoHtlAueOeNcYTQCw==" spinCount="100000" sheet="1" objects="1" scenarios="1"/>
  <mergeCells count="93">
    <mergeCell ref="A63:B63"/>
    <mergeCell ref="I35:J36"/>
    <mergeCell ref="A38:A41"/>
    <mergeCell ref="A43:A46"/>
    <mergeCell ref="A48:A51"/>
    <mergeCell ref="A53:A56"/>
    <mergeCell ref="A58:A61"/>
    <mergeCell ref="B35:B36"/>
    <mergeCell ref="C35:C36"/>
    <mergeCell ref="D35:D36"/>
    <mergeCell ref="E35:H35"/>
    <mergeCell ref="E97:H97"/>
    <mergeCell ref="A84:A87"/>
    <mergeCell ref="A89:A92"/>
    <mergeCell ref="A94:B94"/>
    <mergeCell ref="A2:J2"/>
    <mergeCell ref="A96:H96"/>
    <mergeCell ref="A66:A67"/>
    <mergeCell ref="B66:B67"/>
    <mergeCell ref="C66:C67"/>
    <mergeCell ref="D66:D67"/>
    <mergeCell ref="E66:H66"/>
    <mergeCell ref="I67:J67"/>
    <mergeCell ref="A69:A72"/>
    <mergeCell ref="A74:A77"/>
    <mergeCell ref="A79:A82"/>
    <mergeCell ref="A35:A36"/>
    <mergeCell ref="C129:C130"/>
    <mergeCell ref="D129:D130"/>
    <mergeCell ref="E129:H129"/>
    <mergeCell ref="I98:J98"/>
    <mergeCell ref="A100:A103"/>
    <mergeCell ref="A105:A108"/>
    <mergeCell ref="A110:A113"/>
    <mergeCell ref="A115:A118"/>
    <mergeCell ref="A120:A123"/>
    <mergeCell ref="A125:B125"/>
    <mergeCell ref="A129:A130"/>
    <mergeCell ref="B129:B130"/>
    <mergeCell ref="A97:A98"/>
    <mergeCell ref="B97:B98"/>
    <mergeCell ref="C97:C98"/>
    <mergeCell ref="D97:D98"/>
    <mergeCell ref="A147:A150"/>
    <mergeCell ref="A152:A155"/>
    <mergeCell ref="A157:B157"/>
    <mergeCell ref="A132:A135"/>
    <mergeCell ref="A137:A140"/>
    <mergeCell ref="A142:A145"/>
    <mergeCell ref="C161:C162"/>
    <mergeCell ref="D161:D162"/>
    <mergeCell ref="E161:H161"/>
    <mergeCell ref="A164:A167"/>
    <mergeCell ref="A169:A172"/>
    <mergeCell ref="A248:B248"/>
    <mergeCell ref="D225:D226"/>
    <mergeCell ref="E225:F225"/>
    <mergeCell ref="A196:A199"/>
    <mergeCell ref="A201:A204"/>
    <mergeCell ref="A206:A209"/>
    <mergeCell ref="A211:A214"/>
    <mergeCell ref="A216:A219"/>
    <mergeCell ref="A221:B221"/>
    <mergeCell ref="A225:A226"/>
    <mergeCell ref="B225:B226"/>
    <mergeCell ref="C225:C226"/>
    <mergeCell ref="G5:H5"/>
    <mergeCell ref="A228:A231"/>
    <mergeCell ref="A233:A236"/>
    <mergeCell ref="A238:A241"/>
    <mergeCell ref="A243:A246"/>
    <mergeCell ref="A193:A194"/>
    <mergeCell ref="B193:B194"/>
    <mergeCell ref="C193:C194"/>
    <mergeCell ref="D193:D194"/>
    <mergeCell ref="E193:H193"/>
    <mergeCell ref="A179:A182"/>
    <mergeCell ref="A184:A187"/>
    <mergeCell ref="A189:B189"/>
    <mergeCell ref="A161:A162"/>
    <mergeCell ref="B161:B162"/>
    <mergeCell ref="A174:A177"/>
    <mergeCell ref="A4:A5"/>
    <mergeCell ref="B4:B5"/>
    <mergeCell ref="C4:C5"/>
    <mergeCell ref="D4:D5"/>
    <mergeCell ref="E4:F4"/>
    <mergeCell ref="A27:A30"/>
    <mergeCell ref="A32:B32"/>
    <mergeCell ref="A7:A10"/>
    <mergeCell ref="A12:A15"/>
    <mergeCell ref="A17:A20"/>
    <mergeCell ref="A22:A25"/>
  </mergeCells>
  <printOptions horizontalCentered="1" verticalCentered="1"/>
  <pageMargins left="0.51181102362204722" right="0.51181102362204722" top="0.35433070866141736" bottom="0.35433070866141736" header="0.31496062992125984" footer="0.31496062992125984"/>
  <pageSetup scale="58" orientation="landscape" r:id="rId1"/>
  <rowBreaks count="2" manualBreakCount="2">
    <brk id="126" max="16383" man="1"/>
    <brk id="190" max="16383" man="1"/>
  </rowBreaks>
  <ignoredErrors>
    <ignoredError sqref="G120:G122 G132:G144 E152:H161 G184:G186 G196:G208 G100:G112 G69:G91 G38:G60 E163:H176 F162:H162" formulaRange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S34"/>
  <sheetViews>
    <sheetView showGridLines="0" topLeftCell="A7" zoomScaleNormal="100" workbookViewId="0">
      <selection activeCell="R38" sqref="R38"/>
    </sheetView>
  </sheetViews>
  <sheetFormatPr baseColWidth="10" defaultRowHeight="12.75" x14ac:dyDescent="0.2"/>
  <cols>
    <col min="3" max="17" width="8.7109375" customWidth="1"/>
  </cols>
  <sheetData>
    <row r="1" spans="1:7" ht="18.75" x14ac:dyDescent="0.3">
      <c r="G1" s="1907"/>
    </row>
    <row r="2" spans="1:7" x14ac:dyDescent="0.2">
      <c r="A2" s="3747" t="s">
        <v>681</v>
      </c>
    </row>
    <row r="3" spans="1:7" x14ac:dyDescent="0.2">
      <c r="A3" s="3747" t="s">
        <v>682</v>
      </c>
    </row>
    <row r="4" spans="1:7" x14ac:dyDescent="0.2">
      <c r="A4" s="3747">
        <v>2003</v>
      </c>
    </row>
    <row r="5" spans="1:7" x14ac:dyDescent="0.2">
      <c r="A5" s="3747">
        <v>2004</v>
      </c>
    </row>
    <row r="6" spans="1:7" x14ac:dyDescent="0.2">
      <c r="A6" s="3747">
        <v>2005</v>
      </c>
    </row>
    <row r="7" spans="1:7" x14ac:dyDescent="0.2">
      <c r="A7" s="3747">
        <v>2006</v>
      </c>
    </row>
    <row r="8" spans="1:7" x14ac:dyDescent="0.2">
      <c r="A8" s="3747">
        <v>2007</v>
      </c>
    </row>
    <row r="9" spans="1:7" x14ac:dyDescent="0.2">
      <c r="A9" s="3747">
        <v>2008</v>
      </c>
    </row>
    <row r="10" spans="1:7" x14ac:dyDescent="0.2">
      <c r="A10" s="3747">
        <v>2009</v>
      </c>
    </row>
    <row r="11" spans="1:7" x14ac:dyDescent="0.2">
      <c r="A11" s="3747">
        <v>2010</v>
      </c>
    </row>
    <row r="12" spans="1:7" x14ac:dyDescent="0.2">
      <c r="A12" s="3747">
        <v>2011</v>
      </c>
    </row>
    <row r="13" spans="1:7" x14ac:dyDescent="0.2">
      <c r="A13" s="3747">
        <v>2012</v>
      </c>
    </row>
    <row r="14" spans="1:7" x14ac:dyDescent="0.2">
      <c r="A14" s="3747">
        <v>2013</v>
      </c>
    </row>
    <row r="15" spans="1:7" x14ac:dyDescent="0.2">
      <c r="A15" s="3747">
        <v>2014</v>
      </c>
    </row>
    <row r="16" spans="1:7" x14ac:dyDescent="0.2">
      <c r="A16" s="3747">
        <v>2015</v>
      </c>
    </row>
    <row r="17" spans="1:1" x14ac:dyDescent="0.2">
      <c r="A17" s="3747">
        <v>2016</v>
      </c>
    </row>
    <row r="18" spans="1:1" x14ac:dyDescent="0.2">
      <c r="A18" s="3747">
        <v>2017</v>
      </c>
    </row>
    <row r="33" spans="1:19" x14ac:dyDescent="0.2">
      <c r="A33" s="5092" t="s">
        <v>12</v>
      </c>
      <c r="B33" s="5090">
        <f>SUM('ACTIVOS uni'!C38)+'ACTIVOS-POS uni'!D84</f>
        <v>44389</v>
      </c>
      <c r="C33" s="5090">
        <f>SUM('ACTIVOS uni'!D38)+'ACTIVOS-POS uni'!E84</f>
        <v>45510</v>
      </c>
      <c r="D33" s="5090">
        <f>SUM('ACTIVOS uni'!E38)+'ACTIVOS-POS uni'!F84</f>
        <v>46837</v>
      </c>
      <c r="E33" s="5090">
        <f>SUM('ACTIVOS uni'!F38)+'ACTIVOS-POS uni'!G84</f>
        <v>47792</v>
      </c>
      <c r="F33" s="5090">
        <f>SUM('ACTIVOS uni'!G38)+'ACTIVOS-POS uni'!H84</f>
        <v>48884</v>
      </c>
      <c r="G33" s="5090">
        <f>SUM('ACTIVOS uni'!H38)+'ACTIVOS-POS uni'!I84</f>
        <v>50130</v>
      </c>
      <c r="H33" s="5090">
        <f>SUM('ACTIVOS uni'!I38)+'ACTIVOS-POS uni'!J84</f>
        <v>50392</v>
      </c>
      <c r="I33" s="5090">
        <f>SUM('ACTIVOS uni'!J38)+'ACTIVOS-POS uni'!K84</f>
        <v>51922</v>
      </c>
      <c r="J33" s="5090">
        <f>SUM('ACTIVOS uni'!K38)+'ACTIVOS-POS uni'!L84</f>
        <v>52888</v>
      </c>
      <c r="K33" s="5090">
        <f>SUM('ACTIVOS uni'!L38)+'ACTIVOS-POS uni'!M84</f>
        <v>54364</v>
      </c>
      <c r="L33" s="5090">
        <f>SUM('ACTIVOS uni'!M38)+'ACTIVOS-POS uni'!N84</f>
        <v>55967</v>
      </c>
      <c r="M33" s="5090">
        <f>SUM('ACTIVOS uni'!N38)+'ACTIVOS-POS uni'!O84</f>
        <v>56606</v>
      </c>
      <c r="N33" s="5090">
        <f>SUM('ACTIVOS uni'!O38)+'ACTIVOS-POS uni'!P84</f>
        <v>57092</v>
      </c>
      <c r="O33" s="5090">
        <f>SUM('ACTIVOS uni'!P38)+'ACTIVOS-POS uni'!Q84</f>
        <v>57742</v>
      </c>
      <c r="P33" s="5090">
        <v>57827</v>
      </c>
      <c r="Q33" s="5547"/>
      <c r="R33" s="5545"/>
      <c r="S33" s="5546"/>
    </row>
    <row r="34" spans="1:19" x14ac:dyDescent="0.2">
      <c r="S34" s="5546"/>
    </row>
  </sheetData>
  <sheetProtection algorithmName="SHA-512" hashValue="Q0Q73OQTM1QLD87qqA5qCYvOi/8+KjtBwjsCGugN1c1xnzA48n7tpqeKfsaLvev8kr0xJeIWQiss0rabMhK1Gg==" saltValue="PRjBB7MaZ2XHLj8QAxkGAQ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2:U39"/>
  <sheetViews>
    <sheetView showGridLines="0" zoomScaleNormal="100" workbookViewId="0">
      <selection activeCell="S35" sqref="S35"/>
    </sheetView>
  </sheetViews>
  <sheetFormatPr baseColWidth="10" defaultRowHeight="12.75" x14ac:dyDescent="0.2"/>
  <cols>
    <col min="3" max="16" width="8.7109375" customWidth="1"/>
  </cols>
  <sheetData>
    <row r="2" spans="1:1" x14ac:dyDescent="0.2">
      <c r="A2" s="3747" t="s">
        <v>681</v>
      </c>
    </row>
    <row r="3" spans="1:1" x14ac:dyDescent="0.2">
      <c r="A3" s="3747" t="s">
        <v>682</v>
      </c>
    </row>
    <row r="4" spans="1:1" x14ac:dyDescent="0.2">
      <c r="A4" s="3747">
        <v>2003</v>
      </c>
    </row>
    <row r="5" spans="1:1" x14ac:dyDescent="0.2">
      <c r="A5" s="3747">
        <v>2004</v>
      </c>
    </row>
    <row r="6" spans="1:1" x14ac:dyDescent="0.2">
      <c r="A6" s="3747">
        <v>2005</v>
      </c>
    </row>
    <row r="7" spans="1:1" x14ac:dyDescent="0.2">
      <c r="A7" s="3747">
        <v>2006</v>
      </c>
    </row>
    <row r="8" spans="1:1" x14ac:dyDescent="0.2">
      <c r="A8" s="3747">
        <v>2007</v>
      </c>
    </row>
    <row r="9" spans="1:1" x14ac:dyDescent="0.2">
      <c r="A9" s="3747">
        <v>2008</v>
      </c>
    </row>
    <row r="10" spans="1:1" x14ac:dyDescent="0.2">
      <c r="A10" s="3747">
        <v>2009</v>
      </c>
    </row>
    <row r="11" spans="1:1" x14ac:dyDescent="0.2">
      <c r="A11" s="3747">
        <v>2010</v>
      </c>
    </row>
    <row r="12" spans="1:1" x14ac:dyDescent="0.2">
      <c r="A12" s="3747">
        <v>2011</v>
      </c>
    </row>
    <row r="13" spans="1:1" x14ac:dyDescent="0.2">
      <c r="A13" s="3747">
        <v>2012</v>
      </c>
    </row>
    <row r="14" spans="1:1" x14ac:dyDescent="0.2">
      <c r="A14" s="3747">
        <v>2013</v>
      </c>
    </row>
    <row r="15" spans="1:1" x14ac:dyDescent="0.2">
      <c r="A15" s="3747">
        <v>2014</v>
      </c>
    </row>
    <row r="16" spans="1:1" x14ac:dyDescent="0.2">
      <c r="A16" s="3747">
        <v>2015</v>
      </c>
    </row>
    <row r="17" spans="1:1" x14ac:dyDescent="0.2">
      <c r="A17" s="3747">
        <v>2016</v>
      </c>
    </row>
    <row r="18" spans="1:1" x14ac:dyDescent="0.2">
      <c r="A18" s="3747">
        <v>2017</v>
      </c>
    </row>
    <row r="34" spans="2:21" x14ac:dyDescent="0.2">
      <c r="B34" s="5092" t="s">
        <v>12</v>
      </c>
      <c r="C34" s="5093">
        <f>SUM('EGRESO uni'!V37)+'EGRESO-POs uni'!V77</f>
        <v>5082</v>
      </c>
      <c r="D34" s="5090">
        <f>SUM('EGRESO uni'!Z37)+'EGRESO-POs uni'!Z77</f>
        <v>4920</v>
      </c>
      <c r="E34" s="5090">
        <f>SUM('EGRESO uni'!AD37)+'EGRESO-POs uni'!AD77</f>
        <v>4935</v>
      </c>
      <c r="F34" s="5090">
        <f>SUM('EGRESO uni'!AH37)+'EGRESO-POs uni'!AH77</f>
        <v>5061</v>
      </c>
      <c r="G34" s="5090">
        <f>SUM('EGRESO uni'!AL37)+'EGRESO-POs uni'!AL77</f>
        <v>4966</v>
      </c>
      <c r="H34" s="5090">
        <f>SUM('EGRESO uni'!AP37)+'EGRESO-POs uni'!AP77</f>
        <v>5419</v>
      </c>
      <c r="I34" s="5090">
        <f>SUM('EGRESO uni'!AT37)+'EGRESO-POs uni'!AT77</f>
        <v>5478</v>
      </c>
      <c r="J34" s="5090">
        <f>SUM('EGRESO uni'!AX37)+'EGRESO-POs uni'!AX77</f>
        <v>5591</v>
      </c>
      <c r="K34" s="5090">
        <f>SUM('EGRESO uni'!BB37)+'EGRESO-POs uni'!BB77</f>
        <v>5309</v>
      </c>
      <c r="L34" s="5090">
        <f>SUM('EGRESO uni'!BF37)+'EGRESO-POs uni'!BF77</f>
        <v>5337</v>
      </c>
      <c r="M34" s="5090">
        <f>SUM('EGRESO uni'!BJ37)+'EGRESO-POs uni'!BJ77</f>
        <v>6066</v>
      </c>
      <c r="N34" s="5090">
        <f>SUM('EGRESO uni'!BN37)+'EGRESO-POs uni'!BN77</f>
        <v>5878</v>
      </c>
      <c r="O34" s="5090">
        <f>SUM('EGRESO uni'!BR37)+'EGRESO-POs uni'!BR77</f>
        <v>5806</v>
      </c>
      <c r="P34" s="5090">
        <f>SUM('EGRESO uni'!BV37)+'EGRESO-POs uni'!BV77</f>
        <v>5969</v>
      </c>
      <c r="Q34" s="5090">
        <v>6198</v>
      </c>
    </row>
    <row r="38" spans="2:21" x14ac:dyDescent="0.2">
      <c r="T38" s="5090"/>
      <c r="U38" s="192"/>
    </row>
    <row r="39" spans="2:21" x14ac:dyDescent="0.2">
      <c r="B39" s="5091"/>
    </row>
  </sheetData>
  <sheetProtection algorithmName="SHA-512" hashValue="TocAXVdWajDsuAXHekFz8R37uDmJ4ZKcHsg/0w1svt/rBhdH6BQmyrJ39LrDY6LcODPBe0A2vCN/XqAwKf/IAw==" saltValue="EMSMAeSULc2H/xR7dvdeIA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scale="78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L154"/>
  <sheetViews>
    <sheetView showGridLines="0" zoomScaleNormal="100" workbookViewId="0">
      <pane xSplit="4" ySplit="4" topLeftCell="BI29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8.85546875" style="209" customWidth="1"/>
    <col min="2" max="3" width="9.42578125" style="228" customWidth="1"/>
    <col min="4" max="4" width="70.140625" style="209" bestFit="1" customWidth="1"/>
    <col min="5" max="7" width="7.7109375" style="209" customWidth="1"/>
    <col min="8" max="8" width="7.7109375" style="222" customWidth="1"/>
    <col min="9" max="11" width="7.7109375" style="209" customWidth="1"/>
    <col min="12" max="12" width="7.7109375" style="222" customWidth="1"/>
    <col min="13" max="15" width="7.7109375" style="209" customWidth="1"/>
    <col min="16" max="16" width="7.7109375" style="222" customWidth="1"/>
    <col min="17" max="19" width="7.7109375" style="209" customWidth="1"/>
    <col min="20" max="20" width="7.7109375" style="222" customWidth="1"/>
    <col min="21" max="23" width="7.7109375" style="209" customWidth="1"/>
    <col min="24" max="24" width="7.7109375" style="222" customWidth="1"/>
    <col min="25" max="27" width="7.7109375" style="211" customWidth="1"/>
    <col min="28" max="28" width="7.7109375" style="236" customWidth="1"/>
    <col min="29" max="31" width="7.7109375" style="211" customWidth="1"/>
    <col min="32" max="32" width="7.7109375" style="236" customWidth="1"/>
    <col min="33" max="35" width="7.7109375" style="228" customWidth="1"/>
    <col min="36" max="64" width="7.7109375" style="209" customWidth="1"/>
    <col min="65" max="65" width="11.42578125" style="209"/>
    <col min="66" max="68" width="11.42578125" style="209" customWidth="1"/>
    <col min="69" max="255" width="11.42578125" style="209"/>
    <col min="256" max="256" width="2" style="209" customWidth="1"/>
    <col min="257" max="257" width="15.85546875" style="209" customWidth="1"/>
    <col min="258" max="258" width="9.28515625" style="209" bestFit="1" customWidth="1"/>
    <col min="259" max="259" width="50.28515625" style="209" customWidth="1"/>
    <col min="260" max="261" width="6.5703125" style="209" customWidth="1"/>
    <col min="262" max="262" width="7.5703125" style="209" customWidth="1"/>
    <col min="263" max="263" width="7.42578125" style="209" customWidth="1"/>
    <col min="264" max="264" width="8.42578125" style="209" customWidth="1"/>
    <col min="265" max="265" width="7.28515625" style="209" customWidth="1"/>
    <col min="266" max="266" width="7.5703125" style="209" customWidth="1"/>
    <col min="267" max="267" width="7.7109375" style="209" customWidth="1"/>
    <col min="268" max="269" width="6.42578125" style="209" customWidth="1"/>
    <col min="270" max="270" width="7.28515625" style="209" customWidth="1"/>
    <col min="271" max="271" width="7.85546875" style="209" customWidth="1"/>
    <col min="272" max="272" width="6.42578125" style="209" customWidth="1"/>
    <col min="273" max="273" width="7.28515625" style="209" customWidth="1"/>
    <col min="274" max="274" width="7.5703125" style="209" customWidth="1"/>
    <col min="275" max="275" width="8" style="209" customWidth="1"/>
    <col min="276" max="277" width="6.42578125" style="209" customWidth="1"/>
    <col min="278" max="278" width="7.28515625" style="209" customWidth="1"/>
    <col min="279" max="279" width="8.28515625" style="209" customWidth="1"/>
    <col min="280" max="281" width="6.42578125" style="209" customWidth="1"/>
    <col min="282" max="282" width="7.28515625" style="209" customWidth="1"/>
    <col min="283" max="283" width="8.28515625" style="209" customWidth="1"/>
    <col min="284" max="285" width="6.42578125" style="209" customWidth="1"/>
    <col min="286" max="286" width="7.28515625" style="209" customWidth="1"/>
    <col min="287" max="287" width="8.28515625" style="209" customWidth="1"/>
    <col min="288" max="511" width="11.42578125" style="209"/>
    <col min="512" max="512" width="2" style="209" customWidth="1"/>
    <col min="513" max="513" width="15.85546875" style="209" customWidth="1"/>
    <col min="514" max="514" width="9.28515625" style="209" bestFit="1" customWidth="1"/>
    <col min="515" max="515" width="50.28515625" style="209" customWidth="1"/>
    <col min="516" max="517" width="6.5703125" style="209" customWidth="1"/>
    <col min="518" max="518" width="7.5703125" style="209" customWidth="1"/>
    <col min="519" max="519" width="7.42578125" style="209" customWidth="1"/>
    <col min="520" max="520" width="8.42578125" style="209" customWidth="1"/>
    <col min="521" max="521" width="7.28515625" style="209" customWidth="1"/>
    <col min="522" max="522" width="7.5703125" style="209" customWidth="1"/>
    <col min="523" max="523" width="7.7109375" style="209" customWidth="1"/>
    <col min="524" max="525" width="6.42578125" style="209" customWidth="1"/>
    <col min="526" max="526" width="7.28515625" style="209" customWidth="1"/>
    <col min="527" max="527" width="7.85546875" style="209" customWidth="1"/>
    <col min="528" max="528" width="6.42578125" style="209" customWidth="1"/>
    <col min="529" max="529" width="7.28515625" style="209" customWidth="1"/>
    <col min="530" max="530" width="7.5703125" style="209" customWidth="1"/>
    <col min="531" max="531" width="8" style="209" customWidth="1"/>
    <col min="532" max="533" width="6.42578125" style="209" customWidth="1"/>
    <col min="534" max="534" width="7.28515625" style="209" customWidth="1"/>
    <col min="535" max="535" width="8.28515625" style="209" customWidth="1"/>
    <col min="536" max="537" width="6.42578125" style="209" customWidth="1"/>
    <col min="538" max="538" width="7.28515625" style="209" customWidth="1"/>
    <col min="539" max="539" width="8.28515625" style="209" customWidth="1"/>
    <col min="540" max="541" width="6.42578125" style="209" customWidth="1"/>
    <col min="542" max="542" width="7.28515625" style="209" customWidth="1"/>
    <col min="543" max="543" width="8.28515625" style="209" customWidth="1"/>
    <col min="544" max="767" width="11.42578125" style="209"/>
    <col min="768" max="768" width="2" style="209" customWidth="1"/>
    <col min="769" max="769" width="15.85546875" style="209" customWidth="1"/>
    <col min="770" max="770" width="9.28515625" style="209" bestFit="1" customWidth="1"/>
    <col min="771" max="771" width="50.28515625" style="209" customWidth="1"/>
    <col min="772" max="773" width="6.5703125" style="209" customWidth="1"/>
    <col min="774" max="774" width="7.5703125" style="209" customWidth="1"/>
    <col min="775" max="775" width="7.42578125" style="209" customWidth="1"/>
    <col min="776" max="776" width="8.42578125" style="209" customWidth="1"/>
    <col min="777" max="777" width="7.28515625" style="209" customWidth="1"/>
    <col min="778" max="778" width="7.5703125" style="209" customWidth="1"/>
    <col min="779" max="779" width="7.7109375" style="209" customWidth="1"/>
    <col min="780" max="781" width="6.42578125" style="209" customWidth="1"/>
    <col min="782" max="782" width="7.28515625" style="209" customWidth="1"/>
    <col min="783" max="783" width="7.85546875" style="209" customWidth="1"/>
    <col min="784" max="784" width="6.42578125" style="209" customWidth="1"/>
    <col min="785" max="785" width="7.28515625" style="209" customWidth="1"/>
    <col min="786" max="786" width="7.5703125" style="209" customWidth="1"/>
    <col min="787" max="787" width="8" style="209" customWidth="1"/>
    <col min="788" max="789" width="6.42578125" style="209" customWidth="1"/>
    <col min="790" max="790" width="7.28515625" style="209" customWidth="1"/>
    <col min="791" max="791" width="8.28515625" style="209" customWidth="1"/>
    <col min="792" max="793" width="6.42578125" style="209" customWidth="1"/>
    <col min="794" max="794" width="7.28515625" style="209" customWidth="1"/>
    <col min="795" max="795" width="8.28515625" style="209" customWidth="1"/>
    <col min="796" max="797" width="6.42578125" style="209" customWidth="1"/>
    <col min="798" max="798" width="7.28515625" style="209" customWidth="1"/>
    <col min="799" max="799" width="8.28515625" style="209" customWidth="1"/>
    <col min="800" max="1023" width="11.42578125" style="209"/>
    <col min="1024" max="1024" width="2" style="209" customWidth="1"/>
    <col min="1025" max="1025" width="15.85546875" style="209" customWidth="1"/>
    <col min="1026" max="1026" width="9.28515625" style="209" bestFit="1" customWidth="1"/>
    <col min="1027" max="1027" width="50.28515625" style="209" customWidth="1"/>
    <col min="1028" max="1029" width="6.5703125" style="209" customWidth="1"/>
    <col min="1030" max="1030" width="7.5703125" style="209" customWidth="1"/>
    <col min="1031" max="1031" width="7.42578125" style="209" customWidth="1"/>
    <col min="1032" max="1032" width="8.42578125" style="209" customWidth="1"/>
    <col min="1033" max="1033" width="7.28515625" style="209" customWidth="1"/>
    <col min="1034" max="1034" width="7.5703125" style="209" customWidth="1"/>
    <col min="1035" max="1035" width="7.7109375" style="209" customWidth="1"/>
    <col min="1036" max="1037" width="6.42578125" style="209" customWidth="1"/>
    <col min="1038" max="1038" width="7.28515625" style="209" customWidth="1"/>
    <col min="1039" max="1039" width="7.85546875" style="209" customWidth="1"/>
    <col min="1040" max="1040" width="6.42578125" style="209" customWidth="1"/>
    <col min="1041" max="1041" width="7.28515625" style="209" customWidth="1"/>
    <col min="1042" max="1042" width="7.5703125" style="209" customWidth="1"/>
    <col min="1043" max="1043" width="8" style="209" customWidth="1"/>
    <col min="1044" max="1045" width="6.42578125" style="209" customWidth="1"/>
    <col min="1046" max="1046" width="7.28515625" style="209" customWidth="1"/>
    <col min="1047" max="1047" width="8.28515625" style="209" customWidth="1"/>
    <col min="1048" max="1049" width="6.42578125" style="209" customWidth="1"/>
    <col min="1050" max="1050" width="7.28515625" style="209" customWidth="1"/>
    <col min="1051" max="1051" width="8.28515625" style="209" customWidth="1"/>
    <col min="1052" max="1053" width="6.42578125" style="209" customWidth="1"/>
    <col min="1054" max="1054" width="7.28515625" style="209" customWidth="1"/>
    <col min="1055" max="1055" width="8.28515625" style="209" customWidth="1"/>
    <col min="1056" max="1279" width="11.42578125" style="209"/>
    <col min="1280" max="1280" width="2" style="209" customWidth="1"/>
    <col min="1281" max="1281" width="15.85546875" style="209" customWidth="1"/>
    <col min="1282" max="1282" width="9.28515625" style="209" bestFit="1" customWidth="1"/>
    <col min="1283" max="1283" width="50.28515625" style="209" customWidth="1"/>
    <col min="1284" max="1285" width="6.5703125" style="209" customWidth="1"/>
    <col min="1286" max="1286" width="7.5703125" style="209" customWidth="1"/>
    <col min="1287" max="1287" width="7.42578125" style="209" customWidth="1"/>
    <col min="1288" max="1288" width="8.42578125" style="209" customWidth="1"/>
    <col min="1289" max="1289" width="7.28515625" style="209" customWidth="1"/>
    <col min="1290" max="1290" width="7.5703125" style="209" customWidth="1"/>
    <col min="1291" max="1291" width="7.7109375" style="209" customWidth="1"/>
    <col min="1292" max="1293" width="6.42578125" style="209" customWidth="1"/>
    <col min="1294" max="1294" width="7.28515625" style="209" customWidth="1"/>
    <col min="1295" max="1295" width="7.85546875" style="209" customWidth="1"/>
    <col min="1296" max="1296" width="6.42578125" style="209" customWidth="1"/>
    <col min="1297" max="1297" width="7.28515625" style="209" customWidth="1"/>
    <col min="1298" max="1298" width="7.5703125" style="209" customWidth="1"/>
    <col min="1299" max="1299" width="8" style="209" customWidth="1"/>
    <col min="1300" max="1301" width="6.42578125" style="209" customWidth="1"/>
    <col min="1302" max="1302" width="7.28515625" style="209" customWidth="1"/>
    <col min="1303" max="1303" width="8.28515625" style="209" customWidth="1"/>
    <col min="1304" max="1305" width="6.42578125" style="209" customWidth="1"/>
    <col min="1306" max="1306" width="7.28515625" style="209" customWidth="1"/>
    <col min="1307" max="1307" width="8.28515625" style="209" customWidth="1"/>
    <col min="1308" max="1309" width="6.42578125" style="209" customWidth="1"/>
    <col min="1310" max="1310" width="7.28515625" style="209" customWidth="1"/>
    <col min="1311" max="1311" width="8.28515625" style="209" customWidth="1"/>
    <col min="1312" max="1535" width="11.42578125" style="209"/>
    <col min="1536" max="1536" width="2" style="209" customWidth="1"/>
    <col min="1537" max="1537" width="15.85546875" style="209" customWidth="1"/>
    <col min="1538" max="1538" width="9.28515625" style="209" bestFit="1" customWidth="1"/>
    <col min="1539" max="1539" width="50.28515625" style="209" customWidth="1"/>
    <col min="1540" max="1541" width="6.5703125" style="209" customWidth="1"/>
    <col min="1542" max="1542" width="7.5703125" style="209" customWidth="1"/>
    <col min="1543" max="1543" width="7.42578125" style="209" customWidth="1"/>
    <col min="1544" max="1544" width="8.42578125" style="209" customWidth="1"/>
    <col min="1545" max="1545" width="7.28515625" style="209" customWidth="1"/>
    <col min="1546" max="1546" width="7.5703125" style="209" customWidth="1"/>
    <col min="1547" max="1547" width="7.7109375" style="209" customWidth="1"/>
    <col min="1548" max="1549" width="6.42578125" style="209" customWidth="1"/>
    <col min="1550" max="1550" width="7.28515625" style="209" customWidth="1"/>
    <col min="1551" max="1551" width="7.85546875" style="209" customWidth="1"/>
    <col min="1552" max="1552" width="6.42578125" style="209" customWidth="1"/>
    <col min="1553" max="1553" width="7.28515625" style="209" customWidth="1"/>
    <col min="1554" max="1554" width="7.5703125" style="209" customWidth="1"/>
    <col min="1555" max="1555" width="8" style="209" customWidth="1"/>
    <col min="1556" max="1557" width="6.42578125" style="209" customWidth="1"/>
    <col min="1558" max="1558" width="7.28515625" style="209" customWidth="1"/>
    <col min="1559" max="1559" width="8.28515625" style="209" customWidth="1"/>
    <col min="1560" max="1561" width="6.42578125" style="209" customWidth="1"/>
    <col min="1562" max="1562" width="7.28515625" style="209" customWidth="1"/>
    <col min="1563" max="1563" width="8.28515625" style="209" customWidth="1"/>
    <col min="1564" max="1565" width="6.42578125" style="209" customWidth="1"/>
    <col min="1566" max="1566" width="7.28515625" style="209" customWidth="1"/>
    <col min="1567" max="1567" width="8.28515625" style="209" customWidth="1"/>
    <col min="1568" max="1791" width="11.42578125" style="209"/>
    <col min="1792" max="1792" width="2" style="209" customWidth="1"/>
    <col min="1793" max="1793" width="15.85546875" style="209" customWidth="1"/>
    <col min="1794" max="1794" width="9.28515625" style="209" bestFit="1" customWidth="1"/>
    <col min="1795" max="1795" width="50.28515625" style="209" customWidth="1"/>
    <col min="1796" max="1797" width="6.5703125" style="209" customWidth="1"/>
    <col min="1798" max="1798" width="7.5703125" style="209" customWidth="1"/>
    <col min="1799" max="1799" width="7.42578125" style="209" customWidth="1"/>
    <col min="1800" max="1800" width="8.42578125" style="209" customWidth="1"/>
    <col min="1801" max="1801" width="7.28515625" style="209" customWidth="1"/>
    <col min="1802" max="1802" width="7.5703125" style="209" customWidth="1"/>
    <col min="1803" max="1803" width="7.7109375" style="209" customWidth="1"/>
    <col min="1804" max="1805" width="6.42578125" style="209" customWidth="1"/>
    <col min="1806" max="1806" width="7.28515625" style="209" customWidth="1"/>
    <col min="1807" max="1807" width="7.85546875" style="209" customWidth="1"/>
    <col min="1808" max="1808" width="6.42578125" style="209" customWidth="1"/>
    <col min="1809" max="1809" width="7.28515625" style="209" customWidth="1"/>
    <col min="1810" max="1810" width="7.5703125" style="209" customWidth="1"/>
    <col min="1811" max="1811" width="8" style="209" customWidth="1"/>
    <col min="1812" max="1813" width="6.42578125" style="209" customWidth="1"/>
    <col min="1814" max="1814" width="7.28515625" style="209" customWidth="1"/>
    <col min="1815" max="1815" width="8.28515625" style="209" customWidth="1"/>
    <col min="1816" max="1817" width="6.42578125" style="209" customWidth="1"/>
    <col min="1818" max="1818" width="7.28515625" style="209" customWidth="1"/>
    <col min="1819" max="1819" width="8.28515625" style="209" customWidth="1"/>
    <col min="1820" max="1821" width="6.42578125" style="209" customWidth="1"/>
    <col min="1822" max="1822" width="7.28515625" style="209" customWidth="1"/>
    <col min="1823" max="1823" width="8.28515625" style="209" customWidth="1"/>
    <col min="1824" max="2047" width="11.42578125" style="209"/>
    <col min="2048" max="2048" width="2" style="209" customWidth="1"/>
    <col min="2049" max="2049" width="15.85546875" style="209" customWidth="1"/>
    <col min="2050" max="2050" width="9.28515625" style="209" bestFit="1" customWidth="1"/>
    <col min="2051" max="2051" width="50.28515625" style="209" customWidth="1"/>
    <col min="2052" max="2053" width="6.5703125" style="209" customWidth="1"/>
    <col min="2054" max="2054" width="7.5703125" style="209" customWidth="1"/>
    <col min="2055" max="2055" width="7.42578125" style="209" customWidth="1"/>
    <col min="2056" max="2056" width="8.42578125" style="209" customWidth="1"/>
    <col min="2057" max="2057" width="7.28515625" style="209" customWidth="1"/>
    <col min="2058" max="2058" width="7.5703125" style="209" customWidth="1"/>
    <col min="2059" max="2059" width="7.7109375" style="209" customWidth="1"/>
    <col min="2060" max="2061" width="6.42578125" style="209" customWidth="1"/>
    <col min="2062" max="2062" width="7.28515625" style="209" customWidth="1"/>
    <col min="2063" max="2063" width="7.85546875" style="209" customWidth="1"/>
    <col min="2064" max="2064" width="6.42578125" style="209" customWidth="1"/>
    <col min="2065" max="2065" width="7.28515625" style="209" customWidth="1"/>
    <col min="2066" max="2066" width="7.5703125" style="209" customWidth="1"/>
    <col min="2067" max="2067" width="8" style="209" customWidth="1"/>
    <col min="2068" max="2069" width="6.42578125" style="209" customWidth="1"/>
    <col min="2070" max="2070" width="7.28515625" style="209" customWidth="1"/>
    <col min="2071" max="2071" width="8.28515625" style="209" customWidth="1"/>
    <col min="2072" max="2073" width="6.42578125" style="209" customWidth="1"/>
    <col min="2074" max="2074" width="7.28515625" style="209" customWidth="1"/>
    <col min="2075" max="2075" width="8.28515625" style="209" customWidth="1"/>
    <col min="2076" max="2077" width="6.42578125" style="209" customWidth="1"/>
    <col min="2078" max="2078" width="7.28515625" style="209" customWidth="1"/>
    <col min="2079" max="2079" width="8.28515625" style="209" customWidth="1"/>
    <col min="2080" max="2303" width="11.42578125" style="209"/>
    <col min="2304" max="2304" width="2" style="209" customWidth="1"/>
    <col min="2305" max="2305" width="15.85546875" style="209" customWidth="1"/>
    <col min="2306" max="2306" width="9.28515625" style="209" bestFit="1" customWidth="1"/>
    <col min="2307" max="2307" width="50.28515625" style="209" customWidth="1"/>
    <col min="2308" max="2309" width="6.5703125" style="209" customWidth="1"/>
    <col min="2310" max="2310" width="7.5703125" style="209" customWidth="1"/>
    <col min="2311" max="2311" width="7.42578125" style="209" customWidth="1"/>
    <col min="2312" max="2312" width="8.42578125" style="209" customWidth="1"/>
    <col min="2313" max="2313" width="7.28515625" style="209" customWidth="1"/>
    <col min="2314" max="2314" width="7.5703125" style="209" customWidth="1"/>
    <col min="2315" max="2315" width="7.7109375" style="209" customWidth="1"/>
    <col min="2316" max="2317" width="6.42578125" style="209" customWidth="1"/>
    <col min="2318" max="2318" width="7.28515625" style="209" customWidth="1"/>
    <col min="2319" max="2319" width="7.85546875" style="209" customWidth="1"/>
    <col min="2320" max="2320" width="6.42578125" style="209" customWidth="1"/>
    <col min="2321" max="2321" width="7.28515625" style="209" customWidth="1"/>
    <col min="2322" max="2322" width="7.5703125" style="209" customWidth="1"/>
    <col min="2323" max="2323" width="8" style="209" customWidth="1"/>
    <col min="2324" max="2325" width="6.42578125" style="209" customWidth="1"/>
    <col min="2326" max="2326" width="7.28515625" style="209" customWidth="1"/>
    <col min="2327" max="2327" width="8.28515625" style="209" customWidth="1"/>
    <col min="2328" max="2329" width="6.42578125" style="209" customWidth="1"/>
    <col min="2330" max="2330" width="7.28515625" style="209" customWidth="1"/>
    <col min="2331" max="2331" width="8.28515625" style="209" customWidth="1"/>
    <col min="2332" max="2333" width="6.42578125" style="209" customWidth="1"/>
    <col min="2334" max="2334" width="7.28515625" style="209" customWidth="1"/>
    <col min="2335" max="2335" width="8.28515625" style="209" customWidth="1"/>
    <col min="2336" max="2559" width="11.42578125" style="209"/>
    <col min="2560" max="2560" width="2" style="209" customWidth="1"/>
    <col min="2561" max="2561" width="15.85546875" style="209" customWidth="1"/>
    <col min="2562" max="2562" width="9.28515625" style="209" bestFit="1" customWidth="1"/>
    <col min="2563" max="2563" width="50.28515625" style="209" customWidth="1"/>
    <col min="2564" max="2565" width="6.5703125" style="209" customWidth="1"/>
    <col min="2566" max="2566" width="7.5703125" style="209" customWidth="1"/>
    <col min="2567" max="2567" width="7.42578125" style="209" customWidth="1"/>
    <col min="2568" max="2568" width="8.42578125" style="209" customWidth="1"/>
    <col min="2569" max="2569" width="7.28515625" style="209" customWidth="1"/>
    <col min="2570" max="2570" width="7.5703125" style="209" customWidth="1"/>
    <col min="2571" max="2571" width="7.7109375" style="209" customWidth="1"/>
    <col min="2572" max="2573" width="6.42578125" style="209" customWidth="1"/>
    <col min="2574" max="2574" width="7.28515625" style="209" customWidth="1"/>
    <col min="2575" max="2575" width="7.85546875" style="209" customWidth="1"/>
    <col min="2576" max="2576" width="6.42578125" style="209" customWidth="1"/>
    <col min="2577" max="2577" width="7.28515625" style="209" customWidth="1"/>
    <col min="2578" max="2578" width="7.5703125" style="209" customWidth="1"/>
    <col min="2579" max="2579" width="8" style="209" customWidth="1"/>
    <col min="2580" max="2581" width="6.42578125" style="209" customWidth="1"/>
    <col min="2582" max="2582" width="7.28515625" style="209" customWidth="1"/>
    <col min="2583" max="2583" width="8.28515625" style="209" customWidth="1"/>
    <col min="2584" max="2585" width="6.42578125" style="209" customWidth="1"/>
    <col min="2586" max="2586" width="7.28515625" style="209" customWidth="1"/>
    <col min="2587" max="2587" width="8.28515625" style="209" customWidth="1"/>
    <col min="2588" max="2589" width="6.42578125" style="209" customWidth="1"/>
    <col min="2590" max="2590" width="7.28515625" style="209" customWidth="1"/>
    <col min="2591" max="2591" width="8.28515625" style="209" customWidth="1"/>
    <col min="2592" max="2815" width="11.42578125" style="209"/>
    <col min="2816" max="2816" width="2" style="209" customWidth="1"/>
    <col min="2817" max="2817" width="15.85546875" style="209" customWidth="1"/>
    <col min="2818" max="2818" width="9.28515625" style="209" bestFit="1" customWidth="1"/>
    <col min="2819" max="2819" width="50.28515625" style="209" customWidth="1"/>
    <col min="2820" max="2821" width="6.5703125" style="209" customWidth="1"/>
    <col min="2822" max="2822" width="7.5703125" style="209" customWidth="1"/>
    <col min="2823" max="2823" width="7.42578125" style="209" customWidth="1"/>
    <col min="2824" max="2824" width="8.42578125" style="209" customWidth="1"/>
    <col min="2825" max="2825" width="7.28515625" style="209" customWidth="1"/>
    <col min="2826" max="2826" width="7.5703125" style="209" customWidth="1"/>
    <col min="2827" max="2827" width="7.7109375" style="209" customWidth="1"/>
    <col min="2828" max="2829" width="6.42578125" style="209" customWidth="1"/>
    <col min="2830" max="2830" width="7.28515625" style="209" customWidth="1"/>
    <col min="2831" max="2831" width="7.85546875" style="209" customWidth="1"/>
    <col min="2832" max="2832" width="6.42578125" style="209" customWidth="1"/>
    <col min="2833" max="2833" width="7.28515625" style="209" customWidth="1"/>
    <col min="2834" max="2834" width="7.5703125" style="209" customWidth="1"/>
    <col min="2835" max="2835" width="8" style="209" customWidth="1"/>
    <col min="2836" max="2837" width="6.42578125" style="209" customWidth="1"/>
    <col min="2838" max="2838" width="7.28515625" style="209" customWidth="1"/>
    <col min="2839" max="2839" width="8.28515625" style="209" customWidth="1"/>
    <col min="2840" max="2841" width="6.42578125" style="209" customWidth="1"/>
    <col min="2842" max="2842" width="7.28515625" style="209" customWidth="1"/>
    <col min="2843" max="2843" width="8.28515625" style="209" customWidth="1"/>
    <col min="2844" max="2845" width="6.42578125" style="209" customWidth="1"/>
    <col min="2846" max="2846" width="7.28515625" style="209" customWidth="1"/>
    <col min="2847" max="2847" width="8.28515625" style="209" customWidth="1"/>
    <col min="2848" max="3071" width="11.42578125" style="209"/>
    <col min="3072" max="3072" width="2" style="209" customWidth="1"/>
    <col min="3073" max="3073" width="15.85546875" style="209" customWidth="1"/>
    <col min="3074" max="3074" width="9.28515625" style="209" bestFit="1" customWidth="1"/>
    <col min="3075" max="3075" width="50.28515625" style="209" customWidth="1"/>
    <col min="3076" max="3077" width="6.5703125" style="209" customWidth="1"/>
    <col min="3078" max="3078" width="7.5703125" style="209" customWidth="1"/>
    <col min="3079" max="3079" width="7.42578125" style="209" customWidth="1"/>
    <col min="3080" max="3080" width="8.42578125" style="209" customWidth="1"/>
    <col min="3081" max="3081" width="7.28515625" style="209" customWidth="1"/>
    <col min="3082" max="3082" width="7.5703125" style="209" customWidth="1"/>
    <col min="3083" max="3083" width="7.7109375" style="209" customWidth="1"/>
    <col min="3084" max="3085" width="6.42578125" style="209" customWidth="1"/>
    <col min="3086" max="3086" width="7.28515625" style="209" customWidth="1"/>
    <col min="3087" max="3087" width="7.85546875" style="209" customWidth="1"/>
    <col min="3088" max="3088" width="6.42578125" style="209" customWidth="1"/>
    <col min="3089" max="3089" width="7.28515625" style="209" customWidth="1"/>
    <col min="3090" max="3090" width="7.5703125" style="209" customWidth="1"/>
    <col min="3091" max="3091" width="8" style="209" customWidth="1"/>
    <col min="3092" max="3093" width="6.42578125" style="209" customWidth="1"/>
    <col min="3094" max="3094" width="7.28515625" style="209" customWidth="1"/>
    <col min="3095" max="3095" width="8.28515625" style="209" customWidth="1"/>
    <col min="3096" max="3097" width="6.42578125" style="209" customWidth="1"/>
    <col min="3098" max="3098" width="7.28515625" style="209" customWidth="1"/>
    <col min="3099" max="3099" width="8.28515625" style="209" customWidth="1"/>
    <col min="3100" max="3101" width="6.42578125" style="209" customWidth="1"/>
    <col min="3102" max="3102" width="7.28515625" style="209" customWidth="1"/>
    <col min="3103" max="3103" width="8.28515625" style="209" customWidth="1"/>
    <col min="3104" max="3327" width="11.42578125" style="209"/>
    <col min="3328" max="3328" width="2" style="209" customWidth="1"/>
    <col min="3329" max="3329" width="15.85546875" style="209" customWidth="1"/>
    <col min="3330" max="3330" width="9.28515625" style="209" bestFit="1" customWidth="1"/>
    <col min="3331" max="3331" width="50.28515625" style="209" customWidth="1"/>
    <col min="3332" max="3333" width="6.5703125" style="209" customWidth="1"/>
    <col min="3334" max="3334" width="7.5703125" style="209" customWidth="1"/>
    <col min="3335" max="3335" width="7.42578125" style="209" customWidth="1"/>
    <col min="3336" max="3336" width="8.42578125" style="209" customWidth="1"/>
    <col min="3337" max="3337" width="7.28515625" style="209" customWidth="1"/>
    <col min="3338" max="3338" width="7.5703125" style="209" customWidth="1"/>
    <col min="3339" max="3339" width="7.7109375" style="209" customWidth="1"/>
    <col min="3340" max="3341" width="6.42578125" style="209" customWidth="1"/>
    <col min="3342" max="3342" width="7.28515625" style="209" customWidth="1"/>
    <col min="3343" max="3343" width="7.85546875" style="209" customWidth="1"/>
    <col min="3344" max="3344" width="6.42578125" style="209" customWidth="1"/>
    <col min="3345" max="3345" width="7.28515625" style="209" customWidth="1"/>
    <col min="3346" max="3346" width="7.5703125" style="209" customWidth="1"/>
    <col min="3347" max="3347" width="8" style="209" customWidth="1"/>
    <col min="3348" max="3349" width="6.42578125" style="209" customWidth="1"/>
    <col min="3350" max="3350" width="7.28515625" style="209" customWidth="1"/>
    <col min="3351" max="3351" width="8.28515625" style="209" customWidth="1"/>
    <col min="3352" max="3353" width="6.42578125" style="209" customWidth="1"/>
    <col min="3354" max="3354" width="7.28515625" style="209" customWidth="1"/>
    <col min="3355" max="3355" width="8.28515625" style="209" customWidth="1"/>
    <col min="3356" max="3357" width="6.42578125" style="209" customWidth="1"/>
    <col min="3358" max="3358" width="7.28515625" style="209" customWidth="1"/>
    <col min="3359" max="3359" width="8.28515625" style="209" customWidth="1"/>
    <col min="3360" max="3583" width="11.42578125" style="209"/>
    <col min="3584" max="3584" width="2" style="209" customWidth="1"/>
    <col min="3585" max="3585" width="15.85546875" style="209" customWidth="1"/>
    <col min="3586" max="3586" width="9.28515625" style="209" bestFit="1" customWidth="1"/>
    <col min="3587" max="3587" width="50.28515625" style="209" customWidth="1"/>
    <col min="3588" max="3589" width="6.5703125" style="209" customWidth="1"/>
    <col min="3590" max="3590" width="7.5703125" style="209" customWidth="1"/>
    <col min="3591" max="3591" width="7.42578125" style="209" customWidth="1"/>
    <col min="3592" max="3592" width="8.42578125" style="209" customWidth="1"/>
    <col min="3593" max="3593" width="7.28515625" style="209" customWidth="1"/>
    <col min="3594" max="3594" width="7.5703125" style="209" customWidth="1"/>
    <col min="3595" max="3595" width="7.7109375" style="209" customWidth="1"/>
    <col min="3596" max="3597" width="6.42578125" style="209" customWidth="1"/>
    <col min="3598" max="3598" width="7.28515625" style="209" customWidth="1"/>
    <col min="3599" max="3599" width="7.85546875" style="209" customWidth="1"/>
    <col min="3600" max="3600" width="6.42578125" style="209" customWidth="1"/>
    <col min="3601" max="3601" width="7.28515625" style="209" customWidth="1"/>
    <col min="3602" max="3602" width="7.5703125" style="209" customWidth="1"/>
    <col min="3603" max="3603" width="8" style="209" customWidth="1"/>
    <col min="3604" max="3605" width="6.42578125" style="209" customWidth="1"/>
    <col min="3606" max="3606" width="7.28515625" style="209" customWidth="1"/>
    <col min="3607" max="3607" width="8.28515625" style="209" customWidth="1"/>
    <col min="3608" max="3609" width="6.42578125" style="209" customWidth="1"/>
    <col min="3610" max="3610" width="7.28515625" style="209" customWidth="1"/>
    <col min="3611" max="3611" width="8.28515625" style="209" customWidth="1"/>
    <col min="3612" max="3613" width="6.42578125" style="209" customWidth="1"/>
    <col min="3614" max="3614" width="7.28515625" style="209" customWidth="1"/>
    <col min="3615" max="3615" width="8.28515625" style="209" customWidth="1"/>
    <col min="3616" max="3839" width="11.42578125" style="209"/>
    <col min="3840" max="3840" width="2" style="209" customWidth="1"/>
    <col min="3841" max="3841" width="15.85546875" style="209" customWidth="1"/>
    <col min="3842" max="3842" width="9.28515625" style="209" bestFit="1" customWidth="1"/>
    <col min="3843" max="3843" width="50.28515625" style="209" customWidth="1"/>
    <col min="3844" max="3845" width="6.5703125" style="209" customWidth="1"/>
    <col min="3846" max="3846" width="7.5703125" style="209" customWidth="1"/>
    <col min="3847" max="3847" width="7.42578125" style="209" customWidth="1"/>
    <col min="3848" max="3848" width="8.42578125" style="209" customWidth="1"/>
    <col min="3849" max="3849" width="7.28515625" style="209" customWidth="1"/>
    <col min="3850" max="3850" width="7.5703125" style="209" customWidth="1"/>
    <col min="3851" max="3851" width="7.7109375" style="209" customWidth="1"/>
    <col min="3852" max="3853" width="6.42578125" style="209" customWidth="1"/>
    <col min="3854" max="3854" width="7.28515625" style="209" customWidth="1"/>
    <col min="3855" max="3855" width="7.85546875" style="209" customWidth="1"/>
    <col min="3856" max="3856" width="6.42578125" style="209" customWidth="1"/>
    <col min="3857" max="3857" width="7.28515625" style="209" customWidth="1"/>
    <col min="3858" max="3858" width="7.5703125" style="209" customWidth="1"/>
    <col min="3859" max="3859" width="8" style="209" customWidth="1"/>
    <col min="3860" max="3861" width="6.42578125" style="209" customWidth="1"/>
    <col min="3862" max="3862" width="7.28515625" style="209" customWidth="1"/>
    <col min="3863" max="3863" width="8.28515625" style="209" customWidth="1"/>
    <col min="3864" max="3865" width="6.42578125" style="209" customWidth="1"/>
    <col min="3866" max="3866" width="7.28515625" style="209" customWidth="1"/>
    <col min="3867" max="3867" width="8.28515625" style="209" customWidth="1"/>
    <col min="3868" max="3869" width="6.42578125" style="209" customWidth="1"/>
    <col min="3870" max="3870" width="7.28515625" style="209" customWidth="1"/>
    <col min="3871" max="3871" width="8.28515625" style="209" customWidth="1"/>
    <col min="3872" max="4095" width="11.42578125" style="209"/>
    <col min="4096" max="4096" width="2" style="209" customWidth="1"/>
    <col min="4097" max="4097" width="15.85546875" style="209" customWidth="1"/>
    <col min="4098" max="4098" width="9.28515625" style="209" bestFit="1" customWidth="1"/>
    <col min="4099" max="4099" width="50.28515625" style="209" customWidth="1"/>
    <col min="4100" max="4101" width="6.5703125" style="209" customWidth="1"/>
    <col min="4102" max="4102" width="7.5703125" style="209" customWidth="1"/>
    <col min="4103" max="4103" width="7.42578125" style="209" customWidth="1"/>
    <col min="4104" max="4104" width="8.42578125" style="209" customWidth="1"/>
    <col min="4105" max="4105" width="7.28515625" style="209" customWidth="1"/>
    <col min="4106" max="4106" width="7.5703125" style="209" customWidth="1"/>
    <col min="4107" max="4107" width="7.7109375" style="209" customWidth="1"/>
    <col min="4108" max="4109" width="6.42578125" style="209" customWidth="1"/>
    <col min="4110" max="4110" width="7.28515625" style="209" customWidth="1"/>
    <col min="4111" max="4111" width="7.85546875" style="209" customWidth="1"/>
    <col min="4112" max="4112" width="6.42578125" style="209" customWidth="1"/>
    <col min="4113" max="4113" width="7.28515625" style="209" customWidth="1"/>
    <col min="4114" max="4114" width="7.5703125" style="209" customWidth="1"/>
    <col min="4115" max="4115" width="8" style="209" customWidth="1"/>
    <col min="4116" max="4117" width="6.42578125" style="209" customWidth="1"/>
    <col min="4118" max="4118" width="7.28515625" style="209" customWidth="1"/>
    <col min="4119" max="4119" width="8.28515625" style="209" customWidth="1"/>
    <col min="4120" max="4121" width="6.42578125" style="209" customWidth="1"/>
    <col min="4122" max="4122" width="7.28515625" style="209" customWidth="1"/>
    <col min="4123" max="4123" width="8.28515625" style="209" customWidth="1"/>
    <col min="4124" max="4125" width="6.42578125" style="209" customWidth="1"/>
    <col min="4126" max="4126" width="7.28515625" style="209" customWidth="1"/>
    <col min="4127" max="4127" width="8.28515625" style="209" customWidth="1"/>
    <col min="4128" max="4351" width="11.42578125" style="209"/>
    <col min="4352" max="4352" width="2" style="209" customWidth="1"/>
    <col min="4353" max="4353" width="15.85546875" style="209" customWidth="1"/>
    <col min="4354" max="4354" width="9.28515625" style="209" bestFit="1" customWidth="1"/>
    <col min="4355" max="4355" width="50.28515625" style="209" customWidth="1"/>
    <col min="4356" max="4357" width="6.5703125" style="209" customWidth="1"/>
    <col min="4358" max="4358" width="7.5703125" style="209" customWidth="1"/>
    <col min="4359" max="4359" width="7.42578125" style="209" customWidth="1"/>
    <col min="4360" max="4360" width="8.42578125" style="209" customWidth="1"/>
    <col min="4361" max="4361" width="7.28515625" style="209" customWidth="1"/>
    <col min="4362" max="4362" width="7.5703125" style="209" customWidth="1"/>
    <col min="4363" max="4363" width="7.7109375" style="209" customWidth="1"/>
    <col min="4364" max="4365" width="6.42578125" style="209" customWidth="1"/>
    <col min="4366" max="4366" width="7.28515625" style="209" customWidth="1"/>
    <col min="4367" max="4367" width="7.85546875" style="209" customWidth="1"/>
    <col min="4368" max="4368" width="6.42578125" style="209" customWidth="1"/>
    <col min="4369" max="4369" width="7.28515625" style="209" customWidth="1"/>
    <col min="4370" max="4370" width="7.5703125" style="209" customWidth="1"/>
    <col min="4371" max="4371" width="8" style="209" customWidth="1"/>
    <col min="4372" max="4373" width="6.42578125" style="209" customWidth="1"/>
    <col min="4374" max="4374" width="7.28515625" style="209" customWidth="1"/>
    <col min="4375" max="4375" width="8.28515625" style="209" customWidth="1"/>
    <col min="4376" max="4377" width="6.42578125" style="209" customWidth="1"/>
    <col min="4378" max="4378" width="7.28515625" style="209" customWidth="1"/>
    <col min="4379" max="4379" width="8.28515625" style="209" customWidth="1"/>
    <col min="4380" max="4381" width="6.42578125" style="209" customWidth="1"/>
    <col min="4382" max="4382" width="7.28515625" style="209" customWidth="1"/>
    <col min="4383" max="4383" width="8.28515625" style="209" customWidth="1"/>
    <col min="4384" max="4607" width="11.42578125" style="209"/>
    <col min="4608" max="4608" width="2" style="209" customWidth="1"/>
    <col min="4609" max="4609" width="15.85546875" style="209" customWidth="1"/>
    <col min="4610" max="4610" width="9.28515625" style="209" bestFit="1" customWidth="1"/>
    <col min="4611" max="4611" width="50.28515625" style="209" customWidth="1"/>
    <col min="4612" max="4613" width="6.5703125" style="209" customWidth="1"/>
    <col min="4614" max="4614" width="7.5703125" style="209" customWidth="1"/>
    <col min="4615" max="4615" width="7.42578125" style="209" customWidth="1"/>
    <col min="4616" max="4616" width="8.42578125" style="209" customWidth="1"/>
    <col min="4617" max="4617" width="7.28515625" style="209" customWidth="1"/>
    <col min="4618" max="4618" width="7.5703125" style="209" customWidth="1"/>
    <col min="4619" max="4619" width="7.7109375" style="209" customWidth="1"/>
    <col min="4620" max="4621" width="6.42578125" style="209" customWidth="1"/>
    <col min="4622" max="4622" width="7.28515625" style="209" customWidth="1"/>
    <col min="4623" max="4623" width="7.85546875" style="209" customWidth="1"/>
    <col min="4624" max="4624" width="6.42578125" style="209" customWidth="1"/>
    <col min="4625" max="4625" width="7.28515625" style="209" customWidth="1"/>
    <col min="4626" max="4626" width="7.5703125" style="209" customWidth="1"/>
    <col min="4627" max="4627" width="8" style="209" customWidth="1"/>
    <col min="4628" max="4629" width="6.42578125" style="209" customWidth="1"/>
    <col min="4630" max="4630" width="7.28515625" style="209" customWidth="1"/>
    <col min="4631" max="4631" width="8.28515625" style="209" customWidth="1"/>
    <col min="4632" max="4633" width="6.42578125" style="209" customWidth="1"/>
    <col min="4634" max="4634" width="7.28515625" style="209" customWidth="1"/>
    <col min="4635" max="4635" width="8.28515625" style="209" customWidth="1"/>
    <col min="4636" max="4637" width="6.42578125" style="209" customWidth="1"/>
    <col min="4638" max="4638" width="7.28515625" style="209" customWidth="1"/>
    <col min="4639" max="4639" width="8.28515625" style="209" customWidth="1"/>
    <col min="4640" max="4863" width="11.42578125" style="209"/>
    <col min="4864" max="4864" width="2" style="209" customWidth="1"/>
    <col min="4865" max="4865" width="15.85546875" style="209" customWidth="1"/>
    <col min="4866" max="4866" width="9.28515625" style="209" bestFit="1" customWidth="1"/>
    <col min="4867" max="4867" width="50.28515625" style="209" customWidth="1"/>
    <col min="4868" max="4869" width="6.5703125" style="209" customWidth="1"/>
    <col min="4870" max="4870" width="7.5703125" style="209" customWidth="1"/>
    <col min="4871" max="4871" width="7.42578125" style="209" customWidth="1"/>
    <col min="4872" max="4872" width="8.42578125" style="209" customWidth="1"/>
    <col min="4873" max="4873" width="7.28515625" style="209" customWidth="1"/>
    <col min="4874" max="4874" width="7.5703125" style="209" customWidth="1"/>
    <col min="4875" max="4875" width="7.7109375" style="209" customWidth="1"/>
    <col min="4876" max="4877" width="6.42578125" style="209" customWidth="1"/>
    <col min="4878" max="4878" width="7.28515625" style="209" customWidth="1"/>
    <col min="4879" max="4879" width="7.85546875" style="209" customWidth="1"/>
    <col min="4880" max="4880" width="6.42578125" style="209" customWidth="1"/>
    <col min="4881" max="4881" width="7.28515625" style="209" customWidth="1"/>
    <col min="4882" max="4882" width="7.5703125" style="209" customWidth="1"/>
    <col min="4883" max="4883" width="8" style="209" customWidth="1"/>
    <col min="4884" max="4885" width="6.42578125" style="209" customWidth="1"/>
    <col min="4886" max="4886" width="7.28515625" style="209" customWidth="1"/>
    <col min="4887" max="4887" width="8.28515625" style="209" customWidth="1"/>
    <col min="4888" max="4889" width="6.42578125" style="209" customWidth="1"/>
    <col min="4890" max="4890" width="7.28515625" style="209" customWidth="1"/>
    <col min="4891" max="4891" width="8.28515625" style="209" customWidth="1"/>
    <col min="4892" max="4893" width="6.42578125" style="209" customWidth="1"/>
    <col min="4894" max="4894" width="7.28515625" style="209" customWidth="1"/>
    <col min="4895" max="4895" width="8.28515625" style="209" customWidth="1"/>
    <col min="4896" max="5119" width="11.42578125" style="209"/>
    <col min="5120" max="5120" width="2" style="209" customWidth="1"/>
    <col min="5121" max="5121" width="15.85546875" style="209" customWidth="1"/>
    <col min="5122" max="5122" width="9.28515625" style="209" bestFit="1" customWidth="1"/>
    <col min="5123" max="5123" width="50.28515625" style="209" customWidth="1"/>
    <col min="5124" max="5125" width="6.5703125" style="209" customWidth="1"/>
    <col min="5126" max="5126" width="7.5703125" style="209" customWidth="1"/>
    <col min="5127" max="5127" width="7.42578125" style="209" customWidth="1"/>
    <col min="5128" max="5128" width="8.42578125" style="209" customWidth="1"/>
    <col min="5129" max="5129" width="7.28515625" style="209" customWidth="1"/>
    <col min="5130" max="5130" width="7.5703125" style="209" customWidth="1"/>
    <col min="5131" max="5131" width="7.7109375" style="209" customWidth="1"/>
    <col min="5132" max="5133" width="6.42578125" style="209" customWidth="1"/>
    <col min="5134" max="5134" width="7.28515625" style="209" customWidth="1"/>
    <col min="5135" max="5135" width="7.85546875" style="209" customWidth="1"/>
    <col min="5136" max="5136" width="6.42578125" style="209" customWidth="1"/>
    <col min="5137" max="5137" width="7.28515625" style="209" customWidth="1"/>
    <col min="5138" max="5138" width="7.5703125" style="209" customWidth="1"/>
    <col min="5139" max="5139" width="8" style="209" customWidth="1"/>
    <col min="5140" max="5141" width="6.42578125" style="209" customWidth="1"/>
    <col min="5142" max="5142" width="7.28515625" style="209" customWidth="1"/>
    <col min="5143" max="5143" width="8.28515625" style="209" customWidth="1"/>
    <col min="5144" max="5145" width="6.42578125" style="209" customWidth="1"/>
    <col min="5146" max="5146" width="7.28515625" style="209" customWidth="1"/>
    <col min="5147" max="5147" width="8.28515625" style="209" customWidth="1"/>
    <col min="5148" max="5149" width="6.42578125" style="209" customWidth="1"/>
    <col min="5150" max="5150" width="7.28515625" style="209" customWidth="1"/>
    <col min="5151" max="5151" width="8.28515625" style="209" customWidth="1"/>
    <col min="5152" max="5375" width="11.42578125" style="209"/>
    <col min="5376" max="5376" width="2" style="209" customWidth="1"/>
    <col min="5377" max="5377" width="15.85546875" style="209" customWidth="1"/>
    <col min="5378" max="5378" width="9.28515625" style="209" bestFit="1" customWidth="1"/>
    <col min="5379" max="5379" width="50.28515625" style="209" customWidth="1"/>
    <col min="5380" max="5381" width="6.5703125" style="209" customWidth="1"/>
    <col min="5382" max="5382" width="7.5703125" style="209" customWidth="1"/>
    <col min="5383" max="5383" width="7.42578125" style="209" customWidth="1"/>
    <col min="5384" max="5384" width="8.42578125" style="209" customWidth="1"/>
    <col min="5385" max="5385" width="7.28515625" style="209" customWidth="1"/>
    <col min="5386" max="5386" width="7.5703125" style="209" customWidth="1"/>
    <col min="5387" max="5387" width="7.7109375" style="209" customWidth="1"/>
    <col min="5388" max="5389" width="6.42578125" style="209" customWidth="1"/>
    <col min="5390" max="5390" width="7.28515625" style="209" customWidth="1"/>
    <col min="5391" max="5391" width="7.85546875" style="209" customWidth="1"/>
    <col min="5392" max="5392" width="6.42578125" style="209" customWidth="1"/>
    <col min="5393" max="5393" width="7.28515625" style="209" customWidth="1"/>
    <col min="5394" max="5394" width="7.5703125" style="209" customWidth="1"/>
    <col min="5395" max="5395" width="8" style="209" customWidth="1"/>
    <col min="5396" max="5397" width="6.42578125" style="209" customWidth="1"/>
    <col min="5398" max="5398" width="7.28515625" style="209" customWidth="1"/>
    <col min="5399" max="5399" width="8.28515625" style="209" customWidth="1"/>
    <col min="5400" max="5401" width="6.42578125" style="209" customWidth="1"/>
    <col min="5402" max="5402" width="7.28515625" style="209" customWidth="1"/>
    <col min="5403" max="5403" width="8.28515625" style="209" customWidth="1"/>
    <col min="5404" max="5405" width="6.42578125" style="209" customWidth="1"/>
    <col min="5406" max="5406" width="7.28515625" style="209" customWidth="1"/>
    <col min="5407" max="5407" width="8.28515625" style="209" customWidth="1"/>
    <col min="5408" max="5631" width="11.42578125" style="209"/>
    <col min="5632" max="5632" width="2" style="209" customWidth="1"/>
    <col min="5633" max="5633" width="15.85546875" style="209" customWidth="1"/>
    <col min="5634" max="5634" width="9.28515625" style="209" bestFit="1" customWidth="1"/>
    <col min="5635" max="5635" width="50.28515625" style="209" customWidth="1"/>
    <col min="5636" max="5637" width="6.5703125" style="209" customWidth="1"/>
    <col min="5638" max="5638" width="7.5703125" style="209" customWidth="1"/>
    <col min="5639" max="5639" width="7.42578125" style="209" customWidth="1"/>
    <col min="5640" max="5640" width="8.42578125" style="209" customWidth="1"/>
    <col min="5641" max="5641" width="7.28515625" style="209" customWidth="1"/>
    <col min="5642" max="5642" width="7.5703125" style="209" customWidth="1"/>
    <col min="5643" max="5643" width="7.7109375" style="209" customWidth="1"/>
    <col min="5644" max="5645" width="6.42578125" style="209" customWidth="1"/>
    <col min="5646" max="5646" width="7.28515625" style="209" customWidth="1"/>
    <col min="5647" max="5647" width="7.85546875" style="209" customWidth="1"/>
    <col min="5648" max="5648" width="6.42578125" style="209" customWidth="1"/>
    <col min="5649" max="5649" width="7.28515625" style="209" customWidth="1"/>
    <col min="5650" max="5650" width="7.5703125" style="209" customWidth="1"/>
    <col min="5651" max="5651" width="8" style="209" customWidth="1"/>
    <col min="5652" max="5653" width="6.42578125" style="209" customWidth="1"/>
    <col min="5654" max="5654" width="7.28515625" style="209" customWidth="1"/>
    <col min="5655" max="5655" width="8.28515625" style="209" customWidth="1"/>
    <col min="5656" max="5657" width="6.42578125" style="209" customWidth="1"/>
    <col min="5658" max="5658" width="7.28515625" style="209" customWidth="1"/>
    <col min="5659" max="5659" width="8.28515625" style="209" customWidth="1"/>
    <col min="5660" max="5661" width="6.42578125" style="209" customWidth="1"/>
    <col min="5662" max="5662" width="7.28515625" style="209" customWidth="1"/>
    <col min="5663" max="5663" width="8.28515625" style="209" customWidth="1"/>
    <col min="5664" max="5887" width="11.42578125" style="209"/>
    <col min="5888" max="5888" width="2" style="209" customWidth="1"/>
    <col min="5889" max="5889" width="15.85546875" style="209" customWidth="1"/>
    <col min="5890" max="5890" width="9.28515625" style="209" bestFit="1" customWidth="1"/>
    <col min="5891" max="5891" width="50.28515625" style="209" customWidth="1"/>
    <col min="5892" max="5893" width="6.5703125" style="209" customWidth="1"/>
    <col min="5894" max="5894" width="7.5703125" style="209" customWidth="1"/>
    <col min="5895" max="5895" width="7.42578125" style="209" customWidth="1"/>
    <col min="5896" max="5896" width="8.42578125" style="209" customWidth="1"/>
    <col min="5897" max="5897" width="7.28515625" style="209" customWidth="1"/>
    <col min="5898" max="5898" width="7.5703125" style="209" customWidth="1"/>
    <col min="5899" max="5899" width="7.7109375" style="209" customWidth="1"/>
    <col min="5900" max="5901" width="6.42578125" style="209" customWidth="1"/>
    <col min="5902" max="5902" width="7.28515625" style="209" customWidth="1"/>
    <col min="5903" max="5903" width="7.85546875" style="209" customWidth="1"/>
    <col min="5904" max="5904" width="6.42578125" style="209" customWidth="1"/>
    <col min="5905" max="5905" width="7.28515625" style="209" customWidth="1"/>
    <col min="5906" max="5906" width="7.5703125" style="209" customWidth="1"/>
    <col min="5907" max="5907" width="8" style="209" customWidth="1"/>
    <col min="5908" max="5909" width="6.42578125" style="209" customWidth="1"/>
    <col min="5910" max="5910" width="7.28515625" style="209" customWidth="1"/>
    <col min="5911" max="5911" width="8.28515625" style="209" customWidth="1"/>
    <col min="5912" max="5913" width="6.42578125" style="209" customWidth="1"/>
    <col min="5914" max="5914" width="7.28515625" style="209" customWidth="1"/>
    <col min="5915" max="5915" width="8.28515625" style="209" customWidth="1"/>
    <col min="5916" max="5917" width="6.42578125" style="209" customWidth="1"/>
    <col min="5918" max="5918" width="7.28515625" style="209" customWidth="1"/>
    <col min="5919" max="5919" width="8.28515625" style="209" customWidth="1"/>
    <col min="5920" max="6143" width="11.42578125" style="209"/>
    <col min="6144" max="6144" width="2" style="209" customWidth="1"/>
    <col min="6145" max="6145" width="15.85546875" style="209" customWidth="1"/>
    <col min="6146" max="6146" width="9.28515625" style="209" bestFit="1" customWidth="1"/>
    <col min="6147" max="6147" width="50.28515625" style="209" customWidth="1"/>
    <col min="6148" max="6149" width="6.5703125" style="209" customWidth="1"/>
    <col min="6150" max="6150" width="7.5703125" style="209" customWidth="1"/>
    <col min="6151" max="6151" width="7.42578125" style="209" customWidth="1"/>
    <col min="6152" max="6152" width="8.42578125" style="209" customWidth="1"/>
    <col min="6153" max="6153" width="7.28515625" style="209" customWidth="1"/>
    <col min="6154" max="6154" width="7.5703125" style="209" customWidth="1"/>
    <col min="6155" max="6155" width="7.7109375" style="209" customWidth="1"/>
    <col min="6156" max="6157" width="6.42578125" style="209" customWidth="1"/>
    <col min="6158" max="6158" width="7.28515625" style="209" customWidth="1"/>
    <col min="6159" max="6159" width="7.85546875" style="209" customWidth="1"/>
    <col min="6160" max="6160" width="6.42578125" style="209" customWidth="1"/>
    <col min="6161" max="6161" width="7.28515625" style="209" customWidth="1"/>
    <col min="6162" max="6162" width="7.5703125" style="209" customWidth="1"/>
    <col min="6163" max="6163" width="8" style="209" customWidth="1"/>
    <col min="6164" max="6165" width="6.42578125" style="209" customWidth="1"/>
    <col min="6166" max="6166" width="7.28515625" style="209" customWidth="1"/>
    <col min="6167" max="6167" width="8.28515625" style="209" customWidth="1"/>
    <col min="6168" max="6169" width="6.42578125" style="209" customWidth="1"/>
    <col min="6170" max="6170" width="7.28515625" style="209" customWidth="1"/>
    <col min="6171" max="6171" width="8.28515625" style="209" customWidth="1"/>
    <col min="6172" max="6173" width="6.42578125" style="209" customWidth="1"/>
    <col min="6174" max="6174" width="7.28515625" style="209" customWidth="1"/>
    <col min="6175" max="6175" width="8.28515625" style="209" customWidth="1"/>
    <col min="6176" max="6399" width="11.42578125" style="209"/>
    <col min="6400" max="6400" width="2" style="209" customWidth="1"/>
    <col min="6401" max="6401" width="15.85546875" style="209" customWidth="1"/>
    <col min="6402" max="6402" width="9.28515625" style="209" bestFit="1" customWidth="1"/>
    <col min="6403" max="6403" width="50.28515625" style="209" customWidth="1"/>
    <col min="6404" max="6405" width="6.5703125" style="209" customWidth="1"/>
    <col min="6406" max="6406" width="7.5703125" style="209" customWidth="1"/>
    <col min="6407" max="6407" width="7.42578125" style="209" customWidth="1"/>
    <col min="6408" max="6408" width="8.42578125" style="209" customWidth="1"/>
    <col min="6409" max="6409" width="7.28515625" style="209" customWidth="1"/>
    <col min="6410" max="6410" width="7.5703125" style="209" customWidth="1"/>
    <col min="6411" max="6411" width="7.7109375" style="209" customWidth="1"/>
    <col min="6412" max="6413" width="6.42578125" style="209" customWidth="1"/>
    <col min="6414" max="6414" width="7.28515625" style="209" customWidth="1"/>
    <col min="6415" max="6415" width="7.85546875" style="209" customWidth="1"/>
    <col min="6416" max="6416" width="6.42578125" style="209" customWidth="1"/>
    <col min="6417" max="6417" width="7.28515625" style="209" customWidth="1"/>
    <col min="6418" max="6418" width="7.5703125" style="209" customWidth="1"/>
    <col min="6419" max="6419" width="8" style="209" customWidth="1"/>
    <col min="6420" max="6421" width="6.42578125" style="209" customWidth="1"/>
    <col min="6422" max="6422" width="7.28515625" style="209" customWidth="1"/>
    <col min="6423" max="6423" width="8.28515625" style="209" customWidth="1"/>
    <col min="6424" max="6425" width="6.42578125" style="209" customWidth="1"/>
    <col min="6426" max="6426" width="7.28515625" style="209" customWidth="1"/>
    <col min="6427" max="6427" width="8.28515625" style="209" customWidth="1"/>
    <col min="6428" max="6429" width="6.42578125" style="209" customWidth="1"/>
    <col min="6430" max="6430" width="7.28515625" style="209" customWidth="1"/>
    <col min="6431" max="6431" width="8.28515625" style="209" customWidth="1"/>
    <col min="6432" max="6655" width="11.42578125" style="209"/>
    <col min="6656" max="6656" width="2" style="209" customWidth="1"/>
    <col min="6657" max="6657" width="15.85546875" style="209" customWidth="1"/>
    <col min="6658" max="6658" width="9.28515625" style="209" bestFit="1" customWidth="1"/>
    <col min="6659" max="6659" width="50.28515625" style="209" customWidth="1"/>
    <col min="6660" max="6661" width="6.5703125" style="209" customWidth="1"/>
    <col min="6662" max="6662" width="7.5703125" style="209" customWidth="1"/>
    <col min="6663" max="6663" width="7.42578125" style="209" customWidth="1"/>
    <col min="6664" max="6664" width="8.42578125" style="209" customWidth="1"/>
    <col min="6665" max="6665" width="7.28515625" style="209" customWidth="1"/>
    <col min="6666" max="6666" width="7.5703125" style="209" customWidth="1"/>
    <col min="6667" max="6667" width="7.7109375" style="209" customWidth="1"/>
    <col min="6668" max="6669" width="6.42578125" style="209" customWidth="1"/>
    <col min="6670" max="6670" width="7.28515625" style="209" customWidth="1"/>
    <col min="6671" max="6671" width="7.85546875" style="209" customWidth="1"/>
    <col min="6672" max="6672" width="6.42578125" style="209" customWidth="1"/>
    <col min="6673" max="6673" width="7.28515625" style="209" customWidth="1"/>
    <col min="6674" max="6674" width="7.5703125" style="209" customWidth="1"/>
    <col min="6675" max="6675" width="8" style="209" customWidth="1"/>
    <col min="6676" max="6677" width="6.42578125" style="209" customWidth="1"/>
    <col min="6678" max="6678" width="7.28515625" style="209" customWidth="1"/>
    <col min="6679" max="6679" width="8.28515625" style="209" customWidth="1"/>
    <col min="6680" max="6681" width="6.42578125" style="209" customWidth="1"/>
    <col min="6682" max="6682" width="7.28515625" style="209" customWidth="1"/>
    <col min="6683" max="6683" width="8.28515625" style="209" customWidth="1"/>
    <col min="6684" max="6685" width="6.42578125" style="209" customWidth="1"/>
    <col min="6686" max="6686" width="7.28515625" style="209" customWidth="1"/>
    <col min="6687" max="6687" width="8.28515625" style="209" customWidth="1"/>
    <col min="6688" max="6911" width="11.42578125" style="209"/>
    <col min="6912" max="6912" width="2" style="209" customWidth="1"/>
    <col min="6913" max="6913" width="15.85546875" style="209" customWidth="1"/>
    <col min="6914" max="6914" width="9.28515625" style="209" bestFit="1" customWidth="1"/>
    <col min="6915" max="6915" width="50.28515625" style="209" customWidth="1"/>
    <col min="6916" max="6917" width="6.5703125" style="209" customWidth="1"/>
    <col min="6918" max="6918" width="7.5703125" style="209" customWidth="1"/>
    <col min="6919" max="6919" width="7.42578125" style="209" customWidth="1"/>
    <col min="6920" max="6920" width="8.42578125" style="209" customWidth="1"/>
    <col min="6921" max="6921" width="7.28515625" style="209" customWidth="1"/>
    <col min="6922" max="6922" width="7.5703125" style="209" customWidth="1"/>
    <col min="6923" max="6923" width="7.7109375" style="209" customWidth="1"/>
    <col min="6924" max="6925" width="6.42578125" style="209" customWidth="1"/>
    <col min="6926" max="6926" width="7.28515625" style="209" customWidth="1"/>
    <col min="6927" max="6927" width="7.85546875" style="209" customWidth="1"/>
    <col min="6928" max="6928" width="6.42578125" style="209" customWidth="1"/>
    <col min="6929" max="6929" width="7.28515625" style="209" customWidth="1"/>
    <col min="6930" max="6930" width="7.5703125" style="209" customWidth="1"/>
    <col min="6931" max="6931" width="8" style="209" customWidth="1"/>
    <col min="6932" max="6933" width="6.42578125" style="209" customWidth="1"/>
    <col min="6934" max="6934" width="7.28515625" style="209" customWidth="1"/>
    <col min="6935" max="6935" width="8.28515625" style="209" customWidth="1"/>
    <col min="6936" max="6937" width="6.42578125" style="209" customWidth="1"/>
    <col min="6938" max="6938" width="7.28515625" style="209" customWidth="1"/>
    <col min="6939" max="6939" width="8.28515625" style="209" customWidth="1"/>
    <col min="6940" max="6941" width="6.42578125" style="209" customWidth="1"/>
    <col min="6942" max="6942" width="7.28515625" style="209" customWidth="1"/>
    <col min="6943" max="6943" width="8.28515625" style="209" customWidth="1"/>
    <col min="6944" max="7167" width="11.42578125" style="209"/>
    <col min="7168" max="7168" width="2" style="209" customWidth="1"/>
    <col min="7169" max="7169" width="15.85546875" style="209" customWidth="1"/>
    <col min="7170" max="7170" width="9.28515625" style="209" bestFit="1" customWidth="1"/>
    <col min="7171" max="7171" width="50.28515625" style="209" customWidth="1"/>
    <col min="7172" max="7173" width="6.5703125" style="209" customWidth="1"/>
    <col min="7174" max="7174" width="7.5703125" style="209" customWidth="1"/>
    <col min="7175" max="7175" width="7.42578125" style="209" customWidth="1"/>
    <col min="7176" max="7176" width="8.42578125" style="209" customWidth="1"/>
    <col min="7177" max="7177" width="7.28515625" style="209" customWidth="1"/>
    <col min="7178" max="7178" width="7.5703125" style="209" customWidth="1"/>
    <col min="7179" max="7179" width="7.7109375" style="209" customWidth="1"/>
    <col min="7180" max="7181" width="6.42578125" style="209" customWidth="1"/>
    <col min="7182" max="7182" width="7.28515625" style="209" customWidth="1"/>
    <col min="7183" max="7183" width="7.85546875" style="209" customWidth="1"/>
    <col min="7184" max="7184" width="6.42578125" style="209" customWidth="1"/>
    <col min="7185" max="7185" width="7.28515625" style="209" customWidth="1"/>
    <col min="7186" max="7186" width="7.5703125" style="209" customWidth="1"/>
    <col min="7187" max="7187" width="8" style="209" customWidth="1"/>
    <col min="7188" max="7189" width="6.42578125" style="209" customWidth="1"/>
    <col min="7190" max="7190" width="7.28515625" style="209" customWidth="1"/>
    <col min="7191" max="7191" width="8.28515625" style="209" customWidth="1"/>
    <col min="7192" max="7193" width="6.42578125" style="209" customWidth="1"/>
    <col min="7194" max="7194" width="7.28515625" style="209" customWidth="1"/>
    <col min="7195" max="7195" width="8.28515625" style="209" customWidth="1"/>
    <col min="7196" max="7197" width="6.42578125" style="209" customWidth="1"/>
    <col min="7198" max="7198" width="7.28515625" style="209" customWidth="1"/>
    <col min="7199" max="7199" width="8.28515625" style="209" customWidth="1"/>
    <col min="7200" max="7423" width="11.42578125" style="209"/>
    <col min="7424" max="7424" width="2" style="209" customWidth="1"/>
    <col min="7425" max="7425" width="15.85546875" style="209" customWidth="1"/>
    <col min="7426" max="7426" width="9.28515625" style="209" bestFit="1" customWidth="1"/>
    <col min="7427" max="7427" width="50.28515625" style="209" customWidth="1"/>
    <col min="7428" max="7429" width="6.5703125" style="209" customWidth="1"/>
    <col min="7430" max="7430" width="7.5703125" style="209" customWidth="1"/>
    <col min="7431" max="7431" width="7.42578125" style="209" customWidth="1"/>
    <col min="7432" max="7432" width="8.42578125" style="209" customWidth="1"/>
    <col min="7433" max="7433" width="7.28515625" style="209" customWidth="1"/>
    <col min="7434" max="7434" width="7.5703125" style="209" customWidth="1"/>
    <col min="7435" max="7435" width="7.7109375" style="209" customWidth="1"/>
    <col min="7436" max="7437" width="6.42578125" style="209" customWidth="1"/>
    <col min="7438" max="7438" width="7.28515625" style="209" customWidth="1"/>
    <col min="7439" max="7439" width="7.85546875" style="209" customWidth="1"/>
    <col min="7440" max="7440" width="6.42578125" style="209" customWidth="1"/>
    <col min="7441" max="7441" width="7.28515625" style="209" customWidth="1"/>
    <col min="7442" max="7442" width="7.5703125" style="209" customWidth="1"/>
    <col min="7443" max="7443" width="8" style="209" customWidth="1"/>
    <col min="7444" max="7445" width="6.42578125" style="209" customWidth="1"/>
    <col min="7446" max="7446" width="7.28515625" style="209" customWidth="1"/>
    <col min="7447" max="7447" width="8.28515625" style="209" customWidth="1"/>
    <col min="7448" max="7449" width="6.42578125" style="209" customWidth="1"/>
    <col min="7450" max="7450" width="7.28515625" style="209" customWidth="1"/>
    <col min="7451" max="7451" width="8.28515625" style="209" customWidth="1"/>
    <col min="7452" max="7453" width="6.42578125" style="209" customWidth="1"/>
    <col min="7454" max="7454" width="7.28515625" style="209" customWidth="1"/>
    <col min="7455" max="7455" width="8.28515625" style="209" customWidth="1"/>
    <col min="7456" max="7679" width="11.42578125" style="209"/>
    <col min="7680" max="7680" width="2" style="209" customWidth="1"/>
    <col min="7681" max="7681" width="15.85546875" style="209" customWidth="1"/>
    <col min="7682" max="7682" width="9.28515625" style="209" bestFit="1" customWidth="1"/>
    <col min="7683" max="7683" width="50.28515625" style="209" customWidth="1"/>
    <col min="7684" max="7685" width="6.5703125" style="209" customWidth="1"/>
    <col min="7686" max="7686" width="7.5703125" style="209" customWidth="1"/>
    <col min="7687" max="7687" width="7.42578125" style="209" customWidth="1"/>
    <col min="7688" max="7688" width="8.42578125" style="209" customWidth="1"/>
    <col min="7689" max="7689" width="7.28515625" style="209" customWidth="1"/>
    <col min="7690" max="7690" width="7.5703125" style="209" customWidth="1"/>
    <col min="7691" max="7691" width="7.7109375" style="209" customWidth="1"/>
    <col min="7692" max="7693" width="6.42578125" style="209" customWidth="1"/>
    <col min="7694" max="7694" width="7.28515625" style="209" customWidth="1"/>
    <col min="7695" max="7695" width="7.85546875" style="209" customWidth="1"/>
    <col min="7696" max="7696" width="6.42578125" style="209" customWidth="1"/>
    <col min="7697" max="7697" width="7.28515625" style="209" customWidth="1"/>
    <col min="7698" max="7698" width="7.5703125" style="209" customWidth="1"/>
    <col min="7699" max="7699" width="8" style="209" customWidth="1"/>
    <col min="7700" max="7701" width="6.42578125" style="209" customWidth="1"/>
    <col min="7702" max="7702" width="7.28515625" style="209" customWidth="1"/>
    <col min="7703" max="7703" width="8.28515625" style="209" customWidth="1"/>
    <col min="7704" max="7705" width="6.42578125" style="209" customWidth="1"/>
    <col min="7706" max="7706" width="7.28515625" style="209" customWidth="1"/>
    <col min="7707" max="7707" width="8.28515625" style="209" customWidth="1"/>
    <col min="7708" max="7709" width="6.42578125" style="209" customWidth="1"/>
    <col min="7710" max="7710" width="7.28515625" style="209" customWidth="1"/>
    <col min="7711" max="7711" width="8.28515625" style="209" customWidth="1"/>
    <col min="7712" max="7935" width="11.42578125" style="209"/>
    <col min="7936" max="7936" width="2" style="209" customWidth="1"/>
    <col min="7937" max="7937" width="15.85546875" style="209" customWidth="1"/>
    <col min="7938" max="7938" width="9.28515625" style="209" bestFit="1" customWidth="1"/>
    <col min="7939" max="7939" width="50.28515625" style="209" customWidth="1"/>
    <col min="7940" max="7941" width="6.5703125" style="209" customWidth="1"/>
    <col min="7942" max="7942" width="7.5703125" style="209" customWidth="1"/>
    <col min="7943" max="7943" width="7.42578125" style="209" customWidth="1"/>
    <col min="7944" max="7944" width="8.42578125" style="209" customWidth="1"/>
    <col min="7945" max="7945" width="7.28515625" style="209" customWidth="1"/>
    <col min="7946" max="7946" width="7.5703125" style="209" customWidth="1"/>
    <col min="7947" max="7947" width="7.7109375" style="209" customWidth="1"/>
    <col min="7948" max="7949" width="6.42578125" style="209" customWidth="1"/>
    <col min="7950" max="7950" width="7.28515625" style="209" customWidth="1"/>
    <col min="7951" max="7951" width="7.85546875" style="209" customWidth="1"/>
    <col min="7952" max="7952" width="6.42578125" style="209" customWidth="1"/>
    <col min="7953" max="7953" width="7.28515625" style="209" customWidth="1"/>
    <col min="7954" max="7954" width="7.5703125" style="209" customWidth="1"/>
    <col min="7955" max="7955" width="8" style="209" customWidth="1"/>
    <col min="7956" max="7957" width="6.42578125" style="209" customWidth="1"/>
    <col min="7958" max="7958" width="7.28515625" style="209" customWidth="1"/>
    <col min="7959" max="7959" width="8.28515625" style="209" customWidth="1"/>
    <col min="7960" max="7961" width="6.42578125" style="209" customWidth="1"/>
    <col min="7962" max="7962" width="7.28515625" style="209" customWidth="1"/>
    <col min="7963" max="7963" width="8.28515625" style="209" customWidth="1"/>
    <col min="7964" max="7965" width="6.42578125" style="209" customWidth="1"/>
    <col min="7966" max="7966" width="7.28515625" style="209" customWidth="1"/>
    <col min="7967" max="7967" width="8.28515625" style="209" customWidth="1"/>
    <col min="7968" max="8191" width="11.42578125" style="209"/>
    <col min="8192" max="8192" width="2" style="209" customWidth="1"/>
    <col min="8193" max="8193" width="15.85546875" style="209" customWidth="1"/>
    <col min="8194" max="8194" width="9.28515625" style="209" bestFit="1" customWidth="1"/>
    <col min="8195" max="8195" width="50.28515625" style="209" customWidth="1"/>
    <col min="8196" max="8197" width="6.5703125" style="209" customWidth="1"/>
    <col min="8198" max="8198" width="7.5703125" style="209" customWidth="1"/>
    <col min="8199" max="8199" width="7.42578125" style="209" customWidth="1"/>
    <col min="8200" max="8200" width="8.42578125" style="209" customWidth="1"/>
    <col min="8201" max="8201" width="7.28515625" style="209" customWidth="1"/>
    <col min="8202" max="8202" width="7.5703125" style="209" customWidth="1"/>
    <col min="8203" max="8203" width="7.7109375" style="209" customWidth="1"/>
    <col min="8204" max="8205" width="6.42578125" style="209" customWidth="1"/>
    <col min="8206" max="8206" width="7.28515625" style="209" customWidth="1"/>
    <col min="8207" max="8207" width="7.85546875" style="209" customWidth="1"/>
    <col min="8208" max="8208" width="6.42578125" style="209" customWidth="1"/>
    <col min="8209" max="8209" width="7.28515625" style="209" customWidth="1"/>
    <col min="8210" max="8210" width="7.5703125" style="209" customWidth="1"/>
    <col min="8211" max="8211" width="8" style="209" customWidth="1"/>
    <col min="8212" max="8213" width="6.42578125" style="209" customWidth="1"/>
    <col min="8214" max="8214" width="7.28515625" style="209" customWidth="1"/>
    <col min="8215" max="8215" width="8.28515625" style="209" customWidth="1"/>
    <col min="8216" max="8217" width="6.42578125" style="209" customWidth="1"/>
    <col min="8218" max="8218" width="7.28515625" style="209" customWidth="1"/>
    <col min="8219" max="8219" width="8.28515625" style="209" customWidth="1"/>
    <col min="8220" max="8221" width="6.42578125" style="209" customWidth="1"/>
    <col min="8222" max="8222" width="7.28515625" style="209" customWidth="1"/>
    <col min="8223" max="8223" width="8.28515625" style="209" customWidth="1"/>
    <col min="8224" max="8447" width="11.42578125" style="209"/>
    <col min="8448" max="8448" width="2" style="209" customWidth="1"/>
    <col min="8449" max="8449" width="15.85546875" style="209" customWidth="1"/>
    <col min="8450" max="8450" width="9.28515625" style="209" bestFit="1" customWidth="1"/>
    <col min="8451" max="8451" width="50.28515625" style="209" customWidth="1"/>
    <col min="8452" max="8453" width="6.5703125" style="209" customWidth="1"/>
    <col min="8454" max="8454" width="7.5703125" style="209" customWidth="1"/>
    <col min="8455" max="8455" width="7.42578125" style="209" customWidth="1"/>
    <col min="8456" max="8456" width="8.42578125" style="209" customWidth="1"/>
    <col min="8457" max="8457" width="7.28515625" style="209" customWidth="1"/>
    <col min="8458" max="8458" width="7.5703125" style="209" customWidth="1"/>
    <col min="8459" max="8459" width="7.7109375" style="209" customWidth="1"/>
    <col min="8460" max="8461" width="6.42578125" style="209" customWidth="1"/>
    <col min="8462" max="8462" width="7.28515625" style="209" customWidth="1"/>
    <col min="8463" max="8463" width="7.85546875" style="209" customWidth="1"/>
    <col min="8464" max="8464" width="6.42578125" style="209" customWidth="1"/>
    <col min="8465" max="8465" width="7.28515625" style="209" customWidth="1"/>
    <col min="8466" max="8466" width="7.5703125" style="209" customWidth="1"/>
    <col min="8467" max="8467" width="8" style="209" customWidth="1"/>
    <col min="8468" max="8469" width="6.42578125" style="209" customWidth="1"/>
    <col min="8470" max="8470" width="7.28515625" style="209" customWidth="1"/>
    <col min="8471" max="8471" width="8.28515625" style="209" customWidth="1"/>
    <col min="8472" max="8473" width="6.42578125" style="209" customWidth="1"/>
    <col min="8474" max="8474" width="7.28515625" style="209" customWidth="1"/>
    <col min="8475" max="8475" width="8.28515625" style="209" customWidth="1"/>
    <col min="8476" max="8477" width="6.42578125" style="209" customWidth="1"/>
    <col min="8478" max="8478" width="7.28515625" style="209" customWidth="1"/>
    <col min="8479" max="8479" width="8.28515625" style="209" customWidth="1"/>
    <col min="8480" max="8703" width="11.42578125" style="209"/>
    <col min="8704" max="8704" width="2" style="209" customWidth="1"/>
    <col min="8705" max="8705" width="15.85546875" style="209" customWidth="1"/>
    <col min="8706" max="8706" width="9.28515625" style="209" bestFit="1" customWidth="1"/>
    <col min="8707" max="8707" width="50.28515625" style="209" customWidth="1"/>
    <col min="8708" max="8709" width="6.5703125" style="209" customWidth="1"/>
    <col min="8710" max="8710" width="7.5703125" style="209" customWidth="1"/>
    <col min="8711" max="8711" width="7.42578125" style="209" customWidth="1"/>
    <col min="8712" max="8712" width="8.42578125" style="209" customWidth="1"/>
    <col min="8713" max="8713" width="7.28515625" style="209" customWidth="1"/>
    <col min="8714" max="8714" width="7.5703125" style="209" customWidth="1"/>
    <col min="8715" max="8715" width="7.7109375" style="209" customWidth="1"/>
    <col min="8716" max="8717" width="6.42578125" style="209" customWidth="1"/>
    <col min="8718" max="8718" width="7.28515625" style="209" customWidth="1"/>
    <col min="8719" max="8719" width="7.85546875" style="209" customWidth="1"/>
    <col min="8720" max="8720" width="6.42578125" style="209" customWidth="1"/>
    <col min="8721" max="8721" width="7.28515625" style="209" customWidth="1"/>
    <col min="8722" max="8722" width="7.5703125" style="209" customWidth="1"/>
    <col min="8723" max="8723" width="8" style="209" customWidth="1"/>
    <col min="8724" max="8725" width="6.42578125" style="209" customWidth="1"/>
    <col min="8726" max="8726" width="7.28515625" style="209" customWidth="1"/>
    <col min="8727" max="8727" width="8.28515625" style="209" customWidth="1"/>
    <col min="8728" max="8729" width="6.42578125" style="209" customWidth="1"/>
    <col min="8730" max="8730" width="7.28515625" style="209" customWidth="1"/>
    <col min="8731" max="8731" width="8.28515625" style="209" customWidth="1"/>
    <col min="8732" max="8733" width="6.42578125" style="209" customWidth="1"/>
    <col min="8734" max="8734" width="7.28515625" style="209" customWidth="1"/>
    <col min="8735" max="8735" width="8.28515625" style="209" customWidth="1"/>
    <col min="8736" max="8959" width="11.42578125" style="209"/>
    <col min="8960" max="8960" width="2" style="209" customWidth="1"/>
    <col min="8961" max="8961" width="15.85546875" style="209" customWidth="1"/>
    <col min="8962" max="8962" width="9.28515625" style="209" bestFit="1" customWidth="1"/>
    <col min="8963" max="8963" width="50.28515625" style="209" customWidth="1"/>
    <col min="8964" max="8965" width="6.5703125" style="209" customWidth="1"/>
    <col min="8966" max="8966" width="7.5703125" style="209" customWidth="1"/>
    <col min="8967" max="8967" width="7.42578125" style="209" customWidth="1"/>
    <col min="8968" max="8968" width="8.42578125" style="209" customWidth="1"/>
    <col min="8969" max="8969" width="7.28515625" style="209" customWidth="1"/>
    <col min="8970" max="8970" width="7.5703125" style="209" customWidth="1"/>
    <col min="8971" max="8971" width="7.7109375" style="209" customWidth="1"/>
    <col min="8972" max="8973" width="6.42578125" style="209" customWidth="1"/>
    <col min="8974" max="8974" width="7.28515625" style="209" customWidth="1"/>
    <col min="8975" max="8975" width="7.85546875" style="209" customWidth="1"/>
    <col min="8976" max="8976" width="6.42578125" style="209" customWidth="1"/>
    <col min="8977" max="8977" width="7.28515625" style="209" customWidth="1"/>
    <col min="8978" max="8978" width="7.5703125" style="209" customWidth="1"/>
    <col min="8979" max="8979" width="8" style="209" customWidth="1"/>
    <col min="8980" max="8981" width="6.42578125" style="209" customWidth="1"/>
    <col min="8982" max="8982" width="7.28515625" style="209" customWidth="1"/>
    <col min="8983" max="8983" width="8.28515625" style="209" customWidth="1"/>
    <col min="8984" max="8985" width="6.42578125" style="209" customWidth="1"/>
    <col min="8986" max="8986" width="7.28515625" style="209" customWidth="1"/>
    <col min="8987" max="8987" width="8.28515625" style="209" customWidth="1"/>
    <col min="8988" max="8989" width="6.42578125" style="209" customWidth="1"/>
    <col min="8990" max="8990" width="7.28515625" style="209" customWidth="1"/>
    <col min="8991" max="8991" width="8.28515625" style="209" customWidth="1"/>
    <col min="8992" max="9215" width="11.42578125" style="209"/>
    <col min="9216" max="9216" width="2" style="209" customWidth="1"/>
    <col min="9217" max="9217" width="15.85546875" style="209" customWidth="1"/>
    <col min="9218" max="9218" width="9.28515625" style="209" bestFit="1" customWidth="1"/>
    <col min="9219" max="9219" width="50.28515625" style="209" customWidth="1"/>
    <col min="9220" max="9221" width="6.5703125" style="209" customWidth="1"/>
    <col min="9222" max="9222" width="7.5703125" style="209" customWidth="1"/>
    <col min="9223" max="9223" width="7.42578125" style="209" customWidth="1"/>
    <col min="9224" max="9224" width="8.42578125" style="209" customWidth="1"/>
    <col min="9225" max="9225" width="7.28515625" style="209" customWidth="1"/>
    <col min="9226" max="9226" width="7.5703125" style="209" customWidth="1"/>
    <col min="9227" max="9227" width="7.7109375" style="209" customWidth="1"/>
    <col min="9228" max="9229" width="6.42578125" style="209" customWidth="1"/>
    <col min="9230" max="9230" width="7.28515625" style="209" customWidth="1"/>
    <col min="9231" max="9231" width="7.85546875" style="209" customWidth="1"/>
    <col min="9232" max="9232" width="6.42578125" style="209" customWidth="1"/>
    <col min="9233" max="9233" width="7.28515625" style="209" customWidth="1"/>
    <col min="9234" max="9234" width="7.5703125" style="209" customWidth="1"/>
    <col min="9235" max="9235" width="8" style="209" customWidth="1"/>
    <col min="9236" max="9237" width="6.42578125" style="209" customWidth="1"/>
    <col min="9238" max="9238" width="7.28515625" style="209" customWidth="1"/>
    <col min="9239" max="9239" width="8.28515625" style="209" customWidth="1"/>
    <col min="9240" max="9241" width="6.42578125" style="209" customWidth="1"/>
    <col min="9242" max="9242" width="7.28515625" style="209" customWidth="1"/>
    <col min="9243" max="9243" width="8.28515625" style="209" customWidth="1"/>
    <col min="9244" max="9245" width="6.42578125" style="209" customWidth="1"/>
    <col min="9246" max="9246" width="7.28515625" style="209" customWidth="1"/>
    <col min="9247" max="9247" width="8.28515625" style="209" customWidth="1"/>
    <col min="9248" max="9471" width="11.42578125" style="209"/>
    <col min="9472" max="9472" width="2" style="209" customWidth="1"/>
    <col min="9473" max="9473" width="15.85546875" style="209" customWidth="1"/>
    <col min="9474" max="9474" width="9.28515625" style="209" bestFit="1" customWidth="1"/>
    <col min="9475" max="9475" width="50.28515625" style="209" customWidth="1"/>
    <col min="9476" max="9477" width="6.5703125" style="209" customWidth="1"/>
    <col min="9478" max="9478" width="7.5703125" style="209" customWidth="1"/>
    <col min="9479" max="9479" width="7.42578125" style="209" customWidth="1"/>
    <col min="9480" max="9480" width="8.42578125" style="209" customWidth="1"/>
    <col min="9481" max="9481" width="7.28515625" style="209" customWidth="1"/>
    <col min="9482" max="9482" width="7.5703125" style="209" customWidth="1"/>
    <col min="9483" max="9483" width="7.7109375" style="209" customWidth="1"/>
    <col min="9484" max="9485" width="6.42578125" style="209" customWidth="1"/>
    <col min="9486" max="9486" width="7.28515625" style="209" customWidth="1"/>
    <col min="9487" max="9487" width="7.85546875" style="209" customWidth="1"/>
    <col min="9488" max="9488" width="6.42578125" style="209" customWidth="1"/>
    <col min="9489" max="9489" width="7.28515625" style="209" customWidth="1"/>
    <col min="9490" max="9490" width="7.5703125" style="209" customWidth="1"/>
    <col min="9491" max="9491" width="8" style="209" customWidth="1"/>
    <col min="9492" max="9493" width="6.42578125" style="209" customWidth="1"/>
    <col min="9494" max="9494" width="7.28515625" style="209" customWidth="1"/>
    <col min="9495" max="9495" width="8.28515625" style="209" customWidth="1"/>
    <col min="9496" max="9497" width="6.42578125" style="209" customWidth="1"/>
    <col min="9498" max="9498" width="7.28515625" style="209" customWidth="1"/>
    <col min="9499" max="9499" width="8.28515625" style="209" customWidth="1"/>
    <col min="9500" max="9501" width="6.42578125" style="209" customWidth="1"/>
    <col min="9502" max="9502" width="7.28515625" style="209" customWidth="1"/>
    <col min="9503" max="9503" width="8.28515625" style="209" customWidth="1"/>
    <col min="9504" max="9727" width="11.42578125" style="209"/>
    <col min="9728" max="9728" width="2" style="209" customWidth="1"/>
    <col min="9729" max="9729" width="15.85546875" style="209" customWidth="1"/>
    <col min="9730" max="9730" width="9.28515625" style="209" bestFit="1" customWidth="1"/>
    <col min="9731" max="9731" width="50.28515625" style="209" customWidth="1"/>
    <col min="9732" max="9733" width="6.5703125" style="209" customWidth="1"/>
    <col min="9734" max="9734" width="7.5703125" style="209" customWidth="1"/>
    <col min="9735" max="9735" width="7.42578125" style="209" customWidth="1"/>
    <col min="9736" max="9736" width="8.42578125" style="209" customWidth="1"/>
    <col min="9737" max="9737" width="7.28515625" style="209" customWidth="1"/>
    <col min="9738" max="9738" width="7.5703125" style="209" customWidth="1"/>
    <col min="9739" max="9739" width="7.7109375" style="209" customWidth="1"/>
    <col min="9740" max="9741" width="6.42578125" style="209" customWidth="1"/>
    <col min="9742" max="9742" width="7.28515625" style="209" customWidth="1"/>
    <col min="9743" max="9743" width="7.85546875" style="209" customWidth="1"/>
    <col min="9744" max="9744" width="6.42578125" style="209" customWidth="1"/>
    <col min="9745" max="9745" width="7.28515625" style="209" customWidth="1"/>
    <col min="9746" max="9746" width="7.5703125" style="209" customWidth="1"/>
    <col min="9747" max="9747" width="8" style="209" customWidth="1"/>
    <col min="9748" max="9749" width="6.42578125" style="209" customWidth="1"/>
    <col min="9750" max="9750" width="7.28515625" style="209" customWidth="1"/>
    <col min="9751" max="9751" width="8.28515625" style="209" customWidth="1"/>
    <col min="9752" max="9753" width="6.42578125" style="209" customWidth="1"/>
    <col min="9754" max="9754" width="7.28515625" style="209" customWidth="1"/>
    <col min="9755" max="9755" width="8.28515625" style="209" customWidth="1"/>
    <col min="9756" max="9757" width="6.42578125" style="209" customWidth="1"/>
    <col min="9758" max="9758" width="7.28515625" style="209" customWidth="1"/>
    <col min="9759" max="9759" width="8.28515625" style="209" customWidth="1"/>
    <col min="9760" max="9983" width="11.42578125" style="209"/>
    <col min="9984" max="9984" width="2" style="209" customWidth="1"/>
    <col min="9985" max="9985" width="15.85546875" style="209" customWidth="1"/>
    <col min="9986" max="9986" width="9.28515625" style="209" bestFit="1" customWidth="1"/>
    <col min="9987" max="9987" width="50.28515625" style="209" customWidth="1"/>
    <col min="9988" max="9989" width="6.5703125" style="209" customWidth="1"/>
    <col min="9990" max="9990" width="7.5703125" style="209" customWidth="1"/>
    <col min="9991" max="9991" width="7.42578125" style="209" customWidth="1"/>
    <col min="9992" max="9992" width="8.42578125" style="209" customWidth="1"/>
    <col min="9993" max="9993" width="7.28515625" style="209" customWidth="1"/>
    <col min="9994" max="9994" width="7.5703125" style="209" customWidth="1"/>
    <col min="9995" max="9995" width="7.7109375" style="209" customWidth="1"/>
    <col min="9996" max="9997" width="6.42578125" style="209" customWidth="1"/>
    <col min="9998" max="9998" width="7.28515625" style="209" customWidth="1"/>
    <col min="9999" max="9999" width="7.85546875" style="209" customWidth="1"/>
    <col min="10000" max="10000" width="6.42578125" style="209" customWidth="1"/>
    <col min="10001" max="10001" width="7.28515625" style="209" customWidth="1"/>
    <col min="10002" max="10002" width="7.5703125" style="209" customWidth="1"/>
    <col min="10003" max="10003" width="8" style="209" customWidth="1"/>
    <col min="10004" max="10005" width="6.42578125" style="209" customWidth="1"/>
    <col min="10006" max="10006" width="7.28515625" style="209" customWidth="1"/>
    <col min="10007" max="10007" width="8.28515625" style="209" customWidth="1"/>
    <col min="10008" max="10009" width="6.42578125" style="209" customWidth="1"/>
    <col min="10010" max="10010" width="7.28515625" style="209" customWidth="1"/>
    <col min="10011" max="10011" width="8.28515625" style="209" customWidth="1"/>
    <col min="10012" max="10013" width="6.42578125" style="209" customWidth="1"/>
    <col min="10014" max="10014" width="7.28515625" style="209" customWidth="1"/>
    <col min="10015" max="10015" width="8.28515625" style="209" customWidth="1"/>
    <col min="10016" max="10239" width="11.42578125" style="209"/>
    <col min="10240" max="10240" width="2" style="209" customWidth="1"/>
    <col min="10241" max="10241" width="15.85546875" style="209" customWidth="1"/>
    <col min="10242" max="10242" width="9.28515625" style="209" bestFit="1" customWidth="1"/>
    <col min="10243" max="10243" width="50.28515625" style="209" customWidth="1"/>
    <col min="10244" max="10245" width="6.5703125" style="209" customWidth="1"/>
    <col min="10246" max="10246" width="7.5703125" style="209" customWidth="1"/>
    <col min="10247" max="10247" width="7.42578125" style="209" customWidth="1"/>
    <col min="10248" max="10248" width="8.42578125" style="209" customWidth="1"/>
    <col min="10249" max="10249" width="7.28515625" style="209" customWidth="1"/>
    <col min="10250" max="10250" width="7.5703125" style="209" customWidth="1"/>
    <col min="10251" max="10251" width="7.7109375" style="209" customWidth="1"/>
    <col min="10252" max="10253" width="6.42578125" style="209" customWidth="1"/>
    <col min="10254" max="10254" width="7.28515625" style="209" customWidth="1"/>
    <col min="10255" max="10255" width="7.85546875" style="209" customWidth="1"/>
    <col min="10256" max="10256" width="6.42578125" style="209" customWidth="1"/>
    <col min="10257" max="10257" width="7.28515625" style="209" customWidth="1"/>
    <col min="10258" max="10258" width="7.5703125" style="209" customWidth="1"/>
    <col min="10259" max="10259" width="8" style="209" customWidth="1"/>
    <col min="10260" max="10261" width="6.42578125" style="209" customWidth="1"/>
    <col min="10262" max="10262" width="7.28515625" style="209" customWidth="1"/>
    <col min="10263" max="10263" width="8.28515625" style="209" customWidth="1"/>
    <col min="10264" max="10265" width="6.42578125" style="209" customWidth="1"/>
    <col min="10266" max="10266" width="7.28515625" style="209" customWidth="1"/>
    <col min="10267" max="10267" width="8.28515625" style="209" customWidth="1"/>
    <col min="10268" max="10269" width="6.42578125" style="209" customWidth="1"/>
    <col min="10270" max="10270" width="7.28515625" style="209" customWidth="1"/>
    <col min="10271" max="10271" width="8.28515625" style="209" customWidth="1"/>
    <col min="10272" max="10495" width="11.42578125" style="209"/>
    <col min="10496" max="10496" width="2" style="209" customWidth="1"/>
    <col min="10497" max="10497" width="15.85546875" style="209" customWidth="1"/>
    <col min="10498" max="10498" width="9.28515625" style="209" bestFit="1" customWidth="1"/>
    <col min="10499" max="10499" width="50.28515625" style="209" customWidth="1"/>
    <col min="10500" max="10501" width="6.5703125" style="209" customWidth="1"/>
    <col min="10502" max="10502" width="7.5703125" style="209" customWidth="1"/>
    <col min="10503" max="10503" width="7.42578125" style="209" customWidth="1"/>
    <col min="10504" max="10504" width="8.42578125" style="209" customWidth="1"/>
    <col min="10505" max="10505" width="7.28515625" style="209" customWidth="1"/>
    <col min="10506" max="10506" width="7.5703125" style="209" customWidth="1"/>
    <col min="10507" max="10507" width="7.7109375" style="209" customWidth="1"/>
    <col min="10508" max="10509" width="6.42578125" style="209" customWidth="1"/>
    <col min="10510" max="10510" width="7.28515625" style="209" customWidth="1"/>
    <col min="10511" max="10511" width="7.85546875" style="209" customWidth="1"/>
    <col min="10512" max="10512" width="6.42578125" style="209" customWidth="1"/>
    <col min="10513" max="10513" width="7.28515625" style="209" customWidth="1"/>
    <col min="10514" max="10514" width="7.5703125" style="209" customWidth="1"/>
    <col min="10515" max="10515" width="8" style="209" customWidth="1"/>
    <col min="10516" max="10517" width="6.42578125" style="209" customWidth="1"/>
    <col min="10518" max="10518" width="7.28515625" style="209" customWidth="1"/>
    <col min="10519" max="10519" width="8.28515625" style="209" customWidth="1"/>
    <col min="10520" max="10521" width="6.42578125" style="209" customWidth="1"/>
    <col min="10522" max="10522" width="7.28515625" style="209" customWidth="1"/>
    <col min="10523" max="10523" width="8.28515625" style="209" customWidth="1"/>
    <col min="10524" max="10525" width="6.42578125" style="209" customWidth="1"/>
    <col min="10526" max="10526" width="7.28515625" style="209" customWidth="1"/>
    <col min="10527" max="10527" width="8.28515625" style="209" customWidth="1"/>
    <col min="10528" max="10751" width="11.42578125" style="209"/>
    <col min="10752" max="10752" width="2" style="209" customWidth="1"/>
    <col min="10753" max="10753" width="15.85546875" style="209" customWidth="1"/>
    <col min="10754" max="10754" width="9.28515625" style="209" bestFit="1" customWidth="1"/>
    <col min="10755" max="10755" width="50.28515625" style="209" customWidth="1"/>
    <col min="10756" max="10757" width="6.5703125" style="209" customWidth="1"/>
    <col min="10758" max="10758" width="7.5703125" style="209" customWidth="1"/>
    <col min="10759" max="10759" width="7.42578125" style="209" customWidth="1"/>
    <col min="10760" max="10760" width="8.42578125" style="209" customWidth="1"/>
    <col min="10761" max="10761" width="7.28515625" style="209" customWidth="1"/>
    <col min="10762" max="10762" width="7.5703125" style="209" customWidth="1"/>
    <col min="10763" max="10763" width="7.7109375" style="209" customWidth="1"/>
    <col min="10764" max="10765" width="6.42578125" style="209" customWidth="1"/>
    <col min="10766" max="10766" width="7.28515625" style="209" customWidth="1"/>
    <col min="10767" max="10767" width="7.85546875" style="209" customWidth="1"/>
    <col min="10768" max="10768" width="6.42578125" style="209" customWidth="1"/>
    <col min="10769" max="10769" width="7.28515625" style="209" customWidth="1"/>
    <col min="10770" max="10770" width="7.5703125" style="209" customWidth="1"/>
    <col min="10771" max="10771" width="8" style="209" customWidth="1"/>
    <col min="10772" max="10773" width="6.42578125" style="209" customWidth="1"/>
    <col min="10774" max="10774" width="7.28515625" style="209" customWidth="1"/>
    <col min="10775" max="10775" width="8.28515625" style="209" customWidth="1"/>
    <col min="10776" max="10777" width="6.42578125" style="209" customWidth="1"/>
    <col min="10778" max="10778" width="7.28515625" style="209" customWidth="1"/>
    <col min="10779" max="10779" width="8.28515625" style="209" customWidth="1"/>
    <col min="10780" max="10781" width="6.42578125" style="209" customWidth="1"/>
    <col min="10782" max="10782" width="7.28515625" style="209" customWidth="1"/>
    <col min="10783" max="10783" width="8.28515625" style="209" customWidth="1"/>
    <col min="10784" max="11007" width="11.42578125" style="209"/>
    <col min="11008" max="11008" width="2" style="209" customWidth="1"/>
    <col min="11009" max="11009" width="15.85546875" style="209" customWidth="1"/>
    <col min="11010" max="11010" width="9.28515625" style="209" bestFit="1" customWidth="1"/>
    <col min="11011" max="11011" width="50.28515625" style="209" customWidth="1"/>
    <col min="11012" max="11013" width="6.5703125" style="209" customWidth="1"/>
    <col min="11014" max="11014" width="7.5703125" style="209" customWidth="1"/>
    <col min="11015" max="11015" width="7.42578125" style="209" customWidth="1"/>
    <col min="11016" max="11016" width="8.42578125" style="209" customWidth="1"/>
    <col min="11017" max="11017" width="7.28515625" style="209" customWidth="1"/>
    <col min="11018" max="11018" width="7.5703125" style="209" customWidth="1"/>
    <col min="11019" max="11019" width="7.7109375" style="209" customWidth="1"/>
    <col min="11020" max="11021" width="6.42578125" style="209" customWidth="1"/>
    <col min="11022" max="11022" width="7.28515625" style="209" customWidth="1"/>
    <col min="11023" max="11023" width="7.85546875" style="209" customWidth="1"/>
    <col min="11024" max="11024" width="6.42578125" style="209" customWidth="1"/>
    <col min="11025" max="11025" width="7.28515625" style="209" customWidth="1"/>
    <col min="11026" max="11026" width="7.5703125" style="209" customWidth="1"/>
    <col min="11027" max="11027" width="8" style="209" customWidth="1"/>
    <col min="11028" max="11029" width="6.42578125" style="209" customWidth="1"/>
    <col min="11030" max="11030" width="7.28515625" style="209" customWidth="1"/>
    <col min="11031" max="11031" width="8.28515625" style="209" customWidth="1"/>
    <col min="11032" max="11033" width="6.42578125" style="209" customWidth="1"/>
    <col min="11034" max="11034" width="7.28515625" style="209" customWidth="1"/>
    <col min="11035" max="11035" width="8.28515625" style="209" customWidth="1"/>
    <col min="11036" max="11037" width="6.42578125" style="209" customWidth="1"/>
    <col min="11038" max="11038" width="7.28515625" style="209" customWidth="1"/>
    <col min="11039" max="11039" width="8.28515625" style="209" customWidth="1"/>
    <col min="11040" max="11263" width="11.42578125" style="209"/>
    <col min="11264" max="11264" width="2" style="209" customWidth="1"/>
    <col min="11265" max="11265" width="15.85546875" style="209" customWidth="1"/>
    <col min="11266" max="11266" width="9.28515625" style="209" bestFit="1" customWidth="1"/>
    <col min="11267" max="11267" width="50.28515625" style="209" customWidth="1"/>
    <col min="11268" max="11269" width="6.5703125" style="209" customWidth="1"/>
    <col min="11270" max="11270" width="7.5703125" style="209" customWidth="1"/>
    <col min="11271" max="11271" width="7.42578125" style="209" customWidth="1"/>
    <col min="11272" max="11272" width="8.42578125" style="209" customWidth="1"/>
    <col min="11273" max="11273" width="7.28515625" style="209" customWidth="1"/>
    <col min="11274" max="11274" width="7.5703125" style="209" customWidth="1"/>
    <col min="11275" max="11275" width="7.7109375" style="209" customWidth="1"/>
    <col min="11276" max="11277" width="6.42578125" style="209" customWidth="1"/>
    <col min="11278" max="11278" width="7.28515625" style="209" customWidth="1"/>
    <col min="11279" max="11279" width="7.85546875" style="209" customWidth="1"/>
    <col min="11280" max="11280" width="6.42578125" style="209" customWidth="1"/>
    <col min="11281" max="11281" width="7.28515625" style="209" customWidth="1"/>
    <col min="11282" max="11282" width="7.5703125" style="209" customWidth="1"/>
    <col min="11283" max="11283" width="8" style="209" customWidth="1"/>
    <col min="11284" max="11285" width="6.42578125" style="209" customWidth="1"/>
    <col min="11286" max="11286" width="7.28515625" style="209" customWidth="1"/>
    <col min="11287" max="11287" width="8.28515625" style="209" customWidth="1"/>
    <col min="11288" max="11289" width="6.42578125" style="209" customWidth="1"/>
    <col min="11290" max="11290" width="7.28515625" style="209" customWidth="1"/>
    <col min="11291" max="11291" width="8.28515625" style="209" customWidth="1"/>
    <col min="11292" max="11293" width="6.42578125" style="209" customWidth="1"/>
    <col min="11294" max="11294" width="7.28515625" style="209" customWidth="1"/>
    <col min="11295" max="11295" width="8.28515625" style="209" customWidth="1"/>
    <col min="11296" max="11519" width="11.42578125" style="209"/>
    <col min="11520" max="11520" width="2" style="209" customWidth="1"/>
    <col min="11521" max="11521" width="15.85546875" style="209" customWidth="1"/>
    <col min="11522" max="11522" width="9.28515625" style="209" bestFit="1" customWidth="1"/>
    <col min="11523" max="11523" width="50.28515625" style="209" customWidth="1"/>
    <col min="11524" max="11525" width="6.5703125" style="209" customWidth="1"/>
    <col min="11526" max="11526" width="7.5703125" style="209" customWidth="1"/>
    <col min="11527" max="11527" width="7.42578125" style="209" customWidth="1"/>
    <col min="11528" max="11528" width="8.42578125" style="209" customWidth="1"/>
    <col min="11529" max="11529" width="7.28515625" style="209" customWidth="1"/>
    <col min="11530" max="11530" width="7.5703125" style="209" customWidth="1"/>
    <col min="11531" max="11531" width="7.7109375" style="209" customWidth="1"/>
    <col min="11532" max="11533" width="6.42578125" style="209" customWidth="1"/>
    <col min="11534" max="11534" width="7.28515625" style="209" customWidth="1"/>
    <col min="11535" max="11535" width="7.85546875" style="209" customWidth="1"/>
    <col min="11536" max="11536" width="6.42578125" style="209" customWidth="1"/>
    <col min="11537" max="11537" width="7.28515625" style="209" customWidth="1"/>
    <col min="11538" max="11538" width="7.5703125" style="209" customWidth="1"/>
    <col min="11539" max="11539" width="8" style="209" customWidth="1"/>
    <col min="11540" max="11541" width="6.42578125" style="209" customWidth="1"/>
    <col min="11542" max="11542" width="7.28515625" style="209" customWidth="1"/>
    <col min="11543" max="11543" width="8.28515625" style="209" customWidth="1"/>
    <col min="11544" max="11545" width="6.42578125" style="209" customWidth="1"/>
    <col min="11546" max="11546" width="7.28515625" style="209" customWidth="1"/>
    <col min="11547" max="11547" width="8.28515625" style="209" customWidth="1"/>
    <col min="11548" max="11549" width="6.42578125" style="209" customWidth="1"/>
    <col min="11550" max="11550" width="7.28515625" style="209" customWidth="1"/>
    <col min="11551" max="11551" width="8.28515625" style="209" customWidth="1"/>
    <col min="11552" max="11775" width="11.42578125" style="209"/>
    <col min="11776" max="11776" width="2" style="209" customWidth="1"/>
    <col min="11777" max="11777" width="15.85546875" style="209" customWidth="1"/>
    <col min="11778" max="11778" width="9.28515625" style="209" bestFit="1" customWidth="1"/>
    <col min="11779" max="11779" width="50.28515625" style="209" customWidth="1"/>
    <col min="11780" max="11781" width="6.5703125" style="209" customWidth="1"/>
    <col min="11782" max="11782" width="7.5703125" style="209" customWidth="1"/>
    <col min="11783" max="11783" width="7.42578125" style="209" customWidth="1"/>
    <col min="11784" max="11784" width="8.42578125" style="209" customWidth="1"/>
    <col min="11785" max="11785" width="7.28515625" style="209" customWidth="1"/>
    <col min="11786" max="11786" width="7.5703125" style="209" customWidth="1"/>
    <col min="11787" max="11787" width="7.7109375" style="209" customWidth="1"/>
    <col min="11788" max="11789" width="6.42578125" style="209" customWidth="1"/>
    <col min="11790" max="11790" width="7.28515625" style="209" customWidth="1"/>
    <col min="11791" max="11791" width="7.85546875" style="209" customWidth="1"/>
    <col min="11792" max="11792" width="6.42578125" style="209" customWidth="1"/>
    <col min="11793" max="11793" width="7.28515625" style="209" customWidth="1"/>
    <col min="11794" max="11794" width="7.5703125" style="209" customWidth="1"/>
    <col min="11795" max="11795" width="8" style="209" customWidth="1"/>
    <col min="11796" max="11797" width="6.42578125" style="209" customWidth="1"/>
    <col min="11798" max="11798" width="7.28515625" style="209" customWidth="1"/>
    <col min="11799" max="11799" width="8.28515625" style="209" customWidth="1"/>
    <col min="11800" max="11801" width="6.42578125" style="209" customWidth="1"/>
    <col min="11802" max="11802" width="7.28515625" style="209" customWidth="1"/>
    <col min="11803" max="11803" width="8.28515625" style="209" customWidth="1"/>
    <col min="11804" max="11805" width="6.42578125" style="209" customWidth="1"/>
    <col min="11806" max="11806" width="7.28515625" style="209" customWidth="1"/>
    <col min="11807" max="11807" width="8.28515625" style="209" customWidth="1"/>
    <col min="11808" max="12031" width="11.42578125" style="209"/>
    <col min="12032" max="12032" width="2" style="209" customWidth="1"/>
    <col min="12033" max="12033" width="15.85546875" style="209" customWidth="1"/>
    <col min="12034" max="12034" width="9.28515625" style="209" bestFit="1" customWidth="1"/>
    <col min="12035" max="12035" width="50.28515625" style="209" customWidth="1"/>
    <col min="12036" max="12037" width="6.5703125" style="209" customWidth="1"/>
    <col min="12038" max="12038" width="7.5703125" style="209" customWidth="1"/>
    <col min="12039" max="12039" width="7.42578125" style="209" customWidth="1"/>
    <col min="12040" max="12040" width="8.42578125" style="209" customWidth="1"/>
    <col min="12041" max="12041" width="7.28515625" style="209" customWidth="1"/>
    <col min="12042" max="12042" width="7.5703125" style="209" customWidth="1"/>
    <col min="12043" max="12043" width="7.7109375" style="209" customWidth="1"/>
    <col min="12044" max="12045" width="6.42578125" style="209" customWidth="1"/>
    <col min="12046" max="12046" width="7.28515625" style="209" customWidth="1"/>
    <col min="12047" max="12047" width="7.85546875" style="209" customWidth="1"/>
    <col min="12048" max="12048" width="6.42578125" style="209" customWidth="1"/>
    <col min="12049" max="12049" width="7.28515625" style="209" customWidth="1"/>
    <col min="12050" max="12050" width="7.5703125" style="209" customWidth="1"/>
    <col min="12051" max="12051" width="8" style="209" customWidth="1"/>
    <col min="12052" max="12053" width="6.42578125" style="209" customWidth="1"/>
    <col min="12054" max="12054" width="7.28515625" style="209" customWidth="1"/>
    <col min="12055" max="12055" width="8.28515625" style="209" customWidth="1"/>
    <col min="12056" max="12057" width="6.42578125" style="209" customWidth="1"/>
    <col min="12058" max="12058" width="7.28515625" style="209" customWidth="1"/>
    <col min="12059" max="12059" width="8.28515625" style="209" customWidth="1"/>
    <col min="12060" max="12061" width="6.42578125" style="209" customWidth="1"/>
    <col min="12062" max="12062" width="7.28515625" style="209" customWidth="1"/>
    <col min="12063" max="12063" width="8.28515625" style="209" customWidth="1"/>
    <col min="12064" max="12287" width="11.42578125" style="209"/>
    <col min="12288" max="12288" width="2" style="209" customWidth="1"/>
    <col min="12289" max="12289" width="15.85546875" style="209" customWidth="1"/>
    <col min="12290" max="12290" width="9.28515625" style="209" bestFit="1" customWidth="1"/>
    <col min="12291" max="12291" width="50.28515625" style="209" customWidth="1"/>
    <col min="12292" max="12293" width="6.5703125" style="209" customWidth="1"/>
    <col min="12294" max="12294" width="7.5703125" style="209" customWidth="1"/>
    <col min="12295" max="12295" width="7.42578125" style="209" customWidth="1"/>
    <col min="12296" max="12296" width="8.42578125" style="209" customWidth="1"/>
    <col min="12297" max="12297" width="7.28515625" style="209" customWidth="1"/>
    <col min="12298" max="12298" width="7.5703125" style="209" customWidth="1"/>
    <col min="12299" max="12299" width="7.7109375" style="209" customWidth="1"/>
    <col min="12300" max="12301" width="6.42578125" style="209" customWidth="1"/>
    <col min="12302" max="12302" width="7.28515625" style="209" customWidth="1"/>
    <col min="12303" max="12303" width="7.85546875" style="209" customWidth="1"/>
    <col min="12304" max="12304" width="6.42578125" style="209" customWidth="1"/>
    <col min="12305" max="12305" width="7.28515625" style="209" customWidth="1"/>
    <col min="12306" max="12306" width="7.5703125" style="209" customWidth="1"/>
    <col min="12307" max="12307" width="8" style="209" customWidth="1"/>
    <col min="12308" max="12309" width="6.42578125" style="209" customWidth="1"/>
    <col min="12310" max="12310" width="7.28515625" style="209" customWidth="1"/>
    <col min="12311" max="12311" width="8.28515625" style="209" customWidth="1"/>
    <col min="12312" max="12313" width="6.42578125" style="209" customWidth="1"/>
    <col min="12314" max="12314" width="7.28515625" style="209" customWidth="1"/>
    <col min="12315" max="12315" width="8.28515625" style="209" customWidth="1"/>
    <col min="12316" max="12317" width="6.42578125" style="209" customWidth="1"/>
    <col min="12318" max="12318" width="7.28515625" style="209" customWidth="1"/>
    <col min="12319" max="12319" width="8.28515625" style="209" customWidth="1"/>
    <col min="12320" max="12543" width="11.42578125" style="209"/>
    <col min="12544" max="12544" width="2" style="209" customWidth="1"/>
    <col min="12545" max="12545" width="15.85546875" style="209" customWidth="1"/>
    <col min="12546" max="12546" width="9.28515625" style="209" bestFit="1" customWidth="1"/>
    <col min="12547" max="12547" width="50.28515625" style="209" customWidth="1"/>
    <col min="12548" max="12549" width="6.5703125" style="209" customWidth="1"/>
    <col min="12550" max="12550" width="7.5703125" style="209" customWidth="1"/>
    <col min="12551" max="12551" width="7.42578125" style="209" customWidth="1"/>
    <col min="12552" max="12552" width="8.42578125" style="209" customWidth="1"/>
    <col min="12553" max="12553" width="7.28515625" style="209" customWidth="1"/>
    <col min="12554" max="12554" width="7.5703125" style="209" customWidth="1"/>
    <col min="12555" max="12555" width="7.7109375" style="209" customWidth="1"/>
    <col min="12556" max="12557" width="6.42578125" style="209" customWidth="1"/>
    <col min="12558" max="12558" width="7.28515625" style="209" customWidth="1"/>
    <col min="12559" max="12559" width="7.85546875" style="209" customWidth="1"/>
    <col min="12560" max="12560" width="6.42578125" style="209" customWidth="1"/>
    <col min="12561" max="12561" width="7.28515625" style="209" customWidth="1"/>
    <col min="12562" max="12562" width="7.5703125" style="209" customWidth="1"/>
    <col min="12563" max="12563" width="8" style="209" customWidth="1"/>
    <col min="12564" max="12565" width="6.42578125" style="209" customWidth="1"/>
    <col min="12566" max="12566" width="7.28515625" style="209" customWidth="1"/>
    <col min="12567" max="12567" width="8.28515625" style="209" customWidth="1"/>
    <col min="12568" max="12569" width="6.42578125" style="209" customWidth="1"/>
    <col min="12570" max="12570" width="7.28515625" style="209" customWidth="1"/>
    <col min="12571" max="12571" width="8.28515625" style="209" customWidth="1"/>
    <col min="12572" max="12573" width="6.42578125" style="209" customWidth="1"/>
    <col min="12574" max="12574" width="7.28515625" style="209" customWidth="1"/>
    <col min="12575" max="12575" width="8.28515625" style="209" customWidth="1"/>
    <col min="12576" max="12799" width="11.42578125" style="209"/>
    <col min="12800" max="12800" width="2" style="209" customWidth="1"/>
    <col min="12801" max="12801" width="15.85546875" style="209" customWidth="1"/>
    <col min="12802" max="12802" width="9.28515625" style="209" bestFit="1" customWidth="1"/>
    <col min="12803" max="12803" width="50.28515625" style="209" customWidth="1"/>
    <col min="12804" max="12805" width="6.5703125" style="209" customWidth="1"/>
    <col min="12806" max="12806" width="7.5703125" style="209" customWidth="1"/>
    <col min="12807" max="12807" width="7.42578125" style="209" customWidth="1"/>
    <col min="12808" max="12808" width="8.42578125" style="209" customWidth="1"/>
    <col min="12809" max="12809" width="7.28515625" style="209" customWidth="1"/>
    <col min="12810" max="12810" width="7.5703125" style="209" customWidth="1"/>
    <col min="12811" max="12811" width="7.7109375" style="209" customWidth="1"/>
    <col min="12812" max="12813" width="6.42578125" style="209" customWidth="1"/>
    <col min="12814" max="12814" width="7.28515625" style="209" customWidth="1"/>
    <col min="12815" max="12815" width="7.85546875" style="209" customWidth="1"/>
    <col min="12816" max="12816" width="6.42578125" style="209" customWidth="1"/>
    <col min="12817" max="12817" width="7.28515625" style="209" customWidth="1"/>
    <col min="12818" max="12818" width="7.5703125" style="209" customWidth="1"/>
    <col min="12819" max="12819" width="8" style="209" customWidth="1"/>
    <col min="12820" max="12821" width="6.42578125" style="209" customWidth="1"/>
    <col min="12822" max="12822" width="7.28515625" style="209" customWidth="1"/>
    <col min="12823" max="12823" width="8.28515625" style="209" customWidth="1"/>
    <col min="12824" max="12825" width="6.42578125" style="209" customWidth="1"/>
    <col min="12826" max="12826" width="7.28515625" style="209" customWidth="1"/>
    <col min="12827" max="12827" width="8.28515625" style="209" customWidth="1"/>
    <col min="12828" max="12829" width="6.42578125" style="209" customWidth="1"/>
    <col min="12830" max="12830" width="7.28515625" style="209" customWidth="1"/>
    <col min="12831" max="12831" width="8.28515625" style="209" customWidth="1"/>
    <col min="12832" max="13055" width="11.42578125" style="209"/>
    <col min="13056" max="13056" width="2" style="209" customWidth="1"/>
    <col min="13057" max="13057" width="15.85546875" style="209" customWidth="1"/>
    <col min="13058" max="13058" width="9.28515625" style="209" bestFit="1" customWidth="1"/>
    <col min="13059" max="13059" width="50.28515625" style="209" customWidth="1"/>
    <col min="13060" max="13061" width="6.5703125" style="209" customWidth="1"/>
    <col min="13062" max="13062" width="7.5703125" style="209" customWidth="1"/>
    <col min="13063" max="13063" width="7.42578125" style="209" customWidth="1"/>
    <col min="13064" max="13064" width="8.42578125" style="209" customWidth="1"/>
    <col min="13065" max="13065" width="7.28515625" style="209" customWidth="1"/>
    <col min="13066" max="13066" width="7.5703125" style="209" customWidth="1"/>
    <col min="13067" max="13067" width="7.7109375" style="209" customWidth="1"/>
    <col min="13068" max="13069" width="6.42578125" style="209" customWidth="1"/>
    <col min="13070" max="13070" width="7.28515625" style="209" customWidth="1"/>
    <col min="13071" max="13071" width="7.85546875" style="209" customWidth="1"/>
    <col min="13072" max="13072" width="6.42578125" style="209" customWidth="1"/>
    <col min="13073" max="13073" width="7.28515625" style="209" customWidth="1"/>
    <col min="13074" max="13074" width="7.5703125" style="209" customWidth="1"/>
    <col min="13075" max="13075" width="8" style="209" customWidth="1"/>
    <col min="13076" max="13077" width="6.42578125" style="209" customWidth="1"/>
    <col min="13078" max="13078" width="7.28515625" style="209" customWidth="1"/>
    <col min="13079" max="13079" width="8.28515625" style="209" customWidth="1"/>
    <col min="13080" max="13081" width="6.42578125" style="209" customWidth="1"/>
    <col min="13082" max="13082" width="7.28515625" style="209" customWidth="1"/>
    <col min="13083" max="13083" width="8.28515625" style="209" customWidth="1"/>
    <col min="13084" max="13085" width="6.42578125" style="209" customWidth="1"/>
    <col min="13086" max="13086" width="7.28515625" style="209" customWidth="1"/>
    <col min="13087" max="13087" width="8.28515625" style="209" customWidth="1"/>
    <col min="13088" max="13311" width="11.42578125" style="209"/>
    <col min="13312" max="13312" width="2" style="209" customWidth="1"/>
    <col min="13313" max="13313" width="15.85546875" style="209" customWidth="1"/>
    <col min="13314" max="13314" width="9.28515625" style="209" bestFit="1" customWidth="1"/>
    <col min="13315" max="13315" width="50.28515625" style="209" customWidth="1"/>
    <col min="13316" max="13317" width="6.5703125" style="209" customWidth="1"/>
    <col min="13318" max="13318" width="7.5703125" style="209" customWidth="1"/>
    <col min="13319" max="13319" width="7.42578125" style="209" customWidth="1"/>
    <col min="13320" max="13320" width="8.42578125" style="209" customWidth="1"/>
    <col min="13321" max="13321" width="7.28515625" style="209" customWidth="1"/>
    <col min="13322" max="13322" width="7.5703125" style="209" customWidth="1"/>
    <col min="13323" max="13323" width="7.7109375" style="209" customWidth="1"/>
    <col min="13324" max="13325" width="6.42578125" style="209" customWidth="1"/>
    <col min="13326" max="13326" width="7.28515625" style="209" customWidth="1"/>
    <col min="13327" max="13327" width="7.85546875" style="209" customWidth="1"/>
    <col min="13328" max="13328" width="6.42578125" style="209" customWidth="1"/>
    <col min="13329" max="13329" width="7.28515625" style="209" customWidth="1"/>
    <col min="13330" max="13330" width="7.5703125" style="209" customWidth="1"/>
    <col min="13331" max="13331" width="8" style="209" customWidth="1"/>
    <col min="13332" max="13333" width="6.42578125" style="209" customWidth="1"/>
    <col min="13334" max="13334" width="7.28515625" style="209" customWidth="1"/>
    <col min="13335" max="13335" width="8.28515625" style="209" customWidth="1"/>
    <col min="13336" max="13337" width="6.42578125" style="209" customWidth="1"/>
    <col min="13338" max="13338" width="7.28515625" style="209" customWidth="1"/>
    <col min="13339" max="13339" width="8.28515625" style="209" customWidth="1"/>
    <col min="13340" max="13341" width="6.42578125" style="209" customWidth="1"/>
    <col min="13342" max="13342" width="7.28515625" style="209" customWidth="1"/>
    <col min="13343" max="13343" width="8.28515625" style="209" customWidth="1"/>
    <col min="13344" max="13567" width="11.42578125" style="209"/>
    <col min="13568" max="13568" width="2" style="209" customWidth="1"/>
    <col min="13569" max="13569" width="15.85546875" style="209" customWidth="1"/>
    <col min="13570" max="13570" width="9.28515625" style="209" bestFit="1" customWidth="1"/>
    <col min="13571" max="13571" width="50.28515625" style="209" customWidth="1"/>
    <col min="13572" max="13573" width="6.5703125" style="209" customWidth="1"/>
    <col min="13574" max="13574" width="7.5703125" style="209" customWidth="1"/>
    <col min="13575" max="13575" width="7.42578125" style="209" customWidth="1"/>
    <col min="13576" max="13576" width="8.42578125" style="209" customWidth="1"/>
    <col min="13577" max="13577" width="7.28515625" style="209" customWidth="1"/>
    <col min="13578" max="13578" width="7.5703125" style="209" customWidth="1"/>
    <col min="13579" max="13579" width="7.7109375" style="209" customWidth="1"/>
    <col min="13580" max="13581" width="6.42578125" style="209" customWidth="1"/>
    <col min="13582" max="13582" width="7.28515625" style="209" customWidth="1"/>
    <col min="13583" max="13583" width="7.85546875" style="209" customWidth="1"/>
    <col min="13584" max="13584" width="6.42578125" style="209" customWidth="1"/>
    <col min="13585" max="13585" width="7.28515625" style="209" customWidth="1"/>
    <col min="13586" max="13586" width="7.5703125" style="209" customWidth="1"/>
    <col min="13587" max="13587" width="8" style="209" customWidth="1"/>
    <col min="13588" max="13589" width="6.42578125" style="209" customWidth="1"/>
    <col min="13590" max="13590" width="7.28515625" style="209" customWidth="1"/>
    <col min="13591" max="13591" width="8.28515625" style="209" customWidth="1"/>
    <col min="13592" max="13593" width="6.42578125" style="209" customWidth="1"/>
    <col min="13594" max="13594" width="7.28515625" style="209" customWidth="1"/>
    <col min="13595" max="13595" width="8.28515625" style="209" customWidth="1"/>
    <col min="13596" max="13597" width="6.42578125" style="209" customWidth="1"/>
    <col min="13598" max="13598" width="7.28515625" style="209" customWidth="1"/>
    <col min="13599" max="13599" width="8.28515625" style="209" customWidth="1"/>
    <col min="13600" max="13823" width="11.42578125" style="209"/>
    <col min="13824" max="13824" width="2" style="209" customWidth="1"/>
    <col min="13825" max="13825" width="15.85546875" style="209" customWidth="1"/>
    <col min="13826" max="13826" width="9.28515625" style="209" bestFit="1" customWidth="1"/>
    <col min="13827" max="13827" width="50.28515625" style="209" customWidth="1"/>
    <col min="13828" max="13829" width="6.5703125" style="209" customWidth="1"/>
    <col min="13830" max="13830" width="7.5703125" style="209" customWidth="1"/>
    <col min="13831" max="13831" width="7.42578125" style="209" customWidth="1"/>
    <col min="13832" max="13832" width="8.42578125" style="209" customWidth="1"/>
    <col min="13833" max="13833" width="7.28515625" style="209" customWidth="1"/>
    <col min="13834" max="13834" width="7.5703125" style="209" customWidth="1"/>
    <col min="13835" max="13835" width="7.7109375" style="209" customWidth="1"/>
    <col min="13836" max="13837" width="6.42578125" style="209" customWidth="1"/>
    <col min="13838" max="13838" width="7.28515625" style="209" customWidth="1"/>
    <col min="13839" max="13839" width="7.85546875" style="209" customWidth="1"/>
    <col min="13840" max="13840" width="6.42578125" style="209" customWidth="1"/>
    <col min="13841" max="13841" width="7.28515625" style="209" customWidth="1"/>
    <col min="13842" max="13842" width="7.5703125" style="209" customWidth="1"/>
    <col min="13843" max="13843" width="8" style="209" customWidth="1"/>
    <col min="13844" max="13845" width="6.42578125" style="209" customWidth="1"/>
    <col min="13846" max="13846" width="7.28515625" style="209" customWidth="1"/>
    <col min="13847" max="13847" width="8.28515625" style="209" customWidth="1"/>
    <col min="13848" max="13849" width="6.42578125" style="209" customWidth="1"/>
    <col min="13850" max="13850" width="7.28515625" style="209" customWidth="1"/>
    <col min="13851" max="13851" width="8.28515625" style="209" customWidth="1"/>
    <col min="13852" max="13853" width="6.42578125" style="209" customWidth="1"/>
    <col min="13854" max="13854" width="7.28515625" style="209" customWidth="1"/>
    <col min="13855" max="13855" width="8.28515625" style="209" customWidth="1"/>
    <col min="13856" max="14079" width="11.42578125" style="209"/>
    <col min="14080" max="14080" width="2" style="209" customWidth="1"/>
    <col min="14081" max="14081" width="15.85546875" style="209" customWidth="1"/>
    <col min="14082" max="14082" width="9.28515625" style="209" bestFit="1" customWidth="1"/>
    <col min="14083" max="14083" width="50.28515625" style="209" customWidth="1"/>
    <col min="14084" max="14085" width="6.5703125" style="209" customWidth="1"/>
    <col min="14086" max="14086" width="7.5703125" style="209" customWidth="1"/>
    <col min="14087" max="14087" width="7.42578125" style="209" customWidth="1"/>
    <col min="14088" max="14088" width="8.42578125" style="209" customWidth="1"/>
    <col min="14089" max="14089" width="7.28515625" style="209" customWidth="1"/>
    <col min="14090" max="14090" width="7.5703125" style="209" customWidth="1"/>
    <col min="14091" max="14091" width="7.7109375" style="209" customWidth="1"/>
    <col min="14092" max="14093" width="6.42578125" style="209" customWidth="1"/>
    <col min="14094" max="14094" width="7.28515625" style="209" customWidth="1"/>
    <col min="14095" max="14095" width="7.85546875" style="209" customWidth="1"/>
    <col min="14096" max="14096" width="6.42578125" style="209" customWidth="1"/>
    <col min="14097" max="14097" width="7.28515625" style="209" customWidth="1"/>
    <col min="14098" max="14098" width="7.5703125" style="209" customWidth="1"/>
    <col min="14099" max="14099" width="8" style="209" customWidth="1"/>
    <col min="14100" max="14101" width="6.42578125" style="209" customWidth="1"/>
    <col min="14102" max="14102" width="7.28515625" style="209" customWidth="1"/>
    <col min="14103" max="14103" width="8.28515625" style="209" customWidth="1"/>
    <col min="14104" max="14105" width="6.42578125" style="209" customWidth="1"/>
    <col min="14106" max="14106" width="7.28515625" style="209" customWidth="1"/>
    <col min="14107" max="14107" width="8.28515625" style="209" customWidth="1"/>
    <col min="14108" max="14109" width="6.42578125" style="209" customWidth="1"/>
    <col min="14110" max="14110" width="7.28515625" style="209" customWidth="1"/>
    <col min="14111" max="14111" width="8.28515625" style="209" customWidth="1"/>
    <col min="14112" max="14335" width="11.42578125" style="209"/>
    <col min="14336" max="14336" width="2" style="209" customWidth="1"/>
    <col min="14337" max="14337" width="15.85546875" style="209" customWidth="1"/>
    <col min="14338" max="14338" width="9.28515625" style="209" bestFit="1" customWidth="1"/>
    <col min="14339" max="14339" width="50.28515625" style="209" customWidth="1"/>
    <col min="14340" max="14341" width="6.5703125" style="209" customWidth="1"/>
    <col min="14342" max="14342" width="7.5703125" style="209" customWidth="1"/>
    <col min="14343" max="14343" width="7.42578125" style="209" customWidth="1"/>
    <col min="14344" max="14344" width="8.42578125" style="209" customWidth="1"/>
    <col min="14345" max="14345" width="7.28515625" style="209" customWidth="1"/>
    <col min="14346" max="14346" width="7.5703125" style="209" customWidth="1"/>
    <col min="14347" max="14347" width="7.7109375" style="209" customWidth="1"/>
    <col min="14348" max="14349" width="6.42578125" style="209" customWidth="1"/>
    <col min="14350" max="14350" width="7.28515625" style="209" customWidth="1"/>
    <col min="14351" max="14351" width="7.85546875" style="209" customWidth="1"/>
    <col min="14352" max="14352" width="6.42578125" style="209" customWidth="1"/>
    <col min="14353" max="14353" width="7.28515625" style="209" customWidth="1"/>
    <col min="14354" max="14354" width="7.5703125" style="209" customWidth="1"/>
    <col min="14355" max="14355" width="8" style="209" customWidth="1"/>
    <col min="14356" max="14357" width="6.42578125" style="209" customWidth="1"/>
    <col min="14358" max="14358" width="7.28515625" style="209" customWidth="1"/>
    <col min="14359" max="14359" width="8.28515625" style="209" customWidth="1"/>
    <col min="14360" max="14361" width="6.42578125" style="209" customWidth="1"/>
    <col min="14362" max="14362" width="7.28515625" style="209" customWidth="1"/>
    <col min="14363" max="14363" width="8.28515625" style="209" customWidth="1"/>
    <col min="14364" max="14365" width="6.42578125" style="209" customWidth="1"/>
    <col min="14366" max="14366" width="7.28515625" style="209" customWidth="1"/>
    <col min="14367" max="14367" width="8.28515625" style="209" customWidth="1"/>
    <col min="14368" max="14591" width="11.42578125" style="209"/>
    <col min="14592" max="14592" width="2" style="209" customWidth="1"/>
    <col min="14593" max="14593" width="15.85546875" style="209" customWidth="1"/>
    <col min="14594" max="14594" width="9.28515625" style="209" bestFit="1" customWidth="1"/>
    <col min="14595" max="14595" width="50.28515625" style="209" customWidth="1"/>
    <col min="14596" max="14597" width="6.5703125" style="209" customWidth="1"/>
    <col min="14598" max="14598" width="7.5703125" style="209" customWidth="1"/>
    <col min="14599" max="14599" width="7.42578125" style="209" customWidth="1"/>
    <col min="14600" max="14600" width="8.42578125" style="209" customWidth="1"/>
    <col min="14601" max="14601" width="7.28515625" style="209" customWidth="1"/>
    <col min="14602" max="14602" width="7.5703125" style="209" customWidth="1"/>
    <col min="14603" max="14603" width="7.7109375" style="209" customWidth="1"/>
    <col min="14604" max="14605" width="6.42578125" style="209" customWidth="1"/>
    <col min="14606" max="14606" width="7.28515625" style="209" customWidth="1"/>
    <col min="14607" max="14607" width="7.85546875" style="209" customWidth="1"/>
    <col min="14608" max="14608" width="6.42578125" style="209" customWidth="1"/>
    <col min="14609" max="14609" width="7.28515625" style="209" customWidth="1"/>
    <col min="14610" max="14610" width="7.5703125" style="209" customWidth="1"/>
    <col min="14611" max="14611" width="8" style="209" customWidth="1"/>
    <col min="14612" max="14613" width="6.42578125" style="209" customWidth="1"/>
    <col min="14614" max="14614" width="7.28515625" style="209" customWidth="1"/>
    <col min="14615" max="14615" width="8.28515625" style="209" customWidth="1"/>
    <col min="14616" max="14617" width="6.42578125" style="209" customWidth="1"/>
    <col min="14618" max="14618" width="7.28515625" style="209" customWidth="1"/>
    <col min="14619" max="14619" width="8.28515625" style="209" customWidth="1"/>
    <col min="14620" max="14621" width="6.42578125" style="209" customWidth="1"/>
    <col min="14622" max="14622" width="7.28515625" style="209" customWidth="1"/>
    <col min="14623" max="14623" width="8.28515625" style="209" customWidth="1"/>
    <col min="14624" max="14847" width="11.42578125" style="209"/>
    <col min="14848" max="14848" width="2" style="209" customWidth="1"/>
    <col min="14849" max="14849" width="15.85546875" style="209" customWidth="1"/>
    <col min="14850" max="14850" width="9.28515625" style="209" bestFit="1" customWidth="1"/>
    <col min="14851" max="14851" width="50.28515625" style="209" customWidth="1"/>
    <col min="14852" max="14853" width="6.5703125" style="209" customWidth="1"/>
    <col min="14854" max="14854" width="7.5703125" style="209" customWidth="1"/>
    <col min="14855" max="14855" width="7.42578125" style="209" customWidth="1"/>
    <col min="14856" max="14856" width="8.42578125" style="209" customWidth="1"/>
    <col min="14857" max="14857" width="7.28515625" style="209" customWidth="1"/>
    <col min="14858" max="14858" width="7.5703125" style="209" customWidth="1"/>
    <col min="14859" max="14859" width="7.7109375" style="209" customWidth="1"/>
    <col min="14860" max="14861" width="6.42578125" style="209" customWidth="1"/>
    <col min="14862" max="14862" width="7.28515625" style="209" customWidth="1"/>
    <col min="14863" max="14863" width="7.85546875" style="209" customWidth="1"/>
    <col min="14864" max="14864" width="6.42578125" style="209" customWidth="1"/>
    <col min="14865" max="14865" width="7.28515625" style="209" customWidth="1"/>
    <col min="14866" max="14866" width="7.5703125" style="209" customWidth="1"/>
    <col min="14867" max="14867" width="8" style="209" customWidth="1"/>
    <col min="14868" max="14869" width="6.42578125" style="209" customWidth="1"/>
    <col min="14870" max="14870" width="7.28515625" style="209" customWidth="1"/>
    <col min="14871" max="14871" width="8.28515625" style="209" customWidth="1"/>
    <col min="14872" max="14873" width="6.42578125" style="209" customWidth="1"/>
    <col min="14874" max="14874" width="7.28515625" style="209" customWidth="1"/>
    <col min="14875" max="14875" width="8.28515625" style="209" customWidth="1"/>
    <col min="14876" max="14877" width="6.42578125" style="209" customWidth="1"/>
    <col min="14878" max="14878" width="7.28515625" style="209" customWidth="1"/>
    <col min="14879" max="14879" width="8.28515625" style="209" customWidth="1"/>
    <col min="14880" max="15103" width="11.42578125" style="209"/>
    <col min="15104" max="15104" width="2" style="209" customWidth="1"/>
    <col min="15105" max="15105" width="15.85546875" style="209" customWidth="1"/>
    <col min="15106" max="15106" width="9.28515625" style="209" bestFit="1" customWidth="1"/>
    <col min="15107" max="15107" width="50.28515625" style="209" customWidth="1"/>
    <col min="15108" max="15109" width="6.5703125" style="209" customWidth="1"/>
    <col min="15110" max="15110" width="7.5703125" style="209" customWidth="1"/>
    <col min="15111" max="15111" width="7.42578125" style="209" customWidth="1"/>
    <col min="15112" max="15112" width="8.42578125" style="209" customWidth="1"/>
    <col min="15113" max="15113" width="7.28515625" style="209" customWidth="1"/>
    <col min="15114" max="15114" width="7.5703125" style="209" customWidth="1"/>
    <col min="15115" max="15115" width="7.7109375" style="209" customWidth="1"/>
    <col min="15116" max="15117" width="6.42578125" style="209" customWidth="1"/>
    <col min="15118" max="15118" width="7.28515625" style="209" customWidth="1"/>
    <col min="15119" max="15119" width="7.85546875" style="209" customWidth="1"/>
    <col min="15120" max="15120" width="6.42578125" style="209" customWidth="1"/>
    <col min="15121" max="15121" width="7.28515625" style="209" customWidth="1"/>
    <col min="15122" max="15122" width="7.5703125" style="209" customWidth="1"/>
    <col min="15123" max="15123" width="8" style="209" customWidth="1"/>
    <col min="15124" max="15125" width="6.42578125" style="209" customWidth="1"/>
    <col min="15126" max="15126" width="7.28515625" style="209" customWidth="1"/>
    <col min="15127" max="15127" width="8.28515625" style="209" customWidth="1"/>
    <col min="15128" max="15129" width="6.42578125" style="209" customWidth="1"/>
    <col min="15130" max="15130" width="7.28515625" style="209" customWidth="1"/>
    <col min="15131" max="15131" width="8.28515625" style="209" customWidth="1"/>
    <col min="15132" max="15133" width="6.42578125" style="209" customWidth="1"/>
    <col min="15134" max="15134" width="7.28515625" style="209" customWidth="1"/>
    <col min="15135" max="15135" width="8.28515625" style="209" customWidth="1"/>
    <col min="15136" max="15359" width="11.42578125" style="209"/>
    <col min="15360" max="15360" width="2" style="209" customWidth="1"/>
    <col min="15361" max="15361" width="15.85546875" style="209" customWidth="1"/>
    <col min="15362" max="15362" width="9.28515625" style="209" bestFit="1" customWidth="1"/>
    <col min="15363" max="15363" width="50.28515625" style="209" customWidth="1"/>
    <col min="15364" max="15365" width="6.5703125" style="209" customWidth="1"/>
    <col min="15366" max="15366" width="7.5703125" style="209" customWidth="1"/>
    <col min="15367" max="15367" width="7.42578125" style="209" customWidth="1"/>
    <col min="15368" max="15368" width="8.42578125" style="209" customWidth="1"/>
    <col min="15369" max="15369" width="7.28515625" style="209" customWidth="1"/>
    <col min="15370" max="15370" width="7.5703125" style="209" customWidth="1"/>
    <col min="15371" max="15371" width="7.7109375" style="209" customWidth="1"/>
    <col min="15372" max="15373" width="6.42578125" style="209" customWidth="1"/>
    <col min="15374" max="15374" width="7.28515625" style="209" customWidth="1"/>
    <col min="15375" max="15375" width="7.85546875" style="209" customWidth="1"/>
    <col min="15376" max="15376" width="6.42578125" style="209" customWidth="1"/>
    <col min="15377" max="15377" width="7.28515625" style="209" customWidth="1"/>
    <col min="15378" max="15378" width="7.5703125" style="209" customWidth="1"/>
    <col min="15379" max="15379" width="8" style="209" customWidth="1"/>
    <col min="15380" max="15381" width="6.42578125" style="209" customWidth="1"/>
    <col min="15382" max="15382" width="7.28515625" style="209" customWidth="1"/>
    <col min="15383" max="15383" width="8.28515625" style="209" customWidth="1"/>
    <col min="15384" max="15385" width="6.42578125" style="209" customWidth="1"/>
    <col min="15386" max="15386" width="7.28515625" style="209" customWidth="1"/>
    <col min="15387" max="15387" width="8.28515625" style="209" customWidth="1"/>
    <col min="15388" max="15389" width="6.42578125" style="209" customWidth="1"/>
    <col min="15390" max="15390" width="7.28515625" style="209" customWidth="1"/>
    <col min="15391" max="15391" width="8.28515625" style="209" customWidth="1"/>
    <col min="15392" max="15615" width="11.42578125" style="209"/>
    <col min="15616" max="15616" width="2" style="209" customWidth="1"/>
    <col min="15617" max="15617" width="15.85546875" style="209" customWidth="1"/>
    <col min="15618" max="15618" width="9.28515625" style="209" bestFit="1" customWidth="1"/>
    <col min="15619" max="15619" width="50.28515625" style="209" customWidth="1"/>
    <col min="15620" max="15621" width="6.5703125" style="209" customWidth="1"/>
    <col min="15622" max="15622" width="7.5703125" style="209" customWidth="1"/>
    <col min="15623" max="15623" width="7.42578125" style="209" customWidth="1"/>
    <col min="15624" max="15624" width="8.42578125" style="209" customWidth="1"/>
    <col min="15625" max="15625" width="7.28515625" style="209" customWidth="1"/>
    <col min="15626" max="15626" width="7.5703125" style="209" customWidth="1"/>
    <col min="15627" max="15627" width="7.7109375" style="209" customWidth="1"/>
    <col min="15628" max="15629" width="6.42578125" style="209" customWidth="1"/>
    <col min="15630" max="15630" width="7.28515625" style="209" customWidth="1"/>
    <col min="15631" max="15631" width="7.85546875" style="209" customWidth="1"/>
    <col min="15632" max="15632" width="6.42578125" style="209" customWidth="1"/>
    <col min="15633" max="15633" width="7.28515625" style="209" customWidth="1"/>
    <col min="15634" max="15634" width="7.5703125" style="209" customWidth="1"/>
    <col min="15635" max="15635" width="8" style="209" customWidth="1"/>
    <col min="15636" max="15637" width="6.42578125" style="209" customWidth="1"/>
    <col min="15638" max="15638" width="7.28515625" style="209" customWidth="1"/>
    <col min="15639" max="15639" width="8.28515625" style="209" customWidth="1"/>
    <col min="15640" max="15641" width="6.42578125" style="209" customWidth="1"/>
    <col min="15642" max="15642" width="7.28515625" style="209" customWidth="1"/>
    <col min="15643" max="15643" width="8.28515625" style="209" customWidth="1"/>
    <col min="15644" max="15645" width="6.42578125" style="209" customWidth="1"/>
    <col min="15646" max="15646" width="7.28515625" style="209" customWidth="1"/>
    <col min="15647" max="15647" width="8.28515625" style="209" customWidth="1"/>
    <col min="15648" max="15871" width="11.42578125" style="209"/>
    <col min="15872" max="15872" width="2" style="209" customWidth="1"/>
    <col min="15873" max="15873" width="15.85546875" style="209" customWidth="1"/>
    <col min="15874" max="15874" width="9.28515625" style="209" bestFit="1" customWidth="1"/>
    <col min="15875" max="15875" width="50.28515625" style="209" customWidth="1"/>
    <col min="15876" max="15877" width="6.5703125" style="209" customWidth="1"/>
    <col min="15878" max="15878" width="7.5703125" style="209" customWidth="1"/>
    <col min="15879" max="15879" width="7.42578125" style="209" customWidth="1"/>
    <col min="15880" max="15880" width="8.42578125" style="209" customWidth="1"/>
    <col min="15881" max="15881" width="7.28515625" style="209" customWidth="1"/>
    <col min="15882" max="15882" width="7.5703125" style="209" customWidth="1"/>
    <col min="15883" max="15883" width="7.7109375" style="209" customWidth="1"/>
    <col min="15884" max="15885" width="6.42578125" style="209" customWidth="1"/>
    <col min="15886" max="15886" width="7.28515625" style="209" customWidth="1"/>
    <col min="15887" max="15887" width="7.85546875" style="209" customWidth="1"/>
    <col min="15888" max="15888" width="6.42578125" style="209" customWidth="1"/>
    <col min="15889" max="15889" width="7.28515625" style="209" customWidth="1"/>
    <col min="15890" max="15890" width="7.5703125" style="209" customWidth="1"/>
    <col min="15891" max="15891" width="8" style="209" customWidth="1"/>
    <col min="15892" max="15893" width="6.42578125" style="209" customWidth="1"/>
    <col min="15894" max="15894" width="7.28515625" style="209" customWidth="1"/>
    <col min="15895" max="15895" width="8.28515625" style="209" customWidth="1"/>
    <col min="15896" max="15897" width="6.42578125" style="209" customWidth="1"/>
    <col min="15898" max="15898" width="7.28515625" style="209" customWidth="1"/>
    <col min="15899" max="15899" width="8.28515625" style="209" customWidth="1"/>
    <col min="15900" max="15901" width="6.42578125" style="209" customWidth="1"/>
    <col min="15902" max="15902" width="7.28515625" style="209" customWidth="1"/>
    <col min="15903" max="15903" width="8.28515625" style="209" customWidth="1"/>
    <col min="15904" max="16127" width="11.42578125" style="209"/>
    <col min="16128" max="16128" width="2" style="209" customWidth="1"/>
    <col min="16129" max="16129" width="15.85546875" style="209" customWidth="1"/>
    <col min="16130" max="16130" width="9.28515625" style="209" bestFit="1" customWidth="1"/>
    <col min="16131" max="16131" width="50.28515625" style="209" customWidth="1"/>
    <col min="16132" max="16133" width="6.5703125" style="209" customWidth="1"/>
    <col min="16134" max="16134" width="7.5703125" style="209" customWidth="1"/>
    <col min="16135" max="16135" width="7.42578125" style="209" customWidth="1"/>
    <col min="16136" max="16136" width="8.42578125" style="209" customWidth="1"/>
    <col min="16137" max="16137" width="7.28515625" style="209" customWidth="1"/>
    <col min="16138" max="16138" width="7.5703125" style="209" customWidth="1"/>
    <col min="16139" max="16139" width="7.7109375" style="209" customWidth="1"/>
    <col min="16140" max="16141" width="6.42578125" style="209" customWidth="1"/>
    <col min="16142" max="16142" width="7.28515625" style="209" customWidth="1"/>
    <col min="16143" max="16143" width="7.85546875" style="209" customWidth="1"/>
    <col min="16144" max="16144" width="6.42578125" style="209" customWidth="1"/>
    <col min="16145" max="16145" width="7.28515625" style="209" customWidth="1"/>
    <col min="16146" max="16146" width="7.5703125" style="209" customWidth="1"/>
    <col min="16147" max="16147" width="8" style="209" customWidth="1"/>
    <col min="16148" max="16149" width="6.42578125" style="209" customWidth="1"/>
    <col min="16150" max="16150" width="7.28515625" style="209" customWidth="1"/>
    <col min="16151" max="16151" width="8.28515625" style="209" customWidth="1"/>
    <col min="16152" max="16153" width="6.42578125" style="209" customWidth="1"/>
    <col min="16154" max="16154" width="7.28515625" style="209" customWidth="1"/>
    <col min="16155" max="16155" width="8.28515625" style="209" customWidth="1"/>
    <col min="16156" max="16157" width="6.42578125" style="209" customWidth="1"/>
    <col min="16158" max="16158" width="7.28515625" style="209" customWidth="1"/>
    <col min="16159" max="16159" width="8.28515625" style="209" customWidth="1"/>
    <col min="16160" max="16384" width="11.42578125" style="209"/>
  </cols>
  <sheetData>
    <row r="1" spans="1:64" ht="23.25" customHeight="1" x14ac:dyDescent="0.2">
      <c r="A1" s="224" t="s">
        <v>1276</v>
      </c>
      <c r="B1" s="3692"/>
      <c r="C1" s="3692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</row>
    <row r="2" spans="1:64" x14ac:dyDescent="0.2">
      <c r="B2" s="209"/>
      <c r="C2" s="209"/>
      <c r="H2" s="209"/>
      <c r="L2" s="209"/>
      <c r="P2" s="209"/>
      <c r="T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</row>
    <row r="3" spans="1:64" ht="12.75" customHeight="1" x14ac:dyDescent="0.2">
      <c r="A3" s="5723" t="s">
        <v>16</v>
      </c>
      <c r="B3" s="5723" t="s">
        <v>4</v>
      </c>
      <c r="C3" s="5653" t="s">
        <v>144</v>
      </c>
      <c r="D3" s="5723" t="s">
        <v>77</v>
      </c>
      <c r="E3" s="6170">
        <v>2003</v>
      </c>
      <c r="F3" s="6171"/>
      <c r="G3" s="6171"/>
      <c r="H3" s="6172"/>
      <c r="I3" s="6170">
        <v>2004</v>
      </c>
      <c r="J3" s="6171"/>
      <c r="K3" s="6171"/>
      <c r="L3" s="6172"/>
      <c r="M3" s="6170">
        <v>2005</v>
      </c>
      <c r="N3" s="6171"/>
      <c r="O3" s="6171"/>
      <c r="P3" s="6172"/>
      <c r="Q3" s="6170">
        <v>2006</v>
      </c>
      <c r="R3" s="6171"/>
      <c r="S3" s="6171"/>
      <c r="T3" s="6172"/>
      <c r="U3" s="6170">
        <v>2007</v>
      </c>
      <c r="V3" s="6171"/>
      <c r="W3" s="6171"/>
      <c r="X3" s="6172"/>
      <c r="Y3" s="6170">
        <v>2008</v>
      </c>
      <c r="Z3" s="6171"/>
      <c r="AA3" s="6171"/>
      <c r="AB3" s="6172"/>
      <c r="AC3" s="6170">
        <v>2009</v>
      </c>
      <c r="AD3" s="6171"/>
      <c r="AE3" s="6171"/>
      <c r="AF3" s="6172"/>
      <c r="AG3" s="6170">
        <v>2010</v>
      </c>
      <c r="AH3" s="6171"/>
      <c r="AI3" s="6171"/>
      <c r="AJ3" s="6172"/>
      <c r="AK3" s="6170">
        <v>2011</v>
      </c>
      <c r="AL3" s="6171"/>
      <c r="AM3" s="6171"/>
      <c r="AN3" s="6172"/>
      <c r="AO3" s="6170">
        <v>2012</v>
      </c>
      <c r="AP3" s="6171"/>
      <c r="AQ3" s="6171"/>
      <c r="AR3" s="6172"/>
      <c r="AS3" s="6170">
        <v>2013</v>
      </c>
      <c r="AT3" s="6171"/>
      <c r="AU3" s="6171"/>
      <c r="AV3" s="6172"/>
      <c r="AW3" s="6170">
        <v>2014</v>
      </c>
      <c r="AX3" s="6171"/>
      <c r="AY3" s="6171"/>
      <c r="AZ3" s="6172"/>
      <c r="BA3" s="6170">
        <v>2015</v>
      </c>
      <c r="BB3" s="6171"/>
      <c r="BC3" s="6171"/>
      <c r="BD3" s="6172"/>
      <c r="BE3" s="6170">
        <v>2016</v>
      </c>
      <c r="BF3" s="6171"/>
      <c r="BG3" s="6171"/>
      <c r="BH3" s="6172"/>
      <c r="BI3" s="6170">
        <v>2017</v>
      </c>
      <c r="BJ3" s="6171"/>
      <c r="BK3" s="6171"/>
      <c r="BL3" s="6172"/>
    </row>
    <row r="4" spans="1:64" ht="15" x14ac:dyDescent="0.2">
      <c r="A4" s="5723"/>
      <c r="B4" s="5723"/>
      <c r="C4" s="5654"/>
      <c r="D4" s="5723"/>
      <c r="E4" s="1054" t="s">
        <v>653</v>
      </c>
      <c r="F4" s="1055" t="s">
        <v>651</v>
      </c>
      <c r="G4" s="1056" t="s">
        <v>652</v>
      </c>
      <c r="H4" s="1052" t="s">
        <v>160</v>
      </c>
      <c r="I4" s="2003" t="s">
        <v>653</v>
      </c>
      <c r="J4" s="2004" t="s">
        <v>651</v>
      </c>
      <c r="K4" s="2005" t="s">
        <v>652</v>
      </c>
      <c r="L4" s="1052" t="s">
        <v>160</v>
      </c>
      <c r="M4" s="2003" t="s">
        <v>653</v>
      </c>
      <c r="N4" s="2004" t="s">
        <v>651</v>
      </c>
      <c r="O4" s="2005" t="s">
        <v>652</v>
      </c>
      <c r="P4" s="1052" t="s">
        <v>160</v>
      </c>
      <c r="Q4" s="2003" t="s">
        <v>653</v>
      </c>
      <c r="R4" s="2004" t="s">
        <v>651</v>
      </c>
      <c r="S4" s="2005" t="s">
        <v>652</v>
      </c>
      <c r="T4" s="1052" t="s">
        <v>160</v>
      </c>
      <c r="U4" s="2003" t="s">
        <v>653</v>
      </c>
      <c r="V4" s="2004" t="s">
        <v>651</v>
      </c>
      <c r="W4" s="2005" t="s">
        <v>652</v>
      </c>
      <c r="X4" s="1052" t="s">
        <v>160</v>
      </c>
      <c r="Y4" s="2003" t="s">
        <v>653</v>
      </c>
      <c r="Z4" s="2004" t="s">
        <v>651</v>
      </c>
      <c r="AA4" s="2005" t="s">
        <v>652</v>
      </c>
      <c r="AB4" s="1052" t="s">
        <v>160</v>
      </c>
      <c r="AC4" s="2003" t="s">
        <v>653</v>
      </c>
      <c r="AD4" s="2004" t="s">
        <v>651</v>
      </c>
      <c r="AE4" s="2005" t="s">
        <v>652</v>
      </c>
      <c r="AF4" s="1052" t="s">
        <v>160</v>
      </c>
      <c r="AG4" s="2003" t="s">
        <v>653</v>
      </c>
      <c r="AH4" s="2004" t="s">
        <v>651</v>
      </c>
      <c r="AI4" s="2005" t="s">
        <v>652</v>
      </c>
      <c r="AJ4" s="1052" t="s">
        <v>160</v>
      </c>
      <c r="AK4" s="2003" t="s">
        <v>653</v>
      </c>
      <c r="AL4" s="2004" t="s">
        <v>651</v>
      </c>
      <c r="AM4" s="2005" t="s">
        <v>652</v>
      </c>
      <c r="AN4" s="1052" t="s">
        <v>160</v>
      </c>
      <c r="AO4" s="2003" t="s">
        <v>653</v>
      </c>
      <c r="AP4" s="2004" t="s">
        <v>651</v>
      </c>
      <c r="AQ4" s="2005" t="s">
        <v>652</v>
      </c>
      <c r="AR4" s="1052" t="s">
        <v>160</v>
      </c>
      <c r="AS4" s="2003" t="s">
        <v>653</v>
      </c>
      <c r="AT4" s="2004" t="s">
        <v>651</v>
      </c>
      <c r="AU4" s="2005" t="s">
        <v>652</v>
      </c>
      <c r="AV4" s="1052" t="s">
        <v>160</v>
      </c>
      <c r="AW4" s="2003" t="s">
        <v>653</v>
      </c>
      <c r="AX4" s="2004" t="s">
        <v>651</v>
      </c>
      <c r="AY4" s="2005" t="s">
        <v>652</v>
      </c>
      <c r="AZ4" s="1052" t="s">
        <v>160</v>
      </c>
      <c r="BA4" s="3905" t="s">
        <v>653</v>
      </c>
      <c r="BB4" s="3906" t="s">
        <v>651</v>
      </c>
      <c r="BC4" s="3907" t="s">
        <v>652</v>
      </c>
      <c r="BD4" s="1052" t="s">
        <v>160</v>
      </c>
      <c r="BE4" s="4576" t="s">
        <v>653</v>
      </c>
      <c r="BF4" s="4577" t="s">
        <v>651</v>
      </c>
      <c r="BG4" s="4578" t="s">
        <v>652</v>
      </c>
      <c r="BH4" s="1052" t="s">
        <v>160</v>
      </c>
      <c r="BI4" s="5241" t="s">
        <v>653</v>
      </c>
      <c r="BJ4" s="5242" t="s">
        <v>651</v>
      </c>
      <c r="BK4" s="5243" t="s">
        <v>652</v>
      </c>
      <c r="BL4" s="1052" t="s">
        <v>160</v>
      </c>
    </row>
    <row r="5" spans="1:64" s="212" customFormat="1" ht="15" x14ac:dyDescent="0.2">
      <c r="A5" s="6197" t="s">
        <v>3</v>
      </c>
      <c r="B5" s="6200" t="s">
        <v>5</v>
      </c>
      <c r="C5" s="1060" t="s">
        <v>522</v>
      </c>
      <c r="D5" s="5252" t="s">
        <v>560</v>
      </c>
      <c r="E5" s="1175"/>
      <c r="F5" s="1176"/>
      <c r="G5" s="1176"/>
      <c r="H5" s="1068"/>
      <c r="I5" s="1176"/>
      <c r="J5" s="1176"/>
      <c r="K5" s="1176"/>
      <c r="L5" s="1068"/>
      <c r="M5" s="1175"/>
      <c r="N5" s="1176"/>
      <c r="O5" s="1176">
        <v>12</v>
      </c>
      <c r="P5" s="1068">
        <f>SUM(M5:O5)</f>
        <v>12</v>
      </c>
      <c r="Q5" s="1175"/>
      <c r="R5" s="1176"/>
      <c r="S5" s="1176"/>
      <c r="T5" s="1068"/>
      <c r="U5" s="1175"/>
      <c r="V5" s="1176"/>
      <c r="W5" s="1176"/>
      <c r="X5" s="1068"/>
      <c r="Y5" s="1175"/>
      <c r="Z5" s="1176"/>
      <c r="AA5" s="1176"/>
      <c r="AB5" s="1068"/>
      <c r="AC5" s="1175"/>
      <c r="AD5" s="1176"/>
      <c r="AE5" s="1176"/>
      <c r="AF5" s="1068"/>
      <c r="AG5" s="1175"/>
      <c r="AH5" s="1176"/>
      <c r="AI5" s="1176"/>
      <c r="AJ5" s="1068"/>
      <c r="AK5" s="1175"/>
      <c r="AL5" s="1176"/>
      <c r="AM5" s="1176"/>
      <c r="AN5" s="1068"/>
      <c r="AO5" s="1175"/>
      <c r="AP5" s="1176"/>
      <c r="AQ5" s="1176"/>
      <c r="AR5" s="1068"/>
      <c r="AS5" s="1175"/>
      <c r="AT5" s="1176"/>
      <c r="AU5" s="1176"/>
      <c r="AV5" s="1068"/>
      <c r="AW5" s="1175"/>
      <c r="AX5" s="1176"/>
      <c r="AY5" s="1176"/>
      <c r="AZ5" s="1071">
        <f t="shared" ref="AZ5:AZ14" si="0">SUM(AW5:AY5)</f>
        <v>0</v>
      </c>
      <c r="BA5" s="1175"/>
      <c r="BB5" s="1176"/>
      <c r="BC5" s="1176"/>
      <c r="BD5" s="1071">
        <f t="shared" ref="BD5:BD14" si="1">SUM(BA5:BC5)</f>
        <v>0</v>
      </c>
      <c r="BE5" s="1175"/>
      <c r="BF5" s="1176"/>
      <c r="BG5" s="1176"/>
      <c r="BH5" s="1071">
        <f t="shared" ref="BH5:BH14" si="2">SUM(BE5:BG5)</f>
        <v>0</v>
      </c>
      <c r="BI5" s="1175"/>
      <c r="BJ5" s="1176"/>
      <c r="BK5" s="1176"/>
      <c r="BL5" s="1071">
        <f t="shared" ref="BL5:BL14" si="3">SUM(BI5:BK5)</f>
        <v>0</v>
      </c>
    </row>
    <row r="6" spans="1:64" s="212" customFormat="1" ht="15" x14ac:dyDescent="0.2">
      <c r="A6" s="6198"/>
      <c r="B6" s="6201"/>
      <c r="C6" s="6176" t="s">
        <v>521</v>
      </c>
      <c r="D6" s="1061" t="s">
        <v>561</v>
      </c>
      <c r="E6" s="1167"/>
      <c r="F6" s="1072"/>
      <c r="G6" s="1072"/>
      <c r="H6" s="1071"/>
      <c r="I6" s="1072"/>
      <c r="J6" s="1072"/>
      <c r="K6" s="1072"/>
      <c r="L6" s="1071"/>
      <c r="M6" s="1167">
        <v>20</v>
      </c>
      <c r="N6" s="1072">
        <v>11</v>
      </c>
      <c r="O6" s="1072">
        <v>18</v>
      </c>
      <c r="P6" s="1071">
        <f>SUM(M6:O6)</f>
        <v>49</v>
      </c>
      <c r="Q6" s="1167">
        <v>24</v>
      </c>
      <c r="R6" s="1072"/>
      <c r="S6" s="1072">
        <v>30</v>
      </c>
      <c r="T6" s="1071">
        <f>SUM(Q6:S6)</f>
        <v>54</v>
      </c>
      <c r="U6" s="1167">
        <v>4</v>
      </c>
      <c r="V6" s="1072">
        <v>13</v>
      </c>
      <c r="W6" s="1072"/>
      <c r="X6" s="1071">
        <f>SUM(U6:W6)</f>
        <v>17</v>
      </c>
      <c r="Y6" s="1167">
        <v>7</v>
      </c>
      <c r="Z6" s="1072"/>
      <c r="AA6" s="1072">
        <v>25</v>
      </c>
      <c r="AB6" s="1071">
        <f>SUM(Y6:AA6)</f>
        <v>32</v>
      </c>
      <c r="AC6" s="1167">
        <v>9</v>
      </c>
      <c r="AD6" s="1072"/>
      <c r="AE6" s="1072">
        <v>29</v>
      </c>
      <c r="AF6" s="1071">
        <f>SUM(AC6:AE6)</f>
        <v>38</v>
      </c>
      <c r="AG6" s="1167">
        <v>21</v>
      </c>
      <c r="AH6" s="1072">
        <v>1</v>
      </c>
      <c r="AI6" s="1072">
        <v>18</v>
      </c>
      <c r="AJ6" s="1071">
        <f>SUM(AG6:AI6)</f>
        <v>40</v>
      </c>
      <c r="AK6" s="1167">
        <v>19</v>
      </c>
      <c r="AL6" s="1072"/>
      <c r="AM6" s="1072">
        <v>30</v>
      </c>
      <c r="AN6" s="1071">
        <f>SUM(AK6:AM6)</f>
        <v>49</v>
      </c>
      <c r="AO6" s="1167">
        <v>8</v>
      </c>
      <c r="AP6" s="1072"/>
      <c r="AQ6" s="1072">
        <v>14</v>
      </c>
      <c r="AR6" s="1071">
        <f>SUM(AO6:AQ6)</f>
        <v>22</v>
      </c>
      <c r="AS6" s="1167">
        <v>10</v>
      </c>
      <c r="AT6" s="1072"/>
      <c r="AU6" s="1072">
        <v>32</v>
      </c>
      <c r="AV6" s="1071">
        <f>SUM(AS6:AU6)</f>
        <v>42</v>
      </c>
      <c r="AW6" s="1167">
        <v>48</v>
      </c>
      <c r="AX6" s="1072"/>
      <c r="AY6" s="1072">
        <v>51</v>
      </c>
      <c r="AZ6" s="1071">
        <f t="shared" si="0"/>
        <v>99</v>
      </c>
      <c r="BA6" s="1167">
        <v>9</v>
      </c>
      <c r="BB6" s="1072"/>
      <c r="BC6" s="1072">
        <v>60</v>
      </c>
      <c r="BD6" s="1071">
        <f t="shared" si="1"/>
        <v>69</v>
      </c>
      <c r="BE6" s="1167">
        <v>10</v>
      </c>
      <c r="BF6" s="1072"/>
      <c r="BG6" s="1072">
        <v>68</v>
      </c>
      <c r="BH6" s="1071">
        <f t="shared" si="2"/>
        <v>78</v>
      </c>
      <c r="BI6" s="1167">
        <v>5</v>
      </c>
      <c r="BJ6" s="1072"/>
      <c r="BK6" s="1072">
        <v>75</v>
      </c>
      <c r="BL6" s="1071">
        <f t="shared" si="3"/>
        <v>80</v>
      </c>
    </row>
    <row r="7" spans="1:64" s="212" customFormat="1" ht="15" x14ac:dyDescent="0.2">
      <c r="A7" s="6198"/>
      <c r="B7" s="6201"/>
      <c r="C7" s="6174"/>
      <c r="D7" s="1062" t="s">
        <v>136</v>
      </c>
      <c r="E7" s="1167"/>
      <c r="F7" s="1072"/>
      <c r="G7" s="1072"/>
      <c r="H7" s="1071"/>
      <c r="I7" s="1072"/>
      <c r="J7" s="1072"/>
      <c r="K7" s="1072"/>
      <c r="L7" s="1071"/>
      <c r="M7" s="1167"/>
      <c r="N7" s="1072"/>
      <c r="O7" s="1072">
        <v>21</v>
      </c>
      <c r="P7" s="1071">
        <f t="shared" ref="P7:P12" si="4">SUM(M7:O7)</f>
        <v>21</v>
      </c>
      <c r="Q7" s="1167">
        <v>2</v>
      </c>
      <c r="R7" s="1072"/>
      <c r="S7" s="1072">
        <v>11</v>
      </c>
      <c r="T7" s="1071">
        <f t="shared" ref="T7:T12" si="5">SUM(Q7:S7)</f>
        <v>13</v>
      </c>
      <c r="U7" s="1167">
        <v>2</v>
      </c>
      <c r="V7" s="1072"/>
      <c r="W7" s="1072"/>
      <c r="X7" s="1071">
        <f>SUM(U7:W7)</f>
        <v>2</v>
      </c>
      <c r="Y7" s="1167"/>
      <c r="Z7" s="1072"/>
      <c r="AA7" s="1072">
        <v>12</v>
      </c>
      <c r="AB7" s="1071">
        <f t="shared" ref="AB7:AB12" si="6">SUM(Y7:AA7)</f>
        <v>12</v>
      </c>
      <c r="AC7" s="1167"/>
      <c r="AD7" s="1072"/>
      <c r="AE7" s="1072">
        <v>6</v>
      </c>
      <c r="AF7" s="1071">
        <f>SUM(AC7:AE7)</f>
        <v>6</v>
      </c>
      <c r="AG7" s="1167"/>
      <c r="AH7" s="1072"/>
      <c r="AI7" s="1072"/>
      <c r="AJ7" s="1071"/>
      <c r="AK7" s="1167"/>
      <c r="AL7" s="1072"/>
      <c r="AM7" s="1072">
        <v>29</v>
      </c>
      <c r="AN7" s="1071">
        <f>SUM(AK7:AM7)</f>
        <v>29</v>
      </c>
      <c r="AO7" s="1167"/>
      <c r="AP7" s="1072">
        <v>3</v>
      </c>
      <c r="AQ7" s="1072">
        <v>24</v>
      </c>
      <c r="AR7" s="1071">
        <f>SUM(AO7:AQ7)</f>
        <v>27</v>
      </c>
      <c r="AS7" s="1167"/>
      <c r="AT7" s="1072"/>
      <c r="AU7" s="1072">
        <v>39</v>
      </c>
      <c r="AV7" s="1071">
        <f>SUM(AS7:AU7)</f>
        <v>39</v>
      </c>
      <c r="AW7" s="1167"/>
      <c r="AX7" s="1072"/>
      <c r="AY7" s="1072">
        <v>34</v>
      </c>
      <c r="AZ7" s="1071">
        <f t="shared" si="0"/>
        <v>34</v>
      </c>
      <c r="BA7" s="1167"/>
      <c r="BB7" s="1072"/>
      <c r="BC7" s="1072">
        <v>27</v>
      </c>
      <c r="BD7" s="1071">
        <f t="shared" si="1"/>
        <v>27</v>
      </c>
      <c r="BE7" s="1167"/>
      <c r="BF7" s="1072"/>
      <c r="BG7" s="1072">
        <v>35</v>
      </c>
      <c r="BH7" s="1071">
        <f t="shared" si="2"/>
        <v>35</v>
      </c>
      <c r="BI7" s="1167">
        <v>4</v>
      </c>
      <c r="BJ7" s="1072"/>
      <c r="BK7" s="1072">
        <v>53</v>
      </c>
      <c r="BL7" s="1071">
        <f t="shared" si="3"/>
        <v>57</v>
      </c>
    </row>
    <row r="8" spans="1:64" s="212" customFormat="1" ht="15" x14ac:dyDescent="0.2">
      <c r="A8" s="6198"/>
      <c r="B8" s="6201"/>
      <c r="C8" s="6174"/>
      <c r="D8" s="1061" t="s">
        <v>135</v>
      </c>
      <c r="E8" s="1167"/>
      <c r="F8" s="1072"/>
      <c r="G8" s="1072"/>
      <c r="H8" s="1071"/>
      <c r="I8" s="1072"/>
      <c r="J8" s="1072"/>
      <c r="K8" s="1072"/>
      <c r="L8" s="1071"/>
      <c r="M8" s="1167"/>
      <c r="N8" s="1072">
        <v>11</v>
      </c>
      <c r="O8" s="1072"/>
      <c r="P8" s="1071">
        <f t="shared" si="4"/>
        <v>11</v>
      </c>
      <c r="Q8" s="1167">
        <v>3</v>
      </c>
      <c r="R8" s="1072"/>
      <c r="S8" s="1072">
        <v>23</v>
      </c>
      <c r="T8" s="1071">
        <f t="shared" si="5"/>
        <v>26</v>
      </c>
      <c r="U8" s="1167"/>
      <c r="V8" s="1072"/>
      <c r="W8" s="1072"/>
      <c r="X8" s="1071"/>
      <c r="Y8" s="1167"/>
      <c r="Z8" s="1072"/>
      <c r="AA8" s="1072">
        <v>21</v>
      </c>
      <c r="AB8" s="1071">
        <f t="shared" si="6"/>
        <v>21</v>
      </c>
      <c r="AC8" s="1167">
        <v>14</v>
      </c>
      <c r="AD8" s="1072"/>
      <c r="AE8" s="1072">
        <v>22</v>
      </c>
      <c r="AF8" s="1071">
        <f>SUM(AC8:AE8)</f>
        <v>36</v>
      </c>
      <c r="AG8" s="1167">
        <v>13</v>
      </c>
      <c r="AH8" s="1072"/>
      <c r="AI8" s="1072">
        <v>14</v>
      </c>
      <c r="AJ8" s="1071">
        <f>SUM(AG8:AI8)</f>
        <v>27</v>
      </c>
      <c r="AK8" s="1167"/>
      <c r="AL8" s="1072"/>
      <c r="AM8" s="1072"/>
      <c r="AN8" s="1071"/>
      <c r="AO8" s="1167"/>
      <c r="AP8" s="1072"/>
      <c r="AQ8" s="1072"/>
      <c r="AR8" s="1071"/>
      <c r="AS8" s="1167"/>
      <c r="AT8" s="1072"/>
      <c r="AU8" s="1072"/>
      <c r="AV8" s="1071"/>
      <c r="AW8" s="1167"/>
      <c r="AX8" s="1072"/>
      <c r="AY8" s="1072"/>
      <c r="AZ8" s="1071">
        <f t="shared" si="0"/>
        <v>0</v>
      </c>
      <c r="BA8" s="1167">
        <v>2</v>
      </c>
      <c r="BB8" s="1072"/>
      <c r="BC8" s="1072">
        <v>4</v>
      </c>
      <c r="BD8" s="1071">
        <f t="shared" si="1"/>
        <v>6</v>
      </c>
      <c r="BE8" s="1167">
        <v>8</v>
      </c>
      <c r="BF8" s="1072"/>
      <c r="BG8" s="1072">
        <v>7</v>
      </c>
      <c r="BH8" s="1071">
        <f t="shared" si="2"/>
        <v>15</v>
      </c>
      <c r="BI8" s="1167">
        <v>11</v>
      </c>
      <c r="BJ8" s="1072"/>
      <c r="BK8" s="1072">
        <v>8</v>
      </c>
      <c r="BL8" s="1071">
        <f t="shared" si="3"/>
        <v>19</v>
      </c>
    </row>
    <row r="9" spans="1:64" s="212" customFormat="1" ht="15" x14ac:dyDescent="0.2">
      <c r="A9" s="6198"/>
      <c r="B9" s="6201"/>
      <c r="C9" s="6174"/>
      <c r="D9" s="1061" t="s">
        <v>409</v>
      </c>
      <c r="E9" s="1167"/>
      <c r="F9" s="1072"/>
      <c r="G9" s="1072"/>
      <c r="H9" s="1071"/>
      <c r="I9" s="1072"/>
      <c r="J9" s="1072"/>
      <c r="K9" s="1072"/>
      <c r="L9" s="1071"/>
      <c r="M9" s="1167"/>
      <c r="N9" s="1072"/>
      <c r="O9" s="1072"/>
      <c r="P9" s="1071"/>
      <c r="Q9" s="1167"/>
      <c r="R9" s="1072"/>
      <c r="S9" s="1072"/>
      <c r="T9" s="1071"/>
      <c r="U9" s="1167"/>
      <c r="V9" s="1072"/>
      <c r="W9" s="1072"/>
      <c r="X9" s="1071"/>
      <c r="Y9" s="1167"/>
      <c r="Z9" s="1072"/>
      <c r="AA9" s="1072"/>
      <c r="AB9" s="1071"/>
      <c r="AC9" s="1167"/>
      <c r="AD9" s="1072"/>
      <c r="AE9" s="1072"/>
      <c r="AF9" s="1071"/>
      <c r="AG9" s="1167"/>
      <c r="AH9" s="1072"/>
      <c r="AI9" s="1072"/>
      <c r="AJ9" s="1071"/>
      <c r="AK9" s="1167"/>
      <c r="AL9" s="1072"/>
      <c r="AM9" s="1072"/>
      <c r="AN9" s="1071"/>
      <c r="AO9" s="1167"/>
      <c r="AP9" s="1072"/>
      <c r="AQ9" s="1072"/>
      <c r="AR9" s="1071"/>
      <c r="AS9" s="1167">
        <v>18</v>
      </c>
      <c r="AT9" s="1072"/>
      <c r="AU9" s="1072"/>
      <c r="AV9" s="1071">
        <f t="shared" ref="AV9:AV14" si="7">SUM(AS9:AU9)</f>
        <v>18</v>
      </c>
      <c r="AW9" s="1167">
        <v>13</v>
      </c>
      <c r="AX9" s="1072"/>
      <c r="AY9" s="1072">
        <v>10</v>
      </c>
      <c r="AZ9" s="1071">
        <f t="shared" si="0"/>
        <v>23</v>
      </c>
      <c r="BA9" s="1167">
        <v>15</v>
      </c>
      <c r="BB9" s="1072"/>
      <c r="BC9" s="1072">
        <v>12</v>
      </c>
      <c r="BD9" s="1071">
        <f t="shared" si="1"/>
        <v>27</v>
      </c>
      <c r="BE9" s="1167">
        <v>12</v>
      </c>
      <c r="BF9" s="1072"/>
      <c r="BG9" s="1072">
        <v>11</v>
      </c>
      <c r="BH9" s="1071">
        <f t="shared" si="2"/>
        <v>23</v>
      </c>
      <c r="BI9" s="1167">
        <v>18</v>
      </c>
      <c r="BJ9" s="1072"/>
      <c r="BK9" s="1072">
        <v>15</v>
      </c>
      <c r="BL9" s="1071">
        <f t="shared" si="3"/>
        <v>33</v>
      </c>
    </row>
    <row r="10" spans="1:64" s="212" customFormat="1" ht="15" x14ac:dyDescent="0.2">
      <c r="A10" s="6198"/>
      <c r="B10" s="6201"/>
      <c r="C10" s="6175"/>
      <c r="D10" s="1061" t="s">
        <v>410</v>
      </c>
      <c r="E10" s="1167"/>
      <c r="F10" s="1072"/>
      <c r="G10" s="1072"/>
      <c r="H10" s="1071"/>
      <c r="I10" s="1072"/>
      <c r="J10" s="1072"/>
      <c r="K10" s="1072"/>
      <c r="L10" s="1071"/>
      <c r="M10" s="1167"/>
      <c r="N10" s="1072"/>
      <c r="O10" s="1072"/>
      <c r="P10" s="1071"/>
      <c r="Q10" s="1167"/>
      <c r="R10" s="1072"/>
      <c r="S10" s="1072"/>
      <c r="T10" s="1071"/>
      <c r="U10" s="1167"/>
      <c r="V10" s="1072"/>
      <c r="W10" s="1072"/>
      <c r="X10" s="1071"/>
      <c r="Y10" s="1167"/>
      <c r="Z10" s="1072"/>
      <c r="AA10" s="1072"/>
      <c r="AB10" s="1071"/>
      <c r="AC10" s="1167"/>
      <c r="AD10" s="1072"/>
      <c r="AE10" s="1072"/>
      <c r="AF10" s="1071"/>
      <c r="AG10" s="1167"/>
      <c r="AH10" s="1072"/>
      <c r="AI10" s="1072"/>
      <c r="AJ10" s="1071"/>
      <c r="AK10" s="1167"/>
      <c r="AL10" s="1072"/>
      <c r="AM10" s="1072"/>
      <c r="AN10" s="1071"/>
      <c r="AO10" s="1167"/>
      <c r="AP10" s="1072">
        <v>4</v>
      </c>
      <c r="AQ10" s="1072">
        <v>5</v>
      </c>
      <c r="AR10" s="1071">
        <f>SUM(AO10:AQ10)</f>
        <v>9</v>
      </c>
      <c r="AS10" s="1167"/>
      <c r="AT10" s="1072"/>
      <c r="AU10" s="1072">
        <v>12</v>
      </c>
      <c r="AV10" s="1071">
        <f t="shared" si="7"/>
        <v>12</v>
      </c>
      <c r="AW10" s="1167"/>
      <c r="AX10" s="1072"/>
      <c r="AY10" s="1072">
        <v>10</v>
      </c>
      <c r="AZ10" s="1071">
        <f t="shared" si="0"/>
        <v>10</v>
      </c>
      <c r="BA10" s="1167">
        <v>3</v>
      </c>
      <c r="BB10" s="1072"/>
      <c r="BC10" s="1072">
        <v>6</v>
      </c>
      <c r="BD10" s="1071">
        <f t="shared" si="1"/>
        <v>9</v>
      </c>
      <c r="BE10" s="1167">
        <v>11</v>
      </c>
      <c r="BF10" s="1072"/>
      <c r="BG10" s="1072">
        <v>15</v>
      </c>
      <c r="BH10" s="1071">
        <f t="shared" si="2"/>
        <v>26</v>
      </c>
      <c r="BI10" s="1167">
        <v>8</v>
      </c>
      <c r="BJ10" s="1072"/>
      <c r="BK10" s="1072">
        <v>21</v>
      </c>
      <c r="BL10" s="1071">
        <f t="shared" si="3"/>
        <v>29</v>
      </c>
    </row>
    <row r="11" spans="1:64" s="212" customFormat="1" ht="15" x14ac:dyDescent="0.2">
      <c r="A11" s="6198"/>
      <c r="B11" s="6201"/>
      <c r="C11" s="6173" t="s">
        <v>520</v>
      </c>
      <c r="D11" s="1061" t="s">
        <v>562</v>
      </c>
      <c r="E11" s="1167"/>
      <c r="F11" s="1072"/>
      <c r="G11" s="1072"/>
      <c r="H11" s="1071"/>
      <c r="I11" s="1072"/>
      <c r="J11" s="1072"/>
      <c r="K11" s="1072"/>
      <c r="L11" s="1071"/>
      <c r="M11" s="1167">
        <v>1</v>
      </c>
      <c r="N11" s="1072"/>
      <c r="O11" s="1072"/>
      <c r="P11" s="1071">
        <f t="shared" si="4"/>
        <v>1</v>
      </c>
      <c r="Q11" s="1167">
        <v>2</v>
      </c>
      <c r="R11" s="1072">
        <v>1</v>
      </c>
      <c r="S11" s="1072">
        <v>3</v>
      </c>
      <c r="T11" s="1071">
        <f t="shared" si="5"/>
        <v>6</v>
      </c>
      <c r="U11" s="1167">
        <v>6</v>
      </c>
      <c r="V11" s="1072">
        <v>4</v>
      </c>
      <c r="W11" s="1072"/>
      <c r="X11" s="1071">
        <f>SUM(U11:W11)</f>
        <v>10</v>
      </c>
      <c r="Y11" s="1167"/>
      <c r="Z11" s="1072">
        <v>7</v>
      </c>
      <c r="AA11" s="1072">
        <v>5</v>
      </c>
      <c r="AB11" s="1071">
        <f t="shared" si="6"/>
        <v>12</v>
      </c>
      <c r="AC11" s="1167">
        <v>2</v>
      </c>
      <c r="AD11" s="1072"/>
      <c r="AE11" s="1072">
        <v>1</v>
      </c>
      <c r="AF11" s="1071">
        <f>SUM(AC11:AE11)</f>
        <v>3</v>
      </c>
      <c r="AG11" s="1167"/>
      <c r="AH11" s="1072"/>
      <c r="AI11" s="1072"/>
      <c r="AJ11" s="1071"/>
      <c r="AK11" s="1167">
        <v>3</v>
      </c>
      <c r="AL11" s="1072">
        <v>4</v>
      </c>
      <c r="AM11" s="1072">
        <v>1</v>
      </c>
      <c r="AN11" s="1071">
        <f>SUM(AK11:AM11)</f>
        <v>8</v>
      </c>
      <c r="AO11" s="1167">
        <v>1</v>
      </c>
      <c r="AP11" s="1072"/>
      <c r="AQ11" s="1072">
        <v>4</v>
      </c>
      <c r="AR11" s="1071">
        <f>SUM(AO11:AQ11)</f>
        <v>5</v>
      </c>
      <c r="AS11" s="1167">
        <v>6</v>
      </c>
      <c r="AT11" s="1072"/>
      <c r="AU11" s="1072">
        <v>5</v>
      </c>
      <c r="AV11" s="1071">
        <f t="shared" si="7"/>
        <v>11</v>
      </c>
      <c r="AW11" s="1167">
        <v>4</v>
      </c>
      <c r="AX11" s="1072">
        <v>6</v>
      </c>
      <c r="AY11" s="1072">
        <v>9</v>
      </c>
      <c r="AZ11" s="1071">
        <f t="shared" si="0"/>
        <v>19</v>
      </c>
      <c r="BA11" s="1167">
        <v>5</v>
      </c>
      <c r="BB11" s="1072">
        <v>6</v>
      </c>
      <c r="BC11" s="1072">
        <v>12</v>
      </c>
      <c r="BD11" s="1071">
        <f t="shared" si="1"/>
        <v>23</v>
      </c>
      <c r="BE11" s="1167">
        <v>5</v>
      </c>
      <c r="BF11" s="1072">
        <v>9</v>
      </c>
      <c r="BG11" s="1072">
        <v>12</v>
      </c>
      <c r="BH11" s="1071">
        <f t="shared" si="2"/>
        <v>26</v>
      </c>
      <c r="BI11" s="1167">
        <v>8</v>
      </c>
      <c r="BJ11" s="1072">
        <v>2</v>
      </c>
      <c r="BK11" s="1072">
        <v>9</v>
      </c>
      <c r="BL11" s="1071">
        <f t="shared" si="3"/>
        <v>19</v>
      </c>
    </row>
    <row r="12" spans="1:64" s="212" customFormat="1" ht="15" x14ac:dyDescent="0.2">
      <c r="A12" s="6198"/>
      <c r="B12" s="6201"/>
      <c r="C12" s="6174"/>
      <c r="D12" s="1061" t="s">
        <v>137</v>
      </c>
      <c r="E12" s="1167"/>
      <c r="F12" s="1072"/>
      <c r="G12" s="1072"/>
      <c r="H12" s="1071"/>
      <c r="I12" s="1072"/>
      <c r="J12" s="1072"/>
      <c r="K12" s="1072"/>
      <c r="L12" s="1071"/>
      <c r="M12" s="1167"/>
      <c r="N12" s="1072"/>
      <c r="O12" s="1072">
        <v>2</v>
      </c>
      <c r="P12" s="1071">
        <f t="shared" si="4"/>
        <v>2</v>
      </c>
      <c r="Q12" s="1167"/>
      <c r="R12" s="1072"/>
      <c r="S12" s="1072">
        <v>2</v>
      </c>
      <c r="T12" s="1071">
        <f t="shared" si="5"/>
        <v>2</v>
      </c>
      <c r="U12" s="1167"/>
      <c r="V12" s="1072"/>
      <c r="W12" s="1072"/>
      <c r="X12" s="1071"/>
      <c r="Y12" s="1167"/>
      <c r="Z12" s="1072"/>
      <c r="AA12" s="1072">
        <v>1</v>
      </c>
      <c r="AB12" s="1071">
        <f t="shared" si="6"/>
        <v>1</v>
      </c>
      <c r="AC12" s="1167"/>
      <c r="AD12" s="1072"/>
      <c r="AE12" s="1072">
        <v>1</v>
      </c>
      <c r="AF12" s="1071">
        <f>SUM(AC12:AE12)</f>
        <v>1</v>
      </c>
      <c r="AG12" s="1167">
        <v>2</v>
      </c>
      <c r="AH12" s="1072"/>
      <c r="AI12" s="1072">
        <v>19</v>
      </c>
      <c r="AJ12" s="1071">
        <f>SUM(AG12:AI12)</f>
        <v>21</v>
      </c>
      <c r="AK12" s="1167"/>
      <c r="AL12" s="1072"/>
      <c r="AM12" s="1072"/>
      <c r="AN12" s="1071"/>
      <c r="AO12" s="1167"/>
      <c r="AP12" s="1072"/>
      <c r="AQ12" s="1072"/>
      <c r="AR12" s="1071"/>
      <c r="AS12" s="1167"/>
      <c r="AT12" s="1072"/>
      <c r="AU12" s="1072">
        <v>7</v>
      </c>
      <c r="AV12" s="1071">
        <f t="shared" si="7"/>
        <v>7</v>
      </c>
      <c r="AW12" s="1167">
        <v>1</v>
      </c>
      <c r="AX12" s="1072"/>
      <c r="AY12" s="1072">
        <v>1</v>
      </c>
      <c r="AZ12" s="1071">
        <f t="shared" si="0"/>
        <v>2</v>
      </c>
      <c r="BA12" s="1167"/>
      <c r="BB12" s="1072"/>
      <c r="BC12" s="1072">
        <v>1</v>
      </c>
      <c r="BD12" s="1071">
        <f t="shared" si="1"/>
        <v>1</v>
      </c>
      <c r="BE12" s="1167">
        <v>2</v>
      </c>
      <c r="BF12" s="1072"/>
      <c r="BG12" s="1072"/>
      <c r="BH12" s="1071">
        <f t="shared" si="2"/>
        <v>2</v>
      </c>
      <c r="BI12" s="1167">
        <v>3</v>
      </c>
      <c r="BJ12" s="1072"/>
      <c r="BK12" s="1072"/>
      <c r="BL12" s="1071">
        <f t="shared" si="3"/>
        <v>3</v>
      </c>
    </row>
    <row r="13" spans="1:64" s="212" customFormat="1" ht="15" x14ac:dyDescent="0.2">
      <c r="A13" s="6198"/>
      <c r="B13" s="6201"/>
      <c r="C13" s="6174"/>
      <c r="D13" s="1061" t="s">
        <v>613</v>
      </c>
      <c r="E13" s="1164"/>
      <c r="F13" s="1165"/>
      <c r="G13" s="1165"/>
      <c r="H13" s="1666"/>
      <c r="I13" s="1165"/>
      <c r="J13" s="1165"/>
      <c r="K13" s="1165"/>
      <c r="L13" s="1666"/>
      <c r="M13" s="1164"/>
      <c r="N13" s="1165"/>
      <c r="O13" s="1165"/>
      <c r="P13" s="1666"/>
      <c r="Q13" s="1164"/>
      <c r="R13" s="1165"/>
      <c r="S13" s="1165"/>
      <c r="T13" s="1666"/>
      <c r="U13" s="1164"/>
      <c r="V13" s="1165"/>
      <c r="W13" s="1165"/>
      <c r="X13" s="1666"/>
      <c r="Y13" s="1164"/>
      <c r="Z13" s="1165"/>
      <c r="AA13" s="1165"/>
      <c r="AB13" s="1666"/>
      <c r="AC13" s="1164"/>
      <c r="AD13" s="1165"/>
      <c r="AE13" s="1165"/>
      <c r="AF13" s="1666"/>
      <c r="AG13" s="1164"/>
      <c r="AH13" s="1165"/>
      <c r="AI13" s="1165"/>
      <c r="AJ13" s="1666"/>
      <c r="AK13" s="1164"/>
      <c r="AL13" s="1165"/>
      <c r="AM13" s="1165"/>
      <c r="AN13" s="1666"/>
      <c r="AO13" s="1164"/>
      <c r="AP13" s="1165"/>
      <c r="AQ13" s="1165"/>
      <c r="AR13" s="1666"/>
      <c r="AS13" s="1164"/>
      <c r="AT13" s="1165"/>
      <c r="AU13" s="1165">
        <v>3</v>
      </c>
      <c r="AV13" s="1071">
        <f t="shared" si="7"/>
        <v>3</v>
      </c>
      <c r="AW13" s="1164"/>
      <c r="AX13" s="1165"/>
      <c r="AY13" s="1165">
        <v>3</v>
      </c>
      <c r="AZ13" s="1071">
        <f t="shared" si="0"/>
        <v>3</v>
      </c>
      <c r="BA13" s="1164">
        <v>2</v>
      </c>
      <c r="BB13" s="1165"/>
      <c r="BC13" s="1165">
        <v>4</v>
      </c>
      <c r="BD13" s="1071">
        <f t="shared" si="1"/>
        <v>6</v>
      </c>
      <c r="BE13" s="1164"/>
      <c r="BF13" s="1165"/>
      <c r="BG13" s="1165">
        <v>2</v>
      </c>
      <c r="BH13" s="1071">
        <f t="shared" si="2"/>
        <v>2</v>
      </c>
      <c r="BI13" s="1164"/>
      <c r="BJ13" s="1165">
        <v>3</v>
      </c>
      <c r="BK13" s="1165"/>
      <c r="BL13" s="1071">
        <f t="shared" si="3"/>
        <v>3</v>
      </c>
    </row>
    <row r="14" spans="1:64" s="212" customFormat="1" ht="15" x14ac:dyDescent="0.2">
      <c r="A14" s="6198"/>
      <c r="B14" s="6201"/>
      <c r="C14" s="6175"/>
      <c r="D14" s="1061" t="s">
        <v>614</v>
      </c>
      <c r="E14" s="1164"/>
      <c r="F14" s="1165"/>
      <c r="G14" s="1165"/>
      <c r="H14" s="1666"/>
      <c r="I14" s="1165"/>
      <c r="J14" s="1165"/>
      <c r="K14" s="1165"/>
      <c r="L14" s="1666"/>
      <c r="M14" s="1164"/>
      <c r="N14" s="1165"/>
      <c r="O14" s="1165"/>
      <c r="P14" s="1666"/>
      <c r="Q14" s="1164"/>
      <c r="R14" s="1165"/>
      <c r="S14" s="1165"/>
      <c r="T14" s="1666"/>
      <c r="U14" s="1164"/>
      <c r="V14" s="1165"/>
      <c r="W14" s="1165"/>
      <c r="X14" s="1666"/>
      <c r="Y14" s="1164"/>
      <c r="Z14" s="1165"/>
      <c r="AA14" s="1165"/>
      <c r="AB14" s="1666"/>
      <c r="AC14" s="1164"/>
      <c r="AD14" s="1165"/>
      <c r="AE14" s="1165"/>
      <c r="AF14" s="1666"/>
      <c r="AG14" s="1164"/>
      <c r="AH14" s="1165"/>
      <c r="AI14" s="1165"/>
      <c r="AJ14" s="1666"/>
      <c r="AK14" s="1164"/>
      <c r="AL14" s="1165"/>
      <c r="AM14" s="1165"/>
      <c r="AN14" s="1666"/>
      <c r="AO14" s="1164"/>
      <c r="AP14" s="1165"/>
      <c r="AQ14" s="1165"/>
      <c r="AR14" s="1666"/>
      <c r="AS14" s="1164"/>
      <c r="AT14" s="1165"/>
      <c r="AU14" s="1165">
        <v>3</v>
      </c>
      <c r="AV14" s="1071">
        <f t="shared" si="7"/>
        <v>3</v>
      </c>
      <c r="AW14" s="1164"/>
      <c r="AX14" s="1165"/>
      <c r="AY14" s="1165">
        <v>2</v>
      </c>
      <c r="AZ14" s="1071">
        <f t="shared" si="0"/>
        <v>2</v>
      </c>
      <c r="BA14" s="1164">
        <v>1</v>
      </c>
      <c r="BB14" s="1165"/>
      <c r="BC14" s="1165"/>
      <c r="BD14" s="1071">
        <f t="shared" si="1"/>
        <v>1</v>
      </c>
      <c r="BE14" s="1164"/>
      <c r="BF14" s="1165">
        <v>1</v>
      </c>
      <c r="BG14" s="1165">
        <v>7</v>
      </c>
      <c r="BH14" s="1071">
        <f t="shared" si="2"/>
        <v>8</v>
      </c>
      <c r="BI14" s="1164">
        <v>4</v>
      </c>
      <c r="BJ14" s="1165"/>
      <c r="BK14" s="1165">
        <v>4</v>
      </c>
      <c r="BL14" s="1071">
        <f t="shared" si="3"/>
        <v>8</v>
      </c>
    </row>
    <row r="15" spans="1:64" s="212" customFormat="1" ht="15" x14ac:dyDescent="0.2">
      <c r="A15" s="6198"/>
      <c r="B15" s="6202"/>
      <c r="C15" s="5153"/>
      <c r="D15" s="1063" t="s">
        <v>160</v>
      </c>
      <c r="E15" s="1625"/>
      <c r="F15" s="1626"/>
      <c r="G15" s="1626"/>
      <c r="H15" s="1627"/>
      <c r="I15" s="1625"/>
      <c r="J15" s="1626"/>
      <c r="K15" s="1626"/>
      <c r="L15" s="1627"/>
      <c r="M15" s="1625">
        <f t="shared" ref="M15:AR15" si="8">SUM(M5:M12)</f>
        <v>21</v>
      </c>
      <c r="N15" s="1626">
        <f t="shared" si="8"/>
        <v>22</v>
      </c>
      <c r="O15" s="1626">
        <f t="shared" si="8"/>
        <v>53</v>
      </c>
      <c r="P15" s="1628">
        <f t="shared" si="8"/>
        <v>96</v>
      </c>
      <c r="Q15" s="1625">
        <f t="shared" si="8"/>
        <v>31</v>
      </c>
      <c r="R15" s="1626">
        <f t="shared" si="8"/>
        <v>1</v>
      </c>
      <c r="S15" s="1626">
        <f t="shared" si="8"/>
        <v>69</v>
      </c>
      <c r="T15" s="1628">
        <f t="shared" si="8"/>
        <v>101</v>
      </c>
      <c r="U15" s="1625">
        <f t="shared" si="8"/>
        <v>12</v>
      </c>
      <c r="V15" s="1626">
        <f t="shared" si="8"/>
        <v>17</v>
      </c>
      <c r="W15" s="1626">
        <f t="shared" si="8"/>
        <v>0</v>
      </c>
      <c r="X15" s="1628">
        <f t="shared" si="8"/>
        <v>29</v>
      </c>
      <c r="Y15" s="1625">
        <f t="shared" si="8"/>
        <v>7</v>
      </c>
      <c r="Z15" s="1626">
        <f t="shared" si="8"/>
        <v>7</v>
      </c>
      <c r="AA15" s="1626">
        <f t="shared" si="8"/>
        <v>64</v>
      </c>
      <c r="AB15" s="1628">
        <f t="shared" si="8"/>
        <v>78</v>
      </c>
      <c r="AC15" s="1625">
        <f t="shared" si="8"/>
        <v>25</v>
      </c>
      <c r="AD15" s="1626">
        <f t="shared" si="8"/>
        <v>0</v>
      </c>
      <c r="AE15" s="1626">
        <f t="shared" si="8"/>
        <v>59</v>
      </c>
      <c r="AF15" s="1628">
        <f t="shared" si="8"/>
        <v>84</v>
      </c>
      <c r="AG15" s="1625">
        <f t="shared" si="8"/>
        <v>36</v>
      </c>
      <c r="AH15" s="1626">
        <f t="shared" si="8"/>
        <v>1</v>
      </c>
      <c r="AI15" s="1626">
        <f t="shared" si="8"/>
        <v>51</v>
      </c>
      <c r="AJ15" s="1628">
        <f t="shared" si="8"/>
        <v>88</v>
      </c>
      <c r="AK15" s="1625">
        <f t="shared" si="8"/>
        <v>22</v>
      </c>
      <c r="AL15" s="1626">
        <f t="shared" si="8"/>
        <v>4</v>
      </c>
      <c r="AM15" s="1626">
        <f t="shared" si="8"/>
        <v>60</v>
      </c>
      <c r="AN15" s="1628">
        <f t="shared" si="8"/>
        <v>86</v>
      </c>
      <c r="AO15" s="1625">
        <f t="shared" si="8"/>
        <v>9</v>
      </c>
      <c r="AP15" s="1626">
        <f t="shared" si="8"/>
        <v>7</v>
      </c>
      <c r="AQ15" s="1626">
        <f t="shared" si="8"/>
        <v>47</v>
      </c>
      <c r="AR15" s="1628">
        <f t="shared" si="8"/>
        <v>63</v>
      </c>
      <c r="AS15" s="1625">
        <f>SUM(AS5:AS14)</f>
        <v>34</v>
      </c>
      <c r="AT15" s="1626">
        <f>SUM(AT5:AT14)</f>
        <v>0</v>
      </c>
      <c r="AU15" s="1626">
        <f>SUM(AU5:AU14)</f>
        <v>101</v>
      </c>
      <c r="AV15" s="1628">
        <f>SUM(AV6:AV14)</f>
        <v>135</v>
      </c>
      <c r="AW15" s="1625">
        <f>SUM(AW5:AW14)</f>
        <v>66</v>
      </c>
      <c r="AX15" s="1626">
        <f>SUM(AX5:AX14)</f>
        <v>6</v>
      </c>
      <c r="AY15" s="1626">
        <f>SUM(AY5:AY14)</f>
        <v>120</v>
      </c>
      <c r="AZ15" s="1628">
        <f>SUM(AZ6:AZ14)</f>
        <v>192</v>
      </c>
      <c r="BA15" s="1625">
        <f>SUM(BA5:BA14)</f>
        <v>37</v>
      </c>
      <c r="BB15" s="1626">
        <f>SUM(BB5:BB14)</f>
        <v>6</v>
      </c>
      <c r="BC15" s="1626">
        <f>SUM(BC5:BC14)</f>
        <v>126</v>
      </c>
      <c r="BD15" s="1628">
        <f>SUM(BD6:BD14)</f>
        <v>169</v>
      </c>
      <c r="BE15" s="1625">
        <f>SUM(BE5:BE14)</f>
        <v>48</v>
      </c>
      <c r="BF15" s="1626">
        <f>SUM(BF5:BF14)</f>
        <v>10</v>
      </c>
      <c r="BG15" s="1626">
        <f>SUM(BG5:BG14)</f>
        <v>157</v>
      </c>
      <c r="BH15" s="1628">
        <f>SUM(BH6:BH14)</f>
        <v>215</v>
      </c>
      <c r="BI15" s="1625">
        <f>SUM(BI5:BI14)</f>
        <v>61</v>
      </c>
      <c r="BJ15" s="1626">
        <f>SUM(BJ5:BJ14)</f>
        <v>5</v>
      </c>
      <c r="BK15" s="1626">
        <f>SUM(BK5:BK14)</f>
        <v>185</v>
      </c>
      <c r="BL15" s="1628">
        <f>SUM(BL6:BL14)</f>
        <v>251</v>
      </c>
    </row>
    <row r="16" spans="1:64" s="212" customFormat="1" ht="15" x14ac:dyDescent="0.2">
      <c r="A16" s="6198"/>
      <c r="B16" s="6201" t="s">
        <v>6</v>
      </c>
      <c r="C16" s="6176" t="s">
        <v>522</v>
      </c>
      <c r="D16" s="1064" t="s">
        <v>138</v>
      </c>
      <c r="E16" s="1172"/>
      <c r="F16" s="1629"/>
      <c r="G16" s="1629"/>
      <c r="H16" s="1083"/>
      <c r="I16" s="1086"/>
      <c r="J16" s="1066"/>
      <c r="K16" s="1066">
        <v>23</v>
      </c>
      <c r="L16" s="1067">
        <f>SUM(I16:K16)</f>
        <v>23</v>
      </c>
      <c r="M16" s="1086"/>
      <c r="N16" s="1066"/>
      <c r="O16" s="1066">
        <v>28</v>
      </c>
      <c r="P16" s="1067">
        <f>SUM(M16:O16)</f>
        <v>28</v>
      </c>
      <c r="Q16" s="1086"/>
      <c r="R16" s="1066"/>
      <c r="S16" s="1066"/>
      <c r="T16" s="1067"/>
      <c r="U16" s="1086"/>
      <c r="V16" s="1066"/>
      <c r="W16" s="1066">
        <v>29</v>
      </c>
      <c r="X16" s="1067">
        <f>SUM(U16:W16)</f>
        <v>29</v>
      </c>
      <c r="Y16" s="1086"/>
      <c r="Z16" s="1066"/>
      <c r="AA16" s="1066">
        <v>27</v>
      </c>
      <c r="AB16" s="1067">
        <f>SUM(Y16:AA16)</f>
        <v>27</v>
      </c>
      <c r="AC16" s="1086"/>
      <c r="AD16" s="1066"/>
      <c r="AE16" s="1066">
        <v>36</v>
      </c>
      <c r="AF16" s="1067">
        <f>SUM(AC16:AE16)</f>
        <v>36</v>
      </c>
      <c r="AG16" s="1086"/>
      <c r="AH16" s="1066"/>
      <c r="AI16" s="1066">
        <v>32</v>
      </c>
      <c r="AJ16" s="1067">
        <f>SUM(AG16:AI16)</f>
        <v>32</v>
      </c>
      <c r="AK16" s="1086"/>
      <c r="AL16" s="1066">
        <v>52</v>
      </c>
      <c r="AM16" s="1066"/>
      <c r="AN16" s="1067">
        <f>SUM(AK16:AM16)</f>
        <v>52</v>
      </c>
      <c r="AO16" s="1086"/>
      <c r="AP16" s="1066"/>
      <c r="AQ16" s="1066">
        <v>16</v>
      </c>
      <c r="AR16" s="1067">
        <f>SUM(AO16:AQ16)</f>
        <v>16</v>
      </c>
      <c r="AS16" s="1086"/>
      <c r="AT16" s="1066">
        <v>50</v>
      </c>
      <c r="AU16" s="1066"/>
      <c r="AV16" s="1068">
        <f>SUM(AS16:AU16)</f>
        <v>50</v>
      </c>
      <c r="AW16" s="1086"/>
      <c r="AX16" s="1066"/>
      <c r="AY16" s="1066">
        <v>47</v>
      </c>
      <c r="AZ16" s="1068">
        <f>SUM(AW16:AY16)</f>
        <v>47</v>
      </c>
      <c r="BA16" s="1086"/>
      <c r="BB16" s="1066"/>
      <c r="BC16" s="1066">
        <v>29</v>
      </c>
      <c r="BD16" s="1068">
        <f>SUM(BA16:BC16)</f>
        <v>29</v>
      </c>
      <c r="BE16" s="1086"/>
      <c r="BF16" s="1066"/>
      <c r="BG16" s="1066">
        <v>37</v>
      </c>
      <c r="BH16" s="1068">
        <f>SUM(BE16:BG16)</f>
        <v>37</v>
      </c>
      <c r="BI16" s="1086"/>
      <c r="BJ16" s="1066"/>
      <c r="BK16" s="1066">
        <v>37</v>
      </c>
      <c r="BL16" s="1068">
        <f>SUM(BI16:BK16)</f>
        <v>37</v>
      </c>
    </row>
    <row r="17" spans="1:64" s="212" customFormat="1" ht="15" x14ac:dyDescent="0.2">
      <c r="A17" s="6198"/>
      <c r="B17" s="6201"/>
      <c r="C17" s="6174"/>
      <c r="D17" s="1061" t="s">
        <v>358</v>
      </c>
      <c r="E17" s="1167"/>
      <c r="F17" s="1630"/>
      <c r="G17" s="1630"/>
      <c r="H17" s="1070"/>
      <c r="I17" s="1092"/>
      <c r="J17" s="1069"/>
      <c r="K17" s="1069">
        <v>26</v>
      </c>
      <c r="L17" s="1070">
        <f>SUM(I17:K17)</f>
        <v>26</v>
      </c>
      <c r="M17" s="1092"/>
      <c r="N17" s="1069"/>
      <c r="O17" s="1069">
        <v>26</v>
      </c>
      <c r="P17" s="1070">
        <f>SUM(M17:O17)</f>
        <v>26</v>
      </c>
      <c r="Q17" s="1092"/>
      <c r="R17" s="1069"/>
      <c r="S17" s="1069"/>
      <c r="T17" s="1070"/>
      <c r="U17" s="1092"/>
      <c r="V17" s="1069"/>
      <c r="W17" s="1069"/>
      <c r="X17" s="1070"/>
      <c r="Y17" s="1092"/>
      <c r="Z17" s="1069"/>
      <c r="AA17" s="1069">
        <v>35</v>
      </c>
      <c r="AB17" s="1070">
        <f>SUM(Y17:AA17)</f>
        <v>35</v>
      </c>
      <c r="AC17" s="1092"/>
      <c r="AD17" s="1069"/>
      <c r="AE17" s="1069"/>
      <c r="AF17" s="1070"/>
      <c r="AG17" s="1092"/>
      <c r="AH17" s="1069"/>
      <c r="AI17" s="1069">
        <v>36</v>
      </c>
      <c r="AJ17" s="1070">
        <f>SUM(AG17:AI17)</f>
        <v>36</v>
      </c>
      <c r="AK17" s="1092"/>
      <c r="AL17" s="1069">
        <v>27</v>
      </c>
      <c r="AM17" s="1069"/>
      <c r="AN17" s="1070">
        <f>SUM(AK17:AM17)</f>
        <v>27</v>
      </c>
      <c r="AO17" s="1092"/>
      <c r="AP17" s="1069"/>
      <c r="AQ17" s="1069"/>
      <c r="AR17" s="1070"/>
      <c r="AS17" s="1092"/>
      <c r="AT17" s="1069">
        <v>33</v>
      </c>
      <c r="AU17" s="1069"/>
      <c r="AV17" s="1071">
        <f>SUM(AS17:AU17)</f>
        <v>33</v>
      </c>
      <c r="AW17" s="1092"/>
      <c r="AX17" s="1069"/>
      <c r="AY17" s="1069"/>
      <c r="AZ17" s="1071">
        <f>SUM(AW17:AY17)</f>
        <v>0</v>
      </c>
      <c r="BA17" s="1092"/>
      <c r="BB17" s="1069"/>
      <c r="BC17" s="1069">
        <v>29</v>
      </c>
      <c r="BD17" s="1071">
        <f>SUM(BA17:BC17)</f>
        <v>29</v>
      </c>
      <c r="BE17" s="1092"/>
      <c r="BF17" s="1069"/>
      <c r="BG17" s="1069"/>
      <c r="BH17" s="1071">
        <f>SUM(BE17:BG17)</f>
        <v>0</v>
      </c>
      <c r="BI17" s="1092"/>
      <c r="BJ17" s="1069"/>
      <c r="BK17" s="1069"/>
      <c r="BL17" s="1071">
        <f>SUM(BI17:BK17)</f>
        <v>0</v>
      </c>
    </row>
    <row r="18" spans="1:64" s="212" customFormat="1" ht="15" x14ac:dyDescent="0.2">
      <c r="A18" s="6198"/>
      <c r="B18" s="6201"/>
      <c r="C18" s="6175"/>
      <c r="D18" s="1061" t="s">
        <v>533</v>
      </c>
      <c r="E18" s="1167"/>
      <c r="F18" s="1630"/>
      <c r="G18" s="1630"/>
      <c r="H18" s="1070"/>
      <c r="I18" s="1092"/>
      <c r="J18" s="1069"/>
      <c r="K18" s="1069"/>
      <c r="L18" s="1070"/>
      <c r="M18" s="1092"/>
      <c r="N18" s="1069"/>
      <c r="O18" s="1069"/>
      <c r="P18" s="1070"/>
      <c r="Q18" s="1092"/>
      <c r="R18" s="1069"/>
      <c r="S18" s="1069"/>
      <c r="T18" s="1070"/>
      <c r="U18" s="1092"/>
      <c r="V18" s="1069"/>
      <c r="W18" s="1069"/>
      <c r="X18" s="1070"/>
      <c r="Y18" s="1092"/>
      <c r="Z18" s="1069"/>
      <c r="AA18" s="1069"/>
      <c r="AB18" s="1070"/>
      <c r="AC18" s="1092"/>
      <c r="AD18" s="1069"/>
      <c r="AE18" s="1069">
        <v>4</v>
      </c>
      <c r="AF18" s="1070">
        <f>SUM(AC18:AE18)</f>
        <v>4</v>
      </c>
      <c r="AG18" s="1092"/>
      <c r="AH18" s="1069"/>
      <c r="AI18" s="1069"/>
      <c r="AJ18" s="1070"/>
      <c r="AK18" s="1092"/>
      <c r="AL18" s="1069"/>
      <c r="AM18" s="1069"/>
      <c r="AN18" s="1070">
        <f>SUM(AK18:AM18)</f>
        <v>0</v>
      </c>
      <c r="AO18" s="1092"/>
      <c r="AP18" s="1069"/>
      <c r="AQ18" s="1069"/>
      <c r="AR18" s="1070"/>
      <c r="AS18" s="1092"/>
      <c r="AT18" s="1069"/>
      <c r="AU18" s="1069"/>
      <c r="AV18" s="1070"/>
      <c r="AW18" s="1092"/>
      <c r="AX18" s="1069"/>
      <c r="AY18" s="1069"/>
      <c r="AZ18" s="1071">
        <f t="shared" ref="AZ18:AZ30" si="9">SUM(AW18:AY18)</f>
        <v>0</v>
      </c>
      <c r="BA18" s="1092"/>
      <c r="BB18" s="1069"/>
      <c r="BC18" s="1069"/>
      <c r="BD18" s="1071">
        <f t="shared" ref="BD18:BD30" si="10">SUM(BA18:BC18)</f>
        <v>0</v>
      </c>
      <c r="BE18" s="1092"/>
      <c r="BF18" s="1069"/>
      <c r="BG18" s="1069"/>
      <c r="BH18" s="1071">
        <f t="shared" ref="BH18:BH30" si="11">SUM(BE18:BG18)</f>
        <v>0</v>
      </c>
      <c r="BI18" s="1092"/>
      <c r="BJ18" s="1069"/>
      <c r="BK18" s="1069"/>
      <c r="BL18" s="1071">
        <f t="shared" ref="BL18:BL31" si="12">SUM(BI18:BK18)</f>
        <v>0</v>
      </c>
    </row>
    <row r="19" spans="1:64" s="212" customFormat="1" ht="15" x14ac:dyDescent="0.2">
      <c r="A19" s="6198"/>
      <c r="B19" s="6201"/>
      <c r="C19" s="6178" t="s">
        <v>521</v>
      </c>
      <c r="D19" s="1061" t="s">
        <v>533</v>
      </c>
      <c r="E19" s="1167"/>
      <c r="F19" s="1630"/>
      <c r="G19" s="1630"/>
      <c r="H19" s="1070"/>
      <c r="I19" s="1092"/>
      <c r="J19" s="1069"/>
      <c r="K19" s="1069">
        <v>46</v>
      </c>
      <c r="L19" s="1070">
        <f>SUM(I19:K19)</f>
        <v>46</v>
      </c>
      <c r="M19" s="1092"/>
      <c r="N19" s="1069"/>
      <c r="O19" s="1069"/>
      <c r="P19" s="1070"/>
      <c r="Q19" s="1092"/>
      <c r="R19" s="1069"/>
      <c r="S19" s="1069"/>
      <c r="T19" s="1070"/>
      <c r="U19" s="1092"/>
      <c r="V19" s="1069"/>
      <c r="W19" s="1069"/>
      <c r="X19" s="1070"/>
      <c r="Y19" s="1092"/>
      <c r="Z19" s="1069"/>
      <c r="AA19" s="1069"/>
      <c r="AB19" s="1070"/>
      <c r="AC19" s="1092"/>
      <c r="AD19" s="1069"/>
      <c r="AE19" s="1069">
        <v>45</v>
      </c>
      <c r="AF19" s="1070">
        <f>SUM(AC19:AE19)</f>
        <v>45</v>
      </c>
      <c r="AG19" s="1092"/>
      <c r="AH19" s="1069"/>
      <c r="AI19" s="1069"/>
      <c r="AJ19" s="1070"/>
      <c r="AK19" s="1092"/>
      <c r="AL19" s="1069">
        <v>55</v>
      </c>
      <c r="AM19" s="1069"/>
      <c r="AN19" s="1070">
        <f>SUM(AK19:AM19)</f>
        <v>55</v>
      </c>
      <c r="AO19" s="1092"/>
      <c r="AP19" s="1069"/>
      <c r="AQ19" s="1069"/>
      <c r="AR19" s="1070"/>
      <c r="AS19" s="1092"/>
      <c r="AT19" s="1069"/>
      <c r="AU19" s="1069"/>
      <c r="AV19" s="1070"/>
      <c r="AW19" s="1092"/>
      <c r="AX19" s="1069"/>
      <c r="AY19" s="1069"/>
      <c r="AZ19" s="1071">
        <f t="shared" si="9"/>
        <v>0</v>
      </c>
      <c r="BA19" s="1092"/>
      <c r="BB19" s="1069"/>
      <c r="BC19" s="1069">
        <v>47</v>
      </c>
      <c r="BD19" s="1071">
        <f t="shared" si="10"/>
        <v>47</v>
      </c>
      <c r="BE19" s="1092"/>
      <c r="BF19" s="1069"/>
      <c r="BG19" s="1069"/>
      <c r="BH19" s="1071">
        <f t="shared" si="11"/>
        <v>0</v>
      </c>
      <c r="BI19" s="1092"/>
      <c r="BJ19" s="1069"/>
      <c r="BK19" s="1069">
        <v>56</v>
      </c>
      <c r="BL19" s="1071">
        <f t="shared" si="12"/>
        <v>56</v>
      </c>
    </row>
    <row r="20" spans="1:64" s="212" customFormat="1" ht="15" x14ac:dyDescent="0.2">
      <c r="A20" s="6198"/>
      <c r="B20" s="6201"/>
      <c r="C20" s="6174"/>
      <c r="D20" s="1061" t="s">
        <v>366</v>
      </c>
      <c r="E20" s="1167"/>
      <c r="F20" s="1630"/>
      <c r="G20" s="1630"/>
      <c r="H20" s="1070"/>
      <c r="I20" s="1092"/>
      <c r="J20" s="1069"/>
      <c r="K20" s="1069"/>
      <c r="L20" s="1070"/>
      <c r="M20" s="1092"/>
      <c r="N20" s="1069"/>
      <c r="O20" s="1069"/>
      <c r="P20" s="1070"/>
      <c r="Q20" s="1092"/>
      <c r="R20" s="1069"/>
      <c r="S20" s="1069"/>
      <c r="T20" s="1070"/>
      <c r="U20" s="1092"/>
      <c r="V20" s="1069"/>
      <c r="W20" s="1069"/>
      <c r="X20" s="1070"/>
      <c r="Y20" s="1092"/>
      <c r="Z20" s="1069"/>
      <c r="AA20" s="1069"/>
      <c r="AB20" s="1070"/>
      <c r="AC20" s="1092"/>
      <c r="AD20" s="1069"/>
      <c r="AE20" s="1069"/>
      <c r="AF20" s="1070"/>
      <c r="AG20" s="1092"/>
      <c r="AH20" s="1069"/>
      <c r="AI20" s="1069"/>
      <c r="AJ20" s="1070"/>
      <c r="AK20" s="1092"/>
      <c r="AL20" s="1069"/>
      <c r="AM20" s="1069"/>
      <c r="AN20" s="1070"/>
      <c r="AO20" s="1092"/>
      <c r="AP20" s="1069"/>
      <c r="AQ20" s="1069"/>
      <c r="AR20" s="1070"/>
      <c r="AS20" s="1092"/>
      <c r="AT20" s="1069"/>
      <c r="AU20" s="1069"/>
      <c r="AV20" s="1070"/>
      <c r="AW20" s="1092"/>
      <c r="AX20" s="1069"/>
      <c r="AY20" s="1069"/>
      <c r="AZ20" s="1071">
        <f t="shared" si="9"/>
        <v>0</v>
      </c>
      <c r="BA20" s="1092"/>
      <c r="BB20" s="1069"/>
      <c r="BC20" s="1069"/>
      <c r="BD20" s="1071">
        <f t="shared" si="10"/>
        <v>0</v>
      </c>
      <c r="BE20" s="1092"/>
      <c r="BF20" s="1069"/>
      <c r="BG20" s="1069"/>
      <c r="BH20" s="1071">
        <f t="shared" si="11"/>
        <v>0</v>
      </c>
      <c r="BI20" s="1092"/>
      <c r="BJ20" s="1069"/>
      <c r="BK20" s="1069"/>
      <c r="BL20" s="1071">
        <f t="shared" si="12"/>
        <v>0</v>
      </c>
    </row>
    <row r="21" spans="1:64" s="212" customFormat="1" ht="15" x14ac:dyDescent="0.2">
      <c r="A21" s="6198"/>
      <c r="B21" s="6201"/>
      <c r="C21" s="6174"/>
      <c r="D21" s="1062" t="s">
        <v>139</v>
      </c>
      <c r="E21" s="1167"/>
      <c r="F21" s="1630"/>
      <c r="G21" s="1630"/>
      <c r="H21" s="1070"/>
      <c r="I21" s="1092"/>
      <c r="J21" s="1069"/>
      <c r="K21" s="1069"/>
      <c r="L21" s="1070"/>
      <c r="M21" s="1092"/>
      <c r="N21" s="1069"/>
      <c r="O21" s="1069">
        <v>23</v>
      </c>
      <c r="P21" s="1070">
        <f>SUM(M21:O21)</f>
        <v>23</v>
      </c>
      <c r="Q21" s="1092">
        <v>21</v>
      </c>
      <c r="R21" s="1069"/>
      <c r="S21" s="1069"/>
      <c r="T21" s="1070">
        <f>SUM(Q21:S21)</f>
        <v>21</v>
      </c>
      <c r="U21" s="1092"/>
      <c r="V21" s="1069"/>
      <c r="W21" s="1069"/>
      <c r="X21" s="1070"/>
      <c r="Y21" s="1092"/>
      <c r="Z21" s="1069"/>
      <c r="AA21" s="1069"/>
      <c r="AB21" s="1070"/>
      <c r="AC21" s="1092"/>
      <c r="AD21" s="1069"/>
      <c r="AE21" s="1069"/>
      <c r="AF21" s="1070"/>
      <c r="AG21" s="1092"/>
      <c r="AH21" s="1069"/>
      <c r="AI21" s="1069"/>
      <c r="AJ21" s="1070"/>
      <c r="AK21" s="1092"/>
      <c r="AL21" s="1069"/>
      <c r="AM21" s="1069"/>
      <c r="AN21" s="1070"/>
      <c r="AO21" s="1092"/>
      <c r="AP21" s="1069"/>
      <c r="AQ21" s="1069"/>
      <c r="AR21" s="1070"/>
      <c r="AS21" s="1092"/>
      <c r="AT21" s="1069"/>
      <c r="AU21" s="1069">
        <v>42</v>
      </c>
      <c r="AV21" s="1070">
        <f>SUM(AS21:AU21)</f>
        <v>42</v>
      </c>
      <c r="AW21" s="1092"/>
      <c r="AX21" s="1069"/>
      <c r="AY21" s="1069"/>
      <c r="AZ21" s="1071">
        <f t="shared" si="9"/>
        <v>0</v>
      </c>
      <c r="BA21" s="1092"/>
      <c r="BB21" s="1069"/>
      <c r="BC21" s="1069"/>
      <c r="BD21" s="1071">
        <f t="shared" si="10"/>
        <v>0</v>
      </c>
      <c r="BE21" s="1092"/>
      <c r="BF21" s="1069"/>
      <c r="BG21" s="1069"/>
      <c r="BH21" s="1071">
        <f t="shared" si="11"/>
        <v>0</v>
      </c>
      <c r="BI21" s="1092"/>
      <c r="BJ21" s="1069"/>
      <c r="BK21" s="1069"/>
      <c r="BL21" s="1071">
        <f t="shared" si="12"/>
        <v>0</v>
      </c>
    </row>
    <row r="22" spans="1:64" s="212" customFormat="1" ht="15" x14ac:dyDescent="0.2">
      <c r="A22" s="6198"/>
      <c r="B22" s="6201"/>
      <c r="C22" s="6174"/>
      <c r="D22" s="1061" t="s">
        <v>367</v>
      </c>
      <c r="E22" s="1631"/>
      <c r="F22" s="1630"/>
      <c r="G22" s="1630"/>
      <c r="H22" s="1070"/>
      <c r="I22" s="1092"/>
      <c r="J22" s="1069"/>
      <c r="K22" s="1069"/>
      <c r="L22" s="1070"/>
      <c r="M22" s="1092"/>
      <c r="N22" s="1069"/>
      <c r="O22" s="1069">
        <v>79</v>
      </c>
      <c r="P22" s="1070">
        <f>SUM(M22:O22)</f>
        <v>79</v>
      </c>
      <c r="Q22" s="1092"/>
      <c r="R22" s="1069"/>
      <c r="S22" s="1069"/>
      <c r="T22" s="1070"/>
      <c r="U22" s="1092"/>
      <c r="V22" s="1069"/>
      <c r="W22" s="1069">
        <v>63</v>
      </c>
      <c r="X22" s="1070">
        <f>SUM(U22:W22)</f>
        <v>63</v>
      </c>
      <c r="Y22" s="1092"/>
      <c r="Z22" s="1069"/>
      <c r="AA22" s="1069"/>
      <c r="AB22" s="1070"/>
      <c r="AC22" s="1092"/>
      <c r="AD22" s="1069"/>
      <c r="AE22" s="1069">
        <v>88</v>
      </c>
      <c r="AF22" s="1070">
        <f>SUM(AC22:AE22)</f>
        <v>88</v>
      </c>
      <c r="AG22" s="1092"/>
      <c r="AH22" s="1069"/>
      <c r="AI22" s="1069"/>
      <c r="AJ22" s="1070"/>
      <c r="AK22" s="1092"/>
      <c r="AL22" s="1069">
        <v>85</v>
      </c>
      <c r="AM22" s="1069"/>
      <c r="AN22" s="1070">
        <f>SUM(AK22:AM22)</f>
        <v>85</v>
      </c>
      <c r="AO22" s="1092">
        <v>15</v>
      </c>
      <c r="AP22" s="1069"/>
      <c r="AQ22" s="1069"/>
      <c r="AR22" s="1070">
        <f>SUM(AO22:AQ22)</f>
        <v>15</v>
      </c>
      <c r="AS22" s="1092"/>
      <c r="AT22" s="1069"/>
      <c r="AU22" s="1069"/>
      <c r="AV22" s="1070"/>
      <c r="AW22" s="1092">
        <v>64</v>
      </c>
      <c r="AX22" s="1069"/>
      <c r="AY22" s="1069"/>
      <c r="AZ22" s="1071">
        <f t="shared" si="9"/>
        <v>64</v>
      </c>
      <c r="BA22" s="1092"/>
      <c r="BB22" s="1069"/>
      <c r="BC22" s="1069">
        <v>79</v>
      </c>
      <c r="BD22" s="1071">
        <f t="shared" si="10"/>
        <v>79</v>
      </c>
      <c r="BE22" s="1092"/>
      <c r="BF22" s="1069"/>
      <c r="BG22" s="1069"/>
      <c r="BH22" s="1071">
        <f t="shared" si="11"/>
        <v>0</v>
      </c>
      <c r="BI22" s="1092"/>
      <c r="BJ22" s="1069"/>
      <c r="BK22" s="1069">
        <v>79</v>
      </c>
      <c r="BL22" s="1071">
        <f t="shared" si="12"/>
        <v>79</v>
      </c>
    </row>
    <row r="23" spans="1:64" s="212" customFormat="1" ht="15" x14ac:dyDescent="0.2">
      <c r="A23" s="6198"/>
      <c r="B23" s="6201"/>
      <c r="C23" s="6174"/>
      <c r="D23" s="1061" t="s">
        <v>141</v>
      </c>
      <c r="E23" s="1631"/>
      <c r="F23" s="1630"/>
      <c r="G23" s="1630"/>
      <c r="H23" s="1070"/>
      <c r="I23" s="1092"/>
      <c r="J23" s="1069"/>
      <c r="K23" s="1069"/>
      <c r="L23" s="1070"/>
      <c r="M23" s="1092"/>
      <c r="N23" s="1069"/>
      <c r="O23" s="1069"/>
      <c r="P23" s="1070"/>
      <c r="Q23" s="1092"/>
      <c r="R23" s="1069"/>
      <c r="S23" s="1069"/>
      <c r="T23" s="1070"/>
      <c r="U23" s="1092"/>
      <c r="V23" s="1069"/>
      <c r="W23" s="1069">
        <v>42</v>
      </c>
      <c r="X23" s="1070">
        <f>SUM(U23:W23)</f>
        <v>42</v>
      </c>
      <c r="Y23" s="1092">
        <v>42</v>
      </c>
      <c r="Z23" s="1069"/>
      <c r="AA23" s="1069"/>
      <c r="AB23" s="1070">
        <f>SUM(Y23:AA23)</f>
        <v>42</v>
      </c>
      <c r="AC23" s="1092"/>
      <c r="AD23" s="1069"/>
      <c r="AE23" s="1069">
        <v>35</v>
      </c>
      <c r="AF23" s="1070">
        <f>SUM(AC23:AE23)</f>
        <v>35</v>
      </c>
      <c r="AG23" s="1092"/>
      <c r="AH23" s="1069"/>
      <c r="AI23" s="1069">
        <v>30</v>
      </c>
      <c r="AJ23" s="1070">
        <f>SUM(AG23:AI23)</f>
        <v>30</v>
      </c>
      <c r="AK23" s="1092"/>
      <c r="AL23" s="1069">
        <v>45</v>
      </c>
      <c r="AM23" s="1069"/>
      <c r="AN23" s="1070">
        <f>SUM(AK23:AM23)</f>
        <v>45</v>
      </c>
      <c r="AO23" s="1092"/>
      <c r="AP23" s="1069"/>
      <c r="AQ23" s="1069">
        <v>12</v>
      </c>
      <c r="AR23" s="1070">
        <f>SUM(AO23:AQ23)</f>
        <v>12</v>
      </c>
      <c r="AS23" s="1092"/>
      <c r="AT23" s="1069">
        <v>69</v>
      </c>
      <c r="AU23" s="1069"/>
      <c r="AV23" s="1070">
        <f>SUM(AS23:AU23)</f>
        <v>69</v>
      </c>
      <c r="AW23" s="1092"/>
      <c r="AX23" s="1069"/>
      <c r="AY23" s="1069">
        <v>73</v>
      </c>
      <c r="AZ23" s="1071">
        <f t="shared" si="9"/>
        <v>73</v>
      </c>
      <c r="BA23" s="1092"/>
      <c r="BB23" s="1069"/>
      <c r="BC23" s="1069"/>
      <c r="BD23" s="1071">
        <f t="shared" si="10"/>
        <v>0</v>
      </c>
      <c r="BE23" s="1092"/>
      <c r="BF23" s="1069"/>
      <c r="BG23" s="1069">
        <v>92</v>
      </c>
      <c r="BH23" s="1071">
        <f t="shared" si="11"/>
        <v>92</v>
      </c>
      <c r="BI23" s="1092"/>
      <c r="BJ23" s="1069"/>
      <c r="BK23" s="1069">
        <v>93</v>
      </c>
      <c r="BL23" s="1071">
        <f t="shared" si="12"/>
        <v>93</v>
      </c>
    </row>
    <row r="24" spans="1:64" s="212" customFormat="1" ht="15" x14ac:dyDescent="0.2">
      <c r="A24" s="6198"/>
      <c r="B24" s="6201"/>
      <c r="C24" s="6174"/>
      <c r="D24" s="1061" t="s">
        <v>527</v>
      </c>
      <c r="E24" s="1631"/>
      <c r="F24" s="1630"/>
      <c r="G24" s="1630"/>
      <c r="H24" s="1070"/>
      <c r="I24" s="1092"/>
      <c r="J24" s="1069"/>
      <c r="K24" s="1069"/>
      <c r="L24" s="1070"/>
      <c r="M24" s="1092"/>
      <c r="N24" s="1069"/>
      <c r="O24" s="1069"/>
      <c r="P24" s="1070"/>
      <c r="Q24" s="1092"/>
      <c r="R24" s="1069"/>
      <c r="S24" s="1069"/>
      <c r="T24" s="1070"/>
      <c r="U24" s="1092"/>
      <c r="V24" s="1069"/>
      <c r="W24" s="1069"/>
      <c r="X24" s="1070"/>
      <c r="Y24" s="1092"/>
      <c r="Z24" s="1069"/>
      <c r="AA24" s="1069"/>
      <c r="AB24" s="1070"/>
      <c r="AC24" s="1092"/>
      <c r="AD24" s="1069"/>
      <c r="AE24" s="1069"/>
      <c r="AF24" s="1070"/>
      <c r="AG24" s="1092"/>
      <c r="AH24" s="1069"/>
      <c r="AI24" s="1069"/>
      <c r="AJ24" s="1070"/>
      <c r="AK24" s="1092"/>
      <c r="AL24" s="1069"/>
      <c r="AM24" s="1069"/>
      <c r="AN24" s="1070"/>
      <c r="AO24" s="1092"/>
      <c r="AP24" s="1069"/>
      <c r="AQ24" s="1069">
        <v>12</v>
      </c>
      <c r="AR24" s="1070">
        <f>SUM(AO24:AQ24)</f>
        <v>12</v>
      </c>
      <c r="AS24" s="1092"/>
      <c r="AT24" s="1069"/>
      <c r="AU24" s="1069"/>
      <c r="AV24" s="1070"/>
      <c r="AW24" s="1092"/>
      <c r="AX24" s="1069"/>
      <c r="AY24" s="1069">
        <v>56</v>
      </c>
      <c r="AZ24" s="1071">
        <f t="shared" si="9"/>
        <v>56</v>
      </c>
      <c r="BA24" s="1092"/>
      <c r="BB24" s="1069"/>
      <c r="BC24" s="1069"/>
      <c r="BD24" s="1071">
        <f t="shared" si="10"/>
        <v>0</v>
      </c>
      <c r="BE24" s="1092"/>
      <c r="BF24" s="1069"/>
      <c r="BG24" s="1069">
        <v>59</v>
      </c>
      <c r="BH24" s="1071">
        <f t="shared" si="11"/>
        <v>59</v>
      </c>
      <c r="BI24" s="1092"/>
      <c r="BJ24" s="1069"/>
      <c r="BK24" s="1069"/>
      <c r="BL24" s="1071">
        <f t="shared" si="12"/>
        <v>0</v>
      </c>
    </row>
    <row r="25" spans="1:64" s="212" customFormat="1" ht="15" customHeight="1" x14ac:dyDescent="0.2">
      <c r="A25" s="6198"/>
      <c r="B25" s="6201"/>
      <c r="C25" s="6174"/>
      <c r="D25" s="1065" t="s">
        <v>140</v>
      </c>
      <c r="E25" s="1632"/>
      <c r="F25" s="1633"/>
      <c r="G25" s="1633"/>
      <c r="H25" s="1077"/>
      <c r="I25" s="1089"/>
      <c r="J25" s="1076"/>
      <c r="K25" s="1076"/>
      <c r="L25" s="1077"/>
      <c r="M25" s="1089"/>
      <c r="N25" s="1076"/>
      <c r="O25" s="1076">
        <v>34</v>
      </c>
      <c r="P25" s="1077">
        <f>SUM(M25:O25)</f>
        <v>34</v>
      </c>
      <c r="Q25" s="1089"/>
      <c r="R25" s="1076"/>
      <c r="S25" s="1076"/>
      <c r="T25" s="1077"/>
      <c r="U25" s="1089"/>
      <c r="V25" s="1076"/>
      <c r="W25" s="1076">
        <v>51</v>
      </c>
      <c r="X25" s="1077">
        <f>SUM(U25:W25)</f>
        <v>51</v>
      </c>
      <c r="Y25" s="1089">
        <v>51</v>
      </c>
      <c r="Z25" s="1076"/>
      <c r="AA25" s="1076"/>
      <c r="AB25" s="1077">
        <f>SUM(Y25:AA25)</f>
        <v>51</v>
      </c>
      <c r="AC25" s="1089"/>
      <c r="AD25" s="1076"/>
      <c r="AE25" s="1076">
        <v>19</v>
      </c>
      <c r="AF25" s="1077">
        <f>SUM(AC25:AE25)</f>
        <v>19</v>
      </c>
      <c r="AG25" s="1089"/>
      <c r="AH25" s="1076"/>
      <c r="AI25" s="1076"/>
      <c r="AJ25" s="1077"/>
      <c r="AK25" s="1089"/>
      <c r="AL25" s="1076">
        <v>192</v>
      </c>
      <c r="AM25" s="1076"/>
      <c r="AN25" s="1077">
        <f>SUM(AK25:AM25)</f>
        <v>192</v>
      </c>
      <c r="AO25" s="1089"/>
      <c r="AP25" s="1076"/>
      <c r="AQ25" s="1076"/>
      <c r="AR25" s="1077"/>
      <c r="AS25" s="1089"/>
      <c r="AT25" s="1076">
        <v>53</v>
      </c>
      <c r="AU25" s="1076"/>
      <c r="AV25" s="1070">
        <f>SUM(AS25:AU25)</f>
        <v>53</v>
      </c>
      <c r="AW25" s="1089"/>
      <c r="AX25" s="1076"/>
      <c r="AY25" s="1076"/>
      <c r="AZ25" s="1071">
        <f t="shared" si="9"/>
        <v>0</v>
      </c>
      <c r="BA25" s="1089"/>
      <c r="BB25" s="1076"/>
      <c r="BC25" s="1076">
        <v>22</v>
      </c>
      <c r="BD25" s="1071">
        <f t="shared" si="10"/>
        <v>22</v>
      </c>
      <c r="BE25" s="1089"/>
      <c r="BF25" s="1076"/>
      <c r="BG25" s="1076"/>
      <c r="BH25" s="1071">
        <f t="shared" si="11"/>
        <v>0</v>
      </c>
      <c r="BI25" s="1089"/>
      <c r="BJ25" s="1076"/>
      <c r="BK25" s="1076">
        <v>20</v>
      </c>
      <c r="BL25" s="1071">
        <f t="shared" si="12"/>
        <v>20</v>
      </c>
    </row>
    <row r="26" spans="1:64" s="212" customFormat="1" ht="15" customHeight="1" x14ac:dyDescent="0.2">
      <c r="A26" s="6198"/>
      <c r="B26" s="6201"/>
      <c r="C26" s="6174"/>
      <c r="D26" s="1146" t="s">
        <v>1594</v>
      </c>
      <c r="E26" s="1632"/>
      <c r="F26" s="1633"/>
      <c r="G26" s="1633"/>
      <c r="H26" s="1077"/>
      <c r="I26" s="1089"/>
      <c r="J26" s="1076"/>
      <c r="K26" s="1076"/>
      <c r="L26" s="1077"/>
      <c r="M26" s="1089"/>
      <c r="N26" s="1076"/>
      <c r="O26" s="1076"/>
      <c r="P26" s="1077"/>
      <c r="Q26" s="1089"/>
      <c r="R26" s="1076"/>
      <c r="S26" s="1076"/>
      <c r="T26" s="1077"/>
      <c r="U26" s="1089"/>
      <c r="V26" s="1076"/>
      <c r="W26" s="1076"/>
      <c r="X26" s="1077"/>
      <c r="Y26" s="1089"/>
      <c r="Z26" s="1076"/>
      <c r="AA26" s="1076"/>
      <c r="AB26" s="1077"/>
      <c r="AC26" s="1089"/>
      <c r="AD26" s="1076"/>
      <c r="AE26" s="1076"/>
      <c r="AF26" s="1077"/>
      <c r="AG26" s="1089"/>
      <c r="AH26" s="1076"/>
      <c r="AI26" s="1076"/>
      <c r="AJ26" s="1077"/>
      <c r="AK26" s="1089"/>
      <c r="AL26" s="1076"/>
      <c r="AM26" s="1076"/>
      <c r="AN26" s="1077"/>
      <c r="AO26" s="1089"/>
      <c r="AP26" s="1076"/>
      <c r="AQ26" s="1076"/>
      <c r="AR26" s="1077"/>
      <c r="AS26" s="1089"/>
      <c r="AT26" s="1076"/>
      <c r="AU26" s="1076"/>
      <c r="AV26" s="1070"/>
      <c r="AW26" s="1089"/>
      <c r="AX26" s="1076"/>
      <c r="AY26" s="1076"/>
      <c r="AZ26" s="1071"/>
      <c r="BA26" s="1089"/>
      <c r="BB26" s="1076"/>
      <c r="BC26" s="1076"/>
      <c r="BD26" s="1071"/>
      <c r="BE26" s="1089"/>
      <c r="BF26" s="1076"/>
      <c r="BG26" s="1076"/>
      <c r="BH26" s="1071"/>
      <c r="BI26" s="1089">
        <v>111</v>
      </c>
      <c r="BJ26" s="1076"/>
      <c r="BK26" s="1076"/>
      <c r="BL26" s="1071">
        <f t="shared" si="12"/>
        <v>111</v>
      </c>
    </row>
    <row r="27" spans="1:64" s="212" customFormat="1" ht="15" customHeight="1" x14ac:dyDescent="0.2">
      <c r="A27" s="6198"/>
      <c r="B27" s="6201"/>
      <c r="C27" s="6175"/>
      <c r="D27" s="1146" t="s">
        <v>1580</v>
      </c>
      <c r="E27" s="1632"/>
      <c r="F27" s="1633"/>
      <c r="G27" s="1633"/>
      <c r="H27" s="1077"/>
      <c r="I27" s="1089"/>
      <c r="J27" s="1076"/>
      <c r="K27" s="1076"/>
      <c r="L27" s="1077"/>
      <c r="M27" s="1089"/>
      <c r="N27" s="1076"/>
      <c r="O27" s="1076"/>
      <c r="P27" s="1077"/>
      <c r="Q27" s="1089"/>
      <c r="R27" s="1076"/>
      <c r="S27" s="1076"/>
      <c r="T27" s="1077"/>
      <c r="U27" s="1089"/>
      <c r="V27" s="1076"/>
      <c r="W27" s="1076"/>
      <c r="X27" s="1077"/>
      <c r="Y27" s="1089"/>
      <c r="Z27" s="1076"/>
      <c r="AA27" s="1076"/>
      <c r="AB27" s="1077"/>
      <c r="AC27" s="1089"/>
      <c r="AD27" s="1076"/>
      <c r="AE27" s="1076"/>
      <c r="AF27" s="1077"/>
      <c r="AG27" s="1089"/>
      <c r="AH27" s="1076"/>
      <c r="AI27" s="1076"/>
      <c r="AJ27" s="1077"/>
      <c r="AK27" s="1089"/>
      <c r="AL27" s="1076"/>
      <c r="AM27" s="1076"/>
      <c r="AN27" s="1077"/>
      <c r="AO27" s="1089"/>
      <c r="AP27" s="1076"/>
      <c r="AQ27" s="1076"/>
      <c r="AR27" s="1077"/>
      <c r="AS27" s="1089"/>
      <c r="AT27" s="1076"/>
      <c r="AU27" s="1076"/>
      <c r="AV27" s="1070"/>
      <c r="AW27" s="1089"/>
      <c r="AX27" s="1076"/>
      <c r="AY27" s="1076"/>
      <c r="AZ27" s="1071"/>
      <c r="BA27" s="1089"/>
      <c r="BB27" s="1076"/>
      <c r="BC27" s="1076"/>
      <c r="BD27" s="1071"/>
      <c r="BE27" s="1089"/>
      <c r="BF27" s="1076"/>
      <c r="BG27" s="1076"/>
      <c r="BH27" s="1071"/>
      <c r="BI27" s="1089">
        <v>15</v>
      </c>
      <c r="BJ27" s="1076"/>
      <c r="BK27" s="1076"/>
      <c r="BL27" s="1071">
        <f t="shared" si="12"/>
        <v>15</v>
      </c>
    </row>
    <row r="28" spans="1:64" s="212" customFormat="1" ht="15" x14ac:dyDescent="0.2">
      <c r="A28" s="6198"/>
      <c r="B28" s="6210"/>
      <c r="C28" s="6178" t="s">
        <v>520</v>
      </c>
      <c r="D28" s="1061" t="s">
        <v>533</v>
      </c>
      <c r="E28" s="1167"/>
      <c r="F28" s="1630"/>
      <c r="G28" s="1630"/>
      <c r="H28" s="1070"/>
      <c r="I28" s="1092"/>
      <c r="J28" s="1069"/>
      <c r="K28" s="1069"/>
      <c r="L28" s="1070"/>
      <c r="M28" s="1092"/>
      <c r="N28" s="1069"/>
      <c r="O28" s="1069"/>
      <c r="P28" s="1070"/>
      <c r="Q28" s="1092"/>
      <c r="R28" s="1069"/>
      <c r="S28" s="1069"/>
      <c r="T28" s="1070"/>
      <c r="U28" s="1092"/>
      <c r="V28" s="1069"/>
      <c r="W28" s="1069"/>
      <c r="X28" s="1070"/>
      <c r="Y28" s="1092"/>
      <c r="Z28" s="1069"/>
      <c r="AA28" s="1069"/>
      <c r="AB28" s="1070"/>
      <c r="AC28" s="1092"/>
      <c r="AD28" s="1069"/>
      <c r="AE28" s="1069">
        <v>22</v>
      </c>
      <c r="AF28" s="1070">
        <f>SUM(AC28:AE28)</f>
        <v>22</v>
      </c>
      <c r="AG28" s="1092"/>
      <c r="AH28" s="1069"/>
      <c r="AI28" s="1069"/>
      <c r="AJ28" s="1070"/>
      <c r="AK28" s="1092"/>
      <c r="AL28" s="1069"/>
      <c r="AM28" s="1069"/>
      <c r="AN28" s="1070"/>
      <c r="AO28" s="1092"/>
      <c r="AP28" s="1069"/>
      <c r="AQ28" s="1069"/>
      <c r="AR28" s="1070"/>
      <c r="AS28" s="1092"/>
      <c r="AT28" s="1069"/>
      <c r="AU28" s="1069"/>
      <c r="AV28" s="1070"/>
      <c r="AW28" s="1092"/>
      <c r="AX28" s="1069"/>
      <c r="AY28" s="1069"/>
      <c r="AZ28" s="1071">
        <f t="shared" si="9"/>
        <v>0</v>
      </c>
      <c r="BA28" s="1092"/>
      <c r="BB28" s="1069"/>
      <c r="BC28" s="1069">
        <v>26</v>
      </c>
      <c r="BD28" s="1071">
        <f t="shared" si="10"/>
        <v>26</v>
      </c>
      <c r="BE28" s="1092"/>
      <c r="BF28" s="1069"/>
      <c r="BG28" s="1069"/>
      <c r="BH28" s="1071">
        <f t="shared" si="11"/>
        <v>0</v>
      </c>
      <c r="BI28" s="1092"/>
      <c r="BJ28" s="1069"/>
      <c r="BK28" s="1069">
        <v>22</v>
      </c>
      <c r="BL28" s="1071">
        <f t="shared" si="12"/>
        <v>22</v>
      </c>
    </row>
    <row r="29" spans="1:64" s="212" customFormat="1" ht="15" x14ac:dyDescent="0.2">
      <c r="A29" s="6198"/>
      <c r="B29" s="6210"/>
      <c r="C29" s="6174"/>
      <c r="D29" s="1062" t="s">
        <v>143</v>
      </c>
      <c r="E29" s="1631"/>
      <c r="F29" s="1630"/>
      <c r="G29" s="1630"/>
      <c r="H29" s="1070"/>
      <c r="I29" s="1092"/>
      <c r="J29" s="1069"/>
      <c r="K29" s="1069"/>
      <c r="L29" s="1070"/>
      <c r="M29" s="1092">
        <v>10</v>
      </c>
      <c r="N29" s="1069"/>
      <c r="O29" s="1069"/>
      <c r="P29" s="1070">
        <f>SUM(M29:O29)</f>
        <v>10</v>
      </c>
      <c r="Q29" s="1092">
        <v>8</v>
      </c>
      <c r="R29" s="1069"/>
      <c r="S29" s="1069"/>
      <c r="T29" s="1070">
        <f>SUM(Q29:S29)</f>
        <v>8</v>
      </c>
      <c r="U29" s="1092"/>
      <c r="V29" s="1069"/>
      <c r="W29" s="1069"/>
      <c r="X29" s="1070"/>
      <c r="Y29" s="1092"/>
      <c r="Z29" s="1069"/>
      <c r="AA29" s="1069"/>
      <c r="AB29" s="1070"/>
      <c r="AC29" s="1092"/>
      <c r="AD29" s="1069"/>
      <c r="AE29" s="1069"/>
      <c r="AF29" s="1070"/>
      <c r="AG29" s="1092"/>
      <c r="AH29" s="1069"/>
      <c r="AI29" s="1069"/>
      <c r="AJ29" s="1070"/>
      <c r="AK29" s="1092"/>
      <c r="AL29" s="1069"/>
      <c r="AM29" s="1069"/>
      <c r="AN29" s="1070"/>
      <c r="AO29" s="1092"/>
      <c r="AP29" s="1069"/>
      <c r="AQ29" s="1069"/>
      <c r="AR29" s="1070"/>
      <c r="AS29" s="1092"/>
      <c r="AT29" s="1069"/>
      <c r="AU29" s="1069">
        <v>24</v>
      </c>
      <c r="AV29" s="1070">
        <f>SUM(AS29:AU29)</f>
        <v>24</v>
      </c>
      <c r="AW29" s="1092"/>
      <c r="AX29" s="1069"/>
      <c r="AY29" s="1069"/>
      <c r="AZ29" s="1071">
        <f t="shared" si="9"/>
        <v>0</v>
      </c>
      <c r="BA29" s="1092"/>
      <c r="BB29" s="1069"/>
      <c r="BC29" s="1069"/>
      <c r="BD29" s="1071">
        <f t="shared" si="10"/>
        <v>0</v>
      </c>
      <c r="BE29" s="1092"/>
      <c r="BF29" s="1069"/>
      <c r="BG29" s="1069"/>
      <c r="BH29" s="1071">
        <f t="shared" si="11"/>
        <v>0</v>
      </c>
      <c r="BI29" s="1092"/>
      <c r="BJ29" s="1069"/>
      <c r="BK29" s="1069"/>
      <c r="BL29" s="1071">
        <f t="shared" si="12"/>
        <v>0</v>
      </c>
    </row>
    <row r="30" spans="1:64" s="212" customFormat="1" ht="15" x14ac:dyDescent="0.2">
      <c r="A30" s="6198"/>
      <c r="B30" s="6210"/>
      <c r="C30" s="6174"/>
      <c r="D30" s="1061" t="s">
        <v>142</v>
      </c>
      <c r="E30" s="1631"/>
      <c r="F30" s="1630"/>
      <c r="G30" s="1630"/>
      <c r="H30" s="1070"/>
      <c r="I30" s="1092"/>
      <c r="J30" s="1069"/>
      <c r="K30" s="1069"/>
      <c r="L30" s="1070"/>
      <c r="M30" s="1092">
        <v>22</v>
      </c>
      <c r="N30" s="1069"/>
      <c r="O30" s="1069"/>
      <c r="P30" s="1070">
        <f>SUM(M30:O30)</f>
        <v>22</v>
      </c>
      <c r="Q30" s="1092"/>
      <c r="R30" s="1069"/>
      <c r="S30" s="1069"/>
      <c r="T30" s="1070"/>
      <c r="U30" s="1092"/>
      <c r="V30" s="1069"/>
      <c r="W30" s="1069">
        <v>29</v>
      </c>
      <c r="X30" s="1070">
        <f>SUM(U30:W30)</f>
        <v>29</v>
      </c>
      <c r="Y30" s="1092"/>
      <c r="Z30" s="1069"/>
      <c r="AA30" s="1069"/>
      <c r="AB30" s="1070"/>
      <c r="AC30" s="1092"/>
      <c r="AD30" s="1069"/>
      <c r="AE30" s="1069"/>
      <c r="AF30" s="1070"/>
      <c r="AG30" s="1092"/>
      <c r="AH30" s="1069">
        <v>51</v>
      </c>
      <c r="AI30" s="1069"/>
      <c r="AJ30" s="1070">
        <f>SUM(AG30:AH30)</f>
        <v>51</v>
      </c>
      <c r="AK30" s="1092"/>
      <c r="AL30" s="1069">
        <v>20</v>
      </c>
      <c r="AM30" s="1069"/>
      <c r="AN30" s="1070">
        <f>SUM(AK30:AM30)</f>
        <v>20</v>
      </c>
      <c r="AO30" s="1092"/>
      <c r="AP30" s="1069"/>
      <c r="AQ30" s="1069">
        <v>11</v>
      </c>
      <c r="AR30" s="1070">
        <f>SUM(AO30:AQ30)</f>
        <v>11</v>
      </c>
      <c r="AS30" s="1092"/>
      <c r="AT30" s="1069"/>
      <c r="AU30" s="1069"/>
      <c r="AV30" s="1070"/>
      <c r="AW30" s="1092"/>
      <c r="AX30" s="1069"/>
      <c r="AY30" s="1069">
        <v>35</v>
      </c>
      <c r="AZ30" s="1071">
        <f t="shared" si="9"/>
        <v>35</v>
      </c>
      <c r="BA30" s="1092"/>
      <c r="BB30" s="1069"/>
      <c r="BC30" s="1069"/>
      <c r="BD30" s="1071">
        <f t="shared" si="10"/>
        <v>0</v>
      </c>
      <c r="BE30" s="1092"/>
      <c r="BF30" s="1069"/>
      <c r="BG30" s="1069">
        <v>48</v>
      </c>
      <c r="BH30" s="1071">
        <f t="shared" si="11"/>
        <v>48</v>
      </c>
      <c r="BI30" s="1092"/>
      <c r="BJ30" s="1069"/>
      <c r="BK30" s="1069"/>
      <c r="BL30" s="1071">
        <f t="shared" si="12"/>
        <v>0</v>
      </c>
    </row>
    <row r="31" spans="1:64" s="212" customFormat="1" ht="15" x14ac:dyDescent="0.2">
      <c r="A31" s="6198"/>
      <c r="B31" s="6210"/>
      <c r="C31" s="6175"/>
      <c r="D31" s="5249" t="s">
        <v>1580</v>
      </c>
      <c r="E31" s="1632"/>
      <c r="F31" s="1633"/>
      <c r="G31" s="1633"/>
      <c r="H31" s="1077"/>
      <c r="I31" s="1089"/>
      <c r="J31" s="1076"/>
      <c r="K31" s="1076"/>
      <c r="L31" s="1077"/>
      <c r="M31" s="1089"/>
      <c r="N31" s="1076"/>
      <c r="O31" s="1076"/>
      <c r="P31" s="1077"/>
      <c r="Q31" s="1089"/>
      <c r="R31" s="1076"/>
      <c r="S31" s="1076"/>
      <c r="T31" s="1077"/>
      <c r="U31" s="1089"/>
      <c r="V31" s="1076"/>
      <c r="W31" s="1076"/>
      <c r="X31" s="1077"/>
      <c r="Y31" s="1089"/>
      <c r="Z31" s="1076"/>
      <c r="AA31" s="1076"/>
      <c r="AB31" s="1077"/>
      <c r="AC31" s="1089"/>
      <c r="AD31" s="1076"/>
      <c r="AE31" s="1076"/>
      <c r="AF31" s="1077"/>
      <c r="AG31" s="1089"/>
      <c r="AH31" s="1076"/>
      <c r="AI31" s="1076"/>
      <c r="AJ31" s="1077"/>
      <c r="AK31" s="1089"/>
      <c r="AL31" s="1076"/>
      <c r="AM31" s="1076"/>
      <c r="AN31" s="1077"/>
      <c r="AO31" s="1089"/>
      <c r="AP31" s="1076"/>
      <c r="AQ31" s="1076"/>
      <c r="AR31" s="1077"/>
      <c r="AS31" s="1089"/>
      <c r="AT31" s="1076"/>
      <c r="AU31" s="1076"/>
      <c r="AV31" s="1077"/>
      <c r="AW31" s="1089"/>
      <c r="AX31" s="1076"/>
      <c r="AY31" s="1076"/>
      <c r="AZ31" s="1666"/>
      <c r="BA31" s="1089"/>
      <c r="BB31" s="1076"/>
      <c r="BC31" s="1076"/>
      <c r="BD31" s="1666"/>
      <c r="BE31" s="1089"/>
      <c r="BF31" s="1076"/>
      <c r="BG31" s="1076"/>
      <c r="BH31" s="1666"/>
      <c r="BI31" s="1089">
        <v>3</v>
      </c>
      <c r="BJ31" s="1076"/>
      <c r="BK31" s="1076"/>
      <c r="BL31" s="1071">
        <f t="shared" si="12"/>
        <v>3</v>
      </c>
    </row>
    <row r="32" spans="1:64" s="212" customFormat="1" ht="15" x14ac:dyDescent="0.2">
      <c r="A32" s="6198"/>
      <c r="B32" s="6202"/>
      <c r="C32" s="5153"/>
      <c r="D32" s="1063" t="s">
        <v>160</v>
      </c>
      <c r="E32" s="1625"/>
      <c r="F32" s="1626"/>
      <c r="G32" s="1626"/>
      <c r="H32" s="1627"/>
      <c r="I32" s="1625"/>
      <c r="J32" s="1626"/>
      <c r="K32" s="1626">
        <f>SUM(K16:K30)</f>
        <v>95</v>
      </c>
      <c r="L32" s="1628">
        <f>SUM(L16:L30)</f>
        <v>95</v>
      </c>
      <c r="M32" s="1625">
        <f t="shared" ref="M32:AR32" si="13">SUM(M16:M30)</f>
        <v>32</v>
      </c>
      <c r="N32" s="1626">
        <f t="shared" si="13"/>
        <v>0</v>
      </c>
      <c r="O32" s="1626">
        <f t="shared" si="13"/>
        <v>190</v>
      </c>
      <c r="P32" s="1628">
        <f t="shared" si="13"/>
        <v>222</v>
      </c>
      <c r="Q32" s="1625">
        <f t="shared" si="13"/>
        <v>29</v>
      </c>
      <c r="R32" s="1626">
        <f t="shared" si="13"/>
        <v>0</v>
      </c>
      <c r="S32" s="1626">
        <f t="shared" si="13"/>
        <v>0</v>
      </c>
      <c r="T32" s="1628">
        <f t="shared" si="13"/>
        <v>29</v>
      </c>
      <c r="U32" s="1625">
        <f t="shared" si="13"/>
        <v>0</v>
      </c>
      <c r="V32" s="1626">
        <f t="shared" si="13"/>
        <v>0</v>
      </c>
      <c r="W32" s="1626">
        <f t="shared" si="13"/>
        <v>214</v>
      </c>
      <c r="X32" s="1628">
        <f t="shared" si="13"/>
        <v>214</v>
      </c>
      <c r="Y32" s="1625">
        <f t="shared" si="13"/>
        <v>93</v>
      </c>
      <c r="Z32" s="1626">
        <f t="shared" si="13"/>
        <v>0</v>
      </c>
      <c r="AA32" s="1626">
        <f t="shared" si="13"/>
        <v>62</v>
      </c>
      <c r="AB32" s="1628">
        <f t="shared" si="13"/>
        <v>155</v>
      </c>
      <c r="AC32" s="1625">
        <f t="shared" si="13"/>
        <v>0</v>
      </c>
      <c r="AD32" s="1626">
        <f t="shared" si="13"/>
        <v>0</v>
      </c>
      <c r="AE32" s="1626">
        <f t="shared" si="13"/>
        <v>249</v>
      </c>
      <c r="AF32" s="1628">
        <f t="shared" si="13"/>
        <v>249</v>
      </c>
      <c r="AG32" s="1625">
        <f t="shared" si="13"/>
        <v>0</v>
      </c>
      <c r="AH32" s="1626">
        <f t="shared" si="13"/>
        <v>51</v>
      </c>
      <c r="AI32" s="1626">
        <f t="shared" si="13"/>
        <v>98</v>
      </c>
      <c r="AJ32" s="1628">
        <f t="shared" si="13"/>
        <v>149</v>
      </c>
      <c r="AK32" s="1625">
        <f t="shared" si="13"/>
        <v>0</v>
      </c>
      <c r="AL32" s="1626">
        <f t="shared" si="13"/>
        <v>476</v>
      </c>
      <c r="AM32" s="1626">
        <f t="shared" si="13"/>
        <v>0</v>
      </c>
      <c r="AN32" s="1628">
        <f t="shared" si="13"/>
        <v>476</v>
      </c>
      <c r="AO32" s="1625">
        <f t="shared" si="13"/>
        <v>15</v>
      </c>
      <c r="AP32" s="1626">
        <f t="shared" si="13"/>
        <v>0</v>
      </c>
      <c r="AQ32" s="1626">
        <f t="shared" si="13"/>
        <v>51</v>
      </c>
      <c r="AR32" s="1628">
        <f t="shared" si="13"/>
        <v>66</v>
      </c>
      <c r="AS32" s="1625">
        <f t="shared" ref="AS32:AZ32" si="14">SUM(AS16:AS30)</f>
        <v>0</v>
      </c>
      <c r="AT32" s="1626">
        <f t="shared" si="14"/>
        <v>205</v>
      </c>
      <c r="AU32" s="1626">
        <f t="shared" si="14"/>
        <v>66</v>
      </c>
      <c r="AV32" s="1628">
        <f t="shared" si="14"/>
        <v>271</v>
      </c>
      <c r="AW32" s="1625">
        <f t="shared" si="14"/>
        <v>64</v>
      </c>
      <c r="AX32" s="1626">
        <f t="shared" si="14"/>
        <v>0</v>
      </c>
      <c r="AY32" s="1626">
        <f t="shared" si="14"/>
        <v>211</v>
      </c>
      <c r="AZ32" s="1628">
        <f t="shared" si="14"/>
        <v>275</v>
      </c>
      <c r="BA32" s="1625">
        <f t="shared" ref="BA32:BH32" si="15">SUM(BA16:BA30)</f>
        <v>0</v>
      </c>
      <c r="BB32" s="1626">
        <f t="shared" si="15"/>
        <v>0</v>
      </c>
      <c r="BC32" s="1626">
        <f t="shared" si="15"/>
        <v>232</v>
      </c>
      <c r="BD32" s="1628">
        <f t="shared" si="15"/>
        <v>232</v>
      </c>
      <c r="BE32" s="1625">
        <f t="shared" si="15"/>
        <v>0</v>
      </c>
      <c r="BF32" s="1626">
        <f t="shared" si="15"/>
        <v>0</v>
      </c>
      <c r="BG32" s="1626">
        <f t="shared" si="15"/>
        <v>236</v>
      </c>
      <c r="BH32" s="1628">
        <f t="shared" si="15"/>
        <v>236</v>
      </c>
      <c r="BI32" s="1625">
        <f>SUM(BI16:BI31)</f>
        <v>129</v>
      </c>
      <c r="BJ32" s="1626">
        <f>SUM(BJ16:BJ31)</f>
        <v>0</v>
      </c>
      <c r="BK32" s="1626">
        <f>SUM(BK16:BK31)</f>
        <v>307</v>
      </c>
      <c r="BL32" s="1628">
        <f>SUM(BL16:BL31)</f>
        <v>436</v>
      </c>
    </row>
    <row r="33" spans="1:64" s="212" customFormat="1" ht="15" x14ac:dyDescent="0.2">
      <c r="A33" s="6198"/>
      <c r="B33" s="6200" t="s">
        <v>7</v>
      </c>
      <c r="C33" s="6177" t="s">
        <v>522</v>
      </c>
      <c r="D33" s="5252" t="s">
        <v>400</v>
      </c>
      <c r="E33" s="1634"/>
      <c r="F33" s="1635"/>
      <c r="G33" s="1635"/>
      <c r="H33" s="1067"/>
      <c r="I33" s="1066"/>
      <c r="J33" s="1066"/>
      <c r="K33" s="1066">
        <v>45</v>
      </c>
      <c r="L33" s="1067">
        <f>SUM(I33:K33)</f>
        <v>45</v>
      </c>
      <c r="M33" s="1066"/>
      <c r="N33" s="1066">
        <v>57</v>
      </c>
      <c r="O33" s="1066"/>
      <c r="P33" s="1067">
        <f>SUM(M33:O33)</f>
        <v>57</v>
      </c>
      <c r="Q33" s="1066"/>
      <c r="R33" s="1066">
        <v>72</v>
      </c>
      <c r="S33" s="1066"/>
      <c r="T33" s="1067">
        <f>SUM(Q33:S33)</f>
        <v>72</v>
      </c>
      <c r="U33" s="1066"/>
      <c r="V33" s="1066">
        <v>78</v>
      </c>
      <c r="W33" s="1066"/>
      <c r="X33" s="1067">
        <f>SUM(U33:W33)</f>
        <v>78</v>
      </c>
      <c r="Y33" s="1066"/>
      <c r="Z33" s="1066"/>
      <c r="AA33" s="1066">
        <v>65</v>
      </c>
      <c r="AB33" s="1067">
        <f>SUM(Y33:AA33)</f>
        <v>65</v>
      </c>
      <c r="AC33" s="1066"/>
      <c r="AD33" s="1066"/>
      <c r="AE33" s="1066">
        <v>130</v>
      </c>
      <c r="AF33" s="1067">
        <f>SUM(AC33:AE33)</f>
        <v>130</v>
      </c>
      <c r="AG33" s="1066"/>
      <c r="AH33" s="1066"/>
      <c r="AI33" s="1066">
        <v>193</v>
      </c>
      <c r="AJ33" s="1067">
        <f>SUM(AG33:AI33)</f>
        <v>193</v>
      </c>
      <c r="AK33" s="1066"/>
      <c r="AL33" s="1066"/>
      <c r="AM33" s="1066"/>
      <c r="AN33" s="1067">
        <f>SUM(AK33:AM33)</f>
        <v>0</v>
      </c>
      <c r="AO33" s="1066"/>
      <c r="AP33" s="1066"/>
      <c r="AQ33" s="1066">
        <v>207</v>
      </c>
      <c r="AR33" s="1068">
        <f>SUM(AO33:AQ33)</f>
        <v>207</v>
      </c>
      <c r="AS33" s="1066"/>
      <c r="AT33" s="1066"/>
      <c r="AU33" s="1066"/>
      <c r="AV33" s="1068"/>
      <c r="AW33" s="1066"/>
      <c r="AX33" s="1066"/>
      <c r="AY33" s="1066">
        <v>126</v>
      </c>
      <c r="AZ33" s="1071">
        <f>SUM(AW33:AY33)</f>
        <v>126</v>
      </c>
      <c r="BA33" s="1066"/>
      <c r="BB33" s="1066"/>
      <c r="BC33" s="1066"/>
      <c r="BD33" s="1071">
        <f>SUM(BA33:BC33)</f>
        <v>0</v>
      </c>
      <c r="BE33" s="1066"/>
      <c r="BF33" s="1066"/>
      <c r="BG33" s="1066"/>
      <c r="BH33" s="1071">
        <f>SUM(BE33:BG33)</f>
        <v>0</v>
      </c>
      <c r="BI33" s="1066"/>
      <c r="BJ33" s="1066"/>
      <c r="BK33" s="1066"/>
      <c r="BL33" s="1071">
        <f>SUM(BI33:BK33)</f>
        <v>0</v>
      </c>
    </row>
    <row r="34" spans="1:64" s="212" customFormat="1" ht="15" x14ac:dyDescent="0.2">
      <c r="A34" s="6198"/>
      <c r="B34" s="6201"/>
      <c r="C34" s="6174"/>
      <c r="D34" s="1064" t="s">
        <v>535</v>
      </c>
      <c r="E34" s="1645"/>
      <c r="F34" s="1629"/>
      <c r="G34" s="1629"/>
      <c r="H34" s="1083"/>
      <c r="I34" s="1082"/>
      <c r="J34" s="1082"/>
      <c r="K34" s="1082"/>
      <c r="L34" s="1083"/>
      <c r="M34" s="1082"/>
      <c r="N34" s="1082"/>
      <c r="O34" s="1082"/>
      <c r="P34" s="1083"/>
      <c r="Q34" s="1082"/>
      <c r="R34" s="1082"/>
      <c r="S34" s="1082"/>
      <c r="T34" s="1083"/>
      <c r="U34" s="1082"/>
      <c r="V34" s="1082"/>
      <c r="W34" s="1082"/>
      <c r="X34" s="1083"/>
      <c r="Y34" s="1082"/>
      <c r="Z34" s="1082"/>
      <c r="AA34" s="1082"/>
      <c r="AB34" s="1083"/>
      <c r="AC34" s="1082"/>
      <c r="AD34" s="1082"/>
      <c r="AE34" s="1082"/>
      <c r="AF34" s="1083"/>
      <c r="AG34" s="1082"/>
      <c r="AH34" s="1082"/>
      <c r="AI34" s="1082"/>
      <c r="AJ34" s="1083"/>
      <c r="AK34" s="1082"/>
      <c r="AL34" s="1082"/>
      <c r="AM34" s="1082"/>
      <c r="AN34" s="1083"/>
      <c r="AO34" s="1082"/>
      <c r="AP34" s="1082"/>
      <c r="AQ34" s="1082"/>
      <c r="AR34" s="4052"/>
      <c r="AS34" s="1082"/>
      <c r="AT34" s="1082"/>
      <c r="AU34" s="1082"/>
      <c r="AV34" s="4052"/>
      <c r="AW34" s="1082"/>
      <c r="AX34" s="1082"/>
      <c r="AY34" s="1082"/>
      <c r="AZ34" s="1071"/>
      <c r="BA34" s="1082"/>
      <c r="BB34" s="1082"/>
      <c r="BC34" s="1082"/>
      <c r="BD34" s="1071"/>
      <c r="BE34" s="1082"/>
      <c r="BF34" s="1082"/>
      <c r="BG34" s="1082"/>
      <c r="BH34" s="1071"/>
      <c r="BI34" s="1082"/>
      <c r="BJ34" s="1082"/>
      <c r="BK34" s="1082">
        <v>8</v>
      </c>
      <c r="BL34" s="1071">
        <f>SUM(BI34:BK34)</f>
        <v>8</v>
      </c>
    </row>
    <row r="35" spans="1:64" s="212" customFormat="1" ht="15" x14ac:dyDescent="0.2">
      <c r="A35" s="6198"/>
      <c r="B35" s="6201"/>
      <c r="C35" s="6175"/>
      <c r="D35" s="1064" t="s">
        <v>1335</v>
      </c>
      <c r="E35" s="1645"/>
      <c r="F35" s="1629"/>
      <c r="G35" s="1629"/>
      <c r="H35" s="1083"/>
      <c r="I35" s="1082"/>
      <c r="J35" s="1082"/>
      <c r="K35" s="1082"/>
      <c r="L35" s="1083"/>
      <c r="M35" s="1082"/>
      <c r="N35" s="1082"/>
      <c r="O35" s="1082"/>
      <c r="P35" s="1083"/>
      <c r="Q35" s="1082"/>
      <c r="R35" s="1082"/>
      <c r="S35" s="1082"/>
      <c r="T35" s="1083"/>
      <c r="U35" s="1082"/>
      <c r="V35" s="1082"/>
      <c r="W35" s="1082"/>
      <c r="X35" s="1083"/>
      <c r="Y35" s="1082"/>
      <c r="Z35" s="1082"/>
      <c r="AA35" s="1082"/>
      <c r="AB35" s="1083"/>
      <c r="AC35" s="1082"/>
      <c r="AD35" s="1082"/>
      <c r="AE35" s="1082"/>
      <c r="AF35" s="1083"/>
      <c r="AG35" s="1082"/>
      <c r="AH35" s="1082"/>
      <c r="AI35" s="1082"/>
      <c r="AJ35" s="1083"/>
      <c r="AK35" s="1082"/>
      <c r="AL35" s="1082"/>
      <c r="AM35" s="1082"/>
      <c r="AN35" s="1083"/>
      <c r="AO35" s="1082"/>
      <c r="AP35" s="1082"/>
      <c r="AQ35" s="1082"/>
      <c r="AR35" s="4052"/>
      <c r="AS35" s="1082"/>
      <c r="AT35" s="1082"/>
      <c r="AU35" s="1082"/>
      <c r="AV35" s="4052"/>
      <c r="AW35" s="1082"/>
      <c r="AX35" s="1082"/>
      <c r="AY35" s="1082"/>
      <c r="AZ35" s="1071"/>
      <c r="BA35" s="1082">
        <v>1</v>
      </c>
      <c r="BB35" s="1082"/>
      <c r="BC35" s="1082"/>
      <c r="BD35" s="1071">
        <f>SUM(BA35:BC35)</f>
        <v>1</v>
      </c>
      <c r="BE35" s="1082"/>
      <c r="BF35" s="1082"/>
      <c r="BG35" s="1082">
        <v>16</v>
      </c>
      <c r="BH35" s="1071">
        <f>SUM(BE35:BG35)</f>
        <v>16</v>
      </c>
      <c r="BI35" s="1082"/>
      <c r="BJ35" s="1082"/>
      <c r="BK35" s="1082">
        <v>12</v>
      </c>
      <c r="BL35" s="1071">
        <f>SUM(BI35:BK35)</f>
        <v>12</v>
      </c>
    </row>
    <row r="36" spans="1:64" s="212" customFormat="1" ht="15" x14ac:dyDescent="0.2">
      <c r="A36" s="6198"/>
      <c r="B36" s="6201"/>
      <c r="C36" s="6177" t="s">
        <v>521</v>
      </c>
      <c r="D36" s="5253" t="s">
        <v>401</v>
      </c>
      <c r="E36" s="1631"/>
      <c r="F36" s="1630"/>
      <c r="G36" s="1630"/>
      <c r="H36" s="1070"/>
      <c r="I36" s="1069"/>
      <c r="J36" s="1069"/>
      <c r="K36" s="1069">
        <v>60</v>
      </c>
      <c r="L36" s="1070">
        <f>SUM(I36:K36)</f>
        <v>60</v>
      </c>
      <c r="M36" s="1069"/>
      <c r="N36" s="1069">
        <v>40</v>
      </c>
      <c r="O36" s="1069"/>
      <c r="P36" s="1070">
        <f>SUM(M36:O36)</f>
        <v>40</v>
      </c>
      <c r="Q36" s="1069"/>
      <c r="R36" s="1069">
        <v>52</v>
      </c>
      <c r="S36" s="1069"/>
      <c r="T36" s="1070">
        <f>SUM(Q36:S36)</f>
        <v>52</v>
      </c>
      <c r="U36" s="1069"/>
      <c r="V36" s="1069">
        <v>33</v>
      </c>
      <c r="W36" s="1069"/>
      <c r="X36" s="1070">
        <f>SUM(U36:W36)</f>
        <v>33</v>
      </c>
      <c r="Y36" s="1069"/>
      <c r="Z36" s="1069"/>
      <c r="AA36" s="1069">
        <v>40</v>
      </c>
      <c r="AB36" s="1070">
        <f>SUM(Y36:AA36)</f>
        <v>40</v>
      </c>
      <c r="AC36" s="1069"/>
      <c r="AD36" s="1069"/>
      <c r="AE36" s="1069">
        <v>52</v>
      </c>
      <c r="AF36" s="1070">
        <f>SUM(AC36:AE36)</f>
        <v>52</v>
      </c>
      <c r="AG36" s="1069"/>
      <c r="AH36" s="1069"/>
      <c r="AI36" s="1069">
        <v>41</v>
      </c>
      <c r="AJ36" s="1070">
        <f>SUM(AG36:AI36)</f>
        <v>41</v>
      </c>
      <c r="AK36" s="1069"/>
      <c r="AL36" s="1069"/>
      <c r="AM36" s="1069"/>
      <c r="AN36" s="1070">
        <f>SUM(AK36:AM36)</f>
        <v>0</v>
      </c>
      <c r="AO36" s="1069"/>
      <c r="AP36" s="1069"/>
      <c r="AQ36" s="1069">
        <v>9</v>
      </c>
      <c r="AR36" s="1071">
        <f>SUM(AO36:AQ36)</f>
        <v>9</v>
      </c>
      <c r="AS36" s="1069"/>
      <c r="AT36" s="1069"/>
      <c r="AU36" s="1069">
        <v>49</v>
      </c>
      <c r="AV36" s="1071">
        <f>SUM(AS36:AU36)</f>
        <v>49</v>
      </c>
      <c r="AW36" s="1069"/>
      <c r="AX36" s="1069"/>
      <c r="AY36" s="1069">
        <v>7</v>
      </c>
      <c r="AZ36" s="1071">
        <f>SUM(AW36:AY36)</f>
        <v>7</v>
      </c>
      <c r="BA36" s="1069"/>
      <c r="BB36" s="1069"/>
      <c r="BC36" s="1069"/>
      <c r="BD36" s="1071">
        <f>SUM(BA36:BC36)</f>
        <v>0</v>
      </c>
      <c r="BE36" s="1069"/>
      <c r="BF36" s="1069"/>
      <c r="BG36" s="1069"/>
      <c r="BH36" s="1071">
        <f>SUM(BE36:BG36)</f>
        <v>0</v>
      </c>
      <c r="BI36" s="1069"/>
      <c r="BJ36" s="1069"/>
      <c r="BK36" s="1069"/>
      <c r="BL36" s="1071">
        <f>SUM(BI36:BK36)</f>
        <v>0</v>
      </c>
    </row>
    <row r="37" spans="1:64" s="212" customFormat="1" ht="15" x14ac:dyDescent="0.25">
      <c r="A37" s="6198"/>
      <c r="B37" s="6201"/>
      <c r="C37" s="6174"/>
      <c r="D37" s="1107" t="s">
        <v>1306</v>
      </c>
      <c r="E37" s="1631"/>
      <c r="F37" s="1630"/>
      <c r="G37" s="1630"/>
      <c r="H37" s="1070"/>
      <c r="I37" s="1069"/>
      <c r="J37" s="1069"/>
      <c r="K37" s="1069"/>
      <c r="L37" s="1070"/>
      <c r="M37" s="1069"/>
      <c r="N37" s="1069"/>
      <c r="O37" s="1069"/>
      <c r="P37" s="1070"/>
      <c r="Q37" s="1069"/>
      <c r="R37" s="1069"/>
      <c r="S37" s="1069"/>
      <c r="T37" s="1070"/>
      <c r="U37" s="1069"/>
      <c r="V37" s="1069"/>
      <c r="W37" s="1069"/>
      <c r="X37" s="1070"/>
      <c r="Y37" s="1069"/>
      <c r="Z37" s="1069"/>
      <c r="AA37" s="1069"/>
      <c r="AB37" s="1070"/>
      <c r="AC37" s="1069"/>
      <c r="AD37" s="1069"/>
      <c r="AE37" s="1069"/>
      <c r="AF37" s="1070"/>
      <c r="AG37" s="1069"/>
      <c r="AH37" s="1069"/>
      <c r="AI37" s="1069"/>
      <c r="AJ37" s="1070"/>
      <c r="AK37" s="1069"/>
      <c r="AL37" s="1069"/>
      <c r="AM37" s="1069"/>
      <c r="AN37" s="1070"/>
      <c r="AO37" s="1069"/>
      <c r="AP37" s="1069"/>
      <c r="AQ37" s="1069"/>
      <c r="AR37" s="1071"/>
      <c r="AS37" s="1069"/>
      <c r="AT37" s="1069"/>
      <c r="AU37" s="1069"/>
      <c r="AV37" s="1071"/>
      <c r="AW37" s="1069"/>
      <c r="AX37" s="1069"/>
      <c r="AY37" s="1069"/>
      <c r="AZ37" s="1071"/>
      <c r="BA37" s="1069"/>
      <c r="BB37" s="1069">
        <v>10</v>
      </c>
      <c r="BC37" s="1069">
        <v>8</v>
      </c>
      <c r="BD37" s="1071">
        <f t="shared" ref="BD37:BD42" si="16">SUM(BA37:BC37)</f>
        <v>18</v>
      </c>
      <c r="BE37" s="1069"/>
      <c r="BF37" s="1069"/>
      <c r="BG37" s="1069">
        <v>5</v>
      </c>
      <c r="BH37" s="1071">
        <f t="shared" ref="BH37:BH42" si="17">SUM(BE37:BG37)</f>
        <v>5</v>
      </c>
      <c r="BI37" s="1069"/>
      <c r="BJ37" s="1069"/>
      <c r="BK37" s="1069"/>
      <c r="BL37" s="1071">
        <f t="shared" ref="BL37:BL42" si="18">SUM(BI37:BK37)</f>
        <v>0</v>
      </c>
    </row>
    <row r="38" spans="1:64" s="212" customFormat="1" ht="15" x14ac:dyDescent="0.25">
      <c r="A38" s="6198"/>
      <c r="B38" s="6201"/>
      <c r="C38" s="6174"/>
      <c r="D38" s="1107" t="s">
        <v>1301</v>
      </c>
      <c r="E38" s="1631"/>
      <c r="F38" s="1630"/>
      <c r="G38" s="1630"/>
      <c r="H38" s="1070"/>
      <c r="I38" s="1069"/>
      <c r="J38" s="1069"/>
      <c r="K38" s="1069"/>
      <c r="L38" s="1070"/>
      <c r="M38" s="1069"/>
      <c r="N38" s="1069"/>
      <c r="O38" s="1069"/>
      <c r="P38" s="1070"/>
      <c r="Q38" s="1069"/>
      <c r="R38" s="1069"/>
      <c r="S38" s="1069"/>
      <c r="T38" s="1070"/>
      <c r="U38" s="1069"/>
      <c r="V38" s="1069"/>
      <c r="W38" s="1069"/>
      <c r="X38" s="1070"/>
      <c r="Y38" s="1069"/>
      <c r="Z38" s="1069"/>
      <c r="AA38" s="1069"/>
      <c r="AB38" s="1070"/>
      <c r="AC38" s="1069"/>
      <c r="AD38" s="1069"/>
      <c r="AE38" s="1069"/>
      <c r="AF38" s="1070"/>
      <c r="AG38" s="1069"/>
      <c r="AH38" s="1069"/>
      <c r="AI38" s="1069"/>
      <c r="AJ38" s="1070"/>
      <c r="AK38" s="1069"/>
      <c r="AL38" s="1069"/>
      <c r="AM38" s="1069"/>
      <c r="AN38" s="1070"/>
      <c r="AO38" s="1069"/>
      <c r="AP38" s="1069"/>
      <c r="AQ38" s="1069"/>
      <c r="AR38" s="1071"/>
      <c r="AS38" s="1069"/>
      <c r="AT38" s="1069"/>
      <c r="AU38" s="1069"/>
      <c r="AV38" s="1071"/>
      <c r="AW38" s="1069"/>
      <c r="AX38" s="1069"/>
      <c r="AY38" s="1069"/>
      <c r="AZ38" s="1071"/>
      <c r="BA38" s="1069"/>
      <c r="BB38" s="1069">
        <v>9</v>
      </c>
      <c r="BC38" s="1069">
        <v>5</v>
      </c>
      <c r="BD38" s="1071">
        <f t="shared" si="16"/>
        <v>14</v>
      </c>
      <c r="BE38" s="1069"/>
      <c r="BF38" s="1069"/>
      <c r="BG38" s="1069">
        <v>14</v>
      </c>
      <c r="BH38" s="1071">
        <f t="shared" si="17"/>
        <v>14</v>
      </c>
      <c r="BI38" s="1069"/>
      <c r="BJ38" s="1069"/>
      <c r="BK38" s="1069">
        <v>13</v>
      </c>
      <c r="BL38" s="1071">
        <f t="shared" si="18"/>
        <v>13</v>
      </c>
    </row>
    <row r="39" spans="1:64" s="212" customFormat="1" ht="15" x14ac:dyDescent="0.25">
      <c r="A39" s="6198"/>
      <c r="B39" s="6201"/>
      <c r="C39" s="6174"/>
      <c r="D39" s="1107" t="s">
        <v>1302</v>
      </c>
      <c r="E39" s="1631"/>
      <c r="F39" s="1630"/>
      <c r="G39" s="1630"/>
      <c r="H39" s="1070"/>
      <c r="I39" s="1069"/>
      <c r="J39" s="1069"/>
      <c r="K39" s="1069"/>
      <c r="L39" s="1070"/>
      <c r="M39" s="1069"/>
      <c r="N39" s="1069"/>
      <c r="O39" s="1069"/>
      <c r="P39" s="1070"/>
      <c r="Q39" s="1069"/>
      <c r="R39" s="1069"/>
      <c r="S39" s="1069"/>
      <c r="T39" s="1070"/>
      <c r="U39" s="1069"/>
      <c r="V39" s="1069"/>
      <c r="W39" s="1069"/>
      <c r="X39" s="1070"/>
      <c r="Y39" s="1069"/>
      <c r="Z39" s="1069"/>
      <c r="AA39" s="1069"/>
      <c r="AB39" s="1070"/>
      <c r="AC39" s="1069"/>
      <c r="AD39" s="1069"/>
      <c r="AE39" s="1069"/>
      <c r="AF39" s="1070"/>
      <c r="AG39" s="1069"/>
      <c r="AH39" s="1069"/>
      <c r="AI39" s="1069"/>
      <c r="AJ39" s="1070"/>
      <c r="AK39" s="1069"/>
      <c r="AL39" s="1069"/>
      <c r="AM39" s="1069"/>
      <c r="AN39" s="1070"/>
      <c r="AO39" s="1069"/>
      <c r="AP39" s="1069"/>
      <c r="AQ39" s="1069"/>
      <c r="AR39" s="1071"/>
      <c r="AS39" s="1069"/>
      <c r="AT39" s="1069"/>
      <c r="AU39" s="1069"/>
      <c r="AV39" s="1071"/>
      <c r="AW39" s="1069"/>
      <c r="AX39" s="1069"/>
      <c r="AY39" s="1069"/>
      <c r="AZ39" s="1071"/>
      <c r="BA39" s="1069"/>
      <c r="BB39" s="1069">
        <v>34</v>
      </c>
      <c r="BC39" s="1069"/>
      <c r="BD39" s="1071">
        <f t="shared" si="16"/>
        <v>34</v>
      </c>
      <c r="BE39" s="1069"/>
      <c r="BF39" s="1069"/>
      <c r="BG39" s="1069">
        <v>25</v>
      </c>
      <c r="BH39" s="1071">
        <f t="shared" si="17"/>
        <v>25</v>
      </c>
      <c r="BI39" s="1069"/>
      <c r="BJ39" s="1069"/>
      <c r="BK39" s="1069">
        <v>8</v>
      </c>
      <c r="BL39" s="1071">
        <f t="shared" si="18"/>
        <v>8</v>
      </c>
    </row>
    <row r="40" spans="1:64" s="212" customFormat="1" ht="15" x14ac:dyDescent="0.25">
      <c r="A40" s="6198"/>
      <c r="B40" s="6201"/>
      <c r="C40" s="6174"/>
      <c r="D40" s="1107" t="s">
        <v>1303</v>
      </c>
      <c r="E40" s="1631"/>
      <c r="F40" s="1630"/>
      <c r="G40" s="1630"/>
      <c r="H40" s="1070"/>
      <c r="I40" s="1069"/>
      <c r="J40" s="1069"/>
      <c r="K40" s="1069"/>
      <c r="L40" s="1070"/>
      <c r="M40" s="1069"/>
      <c r="N40" s="1069"/>
      <c r="O40" s="1069"/>
      <c r="P40" s="1070"/>
      <c r="Q40" s="1069"/>
      <c r="R40" s="1069"/>
      <c r="S40" s="1069"/>
      <c r="T40" s="1070"/>
      <c r="U40" s="1069"/>
      <c r="V40" s="1069"/>
      <c r="W40" s="1069"/>
      <c r="X40" s="1070"/>
      <c r="Y40" s="1069"/>
      <c r="Z40" s="1069"/>
      <c r="AA40" s="1069"/>
      <c r="AB40" s="1070"/>
      <c r="AC40" s="1069"/>
      <c r="AD40" s="1069"/>
      <c r="AE40" s="1069"/>
      <c r="AF40" s="1070"/>
      <c r="AG40" s="1069"/>
      <c r="AH40" s="1069"/>
      <c r="AI40" s="1069"/>
      <c r="AJ40" s="1070"/>
      <c r="AK40" s="1069"/>
      <c r="AL40" s="1069"/>
      <c r="AM40" s="1069"/>
      <c r="AN40" s="1070"/>
      <c r="AO40" s="1069"/>
      <c r="AP40" s="1069"/>
      <c r="AQ40" s="1069"/>
      <c r="AR40" s="1071"/>
      <c r="AS40" s="1069"/>
      <c r="AT40" s="1069"/>
      <c r="AU40" s="1069"/>
      <c r="AV40" s="1071"/>
      <c r="AW40" s="1069"/>
      <c r="AX40" s="1069"/>
      <c r="AY40" s="1069"/>
      <c r="AZ40" s="1071"/>
      <c r="BA40" s="1069">
        <v>4</v>
      </c>
      <c r="BB40" s="1069"/>
      <c r="BC40" s="1069">
        <v>8</v>
      </c>
      <c r="BD40" s="1071">
        <f t="shared" si="16"/>
        <v>12</v>
      </c>
      <c r="BE40" s="1069"/>
      <c r="BF40" s="1069"/>
      <c r="BG40" s="1069"/>
      <c r="BH40" s="1071">
        <f t="shared" si="17"/>
        <v>0</v>
      </c>
      <c r="BI40" s="1069"/>
      <c r="BJ40" s="1069"/>
      <c r="BK40" s="1069">
        <v>10</v>
      </c>
      <c r="BL40" s="1071">
        <f t="shared" si="18"/>
        <v>10</v>
      </c>
    </row>
    <row r="41" spans="1:64" s="212" customFormat="1" ht="15" x14ac:dyDescent="0.25">
      <c r="A41" s="6198"/>
      <c r="B41" s="6201"/>
      <c r="C41" s="6174"/>
      <c r="D41" s="1107" t="s">
        <v>1304</v>
      </c>
      <c r="E41" s="1631"/>
      <c r="F41" s="1630"/>
      <c r="G41" s="1630"/>
      <c r="H41" s="1070"/>
      <c r="I41" s="1069"/>
      <c r="J41" s="1069"/>
      <c r="K41" s="1069"/>
      <c r="L41" s="1070"/>
      <c r="M41" s="1069"/>
      <c r="N41" s="1069"/>
      <c r="O41" s="1069"/>
      <c r="P41" s="1070"/>
      <c r="Q41" s="1069"/>
      <c r="R41" s="1069"/>
      <c r="S41" s="1069"/>
      <c r="T41" s="1070"/>
      <c r="U41" s="1069"/>
      <c r="V41" s="1069"/>
      <c r="W41" s="1069"/>
      <c r="X41" s="1070"/>
      <c r="Y41" s="1069"/>
      <c r="Z41" s="1069"/>
      <c r="AA41" s="1069"/>
      <c r="AB41" s="1070"/>
      <c r="AC41" s="1069"/>
      <c r="AD41" s="1069"/>
      <c r="AE41" s="1069"/>
      <c r="AF41" s="1070"/>
      <c r="AG41" s="1069"/>
      <c r="AH41" s="1069"/>
      <c r="AI41" s="1069"/>
      <c r="AJ41" s="1070"/>
      <c r="AK41" s="1069"/>
      <c r="AL41" s="1069"/>
      <c r="AM41" s="1069"/>
      <c r="AN41" s="1070"/>
      <c r="AO41" s="1069"/>
      <c r="AP41" s="1069"/>
      <c r="AQ41" s="1069"/>
      <c r="AR41" s="1071"/>
      <c r="AS41" s="1069"/>
      <c r="AT41" s="1069"/>
      <c r="AU41" s="1069"/>
      <c r="AV41" s="1071"/>
      <c r="AW41" s="1069"/>
      <c r="AX41" s="1069"/>
      <c r="AY41" s="1069"/>
      <c r="AZ41" s="1071"/>
      <c r="BA41" s="1069"/>
      <c r="BB41" s="1069">
        <v>10</v>
      </c>
      <c r="BC41" s="1069">
        <v>9</v>
      </c>
      <c r="BD41" s="1071">
        <f t="shared" si="16"/>
        <v>19</v>
      </c>
      <c r="BE41" s="1069"/>
      <c r="BF41" s="1069"/>
      <c r="BG41" s="1069">
        <v>13</v>
      </c>
      <c r="BH41" s="1071">
        <f t="shared" si="17"/>
        <v>13</v>
      </c>
      <c r="BI41" s="1069"/>
      <c r="BJ41" s="1069"/>
      <c r="BK41" s="1069">
        <v>7</v>
      </c>
      <c r="BL41" s="1071">
        <f t="shared" si="18"/>
        <v>7</v>
      </c>
    </row>
    <row r="42" spans="1:64" s="212" customFormat="1" ht="30" x14ac:dyDescent="0.25">
      <c r="A42" s="6198"/>
      <c r="B42" s="6201"/>
      <c r="C42" s="6175"/>
      <c r="D42" s="1107" t="s">
        <v>1305</v>
      </c>
      <c r="E42" s="1631"/>
      <c r="F42" s="1630"/>
      <c r="G42" s="1630"/>
      <c r="H42" s="1070"/>
      <c r="I42" s="1069"/>
      <c r="J42" s="1069"/>
      <c r="K42" s="1069"/>
      <c r="L42" s="1070"/>
      <c r="M42" s="1069"/>
      <c r="N42" s="1069"/>
      <c r="O42" s="1069"/>
      <c r="P42" s="1070"/>
      <c r="Q42" s="1069"/>
      <c r="R42" s="1069"/>
      <c r="S42" s="1069"/>
      <c r="T42" s="1070"/>
      <c r="U42" s="1069"/>
      <c r="V42" s="1069"/>
      <c r="W42" s="1069"/>
      <c r="X42" s="1070"/>
      <c r="Y42" s="1069"/>
      <c r="Z42" s="1069"/>
      <c r="AA42" s="1069"/>
      <c r="AB42" s="1070"/>
      <c r="AC42" s="1069"/>
      <c r="AD42" s="1069"/>
      <c r="AE42" s="1069"/>
      <c r="AF42" s="1070"/>
      <c r="AG42" s="1069"/>
      <c r="AH42" s="1069"/>
      <c r="AI42" s="1069"/>
      <c r="AJ42" s="1070"/>
      <c r="AK42" s="1069"/>
      <c r="AL42" s="1069"/>
      <c r="AM42" s="1069"/>
      <c r="AN42" s="1070"/>
      <c r="AO42" s="1069"/>
      <c r="AP42" s="1069"/>
      <c r="AQ42" s="1069"/>
      <c r="AR42" s="1071"/>
      <c r="AS42" s="1069"/>
      <c r="AT42" s="1069"/>
      <c r="AU42" s="1069"/>
      <c r="AV42" s="1071"/>
      <c r="AW42" s="1069"/>
      <c r="AX42" s="1069"/>
      <c r="AY42" s="1069"/>
      <c r="AZ42" s="1071"/>
      <c r="BA42" s="1069"/>
      <c r="BB42" s="1069">
        <v>4</v>
      </c>
      <c r="BC42" s="1069">
        <v>8</v>
      </c>
      <c r="BD42" s="1071">
        <f t="shared" si="16"/>
        <v>12</v>
      </c>
      <c r="BE42" s="1069"/>
      <c r="BF42" s="1069"/>
      <c r="BG42" s="1069">
        <v>2</v>
      </c>
      <c r="BH42" s="1071">
        <f t="shared" si="17"/>
        <v>2</v>
      </c>
      <c r="BI42" s="1069"/>
      <c r="BJ42" s="1069"/>
      <c r="BK42" s="1069">
        <v>2</v>
      </c>
      <c r="BL42" s="1071">
        <f t="shared" si="18"/>
        <v>2</v>
      </c>
    </row>
    <row r="43" spans="1:64" s="212" customFormat="1" ht="15" x14ac:dyDescent="0.25">
      <c r="A43" s="6198"/>
      <c r="B43" s="6210"/>
      <c r="C43" s="6178" t="s">
        <v>520</v>
      </c>
      <c r="D43" s="5253" t="s">
        <v>402</v>
      </c>
      <c r="E43" s="1167"/>
      <c r="F43" s="1072"/>
      <c r="G43" s="1072"/>
      <c r="H43" s="1071"/>
      <c r="I43" s="1072"/>
      <c r="J43" s="1072"/>
      <c r="K43" s="1072"/>
      <c r="L43" s="1071"/>
      <c r="M43" s="1072"/>
      <c r="N43" s="1072">
        <v>18</v>
      </c>
      <c r="O43" s="1072"/>
      <c r="P43" s="1071">
        <f>SUM(M43:O43)</f>
        <v>18</v>
      </c>
      <c r="Q43" s="1072"/>
      <c r="R43" s="1072">
        <v>21</v>
      </c>
      <c r="S43" s="1072"/>
      <c r="T43" s="1071">
        <f>SUM(Q43:S43)</f>
        <v>21</v>
      </c>
      <c r="U43" s="1072"/>
      <c r="V43" s="1072">
        <v>24</v>
      </c>
      <c r="W43" s="1072"/>
      <c r="X43" s="1071">
        <f>SUM(U43:W43)</f>
        <v>24</v>
      </c>
      <c r="Y43" s="1072"/>
      <c r="Z43" s="1072"/>
      <c r="AA43" s="1072">
        <v>22</v>
      </c>
      <c r="AB43" s="1071">
        <f>SUM(Y43:AA43)</f>
        <v>22</v>
      </c>
      <c r="AC43" s="1072"/>
      <c r="AD43" s="1072"/>
      <c r="AE43" s="1072">
        <v>14</v>
      </c>
      <c r="AF43" s="1071">
        <f>SUM(AC43:AE43)</f>
        <v>14</v>
      </c>
      <c r="AG43" s="1636"/>
      <c r="AH43" s="1636"/>
      <c r="AI43" s="1636">
        <v>56</v>
      </c>
      <c r="AJ43" s="1071">
        <f>SUM(AG43:AI43)</f>
        <v>56</v>
      </c>
      <c r="AK43" s="1636"/>
      <c r="AL43" s="1636"/>
      <c r="AM43" s="1636">
        <v>94</v>
      </c>
      <c r="AN43" s="1071">
        <f>SUM(AK43:AM43)</f>
        <v>94</v>
      </c>
      <c r="AO43" s="1636"/>
      <c r="AP43" s="1636"/>
      <c r="AQ43" s="1636">
        <v>27</v>
      </c>
      <c r="AR43" s="1071">
        <f>SUM(AO43:AQ43)</f>
        <v>27</v>
      </c>
      <c r="AS43" s="1636"/>
      <c r="AT43" s="1636"/>
      <c r="AU43" s="1636">
        <v>3</v>
      </c>
      <c r="AV43" s="1071">
        <f>SUM(AS43:AU43)</f>
        <v>3</v>
      </c>
      <c r="AW43" s="1636"/>
      <c r="AX43" s="1636"/>
      <c r="AY43" s="1636">
        <v>82</v>
      </c>
      <c r="AZ43" s="1071">
        <f>SUM(AW43:AY43)</f>
        <v>82</v>
      </c>
      <c r="BA43" s="1636"/>
      <c r="BB43" s="1636"/>
      <c r="BC43" s="1636"/>
      <c r="BD43" s="1071">
        <f>SUM(BA43:BC43)</f>
        <v>0</v>
      </c>
      <c r="BE43" s="1636"/>
      <c r="BF43" s="1636"/>
      <c r="BG43" s="1636"/>
      <c r="BH43" s="1071">
        <f>SUM(BE43:BG43)</f>
        <v>0</v>
      </c>
      <c r="BI43" s="1636"/>
      <c r="BJ43" s="1636"/>
      <c r="BK43" s="1636"/>
      <c r="BL43" s="1071">
        <f t="shared" ref="BL43:BL49" si="19">SUM(BI43:BK43)</f>
        <v>0</v>
      </c>
    </row>
    <row r="44" spans="1:64" s="212" customFormat="1" ht="15" x14ac:dyDescent="0.25">
      <c r="A44" s="6198"/>
      <c r="B44" s="6210"/>
      <c r="C44" s="6174"/>
      <c r="D44" s="1065" t="s">
        <v>1336</v>
      </c>
      <c r="E44" s="1164"/>
      <c r="F44" s="1165"/>
      <c r="G44" s="1165"/>
      <c r="H44" s="1666"/>
      <c r="I44" s="1165"/>
      <c r="J44" s="1165"/>
      <c r="K44" s="1165"/>
      <c r="L44" s="1666"/>
      <c r="M44" s="1165"/>
      <c r="N44" s="1165"/>
      <c r="O44" s="1165"/>
      <c r="P44" s="1666"/>
      <c r="Q44" s="1165"/>
      <c r="R44" s="1165"/>
      <c r="S44" s="1165"/>
      <c r="T44" s="1666"/>
      <c r="U44" s="1165"/>
      <c r="V44" s="1165"/>
      <c r="W44" s="1165"/>
      <c r="X44" s="1666"/>
      <c r="Y44" s="1165"/>
      <c r="Z44" s="1165"/>
      <c r="AA44" s="1165"/>
      <c r="AB44" s="1666"/>
      <c r="AC44" s="1165"/>
      <c r="AD44" s="1165"/>
      <c r="AE44" s="1165"/>
      <c r="AF44" s="1666"/>
      <c r="AG44" s="1644"/>
      <c r="AH44" s="1644"/>
      <c r="AI44" s="1644"/>
      <c r="AJ44" s="1666"/>
      <c r="AK44" s="1644"/>
      <c r="AL44" s="1644"/>
      <c r="AM44" s="1644"/>
      <c r="AN44" s="1666"/>
      <c r="AO44" s="1644"/>
      <c r="AP44" s="1644"/>
      <c r="AQ44" s="1644"/>
      <c r="AR44" s="1666"/>
      <c r="AS44" s="1644"/>
      <c r="AT44" s="1644"/>
      <c r="AU44" s="1644"/>
      <c r="AV44" s="1666"/>
      <c r="AW44" s="1644"/>
      <c r="AX44" s="1644"/>
      <c r="AY44" s="1644"/>
      <c r="AZ44" s="1666"/>
      <c r="BA44" s="1644"/>
      <c r="BB44" s="1644"/>
      <c r="BC44" s="1644"/>
      <c r="BD44" s="1071">
        <f>SUM(BA44:BC44)</f>
        <v>0</v>
      </c>
      <c r="BE44" s="1644"/>
      <c r="BF44" s="1644"/>
      <c r="BG44" s="1644"/>
      <c r="BH44" s="1071">
        <f>SUM(BE44:BG44)</f>
        <v>0</v>
      </c>
      <c r="BI44" s="1644"/>
      <c r="BJ44" s="1644"/>
      <c r="BK44" s="1644">
        <v>6</v>
      </c>
      <c r="BL44" s="1071">
        <f t="shared" si="19"/>
        <v>6</v>
      </c>
    </row>
    <row r="45" spans="1:64" s="212" customFormat="1" ht="15" x14ac:dyDescent="0.25">
      <c r="A45" s="6198"/>
      <c r="B45" s="6210"/>
      <c r="C45" s="6174"/>
      <c r="D45" s="1141" t="s">
        <v>1301</v>
      </c>
      <c r="E45" s="1164"/>
      <c r="F45" s="1165"/>
      <c r="G45" s="1165"/>
      <c r="H45" s="1666"/>
      <c r="I45" s="1165"/>
      <c r="J45" s="1165"/>
      <c r="K45" s="1165"/>
      <c r="L45" s="1666"/>
      <c r="M45" s="1165"/>
      <c r="N45" s="1165"/>
      <c r="O45" s="1165"/>
      <c r="P45" s="1666"/>
      <c r="Q45" s="1165"/>
      <c r="R45" s="1165"/>
      <c r="S45" s="1165"/>
      <c r="T45" s="1666"/>
      <c r="U45" s="1165"/>
      <c r="V45" s="1165"/>
      <c r="W45" s="1165"/>
      <c r="X45" s="1666"/>
      <c r="Y45" s="1165"/>
      <c r="Z45" s="1165"/>
      <c r="AA45" s="1165"/>
      <c r="AB45" s="1666"/>
      <c r="AC45" s="1165"/>
      <c r="AD45" s="1165"/>
      <c r="AE45" s="1165"/>
      <c r="AF45" s="1666"/>
      <c r="AG45" s="1644"/>
      <c r="AH45" s="1644"/>
      <c r="AI45" s="1644"/>
      <c r="AJ45" s="1666"/>
      <c r="AK45" s="1644"/>
      <c r="AL45" s="1644"/>
      <c r="AM45" s="1644"/>
      <c r="AN45" s="1666"/>
      <c r="AO45" s="1644"/>
      <c r="AP45" s="1644"/>
      <c r="AQ45" s="1644"/>
      <c r="AR45" s="1666"/>
      <c r="AS45" s="1644"/>
      <c r="AT45" s="1644"/>
      <c r="AU45" s="1644"/>
      <c r="AV45" s="1666"/>
      <c r="AW45" s="1644"/>
      <c r="AX45" s="1644"/>
      <c r="AY45" s="1644"/>
      <c r="AZ45" s="1666"/>
      <c r="BA45" s="1644"/>
      <c r="BB45" s="1644"/>
      <c r="BC45" s="1644"/>
      <c r="BD45" s="1071"/>
      <c r="BE45" s="1644"/>
      <c r="BF45" s="1644"/>
      <c r="BG45" s="1644"/>
      <c r="BH45" s="1071"/>
      <c r="BI45" s="1644"/>
      <c r="BJ45" s="1644"/>
      <c r="BK45" s="1644">
        <v>7</v>
      </c>
      <c r="BL45" s="1071">
        <f t="shared" si="19"/>
        <v>7</v>
      </c>
    </row>
    <row r="46" spans="1:64" s="212" customFormat="1" ht="15" x14ac:dyDescent="0.25">
      <c r="A46" s="6198"/>
      <c r="B46" s="6210"/>
      <c r="C46" s="6174"/>
      <c r="D46" s="1141" t="s">
        <v>1302</v>
      </c>
      <c r="E46" s="1164"/>
      <c r="F46" s="1165"/>
      <c r="G46" s="1165"/>
      <c r="H46" s="1666"/>
      <c r="I46" s="1165"/>
      <c r="J46" s="1165"/>
      <c r="K46" s="1165"/>
      <c r="L46" s="1666"/>
      <c r="M46" s="1165"/>
      <c r="N46" s="1165"/>
      <c r="O46" s="1165"/>
      <c r="P46" s="1666"/>
      <c r="Q46" s="1165"/>
      <c r="R46" s="1165"/>
      <c r="S46" s="1165"/>
      <c r="T46" s="1666"/>
      <c r="U46" s="1165"/>
      <c r="V46" s="1165"/>
      <c r="W46" s="1165"/>
      <c r="X46" s="1666"/>
      <c r="Y46" s="1165"/>
      <c r="Z46" s="1165"/>
      <c r="AA46" s="1165"/>
      <c r="AB46" s="1666"/>
      <c r="AC46" s="1165"/>
      <c r="AD46" s="1165"/>
      <c r="AE46" s="1165"/>
      <c r="AF46" s="1666"/>
      <c r="AG46" s="1644"/>
      <c r="AH46" s="1644"/>
      <c r="AI46" s="1644"/>
      <c r="AJ46" s="1666"/>
      <c r="AK46" s="1644"/>
      <c r="AL46" s="1644"/>
      <c r="AM46" s="1644"/>
      <c r="AN46" s="1666"/>
      <c r="AO46" s="1644"/>
      <c r="AP46" s="1644"/>
      <c r="AQ46" s="1644"/>
      <c r="AR46" s="1666"/>
      <c r="AS46" s="1644"/>
      <c r="AT46" s="1644"/>
      <c r="AU46" s="1644"/>
      <c r="AV46" s="1666"/>
      <c r="AW46" s="1644"/>
      <c r="AX46" s="1644"/>
      <c r="AY46" s="1644"/>
      <c r="AZ46" s="1666"/>
      <c r="BA46" s="1644">
        <v>6</v>
      </c>
      <c r="BB46" s="1644"/>
      <c r="BC46" s="1644"/>
      <c r="BD46" s="1071">
        <f>SUM(BA46:BC46)</f>
        <v>6</v>
      </c>
      <c r="BE46" s="1644"/>
      <c r="BF46" s="1644"/>
      <c r="BG46" s="1644">
        <v>17</v>
      </c>
      <c r="BH46" s="1071">
        <f>SUM(BE46:BG46)</f>
        <v>17</v>
      </c>
      <c r="BI46" s="1644"/>
      <c r="BJ46" s="1644"/>
      <c r="BK46" s="1644">
        <v>7</v>
      </c>
      <c r="BL46" s="1071">
        <f t="shared" si="19"/>
        <v>7</v>
      </c>
    </row>
    <row r="47" spans="1:64" s="212" customFormat="1" ht="15" x14ac:dyDescent="0.25">
      <c r="A47" s="6198"/>
      <c r="B47" s="6210"/>
      <c r="C47" s="6174"/>
      <c r="D47" s="1107" t="s">
        <v>1303</v>
      </c>
      <c r="E47" s="1164"/>
      <c r="F47" s="1165"/>
      <c r="G47" s="1165"/>
      <c r="H47" s="1666"/>
      <c r="I47" s="1165"/>
      <c r="J47" s="1165"/>
      <c r="K47" s="1165"/>
      <c r="L47" s="1666"/>
      <c r="M47" s="1165"/>
      <c r="N47" s="1165"/>
      <c r="O47" s="1165"/>
      <c r="P47" s="1666"/>
      <c r="Q47" s="1165"/>
      <c r="R47" s="1165"/>
      <c r="S47" s="1165"/>
      <c r="T47" s="1666"/>
      <c r="U47" s="1165"/>
      <c r="V47" s="1165"/>
      <c r="W47" s="1165"/>
      <c r="X47" s="1666"/>
      <c r="Y47" s="1165"/>
      <c r="Z47" s="1165"/>
      <c r="AA47" s="1165"/>
      <c r="AB47" s="1666"/>
      <c r="AC47" s="1165"/>
      <c r="AD47" s="1165"/>
      <c r="AE47" s="1165"/>
      <c r="AF47" s="1666"/>
      <c r="AG47" s="1644"/>
      <c r="AH47" s="1644"/>
      <c r="AI47" s="1644"/>
      <c r="AJ47" s="1666"/>
      <c r="AK47" s="1644"/>
      <c r="AL47" s="1644"/>
      <c r="AM47" s="1644"/>
      <c r="AN47" s="1666"/>
      <c r="AO47" s="1644"/>
      <c r="AP47" s="1644"/>
      <c r="AQ47" s="1644"/>
      <c r="AR47" s="1666"/>
      <c r="AS47" s="1644"/>
      <c r="AT47" s="1644"/>
      <c r="AU47" s="1644"/>
      <c r="AV47" s="1666"/>
      <c r="AW47" s="1644"/>
      <c r="AX47" s="1644"/>
      <c r="AY47" s="1644"/>
      <c r="AZ47" s="1666"/>
      <c r="BA47" s="1644"/>
      <c r="BB47" s="1644"/>
      <c r="BC47" s="1644"/>
      <c r="BD47" s="1071"/>
      <c r="BE47" s="1644"/>
      <c r="BF47" s="1644"/>
      <c r="BG47" s="1644"/>
      <c r="BH47" s="1071"/>
      <c r="BI47" s="1644"/>
      <c r="BJ47" s="1644"/>
      <c r="BK47" s="1644">
        <v>4</v>
      </c>
      <c r="BL47" s="1071">
        <f t="shared" si="19"/>
        <v>4</v>
      </c>
    </row>
    <row r="48" spans="1:64" s="212" customFormat="1" ht="15" x14ac:dyDescent="0.25">
      <c r="A48" s="6198"/>
      <c r="B48" s="6210"/>
      <c r="C48" s="6174"/>
      <c r="D48" s="1107" t="s">
        <v>1304</v>
      </c>
      <c r="E48" s="1164"/>
      <c r="F48" s="1165"/>
      <c r="G48" s="1165"/>
      <c r="H48" s="1666"/>
      <c r="I48" s="1165"/>
      <c r="J48" s="1165"/>
      <c r="K48" s="1165"/>
      <c r="L48" s="1666"/>
      <c r="M48" s="1165"/>
      <c r="N48" s="1165"/>
      <c r="O48" s="1165"/>
      <c r="P48" s="1666"/>
      <c r="Q48" s="1165"/>
      <c r="R48" s="1165"/>
      <c r="S48" s="1165"/>
      <c r="T48" s="1666"/>
      <c r="U48" s="1165"/>
      <c r="V48" s="1165"/>
      <c r="W48" s="1165"/>
      <c r="X48" s="1666"/>
      <c r="Y48" s="1165"/>
      <c r="Z48" s="1165"/>
      <c r="AA48" s="1165"/>
      <c r="AB48" s="1666"/>
      <c r="AC48" s="1165"/>
      <c r="AD48" s="1165"/>
      <c r="AE48" s="1165"/>
      <c r="AF48" s="1666"/>
      <c r="AG48" s="1644"/>
      <c r="AH48" s="1644"/>
      <c r="AI48" s="1644"/>
      <c r="AJ48" s="1666"/>
      <c r="AK48" s="1644"/>
      <c r="AL48" s="1644"/>
      <c r="AM48" s="1644"/>
      <c r="AN48" s="1666"/>
      <c r="AO48" s="1644"/>
      <c r="AP48" s="1644"/>
      <c r="AQ48" s="1644"/>
      <c r="AR48" s="1666"/>
      <c r="AS48" s="1644"/>
      <c r="AT48" s="1644"/>
      <c r="AU48" s="1644"/>
      <c r="AV48" s="1666"/>
      <c r="AW48" s="1644"/>
      <c r="AX48" s="1644"/>
      <c r="AY48" s="1644"/>
      <c r="AZ48" s="1666"/>
      <c r="BA48" s="1644">
        <v>4</v>
      </c>
      <c r="BB48" s="1644"/>
      <c r="BC48" s="1644"/>
      <c r="BD48" s="1071">
        <f>SUM(BA48:BC48)</f>
        <v>4</v>
      </c>
      <c r="BE48" s="1644"/>
      <c r="BF48" s="1644"/>
      <c r="BG48" s="1644">
        <v>9</v>
      </c>
      <c r="BH48" s="1071">
        <f>SUM(BE48:BG48)</f>
        <v>9</v>
      </c>
      <c r="BI48" s="1644"/>
      <c r="BJ48" s="1644"/>
      <c r="BK48" s="1644">
        <v>11</v>
      </c>
      <c r="BL48" s="1071">
        <f t="shared" si="19"/>
        <v>11</v>
      </c>
    </row>
    <row r="49" spans="1:64" s="212" customFormat="1" ht="30" x14ac:dyDescent="0.25">
      <c r="A49" s="6198"/>
      <c r="B49" s="6210"/>
      <c r="C49" s="6175"/>
      <c r="D49" s="1107" t="s">
        <v>1305</v>
      </c>
      <c r="E49" s="1164"/>
      <c r="F49" s="1165"/>
      <c r="G49" s="1165"/>
      <c r="H49" s="1666"/>
      <c r="I49" s="1165"/>
      <c r="J49" s="1165"/>
      <c r="K49" s="1165"/>
      <c r="L49" s="1666"/>
      <c r="M49" s="1165"/>
      <c r="N49" s="1165"/>
      <c r="O49" s="1165"/>
      <c r="P49" s="1666"/>
      <c r="Q49" s="1165"/>
      <c r="R49" s="1165"/>
      <c r="S49" s="1165"/>
      <c r="T49" s="1666"/>
      <c r="U49" s="1165"/>
      <c r="V49" s="1165"/>
      <c r="W49" s="1165"/>
      <c r="X49" s="1666"/>
      <c r="Y49" s="1165"/>
      <c r="Z49" s="1165"/>
      <c r="AA49" s="1165"/>
      <c r="AB49" s="1666"/>
      <c r="AC49" s="1165"/>
      <c r="AD49" s="1165"/>
      <c r="AE49" s="1165"/>
      <c r="AF49" s="1666"/>
      <c r="AG49" s="1644"/>
      <c r="AH49" s="1644"/>
      <c r="AI49" s="1644"/>
      <c r="AJ49" s="1666"/>
      <c r="AK49" s="1644"/>
      <c r="AL49" s="1644"/>
      <c r="AM49" s="1644"/>
      <c r="AN49" s="1666"/>
      <c r="AO49" s="1644"/>
      <c r="AP49" s="1644"/>
      <c r="AQ49" s="1644"/>
      <c r="AR49" s="1666"/>
      <c r="AS49" s="1644"/>
      <c r="AT49" s="1644"/>
      <c r="AU49" s="1644"/>
      <c r="AV49" s="1666"/>
      <c r="AW49" s="1644"/>
      <c r="AX49" s="1644"/>
      <c r="AY49" s="1644"/>
      <c r="AZ49" s="1666"/>
      <c r="BA49" s="1644"/>
      <c r="BB49" s="1644"/>
      <c r="BC49" s="1644"/>
      <c r="BD49" s="1666"/>
      <c r="BE49" s="1644"/>
      <c r="BF49" s="1644"/>
      <c r="BG49" s="1644"/>
      <c r="BH49" s="1666"/>
      <c r="BI49" s="1644"/>
      <c r="BJ49" s="1644"/>
      <c r="BK49" s="1377">
        <v>3</v>
      </c>
      <c r="BL49" s="1666">
        <f t="shared" si="19"/>
        <v>3</v>
      </c>
    </row>
    <row r="50" spans="1:64" s="212" customFormat="1" ht="15" x14ac:dyDescent="0.2">
      <c r="A50" s="6198"/>
      <c r="B50" s="6202"/>
      <c r="C50" s="5153"/>
      <c r="D50" s="1063" t="s">
        <v>160</v>
      </c>
      <c r="E50" s="1625"/>
      <c r="F50" s="1626"/>
      <c r="G50" s="1626"/>
      <c r="H50" s="1628"/>
      <c r="I50" s="1625"/>
      <c r="J50" s="1626"/>
      <c r="K50" s="1626">
        <f t="shared" ref="K50:AZ50" si="20">SUM(K33:K43)</f>
        <v>105</v>
      </c>
      <c r="L50" s="1628">
        <f t="shared" si="20"/>
        <v>105</v>
      </c>
      <c r="M50" s="1625">
        <f t="shared" si="20"/>
        <v>0</v>
      </c>
      <c r="N50" s="1626">
        <f t="shared" si="20"/>
        <v>115</v>
      </c>
      <c r="O50" s="1626">
        <f t="shared" si="20"/>
        <v>0</v>
      </c>
      <c r="P50" s="1628">
        <f t="shared" si="20"/>
        <v>115</v>
      </c>
      <c r="Q50" s="1625">
        <f t="shared" si="20"/>
        <v>0</v>
      </c>
      <c r="R50" s="1626">
        <f t="shared" si="20"/>
        <v>145</v>
      </c>
      <c r="S50" s="1626">
        <f t="shared" si="20"/>
        <v>0</v>
      </c>
      <c r="T50" s="1628">
        <f t="shared" si="20"/>
        <v>145</v>
      </c>
      <c r="U50" s="1625">
        <f t="shared" si="20"/>
        <v>0</v>
      </c>
      <c r="V50" s="1626">
        <f t="shared" si="20"/>
        <v>135</v>
      </c>
      <c r="W50" s="1626">
        <f t="shared" si="20"/>
        <v>0</v>
      </c>
      <c r="X50" s="1628">
        <f t="shared" si="20"/>
        <v>135</v>
      </c>
      <c r="Y50" s="1625">
        <f t="shared" si="20"/>
        <v>0</v>
      </c>
      <c r="Z50" s="1626">
        <f t="shared" si="20"/>
        <v>0</v>
      </c>
      <c r="AA50" s="1626">
        <f t="shared" si="20"/>
        <v>127</v>
      </c>
      <c r="AB50" s="1628">
        <f t="shared" si="20"/>
        <v>127</v>
      </c>
      <c r="AC50" s="1625">
        <f t="shared" si="20"/>
        <v>0</v>
      </c>
      <c r="AD50" s="1626">
        <f t="shared" si="20"/>
        <v>0</v>
      </c>
      <c r="AE50" s="1626">
        <f t="shared" si="20"/>
        <v>196</v>
      </c>
      <c r="AF50" s="1628">
        <f t="shared" si="20"/>
        <v>196</v>
      </c>
      <c r="AG50" s="1625">
        <f t="shared" si="20"/>
        <v>0</v>
      </c>
      <c r="AH50" s="1626">
        <f t="shared" si="20"/>
        <v>0</v>
      </c>
      <c r="AI50" s="1626">
        <f t="shared" si="20"/>
        <v>290</v>
      </c>
      <c r="AJ50" s="1628">
        <f t="shared" si="20"/>
        <v>290</v>
      </c>
      <c r="AK50" s="1625">
        <f t="shared" si="20"/>
        <v>0</v>
      </c>
      <c r="AL50" s="1626">
        <f t="shared" si="20"/>
        <v>0</v>
      </c>
      <c r="AM50" s="1626">
        <f t="shared" si="20"/>
        <v>94</v>
      </c>
      <c r="AN50" s="1628">
        <f t="shared" si="20"/>
        <v>94</v>
      </c>
      <c r="AO50" s="1625">
        <f t="shared" si="20"/>
        <v>0</v>
      </c>
      <c r="AP50" s="1626">
        <f t="shared" si="20"/>
        <v>0</v>
      </c>
      <c r="AQ50" s="1626">
        <f t="shared" si="20"/>
        <v>243</v>
      </c>
      <c r="AR50" s="1628">
        <f t="shared" si="20"/>
        <v>243</v>
      </c>
      <c r="AS50" s="1625">
        <f t="shared" si="20"/>
        <v>0</v>
      </c>
      <c r="AT50" s="1626">
        <f t="shared" si="20"/>
        <v>0</v>
      </c>
      <c r="AU50" s="1626">
        <f t="shared" si="20"/>
        <v>52</v>
      </c>
      <c r="AV50" s="1628">
        <f t="shared" si="20"/>
        <v>52</v>
      </c>
      <c r="AW50" s="1625">
        <f t="shared" si="20"/>
        <v>0</v>
      </c>
      <c r="AX50" s="1626">
        <f t="shared" si="20"/>
        <v>0</v>
      </c>
      <c r="AY50" s="1626">
        <f t="shared" si="20"/>
        <v>215</v>
      </c>
      <c r="AZ50" s="1628">
        <f t="shared" si="20"/>
        <v>215</v>
      </c>
      <c r="BA50" s="1625">
        <f t="shared" ref="BA50:BJ50" si="21">SUM(BA33:BA48)</f>
        <v>15</v>
      </c>
      <c r="BB50" s="1626">
        <f t="shared" si="21"/>
        <v>67</v>
      </c>
      <c r="BC50" s="1626">
        <f t="shared" si="21"/>
        <v>38</v>
      </c>
      <c r="BD50" s="1628">
        <f t="shared" si="21"/>
        <v>120</v>
      </c>
      <c r="BE50" s="1625">
        <f t="shared" si="21"/>
        <v>0</v>
      </c>
      <c r="BF50" s="1626">
        <f t="shared" si="21"/>
        <v>0</v>
      </c>
      <c r="BG50" s="1626">
        <f t="shared" si="21"/>
        <v>101</v>
      </c>
      <c r="BH50" s="1628">
        <f t="shared" si="21"/>
        <v>101</v>
      </c>
      <c r="BI50" s="1625">
        <f t="shared" si="21"/>
        <v>0</v>
      </c>
      <c r="BJ50" s="1626">
        <f t="shared" si="21"/>
        <v>0</v>
      </c>
      <c r="BK50" s="1626">
        <f>SUM(BK33:BK49)</f>
        <v>98</v>
      </c>
      <c r="BL50" s="1628">
        <f>SUM(BL33:BL49)</f>
        <v>98</v>
      </c>
    </row>
    <row r="51" spans="1:64" s="212" customFormat="1" ht="12.75" customHeight="1" x14ac:dyDescent="0.2">
      <c r="A51" s="6199"/>
      <c r="B51" s="3687"/>
      <c r="C51" s="3687"/>
      <c r="D51" s="3548" t="s">
        <v>523</v>
      </c>
      <c r="E51" s="3662"/>
      <c r="F51" s="3663"/>
      <c r="G51" s="3663"/>
      <c r="H51" s="3664"/>
      <c r="I51" s="3665"/>
      <c r="J51" s="3666"/>
      <c r="K51" s="3666">
        <f t="shared" ref="K51:AP51" si="22">SUM(K50,K32,K15)</f>
        <v>200</v>
      </c>
      <c r="L51" s="3667">
        <f t="shared" si="22"/>
        <v>200</v>
      </c>
      <c r="M51" s="3665">
        <f t="shared" si="22"/>
        <v>53</v>
      </c>
      <c r="N51" s="3666">
        <f t="shared" si="22"/>
        <v>137</v>
      </c>
      <c r="O51" s="3666">
        <f t="shared" si="22"/>
        <v>243</v>
      </c>
      <c r="P51" s="3667">
        <f t="shared" si="22"/>
        <v>433</v>
      </c>
      <c r="Q51" s="3665">
        <f t="shared" si="22"/>
        <v>60</v>
      </c>
      <c r="R51" s="3666">
        <f t="shared" si="22"/>
        <v>146</v>
      </c>
      <c r="S51" s="3666">
        <f t="shared" si="22"/>
        <v>69</v>
      </c>
      <c r="T51" s="3667">
        <f t="shared" si="22"/>
        <v>275</v>
      </c>
      <c r="U51" s="3665">
        <f t="shared" si="22"/>
        <v>12</v>
      </c>
      <c r="V51" s="3666">
        <f t="shared" si="22"/>
        <v>152</v>
      </c>
      <c r="W51" s="3666">
        <f t="shared" si="22"/>
        <v>214</v>
      </c>
      <c r="X51" s="3667">
        <f t="shared" si="22"/>
        <v>378</v>
      </c>
      <c r="Y51" s="3668">
        <f t="shared" si="22"/>
        <v>100</v>
      </c>
      <c r="Z51" s="3668">
        <f t="shared" si="22"/>
        <v>7</v>
      </c>
      <c r="AA51" s="3668">
        <f t="shared" si="22"/>
        <v>253</v>
      </c>
      <c r="AB51" s="3668">
        <f t="shared" si="22"/>
        <v>360</v>
      </c>
      <c r="AC51" s="3665">
        <f t="shared" si="22"/>
        <v>25</v>
      </c>
      <c r="AD51" s="3666">
        <f t="shared" si="22"/>
        <v>0</v>
      </c>
      <c r="AE51" s="3666">
        <f t="shared" si="22"/>
        <v>504</v>
      </c>
      <c r="AF51" s="3667">
        <f t="shared" si="22"/>
        <v>529</v>
      </c>
      <c r="AG51" s="3668">
        <f t="shared" si="22"/>
        <v>36</v>
      </c>
      <c r="AH51" s="3668">
        <f t="shared" si="22"/>
        <v>52</v>
      </c>
      <c r="AI51" s="3668">
        <f t="shared" si="22"/>
        <v>439</v>
      </c>
      <c r="AJ51" s="3668">
        <f t="shared" si="22"/>
        <v>527</v>
      </c>
      <c r="AK51" s="3665">
        <f t="shared" si="22"/>
        <v>22</v>
      </c>
      <c r="AL51" s="3666">
        <f t="shared" si="22"/>
        <v>480</v>
      </c>
      <c r="AM51" s="3666">
        <f t="shared" si="22"/>
        <v>154</v>
      </c>
      <c r="AN51" s="3667">
        <f t="shared" si="22"/>
        <v>656</v>
      </c>
      <c r="AO51" s="3665">
        <f t="shared" si="22"/>
        <v>24</v>
      </c>
      <c r="AP51" s="3666">
        <f t="shared" si="22"/>
        <v>7</v>
      </c>
      <c r="AQ51" s="3666">
        <f t="shared" ref="AQ51:BL51" si="23">SUM(AQ50,AQ32,AQ15)</f>
        <v>341</v>
      </c>
      <c r="AR51" s="3667">
        <f t="shared" si="23"/>
        <v>372</v>
      </c>
      <c r="AS51" s="3665">
        <f t="shared" si="23"/>
        <v>34</v>
      </c>
      <c r="AT51" s="3666">
        <f t="shared" si="23"/>
        <v>205</v>
      </c>
      <c r="AU51" s="3666">
        <f t="shared" si="23"/>
        <v>219</v>
      </c>
      <c r="AV51" s="3667">
        <f t="shared" si="23"/>
        <v>458</v>
      </c>
      <c r="AW51" s="3665">
        <f t="shared" si="23"/>
        <v>130</v>
      </c>
      <c r="AX51" s="3666">
        <f t="shared" si="23"/>
        <v>6</v>
      </c>
      <c r="AY51" s="3666">
        <f t="shared" si="23"/>
        <v>546</v>
      </c>
      <c r="AZ51" s="3667">
        <f t="shared" si="23"/>
        <v>682</v>
      </c>
      <c r="BA51" s="3665">
        <f t="shared" si="23"/>
        <v>52</v>
      </c>
      <c r="BB51" s="3666">
        <f t="shared" si="23"/>
        <v>73</v>
      </c>
      <c r="BC51" s="3666">
        <f t="shared" si="23"/>
        <v>396</v>
      </c>
      <c r="BD51" s="3667">
        <f t="shared" si="23"/>
        <v>521</v>
      </c>
      <c r="BE51" s="3665">
        <f t="shared" si="23"/>
        <v>48</v>
      </c>
      <c r="BF51" s="3666">
        <f t="shared" si="23"/>
        <v>10</v>
      </c>
      <c r="BG51" s="3666">
        <f t="shared" si="23"/>
        <v>494</v>
      </c>
      <c r="BH51" s="3667">
        <f t="shared" si="23"/>
        <v>552</v>
      </c>
      <c r="BI51" s="3665">
        <f t="shared" si="23"/>
        <v>190</v>
      </c>
      <c r="BJ51" s="3666">
        <f t="shared" si="23"/>
        <v>5</v>
      </c>
      <c r="BK51" s="3666">
        <f>SUM(BK50,BK32,BK15)</f>
        <v>590</v>
      </c>
      <c r="BL51" s="3667">
        <f t="shared" si="23"/>
        <v>785</v>
      </c>
    </row>
    <row r="52" spans="1:64" s="212" customFormat="1" ht="12.75" customHeight="1" x14ac:dyDescent="0.25">
      <c r="A52" s="6191" t="s">
        <v>75</v>
      </c>
      <c r="B52" s="6194" t="s">
        <v>5</v>
      </c>
      <c r="C52" s="1060" t="s">
        <v>522</v>
      </c>
      <c r="D52" s="1113" t="s">
        <v>1466</v>
      </c>
      <c r="E52" s="1634"/>
      <c r="F52" s="1635"/>
      <c r="G52" s="1635"/>
      <c r="H52" s="1067"/>
      <c r="I52" s="1066"/>
      <c r="J52" s="1066"/>
      <c r="K52" s="1066"/>
      <c r="L52" s="1067"/>
      <c r="M52" s="1066"/>
      <c r="N52" s="1066"/>
      <c r="O52" s="1066"/>
      <c r="P52" s="1067"/>
      <c r="Q52" s="1066"/>
      <c r="R52" s="1066"/>
      <c r="S52" s="1066"/>
      <c r="T52" s="1067"/>
      <c r="U52" s="1066"/>
      <c r="V52" s="1066"/>
      <c r="W52" s="1066"/>
      <c r="X52" s="1067"/>
      <c r="Y52" s="1066"/>
      <c r="Z52" s="1066"/>
      <c r="AA52" s="1066"/>
      <c r="AB52" s="1067"/>
      <c r="AC52" s="1066"/>
      <c r="AD52" s="1066"/>
      <c r="AE52" s="1066"/>
      <c r="AF52" s="1067"/>
      <c r="AG52" s="1066"/>
      <c r="AH52" s="1066"/>
      <c r="AI52" s="1066"/>
      <c r="AJ52" s="1067"/>
      <c r="AK52" s="1066"/>
      <c r="AL52" s="1066"/>
      <c r="AM52" s="1066"/>
      <c r="AN52" s="1067"/>
      <c r="AO52" s="1066"/>
      <c r="AP52" s="1066"/>
      <c r="AQ52" s="1066"/>
      <c r="AR52" s="1068"/>
      <c r="AS52" s="1066"/>
      <c r="AT52" s="1066"/>
      <c r="AU52" s="1066"/>
      <c r="AV52" s="1068"/>
      <c r="AW52" s="1066"/>
      <c r="AX52" s="1066"/>
      <c r="AY52" s="1066"/>
      <c r="AZ52" s="1071"/>
      <c r="BA52" s="1066"/>
      <c r="BB52" s="1066"/>
      <c r="BC52" s="1066"/>
      <c r="BD52" s="1071"/>
      <c r="BE52" s="1066"/>
      <c r="BF52" s="1066">
        <v>4</v>
      </c>
      <c r="BG52" s="1066"/>
      <c r="BH52" s="1071">
        <f t="shared" ref="BH52:BH67" si="24">SUM(BE52:BG52)</f>
        <v>4</v>
      </c>
      <c r="BI52" s="1066"/>
      <c r="BJ52" s="1066">
        <v>3</v>
      </c>
      <c r="BK52" s="1066"/>
      <c r="BL52" s="1071">
        <v>3</v>
      </c>
    </row>
    <row r="53" spans="1:64" s="212" customFormat="1" ht="15" x14ac:dyDescent="0.2">
      <c r="A53" s="6192"/>
      <c r="B53" s="6195"/>
      <c r="C53" s="6207" t="s">
        <v>521</v>
      </c>
      <c r="D53" s="1064" t="s">
        <v>542</v>
      </c>
      <c r="E53" s="1645">
        <v>8</v>
      </c>
      <c r="F53" s="1629"/>
      <c r="G53" s="1629">
        <v>7</v>
      </c>
      <c r="H53" s="1083">
        <f>SUM(E53:G53)</f>
        <v>15</v>
      </c>
      <c r="I53" s="1082">
        <v>6</v>
      </c>
      <c r="J53" s="1082"/>
      <c r="K53" s="1082">
        <v>5</v>
      </c>
      <c r="L53" s="1083">
        <f>SUM(I53:K53)</f>
        <v>11</v>
      </c>
      <c r="M53" s="1082">
        <v>4</v>
      </c>
      <c r="N53" s="1082">
        <v>3</v>
      </c>
      <c r="O53" s="1082">
        <v>4</v>
      </c>
      <c r="P53" s="1083">
        <f>SUM(M53:O53)</f>
        <v>11</v>
      </c>
      <c r="Q53" s="1082">
        <v>3</v>
      </c>
      <c r="R53" s="1082">
        <v>6</v>
      </c>
      <c r="S53" s="1082">
        <v>6</v>
      </c>
      <c r="T53" s="1083">
        <f>SUM(Q53:S53)</f>
        <v>15</v>
      </c>
      <c r="U53" s="1082">
        <v>2</v>
      </c>
      <c r="V53" s="1082">
        <v>2</v>
      </c>
      <c r="W53" s="1082">
        <v>8</v>
      </c>
      <c r="X53" s="1083">
        <f>SUM(U53:W53)</f>
        <v>12</v>
      </c>
      <c r="Y53" s="1082"/>
      <c r="Z53" s="1082">
        <v>4</v>
      </c>
      <c r="AA53" s="1082">
        <v>2</v>
      </c>
      <c r="AB53" s="1083">
        <f t="shared" ref="AB53:AB65" si="25">SUM(Y53:AA53)</f>
        <v>6</v>
      </c>
      <c r="AC53" s="1082">
        <v>1</v>
      </c>
      <c r="AD53" s="1082">
        <v>5</v>
      </c>
      <c r="AE53" s="1082">
        <v>8</v>
      </c>
      <c r="AF53" s="1083">
        <f>SUM(AC53:AE53)</f>
        <v>14</v>
      </c>
      <c r="AG53" s="1082"/>
      <c r="AH53" s="1082">
        <v>4</v>
      </c>
      <c r="AI53" s="1082">
        <v>7</v>
      </c>
      <c r="AJ53" s="1083">
        <f t="shared" ref="AJ53:AJ67" si="26">SUM(AG53:AI53)</f>
        <v>11</v>
      </c>
      <c r="AK53" s="1082"/>
      <c r="AL53" s="1082"/>
      <c r="AM53" s="1082"/>
      <c r="AN53" s="1083"/>
      <c r="AO53" s="1082"/>
      <c r="AP53" s="1082"/>
      <c r="AQ53" s="1082"/>
      <c r="AR53" s="4052"/>
      <c r="AS53" s="1082">
        <v>2</v>
      </c>
      <c r="AT53" s="1082">
        <v>1</v>
      </c>
      <c r="AU53" s="1082">
        <v>1</v>
      </c>
      <c r="AV53" s="4052">
        <f t="shared" ref="AV53:AV59" si="27">SUM(AS53:AU53)</f>
        <v>4</v>
      </c>
      <c r="AW53" s="1082">
        <v>9</v>
      </c>
      <c r="AX53" s="1082">
        <v>3</v>
      </c>
      <c r="AY53" s="1082">
        <v>8</v>
      </c>
      <c r="AZ53" s="1071">
        <f t="shared" ref="AZ53:AZ67" si="28">SUM(AW53:AY53)</f>
        <v>20</v>
      </c>
      <c r="BA53" s="1082">
        <v>10</v>
      </c>
      <c r="BB53" s="1082">
        <v>9</v>
      </c>
      <c r="BC53" s="1082">
        <v>4</v>
      </c>
      <c r="BD53" s="1071">
        <f t="shared" ref="BD53:BD67" si="29">SUM(BA53:BC53)</f>
        <v>23</v>
      </c>
      <c r="BE53" s="1082"/>
      <c r="BF53" s="1082">
        <v>8</v>
      </c>
      <c r="BG53" s="1082">
        <v>15</v>
      </c>
      <c r="BH53" s="1071">
        <f t="shared" si="24"/>
        <v>23</v>
      </c>
      <c r="BI53" s="1082">
        <v>8</v>
      </c>
      <c r="BJ53" s="1082">
        <v>9</v>
      </c>
      <c r="BK53" s="1082">
        <v>9</v>
      </c>
      <c r="BL53" s="1071">
        <f>SUM(BI53:BK53)</f>
        <v>26</v>
      </c>
    </row>
    <row r="54" spans="1:64" s="212" customFormat="1" ht="15" x14ac:dyDescent="0.25">
      <c r="A54" s="6192"/>
      <c r="B54" s="6195"/>
      <c r="C54" s="6208"/>
      <c r="D54" s="1074" t="s">
        <v>543</v>
      </c>
      <c r="E54" s="1631">
        <v>5</v>
      </c>
      <c r="F54" s="1630">
        <v>13</v>
      </c>
      <c r="G54" s="1630">
        <v>7</v>
      </c>
      <c r="H54" s="1070">
        <f>SUM(E54:G54)</f>
        <v>25</v>
      </c>
      <c r="I54" s="1069">
        <v>3</v>
      </c>
      <c r="J54" s="1069">
        <v>6</v>
      </c>
      <c r="K54" s="1069">
        <v>22</v>
      </c>
      <c r="L54" s="1070">
        <f>SUM(I54:K54)</f>
        <v>31</v>
      </c>
      <c r="M54" s="1069">
        <v>11</v>
      </c>
      <c r="N54" s="1069">
        <v>17</v>
      </c>
      <c r="O54" s="1069">
        <v>22</v>
      </c>
      <c r="P54" s="1070">
        <f>SUM(M54:O54)</f>
        <v>50</v>
      </c>
      <c r="Q54" s="1069">
        <v>2</v>
      </c>
      <c r="R54" s="1069">
        <v>16</v>
      </c>
      <c r="S54" s="1069">
        <v>41</v>
      </c>
      <c r="T54" s="1070">
        <f>SUM(Q54:S54)</f>
        <v>59</v>
      </c>
      <c r="U54" s="1069">
        <v>2</v>
      </c>
      <c r="V54" s="1069">
        <v>10</v>
      </c>
      <c r="W54" s="1069">
        <v>23</v>
      </c>
      <c r="X54" s="1070">
        <f>SUM(U54:W54)</f>
        <v>35</v>
      </c>
      <c r="Y54" s="1069">
        <v>4</v>
      </c>
      <c r="Z54" s="1069">
        <v>13</v>
      </c>
      <c r="AA54" s="1069">
        <v>32</v>
      </c>
      <c r="AB54" s="1070">
        <f t="shared" si="25"/>
        <v>49</v>
      </c>
      <c r="AC54" s="1069">
        <v>2</v>
      </c>
      <c r="AD54" s="1069">
        <v>7</v>
      </c>
      <c r="AE54" s="1069">
        <v>44</v>
      </c>
      <c r="AF54" s="1070">
        <f>SUM(AC54:AE54)</f>
        <v>53</v>
      </c>
      <c r="AG54" s="1636">
        <v>2</v>
      </c>
      <c r="AH54" s="1636">
        <v>3</v>
      </c>
      <c r="AI54" s="1636">
        <v>23</v>
      </c>
      <c r="AJ54" s="1070">
        <f t="shared" si="26"/>
        <v>28</v>
      </c>
      <c r="AK54" s="1637"/>
      <c r="AL54" s="1637"/>
      <c r="AM54" s="1637"/>
      <c r="AN54" s="1070"/>
      <c r="AO54" s="1637"/>
      <c r="AP54" s="1637"/>
      <c r="AQ54" s="1637"/>
      <c r="AR54" s="1070"/>
      <c r="AS54" s="1069">
        <v>3</v>
      </c>
      <c r="AT54" s="1636">
        <v>11</v>
      </c>
      <c r="AU54" s="1638">
        <v>41</v>
      </c>
      <c r="AV54" s="1070">
        <f t="shared" si="27"/>
        <v>55</v>
      </c>
      <c r="AW54" s="1069"/>
      <c r="AX54" s="1636">
        <v>10</v>
      </c>
      <c r="AY54" s="1638">
        <v>48</v>
      </c>
      <c r="AZ54" s="1070">
        <f t="shared" si="28"/>
        <v>58</v>
      </c>
      <c r="BA54" s="1069"/>
      <c r="BB54" s="1636">
        <v>14</v>
      </c>
      <c r="BC54" s="1638">
        <v>52</v>
      </c>
      <c r="BD54" s="1070">
        <f t="shared" si="29"/>
        <v>66</v>
      </c>
      <c r="BE54" s="1069"/>
      <c r="BF54" s="1636">
        <v>9</v>
      </c>
      <c r="BG54" s="1638">
        <v>30</v>
      </c>
      <c r="BH54" s="1070">
        <f t="shared" si="24"/>
        <v>39</v>
      </c>
      <c r="BI54" s="1069">
        <v>0</v>
      </c>
      <c r="BJ54" s="1636">
        <v>0</v>
      </c>
      <c r="BK54" s="1638">
        <v>44</v>
      </c>
      <c r="BL54" s="1071">
        <f t="shared" ref="BL54:BL66" si="30">SUM(BI54:BK54)</f>
        <v>44</v>
      </c>
    </row>
    <row r="55" spans="1:64" s="212" customFormat="1" ht="15" x14ac:dyDescent="0.25">
      <c r="A55" s="6192"/>
      <c r="B55" s="6195"/>
      <c r="C55" s="6208"/>
      <c r="D55" s="1074" t="s">
        <v>544</v>
      </c>
      <c r="E55" s="1631">
        <v>5</v>
      </c>
      <c r="F55" s="1630">
        <v>10</v>
      </c>
      <c r="G55" s="1630">
        <v>13</v>
      </c>
      <c r="H55" s="1070">
        <f>SUM(E55:G55)</f>
        <v>28</v>
      </c>
      <c r="I55" s="1069">
        <v>19</v>
      </c>
      <c r="J55" s="1069">
        <v>17</v>
      </c>
      <c r="K55" s="1069">
        <v>18</v>
      </c>
      <c r="L55" s="1070">
        <f>SUM(I55:K55)</f>
        <v>54</v>
      </c>
      <c r="M55" s="1069">
        <v>19</v>
      </c>
      <c r="N55" s="1069">
        <v>13</v>
      </c>
      <c r="O55" s="1069">
        <v>13</v>
      </c>
      <c r="P55" s="1070">
        <f>SUM(M55:O55)</f>
        <v>45</v>
      </c>
      <c r="Q55" s="1069">
        <v>7</v>
      </c>
      <c r="R55" s="1069">
        <v>5</v>
      </c>
      <c r="S55" s="1069">
        <v>14</v>
      </c>
      <c r="T55" s="1070">
        <f>SUM(Q55:S55)</f>
        <v>26</v>
      </c>
      <c r="U55" s="1069">
        <v>13</v>
      </c>
      <c r="V55" s="1069"/>
      <c r="W55" s="1069">
        <v>10</v>
      </c>
      <c r="X55" s="1070">
        <f>SUM(U55:W55)</f>
        <v>23</v>
      </c>
      <c r="Y55" s="1069">
        <v>5</v>
      </c>
      <c r="Z55" s="1069"/>
      <c r="AA55" s="1069">
        <v>11</v>
      </c>
      <c r="AB55" s="1070">
        <f t="shared" si="25"/>
        <v>16</v>
      </c>
      <c r="AC55" s="1069">
        <v>6</v>
      </c>
      <c r="AD55" s="1069"/>
      <c r="AE55" s="1069">
        <v>22</v>
      </c>
      <c r="AF55" s="1070">
        <f>SUM(AC55:AE55)</f>
        <v>28</v>
      </c>
      <c r="AG55" s="1636">
        <v>10</v>
      </c>
      <c r="AH55" s="1636"/>
      <c r="AI55" s="1636">
        <v>8</v>
      </c>
      <c r="AJ55" s="1070">
        <f t="shared" si="26"/>
        <v>18</v>
      </c>
      <c r="AK55" s="1637"/>
      <c r="AL55" s="1637"/>
      <c r="AM55" s="1637"/>
      <c r="AN55" s="1070"/>
      <c r="AO55" s="1637"/>
      <c r="AP55" s="1637"/>
      <c r="AQ55" s="1637"/>
      <c r="AR55" s="1070"/>
      <c r="AS55" s="1069">
        <v>14</v>
      </c>
      <c r="AT55" s="1636"/>
      <c r="AU55" s="1638">
        <v>13</v>
      </c>
      <c r="AV55" s="1070">
        <f t="shared" si="27"/>
        <v>27</v>
      </c>
      <c r="AW55" s="1069">
        <v>13</v>
      </c>
      <c r="AX55" s="1636"/>
      <c r="AY55" s="1638">
        <v>11</v>
      </c>
      <c r="AZ55" s="1070">
        <f t="shared" si="28"/>
        <v>24</v>
      </c>
      <c r="BA55" s="1069">
        <v>9</v>
      </c>
      <c r="BB55" s="1636"/>
      <c r="BC55" s="1638">
        <v>15</v>
      </c>
      <c r="BD55" s="1070">
        <f t="shared" si="29"/>
        <v>24</v>
      </c>
      <c r="BE55" s="1069">
        <v>13</v>
      </c>
      <c r="BF55" s="1636"/>
      <c r="BG55" s="1638">
        <v>15</v>
      </c>
      <c r="BH55" s="1070">
        <f t="shared" si="24"/>
        <v>28</v>
      </c>
      <c r="BI55" s="1069">
        <v>7</v>
      </c>
      <c r="BJ55" s="1636">
        <v>0</v>
      </c>
      <c r="BK55" s="1638">
        <v>14</v>
      </c>
      <c r="BL55" s="1071">
        <f t="shared" si="30"/>
        <v>21</v>
      </c>
    </row>
    <row r="56" spans="1:64" s="212" customFormat="1" ht="15" x14ac:dyDescent="0.25">
      <c r="A56" s="6192"/>
      <c r="B56" s="6195"/>
      <c r="C56" s="6208"/>
      <c r="D56" s="1074" t="s">
        <v>545</v>
      </c>
      <c r="E56" s="1631">
        <v>1</v>
      </c>
      <c r="F56" s="1630"/>
      <c r="G56" s="1630">
        <v>28</v>
      </c>
      <c r="H56" s="1070">
        <f>SUM(E56:G56)</f>
        <v>29</v>
      </c>
      <c r="I56" s="1069">
        <v>4</v>
      </c>
      <c r="J56" s="1069"/>
      <c r="K56" s="1069">
        <v>25</v>
      </c>
      <c r="L56" s="1070">
        <f>SUM(I56:K56)</f>
        <v>29</v>
      </c>
      <c r="M56" s="1069">
        <v>3</v>
      </c>
      <c r="N56" s="1069"/>
      <c r="O56" s="1069">
        <v>16</v>
      </c>
      <c r="P56" s="1070">
        <f>SUM(M56:O56)</f>
        <v>19</v>
      </c>
      <c r="Q56" s="1069"/>
      <c r="R56" s="1069"/>
      <c r="S56" s="1069">
        <v>19</v>
      </c>
      <c r="T56" s="1070">
        <f>SUM(Q56:S56)</f>
        <v>19</v>
      </c>
      <c r="U56" s="1069"/>
      <c r="V56" s="1069"/>
      <c r="W56" s="1069">
        <v>7</v>
      </c>
      <c r="X56" s="1070">
        <f>SUM(U56:W56)</f>
        <v>7</v>
      </c>
      <c r="Y56" s="1069"/>
      <c r="Z56" s="1069"/>
      <c r="AA56" s="1069">
        <v>12</v>
      </c>
      <c r="AB56" s="1070">
        <f t="shared" si="25"/>
        <v>12</v>
      </c>
      <c r="AC56" s="1069"/>
      <c r="AD56" s="1069"/>
      <c r="AE56" s="1069">
        <v>17</v>
      </c>
      <c r="AF56" s="1070">
        <f>SUM(AC56:AE56)</f>
        <v>17</v>
      </c>
      <c r="AG56" s="1636">
        <v>1</v>
      </c>
      <c r="AH56" s="1636"/>
      <c r="AI56" s="1638">
        <v>13</v>
      </c>
      <c r="AJ56" s="1070">
        <f t="shared" si="26"/>
        <v>14</v>
      </c>
      <c r="AK56" s="1636"/>
      <c r="AL56" s="1636"/>
      <c r="AM56" s="1638"/>
      <c r="AN56" s="1070"/>
      <c r="AO56" s="1636"/>
      <c r="AP56" s="1636"/>
      <c r="AQ56" s="1638"/>
      <c r="AR56" s="1070"/>
      <c r="AS56" s="1636"/>
      <c r="AT56" s="1636"/>
      <c r="AU56" s="1638">
        <v>14</v>
      </c>
      <c r="AV56" s="1070">
        <f t="shared" si="27"/>
        <v>14</v>
      </c>
      <c r="AW56" s="1636"/>
      <c r="AX56" s="1636"/>
      <c r="AY56" s="1638">
        <v>12</v>
      </c>
      <c r="AZ56" s="1070">
        <f t="shared" si="28"/>
        <v>12</v>
      </c>
      <c r="BA56" s="1636">
        <v>1</v>
      </c>
      <c r="BB56" s="1636"/>
      <c r="BC56" s="1638">
        <v>21</v>
      </c>
      <c r="BD56" s="1070">
        <f t="shared" si="29"/>
        <v>22</v>
      </c>
      <c r="BE56" s="1636"/>
      <c r="BF56" s="1636"/>
      <c r="BG56" s="1638">
        <v>12</v>
      </c>
      <c r="BH56" s="1070">
        <f t="shared" si="24"/>
        <v>12</v>
      </c>
      <c r="BI56" s="1636">
        <v>0</v>
      </c>
      <c r="BJ56" s="1636">
        <v>0</v>
      </c>
      <c r="BK56" s="1638">
        <v>12</v>
      </c>
      <c r="BL56" s="1071">
        <f t="shared" si="30"/>
        <v>12</v>
      </c>
    </row>
    <row r="57" spans="1:64" s="212" customFormat="1" ht="15" x14ac:dyDescent="0.25">
      <c r="A57" s="6192"/>
      <c r="B57" s="6195"/>
      <c r="C57" s="6208"/>
      <c r="D57" s="1074" t="s">
        <v>546</v>
      </c>
      <c r="E57" s="1631">
        <v>3</v>
      </c>
      <c r="F57" s="1630">
        <v>7</v>
      </c>
      <c r="G57" s="1630">
        <v>13</v>
      </c>
      <c r="H57" s="1070">
        <f>SUM(E57:G57)</f>
        <v>23</v>
      </c>
      <c r="I57" s="1069">
        <v>9</v>
      </c>
      <c r="J57" s="1069">
        <v>9</v>
      </c>
      <c r="K57" s="1069">
        <v>9</v>
      </c>
      <c r="L57" s="1070">
        <f>SUM(I57:K57)</f>
        <v>27</v>
      </c>
      <c r="M57" s="1069">
        <v>16</v>
      </c>
      <c r="N57" s="1069">
        <v>6</v>
      </c>
      <c r="O57" s="1069">
        <v>15</v>
      </c>
      <c r="P57" s="1070">
        <f>SUM(M57:O57)</f>
        <v>37</v>
      </c>
      <c r="Q57" s="1069">
        <v>13</v>
      </c>
      <c r="R57" s="1069">
        <v>10</v>
      </c>
      <c r="S57" s="1069">
        <v>9</v>
      </c>
      <c r="T57" s="1070">
        <f>SUM(Q57:S57)</f>
        <v>32</v>
      </c>
      <c r="U57" s="1069">
        <v>13</v>
      </c>
      <c r="V57" s="1069">
        <v>8</v>
      </c>
      <c r="W57" s="1069">
        <v>15</v>
      </c>
      <c r="X57" s="1070">
        <f>SUM(U57:W57)</f>
        <v>36</v>
      </c>
      <c r="Y57" s="1069">
        <v>17</v>
      </c>
      <c r="Z57" s="1069">
        <v>1</v>
      </c>
      <c r="AA57" s="1069">
        <v>10</v>
      </c>
      <c r="AB57" s="1070">
        <f t="shared" si="25"/>
        <v>28</v>
      </c>
      <c r="AC57" s="1069">
        <v>6</v>
      </c>
      <c r="AD57" s="1069">
        <v>3</v>
      </c>
      <c r="AE57" s="1069">
        <v>14</v>
      </c>
      <c r="AF57" s="1070">
        <f>SUM(AC57:AE57)</f>
        <v>23</v>
      </c>
      <c r="AG57" s="1638">
        <v>16</v>
      </c>
      <c r="AH57" s="1636">
        <v>6</v>
      </c>
      <c r="AI57" s="1638">
        <v>13</v>
      </c>
      <c r="AJ57" s="1070">
        <f t="shared" si="26"/>
        <v>35</v>
      </c>
      <c r="AK57" s="1638"/>
      <c r="AL57" s="1636"/>
      <c r="AM57" s="1638"/>
      <c r="AN57" s="1070"/>
      <c r="AO57" s="1638"/>
      <c r="AP57" s="1636"/>
      <c r="AQ57" s="1638"/>
      <c r="AR57" s="1070"/>
      <c r="AS57" s="1638">
        <v>10</v>
      </c>
      <c r="AT57" s="1636">
        <v>1</v>
      </c>
      <c r="AU57" s="1638">
        <v>13</v>
      </c>
      <c r="AV57" s="1070">
        <f t="shared" si="27"/>
        <v>24</v>
      </c>
      <c r="AW57" s="1638">
        <v>5</v>
      </c>
      <c r="AX57" s="1636">
        <v>2</v>
      </c>
      <c r="AY57" s="1638">
        <v>10</v>
      </c>
      <c r="AZ57" s="1070">
        <f t="shared" si="28"/>
        <v>17</v>
      </c>
      <c r="BA57" s="1638">
        <v>13</v>
      </c>
      <c r="BB57" s="1636">
        <v>9</v>
      </c>
      <c r="BC57" s="1638">
        <v>10</v>
      </c>
      <c r="BD57" s="1070">
        <f t="shared" si="29"/>
        <v>32</v>
      </c>
      <c r="BE57" s="1638">
        <v>8</v>
      </c>
      <c r="BF57" s="1636">
        <v>6</v>
      </c>
      <c r="BG57" s="1638">
        <v>9</v>
      </c>
      <c r="BH57" s="1070">
        <f t="shared" si="24"/>
        <v>23</v>
      </c>
      <c r="BI57" s="1638">
        <v>2</v>
      </c>
      <c r="BJ57" s="1636">
        <v>9</v>
      </c>
      <c r="BK57" s="1638">
        <v>5</v>
      </c>
      <c r="BL57" s="1071">
        <f t="shared" si="30"/>
        <v>16</v>
      </c>
    </row>
    <row r="58" spans="1:64" s="212" customFormat="1" ht="15" x14ac:dyDescent="0.25">
      <c r="A58" s="6192"/>
      <c r="B58" s="6195"/>
      <c r="C58" s="6208"/>
      <c r="D58" s="1074" t="s">
        <v>68</v>
      </c>
      <c r="E58" s="1631"/>
      <c r="F58" s="1630"/>
      <c r="G58" s="1630"/>
      <c r="H58" s="1070"/>
      <c r="I58" s="1069"/>
      <c r="J58" s="1069"/>
      <c r="K58" s="1069"/>
      <c r="L58" s="1070"/>
      <c r="M58" s="1069"/>
      <c r="N58" s="1069"/>
      <c r="O58" s="1069"/>
      <c r="P58" s="1070"/>
      <c r="Q58" s="1069"/>
      <c r="R58" s="1069"/>
      <c r="S58" s="1069"/>
      <c r="T58" s="1070"/>
      <c r="U58" s="1069"/>
      <c r="V58" s="1069"/>
      <c r="W58" s="1069"/>
      <c r="X58" s="1070"/>
      <c r="Y58" s="1069"/>
      <c r="Z58" s="1069"/>
      <c r="AA58" s="1069"/>
      <c r="AB58" s="1070"/>
      <c r="AC58" s="1069"/>
      <c r="AD58" s="1069"/>
      <c r="AE58" s="1069"/>
      <c r="AF58" s="1070"/>
      <c r="AG58" s="1638"/>
      <c r="AH58" s="1636"/>
      <c r="AI58" s="1638"/>
      <c r="AJ58" s="1070"/>
      <c r="AK58" s="1638"/>
      <c r="AL58" s="1636"/>
      <c r="AM58" s="1638"/>
      <c r="AN58" s="1070"/>
      <c r="AO58" s="1638"/>
      <c r="AP58" s="1636"/>
      <c r="AQ58" s="1638"/>
      <c r="AR58" s="1070"/>
      <c r="AS58" s="1638">
        <v>2</v>
      </c>
      <c r="AT58" s="1636">
        <v>1</v>
      </c>
      <c r="AU58" s="1638">
        <v>40</v>
      </c>
      <c r="AV58" s="1070">
        <f t="shared" si="27"/>
        <v>43</v>
      </c>
      <c r="AW58" s="1638"/>
      <c r="AX58" s="1636"/>
      <c r="AY58" s="1638">
        <v>27</v>
      </c>
      <c r="AZ58" s="1070">
        <f t="shared" si="28"/>
        <v>27</v>
      </c>
      <c r="BA58" s="1638"/>
      <c r="BB58" s="1636"/>
      <c r="BC58" s="1638">
        <v>13</v>
      </c>
      <c r="BD58" s="1070">
        <f t="shared" si="29"/>
        <v>13</v>
      </c>
      <c r="BE58" s="1638"/>
      <c r="BF58" s="1636"/>
      <c r="BG58" s="1638">
        <v>8</v>
      </c>
      <c r="BH58" s="1070">
        <f t="shared" si="24"/>
        <v>8</v>
      </c>
      <c r="BI58" s="1638">
        <v>0</v>
      </c>
      <c r="BJ58" s="1636">
        <v>0</v>
      </c>
      <c r="BK58" s="1638">
        <v>25</v>
      </c>
      <c r="BL58" s="1071">
        <f t="shared" si="30"/>
        <v>25</v>
      </c>
    </row>
    <row r="59" spans="1:64" s="212" customFormat="1" ht="15" x14ac:dyDescent="0.25">
      <c r="A59" s="6192"/>
      <c r="B59" s="6195"/>
      <c r="C59" s="6209"/>
      <c r="D59" s="1074" t="s">
        <v>580</v>
      </c>
      <c r="E59" s="1631"/>
      <c r="F59" s="1630"/>
      <c r="G59" s="1630"/>
      <c r="H59" s="1070"/>
      <c r="I59" s="1069"/>
      <c r="J59" s="1069"/>
      <c r="K59" s="1069"/>
      <c r="L59" s="1070"/>
      <c r="M59" s="1069"/>
      <c r="N59" s="1069"/>
      <c r="O59" s="1069"/>
      <c r="P59" s="1070"/>
      <c r="Q59" s="1069"/>
      <c r="R59" s="1069"/>
      <c r="S59" s="1069"/>
      <c r="T59" s="1070"/>
      <c r="U59" s="1069"/>
      <c r="V59" s="1069"/>
      <c r="W59" s="1069"/>
      <c r="X59" s="1070"/>
      <c r="Y59" s="1069"/>
      <c r="Z59" s="1069"/>
      <c r="AA59" s="1069"/>
      <c r="AB59" s="1070"/>
      <c r="AC59" s="1069"/>
      <c r="AD59" s="1069"/>
      <c r="AE59" s="1069"/>
      <c r="AF59" s="1070"/>
      <c r="AG59" s="1638"/>
      <c r="AH59" s="1636"/>
      <c r="AI59" s="1638"/>
      <c r="AJ59" s="1070"/>
      <c r="AK59" s="1638"/>
      <c r="AL59" s="1636"/>
      <c r="AM59" s="1638"/>
      <c r="AN59" s="1070"/>
      <c r="AO59" s="1638"/>
      <c r="AP59" s="1636"/>
      <c r="AQ59" s="1638"/>
      <c r="AR59" s="1070"/>
      <c r="AS59" s="1638">
        <v>36</v>
      </c>
      <c r="AT59" s="1636"/>
      <c r="AU59" s="1638"/>
      <c r="AV59" s="1070">
        <f t="shared" si="27"/>
        <v>36</v>
      </c>
      <c r="AW59" s="1638">
        <v>29</v>
      </c>
      <c r="AX59" s="1636"/>
      <c r="AY59" s="1638">
        <v>5</v>
      </c>
      <c r="AZ59" s="1070">
        <f t="shared" si="28"/>
        <v>34</v>
      </c>
      <c r="BA59" s="1638">
        <v>26</v>
      </c>
      <c r="BB59" s="1636"/>
      <c r="BC59" s="1638"/>
      <c r="BD59" s="1070">
        <f t="shared" si="29"/>
        <v>26</v>
      </c>
      <c r="BE59" s="1638">
        <v>67</v>
      </c>
      <c r="BF59" s="1636"/>
      <c r="BG59" s="1638"/>
      <c r="BH59" s="1070">
        <f t="shared" si="24"/>
        <v>67</v>
      </c>
      <c r="BI59" s="1638">
        <v>47</v>
      </c>
      <c r="BJ59" s="1636">
        <v>0</v>
      </c>
      <c r="BK59" s="1638">
        <v>0</v>
      </c>
      <c r="BL59" s="1071">
        <f t="shared" si="30"/>
        <v>47</v>
      </c>
    </row>
    <row r="60" spans="1:64" s="212" customFormat="1" ht="15" x14ac:dyDescent="0.25">
      <c r="A60" s="6192"/>
      <c r="B60" s="6195"/>
      <c r="C60" s="6173" t="s">
        <v>520</v>
      </c>
      <c r="D60" s="1074" t="s">
        <v>542</v>
      </c>
      <c r="E60" s="1631"/>
      <c r="F60" s="1630"/>
      <c r="G60" s="1630"/>
      <c r="H60" s="1070"/>
      <c r="I60" s="1069"/>
      <c r="J60" s="1069"/>
      <c r="K60" s="1069"/>
      <c r="L60" s="1070"/>
      <c r="M60" s="1069"/>
      <c r="N60" s="1069"/>
      <c r="O60" s="1069"/>
      <c r="P60" s="1070"/>
      <c r="Q60" s="1069"/>
      <c r="R60" s="1069"/>
      <c r="S60" s="1069"/>
      <c r="T60" s="1070"/>
      <c r="U60" s="1069"/>
      <c r="V60" s="1069"/>
      <c r="W60" s="1069"/>
      <c r="X60" s="1070"/>
      <c r="Y60" s="1069">
        <v>1</v>
      </c>
      <c r="Z60" s="1069">
        <v>1</v>
      </c>
      <c r="AA60" s="1069">
        <v>2</v>
      </c>
      <c r="AB60" s="1070">
        <f t="shared" si="25"/>
        <v>4</v>
      </c>
      <c r="AC60" s="1069"/>
      <c r="AD60" s="1069"/>
      <c r="AE60" s="1069"/>
      <c r="AF60" s="1070"/>
      <c r="AG60" s="1069"/>
      <c r="AH60" s="1636">
        <v>1</v>
      </c>
      <c r="AI60" s="1638">
        <v>2</v>
      </c>
      <c r="AJ60" s="1070">
        <f t="shared" si="26"/>
        <v>3</v>
      </c>
      <c r="AK60" s="1069">
        <v>1</v>
      </c>
      <c r="AL60" s="1636">
        <v>6</v>
      </c>
      <c r="AM60" s="1638">
        <v>5</v>
      </c>
      <c r="AN60" s="1070">
        <f t="shared" ref="AN60:AN65" si="31">SUM(AK60:AM60)</f>
        <v>12</v>
      </c>
      <c r="AO60" s="1069">
        <v>4</v>
      </c>
      <c r="AP60" s="1636"/>
      <c r="AQ60" s="1638">
        <v>9</v>
      </c>
      <c r="AR60" s="1070">
        <f>SUM(AO60:AQ60)</f>
        <v>13</v>
      </c>
      <c r="AS60" s="1069">
        <v>1</v>
      </c>
      <c r="AT60" s="1636">
        <v>1</v>
      </c>
      <c r="AU60" s="1638">
        <v>3</v>
      </c>
      <c r="AV60" s="1070">
        <f>SUM(AS60:AU60)</f>
        <v>5</v>
      </c>
      <c r="AW60" s="1069"/>
      <c r="AX60" s="1636"/>
      <c r="AY60" s="1638">
        <v>1</v>
      </c>
      <c r="AZ60" s="1070">
        <f t="shared" si="28"/>
        <v>1</v>
      </c>
      <c r="BA60" s="1069">
        <v>6</v>
      </c>
      <c r="BB60" s="1636"/>
      <c r="BC60" s="1638">
        <v>4</v>
      </c>
      <c r="BD60" s="1070">
        <f t="shared" si="29"/>
        <v>10</v>
      </c>
      <c r="BE60" s="1069">
        <v>2</v>
      </c>
      <c r="BF60" s="1636"/>
      <c r="BG60" s="1638">
        <v>5</v>
      </c>
      <c r="BH60" s="1070">
        <f t="shared" si="24"/>
        <v>7</v>
      </c>
      <c r="BI60" s="5244">
        <v>1</v>
      </c>
      <c r="BJ60" s="1636">
        <v>1</v>
      </c>
      <c r="BK60" s="5245">
        <v>1</v>
      </c>
      <c r="BL60" s="1071">
        <f t="shared" si="30"/>
        <v>3</v>
      </c>
    </row>
    <row r="61" spans="1:64" s="212" customFormat="1" ht="15" x14ac:dyDescent="0.25">
      <c r="A61" s="6192"/>
      <c r="B61" s="6195"/>
      <c r="C61" s="6174"/>
      <c r="D61" s="1074" t="s">
        <v>543</v>
      </c>
      <c r="E61" s="1631"/>
      <c r="F61" s="1630"/>
      <c r="G61" s="1630"/>
      <c r="H61" s="1070"/>
      <c r="I61" s="1069"/>
      <c r="J61" s="1069"/>
      <c r="K61" s="1069"/>
      <c r="L61" s="1070"/>
      <c r="M61" s="1069"/>
      <c r="N61" s="1069"/>
      <c r="O61" s="1069"/>
      <c r="P61" s="1070"/>
      <c r="Q61" s="1069"/>
      <c r="R61" s="1069"/>
      <c r="S61" s="1069"/>
      <c r="T61" s="1070"/>
      <c r="U61" s="1069"/>
      <c r="V61" s="1069"/>
      <c r="W61" s="1069"/>
      <c r="X61" s="1070"/>
      <c r="Y61" s="1069">
        <v>1</v>
      </c>
      <c r="Z61" s="1069"/>
      <c r="AA61" s="1069">
        <v>2</v>
      </c>
      <c r="AB61" s="1070">
        <f t="shared" si="25"/>
        <v>3</v>
      </c>
      <c r="AC61" s="1069"/>
      <c r="AD61" s="1069"/>
      <c r="AE61" s="1069"/>
      <c r="AF61" s="1070"/>
      <c r="AG61" s="1636">
        <v>2</v>
      </c>
      <c r="AH61" s="1636">
        <v>1</v>
      </c>
      <c r="AI61" s="1638">
        <v>3</v>
      </c>
      <c r="AJ61" s="1070">
        <f t="shared" si="26"/>
        <v>6</v>
      </c>
      <c r="AK61" s="1636">
        <v>12</v>
      </c>
      <c r="AL61" s="1636">
        <v>10</v>
      </c>
      <c r="AM61" s="1636">
        <v>48</v>
      </c>
      <c r="AN61" s="1070">
        <f t="shared" si="31"/>
        <v>70</v>
      </c>
      <c r="AO61" s="1636">
        <v>9</v>
      </c>
      <c r="AP61" s="1636">
        <v>4</v>
      </c>
      <c r="AQ61" s="1636">
        <v>51</v>
      </c>
      <c r="AR61" s="1070">
        <f>SUM(AO61:AQ61)</f>
        <v>64</v>
      </c>
      <c r="AS61" s="1636"/>
      <c r="AT61" s="1636">
        <v>1</v>
      </c>
      <c r="AU61" s="1636">
        <v>14</v>
      </c>
      <c r="AV61" s="1070">
        <f>SUM(AS61:AU61)</f>
        <v>15</v>
      </c>
      <c r="AW61" s="1636">
        <v>1</v>
      </c>
      <c r="AX61" s="1636">
        <v>2</v>
      </c>
      <c r="AY61" s="1636">
        <v>6</v>
      </c>
      <c r="AZ61" s="1070">
        <f t="shared" si="28"/>
        <v>9</v>
      </c>
      <c r="BA61" s="1636">
        <v>2</v>
      </c>
      <c r="BB61" s="1636">
        <v>3</v>
      </c>
      <c r="BC61" s="1636">
        <v>9</v>
      </c>
      <c r="BD61" s="1070">
        <f t="shared" si="29"/>
        <v>14</v>
      </c>
      <c r="BE61" s="1636">
        <v>1</v>
      </c>
      <c r="BF61" s="1636">
        <v>5</v>
      </c>
      <c r="BG61" s="1636">
        <v>1</v>
      </c>
      <c r="BH61" s="1070">
        <f t="shared" si="24"/>
        <v>7</v>
      </c>
      <c r="BI61" s="1636">
        <v>4</v>
      </c>
      <c r="BJ61" s="5246">
        <v>2</v>
      </c>
      <c r="BK61" s="1636">
        <v>0</v>
      </c>
      <c r="BL61" s="1071">
        <f t="shared" si="30"/>
        <v>6</v>
      </c>
    </row>
    <row r="62" spans="1:64" s="212" customFormat="1" ht="15" x14ac:dyDescent="0.25">
      <c r="A62" s="6192"/>
      <c r="B62" s="6195"/>
      <c r="C62" s="6174"/>
      <c r="D62" s="1074" t="s">
        <v>544</v>
      </c>
      <c r="E62" s="1631"/>
      <c r="F62" s="1630"/>
      <c r="G62" s="1630"/>
      <c r="H62" s="1070"/>
      <c r="I62" s="1069"/>
      <c r="J62" s="1069"/>
      <c r="K62" s="1069"/>
      <c r="L62" s="1070"/>
      <c r="M62" s="1069"/>
      <c r="N62" s="1069"/>
      <c r="O62" s="1069"/>
      <c r="P62" s="1070"/>
      <c r="Q62" s="1069"/>
      <c r="R62" s="1069"/>
      <c r="S62" s="1069"/>
      <c r="T62" s="1070"/>
      <c r="U62" s="1069"/>
      <c r="V62" s="1069"/>
      <c r="W62" s="1069"/>
      <c r="X62" s="1070"/>
      <c r="Y62" s="1069">
        <v>3</v>
      </c>
      <c r="Z62" s="1069"/>
      <c r="AA62" s="1069">
        <v>6</v>
      </c>
      <c r="AB62" s="1070">
        <f t="shared" si="25"/>
        <v>9</v>
      </c>
      <c r="AC62" s="1069"/>
      <c r="AD62" s="1069"/>
      <c r="AE62" s="1069"/>
      <c r="AF62" s="1070"/>
      <c r="AG62" s="1636">
        <v>10</v>
      </c>
      <c r="AH62" s="1636"/>
      <c r="AI62" s="1638">
        <v>6</v>
      </c>
      <c r="AJ62" s="1070">
        <f t="shared" si="26"/>
        <v>16</v>
      </c>
      <c r="AK62" s="1636">
        <v>10</v>
      </c>
      <c r="AL62" s="1636">
        <v>0</v>
      </c>
      <c r="AM62" s="1636">
        <v>19</v>
      </c>
      <c r="AN62" s="1070">
        <f t="shared" si="31"/>
        <v>29</v>
      </c>
      <c r="AO62" s="1636">
        <v>21</v>
      </c>
      <c r="AP62" s="1636"/>
      <c r="AQ62" s="1636">
        <v>35</v>
      </c>
      <c r="AR62" s="1070">
        <f>SUM(AO62:AQ62)</f>
        <v>56</v>
      </c>
      <c r="AS62" s="1636">
        <v>10</v>
      </c>
      <c r="AT62" s="1636"/>
      <c r="AU62" s="1636">
        <v>4</v>
      </c>
      <c r="AV62" s="1070">
        <f>SUM(AS62:AU62)</f>
        <v>14</v>
      </c>
      <c r="AW62" s="1636">
        <v>5</v>
      </c>
      <c r="AX62" s="1636"/>
      <c r="AY62" s="1636">
        <v>7</v>
      </c>
      <c r="AZ62" s="1070">
        <f t="shared" si="28"/>
        <v>12</v>
      </c>
      <c r="BA62" s="1636">
        <v>1</v>
      </c>
      <c r="BB62" s="1636"/>
      <c r="BC62" s="1636">
        <v>2</v>
      </c>
      <c r="BD62" s="1070">
        <f t="shared" si="29"/>
        <v>3</v>
      </c>
      <c r="BE62" s="1636">
        <v>2</v>
      </c>
      <c r="BF62" s="1636">
        <v>1</v>
      </c>
      <c r="BG62" s="1636">
        <v>2</v>
      </c>
      <c r="BH62" s="1070">
        <f t="shared" si="24"/>
        <v>5</v>
      </c>
      <c r="BI62" s="1636">
        <v>3</v>
      </c>
      <c r="BJ62" s="5246">
        <v>1</v>
      </c>
      <c r="BK62" s="5246">
        <v>5</v>
      </c>
      <c r="BL62" s="1071">
        <f t="shared" si="30"/>
        <v>9</v>
      </c>
    </row>
    <row r="63" spans="1:64" s="212" customFormat="1" ht="15" x14ac:dyDescent="0.25">
      <c r="A63" s="6192"/>
      <c r="B63" s="6195"/>
      <c r="C63" s="6174"/>
      <c r="D63" s="1074" t="s">
        <v>545</v>
      </c>
      <c r="E63" s="1631"/>
      <c r="F63" s="1630"/>
      <c r="G63" s="1630"/>
      <c r="H63" s="1070"/>
      <c r="I63" s="1069"/>
      <c r="J63" s="1069"/>
      <c r="K63" s="1069"/>
      <c r="L63" s="1070"/>
      <c r="M63" s="1069"/>
      <c r="N63" s="1069"/>
      <c r="O63" s="1069"/>
      <c r="P63" s="1070"/>
      <c r="Q63" s="1069"/>
      <c r="R63" s="1069"/>
      <c r="S63" s="1069"/>
      <c r="T63" s="1070"/>
      <c r="U63" s="1069"/>
      <c r="V63" s="1069"/>
      <c r="W63" s="1069"/>
      <c r="X63" s="1070"/>
      <c r="Y63" s="1069">
        <v>2</v>
      </c>
      <c r="Z63" s="1069"/>
      <c r="AA63" s="1069">
        <v>1</v>
      </c>
      <c r="AB63" s="1070">
        <f t="shared" si="25"/>
        <v>3</v>
      </c>
      <c r="AC63" s="1069"/>
      <c r="AD63" s="1069"/>
      <c r="AE63" s="1069"/>
      <c r="AF63" s="1070"/>
      <c r="AG63" s="1069"/>
      <c r="AH63" s="1636">
        <v>1</v>
      </c>
      <c r="AI63" s="1638">
        <v>1</v>
      </c>
      <c r="AJ63" s="1070">
        <f t="shared" si="26"/>
        <v>2</v>
      </c>
      <c r="AK63" s="1636">
        <v>1</v>
      </c>
      <c r="AL63" s="1636">
        <v>0</v>
      </c>
      <c r="AM63" s="1638">
        <v>16</v>
      </c>
      <c r="AN63" s="1070">
        <f t="shared" si="31"/>
        <v>17</v>
      </c>
      <c r="AO63" s="1636">
        <v>1</v>
      </c>
      <c r="AP63" s="1636"/>
      <c r="AQ63" s="1638">
        <v>19</v>
      </c>
      <c r="AR63" s="1070">
        <f t="shared" ref="AR63:AR80" si="32">SUM(AO63:AQ63)</f>
        <v>20</v>
      </c>
      <c r="AS63" s="1636"/>
      <c r="AT63" s="1636">
        <v>1</v>
      </c>
      <c r="AU63" s="1638">
        <v>3</v>
      </c>
      <c r="AV63" s="1070">
        <f>SUM(AS63:AU63)</f>
        <v>4</v>
      </c>
      <c r="AW63" s="1636">
        <v>1</v>
      </c>
      <c r="AX63" s="1636"/>
      <c r="AY63" s="1638"/>
      <c r="AZ63" s="1070">
        <f t="shared" si="28"/>
        <v>1</v>
      </c>
      <c r="BA63" s="1636"/>
      <c r="BB63" s="1636">
        <v>3</v>
      </c>
      <c r="BC63" s="1638">
        <v>3</v>
      </c>
      <c r="BD63" s="1070">
        <f t="shared" si="29"/>
        <v>6</v>
      </c>
      <c r="BE63" s="1636">
        <v>3</v>
      </c>
      <c r="BF63" s="1636">
        <v>1</v>
      </c>
      <c r="BG63" s="1638">
        <v>1</v>
      </c>
      <c r="BH63" s="1070">
        <f t="shared" si="24"/>
        <v>5</v>
      </c>
      <c r="BI63" s="1636">
        <v>0</v>
      </c>
      <c r="BJ63" s="5246">
        <v>2</v>
      </c>
      <c r="BK63" s="5245">
        <v>2</v>
      </c>
      <c r="BL63" s="1071">
        <f t="shared" si="30"/>
        <v>4</v>
      </c>
    </row>
    <row r="64" spans="1:64" s="212" customFormat="1" ht="15" x14ac:dyDescent="0.25">
      <c r="A64" s="6192"/>
      <c r="B64" s="6195"/>
      <c r="C64" s="6174"/>
      <c r="D64" s="1074" t="s">
        <v>546</v>
      </c>
      <c r="E64" s="1631"/>
      <c r="F64" s="1630"/>
      <c r="G64" s="1630"/>
      <c r="H64" s="1070"/>
      <c r="I64" s="1069"/>
      <c r="J64" s="1069"/>
      <c r="K64" s="1069"/>
      <c r="L64" s="1070"/>
      <c r="M64" s="1069"/>
      <c r="N64" s="1069"/>
      <c r="O64" s="1069"/>
      <c r="P64" s="1070"/>
      <c r="Q64" s="1069"/>
      <c r="R64" s="1069"/>
      <c r="S64" s="1069"/>
      <c r="T64" s="1070"/>
      <c r="U64" s="1069"/>
      <c r="V64" s="1069"/>
      <c r="W64" s="1069"/>
      <c r="X64" s="1070"/>
      <c r="Y64" s="1069"/>
      <c r="Z64" s="1069"/>
      <c r="AA64" s="1069">
        <v>1</v>
      </c>
      <c r="AB64" s="1070">
        <f t="shared" si="25"/>
        <v>1</v>
      </c>
      <c r="AC64" s="1069"/>
      <c r="AD64" s="1069"/>
      <c r="AE64" s="1069"/>
      <c r="AF64" s="1070"/>
      <c r="AG64" s="1636">
        <v>1</v>
      </c>
      <c r="AH64" s="1636"/>
      <c r="AI64" s="1638">
        <v>2</v>
      </c>
      <c r="AJ64" s="1070">
        <f t="shared" si="26"/>
        <v>3</v>
      </c>
      <c r="AK64" s="1638">
        <v>12</v>
      </c>
      <c r="AL64" s="1636">
        <v>8</v>
      </c>
      <c r="AM64" s="1638">
        <v>16</v>
      </c>
      <c r="AN64" s="1070">
        <f t="shared" si="31"/>
        <v>36</v>
      </c>
      <c r="AO64" s="1638">
        <v>9</v>
      </c>
      <c r="AP64" s="1636">
        <v>8</v>
      </c>
      <c r="AQ64" s="1638">
        <v>15</v>
      </c>
      <c r="AR64" s="1070">
        <f t="shared" si="32"/>
        <v>32</v>
      </c>
      <c r="AS64" s="1638"/>
      <c r="AT64" s="1636">
        <v>5</v>
      </c>
      <c r="AU64" s="1638">
        <v>1</v>
      </c>
      <c r="AV64" s="1070">
        <f>SUM(AS64:AU64)</f>
        <v>6</v>
      </c>
      <c r="AW64" s="1638"/>
      <c r="AX64" s="1636">
        <v>1</v>
      </c>
      <c r="AY64" s="1638"/>
      <c r="AZ64" s="1070">
        <f t="shared" si="28"/>
        <v>1</v>
      </c>
      <c r="BA64" s="1638">
        <v>4</v>
      </c>
      <c r="BB64" s="1636">
        <v>1</v>
      </c>
      <c r="BC64" s="1638">
        <v>2</v>
      </c>
      <c r="BD64" s="1070">
        <f t="shared" si="29"/>
        <v>7</v>
      </c>
      <c r="BE64" s="1638">
        <v>1</v>
      </c>
      <c r="BF64" s="1636">
        <v>2</v>
      </c>
      <c r="BG64" s="1638">
        <v>3</v>
      </c>
      <c r="BH64" s="1070">
        <f t="shared" si="24"/>
        <v>6</v>
      </c>
      <c r="BI64" s="1638">
        <v>0</v>
      </c>
      <c r="BJ64" s="5248">
        <v>1</v>
      </c>
      <c r="BK64" s="1638">
        <v>1</v>
      </c>
      <c r="BL64" s="1071">
        <f t="shared" si="30"/>
        <v>2</v>
      </c>
    </row>
    <row r="65" spans="1:64" s="212" customFormat="1" ht="15" x14ac:dyDescent="0.2">
      <c r="A65" s="6192"/>
      <c r="B65" s="6195"/>
      <c r="C65" s="6174"/>
      <c r="D65" s="1074" t="s">
        <v>372</v>
      </c>
      <c r="E65" s="1631"/>
      <c r="F65" s="1630"/>
      <c r="G65" s="1630"/>
      <c r="H65" s="1070"/>
      <c r="I65" s="1069"/>
      <c r="J65" s="1069"/>
      <c r="K65" s="1069"/>
      <c r="L65" s="1070"/>
      <c r="M65" s="1069"/>
      <c r="N65" s="1069"/>
      <c r="O65" s="1069">
        <v>28</v>
      </c>
      <c r="P65" s="1070">
        <f>SUM(M65:O65)</f>
        <v>28</v>
      </c>
      <c r="Q65" s="1069"/>
      <c r="R65" s="1069"/>
      <c r="S65" s="1069">
        <v>22</v>
      </c>
      <c r="T65" s="1070">
        <f>SUM(Q65:S65)</f>
        <v>22</v>
      </c>
      <c r="U65" s="1069"/>
      <c r="V65" s="1069"/>
      <c r="W65" s="1069">
        <v>17</v>
      </c>
      <c r="X65" s="1070">
        <f>SUM(U65:W65)</f>
        <v>17</v>
      </c>
      <c r="Y65" s="1069"/>
      <c r="Z65" s="1069"/>
      <c r="AA65" s="1069">
        <v>28</v>
      </c>
      <c r="AB65" s="1070">
        <f t="shared" si="25"/>
        <v>28</v>
      </c>
      <c r="AC65" s="1069"/>
      <c r="AD65" s="1069"/>
      <c r="AE65" s="1069">
        <v>36</v>
      </c>
      <c r="AF65" s="1070">
        <f>SUM(AC65:AE65)</f>
        <v>36</v>
      </c>
      <c r="AG65" s="1069"/>
      <c r="AH65" s="1069"/>
      <c r="AI65" s="1069">
        <v>37</v>
      </c>
      <c r="AJ65" s="1070">
        <f t="shared" si="26"/>
        <v>37</v>
      </c>
      <c r="AK65" s="1069">
        <v>2</v>
      </c>
      <c r="AL65" s="1069">
        <v>1</v>
      </c>
      <c r="AM65" s="1069">
        <v>40</v>
      </c>
      <c r="AN65" s="1070">
        <f t="shared" si="31"/>
        <v>43</v>
      </c>
      <c r="AO65" s="1069">
        <v>6</v>
      </c>
      <c r="AP65" s="1069">
        <v>2</v>
      </c>
      <c r="AQ65" s="1069">
        <v>35</v>
      </c>
      <c r="AR65" s="1070">
        <f t="shared" si="32"/>
        <v>43</v>
      </c>
      <c r="AS65" s="1069"/>
      <c r="AT65" s="1069"/>
      <c r="AU65" s="1069"/>
      <c r="AV65" s="1070"/>
      <c r="AW65" s="1069">
        <v>2</v>
      </c>
      <c r="AX65" s="1069">
        <v>3</v>
      </c>
      <c r="AY65" s="1069">
        <v>3</v>
      </c>
      <c r="AZ65" s="1070">
        <f t="shared" si="28"/>
        <v>8</v>
      </c>
      <c r="BA65" s="1069">
        <v>2</v>
      </c>
      <c r="BB65" s="1069">
        <v>3</v>
      </c>
      <c r="BC65" s="1069">
        <v>1</v>
      </c>
      <c r="BD65" s="1070">
        <f t="shared" si="29"/>
        <v>6</v>
      </c>
      <c r="BE65" s="1069">
        <v>6</v>
      </c>
      <c r="BF65" s="1069"/>
      <c r="BG65" s="1069"/>
      <c r="BH65" s="1070">
        <f t="shared" si="24"/>
        <v>6</v>
      </c>
      <c r="BI65" s="1069">
        <v>0</v>
      </c>
      <c r="BJ65" s="1069">
        <v>0</v>
      </c>
      <c r="BK65" s="1069">
        <v>4</v>
      </c>
      <c r="BL65" s="1071">
        <f t="shared" si="30"/>
        <v>4</v>
      </c>
    </row>
    <row r="66" spans="1:64" s="212" customFormat="1" ht="15" x14ac:dyDescent="0.2">
      <c r="A66" s="6192"/>
      <c r="B66" s="6195"/>
      <c r="C66" s="6174"/>
      <c r="D66" s="1074" t="s">
        <v>649</v>
      </c>
      <c r="E66" s="1632"/>
      <c r="F66" s="1633"/>
      <c r="G66" s="1633"/>
      <c r="H66" s="1077"/>
      <c r="I66" s="1076"/>
      <c r="J66" s="1076"/>
      <c r="K66" s="1076"/>
      <c r="L66" s="1077"/>
      <c r="M66" s="1076"/>
      <c r="N66" s="1076"/>
      <c r="O66" s="1076"/>
      <c r="P66" s="1077"/>
      <c r="Q66" s="1076"/>
      <c r="R66" s="1076"/>
      <c r="S66" s="1076"/>
      <c r="T66" s="1077"/>
      <c r="U66" s="1076"/>
      <c r="V66" s="1076"/>
      <c r="W66" s="1076"/>
      <c r="X66" s="1077"/>
      <c r="Y66" s="1076"/>
      <c r="Z66" s="1076"/>
      <c r="AA66" s="1076"/>
      <c r="AB66" s="1077"/>
      <c r="AC66" s="1076"/>
      <c r="AD66" s="1076"/>
      <c r="AE66" s="1076"/>
      <c r="AF66" s="1077"/>
      <c r="AG66" s="1076"/>
      <c r="AH66" s="1076"/>
      <c r="AI66" s="1076"/>
      <c r="AJ66" s="1077"/>
      <c r="AK66" s="1076"/>
      <c r="AL66" s="1076"/>
      <c r="AM66" s="1076"/>
      <c r="AN66" s="1077"/>
      <c r="AO66" s="1076"/>
      <c r="AP66" s="1076"/>
      <c r="AQ66" s="1076"/>
      <c r="AR66" s="1077"/>
      <c r="AS66" s="1076"/>
      <c r="AT66" s="1076"/>
      <c r="AU66" s="1076"/>
      <c r="AV66" s="1070"/>
      <c r="AW66" s="1076">
        <v>3</v>
      </c>
      <c r="AX66" s="1076"/>
      <c r="AY66" s="1076"/>
      <c r="AZ66" s="1070">
        <f t="shared" si="28"/>
        <v>3</v>
      </c>
      <c r="BA66" s="1076">
        <v>5</v>
      </c>
      <c r="BB66" s="1076"/>
      <c r="BC66" s="1076"/>
      <c r="BD66" s="1070">
        <f t="shared" si="29"/>
        <v>5</v>
      </c>
      <c r="BE66" s="1076">
        <v>8</v>
      </c>
      <c r="BF66" s="1076"/>
      <c r="BG66" s="1076"/>
      <c r="BH66" s="1070">
        <f t="shared" si="24"/>
        <v>8</v>
      </c>
      <c r="BI66" s="1076">
        <v>1</v>
      </c>
      <c r="BJ66" s="5247">
        <v>1</v>
      </c>
      <c r="BK66" s="1076">
        <v>0</v>
      </c>
      <c r="BL66" s="1071">
        <f t="shared" si="30"/>
        <v>2</v>
      </c>
    </row>
    <row r="67" spans="1:64" s="212" customFormat="1" ht="15" x14ac:dyDescent="0.25">
      <c r="A67" s="6192"/>
      <c r="B67" s="6195"/>
      <c r="C67" s="6175"/>
      <c r="D67" s="1075" t="s">
        <v>404</v>
      </c>
      <c r="E67" s="1632"/>
      <c r="F67" s="1633"/>
      <c r="G67" s="1633"/>
      <c r="H67" s="1077"/>
      <c r="I67" s="1076"/>
      <c r="J67" s="1076"/>
      <c r="K67" s="1076"/>
      <c r="L67" s="1077"/>
      <c r="M67" s="1076"/>
      <c r="N67" s="1076"/>
      <c r="O67" s="1076"/>
      <c r="P67" s="1077"/>
      <c r="Q67" s="1076"/>
      <c r="R67" s="1076"/>
      <c r="S67" s="1076"/>
      <c r="T67" s="1077"/>
      <c r="U67" s="1076"/>
      <c r="V67" s="1076"/>
      <c r="W67" s="1076"/>
      <c r="X67" s="1077"/>
      <c r="Y67" s="1076"/>
      <c r="Z67" s="1076"/>
      <c r="AA67" s="1076"/>
      <c r="AB67" s="1077"/>
      <c r="AC67" s="1076"/>
      <c r="AD67" s="1076"/>
      <c r="AE67" s="1076"/>
      <c r="AF67" s="1077"/>
      <c r="AG67" s="1076"/>
      <c r="AH67" s="1076"/>
      <c r="AI67" s="1639">
        <v>1</v>
      </c>
      <c r="AJ67" s="1077">
        <f t="shared" si="26"/>
        <v>1</v>
      </c>
      <c r="AK67" s="1076"/>
      <c r="AL67" s="1076"/>
      <c r="AM67" s="1639"/>
      <c r="AN67" s="1077"/>
      <c r="AO67" s="1076"/>
      <c r="AP67" s="1076"/>
      <c r="AQ67" s="1639"/>
      <c r="AR67" s="1077">
        <f t="shared" si="32"/>
        <v>0</v>
      </c>
      <c r="AS67" s="1076"/>
      <c r="AT67" s="1076"/>
      <c r="AU67" s="1639"/>
      <c r="AV67" s="1077"/>
      <c r="AW67" s="1076"/>
      <c r="AX67" s="1076"/>
      <c r="AY67" s="1639"/>
      <c r="AZ67" s="1070">
        <f t="shared" si="28"/>
        <v>0</v>
      </c>
      <c r="BA67" s="1076"/>
      <c r="BB67" s="1076"/>
      <c r="BC67" s="1639"/>
      <c r="BD67" s="1070">
        <f t="shared" si="29"/>
        <v>0</v>
      </c>
      <c r="BE67" s="1076"/>
      <c r="BF67" s="1076"/>
      <c r="BG67" s="1639"/>
      <c r="BH67" s="1070">
        <f t="shared" si="24"/>
        <v>0</v>
      </c>
      <c r="BI67" s="1076"/>
      <c r="BJ67" s="1076"/>
      <c r="BK67" s="1639"/>
      <c r="BL67" s="1070">
        <f t="shared" ref="BL67" si="33">SUM(BI67:BK67)</f>
        <v>0</v>
      </c>
    </row>
    <row r="68" spans="1:64" s="212" customFormat="1" ht="15" x14ac:dyDescent="0.2">
      <c r="A68" s="6192"/>
      <c r="B68" s="6196"/>
      <c r="C68" s="5153"/>
      <c r="D68" s="1063" t="s">
        <v>160</v>
      </c>
      <c r="E68" s="1625">
        <f>SUM(E53:E67)</f>
        <v>22</v>
      </c>
      <c r="F68" s="1626">
        <f>SUM(F53:F67)</f>
        <v>30</v>
      </c>
      <c r="G68" s="1626">
        <f t="shared" ref="G68:AR68" si="34">SUM(G53:G67)</f>
        <v>68</v>
      </c>
      <c r="H68" s="1627">
        <f t="shared" si="34"/>
        <v>120</v>
      </c>
      <c r="I68" s="1625">
        <f t="shared" si="34"/>
        <v>41</v>
      </c>
      <c r="J68" s="1626">
        <f t="shared" si="34"/>
        <v>32</v>
      </c>
      <c r="K68" s="1626">
        <f t="shared" si="34"/>
        <v>79</v>
      </c>
      <c r="L68" s="1628">
        <f t="shared" si="34"/>
        <v>152</v>
      </c>
      <c r="M68" s="1625">
        <f t="shared" si="34"/>
        <v>53</v>
      </c>
      <c r="N68" s="1626">
        <f t="shared" si="34"/>
        <v>39</v>
      </c>
      <c r="O68" s="1626">
        <f t="shared" si="34"/>
        <v>98</v>
      </c>
      <c r="P68" s="1628">
        <f t="shared" si="34"/>
        <v>190</v>
      </c>
      <c r="Q68" s="1625">
        <f t="shared" si="34"/>
        <v>25</v>
      </c>
      <c r="R68" s="1626">
        <f t="shared" si="34"/>
        <v>37</v>
      </c>
      <c r="S68" s="1626">
        <f t="shared" si="34"/>
        <v>111</v>
      </c>
      <c r="T68" s="1628">
        <f t="shared" si="34"/>
        <v>173</v>
      </c>
      <c r="U68" s="1625">
        <f t="shared" si="34"/>
        <v>30</v>
      </c>
      <c r="V68" s="1626">
        <f t="shared" si="34"/>
        <v>20</v>
      </c>
      <c r="W68" s="1626">
        <f t="shared" si="34"/>
        <v>80</v>
      </c>
      <c r="X68" s="1628">
        <f t="shared" si="34"/>
        <v>130</v>
      </c>
      <c r="Y68" s="1625">
        <f t="shared" si="34"/>
        <v>33</v>
      </c>
      <c r="Z68" s="1626">
        <f t="shared" si="34"/>
        <v>19</v>
      </c>
      <c r="AA68" s="1626">
        <f t="shared" si="34"/>
        <v>107</v>
      </c>
      <c r="AB68" s="1628">
        <f t="shared" si="34"/>
        <v>159</v>
      </c>
      <c r="AC68" s="1625">
        <f t="shared" si="34"/>
        <v>15</v>
      </c>
      <c r="AD68" s="1626">
        <f t="shared" si="34"/>
        <v>15</v>
      </c>
      <c r="AE68" s="1626">
        <f t="shared" si="34"/>
        <v>141</v>
      </c>
      <c r="AF68" s="1628">
        <f t="shared" si="34"/>
        <v>171</v>
      </c>
      <c r="AG68" s="1625">
        <f t="shared" si="34"/>
        <v>42</v>
      </c>
      <c r="AH68" s="1626">
        <f t="shared" si="34"/>
        <v>16</v>
      </c>
      <c r="AI68" s="1626">
        <f t="shared" si="34"/>
        <v>116</v>
      </c>
      <c r="AJ68" s="1628">
        <f t="shared" si="34"/>
        <v>174</v>
      </c>
      <c r="AK68" s="1625">
        <f t="shared" si="34"/>
        <v>38</v>
      </c>
      <c r="AL68" s="1626">
        <f t="shared" si="34"/>
        <v>25</v>
      </c>
      <c r="AM68" s="1626">
        <f t="shared" si="34"/>
        <v>144</v>
      </c>
      <c r="AN68" s="1628">
        <f t="shared" si="34"/>
        <v>207</v>
      </c>
      <c r="AO68" s="1625">
        <f t="shared" si="34"/>
        <v>50</v>
      </c>
      <c r="AP68" s="1626">
        <f t="shared" si="34"/>
        <v>14</v>
      </c>
      <c r="AQ68" s="1626">
        <f t="shared" si="34"/>
        <v>164</v>
      </c>
      <c r="AR68" s="1628">
        <f t="shared" si="34"/>
        <v>228</v>
      </c>
      <c r="AS68" s="1625">
        <f t="shared" ref="AS68:AZ68" si="35">SUM(AS53:AS67)</f>
        <v>78</v>
      </c>
      <c r="AT68" s="1626">
        <f t="shared" si="35"/>
        <v>22</v>
      </c>
      <c r="AU68" s="1626">
        <f t="shared" si="35"/>
        <v>147</v>
      </c>
      <c r="AV68" s="1628">
        <f t="shared" si="35"/>
        <v>247</v>
      </c>
      <c r="AW68" s="1625">
        <f t="shared" si="35"/>
        <v>68</v>
      </c>
      <c r="AX68" s="1626">
        <f t="shared" si="35"/>
        <v>21</v>
      </c>
      <c r="AY68" s="1626">
        <f t="shared" si="35"/>
        <v>138</v>
      </c>
      <c r="AZ68" s="1628">
        <f t="shared" si="35"/>
        <v>227</v>
      </c>
      <c r="BA68" s="1625">
        <f>SUM(BA53:BA67)</f>
        <v>79</v>
      </c>
      <c r="BB68" s="1626">
        <f>SUM(BB53:BB67)</f>
        <v>42</v>
      </c>
      <c r="BC68" s="1626">
        <f>SUM(BC53:BC67)</f>
        <v>136</v>
      </c>
      <c r="BD68" s="1628">
        <f>SUM(BD53:BD67)</f>
        <v>257</v>
      </c>
      <c r="BE68" s="1625">
        <f t="shared" ref="BE68:BL68" si="36">SUM(BE52:BE67)</f>
        <v>111</v>
      </c>
      <c r="BF68" s="1626">
        <f t="shared" si="36"/>
        <v>36</v>
      </c>
      <c r="BG68" s="1626">
        <f t="shared" si="36"/>
        <v>101</v>
      </c>
      <c r="BH68" s="1628">
        <f t="shared" si="36"/>
        <v>248</v>
      </c>
      <c r="BI68" s="1625">
        <f t="shared" si="36"/>
        <v>73</v>
      </c>
      <c r="BJ68" s="1626">
        <f t="shared" si="36"/>
        <v>29</v>
      </c>
      <c r="BK68" s="1626">
        <f t="shared" si="36"/>
        <v>122</v>
      </c>
      <c r="BL68" s="1628">
        <f t="shared" si="36"/>
        <v>224</v>
      </c>
    </row>
    <row r="69" spans="1:64" s="212" customFormat="1" ht="15" x14ac:dyDescent="0.25">
      <c r="A69" s="6192"/>
      <c r="B69" s="6203" t="s">
        <v>6</v>
      </c>
      <c r="C69" s="1060" t="s">
        <v>522</v>
      </c>
      <c r="D69" s="1073" t="s">
        <v>78</v>
      </c>
      <c r="E69" s="1634"/>
      <c r="F69" s="1635"/>
      <c r="G69" s="1635">
        <v>186</v>
      </c>
      <c r="H69" s="1067">
        <f>SUM(E69:G69)</f>
        <v>186</v>
      </c>
      <c r="I69" s="1066"/>
      <c r="J69" s="1066"/>
      <c r="K69" s="1066">
        <v>206</v>
      </c>
      <c r="L69" s="1067">
        <f>SUM(I69:K69)</f>
        <v>206</v>
      </c>
      <c r="M69" s="1066"/>
      <c r="N69" s="1066"/>
      <c r="O69" s="1066">
        <v>59</v>
      </c>
      <c r="P69" s="1067">
        <f>SUM(M69:O69)</f>
        <v>59</v>
      </c>
      <c r="Q69" s="1066">
        <v>155</v>
      </c>
      <c r="R69" s="1066"/>
      <c r="S69" s="1066">
        <v>22</v>
      </c>
      <c r="T69" s="1067">
        <f>SUM(Q69:S69)</f>
        <v>177</v>
      </c>
      <c r="U69" s="1066">
        <v>132</v>
      </c>
      <c r="V69" s="1066"/>
      <c r="W69" s="1066">
        <v>102</v>
      </c>
      <c r="X69" s="1067">
        <f>SUM(U69:W69)</f>
        <v>234</v>
      </c>
      <c r="Y69" s="1066">
        <v>103</v>
      </c>
      <c r="Z69" s="1066"/>
      <c r="AA69" s="1066"/>
      <c r="AB69" s="1067">
        <f>SUM(Y69:AA69)</f>
        <v>103</v>
      </c>
      <c r="AC69" s="1066"/>
      <c r="AD69" s="1066">
        <v>208</v>
      </c>
      <c r="AE69" s="1066">
        <v>134</v>
      </c>
      <c r="AF69" s="1067">
        <f>SUM(AC69:AE69)</f>
        <v>342</v>
      </c>
      <c r="AG69" s="1066"/>
      <c r="AH69" s="1066"/>
      <c r="AI69" s="1640">
        <v>115</v>
      </c>
      <c r="AJ69" s="1067">
        <f>SUM(AG69:AI69)</f>
        <v>115</v>
      </c>
      <c r="AK69" s="1066"/>
      <c r="AL69" s="1066"/>
      <c r="AM69" s="1640">
        <v>69</v>
      </c>
      <c r="AN69" s="1067">
        <f>SUM(AK69:AM69)</f>
        <v>69</v>
      </c>
      <c r="AO69" s="1066"/>
      <c r="AP69" s="1066"/>
      <c r="AQ69" s="1640">
        <v>111</v>
      </c>
      <c r="AR69" s="1067">
        <f t="shared" si="32"/>
        <v>111</v>
      </c>
      <c r="AS69" s="1066"/>
      <c r="AT69" s="1066"/>
      <c r="AU69" s="1640"/>
      <c r="AV69" s="1067"/>
      <c r="AW69" s="1066"/>
      <c r="AX69" s="1066"/>
      <c r="AY69" s="1640">
        <v>115</v>
      </c>
      <c r="AZ69" s="1070">
        <f t="shared" ref="AZ69:AZ74" si="37">SUM(AW69:AY69)</f>
        <v>115</v>
      </c>
      <c r="BA69" s="1066">
        <v>53</v>
      </c>
      <c r="BB69" s="1066">
        <v>1</v>
      </c>
      <c r="BC69" s="1640">
        <v>38</v>
      </c>
      <c r="BD69" s="1070">
        <f t="shared" ref="BD69:BD74" si="38">SUM(BA69:BC69)</f>
        <v>92</v>
      </c>
      <c r="BE69" s="1066"/>
      <c r="BF69" s="1066"/>
      <c r="BG69" s="1640">
        <v>45</v>
      </c>
      <c r="BH69" s="1070">
        <f t="shared" ref="BH69:BH74" si="39">SUM(BE69:BG69)</f>
        <v>45</v>
      </c>
      <c r="BI69" s="1066"/>
      <c r="BJ69" s="1066">
        <v>86</v>
      </c>
      <c r="BK69" s="1640"/>
      <c r="BL69" s="1070">
        <f t="shared" ref="BL69:BL83" si="40">SUM(BI69:BK69)</f>
        <v>86</v>
      </c>
    </row>
    <row r="70" spans="1:64" s="212" customFormat="1" ht="15" x14ac:dyDescent="0.2">
      <c r="A70" s="6192"/>
      <c r="B70" s="6204"/>
      <c r="C70" s="6173" t="s">
        <v>521</v>
      </c>
      <c r="D70" s="1074" t="s">
        <v>80</v>
      </c>
      <c r="E70" s="1631"/>
      <c r="F70" s="1630"/>
      <c r="G70" s="1630"/>
      <c r="H70" s="1070"/>
      <c r="I70" s="1069"/>
      <c r="J70" s="1069"/>
      <c r="K70" s="1069"/>
      <c r="L70" s="1070"/>
      <c r="M70" s="1069"/>
      <c r="N70" s="1069"/>
      <c r="O70" s="1069"/>
      <c r="P70" s="1070"/>
      <c r="Q70" s="1069"/>
      <c r="R70" s="1069"/>
      <c r="S70" s="1069"/>
      <c r="T70" s="1070"/>
      <c r="U70" s="1069"/>
      <c r="V70" s="1069"/>
      <c r="W70" s="1069"/>
      <c r="X70" s="1070"/>
      <c r="Y70" s="1069"/>
      <c r="Z70" s="1069"/>
      <c r="AA70" s="1069"/>
      <c r="AB70" s="1070"/>
      <c r="AC70" s="1069"/>
      <c r="AD70" s="1069"/>
      <c r="AE70" s="1069"/>
      <c r="AF70" s="1070"/>
      <c r="AG70" s="1069"/>
      <c r="AH70" s="1069"/>
      <c r="AI70" s="1069">
        <v>6</v>
      </c>
      <c r="AJ70" s="1070">
        <f>SUM(AG70:AI70)</f>
        <v>6</v>
      </c>
      <c r="AK70" s="1069"/>
      <c r="AL70" s="1069"/>
      <c r="AM70" s="1069"/>
      <c r="AN70" s="1070"/>
      <c r="AO70" s="1069"/>
      <c r="AP70" s="1069"/>
      <c r="AQ70" s="1069"/>
      <c r="AR70" s="1070"/>
      <c r="AS70" s="1069"/>
      <c r="AT70" s="1069"/>
      <c r="AU70" s="1069"/>
      <c r="AV70" s="1070"/>
      <c r="AW70" s="1069"/>
      <c r="AX70" s="1069"/>
      <c r="AY70" s="1069"/>
      <c r="AZ70" s="1070">
        <f t="shared" si="37"/>
        <v>0</v>
      </c>
      <c r="BA70" s="1069"/>
      <c r="BB70" s="1069"/>
      <c r="BC70" s="1069">
        <v>15</v>
      </c>
      <c r="BD70" s="1070">
        <f t="shared" si="38"/>
        <v>15</v>
      </c>
      <c r="BE70" s="1069"/>
      <c r="BF70" s="1069"/>
      <c r="BG70" s="1069"/>
      <c r="BH70" s="1070">
        <f t="shared" si="39"/>
        <v>0</v>
      </c>
      <c r="BI70" s="1069"/>
      <c r="BJ70" s="1069"/>
      <c r="BK70" s="5244">
        <v>12</v>
      </c>
      <c r="BL70" s="1070">
        <f t="shared" si="40"/>
        <v>12</v>
      </c>
    </row>
    <row r="71" spans="1:64" s="212" customFormat="1" ht="15" x14ac:dyDescent="0.2">
      <c r="A71" s="6192"/>
      <c r="B71" s="6204"/>
      <c r="C71" s="6174"/>
      <c r="D71" s="1074" t="s">
        <v>81</v>
      </c>
      <c r="E71" s="1631"/>
      <c r="F71" s="1630"/>
      <c r="G71" s="1630">
        <v>81</v>
      </c>
      <c r="H71" s="1070">
        <f>SUM(E71:G71)</f>
        <v>81</v>
      </c>
      <c r="I71" s="1069"/>
      <c r="J71" s="1069">
        <v>33</v>
      </c>
      <c r="K71" s="1069">
        <v>20</v>
      </c>
      <c r="L71" s="1070">
        <f>SUM(I71:K71)</f>
        <v>53</v>
      </c>
      <c r="M71" s="1069"/>
      <c r="N71" s="1069"/>
      <c r="O71" s="1069">
        <v>49</v>
      </c>
      <c r="P71" s="1070">
        <f>SUM(M71:O71)</f>
        <v>49</v>
      </c>
      <c r="Q71" s="1069"/>
      <c r="R71" s="1069"/>
      <c r="S71" s="1069">
        <v>40</v>
      </c>
      <c r="T71" s="1070">
        <f>SUM(Q71:S71)</f>
        <v>40</v>
      </c>
      <c r="U71" s="1069"/>
      <c r="V71" s="1069"/>
      <c r="W71" s="1069">
        <v>93</v>
      </c>
      <c r="X71" s="1070">
        <f>SUM(U71:W71)</f>
        <v>93</v>
      </c>
      <c r="Y71" s="1069"/>
      <c r="Z71" s="1069"/>
      <c r="AA71" s="1069">
        <v>33</v>
      </c>
      <c r="AB71" s="1070">
        <f>SUM(Y71:AA71)</f>
        <v>33</v>
      </c>
      <c r="AC71" s="1069"/>
      <c r="AD71" s="1069"/>
      <c r="AE71" s="1069"/>
      <c r="AF71" s="1070"/>
      <c r="AG71" s="1069"/>
      <c r="AH71" s="1069"/>
      <c r="AI71" s="1069"/>
      <c r="AJ71" s="1070"/>
      <c r="AK71" s="1069"/>
      <c r="AL71" s="1069"/>
      <c r="AM71" s="1069">
        <v>75</v>
      </c>
      <c r="AN71" s="1070">
        <f>SUM(AK71:AM71)</f>
        <v>75</v>
      </c>
      <c r="AO71" s="1069"/>
      <c r="AP71" s="1069"/>
      <c r="AQ71" s="1069"/>
      <c r="AR71" s="1070"/>
      <c r="AS71" s="1069"/>
      <c r="AT71" s="1069"/>
      <c r="AU71" s="1069"/>
      <c r="AV71" s="1070"/>
      <c r="AW71" s="1069"/>
      <c r="AX71" s="1069">
        <v>44</v>
      </c>
      <c r="AY71" s="1069"/>
      <c r="AZ71" s="1070">
        <f t="shared" si="37"/>
        <v>44</v>
      </c>
      <c r="BA71" s="1069"/>
      <c r="BB71" s="1069"/>
      <c r="BC71" s="1069">
        <v>71</v>
      </c>
      <c r="BD71" s="1070">
        <f t="shared" si="38"/>
        <v>71</v>
      </c>
      <c r="BE71" s="1069"/>
      <c r="BF71" s="1069"/>
      <c r="BG71" s="1069"/>
      <c r="BH71" s="1070">
        <f t="shared" si="39"/>
        <v>0</v>
      </c>
      <c r="BI71" s="1069"/>
      <c r="BJ71" s="1069"/>
      <c r="BK71" s="1069">
        <v>51</v>
      </c>
      <c r="BL71" s="1070">
        <f t="shared" si="40"/>
        <v>51</v>
      </c>
    </row>
    <row r="72" spans="1:64" s="212" customFormat="1" ht="15" x14ac:dyDescent="0.25">
      <c r="A72" s="6192"/>
      <c r="B72" s="6204"/>
      <c r="C72" s="6174"/>
      <c r="D72" s="1074" t="s">
        <v>79</v>
      </c>
      <c r="E72" s="1631"/>
      <c r="F72" s="1630"/>
      <c r="G72" s="1630">
        <v>17</v>
      </c>
      <c r="H72" s="1070">
        <f>SUM(E72:G72)</f>
        <v>17</v>
      </c>
      <c r="I72" s="1069"/>
      <c r="J72" s="1069"/>
      <c r="K72" s="1069"/>
      <c r="L72" s="1070"/>
      <c r="M72" s="1069">
        <v>132</v>
      </c>
      <c r="N72" s="1069"/>
      <c r="O72" s="1069"/>
      <c r="P72" s="1070">
        <f>SUM(M72:O72)</f>
        <v>132</v>
      </c>
      <c r="Q72" s="1069">
        <v>35</v>
      </c>
      <c r="R72" s="1069"/>
      <c r="S72" s="1069"/>
      <c r="T72" s="1070">
        <f>SUM(Q72:S72)</f>
        <v>35</v>
      </c>
      <c r="U72" s="1069">
        <v>147</v>
      </c>
      <c r="V72" s="1069"/>
      <c r="W72" s="1069"/>
      <c r="X72" s="1070">
        <f>SUM(U72:W72)</f>
        <v>147</v>
      </c>
      <c r="Y72" s="1069"/>
      <c r="Z72" s="1069"/>
      <c r="AA72" s="1069">
        <v>234</v>
      </c>
      <c r="AB72" s="1070">
        <f>SUM(Y72:AA72)</f>
        <v>234</v>
      </c>
      <c r="AC72" s="1069"/>
      <c r="AD72" s="1069"/>
      <c r="AE72" s="1069">
        <v>86</v>
      </c>
      <c r="AF72" s="1070">
        <f>SUM(AC72:AE72)</f>
        <v>86</v>
      </c>
      <c r="AG72" s="1069"/>
      <c r="AH72" s="1069"/>
      <c r="AI72" s="1636">
        <v>140</v>
      </c>
      <c r="AJ72" s="1070">
        <f>SUM(AG72:AI72)</f>
        <v>140</v>
      </c>
      <c r="AK72" s="1069"/>
      <c r="AL72" s="1069"/>
      <c r="AM72" s="1636">
        <v>8</v>
      </c>
      <c r="AN72" s="1070">
        <f>SUM(AK72:AM72)</f>
        <v>8</v>
      </c>
      <c r="AO72" s="1069"/>
      <c r="AP72" s="1069"/>
      <c r="AQ72" s="1636">
        <v>165</v>
      </c>
      <c r="AR72" s="1070">
        <f>SUM(AO72:AQ72)</f>
        <v>165</v>
      </c>
      <c r="AS72" s="1069"/>
      <c r="AT72" s="1069"/>
      <c r="AU72" s="1636"/>
      <c r="AV72" s="1070"/>
      <c r="AW72" s="1069"/>
      <c r="AX72" s="1069"/>
      <c r="AY72" s="1636">
        <v>200</v>
      </c>
      <c r="AZ72" s="1070">
        <f t="shared" si="37"/>
        <v>200</v>
      </c>
      <c r="BA72" s="1069"/>
      <c r="BB72" s="1069"/>
      <c r="BC72" s="1636"/>
      <c r="BD72" s="1070">
        <f t="shared" si="38"/>
        <v>0</v>
      </c>
      <c r="BE72" s="1069"/>
      <c r="BF72" s="1069"/>
      <c r="BG72" s="1636">
        <v>49</v>
      </c>
      <c r="BH72" s="1070">
        <f t="shared" si="39"/>
        <v>49</v>
      </c>
      <c r="BI72" s="1069"/>
      <c r="BJ72" s="1069"/>
      <c r="BK72" s="1636"/>
      <c r="BL72" s="1070">
        <f t="shared" si="40"/>
        <v>0</v>
      </c>
    </row>
    <row r="73" spans="1:64" s="212" customFormat="1" ht="15" x14ac:dyDescent="0.25">
      <c r="A73" s="6192"/>
      <c r="B73" s="6204"/>
      <c r="C73" s="6174"/>
      <c r="D73" s="1074" t="s">
        <v>82</v>
      </c>
      <c r="E73" s="1631"/>
      <c r="F73" s="1630"/>
      <c r="G73" s="1630">
        <v>36</v>
      </c>
      <c r="H73" s="1070">
        <f>SUM(E73:G73)</f>
        <v>36</v>
      </c>
      <c r="I73" s="1069"/>
      <c r="J73" s="1069"/>
      <c r="K73" s="1069">
        <v>143</v>
      </c>
      <c r="L73" s="1070">
        <f>SUM(I73:K73)</f>
        <v>143</v>
      </c>
      <c r="M73" s="1069">
        <v>4</v>
      </c>
      <c r="N73" s="1069"/>
      <c r="O73" s="1069">
        <v>16</v>
      </c>
      <c r="P73" s="1070">
        <f>SUM(M73:O73)</f>
        <v>20</v>
      </c>
      <c r="Q73" s="1069"/>
      <c r="R73" s="1069"/>
      <c r="S73" s="1069">
        <v>183</v>
      </c>
      <c r="T73" s="1070">
        <f>SUM(Q73:S73)</f>
        <v>183</v>
      </c>
      <c r="U73" s="1069"/>
      <c r="V73" s="1069"/>
      <c r="W73" s="1069">
        <v>39</v>
      </c>
      <c r="X73" s="1070">
        <f>SUM(U73:W73)</f>
        <v>39</v>
      </c>
      <c r="Y73" s="1069"/>
      <c r="Z73" s="1069"/>
      <c r="AA73" s="1069">
        <v>109</v>
      </c>
      <c r="AB73" s="1070">
        <f>SUM(Y73:AA73)</f>
        <v>109</v>
      </c>
      <c r="AC73" s="1069"/>
      <c r="AD73" s="1069"/>
      <c r="AE73" s="1069"/>
      <c r="AF73" s="1070"/>
      <c r="AG73" s="1069"/>
      <c r="AH73" s="1069"/>
      <c r="AI73" s="1636">
        <v>160</v>
      </c>
      <c r="AJ73" s="1070">
        <f>SUM(AG73:AI73)</f>
        <v>160</v>
      </c>
      <c r="AK73" s="1069"/>
      <c r="AL73" s="1069"/>
      <c r="AM73" s="1636"/>
      <c r="AN73" s="1070"/>
      <c r="AO73" s="1069"/>
      <c r="AP73" s="1069"/>
      <c r="AQ73" s="1636">
        <v>157</v>
      </c>
      <c r="AR73" s="1070">
        <f>SUM(AO73:AQ73)</f>
        <v>157</v>
      </c>
      <c r="AS73" s="1069"/>
      <c r="AT73" s="1069"/>
      <c r="AU73" s="1636"/>
      <c r="AV73" s="1070"/>
      <c r="AW73" s="1069"/>
      <c r="AX73" s="1069"/>
      <c r="AY73" s="1636">
        <v>139</v>
      </c>
      <c r="AZ73" s="1070">
        <f t="shared" si="37"/>
        <v>139</v>
      </c>
      <c r="BA73" s="1069"/>
      <c r="BB73" s="1069"/>
      <c r="BC73" s="1636"/>
      <c r="BD73" s="1070">
        <f t="shared" si="38"/>
        <v>0</v>
      </c>
      <c r="BE73" s="1069"/>
      <c r="BF73" s="1069"/>
      <c r="BG73" s="1636">
        <v>60</v>
      </c>
      <c r="BH73" s="1070">
        <f t="shared" si="39"/>
        <v>60</v>
      </c>
      <c r="BI73" s="1069"/>
      <c r="BJ73" s="1069"/>
      <c r="BK73" s="1636"/>
      <c r="BL73" s="1070">
        <f t="shared" si="40"/>
        <v>0</v>
      </c>
    </row>
    <row r="74" spans="1:64" s="212" customFormat="1" ht="15" x14ac:dyDescent="0.2">
      <c r="A74" s="6192"/>
      <c r="B74" s="6204"/>
      <c r="C74" s="6174"/>
      <c r="D74" s="1078" t="s">
        <v>139</v>
      </c>
      <c r="E74" s="1631">
        <v>4</v>
      </c>
      <c r="F74" s="1630"/>
      <c r="G74" s="1630"/>
      <c r="H74" s="1070">
        <f>SUM(E74:G74)</f>
        <v>4</v>
      </c>
      <c r="I74" s="1069">
        <v>29</v>
      </c>
      <c r="J74" s="1069"/>
      <c r="K74" s="1069"/>
      <c r="L74" s="1070">
        <f>SUM(I74:K74)</f>
        <v>29</v>
      </c>
      <c r="M74" s="1069">
        <v>24</v>
      </c>
      <c r="N74" s="1069"/>
      <c r="O74" s="1069"/>
      <c r="P74" s="1070">
        <f>SUM(M74:O74)</f>
        <v>24</v>
      </c>
      <c r="Q74" s="1069">
        <v>21</v>
      </c>
      <c r="R74" s="1069"/>
      <c r="S74" s="1069"/>
      <c r="T74" s="1070">
        <f>SUM(Q74:S74)</f>
        <v>21</v>
      </c>
      <c r="U74" s="1069"/>
      <c r="V74" s="1069"/>
      <c r="W74" s="1069"/>
      <c r="X74" s="1070"/>
      <c r="Y74" s="1069"/>
      <c r="Z74" s="1069"/>
      <c r="AA74" s="1069"/>
      <c r="AB74" s="1070"/>
      <c r="AC74" s="1069"/>
      <c r="AD74" s="1069"/>
      <c r="AE74" s="1069"/>
      <c r="AF74" s="1070"/>
      <c r="AG74" s="1069"/>
      <c r="AH74" s="1069"/>
      <c r="AI74" s="1069"/>
      <c r="AJ74" s="1070"/>
      <c r="AK74" s="1069"/>
      <c r="AL74" s="1069"/>
      <c r="AM74" s="1069"/>
      <c r="AN74" s="1070"/>
      <c r="AO74" s="1069"/>
      <c r="AP74" s="1069"/>
      <c r="AQ74" s="1069"/>
      <c r="AR74" s="1070"/>
      <c r="AS74" s="1069"/>
      <c r="AT74" s="1069"/>
      <c r="AU74" s="1069"/>
      <c r="AV74" s="1070"/>
      <c r="AW74" s="1069">
        <v>13</v>
      </c>
      <c r="AX74" s="1069"/>
      <c r="AY74" s="1069"/>
      <c r="AZ74" s="1070">
        <f t="shared" si="37"/>
        <v>13</v>
      </c>
      <c r="BA74" s="1069">
        <v>10</v>
      </c>
      <c r="BB74" s="1069"/>
      <c r="BC74" s="1069"/>
      <c r="BD74" s="1070">
        <f t="shared" si="38"/>
        <v>10</v>
      </c>
      <c r="BE74" s="1069">
        <v>11</v>
      </c>
      <c r="BF74" s="1069"/>
      <c r="BG74" s="1069"/>
      <c r="BH74" s="1070">
        <f t="shared" si="39"/>
        <v>11</v>
      </c>
      <c r="BI74" s="1069">
        <v>14</v>
      </c>
      <c r="BJ74" s="1069"/>
      <c r="BK74" s="1069"/>
      <c r="BL74" s="1070">
        <f t="shared" si="40"/>
        <v>14</v>
      </c>
    </row>
    <row r="75" spans="1:64" s="212" customFormat="1" ht="15" x14ac:dyDescent="0.2">
      <c r="A75" s="6192"/>
      <c r="B75" s="6204"/>
      <c r="C75" s="6174"/>
      <c r="D75" s="1078" t="s">
        <v>1580</v>
      </c>
      <c r="E75" s="1631"/>
      <c r="F75" s="1630"/>
      <c r="G75" s="1630"/>
      <c r="H75" s="1070"/>
      <c r="I75" s="1069"/>
      <c r="J75" s="1069"/>
      <c r="K75" s="1069"/>
      <c r="L75" s="1070"/>
      <c r="M75" s="1069"/>
      <c r="N75" s="1069"/>
      <c r="O75" s="1069"/>
      <c r="P75" s="1070"/>
      <c r="Q75" s="1069"/>
      <c r="R75" s="1069"/>
      <c r="S75" s="1069"/>
      <c r="T75" s="1070"/>
      <c r="U75" s="1069"/>
      <c r="V75" s="1069"/>
      <c r="W75" s="1069"/>
      <c r="X75" s="1070"/>
      <c r="Y75" s="1069"/>
      <c r="Z75" s="1069"/>
      <c r="AA75" s="1069"/>
      <c r="AB75" s="1070"/>
      <c r="AC75" s="1069"/>
      <c r="AD75" s="1069"/>
      <c r="AE75" s="1069"/>
      <c r="AF75" s="1070"/>
      <c r="AG75" s="1069"/>
      <c r="AH75" s="1069"/>
      <c r="AI75" s="1069"/>
      <c r="AJ75" s="1070"/>
      <c r="AK75" s="1069"/>
      <c r="AL75" s="1069"/>
      <c r="AM75" s="1069"/>
      <c r="AN75" s="1070"/>
      <c r="AO75" s="1069"/>
      <c r="AP75" s="1069"/>
      <c r="AQ75" s="1069"/>
      <c r="AR75" s="1070"/>
      <c r="AS75" s="1069"/>
      <c r="AT75" s="1069"/>
      <c r="AU75" s="1069"/>
      <c r="AV75" s="1070"/>
      <c r="AW75" s="1069"/>
      <c r="AX75" s="1069"/>
      <c r="AY75" s="1069"/>
      <c r="AZ75" s="1070"/>
      <c r="BA75" s="1069"/>
      <c r="BB75" s="1069"/>
      <c r="BC75" s="1069"/>
      <c r="BD75" s="1070"/>
      <c r="BE75" s="1069"/>
      <c r="BF75" s="1069"/>
      <c r="BG75" s="1069"/>
      <c r="BH75" s="1070"/>
      <c r="BI75" s="1069">
        <v>17</v>
      </c>
      <c r="BJ75" s="1069"/>
      <c r="BK75" s="1069"/>
      <c r="BL75" s="1070">
        <f t="shared" si="40"/>
        <v>17</v>
      </c>
    </row>
    <row r="76" spans="1:64" s="212" customFormat="1" ht="15" x14ac:dyDescent="0.2">
      <c r="A76" s="6192"/>
      <c r="B76" s="6204"/>
      <c r="C76" s="6175"/>
      <c r="D76" s="1078" t="s">
        <v>1633</v>
      </c>
      <c r="E76" s="1631"/>
      <c r="F76" s="1630"/>
      <c r="G76" s="1630"/>
      <c r="H76" s="1070"/>
      <c r="I76" s="1069"/>
      <c r="J76" s="1069"/>
      <c r="K76" s="1069"/>
      <c r="L76" s="1070"/>
      <c r="M76" s="1069"/>
      <c r="N76" s="1069"/>
      <c r="O76" s="1069"/>
      <c r="P76" s="1070"/>
      <c r="Q76" s="1069"/>
      <c r="R76" s="1069"/>
      <c r="S76" s="1069"/>
      <c r="T76" s="1070"/>
      <c r="U76" s="1069"/>
      <c r="V76" s="1069"/>
      <c r="W76" s="1069"/>
      <c r="X76" s="1070"/>
      <c r="Y76" s="1069"/>
      <c r="Z76" s="1069"/>
      <c r="AA76" s="1069"/>
      <c r="AB76" s="1070"/>
      <c r="AC76" s="1069"/>
      <c r="AD76" s="1069"/>
      <c r="AE76" s="1069"/>
      <c r="AF76" s="1070"/>
      <c r="AG76" s="1069"/>
      <c r="AH76" s="1069"/>
      <c r="AI76" s="1069"/>
      <c r="AJ76" s="1070"/>
      <c r="AK76" s="1069"/>
      <c r="AL76" s="1069"/>
      <c r="AM76" s="1069"/>
      <c r="AN76" s="1070"/>
      <c r="AO76" s="1069"/>
      <c r="AP76" s="1069"/>
      <c r="AQ76" s="1069"/>
      <c r="AR76" s="1070"/>
      <c r="AS76" s="1069"/>
      <c r="AT76" s="1069"/>
      <c r="AU76" s="1069"/>
      <c r="AV76" s="1070"/>
      <c r="AW76" s="1069"/>
      <c r="AX76" s="1069"/>
      <c r="AY76" s="1069"/>
      <c r="AZ76" s="1070"/>
      <c r="BA76" s="1069"/>
      <c r="BB76" s="1069"/>
      <c r="BC76" s="1069"/>
      <c r="BD76" s="1070"/>
      <c r="BE76" s="1069"/>
      <c r="BF76" s="1069"/>
      <c r="BG76" s="1069"/>
      <c r="BH76" s="1070"/>
      <c r="BI76" s="1069"/>
      <c r="BJ76" s="1069"/>
      <c r="BK76" s="1069">
        <v>23</v>
      </c>
      <c r="BL76" s="1070">
        <f t="shared" si="40"/>
        <v>23</v>
      </c>
    </row>
    <row r="77" spans="1:64" s="212" customFormat="1" ht="15" x14ac:dyDescent="0.25">
      <c r="A77" s="6192"/>
      <c r="B77" s="6205"/>
      <c r="C77" s="6173" t="s">
        <v>520</v>
      </c>
      <c r="D77" s="1062" t="s">
        <v>84</v>
      </c>
      <c r="E77" s="1631"/>
      <c r="F77" s="1630"/>
      <c r="G77" s="1630"/>
      <c r="H77" s="1070"/>
      <c r="I77" s="1069"/>
      <c r="J77" s="1069"/>
      <c r="K77" s="1069"/>
      <c r="L77" s="1070"/>
      <c r="M77" s="1069"/>
      <c r="N77" s="1069"/>
      <c r="O77" s="1069"/>
      <c r="P77" s="1070"/>
      <c r="Q77" s="1069"/>
      <c r="R77" s="1069"/>
      <c r="S77" s="1069"/>
      <c r="T77" s="1070"/>
      <c r="U77" s="1069"/>
      <c r="V77" s="1069"/>
      <c r="W77" s="1069"/>
      <c r="X77" s="1070"/>
      <c r="Y77" s="1069"/>
      <c r="Z77" s="1069"/>
      <c r="AA77" s="1069">
        <v>19</v>
      </c>
      <c r="AB77" s="1070">
        <f>SUM(Y77:AA77)</f>
        <v>19</v>
      </c>
      <c r="AC77" s="1069"/>
      <c r="AD77" s="1069"/>
      <c r="AE77" s="1069"/>
      <c r="AF77" s="1070"/>
      <c r="AG77" s="1069"/>
      <c r="AH77" s="1069"/>
      <c r="AI77" s="1636">
        <v>45</v>
      </c>
      <c r="AJ77" s="1070">
        <f>SUM(AG77:AI77)</f>
        <v>45</v>
      </c>
      <c r="AK77" s="1069"/>
      <c r="AL77" s="1069"/>
      <c r="AM77" s="1636"/>
      <c r="AN77" s="1070"/>
      <c r="AO77" s="1069"/>
      <c r="AP77" s="1069"/>
      <c r="AQ77" s="1636">
        <v>49</v>
      </c>
      <c r="AR77" s="1070">
        <f t="shared" si="32"/>
        <v>49</v>
      </c>
      <c r="AS77" s="1069"/>
      <c r="AT77" s="1069"/>
      <c r="AU77" s="1636">
        <v>58</v>
      </c>
      <c r="AV77" s="1070">
        <f>SUM(AS77:AU77)</f>
        <v>58</v>
      </c>
      <c r="AW77" s="1069"/>
      <c r="AX77" s="1069"/>
      <c r="AY77" s="1636">
        <v>54</v>
      </c>
      <c r="AZ77" s="1070">
        <f>SUM(AW77:AY77)</f>
        <v>54</v>
      </c>
      <c r="BA77" s="1069"/>
      <c r="BB77" s="1069"/>
      <c r="BC77" s="1636"/>
      <c r="BD77" s="1070">
        <f>SUM(BA77:BC77)</f>
        <v>0</v>
      </c>
      <c r="BE77" s="1069"/>
      <c r="BF77" s="1069"/>
      <c r="BG77" s="1636">
        <v>49</v>
      </c>
      <c r="BH77" s="1070">
        <f>SUM(BE77:BG77)</f>
        <v>49</v>
      </c>
      <c r="BI77" s="1069"/>
      <c r="BJ77" s="1069"/>
      <c r="BK77" s="1636"/>
      <c r="BL77" s="1070">
        <f t="shared" si="40"/>
        <v>0</v>
      </c>
    </row>
    <row r="78" spans="1:64" s="212" customFormat="1" ht="15" x14ac:dyDescent="0.25">
      <c r="A78" s="6192"/>
      <c r="B78" s="6205"/>
      <c r="C78" s="6174"/>
      <c r="D78" s="1062" t="s">
        <v>85</v>
      </c>
      <c r="E78" s="1631"/>
      <c r="F78" s="1630"/>
      <c r="G78" s="1630"/>
      <c r="H78" s="1070"/>
      <c r="I78" s="1069"/>
      <c r="J78" s="1069"/>
      <c r="K78" s="1069"/>
      <c r="L78" s="1070"/>
      <c r="M78" s="1069"/>
      <c r="N78" s="1069"/>
      <c r="O78" s="1069"/>
      <c r="P78" s="1070"/>
      <c r="Q78" s="1069"/>
      <c r="R78" s="1069"/>
      <c r="S78" s="1069"/>
      <c r="T78" s="1070"/>
      <c r="U78" s="1069"/>
      <c r="V78" s="1069"/>
      <c r="W78" s="1069"/>
      <c r="X78" s="1070"/>
      <c r="Y78" s="1069"/>
      <c r="Z78" s="1069"/>
      <c r="AA78" s="1069">
        <v>37</v>
      </c>
      <c r="AB78" s="1070">
        <f>SUM(Y78:AA78)</f>
        <v>37</v>
      </c>
      <c r="AC78" s="1069"/>
      <c r="AD78" s="1069">
        <v>52</v>
      </c>
      <c r="AE78" s="1069"/>
      <c r="AF78" s="1070">
        <f>SUM(AC78:AE78)</f>
        <v>52</v>
      </c>
      <c r="AG78" s="1069"/>
      <c r="AH78" s="1069"/>
      <c r="AI78" s="1638">
        <v>50</v>
      </c>
      <c r="AJ78" s="1070">
        <f>SUM(AG78:AI78)</f>
        <v>50</v>
      </c>
      <c r="AK78" s="1069">
        <v>3</v>
      </c>
      <c r="AL78" s="1069"/>
      <c r="AM78" s="1638"/>
      <c r="AN78" s="1070">
        <f>SUM(AK78:AM78)</f>
        <v>3</v>
      </c>
      <c r="AO78" s="1069"/>
      <c r="AP78" s="1069"/>
      <c r="AQ78" s="1638">
        <v>28</v>
      </c>
      <c r="AR78" s="1070">
        <f t="shared" si="32"/>
        <v>28</v>
      </c>
      <c r="AS78" s="1069"/>
      <c r="AT78" s="1069"/>
      <c r="AU78" s="1638">
        <v>7</v>
      </c>
      <c r="AV78" s="1070">
        <f>SUM(AS78:AU78)</f>
        <v>7</v>
      </c>
      <c r="AW78" s="1069"/>
      <c r="AX78" s="1069"/>
      <c r="AY78" s="1638">
        <v>23</v>
      </c>
      <c r="AZ78" s="1070">
        <f>SUM(AW78:AY78)</f>
        <v>23</v>
      </c>
      <c r="BA78" s="1069"/>
      <c r="BB78" s="1069"/>
      <c r="BC78" s="1638">
        <v>14</v>
      </c>
      <c r="BD78" s="1070">
        <f>SUM(BA78:BC78)</f>
        <v>14</v>
      </c>
      <c r="BE78" s="1069"/>
      <c r="BF78" s="1069"/>
      <c r="BG78" s="1638">
        <v>48</v>
      </c>
      <c r="BH78" s="1070">
        <f>SUM(BE78:BG78)</f>
        <v>48</v>
      </c>
      <c r="BI78" s="1069">
        <v>2</v>
      </c>
      <c r="BJ78" s="1069"/>
      <c r="BK78" s="1638"/>
      <c r="BL78" s="1070">
        <f t="shared" si="40"/>
        <v>2</v>
      </c>
    </row>
    <row r="79" spans="1:64" s="212" customFormat="1" ht="15" x14ac:dyDescent="0.25">
      <c r="A79" s="6192"/>
      <c r="B79" s="6205"/>
      <c r="C79" s="6174"/>
      <c r="D79" s="1062" t="s">
        <v>83</v>
      </c>
      <c r="E79" s="1631"/>
      <c r="F79" s="1630"/>
      <c r="G79" s="1630"/>
      <c r="H79" s="1070"/>
      <c r="I79" s="1069"/>
      <c r="J79" s="1069"/>
      <c r="K79" s="1069"/>
      <c r="L79" s="1070"/>
      <c r="M79" s="1069"/>
      <c r="N79" s="1069"/>
      <c r="O79" s="1069"/>
      <c r="P79" s="1070"/>
      <c r="Q79" s="1069"/>
      <c r="R79" s="1069"/>
      <c r="S79" s="1069"/>
      <c r="T79" s="1070"/>
      <c r="U79" s="1069"/>
      <c r="V79" s="1069"/>
      <c r="W79" s="1069"/>
      <c r="X79" s="1070"/>
      <c r="Y79" s="1069"/>
      <c r="Z79" s="1069"/>
      <c r="AA79" s="1069">
        <v>77</v>
      </c>
      <c r="AB79" s="1070">
        <f>SUM(Y79:AA79)</f>
        <v>77</v>
      </c>
      <c r="AC79" s="1069"/>
      <c r="AD79" s="1069"/>
      <c r="AE79" s="1069"/>
      <c r="AF79" s="1070"/>
      <c r="AG79" s="1069"/>
      <c r="AH79" s="1069"/>
      <c r="AI79" s="1638">
        <v>62</v>
      </c>
      <c r="AJ79" s="1070">
        <f>SUM(AG79:AI79)</f>
        <v>62</v>
      </c>
      <c r="AK79" s="1069"/>
      <c r="AL79" s="1069"/>
      <c r="AM79" s="1638">
        <v>93</v>
      </c>
      <c r="AN79" s="1070">
        <f>SUM(AK79:AM79)</f>
        <v>93</v>
      </c>
      <c r="AO79" s="1069"/>
      <c r="AP79" s="1069"/>
      <c r="AQ79" s="1638">
        <v>70</v>
      </c>
      <c r="AR79" s="1070">
        <f t="shared" si="32"/>
        <v>70</v>
      </c>
      <c r="AS79" s="1069"/>
      <c r="AT79" s="1069"/>
      <c r="AU79" s="1638">
        <v>74</v>
      </c>
      <c r="AV79" s="1070">
        <f>SUM(AS79:AU79)</f>
        <v>74</v>
      </c>
      <c r="AW79" s="1069"/>
      <c r="AX79" s="1069"/>
      <c r="AY79" s="1638">
        <v>93</v>
      </c>
      <c r="AZ79" s="1070">
        <f>SUM(AW79:AY79)</f>
        <v>93</v>
      </c>
      <c r="BA79" s="1069"/>
      <c r="BB79" s="1069"/>
      <c r="BC79" s="1638">
        <v>99</v>
      </c>
      <c r="BD79" s="1070">
        <f>SUM(BA79:BC79)</f>
        <v>99</v>
      </c>
      <c r="BE79" s="1069"/>
      <c r="BF79" s="1069"/>
      <c r="BG79" s="1638">
        <v>22</v>
      </c>
      <c r="BH79" s="1070">
        <f>SUM(BE79:BG79)</f>
        <v>22</v>
      </c>
      <c r="BI79" s="1069"/>
      <c r="BJ79" s="1069"/>
      <c r="BK79" s="1638">
        <v>51</v>
      </c>
      <c r="BL79" s="1070">
        <f t="shared" si="40"/>
        <v>51</v>
      </c>
    </row>
    <row r="80" spans="1:64" s="212" customFormat="1" ht="15" x14ac:dyDescent="0.25">
      <c r="A80" s="6192"/>
      <c r="B80" s="6205"/>
      <c r="C80" s="6174"/>
      <c r="D80" s="1062" t="s">
        <v>86</v>
      </c>
      <c r="E80" s="1631"/>
      <c r="F80" s="1630"/>
      <c r="G80" s="1630"/>
      <c r="H80" s="1070"/>
      <c r="I80" s="1069"/>
      <c r="J80" s="1069"/>
      <c r="K80" s="1069"/>
      <c r="L80" s="1070"/>
      <c r="M80" s="1069"/>
      <c r="N80" s="1069"/>
      <c r="O80" s="1069"/>
      <c r="P80" s="1070"/>
      <c r="Q80" s="1069"/>
      <c r="R80" s="1069"/>
      <c r="S80" s="1069"/>
      <c r="T80" s="1070"/>
      <c r="U80" s="1069"/>
      <c r="V80" s="1069"/>
      <c r="W80" s="1069"/>
      <c r="X80" s="1070"/>
      <c r="Y80" s="1069"/>
      <c r="Z80" s="1069"/>
      <c r="AA80" s="1069">
        <v>45</v>
      </c>
      <c r="AB80" s="1070">
        <f>SUM(Y80:AA80)</f>
        <v>45</v>
      </c>
      <c r="AC80" s="1069">
        <v>1</v>
      </c>
      <c r="AD80" s="1069"/>
      <c r="AE80" s="1069"/>
      <c r="AF80" s="1070">
        <f>SUM(AC80:AE80)</f>
        <v>1</v>
      </c>
      <c r="AG80" s="1069"/>
      <c r="AH80" s="1069"/>
      <c r="AI80" s="1638">
        <v>39</v>
      </c>
      <c r="AJ80" s="1070">
        <f>SUM(AG80:AI80)</f>
        <v>39</v>
      </c>
      <c r="AK80" s="1069">
        <v>15</v>
      </c>
      <c r="AL80" s="1069"/>
      <c r="AM80" s="1638"/>
      <c r="AN80" s="1070">
        <f>SUM(AK80:AM80)</f>
        <v>15</v>
      </c>
      <c r="AO80" s="1069"/>
      <c r="AP80" s="1069"/>
      <c r="AQ80" s="1638">
        <v>51</v>
      </c>
      <c r="AR80" s="1070">
        <f t="shared" si="32"/>
        <v>51</v>
      </c>
      <c r="AS80" s="1069"/>
      <c r="AT80" s="1069"/>
      <c r="AU80" s="1638"/>
      <c r="AV80" s="1070"/>
      <c r="AW80" s="1069"/>
      <c r="AX80" s="1069"/>
      <c r="AY80" s="1638">
        <v>39</v>
      </c>
      <c r="AZ80" s="1070">
        <f>SUM(AW80:AY80)</f>
        <v>39</v>
      </c>
      <c r="BA80" s="1069"/>
      <c r="BB80" s="1069"/>
      <c r="BC80" s="1638"/>
      <c r="BD80" s="1070">
        <f>SUM(BA80:BC80)</f>
        <v>0</v>
      </c>
      <c r="BE80" s="1069"/>
      <c r="BF80" s="1069"/>
      <c r="BG80" s="1638">
        <v>19</v>
      </c>
      <c r="BH80" s="1070">
        <f>SUM(BE80:BG80)</f>
        <v>19</v>
      </c>
      <c r="BI80" s="1069"/>
      <c r="BJ80" s="1069"/>
      <c r="BK80" s="1638"/>
      <c r="BL80" s="1070">
        <f t="shared" si="40"/>
        <v>0</v>
      </c>
    </row>
    <row r="81" spans="1:64" s="212" customFormat="1" ht="15" x14ac:dyDescent="0.2">
      <c r="A81" s="6192"/>
      <c r="B81" s="6205"/>
      <c r="C81" s="6174"/>
      <c r="D81" s="1062" t="s">
        <v>143</v>
      </c>
      <c r="E81" s="1631"/>
      <c r="F81" s="1630"/>
      <c r="G81" s="1630"/>
      <c r="H81" s="1070"/>
      <c r="I81" s="1069"/>
      <c r="J81" s="1069"/>
      <c r="K81" s="1069"/>
      <c r="L81" s="1070"/>
      <c r="M81" s="1069"/>
      <c r="N81" s="1069"/>
      <c r="O81" s="1069"/>
      <c r="P81" s="1070"/>
      <c r="Q81" s="1069"/>
      <c r="R81" s="1069"/>
      <c r="S81" s="1069"/>
      <c r="T81" s="1070"/>
      <c r="U81" s="1069"/>
      <c r="V81" s="1069"/>
      <c r="W81" s="1069"/>
      <c r="X81" s="1070"/>
      <c r="Y81" s="1069"/>
      <c r="Z81" s="1069"/>
      <c r="AA81" s="1069"/>
      <c r="AB81" s="1070"/>
      <c r="AC81" s="1069"/>
      <c r="AD81" s="1069"/>
      <c r="AE81" s="1069"/>
      <c r="AF81" s="1070"/>
      <c r="AG81" s="1069"/>
      <c r="AH81" s="1069"/>
      <c r="AI81" s="1069"/>
      <c r="AJ81" s="1070"/>
      <c r="AK81" s="1069"/>
      <c r="AL81" s="1069"/>
      <c r="AM81" s="1069"/>
      <c r="AN81" s="1070"/>
      <c r="AO81" s="1069"/>
      <c r="AP81" s="1069"/>
      <c r="AQ81" s="1069"/>
      <c r="AR81" s="1070"/>
      <c r="AS81" s="1069">
        <v>32</v>
      </c>
      <c r="AT81" s="1069"/>
      <c r="AU81" s="1069"/>
      <c r="AV81" s="1070">
        <f>SUM(AS81:AU81)</f>
        <v>32</v>
      </c>
      <c r="AW81" s="1069">
        <v>6</v>
      </c>
      <c r="AX81" s="1069"/>
      <c r="AY81" s="1069"/>
      <c r="AZ81" s="1070">
        <f>SUM(AW81:AY81)</f>
        <v>6</v>
      </c>
      <c r="BA81" s="1069">
        <v>15</v>
      </c>
      <c r="BB81" s="1069"/>
      <c r="BC81" s="1069"/>
      <c r="BD81" s="1070">
        <f>SUM(BA81:BC81)</f>
        <v>15</v>
      </c>
      <c r="BE81" s="1069">
        <v>14</v>
      </c>
      <c r="BF81" s="1069"/>
      <c r="BG81" s="1069"/>
      <c r="BH81" s="1070">
        <f>SUM(BE81:BG81)</f>
        <v>14</v>
      </c>
      <c r="BI81" s="5244">
        <v>15</v>
      </c>
      <c r="BJ81" s="1069"/>
      <c r="BK81" s="1069"/>
      <c r="BL81" s="1070">
        <f t="shared" si="40"/>
        <v>15</v>
      </c>
    </row>
    <row r="82" spans="1:64" s="212" customFormat="1" ht="15" x14ac:dyDescent="0.2">
      <c r="A82" s="6192"/>
      <c r="B82" s="6205"/>
      <c r="C82" s="6174"/>
      <c r="D82" s="1078" t="s">
        <v>1580</v>
      </c>
      <c r="E82" s="1632"/>
      <c r="F82" s="1633"/>
      <c r="G82" s="1633"/>
      <c r="H82" s="1077"/>
      <c r="I82" s="1076"/>
      <c r="J82" s="1076"/>
      <c r="K82" s="1076"/>
      <c r="L82" s="1077"/>
      <c r="M82" s="1076"/>
      <c r="N82" s="1076"/>
      <c r="O82" s="1076"/>
      <c r="P82" s="1077"/>
      <c r="Q82" s="1076"/>
      <c r="R82" s="1076"/>
      <c r="S82" s="1076"/>
      <c r="T82" s="1077"/>
      <c r="U82" s="1076"/>
      <c r="V82" s="1076"/>
      <c r="W82" s="1076"/>
      <c r="X82" s="1077"/>
      <c r="Y82" s="1076"/>
      <c r="Z82" s="1076"/>
      <c r="AA82" s="1076"/>
      <c r="AB82" s="1077"/>
      <c r="AC82" s="1076"/>
      <c r="AD82" s="1076"/>
      <c r="AE82" s="1076"/>
      <c r="AF82" s="1077"/>
      <c r="AG82" s="1076"/>
      <c r="AH82" s="1076"/>
      <c r="AI82" s="1076"/>
      <c r="AJ82" s="1077"/>
      <c r="AK82" s="1076"/>
      <c r="AL82" s="1076"/>
      <c r="AM82" s="1076"/>
      <c r="AN82" s="1077"/>
      <c r="AO82" s="1076"/>
      <c r="AP82" s="1076"/>
      <c r="AQ82" s="1076"/>
      <c r="AR82" s="1077"/>
      <c r="AS82" s="1076"/>
      <c r="AT82" s="1076"/>
      <c r="AU82" s="1076"/>
      <c r="AV82" s="1077"/>
      <c r="AW82" s="1076"/>
      <c r="AX82" s="1076"/>
      <c r="AY82" s="1076"/>
      <c r="AZ82" s="1077"/>
      <c r="BA82" s="1076"/>
      <c r="BB82" s="1076"/>
      <c r="BC82" s="1076"/>
      <c r="BD82" s="1077"/>
      <c r="BE82" s="1076"/>
      <c r="BF82" s="1076"/>
      <c r="BG82" s="1076"/>
      <c r="BH82" s="1077"/>
      <c r="BI82" s="1076">
        <v>8</v>
      </c>
      <c r="BJ82" s="1076"/>
      <c r="BK82" s="1076"/>
      <c r="BL82" s="1070">
        <f t="shared" si="40"/>
        <v>8</v>
      </c>
    </row>
    <row r="83" spans="1:64" s="212" customFormat="1" ht="15" x14ac:dyDescent="0.2">
      <c r="A83" s="6192"/>
      <c r="B83" s="6205"/>
      <c r="C83" s="6175"/>
      <c r="D83" s="1078" t="s">
        <v>1634</v>
      </c>
      <c r="E83" s="1632"/>
      <c r="F83" s="1633"/>
      <c r="G83" s="1633"/>
      <c r="H83" s="1077"/>
      <c r="I83" s="1076"/>
      <c r="J83" s="1076"/>
      <c r="K83" s="1076"/>
      <c r="L83" s="1077"/>
      <c r="M83" s="1076"/>
      <c r="N83" s="1076"/>
      <c r="O83" s="1076"/>
      <c r="P83" s="1077"/>
      <c r="Q83" s="1076"/>
      <c r="R83" s="1076"/>
      <c r="S83" s="1076"/>
      <c r="T83" s="1077"/>
      <c r="U83" s="1076"/>
      <c r="V83" s="1076"/>
      <c r="W83" s="1076"/>
      <c r="X83" s="1077"/>
      <c r="Y83" s="1076"/>
      <c r="Z83" s="1076"/>
      <c r="AA83" s="1076"/>
      <c r="AB83" s="1077"/>
      <c r="AC83" s="1076"/>
      <c r="AD83" s="1076"/>
      <c r="AE83" s="1076"/>
      <c r="AF83" s="1077"/>
      <c r="AG83" s="1076"/>
      <c r="AH83" s="1076"/>
      <c r="AI83" s="1076"/>
      <c r="AJ83" s="1077"/>
      <c r="AK83" s="1076"/>
      <c r="AL83" s="1076"/>
      <c r="AM83" s="1076"/>
      <c r="AN83" s="1077"/>
      <c r="AO83" s="1076"/>
      <c r="AP83" s="1076"/>
      <c r="AQ83" s="1076"/>
      <c r="AR83" s="1077"/>
      <c r="AS83" s="1076"/>
      <c r="AT83" s="1076"/>
      <c r="AU83" s="1076"/>
      <c r="AV83" s="1077"/>
      <c r="AW83" s="1076"/>
      <c r="AX83" s="1076"/>
      <c r="AY83" s="1076"/>
      <c r="AZ83" s="1077"/>
      <c r="BA83" s="1076"/>
      <c r="BB83" s="1076"/>
      <c r="BC83" s="1076"/>
      <c r="BD83" s="1077"/>
      <c r="BE83" s="1076"/>
      <c r="BF83" s="1076"/>
      <c r="BG83" s="1076"/>
      <c r="BH83" s="1077"/>
      <c r="BI83" s="1076"/>
      <c r="BJ83" s="1076"/>
      <c r="BK83" s="1076">
        <v>7</v>
      </c>
      <c r="BL83" s="1070">
        <f t="shared" si="40"/>
        <v>7</v>
      </c>
    </row>
    <row r="84" spans="1:64" s="212" customFormat="1" ht="15" x14ac:dyDescent="0.2">
      <c r="A84" s="6192"/>
      <c r="B84" s="6205"/>
      <c r="C84" s="5153"/>
      <c r="D84" s="1063" t="s">
        <v>160</v>
      </c>
      <c r="E84" s="1625">
        <f>SUM(E69:E81)</f>
        <v>4</v>
      </c>
      <c r="F84" s="1626">
        <f>SUM(F69:F81)</f>
        <v>0</v>
      </c>
      <c r="G84" s="1626">
        <f t="shared" ref="G84:AR84" si="41">SUM(G69:G81)</f>
        <v>320</v>
      </c>
      <c r="H84" s="1627">
        <f t="shared" si="41"/>
        <v>324</v>
      </c>
      <c r="I84" s="1625">
        <f t="shared" si="41"/>
        <v>29</v>
      </c>
      <c r="J84" s="1626">
        <f t="shared" si="41"/>
        <v>33</v>
      </c>
      <c r="K84" s="1626">
        <f t="shared" si="41"/>
        <v>369</v>
      </c>
      <c r="L84" s="1628">
        <f t="shared" si="41"/>
        <v>431</v>
      </c>
      <c r="M84" s="1625">
        <f t="shared" si="41"/>
        <v>160</v>
      </c>
      <c r="N84" s="1626">
        <f t="shared" si="41"/>
        <v>0</v>
      </c>
      <c r="O84" s="1626">
        <f t="shared" si="41"/>
        <v>124</v>
      </c>
      <c r="P84" s="1628">
        <f t="shared" si="41"/>
        <v>284</v>
      </c>
      <c r="Q84" s="1625">
        <f t="shared" si="41"/>
        <v>211</v>
      </c>
      <c r="R84" s="1626">
        <f t="shared" si="41"/>
        <v>0</v>
      </c>
      <c r="S84" s="1626">
        <f t="shared" si="41"/>
        <v>245</v>
      </c>
      <c r="T84" s="1628">
        <f t="shared" si="41"/>
        <v>456</v>
      </c>
      <c r="U84" s="1625">
        <f t="shared" si="41"/>
        <v>279</v>
      </c>
      <c r="V84" s="1626">
        <f t="shared" si="41"/>
        <v>0</v>
      </c>
      <c r="W84" s="1626">
        <f t="shared" si="41"/>
        <v>234</v>
      </c>
      <c r="X84" s="1628">
        <f t="shared" si="41"/>
        <v>513</v>
      </c>
      <c r="Y84" s="1625">
        <f t="shared" si="41"/>
        <v>103</v>
      </c>
      <c r="Z84" s="1626">
        <f t="shared" si="41"/>
        <v>0</v>
      </c>
      <c r="AA84" s="1626">
        <f t="shared" si="41"/>
        <v>554</v>
      </c>
      <c r="AB84" s="1628">
        <f t="shared" si="41"/>
        <v>657</v>
      </c>
      <c r="AC84" s="1625">
        <f t="shared" si="41"/>
        <v>1</v>
      </c>
      <c r="AD84" s="1626">
        <f t="shared" si="41"/>
        <v>260</v>
      </c>
      <c r="AE84" s="1626">
        <f t="shared" si="41"/>
        <v>220</v>
      </c>
      <c r="AF84" s="1628">
        <f t="shared" si="41"/>
        <v>481</v>
      </c>
      <c r="AG84" s="1625">
        <f t="shared" si="41"/>
        <v>0</v>
      </c>
      <c r="AH84" s="1626">
        <f t="shared" si="41"/>
        <v>0</v>
      </c>
      <c r="AI84" s="1626">
        <f t="shared" si="41"/>
        <v>617</v>
      </c>
      <c r="AJ84" s="1628">
        <f t="shared" si="41"/>
        <v>617</v>
      </c>
      <c r="AK84" s="1625">
        <f t="shared" si="41"/>
        <v>18</v>
      </c>
      <c r="AL84" s="1626">
        <f t="shared" si="41"/>
        <v>0</v>
      </c>
      <c r="AM84" s="1626">
        <f t="shared" si="41"/>
        <v>245</v>
      </c>
      <c r="AN84" s="1628">
        <f t="shared" si="41"/>
        <v>263</v>
      </c>
      <c r="AO84" s="1625">
        <f t="shared" si="41"/>
        <v>0</v>
      </c>
      <c r="AP84" s="1626">
        <f t="shared" si="41"/>
        <v>0</v>
      </c>
      <c r="AQ84" s="1626">
        <f t="shared" si="41"/>
        <v>631</v>
      </c>
      <c r="AR84" s="1628">
        <f t="shared" si="41"/>
        <v>631</v>
      </c>
      <c r="AS84" s="1625">
        <f t="shared" ref="AS84:AZ84" si="42">SUM(AS69:AS81)</f>
        <v>32</v>
      </c>
      <c r="AT84" s="1626">
        <f t="shared" si="42"/>
        <v>0</v>
      </c>
      <c r="AU84" s="1626">
        <f t="shared" si="42"/>
        <v>139</v>
      </c>
      <c r="AV84" s="1628">
        <f t="shared" si="42"/>
        <v>171</v>
      </c>
      <c r="AW84" s="1625">
        <f t="shared" si="42"/>
        <v>19</v>
      </c>
      <c r="AX84" s="1626">
        <f t="shared" si="42"/>
        <v>44</v>
      </c>
      <c r="AY84" s="1626">
        <f t="shared" si="42"/>
        <v>663</v>
      </c>
      <c r="AZ84" s="1628">
        <f t="shared" si="42"/>
        <v>726</v>
      </c>
      <c r="BA84" s="1625">
        <f t="shared" ref="BA84:BH84" si="43">SUM(BA69:BA81)</f>
        <v>78</v>
      </c>
      <c r="BB84" s="1626">
        <f t="shared" si="43"/>
        <v>1</v>
      </c>
      <c r="BC84" s="1626">
        <f t="shared" si="43"/>
        <v>237</v>
      </c>
      <c r="BD84" s="1628">
        <f t="shared" si="43"/>
        <v>316</v>
      </c>
      <c r="BE84" s="1625">
        <f t="shared" si="43"/>
        <v>25</v>
      </c>
      <c r="BF84" s="1626">
        <f t="shared" si="43"/>
        <v>0</v>
      </c>
      <c r="BG84" s="1626">
        <f t="shared" si="43"/>
        <v>292</v>
      </c>
      <c r="BH84" s="1628">
        <f t="shared" si="43"/>
        <v>317</v>
      </c>
      <c r="BI84" s="1625">
        <f>SUM(BI69:BI83)</f>
        <v>56</v>
      </c>
      <c r="BJ84" s="1626">
        <f t="shared" ref="BJ84:BL84" si="44">SUM(BJ69:BJ83)</f>
        <v>86</v>
      </c>
      <c r="BK84" s="1626">
        <f t="shared" si="44"/>
        <v>144</v>
      </c>
      <c r="BL84" s="1628">
        <f t="shared" si="44"/>
        <v>286</v>
      </c>
    </row>
    <row r="85" spans="1:64" s="212" customFormat="1" ht="15" x14ac:dyDescent="0.25">
      <c r="A85" s="6192"/>
      <c r="B85" s="6203" t="s">
        <v>11</v>
      </c>
      <c r="C85" s="6177" t="s">
        <v>522</v>
      </c>
      <c r="D85" s="1079" t="s">
        <v>56</v>
      </c>
      <c r="E85" s="1634">
        <v>1</v>
      </c>
      <c r="F85" s="1635">
        <v>2</v>
      </c>
      <c r="G85" s="1635">
        <v>5</v>
      </c>
      <c r="H85" s="1067">
        <f>SUM(E85:G85)</f>
        <v>8</v>
      </c>
      <c r="I85" s="1066">
        <v>2</v>
      </c>
      <c r="J85" s="1066">
        <v>3</v>
      </c>
      <c r="K85" s="1066">
        <v>7</v>
      </c>
      <c r="L85" s="1067">
        <f>SUM(I85:K85)</f>
        <v>12</v>
      </c>
      <c r="M85" s="1066">
        <v>2</v>
      </c>
      <c r="N85" s="1066">
        <v>6</v>
      </c>
      <c r="O85" s="1066">
        <v>8</v>
      </c>
      <c r="P85" s="1067">
        <f>SUM(M85:O85)</f>
        <v>16</v>
      </c>
      <c r="Q85" s="1066">
        <v>13</v>
      </c>
      <c r="R85" s="1066">
        <v>7</v>
      </c>
      <c r="S85" s="1066">
        <v>11</v>
      </c>
      <c r="T85" s="1067">
        <f>SUM(Q85:S85)</f>
        <v>31</v>
      </c>
      <c r="U85" s="1066">
        <v>7</v>
      </c>
      <c r="V85" s="1066">
        <v>2</v>
      </c>
      <c r="W85" s="1066">
        <v>15</v>
      </c>
      <c r="X85" s="1067">
        <f>SUM(U85:W85)</f>
        <v>24</v>
      </c>
      <c r="Y85" s="1066">
        <v>2</v>
      </c>
      <c r="Z85" s="1066">
        <v>9</v>
      </c>
      <c r="AA85" s="1066">
        <v>9</v>
      </c>
      <c r="AB85" s="1067">
        <f>SUM(Y85:AA85)</f>
        <v>20</v>
      </c>
      <c r="AC85" s="1066">
        <v>3</v>
      </c>
      <c r="AD85" s="1066">
        <v>7</v>
      </c>
      <c r="AE85" s="1066">
        <v>11</v>
      </c>
      <c r="AF85" s="1067">
        <f>SUM(AC85:AE85)</f>
        <v>21</v>
      </c>
      <c r="AG85" s="1641">
        <v>7</v>
      </c>
      <c r="AH85" s="1642">
        <v>11</v>
      </c>
      <c r="AI85" s="1642">
        <v>38</v>
      </c>
      <c r="AJ85" s="1067">
        <f>SUM(AG85:AI85)</f>
        <v>56</v>
      </c>
      <c r="AK85" s="1641">
        <v>12</v>
      </c>
      <c r="AL85" s="1642">
        <v>6</v>
      </c>
      <c r="AM85" s="1642">
        <v>16</v>
      </c>
      <c r="AN85" s="1067">
        <f>SUM(AK85:AM85)</f>
        <v>34</v>
      </c>
      <c r="AO85" s="1641">
        <v>10</v>
      </c>
      <c r="AP85" s="1642">
        <v>15</v>
      </c>
      <c r="AQ85" s="1642">
        <v>8</v>
      </c>
      <c r="AR85" s="1067">
        <f t="shared" ref="AR85:AR94" si="45">SUM(AO85:AQ85)</f>
        <v>33</v>
      </c>
      <c r="AS85" s="1641">
        <v>6</v>
      </c>
      <c r="AT85" s="1642">
        <v>6</v>
      </c>
      <c r="AU85" s="1642">
        <v>7</v>
      </c>
      <c r="AV85" s="1067">
        <f t="shared" ref="AV85:AV94" si="46">SUM(AS85:AU85)</f>
        <v>19</v>
      </c>
      <c r="AW85" s="1641">
        <v>5</v>
      </c>
      <c r="AX85" s="1642">
        <v>9</v>
      </c>
      <c r="AY85" s="1642">
        <v>8</v>
      </c>
      <c r="AZ85" s="1067">
        <f t="shared" ref="AZ85:AZ94" si="47">SUM(AW85:AY85)</f>
        <v>22</v>
      </c>
      <c r="BA85" s="1641">
        <v>9</v>
      </c>
      <c r="BB85" s="1642">
        <v>6</v>
      </c>
      <c r="BC85" s="1642">
        <v>11</v>
      </c>
      <c r="BD85" s="1067">
        <f t="shared" ref="BD85:BD94" si="48">SUM(BA85:BC85)</f>
        <v>26</v>
      </c>
      <c r="BE85" s="1641">
        <v>6</v>
      </c>
      <c r="BF85" s="1642">
        <v>3</v>
      </c>
      <c r="BG85" s="1642">
        <v>8</v>
      </c>
      <c r="BH85" s="1067">
        <f t="shared" ref="BH85:BH94" si="49">SUM(BE85:BG85)</f>
        <v>17</v>
      </c>
      <c r="BI85" s="1641">
        <v>1</v>
      </c>
      <c r="BJ85" s="1642">
        <v>8</v>
      </c>
      <c r="BK85" s="1642">
        <v>4</v>
      </c>
      <c r="BL85" s="1067">
        <f t="shared" ref="BL85:BL94" si="50">SUM(BI85:BK85)</f>
        <v>13</v>
      </c>
    </row>
    <row r="86" spans="1:64" s="212" customFormat="1" ht="15" x14ac:dyDescent="0.25">
      <c r="A86" s="6192"/>
      <c r="B86" s="6204"/>
      <c r="C86" s="6174"/>
      <c r="D86" s="1078" t="s">
        <v>528</v>
      </c>
      <c r="E86" s="1631"/>
      <c r="F86" s="1630"/>
      <c r="G86" s="1630">
        <v>18</v>
      </c>
      <c r="H86" s="1070">
        <f>SUM(E86:G86)</f>
        <v>18</v>
      </c>
      <c r="I86" s="1069"/>
      <c r="J86" s="1069"/>
      <c r="K86" s="1069">
        <v>19</v>
      </c>
      <c r="L86" s="1070">
        <f>SUM(I86:K86)</f>
        <v>19</v>
      </c>
      <c r="M86" s="1069"/>
      <c r="N86" s="1069"/>
      <c r="O86" s="1069">
        <v>11</v>
      </c>
      <c r="P86" s="1070">
        <f>SUM(M86:O86)</f>
        <v>11</v>
      </c>
      <c r="Q86" s="1069"/>
      <c r="R86" s="1069"/>
      <c r="S86" s="1069"/>
      <c r="T86" s="1070"/>
      <c r="U86" s="1069"/>
      <c r="V86" s="1069">
        <v>19</v>
      </c>
      <c r="W86" s="1069"/>
      <c r="X86" s="1070">
        <f>SUM(U86:W86)</f>
        <v>19</v>
      </c>
      <c r="Y86" s="1069"/>
      <c r="Z86" s="1069"/>
      <c r="AA86" s="1069">
        <v>22</v>
      </c>
      <c r="AB86" s="1070">
        <f>SUM(Y86:AA86)</f>
        <v>22</v>
      </c>
      <c r="AC86" s="1069"/>
      <c r="AD86" s="1069"/>
      <c r="AE86" s="1069">
        <v>7</v>
      </c>
      <c r="AF86" s="1070">
        <f>SUM(AC86:AE86)</f>
        <v>7</v>
      </c>
      <c r="AG86" s="1069"/>
      <c r="AH86" s="1069"/>
      <c r="AI86" s="1636">
        <v>17</v>
      </c>
      <c r="AJ86" s="1070">
        <f>SUM(AG86:AI86)</f>
        <v>17</v>
      </c>
      <c r="AK86" s="1069"/>
      <c r="AL86" s="1069"/>
      <c r="AM86" s="1636">
        <v>13</v>
      </c>
      <c r="AN86" s="1070">
        <f>SUM(AK86:AM86)</f>
        <v>13</v>
      </c>
      <c r="AO86" s="1069"/>
      <c r="AP86" s="1069"/>
      <c r="AQ86" s="1636">
        <v>12</v>
      </c>
      <c r="AR86" s="1070">
        <f t="shared" si="45"/>
        <v>12</v>
      </c>
      <c r="AS86" s="1069"/>
      <c r="AT86" s="1069"/>
      <c r="AU86" s="1636">
        <v>9</v>
      </c>
      <c r="AV86" s="1070">
        <f t="shared" si="46"/>
        <v>9</v>
      </c>
      <c r="AW86" s="1069"/>
      <c r="AX86" s="1069"/>
      <c r="AY86" s="1636">
        <v>4</v>
      </c>
      <c r="AZ86" s="1070">
        <f t="shared" si="47"/>
        <v>4</v>
      </c>
      <c r="BA86" s="1069"/>
      <c r="BB86" s="1069"/>
      <c r="BC86" s="1636">
        <v>1</v>
      </c>
      <c r="BD86" s="1070">
        <f t="shared" si="48"/>
        <v>1</v>
      </c>
      <c r="BE86" s="1069"/>
      <c r="BF86" s="1069"/>
      <c r="BG86" s="1636">
        <v>6</v>
      </c>
      <c r="BH86" s="1070">
        <f t="shared" si="49"/>
        <v>6</v>
      </c>
      <c r="BI86" s="1069"/>
      <c r="BJ86" s="1069"/>
      <c r="BK86" s="1636">
        <v>7</v>
      </c>
      <c r="BL86" s="1070">
        <f t="shared" si="50"/>
        <v>7</v>
      </c>
    </row>
    <row r="87" spans="1:64" s="212" customFormat="1" ht="15" x14ac:dyDescent="0.25">
      <c r="A87" s="6192"/>
      <c r="B87" s="6204"/>
      <c r="C87" s="6175"/>
      <c r="D87" s="1078" t="s">
        <v>1466</v>
      </c>
      <c r="E87" s="1631"/>
      <c r="F87" s="1630"/>
      <c r="G87" s="1630"/>
      <c r="H87" s="1070"/>
      <c r="I87" s="1069"/>
      <c r="J87" s="1069"/>
      <c r="K87" s="1069"/>
      <c r="L87" s="1070"/>
      <c r="M87" s="1069"/>
      <c r="N87" s="1069"/>
      <c r="O87" s="1069"/>
      <c r="P87" s="1070"/>
      <c r="Q87" s="1069"/>
      <c r="R87" s="1069"/>
      <c r="S87" s="1069"/>
      <c r="T87" s="1070"/>
      <c r="U87" s="1069"/>
      <c r="V87" s="1069"/>
      <c r="W87" s="1069"/>
      <c r="X87" s="1070"/>
      <c r="Y87" s="1069"/>
      <c r="Z87" s="1069"/>
      <c r="AA87" s="1069"/>
      <c r="AB87" s="1070"/>
      <c r="AC87" s="1069"/>
      <c r="AD87" s="1069"/>
      <c r="AE87" s="1069"/>
      <c r="AF87" s="1070"/>
      <c r="AG87" s="1069"/>
      <c r="AH87" s="1069"/>
      <c r="AI87" s="1636"/>
      <c r="AJ87" s="1070"/>
      <c r="AK87" s="1069"/>
      <c r="AL87" s="1069"/>
      <c r="AM87" s="1636"/>
      <c r="AN87" s="1070"/>
      <c r="AO87" s="1069"/>
      <c r="AP87" s="1069"/>
      <c r="AQ87" s="1636"/>
      <c r="AR87" s="1070"/>
      <c r="AS87" s="1069"/>
      <c r="AT87" s="1069"/>
      <c r="AU87" s="1636"/>
      <c r="AV87" s="1070"/>
      <c r="AW87" s="1069"/>
      <c r="AX87" s="1069"/>
      <c r="AY87" s="1636"/>
      <c r="AZ87" s="1070"/>
      <c r="BA87" s="1069"/>
      <c r="BB87" s="1069"/>
      <c r="BC87" s="1636"/>
      <c r="BD87" s="1070"/>
      <c r="BE87" s="1069"/>
      <c r="BF87" s="1069"/>
      <c r="BG87" s="1636">
        <v>1</v>
      </c>
      <c r="BH87" s="1070">
        <f t="shared" si="49"/>
        <v>1</v>
      </c>
      <c r="BI87" s="1069"/>
      <c r="BJ87" s="1069"/>
      <c r="BK87" s="1636"/>
      <c r="BL87" s="1070">
        <f t="shared" si="50"/>
        <v>0</v>
      </c>
    </row>
    <row r="88" spans="1:64" s="212" customFormat="1" ht="15" x14ac:dyDescent="0.25">
      <c r="A88" s="6192"/>
      <c r="B88" s="6204"/>
      <c r="C88" s="6176" t="s">
        <v>521</v>
      </c>
      <c r="D88" s="1074" t="s">
        <v>551</v>
      </c>
      <c r="E88" s="1631">
        <v>3</v>
      </c>
      <c r="F88" s="1630"/>
      <c r="G88" s="1630">
        <v>45</v>
      </c>
      <c r="H88" s="1070">
        <f>SUM(E88:G88)</f>
        <v>48</v>
      </c>
      <c r="I88" s="1069">
        <v>7</v>
      </c>
      <c r="J88" s="1069"/>
      <c r="K88" s="1069">
        <v>39</v>
      </c>
      <c r="L88" s="1070">
        <f>SUM(I88:K88)</f>
        <v>46</v>
      </c>
      <c r="M88" s="1069">
        <v>12</v>
      </c>
      <c r="N88" s="1069"/>
      <c r="O88" s="1069">
        <v>37</v>
      </c>
      <c r="P88" s="1070">
        <f>SUM(M88:O88)</f>
        <v>49</v>
      </c>
      <c r="Q88" s="1069">
        <v>13</v>
      </c>
      <c r="R88" s="1069"/>
      <c r="S88" s="1069">
        <v>49</v>
      </c>
      <c r="T88" s="1070">
        <f>SUM(Q88:S88)</f>
        <v>62</v>
      </c>
      <c r="U88" s="1069">
        <v>8</v>
      </c>
      <c r="V88" s="1069"/>
      <c r="W88" s="1069">
        <v>59</v>
      </c>
      <c r="X88" s="1070">
        <f>SUM(U88:W88)</f>
        <v>67</v>
      </c>
      <c r="Y88" s="1069"/>
      <c r="Z88" s="1069"/>
      <c r="AA88" s="1069">
        <v>51</v>
      </c>
      <c r="AB88" s="1070">
        <f>SUM(Y88:AA88)</f>
        <v>51</v>
      </c>
      <c r="AC88" s="1069"/>
      <c r="AD88" s="1069"/>
      <c r="AE88" s="1069">
        <v>46</v>
      </c>
      <c r="AF88" s="1070">
        <f>SUM(AC88:AE88)</f>
        <v>46</v>
      </c>
      <c r="AG88" s="1636"/>
      <c r="AH88" s="1636"/>
      <c r="AI88" s="1636">
        <v>69</v>
      </c>
      <c r="AJ88" s="1070">
        <f>SUM(AG88:AI88)</f>
        <v>69</v>
      </c>
      <c r="AK88" s="1636"/>
      <c r="AL88" s="1636"/>
      <c r="AM88" s="1636">
        <v>65</v>
      </c>
      <c r="AN88" s="1070">
        <f>SUM(AK88:AM88)</f>
        <v>65</v>
      </c>
      <c r="AO88" s="1636"/>
      <c r="AP88" s="1636"/>
      <c r="AQ88" s="1636">
        <v>49</v>
      </c>
      <c r="AR88" s="1070">
        <f t="shared" si="45"/>
        <v>49</v>
      </c>
      <c r="AS88" s="1636"/>
      <c r="AT88" s="1636"/>
      <c r="AU88" s="1636"/>
      <c r="AV88" s="1070"/>
      <c r="AW88" s="1636"/>
      <c r="AX88" s="1636"/>
      <c r="AY88" s="1636">
        <v>68</v>
      </c>
      <c r="AZ88" s="1070">
        <f t="shared" si="47"/>
        <v>68</v>
      </c>
      <c r="BA88" s="1636"/>
      <c r="BB88" s="1636"/>
      <c r="BC88" s="1636">
        <v>48</v>
      </c>
      <c r="BD88" s="1070">
        <f t="shared" si="48"/>
        <v>48</v>
      </c>
      <c r="BE88" s="1636"/>
      <c r="BF88" s="1636"/>
      <c r="BG88" s="1636">
        <v>53</v>
      </c>
      <c r="BH88" s="1070">
        <f t="shared" si="49"/>
        <v>53</v>
      </c>
      <c r="BI88" s="1636"/>
      <c r="BJ88" s="1636"/>
      <c r="BK88" s="1636">
        <v>36</v>
      </c>
      <c r="BL88" s="1070">
        <f t="shared" si="50"/>
        <v>36</v>
      </c>
    </row>
    <row r="89" spans="1:64" s="212" customFormat="1" ht="15" x14ac:dyDescent="0.2">
      <c r="A89" s="6192"/>
      <c r="B89" s="6204"/>
      <c r="C89" s="6174"/>
      <c r="D89" s="1078" t="s">
        <v>384</v>
      </c>
      <c r="E89" s="1631"/>
      <c r="F89" s="1630"/>
      <c r="G89" s="1630"/>
      <c r="H89" s="1070"/>
      <c r="I89" s="1069"/>
      <c r="J89" s="1069"/>
      <c r="K89" s="1069"/>
      <c r="L89" s="1070"/>
      <c r="M89" s="1069"/>
      <c r="N89" s="1069"/>
      <c r="O89" s="1069"/>
      <c r="P89" s="1070"/>
      <c r="Q89" s="1069"/>
      <c r="R89" s="1069"/>
      <c r="S89" s="1069"/>
      <c r="T89" s="1070"/>
      <c r="U89" s="1069"/>
      <c r="V89" s="1069"/>
      <c r="W89" s="1069"/>
      <c r="X89" s="1070"/>
      <c r="Y89" s="1069"/>
      <c r="Z89" s="1069"/>
      <c r="AA89" s="1069"/>
      <c r="AB89" s="1070"/>
      <c r="AC89" s="1069"/>
      <c r="AD89" s="1069"/>
      <c r="AE89" s="1069"/>
      <c r="AF89" s="1070"/>
      <c r="AG89" s="1069"/>
      <c r="AH89" s="1069"/>
      <c r="AI89" s="1069"/>
      <c r="AJ89" s="1070"/>
      <c r="AK89" s="1069"/>
      <c r="AL89" s="1069"/>
      <c r="AM89" s="1069"/>
      <c r="AN89" s="1070"/>
      <c r="AO89" s="1069">
        <v>18</v>
      </c>
      <c r="AP89" s="1069"/>
      <c r="AQ89" s="1069">
        <v>12</v>
      </c>
      <c r="AR89" s="1070">
        <f t="shared" si="45"/>
        <v>30</v>
      </c>
      <c r="AS89" s="1069"/>
      <c r="AT89" s="1069"/>
      <c r="AU89" s="1069">
        <v>25</v>
      </c>
      <c r="AV89" s="1070">
        <f t="shared" si="46"/>
        <v>25</v>
      </c>
      <c r="AW89" s="1069"/>
      <c r="AX89" s="1069"/>
      <c r="AY89" s="1069">
        <v>28</v>
      </c>
      <c r="AZ89" s="1070">
        <f t="shared" si="47"/>
        <v>28</v>
      </c>
      <c r="BA89" s="1069"/>
      <c r="BB89" s="1069"/>
      <c r="BC89" s="1069">
        <v>18</v>
      </c>
      <c r="BD89" s="1070">
        <f t="shared" si="48"/>
        <v>18</v>
      </c>
      <c r="BE89" s="1069"/>
      <c r="BF89" s="1069"/>
      <c r="BG89" s="1069">
        <v>23</v>
      </c>
      <c r="BH89" s="1070">
        <f t="shared" si="49"/>
        <v>23</v>
      </c>
      <c r="BI89" s="1069"/>
      <c r="BJ89" s="1069"/>
      <c r="BK89" s="1069">
        <v>11</v>
      </c>
      <c r="BL89" s="1070">
        <f t="shared" si="50"/>
        <v>11</v>
      </c>
    </row>
    <row r="90" spans="1:64" s="212" customFormat="1" ht="15" x14ac:dyDescent="0.25">
      <c r="A90" s="6192"/>
      <c r="B90" s="6204"/>
      <c r="C90" s="6174"/>
      <c r="D90" s="1074" t="s">
        <v>552</v>
      </c>
      <c r="E90" s="1631">
        <v>33</v>
      </c>
      <c r="F90" s="1630"/>
      <c r="G90" s="1630"/>
      <c r="H90" s="1070">
        <f>SUM(E90:G90)</f>
        <v>33</v>
      </c>
      <c r="I90" s="1069">
        <v>20</v>
      </c>
      <c r="J90" s="1069"/>
      <c r="K90" s="1069"/>
      <c r="L90" s="1070">
        <f>SUM(I90:K90)</f>
        <v>20</v>
      </c>
      <c r="M90" s="1069">
        <v>31</v>
      </c>
      <c r="N90" s="1069"/>
      <c r="O90" s="1069">
        <v>22</v>
      </c>
      <c r="P90" s="1070">
        <f>SUM(M90:O90)</f>
        <v>53</v>
      </c>
      <c r="Q90" s="1069">
        <v>2</v>
      </c>
      <c r="R90" s="1069"/>
      <c r="S90" s="1069">
        <v>19</v>
      </c>
      <c r="T90" s="1070">
        <f>SUM(Q90:S90)</f>
        <v>21</v>
      </c>
      <c r="U90" s="1069">
        <v>7</v>
      </c>
      <c r="V90" s="1069"/>
      <c r="W90" s="1069">
        <v>42</v>
      </c>
      <c r="X90" s="1070">
        <f>SUM(U90:W90)</f>
        <v>49</v>
      </c>
      <c r="Y90" s="1069"/>
      <c r="Z90" s="1069"/>
      <c r="AA90" s="1069">
        <v>31</v>
      </c>
      <c r="AB90" s="1070">
        <f>SUM(Y90:AA90)</f>
        <v>31</v>
      </c>
      <c r="AC90" s="1069"/>
      <c r="AD90" s="1069"/>
      <c r="AE90" s="1069">
        <v>39</v>
      </c>
      <c r="AF90" s="1070">
        <f>SUM(AC90:AE90)</f>
        <v>39</v>
      </c>
      <c r="AG90" s="1069"/>
      <c r="AH90" s="1069"/>
      <c r="AI90" s="1638">
        <v>54</v>
      </c>
      <c r="AJ90" s="1070">
        <f>SUM(AG90:AI90)</f>
        <v>54</v>
      </c>
      <c r="AK90" s="1069"/>
      <c r="AL90" s="1069"/>
      <c r="AM90" s="1638">
        <v>64</v>
      </c>
      <c r="AN90" s="1070">
        <f>SUM(AK90:AM90)</f>
        <v>64</v>
      </c>
      <c r="AO90" s="1069"/>
      <c r="AP90" s="1069"/>
      <c r="AQ90" s="1638">
        <v>45</v>
      </c>
      <c r="AR90" s="1070">
        <f t="shared" si="45"/>
        <v>45</v>
      </c>
      <c r="AS90" s="1069"/>
      <c r="AT90" s="1069"/>
      <c r="AU90" s="1638"/>
      <c r="AV90" s="1070"/>
      <c r="AW90" s="1069"/>
      <c r="AX90" s="1069"/>
      <c r="AY90" s="1638">
        <v>48</v>
      </c>
      <c r="AZ90" s="1070">
        <f t="shared" si="47"/>
        <v>48</v>
      </c>
      <c r="BA90" s="1069"/>
      <c r="BB90" s="1069"/>
      <c r="BC90" s="1638">
        <v>16</v>
      </c>
      <c r="BD90" s="1070">
        <f t="shared" si="48"/>
        <v>16</v>
      </c>
      <c r="BE90" s="1069"/>
      <c r="BF90" s="1069"/>
      <c r="BG90" s="1638">
        <v>58</v>
      </c>
      <c r="BH90" s="1070">
        <f t="shared" si="49"/>
        <v>58</v>
      </c>
      <c r="BI90" s="1069"/>
      <c r="BJ90" s="1069"/>
      <c r="BK90" s="1638">
        <v>25</v>
      </c>
      <c r="BL90" s="1070">
        <f t="shared" si="50"/>
        <v>25</v>
      </c>
    </row>
    <row r="91" spans="1:64" s="212" customFormat="1" ht="15" x14ac:dyDescent="0.25">
      <c r="A91" s="6192"/>
      <c r="B91" s="6204"/>
      <c r="C91" s="6175"/>
      <c r="D91" s="1078" t="s">
        <v>87</v>
      </c>
      <c r="E91" s="1631"/>
      <c r="F91" s="1630"/>
      <c r="G91" s="1630">
        <v>19</v>
      </c>
      <c r="H91" s="1070">
        <f>SUM(E91:G91)</f>
        <v>19</v>
      </c>
      <c r="I91" s="1069"/>
      <c r="J91" s="1069"/>
      <c r="K91" s="1069">
        <v>23</v>
      </c>
      <c r="L91" s="1070">
        <f>SUM(I91:K91)</f>
        <v>23</v>
      </c>
      <c r="M91" s="1069"/>
      <c r="N91" s="1069"/>
      <c r="O91" s="1069">
        <v>21</v>
      </c>
      <c r="P91" s="1070">
        <f>SUM(M91:O91)</f>
        <v>21</v>
      </c>
      <c r="Q91" s="1069"/>
      <c r="R91" s="1069"/>
      <c r="S91" s="1069">
        <v>25</v>
      </c>
      <c r="T91" s="1070">
        <f>SUM(Q91:S91)</f>
        <v>25</v>
      </c>
      <c r="U91" s="1069"/>
      <c r="V91" s="1069"/>
      <c r="W91" s="1069">
        <v>26</v>
      </c>
      <c r="X91" s="1070">
        <f>SUM(U91:W91)</f>
        <v>26</v>
      </c>
      <c r="Y91" s="1069"/>
      <c r="Z91" s="1069"/>
      <c r="AA91" s="1069">
        <v>42</v>
      </c>
      <c r="AB91" s="1070">
        <f>SUM(Y91:AA91)</f>
        <v>42</v>
      </c>
      <c r="AC91" s="1069"/>
      <c r="AD91" s="1069"/>
      <c r="AE91" s="1069">
        <v>35</v>
      </c>
      <c r="AF91" s="1070">
        <f>SUM(AC91:AE91)</f>
        <v>35</v>
      </c>
      <c r="AG91" s="1069"/>
      <c r="AH91" s="1069"/>
      <c r="AI91" s="1638">
        <v>43</v>
      </c>
      <c r="AJ91" s="1070">
        <f>SUM(AG91:AI91)</f>
        <v>43</v>
      </c>
      <c r="AK91" s="1069"/>
      <c r="AL91" s="1069"/>
      <c r="AM91" s="1638">
        <v>38</v>
      </c>
      <c r="AN91" s="1070">
        <f>SUM(AK91:AM91)</f>
        <v>38</v>
      </c>
      <c r="AO91" s="1069"/>
      <c r="AP91" s="1069"/>
      <c r="AQ91" s="1638">
        <v>30</v>
      </c>
      <c r="AR91" s="1070">
        <f t="shared" si="45"/>
        <v>30</v>
      </c>
      <c r="AS91" s="1069"/>
      <c r="AT91" s="1069"/>
      <c r="AU91" s="1638">
        <v>42</v>
      </c>
      <c r="AV91" s="1070">
        <f t="shared" si="46"/>
        <v>42</v>
      </c>
      <c r="AW91" s="1069"/>
      <c r="AX91" s="1069"/>
      <c r="AY91" s="1638">
        <v>32</v>
      </c>
      <c r="AZ91" s="1070">
        <f t="shared" si="47"/>
        <v>32</v>
      </c>
      <c r="BA91" s="1069"/>
      <c r="BB91" s="1069"/>
      <c r="BC91" s="1638">
        <v>37</v>
      </c>
      <c r="BD91" s="1070">
        <f t="shared" si="48"/>
        <v>37</v>
      </c>
      <c r="BE91" s="1069"/>
      <c r="BF91" s="1069"/>
      <c r="BG91" s="1638">
        <v>34</v>
      </c>
      <c r="BH91" s="1070">
        <f t="shared" si="49"/>
        <v>34</v>
      </c>
      <c r="BI91" s="1069"/>
      <c r="BJ91" s="1069"/>
      <c r="BK91" s="1638">
        <v>22</v>
      </c>
      <c r="BL91" s="1070">
        <f t="shared" si="50"/>
        <v>22</v>
      </c>
    </row>
    <row r="92" spans="1:64" s="212" customFormat="1" ht="15" x14ac:dyDescent="0.25">
      <c r="A92" s="6192"/>
      <c r="B92" s="6204"/>
      <c r="C92" s="6173" t="s">
        <v>520</v>
      </c>
      <c r="D92" s="1074" t="s">
        <v>551</v>
      </c>
      <c r="E92" s="1631"/>
      <c r="F92" s="1630"/>
      <c r="G92" s="1630"/>
      <c r="H92" s="1070"/>
      <c r="I92" s="1069"/>
      <c r="J92" s="1069"/>
      <c r="K92" s="1069"/>
      <c r="L92" s="1070"/>
      <c r="M92" s="1069"/>
      <c r="N92" s="1069"/>
      <c r="O92" s="1069"/>
      <c r="P92" s="1070"/>
      <c r="Q92" s="1069"/>
      <c r="R92" s="1069"/>
      <c r="S92" s="1069"/>
      <c r="T92" s="1070"/>
      <c r="U92" s="1069"/>
      <c r="V92" s="1069"/>
      <c r="W92" s="1069"/>
      <c r="X92" s="1070"/>
      <c r="Y92" s="1069">
        <v>3</v>
      </c>
      <c r="Z92" s="1069"/>
      <c r="AA92" s="1069">
        <v>11</v>
      </c>
      <c r="AB92" s="1070">
        <f>SUM(Y92:AA92)</f>
        <v>14</v>
      </c>
      <c r="AC92" s="1069">
        <v>8</v>
      </c>
      <c r="AD92" s="1069"/>
      <c r="AE92" s="1069">
        <v>9</v>
      </c>
      <c r="AF92" s="1070">
        <f>SUM(AC92:AE92)</f>
        <v>17</v>
      </c>
      <c r="AG92" s="1636">
        <v>22</v>
      </c>
      <c r="AH92" s="1636"/>
      <c r="AI92" s="1638">
        <v>14</v>
      </c>
      <c r="AJ92" s="1070">
        <f>SUM(AG92:AI92)</f>
        <v>36</v>
      </c>
      <c r="AK92" s="1636">
        <v>8</v>
      </c>
      <c r="AL92" s="1636"/>
      <c r="AM92" s="1638">
        <v>17</v>
      </c>
      <c r="AN92" s="1070">
        <f>SUM(AK92:AM92)</f>
        <v>25</v>
      </c>
      <c r="AO92" s="1636">
        <v>12</v>
      </c>
      <c r="AP92" s="1636"/>
      <c r="AQ92" s="1638">
        <v>11</v>
      </c>
      <c r="AR92" s="1070">
        <f t="shared" si="45"/>
        <v>23</v>
      </c>
      <c r="AS92" s="1636">
        <v>10</v>
      </c>
      <c r="AT92" s="1636"/>
      <c r="AU92" s="1638">
        <v>77</v>
      </c>
      <c r="AV92" s="1070">
        <f t="shared" si="46"/>
        <v>87</v>
      </c>
      <c r="AW92" s="1636">
        <v>12</v>
      </c>
      <c r="AX92" s="1636"/>
      <c r="AY92" s="1638">
        <v>13</v>
      </c>
      <c r="AZ92" s="1070">
        <f t="shared" si="47"/>
        <v>25</v>
      </c>
      <c r="BA92" s="1636">
        <v>9</v>
      </c>
      <c r="BB92" s="1636"/>
      <c r="BC92" s="1638">
        <v>23</v>
      </c>
      <c r="BD92" s="1070">
        <f t="shared" si="48"/>
        <v>32</v>
      </c>
      <c r="BE92" s="1636">
        <v>12</v>
      </c>
      <c r="BF92" s="1636"/>
      <c r="BG92" s="1638">
        <v>22</v>
      </c>
      <c r="BH92" s="1070">
        <f t="shared" si="49"/>
        <v>34</v>
      </c>
      <c r="BI92" s="1636">
        <v>13</v>
      </c>
      <c r="BJ92" s="1636"/>
      <c r="BK92" s="5245">
        <v>14</v>
      </c>
      <c r="BL92" s="1070">
        <f t="shared" si="50"/>
        <v>27</v>
      </c>
    </row>
    <row r="93" spans="1:64" s="212" customFormat="1" ht="15" x14ac:dyDescent="0.25">
      <c r="A93" s="6192"/>
      <c r="B93" s="6204"/>
      <c r="C93" s="6174"/>
      <c r="D93" s="1074" t="s">
        <v>552</v>
      </c>
      <c r="E93" s="1631"/>
      <c r="F93" s="1630"/>
      <c r="G93" s="1630"/>
      <c r="H93" s="1070"/>
      <c r="I93" s="1069"/>
      <c r="J93" s="1069"/>
      <c r="K93" s="1069"/>
      <c r="L93" s="1070"/>
      <c r="M93" s="1069"/>
      <c r="N93" s="1069"/>
      <c r="O93" s="1069"/>
      <c r="P93" s="1070"/>
      <c r="Q93" s="1069"/>
      <c r="R93" s="1069"/>
      <c r="S93" s="1069"/>
      <c r="T93" s="1070"/>
      <c r="U93" s="1069"/>
      <c r="V93" s="1069"/>
      <c r="W93" s="1069"/>
      <c r="X93" s="1070"/>
      <c r="Y93" s="1069">
        <v>5</v>
      </c>
      <c r="Z93" s="1069"/>
      <c r="AA93" s="1069">
        <v>7</v>
      </c>
      <c r="AB93" s="1070">
        <f>SUM(Y93:AA93)</f>
        <v>12</v>
      </c>
      <c r="AC93" s="1069">
        <v>5</v>
      </c>
      <c r="AD93" s="1069"/>
      <c r="AE93" s="1069">
        <v>5</v>
      </c>
      <c r="AF93" s="1070">
        <f>SUM(AC93:AE93)</f>
        <v>10</v>
      </c>
      <c r="AG93" s="1636">
        <v>6</v>
      </c>
      <c r="AH93" s="1636"/>
      <c r="AI93" s="1638">
        <v>8</v>
      </c>
      <c r="AJ93" s="1070">
        <f>SUM(AG93:AI93)</f>
        <v>14</v>
      </c>
      <c r="AK93" s="1636">
        <v>9</v>
      </c>
      <c r="AL93" s="1636"/>
      <c r="AM93" s="1638">
        <v>14</v>
      </c>
      <c r="AN93" s="1070">
        <f>SUM(AK93:AM93)</f>
        <v>23</v>
      </c>
      <c r="AO93" s="1636">
        <v>12</v>
      </c>
      <c r="AP93" s="1636"/>
      <c r="AQ93" s="1638">
        <v>4</v>
      </c>
      <c r="AR93" s="1070">
        <f t="shared" si="45"/>
        <v>16</v>
      </c>
      <c r="AS93" s="1636">
        <v>15</v>
      </c>
      <c r="AT93" s="1636"/>
      <c r="AU93" s="1638">
        <v>40</v>
      </c>
      <c r="AV93" s="1070">
        <f t="shared" si="46"/>
        <v>55</v>
      </c>
      <c r="AW93" s="1636">
        <v>7</v>
      </c>
      <c r="AX93" s="1636"/>
      <c r="AY93" s="1638">
        <v>6</v>
      </c>
      <c r="AZ93" s="1070">
        <f t="shared" si="47"/>
        <v>13</v>
      </c>
      <c r="BA93" s="1636">
        <v>4</v>
      </c>
      <c r="BB93" s="1636"/>
      <c r="BC93" s="1638">
        <v>5</v>
      </c>
      <c r="BD93" s="1070">
        <f t="shared" si="48"/>
        <v>9</v>
      </c>
      <c r="BE93" s="1636">
        <v>6</v>
      </c>
      <c r="BF93" s="1636"/>
      <c r="BG93" s="1638">
        <v>11</v>
      </c>
      <c r="BH93" s="1070">
        <f t="shared" si="49"/>
        <v>17</v>
      </c>
      <c r="BI93" s="1636">
        <v>11</v>
      </c>
      <c r="BJ93" s="1636"/>
      <c r="BK93" s="1638">
        <v>6</v>
      </c>
      <c r="BL93" s="1070">
        <f t="shared" si="50"/>
        <v>17</v>
      </c>
    </row>
    <row r="94" spans="1:64" s="212" customFormat="1" ht="15" x14ac:dyDescent="0.25">
      <c r="A94" s="6192"/>
      <c r="B94" s="6204"/>
      <c r="C94" s="6175"/>
      <c r="D94" s="1080" t="s">
        <v>359</v>
      </c>
      <c r="E94" s="1632">
        <v>8</v>
      </c>
      <c r="F94" s="1633"/>
      <c r="G94" s="1633">
        <v>10</v>
      </c>
      <c r="H94" s="1077">
        <f>SUM(E94:G94)</f>
        <v>18</v>
      </c>
      <c r="I94" s="1076">
        <v>10</v>
      </c>
      <c r="J94" s="1076"/>
      <c r="K94" s="1076">
        <v>15</v>
      </c>
      <c r="L94" s="1077">
        <f>SUM(I94:K94)</f>
        <v>25</v>
      </c>
      <c r="M94" s="1076">
        <v>19</v>
      </c>
      <c r="N94" s="1076"/>
      <c r="O94" s="1076">
        <v>10</v>
      </c>
      <c r="P94" s="1077">
        <f>SUM(M94:O94)</f>
        <v>29</v>
      </c>
      <c r="Q94" s="1076">
        <v>5</v>
      </c>
      <c r="R94" s="1076"/>
      <c r="S94" s="1076">
        <v>8</v>
      </c>
      <c r="T94" s="1077">
        <f>SUM(Q94:S94)</f>
        <v>13</v>
      </c>
      <c r="U94" s="1076">
        <v>4</v>
      </c>
      <c r="V94" s="1076"/>
      <c r="W94" s="1076">
        <v>19</v>
      </c>
      <c r="X94" s="1077">
        <f>SUM(U94:W94)</f>
        <v>23</v>
      </c>
      <c r="Y94" s="1076">
        <v>9</v>
      </c>
      <c r="Z94" s="1076"/>
      <c r="AA94" s="1076">
        <v>19</v>
      </c>
      <c r="AB94" s="1077">
        <f>SUM(Y94:AA94)</f>
        <v>28</v>
      </c>
      <c r="AC94" s="1076"/>
      <c r="AD94" s="1076"/>
      <c r="AE94" s="1076">
        <v>32</v>
      </c>
      <c r="AF94" s="1077">
        <f>SUM(AC94:AE94)</f>
        <v>32</v>
      </c>
      <c r="AG94" s="1643">
        <v>15</v>
      </c>
      <c r="AH94" s="1644"/>
      <c r="AI94" s="1639">
        <v>22</v>
      </c>
      <c r="AJ94" s="1077">
        <f>SUM(AG94:AI94)</f>
        <v>37</v>
      </c>
      <c r="AK94" s="1643">
        <v>10</v>
      </c>
      <c r="AL94" s="1644"/>
      <c r="AM94" s="1639">
        <v>19</v>
      </c>
      <c r="AN94" s="1077">
        <f>SUM(AK94:AM94)</f>
        <v>29</v>
      </c>
      <c r="AO94" s="1643">
        <v>15</v>
      </c>
      <c r="AP94" s="1644"/>
      <c r="AQ94" s="1639">
        <v>15</v>
      </c>
      <c r="AR94" s="1077">
        <f t="shared" si="45"/>
        <v>30</v>
      </c>
      <c r="AS94" s="1643">
        <v>7</v>
      </c>
      <c r="AT94" s="1644"/>
      <c r="AU94" s="1639">
        <v>13</v>
      </c>
      <c r="AV94" s="1077">
        <f t="shared" si="46"/>
        <v>20</v>
      </c>
      <c r="AW94" s="1643">
        <v>19</v>
      </c>
      <c r="AX94" s="1644"/>
      <c r="AY94" s="1639">
        <v>17</v>
      </c>
      <c r="AZ94" s="1077">
        <f t="shared" si="47"/>
        <v>36</v>
      </c>
      <c r="BA94" s="1643">
        <v>11</v>
      </c>
      <c r="BB94" s="1644"/>
      <c r="BC94" s="1639">
        <v>22</v>
      </c>
      <c r="BD94" s="1077">
        <f t="shared" si="48"/>
        <v>33</v>
      </c>
      <c r="BE94" s="1643">
        <v>27</v>
      </c>
      <c r="BF94" s="1644"/>
      <c r="BG94" s="1639">
        <v>26</v>
      </c>
      <c r="BH94" s="1077">
        <f t="shared" si="49"/>
        <v>53</v>
      </c>
      <c r="BI94" s="1643">
        <v>18</v>
      </c>
      <c r="BJ94" s="1644"/>
      <c r="BK94" s="1639">
        <v>19</v>
      </c>
      <c r="BL94" s="1077">
        <f t="shared" si="50"/>
        <v>37</v>
      </c>
    </row>
    <row r="95" spans="1:64" s="212" customFormat="1" ht="15" x14ac:dyDescent="0.2">
      <c r="A95" s="6192"/>
      <c r="B95" s="6206"/>
      <c r="C95" s="5153"/>
      <c r="D95" s="1063" t="s">
        <v>160</v>
      </c>
      <c r="E95" s="1625">
        <f>SUM(E85:E94)</f>
        <v>45</v>
      </c>
      <c r="F95" s="1626">
        <f>SUM(F85:F94)</f>
        <v>2</v>
      </c>
      <c r="G95" s="1626">
        <f t="shared" ref="G95:AR95" si="51">SUM(G85:G94)</f>
        <v>97</v>
      </c>
      <c r="H95" s="1627">
        <f t="shared" si="51"/>
        <v>144</v>
      </c>
      <c r="I95" s="1625">
        <f t="shared" si="51"/>
        <v>39</v>
      </c>
      <c r="J95" s="1626">
        <f t="shared" si="51"/>
        <v>3</v>
      </c>
      <c r="K95" s="1626">
        <f t="shared" si="51"/>
        <v>103</v>
      </c>
      <c r="L95" s="1628">
        <f t="shared" si="51"/>
        <v>145</v>
      </c>
      <c r="M95" s="1625">
        <f t="shared" si="51"/>
        <v>64</v>
      </c>
      <c r="N95" s="1626">
        <f t="shared" si="51"/>
        <v>6</v>
      </c>
      <c r="O95" s="1626">
        <f t="shared" si="51"/>
        <v>109</v>
      </c>
      <c r="P95" s="1628">
        <f t="shared" si="51"/>
        <v>179</v>
      </c>
      <c r="Q95" s="1625">
        <f t="shared" si="51"/>
        <v>33</v>
      </c>
      <c r="R95" s="1626">
        <f t="shared" si="51"/>
        <v>7</v>
      </c>
      <c r="S95" s="1626">
        <f t="shared" si="51"/>
        <v>112</v>
      </c>
      <c r="T95" s="1628">
        <f t="shared" si="51"/>
        <v>152</v>
      </c>
      <c r="U95" s="1625">
        <f t="shared" si="51"/>
        <v>26</v>
      </c>
      <c r="V95" s="1626">
        <f t="shared" si="51"/>
        <v>21</v>
      </c>
      <c r="W95" s="1626">
        <f t="shared" si="51"/>
        <v>161</v>
      </c>
      <c r="X95" s="1628">
        <f t="shared" si="51"/>
        <v>208</v>
      </c>
      <c r="Y95" s="1625">
        <f t="shared" si="51"/>
        <v>19</v>
      </c>
      <c r="Z95" s="1626">
        <f t="shared" si="51"/>
        <v>9</v>
      </c>
      <c r="AA95" s="1626">
        <f t="shared" si="51"/>
        <v>192</v>
      </c>
      <c r="AB95" s="1628">
        <f t="shared" si="51"/>
        <v>220</v>
      </c>
      <c r="AC95" s="1625">
        <f t="shared" si="51"/>
        <v>16</v>
      </c>
      <c r="AD95" s="1626">
        <f t="shared" si="51"/>
        <v>7</v>
      </c>
      <c r="AE95" s="1626">
        <f t="shared" si="51"/>
        <v>184</v>
      </c>
      <c r="AF95" s="1628">
        <f t="shared" si="51"/>
        <v>207</v>
      </c>
      <c r="AG95" s="1625">
        <f t="shared" si="51"/>
        <v>50</v>
      </c>
      <c r="AH95" s="1626">
        <f t="shared" si="51"/>
        <v>11</v>
      </c>
      <c r="AI95" s="1626">
        <f t="shared" si="51"/>
        <v>265</v>
      </c>
      <c r="AJ95" s="1628">
        <f t="shared" si="51"/>
        <v>326</v>
      </c>
      <c r="AK95" s="1625">
        <f t="shared" si="51"/>
        <v>39</v>
      </c>
      <c r="AL95" s="1626">
        <f t="shared" si="51"/>
        <v>6</v>
      </c>
      <c r="AM95" s="1626">
        <f t="shared" si="51"/>
        <v>246</v>
      </c>
      <c r="AN95" s="1628">
        <f t="shared" si="51"/>
        <v>291</v>
      </c>
      <c r="AO95" s="1625">
        <f t="shared" si="51"/>
        <v>67</v>
      </c>
      <c r="AP95" s="1626">
        <f t="shared" si="51"/>
        <v>15</v>
      </c>
      <c r="AQ95" s="1626">
        <f t="shared" si="51"/>
        <v>186</v>
      </c>
      <c r="AR95" s="1628">
        <f t="shared" si="51"/>
        <v>268</v>
      </c>
      <c r="AS95" s="1625">
        <f t="shared" ref="AS95:AZ95" si="52">SUM(AS85:AS94)</f>
        <v>38</v>
      </c>
      <c r="AT95" s="1626">
        <f t="shared" si="52"/>
        <v>6</v>
      </c>
      <c r="AU95" s="1626">
        <f t="shared" si="52"/>
        <v>213</v>
      </c>
      <c r="AV95" s="1628">
        <f t="shared" si="52"/>
        <v>257</v>
      </c>
      <c r="AW95" s="1625">
        <f t="shared" si="52"/>
        <v>43</v>
      </c>
      <c r="AX95" s="1626">
        <f t="shared" si="52"/>
        <v>9</v>
      </c>
      <c r="AY95" s="1626">
        <f t="shared" si="52"/>
        <v>224</v>
      </c>
      <c r="AZ95" s="1628">
        <f t="shared" si="52"/>
        <v>276</v>
      </c>
      <c r="BA95" s="1625">
        <f t="shared" ref="BA95:BH95" si="53">SUM(BA85:BA94)</f>
        <v>33</v>
      </c>
      <c r="BB95" s="1626">
        <f t="shared" si="53"/>
        <v>6</v>
      </c>
      <c r="BC95" s="1626">
        <f t="shared" si="53"/>
        <v>181</v>
      </c>
      <c r="BD95" s="1628">
        <f t="shared" si="53"/>
        <v>220</v>
      </c>
      <c r="BE95" s="1625">
        <f t="shared" si="53"/>
        <v>51</v>
      </c>
      <c r="BF95" s="1626">
        <f t="shared" si="53"/>
        <v>3</v>
      </c>
      <c r="BG95" s="1626">
        <f t="shared" si="53"/>
        <v>242</v>
      </c>
      <c r="BH95" s="1628">
        <f t="shared" si="53"/>
        <v>296</v>
      </c>
      <c r="BI95" s="1625">
        <f>SUM(BI85:BI94)</f>
        <v>43</v>
      </c>
      <c r="BJ95" s="1626">
        <f t="shared" ref="BJ95:BL95" si="54">SUM(BJ85:BJ94)</f>
        <v>8</v>
      </c>
      <c r="BK95" s="1626">
        <f t="shared" si="54"/>
        <v>144</v>
      </c>
      <c r="BL95" s="1628">
        <f t="shared" si="54"/>
        <v>195</v>
      </c>
    </row>
    <row r="96" spans="1:64" s="212" customFormat="1" ht="15" x14ac:dyDescent="0.2">
      <c r="A96" s="6193"/>
      <c r="B96" s="4699"/>
      <c r="C96" s="3688"/>
      <c r="D96" s="3547" t="s">
        <v>524</v>
      </c>
      <c r="E96" s="3669">
        <f t="shared" ref="E96:AV96" si="55">SUM(E95,E84,E68)</f>
        <v>71</v>
      </c>
      <c r="F96" s="3670">
        <f t="shared" si="55"/>
        <v>32</v>
      </c>
      <c r="G96" s="3670">
        <f t="shared" si="55"/>
        <v>485</v>
      </c>
      <c r="H96" s="3671">
        <f t="shared" si="55"/>
        <v>588</v>
      </c>
      <c r="I96" s="3672">
        <f t="shared" si="55"/>
        <v>109</v>
      </c>
      <c r="J96" s="3673">
        <f t="shared" si="55"/>
        <v>68</v>
      </c>
      <c r="K96" s="3673">
        <f t="shared" si="55"/>
        <v>551</v>
      </c>
      <c r="L96" s="3674">
        <f t="shared" si="55"/>
        <v>728</v>
      </c>
      <c r="M96" s="3672">
        <f t="shared" si="55"/>
        <v>277</v>
      </c>
      <c r="N96" s="3673">
        <f t="shared" si="55"/>
        <v>45</v>
      </c>
      <c r="O96" s="3673">
        <f t="shared" si="55"/>
        <v>331</v>
      </c>
      <c r="P96" s="3674">
        <f t="shared" si="55"/>
        <v>653</v>
      </c>
      <c r="Q96" s="3672">
        <f t="shared" si="55"/>
        <v>269</v>
      </c>
      <c r="R96" s="3673">
        <f t="shared" si="55"/>
        <v>44</v>
      </c>
      <c r="S96" s="3673">
        <f t="shared" si="55"/>
        <v>468</v>
      </c>
      <c r="T96" s="3674">
        <f t="shared" si="55"/>
        <v>781</v>
      </c>
      <c r="U96" s="3672">
        <f t="shared" si="55"/>
        <v>335</v>
      </c>
      <c r="V96" s="3673">
        <f t="shared" si="55"/>
        <v>41</v>
      </c>
      <c r="W96" s="3673">
        <f t="shared" si="55"/>
        <v>475</v>
      </c>
      <c r="X96" s="3674">
        <f t="shared" si="55"/>
        <v>851</v>
      </c>
      <c r="Y96" s="3675">
        <f t="shared" si="55"/>
        <v>155</v>
      </c>
      <c r="Z96" s="3675">
        <f t="shared" si="55"/>
        <v>28</v>
      </c>
      <c r="AA96" s="3675">
        <f t="shared" si="55"/>
        <v>853</v>
      </c>
      <c r="AB96" s="3675">
        <f t="shared" si="55"/>
        <v>1036</v>
      </c>
      <c r="AC96" s="3672">
        <f t="shared" si="55"/>
        <v>32</v>
      </c>
      <c r="AD96" s="3673">
        <f t="shared" si="55"/>
        <v>282</v>
      </c>
      <c r="AE96" s="3673">
        <f t="shared" si="55"/>
        <v>545</v>
      </c>
      <c r="AF96" s="3674">
        <f t="shared" si="55"/>
        <v>859</v>
      </c>
      <c r="AG96" s="3675">
        <f t="shared" si="55"/>
        <v>92</v>
      </c>
      <c r="AH96" s="3675">
        <f t="shared" si="55"/>
        <v>27</v>
      </c>
      <c r="AI96" s="3675">
        <f t="shared" si="55"/>
        <v>998</v>
      </c>
      <c r="AJ96" s="3675">
        <f t="shared" si="55"/>
        <v>1117</v>
      </c>
      <c r="AK96" s="3672">
        <f t="shared" si="55"/>
        <v>95</v>
      </c>
      <c r="AL96" s="3673">
        <f t="shared" si="55"/>
        <v>31</v>
      </c>
      <c r="AM96" s="3673">
        <f t="shared" si="55"/>
        <v>635</v>
      </c>
      <c r="AN96" s="3674">
        <f t="shared" si="55"/>
        <v>761</v>
      </c>
      <c r="AO96" s="3672">
        <f t="shared" si="55"/>
        <v>117</v>
      </c>
      <c r="AP96" s="3673">
        <f t="shared" si="55"/>
        <v>29</v>
      </c>
      <c r="AQ96" s="3673">
        <f t="shared" si="55"/>
        <v>981</v>
      </c>
      <c r="AR96" s="3674">
        <f t="shared" si="55"/>
        <v>1127</v>
      </c>
      <c r="AS96" s="3672">
        <f t="shared" si="55"/>
        <v>148</v>
      </c>
      <c r="AT96" s="3673">
        <f t="shared" si="55"/>
        <v>28</v>
      </c>
      <c r="AU96" s="3673">
        <f t="shared" si="55"/>
        <v>499</v>
      </c>
      <c r="AV96" s="3674">
        <f t="shared" si="55"/>
        <v>675</v>
      </c>
      <c r="AW96" s="3672">
        <f t="shared" ref="AW96:BB96" si="56">SUM(AW95,AW84,AW68)</f>
        <v>130</v>
      </c>
      <c r="AX96" s="3673">
        <f t="shared" si="56"/>
        <v>74</v>
      </c>
      <c r="AY96" s="3673">
        <f t="shared" si="56"/>
        <v>1025</v>
      </c>
      <c r="AZ96" s="3674">
        <f t="shared" si="56"/>
        <v>1229</v>
      </c>
      <c r="BA96" s="3672">
        <f t="shared" si="56"/>
        <v>190</v>
      </c>
      <c r="BB96" s="3673">
        <f t="shared" si="56"/>
        <v>49</v>
      </c>
      <c r="BC96" s="3673">
        <f>SUM(BC68,BC84,BC95)</f>
        <v>554</v>
      </c>
      <c r="BD96" s="3674">
        <f>SUM(BD68,BD84,BD95)</f>
        <v>793</v>
      </c>
      <c r="BE96" s="3672">
        <f>SUM(BE95,BE84,BE68)</f>
        <v>187</v>
      </c>
      <c r="BF96" s="3673">
        <f>SUM(BF95,BF84,BF68)</f>
        <v>39</v>
      </c>
      <c r="BG96" s="3673">
        <f>SUM(BG68,BG84,BG95)</f>
        <v>635</v>
      </c>
      <c r="BH96" s="3674">
        <f>SUM(BH68,BH84,BH95)</f>
        <v>861</v>
      </c>
      <c r="BI96" s="3672">
        <f>SUM(BI95,BI84,BI68)</f>
        <v>172</v>
      </c>
      <c r="BJ96" s="3673">
        <f>SUM(BJ95,BJ84,BJ68)</f>
        <v>123</v>
      </c>
      <c r="BK96" s="3673">
        <f>SUM(BK68,BK84,BK95)</f>
        <v>410</v>
      </c>
      <c r="BL96" s="3674">
        <f>SUM(BL68,BL84,BL95)</f>
        <v>705</v>
      </c>
    </row>
    <row r="97" spans="1:64" s="212" customFormat="1" ht="15" x14ac:dyDescent="0.2">
      <c r="A97" s="6179" t="s">
        <v>10</v>
      </c>
      <c r="B97" s="6182" t="s">
        <v>6</v>
      </c>
      <c r="C97" s="6176" t="s">
        <v>522</v>
      </c>
      <c r="D97" s="1073" t="s">
        <v>58</v>
      </c>
      <c r="E97" s="1634"/>
      <c r="F97" s="1635"/>
      <c r="G97" s="1635"/>
      <c r="H97" s="1067"/>
      <c r="I97" s="1066"/>
      <c r="J97" s="1066"/>
      <c r="K97" s="1066"/>
      <c r="L97" s="1067"/>
      <c r="M97" s="1066"/>
      <c r="N97" s="1066"/>
      <c r="O97" s="1066"/>
      <c r="P97" s="1067"/>
      <c r="Q97" s="1066"/>
      <c r="R97" s="1066"/>
      <c r="S97" s="1066">
        <v>95</v>
      </c>
      <c r="T97" s="1067">
        <f>SUM(Q97:S97)</f>
        <v>95</v>
      </c>
      <c r="U97" s="1066"/>
      <c r="V97" s="1066"/>
      <c r="W97" s="1066"/>
      <c r="X97" s="1067"/>
      <c r="Y97" s="1066"/>
      <c r="Z97" s="1066"/>
      <c r="AA97" s="1066">
        <v>118</v>
      </c>
      <c r="AB97" s="1067">
        <f>SUM(Y97:AA97)</f>
        <v>118</v>
      </c>
      <c r="AC97" s="1066"/>
      <c r="AD97" s="1066"/>
      <c r="AE97" s="1066"/>
      <c r="AF97" s="1067"/>
      <c r="AG97" s="1066"/>
      <c r="AH97" s="1066"/>
      <c r="AI97" s="1066"/>
      <c r="AJ97" s="1067"/>
      <c r="AK97" s="1066"/>
      <c r="AL97" s="1066"/>
      <c r="AM97" s="1066"/>
      <c r="AN97" s="1067"/>
      <c r="AO97" s="1066"/>
      <c r="AP97" s="1066"/>
      <c r="AQ97" s="1066">
        <v>222</v>
      </c>
      <c r="AR97" s="1067">
        <f>SUM(AO97:AQ97)</f>
        <v>222</v>
      </c>
      <c r="AS97" s="1066"/>
      <c r="AT97" s="1066"/>
      <c r="AU97" s="1066"/>
      <c r="AV97" s="1083"/>
      <c r="AW97" s="1066"/>
      <c r="AX97" s="1066"/>
      <c r="AY97" s="1066"/>
      <c r="AZ97" s="1070">
        <f t="shared" ref="AZ97:AZ105" si="57">SUM(AW97:AY97)</f>
        <v>0</v>
      </c>
      <c r="BA97" s="1066"/>
      <c r="BB97" s="1066"/>
      <c r="BC97" s="1066"/>
      <c r="BD97" s="1070">
        <f t="shared" ref="BD97:BD105" si="58">SUM(BA97:BC97)</f>
        <v>0</v>
      </c>
      <c r="BE97" s="1066"/>
      <c r="BF97" s="1066"/>
      <c r="BG97" s="1066"/>
      <c r="BH97" s="1070">
        <f t="shared" ref="BH97:BH105" si="59">SUM(BE97:BG97)</f>
        <v>0</v>
      </c>
      <c r="BI97" s="1066"/>
      <c r="BJ97" s="1066"/>
      <c r="BK97" s="1066"/>
      <c r="BL97" s="1070">
        <f t="shared" ref="BL97:BL105" si="60">SUM(BI97:BK97)</f>
        <v>0</v>
      </c>
    </row>
    <row r="98" spans="1:64" s="212" customFormat="1" ht="15" x14ac:dyDescent="0.2">
      <c r="A98" s="6180"/>
      <c r="B98" s="6183"/>
      <c r="C98" s="6175"/>
      <c r="D98" s="1074" t="s">
        <v>388</v>
      </c>
      <c r="E98" s="1631"/>
      <c r="F98" s="1630"/>
      <c r="G98" s="1630"/>
      <c r="H98" s="1070"/>
      <c r="I98" s="1069"/>
      <c r="J98" s="1069"/>
      <c r="K98" s="1069"/>
      <c r="L98" s="1070"/>
      <c r="M98" s="1069"/>
      <c r="N98" s="1069"/>
      <c r="O98" s="1069">
        <v>70</v>
      </c>
      <c r="P98" s="1070">
        <f>SUM(M98:O98)</f>
        <v>70</v>
      </c>
      <c r="Q98" s="1069"/>
      <c r="R98" s="1069"/>
      <c r="S98" s="1069"/>
      <c r="T98" s="1070"/>
      <c r="U98" s="1069"/>
      <c r="V98" s="1069"/>
      <c r="W98" s="1069"/>
      <c r="X98" s="1070"/>
      <c r="Y98" s="1069"/>
      <c r="Z98" s="1069"/>
      <c r="AA98" s="1069"/>
      <c r="AB98" s="1070"/>
      <c r="AC98" s="1069"/>
      <c r="AD98" s="1069"/>
      <c r="AE98" s="1069"/>
      <c r="AF98" s="1070"/>
      <c r="AG98" s="1069"/>
      <c r="AH98" s="1069"/>
      <c r="AI98" s="1069"/>
      <c r="AJ98" s="1070"/>
      <c r="AK98" s="1069"/>
      <c r="AL98" s="1069"/>
      <c r="AM98" s="1069"/>
      <c r="AN98" s="1070"/>
      <c r="AO98" s="1069"/>
      <c r="AP98" s="1069"/>
      <c r="AQ98" s="1069"/>
      <c r="AR98" s="1070"/>
      <c r="AS98" s="1069"/>
      <c r="AT98" s="1069"/>
      <c r="AU98" s="1069">
        <v>117</v>
      </c>
      <c r="AV98" s="1070">
        <f>SUM(AS98:AU98)</f>
        <v>117</v>
      </c>
      <c r="AW98" s="1069"/>
      <c r="AX98" s="1069"/>
      <c r="AY98" s="1069"/>
      <c r="AZ98" s="1070">
        <f t="shared" si="57"/>
        <v>0</v>
      </c>
      <c r="BA98" s="1069"/>
      <c r="BB98" s="1069"/>
      <c r="BC98" s="1069"/>
      <c r="BD98" s="1070">
        <f t="shared" si="58"/>
        <v>0</v>
      </c>
      <c r="BE98" s="1069"/>
      <c r="BF98" s="1069"/>
      <c r="BG98" s="1069"/>
      <c r="BH98" s="1070">
        <f t="shared" si="59"/>
        <v>0</v>
      </c>
      <c r="BI98" s="1069"/>
      <c r="BJ98" s="1069"/>
      <c r="BK98" s="5244">
        <v>30</v>
      </c>
      <c r="BL98" s="1070">
        <f t="shared" si="60"/>
        <v>30</v>
      </c>
    </row>
    <row r="99" spans="1:64" s="212" customFormat="1" ht="15" x14ac:dyDescent="0.2">
      <c r="A99" s="6180"/>
      <c r="B99" s="6183"/>
      <c r="C99" s="6173" t="s">
        <v>521</v>
      </c>
      <c r="D99" s="1074" t="s">
        <v>89</v>
      </c>
      <c r="E99" s="1631"/>
      <c r="F99" s="1630"/>
      <c r="G99" s="1630"/>
      <c r="H99" s="1070"/>
      <c r="I99" s="1069"/>
      <c r="J99" s="1069"/>
      <c r="K99" s="1069">
        <v>120</v>
      </c>
      <c r="L99" s="1070">
        <f>SUM(I99:K99)</f>
        <v>120</v>
      </c>
      <c r="M99" s="1069"/>
      <c r="N99" s="1069"/>
      <c r="O99" s="1069"/>
      <c r="P99" s="1070"/>
      <c r="Q99" s="1069"/>
      <c r="R99" s="1069"/>
      <c r="S99" s="1069"/>
      <c r="T99" s="1070"/>
      <c r="U99" s="1069"/>
      <c r="V99" s="1069"/>
      <c r="W99" s="1069">
        <v>31</v>
      </c>
      <c r="X99" s="1070">
        <f>SUM(U99:W99)</f>
        <v>31</v>
      </c>
      <c r="Y99" s="1069"/>
      <c r="Z99" s="1069"/>
      <c r="AA99" s="1069"/>
      <c r="AB99" s="1070"/>
      <c r="AC99" s="1069"/>
      <c r="AD99" s="1069"/>
      <c r="AE99" s="1069"/>
      <c r="AF99" s="1070"/>
      <c r="AG99" s="1069"/>
      <c r="AH99" s="1069"/>
      <c r="AI99" s="1069">
        <v>199</v>
      </c>
      <c r="AJ99" s="1070">
        <f>SUM(AG99:AI99)</f>
        <v>199</v>
      </c>
      <c r="AK99" s="1069"/>
      <c r="AL99" s="1069"/>
      <c r="AM99" s="1069"/>
      <c r="AN99" s="1070"/>
      <c r="AO99" s="1069"/>
      <c r="AP99" s="1069"/>
      <c r="AQ99" s="1069"/>
      <c r="AR99" s="1070"/>
      <c r="AS99" s="1069"/>
      <c r="AT99" s="1069"/>
      <c r="AU99" s="1069"/>
      <c r="AV99" s="1070"/>
      <c r="AW99" s="1069"/>
      <c r="AX99" s="1069"/>
      <c r="AY99" s="1069">
        <v>208</v>
      </c>
      <c r="AZ99" s="1070">
        <f t="shared" si="57"/>
        <v>208</v>
      </c>
      <c r="BA99" s="1069"/>
      <c r="BB99" s="1069"/>
      <c r="BC99" s="1069"/>
      <c r="BD99" s="1070">
        <f t="shared" si="58"/>
        <v>0</v>
      </c>
      <c r="BE99" s="1069"/>
      <c r="BF99" s="1069"/>
      <c r="BG99" s="1069">
        <v>176</v>
      </c>
      <c r="BH99" s="1070">
        <f t="shared" si="59"/>
        <v>176</v>
      </c>
      <c r="BI99" s="1069"/>
      <c r="BJ99" s="1069"/>
      <c r="BK99" s="1069"/>
      <c r="BL99" s="1070">
        <f t="shared" si="60"/>
        <v>0</v>
      </c>
    </row>
    <row r="100" spans="1:64" s="212" customFormat="1" ht="15" x14ac:dyDescent="0.2">
      <c r="A100" s="6180"/>
      <c r="B100" s="6183"/>
      <c r="C100" s="6174"/>
      <c r="D100" s="1074" t="s">
        <v>389</v>
      </c>
      <c r="E100" s="1631"/>
      <c r="F100" s="1630"/>
      <c r="G100" s="1630">
        <v>76</v>
      </c>
      <c r="H100" s="1070">
        <f>SUM(E100:G100)</f>
        <v>76</v>
      </c>
      <c r="I100" s="1069"/>
      <c r="J100" s="1069"/>
      <c r="K100" s="1069"/>
      <c r="L100" s="1070"/>
      <c r="M100" s="1069"/>
      <c r="N100" s="1069"/>
      <c r="O100" s="1069"/>
      <c r="P100" s="1070"/>
      <c r="Q100" s="1069"/>
      <c r="R100" s="1069"/>
      <c r="S100" s="1069"/>
      <c r="T100" s="1070"/>
      <c r="U100" s="1069"/>
      <c r="V100" s="1069"/>
      <c r="W100" s="1069">
        <v>77</v>
      </c>
      <c r="X100" s="1070">
        <f>SUM(U100:W100)</f>
        <v>77</v>
      </c>
      <c r="Y100" s="1069"/>
      <c r="Z100" s="1069"/>
      <c r="AA100" s="1069"/>
      <c r="AB100" s="1070"/>
      <c r="AC100" s="1069"/>
      <c r="AD100" s="1069"/>
      <c r="AE100" s="1069">
        <v>83</v>
      </c>
      <c r="AF100" s="1070">
        <f>SUM(AC100:AE100)</f>
        <v>83</v>
      </c>
      <c r="AG100" s="1069"/>
      <c r="AH100" s="1069"/>
      <c r="AI100" s="1069"/>
      <c r="AJ100" s="1070"/>
      <c r="AK100" s="1069"/>
      <c r="AL100" s="1069"/>
      <c r="AM100" s="1069">
        <v>95</v>
      </c>
      <c r="AN100" s="1070">
        <f>SUM(AK100:AM100)</f>
        <v>95</v>
      </c>
      <c r="AO100" s="1069"/>
      <c r="AP100" s="1069"/>
      <c r="AQ100" s="1069"/>
      <c r="AR100" s="1070"/>
      <c r="AS100" s="1069"/>
      <c r="AT100" s="1069"/>
      <c r="AU100" s="1069"/>
      <c r="AV100" s="1070"/>
      <c r="AW100" s="1069"/>
      <c r="AX100" s="1069"/>
      <c r="AY100" s="1069"/>
      <c r="AZ100" s="1070">
        <f t="shared" si="57"/>
        <v>0</v>
      </c>
      <c r="BA100" s="1069"/>
      <c r="BB100" s="1069"/>
      <c r="BC100" s="1069">
        <v>107</v>
      </c>
      <c r="BD100" s="1070">
        <f t="shared" si="58"/>
        <v>107</v>
      </c>
      <c r="BE100" s="1069"/>
      <c r="BF100" s="1069"/>
      <c r="BG100" s="1069"/>
      <c r="BH100" s="1070">
        <f t="shared" si="59"/>
        <v>0</v>
      </c>
      <c r="BI100" s="1069"/>
      <c r="BJ100" s="1069"/>
      <c r="BK100" s="1069">
        <v>165</v>
      </c>
      <c r="BL100" s="1070">
        <f t="shared" si="60"/>
        <v>165</v>
      </c>
    </row>
    <row r="101" spans="1:64" s="212" customFormat="1" ht="15" x14ac:dyDescent="0.2">
      <c r="A101" s="6180"/>
      <c r="B101" s="6183"/>
      <c r="C101" s="6174"/>
      <c r="D101" s="1078" t="s">
        <v>390</v>
      </c>
      <c r="E101" s="1631"/>
      <c r="F101" s="1630">
        <v>48</v>
      </c>
      <c r="G101" s="1630"/>
      <c r="H101" s="1070">
        <f>SUM(E101:G101)</f>
        <v>48</v>
      </c>
      <c r="I101" s="1069"/>
      <c r="J101" s="1069"/>
      <c r="K101" s="1069">
        <v>39</v>
      </c>
      <c r="L101" s="1070">
        <f t="shared" ref="L101:L106" si="61">SUM(I101:K101)</f>
        <v>39</v>
      </c>
      <c r="M101" s="1069"/>
      <c r="N101" s="1069"/>
      <c r="O101" s="1069"/>
      <c r="P101" s="1070"/>
      <c r="Q101" s="1069"/>
      <c r="R101" s="1069"/>
      <c r="S101" s="1069">
        <v>41</v>
      </c>
      <c r="T101" s="1070">
        <f t="shared" ref="T101:T106" si="62">SUM(Q101:S101)</f>
        <v>41</v>
      </c>
      <c r="U101" s="1069"/>
      <c r="V101" s="1069"/>
      <c r="W101" s="1069"/>
      <c r="X101" s="1070"/>
      <c r="Y101" s="1069"/>
      <c r="Z101" s="1069"/>
      <c r="AA101" s="1069">
        <v>74</v>
      </c>
      <c r="AB101" s="1070">
        <f t="shared" ref="AB101:AB106" si="63">SUM(Y101:AA101)</f>
        <v>74</v>
      </c>
      <c r="AC101" s="1069"/>
      <c r="AD101" s="1069"/>
      <c r="AE101" s="1069"/>
      <c r="AF101" s="1070"/>
      <c r="AG101" s="1069"/>
      <c r="AH101" s="1069"/>
      <c r="AI101" s="1069">
        <v>101</v>
      </c>
      <c r="AJ101" s="1070">
        <f>SUM(AG101:AI101)</f>
        <v>101</v>
      </c>
      <c r="AK101" s="1069"/>
      <c r="AL101" s="1069"/>
      <c r="AM101" s="1069"/>
      <c r="AN101" s="1070"/>
      <c r="AO101" s="1069"/>
      <c r="AP101" s="1069"/>
      <c r="AQ101" s="1069">
        <v>249</v>
      </c>
      <c r="AR101" s="1070">
        <f t="shared" ref="AR101:AR107" si="64">SUM(AO101:AQ101)</f>
        <v>249</v>
      </c>
      <c r="AS101" s="1069"/>
      <c r="AT101" s="1069"/>
      <c r="AU101" s="1069"/>
      <c r="AV101" s="1070"/>
      <c r="AW101" s="1069"/>
      <c r="AX101" s="1069"/>
      <c r="AY101" s="1069">
        <v>236</v>
      </c>
      <c r="AZ101" s="1070">
        <f t="shared" si="57"/>
        <v>236</v>
      </c>
      <c r="BA101" s="1069"/>
      <c r="BB101" s="1069"/>
      <c r="BC101" s="1069"/>
      <c r="BD101" s="1070">
        <f t="shared" si="58"/>
        <v>0</v>
      </c>
      <c r="BE101" s="1069"/>
      <c r="BF101" s="1069"/>
      <c r="BG101" s="1069">
        <v>93</v>
      </c>
      <c r="BH101" s="1070">
        <f t="shared" si="59"/>
        <v>93</v>
      </c>
      <c r="BI101" s="1069"/>
      <c r="BJ101" s="1069"/>
      <c r="BK101" s="1069"/>
      <c r="BL101" s="1070">
        <f t="shared" si="60"/>
        <v>0</v>
      </c>
    </row>
    <row r="102" spans="1:64" s="212" customFormat="1" ht="15" x14ac:dyDescent="0.2">
      <c r="A102" s="6180"/>
      <c r="B102" s="6183"/>
      <c r="C102" s="6174"/>
      <c r="D102" s="1078" t="s">
        <v>1484</v>
      </c>
      <c r="E102" s="1631"/>
      <c r="F102" s="1630"/>
      <c r="G102" s="1630"/>
      <c r="H102" s="1070"/>
      <c r="I102" s="1069"/>
      <c r="J102" s="1069"/>
      <c r="K102" s="1069">
        <v>29</v>
      </c>
      <c r="L102" s="1070">
        <f t="shared" si="61"/>
        <v>29</v>
      </c>
      <c r="M102" s="1069"/>
      <c r="N102" s="1069"/>
      <c r="O102" s="1069"/>
      <c r="P102" s="1070"/>
      <c r="Q102" s="1069"/>
      <c r="R102" s="1069"/>
      <c r="S102" s="1069">
        <v>33</v>
      </c>
      <c r="T102" s="1070">
        <f t="shared" si="62"/>
        <v>33</v>
      </c>
      <c r="U102" s="1069"/>
      <c r="V102" s="1069"/>
      <c r="W102" s="1069"/>
      <c r="X102" s="1070"/>
      <c r="Y102" s="1069"/>
      <c r="Z102" s="1069"/>
      <c r="AA102" s="1069">
        <v>44</v>
      </c>
      <c r="AB102" s="1070">
        <f t="shared" si="63"/>
        <v>44</v>
      </c>
      <c r="AC102" s="1069"/>
      <c r="AD102" s="1069"/>
      <c r="AE102" s="1069"/>
      <c r="AF102" s="1070"/>
      <c r="AG102" s="1069"/>
      <c r="AH102" s="1069"/>
      <c r="AI102" s="1069">
        <v>48</v>
      </c>
      <c r="AJ102" s="1070">
        <f>SUM(AG102:AI102)</f>
        <v>48</v>
      </c>
      <c r="AK102" s="1069"/>
      <c r="AL102" s="1069"/>
      <c r="AM102" s="1069"/>
      <c r="AN102" s="1070"/>
      <c r="AO102" s="1069"/>
      <c r="AP102" s="1069"/>
      <c r="AQ102" s="1069">
        <v>54</v>
      </c>
      <c r="AR102" s="1070">
        <f t="shared" si="64"/>
        <v>54</v>
      </c>
      <c r="AS102" s="1069"/>
      <c r="AT102" s="1069"/>
      <c r="AU102" s="1069"/>
      <c r="AV102" s="1070"/>
      <c r="AW102" s="1069"/>
      <c r="AX102" s="1069"/>
      <c r="AY102" s="1069">
        <v>30</v>
      </c>
      <c r="AZ102" s="1070">
        <f t="shared" si="57"/>
        <v>30</v>
      </c>
      <c r="BA102" s="1069"/>
      <c r="BB102" s="1069"/>
      <c r="BC102" s="1069"/>
      <c r="BD102" s="1070">
        <f t="shared" si="58"/>
        <v>0</v>
      </c>
      <c r="BE102" s="1069"/>
      <c r="BF102" s="1069"/>
      <c r="BG102" s="1069">
        <v>35</v>
      </c>
      <c r="BH102" s="1070">
        <f t="shared" si="59"/>
        <v>35</v>
      </c>
      <c r="BI102" s="1069"/>
      <c r="BJ102" s="1069"/>
      <c r="BK102" s="1069"/>
      <c r="BL102" s="1070">
        <f t="shared" si="60"/>
        <v>0</v>
      </c>
    </row>
    <row r="103" spans="1:64" s="212" customFormat="1" ht="15" x14ac:dyDescent="0.2">
      <c r="A103" s="6180"/>
      <c r="B103" s="6183"/>
      <c r="C103" s="6174"/>
      <c r="D103" s="1078" t="s">
        <v>19</v>
      </c>
      <c r="E103" s="1631"/>
      <c r="F103" s="1630"/>
      <c r="G103" s="1630"/>
      <c r="H103" s="1070"/>
      <c r="I103" s="1069"/>
      <c r="J103" s="1069"/>
      <c r="K103" s="1069">
        <v>119</v>
      </c>
      <c r="L103" s="1070">
        <f t="shared" si="61"/>
        <v>119</v>
      </c>
      <c r="M103" s="1069"/>
      <c r="N103" s="1069"/>
      <c r="O103" s="1069"/>
      <c r="P103" s="1070"/>
      <c r="Q103" s="1069"/>
      <c r="R103" s="1069"/>
      <c r="S103" s="1069">
        <v>87</v>
      </c>
      <c r="T103" s="1070">
        <f t="shared" si="62"/>
        <v>87</v>
      </c>
      <c r="U103" s="1069"/>
      <c r="V103" s="1069"/>
      <c r="W103" s="1069"/>
      <c r="X103" s="1070"/>
      <c r="Y103" s="1069"/>
      <c r="Z103" s="1069"/>
      <c r="AA103" s="1069">
        <v>63</v>
      </c>
      <c r="AB103" s="1070">
        <f t="shared" si="63"/>
        <v>63</v>
      </c>
      <c r="AC103" s="1069"/>
      <c r="AD103" s="1069"/>
      <c r="AE103" s="1069"/>
      <c r="AF103" s="1070"/>
      <c r="AG103" s="1069"/>
      <c r="AH103" s="1069"/>
      <c r="AI103" s="1069">
        <v>75</v>
      </c>
      <c r="AJ103" s="1070">
        <f>SUM(AG103:AI103)</f>
        <v>75</v>
      </c>
      <c r="AK103" s="1069"/>
      <c r="AL103" s="1069"/>
      <c r="AM103" s="1069"/>
      <c r="AN103" s="1070"/>
      <c r="AO103" s="1069"/>
      <c r="AP103" s="1069"/>
      <c r="AQ103" s="1069">
        <v>110</v>
      </c>
      <c r="AR103" s="1070">
        <f t="shared" si="64"/>
        <v>110</v>
      </c>
      <c r="AS103" s="1069"/>
      <c r="AT103" s="1069"/>
      <c r="AU103" s="1069"/>
      <c r="AV103" s="1070"/>
      <c r="AW103" s="1069"/>
      <c r="AX103" s="1069"/>
      <c r="AY103" s="1069">
        <v>137</v>
      </c>
      <c r="AZ103" s="1070">
        <f t="shared" si="57"/>
        <v>137</v>
      </c>
      <c r="BA103" s="1069"/>
      <c r="BB103" s="1069"/>
      <c r="BC103" s="1069"/>
      <c r="BD103" s="1070">
        <f t="shared" si="58"/>
        <v>0</v>
      </c>
      <c r="BE103" s="1069"/>
      <c r="BF103" s="1069"/>
      <c r="BG103" s="1069">
        <v>161</v>
      </c>
      <c r="BH103" s="1070">
        <f t="shared" si="59"/>
        <v>161</v>
      </c>
      <c r="BI103" s="1069"/>
      <c r="BJ103" s="1069"/>
      <c r="BK103" s="1069"/>
      <c r="BL103" s="1070">
        <f t="shared" si="60"/>
        <v>0</v>
      </c>
    </row>
    <row r="104" spans="1:64" s="212" customFormat="1" ht="15" x14ac:dyDescent="0.25">
      <c r="A104" s="6180"/>
      <c r="B104" s="6183"/>
      <c r="C104" s="6174"/>
      <c r="D104" s="1078" t="s">
        <v>88</v>
      </c>
      <c r="E104" s="1631"/>
      <c r="F104" s="1630"/>
      <c r="G104" s="1630"/>
      <c r="H104" s="1070"/>
      <c r="I104" s="1069"/>
      <c r="J104" s="1069"/>
      <c r="K104" s="1069">
        <v>63</v>
      </c>
      <c r="L104" s="1070">
        <f t="shared" si="61"/>
        <v>63</v>
      </c>
      <c r="M104" s="1069"/>
      <c r="N104" s="1069"/>
      <c r="O104" s="1069"/>
      <c r="P104" s="1070"/>
      <c r="Q104" s="1069"/>
      <c r="R104" s="1069"/>
      <c r="S104" s="1069">
        <v>47</v>
      </c>
      <c r="T104" s="1070">
        <f t="shared" si="62"/>
        <v>47</v>
      </c>
      <c r="U104" s="1069"/>
      <c r="V104" s="1069"/>
      <c r="W104" s="1069"/>
      <c r="X104" s="1070"/>
      <c r="Y104" s="1069"/>
      <c r="Z104" s="1069"/>
      <c r="AA104" s="1069">
        <v>62</v>
      </c>
      <c r="AB104" s="1070">
        <f t="shared" si="63"/>
        <v>62</v>
      </c>
      <c r="AC104" s="1069"/>
      <c r="AD104" s="1069"/>
      <c r="AE104" s="1069"/>
      <c r="AF104" s="1070"/>
      <c r="AG104" s="1069"/>
      <c r="AH104" s="1069"/>
      <c r="AI104" s="1638">
        <v>94</v>
      </c>
      <c r="AJ104" s="1070">
        <f>SUM(AG104:AI104)</f>
        <v>94</v>
      </c>
      <c r="AK104" s="1069"/>
      <c r="AL104" s="1069"/>
      <c r="AM104" s="1638"/>
      <c r="AN104" s="1070"/>
      <c r="AO104" s="1069"/>
      <c r="AP104" s="1069"/>
      <c r="AQ104" s="1638">
        <v>82</v>
      </c>
      <c r="AR104" s="1070">
        <f t="shared" si="64"/>
        <v>82</v>
      </c>
      <c r="AS104" s="1069"/>
      <c r="AT104" s="1069"/>
      <c r="AU104" s="1638"/>
      <c r="AV104" s="1070"/>
      <c r="AW104" s="1069"/>
      <c r="AX104" s="1069"/>
      <c r="AY104" s="1638">
        <v>106</v>
      </c>
      <c r="AZ104" s="1070">
        <f t="shared" si="57"/>
        <v>106</v>
      </c>
      <c r="BA104" s="1069"/>
      <c r="BB104" s="1069"/>
      <c r="BC104" s="1638"/>
      <c r="BD104" s="1070">
        <f t="shared" si="58"/>
        <v>0</v>
      </c>
      <c r="BE104" s="1069"/>
      <c r="BF104" s="1069"/>
      <c r="BG104" s="1638">
        <v>112</v>
      </c>
      <c r="BH104" s="1070">
        <f t="shared" si="59"/>
        <v>112</v>
      </c>
      <c r="BI104" s="1069"/>
      <c r="BJ104" s="1069"/>
      <c r="BK104" s="1638"/>
      <c r="BL104" s="1070">
        <f t="shared" si="60"/>
        <v>0</v>
      </c>
    </row>
    <row r="105" spans="1:64" s="212" customFormat="1" ht="15" x14ac:dyDescent="0.25">
      <c r="A105" s="6180"/>
      <c r="B105" s="6183"/>
      <c r="C105" s="6174"/>
      <c r="D105" s="1078" t="s">
        <v>391</v>
      </c>
      <c r="E105" s="1631"/>
      <c r="F105" s="1630"/>
      <c r="G105" s="1630"/>
      <c r="H105" s="1070"/>
      <c r="I105" s="1069"/>
      <c r="J105" s="1069"/>
      <c r="K105" s="1069">
        <v>84</v>
      </c>
      <c r="L105" s="1070">
        <f t="shared" si="61"/>
        <v>84</v>
      </c>
      <c r="M105" s="1069"/>
      <c r="N105" s="1069"/>
      <c r="O105" s="1069"/>
      <c r="P105" s="1070"/>
      <c r="Q105" s="1069"/>
      <c r="R105" s="1069"/>
      <c r="S105" s="1069">
        <v>56</v>
      </c>
      <c r="T105" s="1070">
        <f t="shared" si="62"/>
        <v>56</v>
      </c>
      <c r="U105" s="1069"/>
      <c r="V105" s="1069"/>
      <c r="W105" s="1069"/>
      <c r="X105" s="1070"/>
      <c r="Y105" s="1069"/>
      <c r="Z105" s="1069"/>
      <c r="AA105" s="1069">
        <v>48</v>
      </c>
      <c r="AB105" s="1070">
        <f t="shared" si="63"/>
        <v>48</v>
      </c>
      <c r="AC105" s="1069"/>
      <c r="AD105" s="1069"/>
      <c r="AE105" s="1069"/>
      <c r="AF105" s="1070"/>
      <c r="AG105" s="1069"/>
      <c r="AH105" s="1069"/>
      <c r="AI105" s="1638">
        <v>68</v>
      </c>
      <c r="AJ105" s="1070">
        <f>SUM(AG105:AI105)</f>
        <v>68</v>
      </c>
      <c r="AK105" s="1069"/>
      <c r="AL105" s="1069"/>
      <c r="AM105" s="1638"/>
      <c r="AN105" s="1070"/>
      <c r="AO105" s="1069"/>
      <c r="AP105" s="1069"/>
      <c r="AQ105" s="1638">
        <v>131</v>
      </c>
      <c r="AR105" s="1070">
        <f t="shared" si="64"/>
        <v>131</v>
      </c>
      <c r="AS105" s="1069"/>
      <c r="AT105" s="1069"/>
      <c r="AU105" s="1638"/>
      <c r="AV105" s="1070"/>
      <c r="AW105" s="1069"/>
      <c r="AX105" s="1069"/>
      <c r="AY105" s="1638">
        <v>145</v>
      </c>
      <c r="AZ105" s="1070">
        <f t="shared" si="57"/>
        <v>145</v>
      </c>
      <c r="BA105" s="1069"/>
      <c r="BB105" s="1069"/>
      <c r="BC105" s="1638"/>
      <c r="BD105" s="1070">
        <f t="shared" si="58"/>
        <v>0</v>
      </c>
      <c r="BE105" s="1069"/>
      <c r="BF105" s="1069"/>
      <c r="BG105" s="1638">
        <v>117</v>
      </c>
      <c r="BH105" s="1070">
        <f t="shared" si="59"/>
        <v>117</v>
      </c>
      <c r="BI105" s="1069"/>
      <c r="BJ105" s="1069"/>
      <c r="BK105" s="1638"/>
      <c r="BL105" s="1070">
        <f t="shared" si="60"/>
        <v>0</v>
      </c>
    </row>
    <row r="106" spans="1:64" s="212" customFormat="1" ht="15" x14ac:dyDescent="0.2">
      <c r="A106" s="6180"/>
      <c r="B106" s="6183"/>
      <c r="C106" s="6174"/>
      <c r="D106" s="1074" t="s">
        <v>139</v>
      </c>
      <c r="E106" s="1631"/>
      <c r="F106" s="1630"/>
      <c r="G106" s="1630"/>
      <c r="H106" s="1070"/>
      <c r="I106" s="1069">
        <v>20</v>
      </c>
      <c r="J106" s="1069"/>
      <c r="K106" s="1069"/>
      <c r="L106" s="1070">
        <f t="shared" si="61"/>
        <v>20</v>
      </c>
      <c r="M106" s="1069">
        <v>5</v>
      </c>
      <c r="N106" s="1069"/>
      <c r="O106" s="1069"/>
      <c r="P106" s="1070">
        <f>SUM(M106:O106)</f>
        <v>5</v>
      </c>
      <c r="Q106" s="1069">
        <v>13</v>
      </c>
      <c r="R106" s="1069"/>
      <c r="S106" s="1069"/>
      <c r="T106" s="1070">
        <f t="shared" si="62"/>
        <v>13</v>
      </c>
      <c r="U106" s="1069"/>
      <c r="V106" s="1069"/>
      <c r="W106" s="1069"/>
      <c r="X106" s="1070"/>
      <c r="Y106" s="1069">
        <v>39</v>
      </c>
      <c r="Z106" s="1069"/>
      <c r="AA106" s="1069"/>
      <c r="AB106" s="1070">
        <f t="shared" si="63"/>
        <v>39</v>
      </c>
      <c r="AC106" s="1069">
        <v>28</v>
      </c>
      <c r="AD106" s="1069"/>
      <c r="AE106" s="1069"/>
      <c r="AF106" s="1070">
        <f>SUM(AC106:AE106)</f>
        <v>28</v>
      </c>
      <c r="AG106" s="1069"/>
      <c r="AH106" s="1069"/>
      <c r="AI106" s="1069"/>
      <c r="AJ106" s="1070"/>
      <c r="AK106" s="1069">
        <v>32</v>
      </c>
      <c r="AL106" s="1069"/>
      <c r="AM106" s="1069"/>
      <c r="AN106" s="1070">
        <f>SUM(AK106:AM106)</f>
        <v>32</v>
      </c>
      <c r="AO106" s="1069">
        <v>48</v>
      </c>
      <c r="AP106" s="1069"/>
      <c r="AQ106" s="1069"/>
      <c r="AR106" s="1070">
        <f t="shared" si="64"/>
        <v>48</v>
      </c>
      <c r="AS106" s="1069">
        <v>82</v>
      </c>
      <c r="AT106" s="1069"/>
      <c r="AU106" s="1069"/>
      <c r="AV106" s="1070">
        <f>SUM(AS106:AU106)</f>
        <v>82</v>
      </c>
      <c r="AW106" s="1069"/>
      <c r="AX106" s="1069"/>
      <c r="AY106" s="1069"/>
      <c r="AZ106" s="1070">
        <f>SUM(AW106:AY106)</f>
        <v>0</v>
      </c>
      <c r="BA106" s="1069">
        <v>21</v>
      </c>
      <c r="BB106" s="1069"/>
      <c r="BC106" s="1069"/>
      <c r="BD106" s="1070">
        <f>SUM(BA106:BC106)</f>
        <v>21</v>
      </c>
      <c r="BE106" s="1069"/>
      <c r="BF106" s="1069"/>
      <c r="BG106" s="1069"/>
      <c r="BH106" s="1070">
        <f>SUM(BE106:BG106)</f>
        <v>0</v>
      </c>
      <c r="BI106" s="1069"/>
      <c r="BJ106" s="1069"/>
      <c r="BK106" s="1069"/>
      <c r="BL106" s="1070">
        <f>SUM(BI106:BK106)</f>
        <v>0</v>
      </c>
    </row>
    <row r="107" spans="1:64" s="212" customFormat="1" ht="15" x14ac:dyDescent="0.2">
      <c r="A107" s="6180"/>
      <c r="B107" s="6183"/>
      <c r="C107" s="6174"/>
      <c r="D107" s="1074" t="s">
        <v>416</v>
      </c>
      <c r="E107" s="1631"/>
      <c r="F107" s="1630"/>
      <c r="G107" s="1630"/>
      <c r="H107" s="1070"/>
      <c r="I107" s="1069"/>
      <c r="J107" s="1069"/>
      <c r="K107" s="1069"/>
      <c r="L107" s="1070"/>
      <c r="M107" s="1069"/>
      <c r="N107" s="1069"/>
      <c r="O107" s="1069"/>
      <c r="P107" s="1070"/>
      <c r="Q107" s="1069"/>
      <c r="R107" s="1069"/>
      <c r="S107" s="1069"/>
      <c r="T107" s="1070"/>
      <c r="U107" s="1069"/>
      <c r="V107" s="1069"/>
      <c r="W107" s="1069"/>
      <c r="X107" s="1070"/>
      <c r="Y107" s="1069"/>
      <c r="Z107" s="1069"/>
      <c r="AA107" s="1069"/>
      <c r="AB107" s="1070"/>
      <c r="AC107" s="1069"/>
      <c r="AD107" s="1069"/>
      <c r="AE107" s="1069"/>
      <c r="AF107" s="1070"/>
      <c r="AG107" s="1069"/>
      <c r="AH107" s="1069"/>
      <c r="AI107" s="1069"/>
      <c r="AJ107" s="1070"/>
      <c r="AK107" s="1069"/>
      <c r="AL107" s="1069"/>
      <c r="AM107" s="1069"/>
      <c r="AN107" s="1070"/>
      <c r="AO107" s="1069">
        <v>28</v>
      </c>
      <c r="AP107" s="1069"/>
      <c r="AQ107" s="1069"/>
      <c r="AR107" s="1070">
        <f t="shared" si="64"/>
        <v>28</v>
      </c>
      <c r="AS107" s="1069"/>
      <c r="AT107" s="1069"/>
      <c r="AU107" s="1069"/>
      <c r="AV107" s="1070"/>
      <c r="AW107" s="1069">
        <v>45</v>
      </c>
      <c r="AX107" s="1069"/>
      <c r="AY107" s="1069"/>
      <c r="AZ107" s="1070">
        <f>SUM(AW107:AY107)</f>
        <v>45</v>
      </c>
      <c r="BA107" s="1069"/>
      <c r="BB107" s="1069"/>
      <c r="BC107" s="1069"/>
      <c r="BD107" s="1070">
        <f>SUM(BA107:BC107)</f>
        <v>0</v>
      </c>
      <c r="BE107" s="1069">
        <v>44</v>
      </c>
      <c r="BF107" s="1069"/>
      <c r="BG107" s="1069"/>
      <c r="BH107" s="1070">
        <f>SUM(BE107:BG107)</f>
        <v>44</v>
      </c>
      <c r="BI107" s="1069"/>
      <c r="BJ107" s="1069"/>
      <c r="BK107" s="1069"/>
      <c r="BL107" s="1070">
        <f>SUM(BI107:BK107)</f>
        <v>0</v>
      </c>
    </row>
    <row r="108" spans="1:64" s="212" customFormat="1" ht="15" x14ac:dyDescent="0.2">
      <c r="A108" s="6180"/>
      <c r="B108" s="6183"/>
      <c r="C108" s="6174"/>
      <c r="D108" s="1074" t="s">
        <v>1581</v>
      </c>
      <c r="E108" s="1631"/>
      <c r="F108" s="1630"/>
      <c r="G108" s="1630"/>
      <c r="H108" s="1070"/>
      <c r="I108" s="1069"/>
      <c r="J108" s="1069"/>
      <c r="K108" s="1069"/>
      <c r="L108" s="1070"/>
      <c r="M108" s="1069"/>
      <c r="N108" s="1069"/>
      <c r="O108" s="1069"/>
      <c r="P108" s="1070"/>
      <c r="Q108" s="1069"/>
      <c r="R108" s="1069"/>
      <c r="S108" s="1069"/>
      <c r="T108" s="1070"/>
      <c r="U108" s="1069"/>
      <c r="V108" s="1069"/>
      <c r="W108" s="1069"/>
      <c r="X108" s="1070"/>
      <c r="Y108" s="1069"/>
      <c r="Z108" s="1069"/>
      <c r="AA108" s="1069"/>
      <c r="AB108" s="1070"/>
      <c r="AC108" s="1069"/>
      <c r="AD108" s="1069"/>
      <c r="AE108" s="1069"/>
      <c r="AF108" s="1070"/>
      <c r="AG108" s="1069"/>
      <c r="AH108" s="1069"/>
      <c r="AI108" s="1069"/>
      <c r="AJ108" s="1070"/>
      <c r="AK108" s="1069"/>
      <c r="AL108" s="1069"/>
      <c r="AM108" s="1069"/>
      <c r="AN108" s="1070"/>
      <c r="AO108" s="1069"/>
      <c r="AP108" s="1069"/>
      <c r="AQ108" s="1069"/>
      <c r="AR108" s="1070"/>
      <c r="AS108" s="1069"/>
      <c r="AT108" s="1069"/>
      <c r="AU108" s="1069"/>
      <c r="AV108" s="1070"/>
      <c r="AW108" s="1069"/>
      <c r="AX108" s="1069"/>
      <c r="AY108" s="1069"/>
      <c r="AZ108" s="1070"/>
      <c r="BA108" s="1069"/>
      <c r="BB108" s="1069"/>
      <c r="BC108" s="1069"/>
      <c r="BD108" s="1070"/>
      <c r="BE108" s="1069"/>
      <c r="BF108" s="1069"/>
      <c r="BG108" s="1069"/>
      <c r="BH108" s="1070"/>
      <c r="BI108" s="1069">
        <v>146</v>
      </c>
      <c r="BJ108" s="1069"/>
      <c r="BK108" s="1069"/>
      <c r="BL108" s="1070">
        <f>SUM(BI108:BK108)</f>
        <v>146</v>
      </c>
    </row>
    <row r="109" spans="1:64" s="212" customFormat="1" ht="15" x14ac:dyDescent="0.2">
      <c r="A109" s="6180"/>
      <c r="B109" s="6183"/>
      <c r="C109" s="6175"/>
      <c r="D109" s="1078" t="s">
        <v>1580</v>
      </c>
      <c r="E109" s="1631"/>
      <c r="F109" s="1630"/>
      <c r="G109" s="1630"/>
      <c r="H109" s="1070"/>
      <c r="I109" s="1069"/>
      <c r="J109" s="1069"/>
      <c r="K109" s="1069"/>
      <c r="L109" s="1070"/>
      <c r="M109" s="1069"/>
      <c r="N109" s="1069"/>
      <c r="O109" s="1069"/>
      <c r="P109" s="1070"/>
      <c r="Q109" s="1069"/>
      <c r="R109" s="1069"/>
      <c r="S109" s="1069"/>
      <c r="T109" s="1070"/>
      <c r="U109" s="1069"/>
      <c r="V109" s="1069"/>
      <c r="W109" s="1069"/>
      <c r="X109" s="1070"/>
      <c r="Y109" s="1069"/>
      <c r="Z109" s="1069"/>
      <c r="AA109" s="1069"/>
      <c r="AB109" s="1070"/>
      <c r="AC109" s="1069"/>
      <c r="AD109" s="1069"/>
      <c r="AE109" s="1069"/>
      <c r="AF109" s="1070"/>
      <c r="AG109" s="1069"/>
      <c r="AH109" s="1069"/>
      <c r="AI109" s="1069"/>
      <c r="AJ109" s="1070"/>
      <c r="AK109" s="1069"/>
      <c r="AL109" s="1069"/>
      <c r="AM109" s="1069"/>
      <c r="AN109" s="1070"/>
      <c r="AO109" s="1069"/>
      <c r="AP109" s="1069"/>
      <c r="AQ109" s="1069"/>
      <c r="AR109" s="1070"/>
      <c r="AS109" s="1069"/>
      <c r="AT109" s="1069"/>
      <c r="AU109" s="1069"/>
      <c r="AV109" s="1070"/>
      <c r="AW109" s="1069"/>
      <c r="AX109" s="1069"/>
      <c r="AY109" s="1069"/>
      <c r="AZ109" s="1070"/>
      <c r="BA109" s="1069"/>
      <c r="BB109" s="1069"/>
      <c r="BC109" s="1069"/>
      <c r="BD109" s="1070"/>
      <c r="BE109" s="1069"/>
      <c r="BF109" s="1069"/>
      <c r="BG109" s="1069"/>
      <c r="BH109" s="1070"/>
      <c r="BI109" s="1069">
        <v>5</v>
      </c>
      <c r="BJ109" s="1069"/>
      <c r="BK109" s="1069"/>
      <c r="BL109" s="1070">
        <f t="shared" ref="BL109:BL114" si="65">SUM(BI109:BK109)</f>
        <v>5</v>
      </c>
    </row>
    <row r="110" spans="1:64" s="212" customFormat="1" ht="15" x14ac:dyDescent="0.2">
      <c r="A110" s="6180"/>
      <c r="B110" s="6184"/>
      <c r="C110" s="6169" t="s">
        <v>520</v>
      </c>
      <c r="D110" s="1074" t="s">
        <v>90</v>
      </c>
      <c r="E110" s="1631"/>
      <c r="F110" s="1630"/>
      <c r="G110" s="1630">
        <v>20</v>
      </c>
      <c r="H110" s="1070">
        <f>SUM(E110:G110)</f>
        <v>20</v>
      </c>
      <c r="I110" s="1069"/>
      <c r="J110" s="1069"/>
      <c r="K110" s="1069"/>
      <c r="L110" s="1070"/>
      <c r="M110" s="1069"/>
      <c r="N110" s="1069"/>
      <c r="O110" s="1069">
        <v>28</v>
      </c>
      <c r="P110" s="1070">
        <f>SUM(M110:O110)</f>
        <v>28</v>
      </c>
      <c r="Q110" s="1069"/>
      <c r="R110" s="1069"/>
      <c r="S110" s="1069"/>
      <c r="T110" s="1070"/>
      <c r="U110" s="1069"/>
      <c r="V110" s="1069"/>
      <c r="W110" s="1069">
        <v>29</v>
      </c>
      <c r="X110" s="1070">
        <f>SUM(U110:W110)</f>
        <v>29</v>
      </c>
      <c r="Y110" s="1069"/>
      <c r="Z110" s="1069"/>
      <c r="AA110" s="1069"/>
      <c r="AB110" s="1070"/>
      <c r="AC110" s="1069"/>
      <c r="AD110" s="1069"/>
      <c r="AE110" s="1069">
        <v>18</v>
      </c>
      <c r="AF110" s="1070">
        <f>SUM(AC110:AE110)</f>
        <v>18</v>
      </c>
      <c r="AG110" s="1069"/>
      <c r="AH110" s="1069"/>
      <c r="AI110" s="1069"/>
      <c r="AJ110" s="1070"/>
      <c r="AK110" s="1069"/>
      <c r="AL110" s="1069"/>
      <c r="AM110" s="1069">
        <v>37</v>
      </c>
      <c r="AN110" s="1070">
        <f>SUM(AK110:AM110)</f>
        <v>37</v>
      </c>
      <c r="AO110" s="1069"/>
      <c r="AP110" s="1069"/>
      <c r="AQ110" s="1069"/>
      <c r="AR110" s="1070"/>
      <c r="AS110" s="1069"/>
      <c r="AT110" s="1069"/>
      <c r="AU110" s="1069">
        <v>29</v>
      </c>
      <c r="AV110" s="1070">
        <f>SUM(AS110:AU110)</f>
        <v>29</v>
      </c>
      <c r="AW110" s="1069"/>
      <c r="AX110" s="1069"/>
      <c r="AY110" s="1069"/>
      <c r="AZ110" s="1070">
        <f>SUM(AW110:AY110)</f>
        <v>0</v>
      </c>
      <c r="BA110" s="1069"/>
      <c r="BB110" s="1069"/>
      <c r="BC110" s="1069">
        <v>35</v>
      </c>
      <c r="BD110" s="1070">
        <f>SUM(BA110:BC110)</f>
        <v>35</v>
      </c>
      <c r="BE110" s="1069"/>
      <c r="BF110" s="1069"/>
      <c r="BG110" s="1069"/>
      <c r="BH110" s="1070">
        <f>SUM(BE110:BG110)</f>
        <v>0</v>
      </c>
      <c r="BI110" s="1069"/>
      <c r="BJ110" s="1069"/>
      <c r="BK110" s="1069">
        <v>96</v>
      </c>
      <c r="BL110" s="1070">
        <f t="shared" si="65"/>
        <v>96</v>
      </c>
    </row>
    <row r="111" spans="1:64" s="212" customFormat="1" ht="15" x14ac:dyDescent="0.2">
      <c r="A111" s="6180"/>
      <c r="B111" s="6184"/>
      <c r="C111" s="6169"/>
      <c r="D111" s="1074" t="s">
        <v>143</v>
      </c>
      <c r="E111" s="1631"/>
      <c r="F111" s="1630"/>
      <c r="G111" s="1630"/>
      <c r="H111" s="1070"/>
      <c r="I111" s="1069">
        <v>6</v>
      </c>
      <c r="J111" s="1069"/>
      <c r="K111" s="1069"/>
      <c r="L111" s="1070">
        <f>SUM(I111:K111)</f>
        <v>6</v>
      </c>
      <c r="M111" s="1069">
        <v>6</v>
      </c>
      <c r="N111" s="1069"/>
      <c r="O111" s="1069"/>
      <c r="P111" s="1070">
        <f>SUM(M111:O111)</f>
        <v>6</v>
      </c>
      <c r="Q111" s="1069"/>
      <c r="R111" s="1069"/>
      <c r="S111" s="1069"/>
      <c r="T111" s="1070"/>
      <c r="U111" s="1069"/>
      <c r="V111" s="1069"/>
      <c r="W111" s="1069"/>
      <c r="X111" s="1070"/>
      <c r="Y111" s="1069">
        <v>3</v>
      </c>
      <c r="Z111" s="1069"/>
      <c r="AA111" s="1069"/>
      <c r="AB111" s="1070">
        <f>SUM(Y111:AA111)</f>
        <v>3</v>
      </c>
      <c r="AC111" s="1069">
        <v>13</v>
      </c>
      <c r="AD111" s="1069"/>
      <c r="AE111" s="1069"/>
      <c r="AF111" s="1070">
        <f>SUM(AC111:AE111)</f>
        <v>13</v>
      </c>
      <c r="AG111" s="1069"/>
      <c r="AH111" s="1069"/>
      <c r="AI111" s="1069"/>
      <c r="AJ111" s="1070"/>
      <c r="AK111" s="1069">
        <v>15</v>
      </c>
      <c r="AL111" s="1069"/>
      <c r="AM111" s="1069"/>
      <c r="AN111" s="1070">
        <f>SUM(AK111:AM111)</f>
        <v>15</v>
      </c>
      <c r="AO111" s="1069">
        <v>10</v>
      </c>
      <c r="AP111" s="1069"/>
      <c r="AQ111" s="1069"/>
      <c r="AR111" s="1070">
        <f>SUM(AO111:AQ111)</f>
        <v>10</v>
      </c>
      <c r="AS111" s="1069">
        <v>16</v>
      </c>
      <c r="AT111" s="1069"/>
      <c r="AU111" s="1069"/>
      <c r="AV111" s="1070">
        <f>SUM(AS111:AU111)</f>
        <v>16</v>
      </c>
      <c r="AW111" s="1069"/>
      <c r="AX111" s="1069"/>
      <c r="AY111" s="1069"/>
      <c r="AZ111" s="1070">
        <f>SUM(AW111:AY111)</f>
        <v>0</v>
      </c>
      <c r="BA111" s="1069">
        <v>9</v>
      </c>
      <c r="BB111" s="1069"/>
      <c r="BC111" s="1069"/>
      <c r="BD111" s="1070">
        <f>SUM(BA111:BC111)</f>
        <v>9</v>
      </c>
      <c r="BE111" s="1069"/>
      <c r="BF111" s="1069"/>
      <c r="BG111" s="1069"/>
      <c r="BH111" s="1070">
        <f>SUM(BE111:BG111)</f>
        <v>0</v>
      </c>
      <c r="BI111" s="1069"/>
      <c r="BJ111" s="1069"/>
      <c r="BK111" s="1069"/>
      <c r="BL111" s="1070">
        <f t="shared" si="65"/>
        <v>0</v>
      </c>
    </row>
    <row r="112" spans="1:64" s="212" customFormat="1" ht="15" x14ac:dyDescent="0.2">
      <c r="A112" s="6180"/>
      <c r="B112" s="6184"/>
      <c r="C112" s="6169"/>
      <c r="D112" s="1075" t="s">
        <v>20</v>
      </c>
      <c r="E112" s="1632"/>
      <c r="F112" s="1633"/>
      <c r="G112" s="1633"/>
      <c r="H112" s="1077"/>
      <c r="I112" s="1076"/>
      <c r="J112" s="1076"/>
      <c r="K112" s="1076"/>
      <c r="L112" s="1077"/>
      <c r="M112" s="1076">
        <v>89</v>
      </c>
      <c r="N112" s="1076"/>
      <c r="O112" s="1076"/>
      <c r="P112" s="1077">
        <f>SUM(M112:O112)</f>
        <v>89</v>
      </c>
      <c r="Q112" s="1076"/>
      <c r="R112" s="1076"/>
      <c r="S112" s="1076"/>
      <c r="T112" s="1077"/>
      <c r="U112" s="1076">
        <v>150</v>
      </c>
      <c r="V112" s="1076">
        <v>19</v>
      </c>
      <c r="W112" s="1076"/>
      <c r="X112" s="1077">
        <f>SUM(U112:W112)</f>
        <v>169</v>
      </c>
      <c r="Y112" s="1076">
        <v>14</v>
      </c>
      <c r="Z112" s="1076"/>
      <c r="AA112" s="1076"/>
      <c r="AB112" s="1077">
        <f>SUM(Y112:AA112)</f>
        <v>14</v>
      </c>
      <c r="AC112" s="1076">
        <v>141</v>
      </c>
      <c r="AD112" s="1076"/>
      <c r="AE112" s="1076"/>
      <c r="AF112" s="1077">
        <f>SUM(AC112:AE112)</f>
        <v>141</v>
      </c>
      <c r="AG112" s="1076"/>
      <c r="AH112" s="1076"/>
      <c r="AI112" s="1076"/>
      <c r="AJ112" s="1077"/>
      <c r="AK112" s="1076">
        <v>102</v>
      </c>
      <c r="AL112" s="1076"/>
      <c r="AM112" s="1076"/>
      <c r="AN112" s="1077">
        <f>SUM(AK112:AM112)</f>
        <v>102</v>
      </c>
      <c r="AO112" s="1076"/>
      <c r="AP112" s="1076"/>
      <c r="AQ112" s="1076"/>
      <c r="AR112" s="1077"/>
      <c r="AS112" s="1076">
        <v>124</v>
      </c>
      <c r="AT112" s="1076"/>
      <c r="AU112" s="1076"/>
      <c r="AV112" s="1070">
        <f>SUM(AS112:AU112)</f>
        <v>124</v>
      </c>
      <c r="AW112" s="1076"/>
      <c r="AX112" s="1076"/>
      <c r="AY112" s="1076"/>
      <c r="AZ112" s="1070">
        <f>SUM(AW112:AY112)</f>
        <v>0</v>
      </c>
      <c r="BA112" s="1076">
        <v>165</v>
      </c>
      <c r="BB112" s="1076"/>
      <c r="BC112" s="1076"/>
      <c r="BD112" s="1070">
        <f>SUM(BA112:BC112)</f>
        <v>165</v>
      </c>
      <c r="BE112" s="1076"/>
      <c r="BF112" s="1076"/>
      <c r="BG112" s="1076"/>
      <c r="BH112" s="1070">
        <f>SUM(BE112:BG112)</f>
        <v>0</v>
      </c>
      <c r="BI112" s="1076">
        <v>199</v>
      </c>
      <c r="BJ112" s="1076"/>
      <c r="BK112" s="1076"/>
      <c r="BL112" s="1070">
        <f t="shared" si="65"/>
        <v>199</v>
      </c>
    </row>
    <row r="113" spans="1:64" s="212" customFormat="1" ht="15" x14ac:dyDescent="0.2">
      <c r="A113" s="6180"/>
      <c r="B113" s="6184"/>
      <c r="C113" s="6169"/>
      <c r="D113" s="1075" t="s">
        <v>83</v>
      </c>
      <c r="E113" s="1632"/>
      <c r="F113" s="1633"/>
      <c r="G113" s="1633"/>
      <c r="H113" s="1077"/>
      <c r="I113" s="1076"/>
      <c r="J113" s="1076"/>
      <c r="K113" s="1076"/>
      <c r="L113" s="1077"/>
      <c r="M113" s="1076"/>
      <c r="N113" s="1076"/>
      <c r="O113" s="1076"/>
      <c r="P113" s="1077"/>
      <c r="Q113" s="1076"/>
      <c r="R113" s="1076"/>
      <c r="S113" s="1076"/>
      <c r="T113" s="1077"/>
      <c r="U113" s="1076"/>
      <c r="V113" s="1076"/>
      <c r="W113" s="1076"/>
      <c r="X113" s="1077"/>
      <c r="Y113" s="1076"/>
      <c r="Z113" s="1076"/>
      <c r="AA113" s="1076"/>
      <c r="AB113" s="1077"/>
      <c r="AC113" s="1076"/>
      <c r="AD113" s="1076"/>
      <c r="AE113" s="1076"/>
      <c r="AF113" s="1077"/>
      <c r="AG113" s="1076"/>
      <c r="AH113" s="1076"/>
      <c r="AI113" s="1076"/>
      <c r="AJ113" s="1077"/>
      <c r="AK113" s="1076"/>
      <c r="AL113" s="1076"/>
      <c r="AM113" s="1076"/>
      <c r="AN113" s="1077"/>
      <c r="AO113" s="1076"/>
      <c r="AP113" s="1076"/>
      <c r="AQ113" s="1076"/>
      <c r="AR113" s="1077"/>
      <c r="AS113" s="1076"/>
      <c r="AT113" s="1076"/>
      <c r="AU113" s="1076"/>
      <c r="AV113" s="1077"/>
      <c r="AW113" s="1076"/>
      <c r="AX113" s="1076"/>
      <c r="AY113" s="1076"/>
      <c r="AZ113" s="1077"/>
      <c r="BA113" s="1076"/>
      <c r="BB113" s="1076"/>
      <c r="BC113" s="1076"/>
      <c r="BD113" s="1077"/>
      <c r="BE113" s="1076"/>
      <c r="BF113" s="1076"/>
      <c r="BG113" s="1076"/>
      <c r="BH113" s="1077"/>
      <c r="BI113" s="1076"/>
      <c r="BJ113" s="1076"/>
      <c r="BK113" s="1076">
        <v>69</v>
      </c>
      <c r="BL113" s="1070">
        <f t="shared" si="65"/>
        <v>69</v>
      </c>
    </row>
    <row r="114" spans="1:64" s="212" customFormat="1" ht="15" x14ac:dyDescent="0.2">
      <c r="A114" s="6180"/>
      <c r="B114" s="6184"/>
      <c r="C114" s="6169"/>
      <c r="D114" s="1078" t="s">
        <v>1580</v>
      </c>
      <c r="E114" s="1632"/>
      <c r="F114" s="1633"/>
      <c r="G114" s="1633"/>
      <c r="H114" s="1077"/>
      <c r="I114" s="1076"/>
      <c r="J114" s="1076"/>
      <c r="K114" s="1076"/>
      <c r="L114" s="1077"/>
      <c r="M114" s="1076"/>
      <c r="N114" s="1076"/>
      <c r="O114" s="1076"/>
      <c r="P114" s="1077"/>
      <c r="Q114" s="1076"/>
      <c r="R114" s="1076"/>
      <c r="S114" s="1076"/>
      <c r="T114" s="1077"/>
      <c r="U114" s="1076"/>
      <c r="V114" s="1076"/>
      <c r="W114" s="1076"/>
      <c r="X114" s="1077"/>
      <c r="Y114" s="1076"/>
      <c r="Z114" s="1076"/>
      <c r="AA114" s="1076"/>
      <c r="AB114" s="1077"/>
      <c r="AC114" s="1076"/>
      <c r="AD114" s="1076"/>
      <c r="AE114" s="1076"/>
      <c r="AF114" s="1077"/>
      <c r="AG114" s="1076"/>
      <c r="AH114" s="1076"/>
      <c r="AI114" s="1076"/>
      <c r="AJ114" s="1077"/>
      <c r="AK114" s="1076"/>
      <c r="AL114" s="1076"/>
      <c r="AM114" s="1076"/>
      <c r="AN114" s="1077"/>
      <c r="AO114" s="1076"/>
      <c r="AP114" s="1076"/>
      <c r="AQ114" s="1076"/>
      <c r="AR114" s="1077"/>
      <c r="AS114" s="1076"/>
      <c r="AT114" s="1076"/>
      <c r="AU114" s="1076"/>
      <c r="AV114" s="1077"/>
      <c r="AW114" s="1076"/>
      <c r="AX114" s="1076"/>
      <c r="AY114" s="1076"/>
      <c r="AZ114" s="1077"/>
      <c r="BA114" s="1076"/>
      <c r="BB114" s="1076"/>
      <c r="BC114" s="1076"/>
      <c r="BD114" s="1077"/>
      <c r="BE114" s="1076"/>
      <c r="BF114" s="1076"/>
      <c r="BG114" s="1076"/>
      <c r="BH114" s="1077"/>
      <c r="BI114" s="1076">
        <v>1</v>
      </c>
      <c r="BJ114" s="1076"/>
      <c r="BK114" s="1076"/>
      <c r="BL114" s="1070">
        <f t="shared" si="65"/>
        <v>1</v>
      </c>
    </row>
    <row r="115" spans="1:64" s="212" customFormat="1" ht="15" x14ac:dyDescent="0.2">
      <c r="A115" s="6180"/>
      <c r="B115" s="6185"/>
      <c r="C115" s="5153"/>
      <c r="D115" s="1063" t="s">
        <v>160</v>
      </c>
      <c r="E115" s="1625">
        <f t="shared" ref="E115:AJ115" si="66">SUM(E97:E112)</f>
        <v>0</v>
      </c>
      <c r="F115" s="1626">
        <f t="shared" si="66"/>
        <v>48</v>
      </c>
      <c r="G115" s="1626">
        <f t="shared" si="66"/>
        <v>96</v>
      </c>
      <c r="H115" s="1627">
        <f t="shared" si="66"/>
        <v>144</v>
      </c>
      <c r="I115" s="1625">
        <f t="shared" si="66"/>
        <v>26</v>
      </c>
      <c r="J115" s="1626">
        <f t="shared" si="66"/>
        <v>0</v>
      </c>
      <c r="K115" s="1626">
        <f t="shared" si="66"/>
        <v>454</v>
      </c>
      <c r="L115" s="1628">
        <f t="shared" si="66"/>
        <v>480</v>
      </c>
      <c r="M115" s="1625">
        <f t="shared" si="66"/>
        <v>100</v>
      </c>
      <c r="N115" s="1626">
        <f t="shared" si="66"/>
        <v>0</v>
      </c>
      <c r="O115" s="1626">
        <f t="shared" si="66"/>
        <v>98</v>
      </c>
      <c r="P115" s="1628">
        <f t="shared" si="66"/>
        <v>198</v>
      </c>
      <c r="Q115" s="1625">
        <f t="shared" si="66"/>
        <v>13</v>
      </c>
      <c r="R115" s="1626">
        <f t="shared" si="66"/>
        <v>0</v>
      </c>
      <c r="S115" s="1626">
        <f t="shared" si="66"/>
        <v>359</v>
      </c>
      <c r="T115" s="1628">
        <f t="shared" si="66"/>
        <v>372</v>
      </c>
      <c r="U115" s="1625">
        <f t="shared" si="66"/>
        <v>150</v>
      </c>
      <c r="V115" s="1626">
        <f t="shared" si="66"/>
        <v>19</v>
      </c>
      <c r="W115" s="1626">
        <f t="shared" si="66"/>
        <v>137</v>
      </c>
      <c r="X115" s="1628">
        <f t="shared" si="66"/>
        <v>306</v>
      </c>
      <c r="Y115" s="1625">
        <f t="shared" si="66"/>
        <v>56</v>
      </c>
      <c r="Z115" s="1626">
        <f t="shared" si="66"/>
        <v>0</v>
      </c>
      <c r="AA115" s="1626">
        <f t="shared" si="66"/>
        <v>409</v>
      </c>
      <c r="AB115" s="1628">
        <f t="shared" si="66"/>
        <v>465</v>
      </c>
      <c r="AC115" s="1625">
        <f t="shared" si="66"/>
        <v>182</v>
      </c>
      <c r="AD115" s="1626">
        <f t="shared" si="66"/>
        <v>0</v>
      </c>
      <c r="AE115" s="1626">
        <f t="shared" si="66"/>
        <v>101</v>
      </c>
      <c r="AF115" s="1628">
        <f t="shared" si="66"/>
        <v>283</v>
      </c>
      <c r="AG115" s="1625">
        <f t="shared" si="66"/>
        <v>0</v>
      </c>
      <c r="AH115" s="1626">
        <f t="shared" si="66"/>
        <v>0</v>
      </c>
      <c r="AI115" s="1626">
        <f t="shared" si="66"/>
        <v>585</v>
      </c>
      <c r="AJ115" s="1628">
        <f t="shared" si="66"/>
        <v>585</v>
      </c>
      <c r="AK115" s="1625">
        <f t="shared" ref="AK115:BH115" si="67">SUM(AK97:AK112)</f>
        <v>149</v>
      </c>
      <c r="AL115" s="1626">
        <f t="shared" si="67"/>
        <v>0</v>
      </c>
      <c r="AM115" s="1626">
        <f t="shared" si="67"/>
        <v>132</v>
      </c>
      <c r="AN115" s="1628">
        <f t="shared" si="67"/>
        <v>281</v>
      </c>
      <c r="AO115" s="1625">
        <f t="shared" si="67"/>
        <v>86</v>
      </c>
      <c r="AP115" s="1626">
        <f t="shared" si="67"/>
        <v>0</v>
      </c>
      <c r="AQ115" s="1626">
        <f t="shared" si="67"/>
        <v>848</v>
      </c>
      <c r="AR115" s="1628">
        <f t="shared" si="67"/>
        <v>934</v>
      </c>
      <c r="AS115" s="1625">
        <f t="shared" si="67"/>
        <v>222</v>
      </c>
      <c r="AT115" s="1626">
        <f t="shared" si="67"/>
        <v>0</v>
      </c>
      <c r="AU115" s="1626">
        <f t="shared" si="67"/>
        <v>146</v>
      </c>
      <c r="AV115" s="1628">
        <f t="shared" si="67"/>
        <v>368</v>
      </c>
      <c r="AW115" s="1625">
        <f t="shared" si="67"/>
        <v>45</v>
      </c>
      <c r="AX115" s="1626">
        <f t="shared" si="67"/>
        <v>0</v>
      </c>
      <c r="AY115" s="1626">
        <f t="shared" si="67"/>
        <v>862</v>
      </c>
      <c r="AZ115" s="1628">
        <f t="shared" si="67"/>
        <v>907</v>
      </c>
      <c r="BA115" s="1625">
        <f t="shared" si="67"/>
        <v>195</v>
      </c>
      <c r="BB115" s="1626">
        <f t="shared" si="67"/>
        <v>0</v>
      </c>
      <c r="BC115" s="1626">
        <f t="shared" si="67"/>
        <v>142</v>
      </c>
      <c r="BD115" s="1628">
        <f t="shared" si="67"/>
        <v>337</v>
      </c>
      <c r="BE115" s="1625">
        <f t="shared" si="67"/>
        <v>44</v>
      </c>
      <c r="BF115" s="1626">
        <f t="shared" si="67"/>
        <v>0</v>
      </c>
      <c r="BG115" s="1626">
        <f t="shared" si="67"/>
        <v>694</v>
      </c>
      <c r="BH115" s="1628">
        <f t="shared" si="67"/>
        <v>738</v>
      </c>
      <c r="BI115" s="1625">
        <f>SUM(BI97:BI114)</f>
        <v>351</v>
      </c>
      <c r="BJ115" s="1626">
        <f t="shared" ref="BJ115:BL115" si="68">SUM(BJ97:BJ114)</f>
        <v>0</v>
      </c>
      <c r="BK115" s="1626">
        <f t="shared" si="68"/>
        <v>360</v>
      </c>
      <c r="BL115" s="1628">
        <f t="shared" si="68"/>
        <v>711</v>
      </c>
    </row>
    <row r="116" spans="1:64" s="212" customFormat="1" ht="15" x14ac:dyDescent="0.2">
      <c r="A116" s="6180"/>
      <c r="B116" s="6183" t="s">
        <v>11</v>
      </c>
      <c r="C116" s="6176" t="s">
        <v>522</v>
      </c>
      <c r="D116" s="1081" t="s">
        <v>392</v>
      </c>
      <c r="E116" s="1645"/>
      <c r="F116" s="1629"/>
      <c r="G116" s="1629"/>
      <c r="H116" s="1083"/>
      <c r="I116" s="1082">
        <v>27</v>
      </c>
      <c r="J116" s="1082"/>
      <c r="K116" s="1082"/>
      <c r="L116" s="1083">
        <f>SUM(I116:K116)</f>
        <v>27</v>
      </c>
      <c r="M116" s="1082"/>
      <c r="N116" s="1082"/>
      <c r="O116" s="1082"/>
      <c r="P116" s="1083"/>
      <c r="Q116" s="1082">
        <v>44</v>
      </c>
      <c r="R116" s="1082"/>
      <c r="S116" s="1082"/>
      <c r="T116" s="1083">
        <f>SUM(Q116:S116)</f>
        <v>44</v>
      </c>
      <c r="U116" s="1082">
        <v>28</v>
      </c>
      <c r="V116" s="1082"/>
      <c r="W116" s="1082"/>
      <c r="X116" s="1083">
        <f>SUM(U116:W116)</f>
        <v>28</v>
      </c>
      <c r="Y116" s="1082"/>
      <c r="Z116" s="1082"/>
      <c r="AA116" s="1082"/>
      <c r="AB116" s="1083"/>
      <c r="AC116" s="1082">
        <v>23</v>
      </c>
      <c r="AD116" s="1082"/>
      <c r="AE116" s="1082"/>
      <c r="AF116" s="1083">
        <f>SUM(AC116:AE116)</f>
        <v>23</v>
      </c>
      <c r="AG116" s="1082"/>
      <c r="AH116" s="1082">
        <v>5</v>
      </c>
      <c r="AI116" s="1082"/>
      <c r="AJ116" s="1083">
        <f>SUM(AG116:AI116)</f>
        <v>5</v>
      </c>
      <c r="AK116" s="1082">
        <v>92</v>
      </c>
      <c r="AL116" s="1082"/>
      <c r="AM116" s="1082"/>
      <c r="AN116" s="1083">
        <f t="shared" ref="AN116:AN138" si="69">SUM(AK116:AM116)</f>
        <v>92</v>
      </c>
      <c r="AO116" s="1082"/>
      <c r="AP116" s="1082"/>
      <c r="AQ116" s="1082"/>
      <c r="AR116" s="1083"/>
      <c r="AS116" s="1082">
        <v>79</v>
      </c>
      <c r="AT116" s="1082"/>
      <c r="AU116" s="1082"/>
      <c r="AV116" s="1070">
        <f>SUM(AS116:AU116)</f>
        <v>79</v>
      </c>
      <c r="AW116" s="1082"/>
      <c r="AX116" s="1082"/>
      <c r="AY116" s="1082"/>
      <c r="AZ116" s="1070">
        <f t="shared" ref="AZ116:AZ123" si="70">SUM(AW116:AY116)</f>
        <v>0</v>
      </c>
      <c r="BA116" s="1082">
        <v>79</v>
      </c>
      <c r="BB116" s="1082"/>
      <c r="BC116" s="1082"/>
      <c r="BD116" s="1070">
        <f t="shared" ref="BD116:BD129" si="71">SUM(BA116:BC116)</f>
        <v>79</v>
      </c>
      <c r="BE116" s="1082"/>
      <c r="BF116" s="1082"/>
      <c r="BG116" s="1082"/>
      <c r="BH116" s="1070">
        <f t="shared" ref="BH116:BH129" si="72">SUM(BE116:BG116)</f>
        <v>0</v>
      </c>
      <c r="BI116" s="1082"/>
      <c r="BJ116" s="1082"/>
      <c r="BK116" s="1082"/>
      <c r="BL116" s="1070">
        <f t="shared" ref="BL116:BL129" si="73">SUM(BI116:BK116)</f>
        <v>0</v>
      </c>
    </row>
    <row r="117" spans="1:64" s="212" customFormat="1" ht="15" x14ac:dyDescent="0.2">
      <c r="A117" s="6180"/>
      <c r="B117" s="6183"/>
      <c r="C117" s="6174"/>
      <c r="D117" s="1078" t="s">
        <v>394</v>
      </c>
      <c r="E117" s="1631"/>
      <c r="F117" s="1630"/>
      <c r="G117" s="1630"/>
      <c r="H117" s="1070"/>
      <c r="I117" s="1069"/>
      <c r="J117" s="1069"/>
      <c r="K117" s="1069"/>
      <c r="L117" s="1070">
        <f>SUM(I117:K117)</f>
        <v>0</v>
      </c>
      <c r="M117" s="1069"/>
      <c r="N117" s="1069"/>
      <c r="O117" s="1069"/>
      <c r="P117" s="1070"/>
      <c r="Q117" s="1069"/>
      <c r="R117" s="1069"/>
      <c r="S117" s="1069"/>
      <c r="T117" s="1070"/>
      <c r="U117" s="1069"/>
      <c r="V117" s="1069"/>
      <c r="W117" s="1069"/>
      <c r="X117" s="1070"/>
      <c r="Y117" s="1069">
        <v>40</v>
      </c>
      <c r="Z117" s="1069"/>
      <c r="AA117" s="1069"/>
      <c r="AB117" s="1070">
        <f>SUM(Y117:AA117)</f>
        <v>40</v>
      </c>
      <c r="AC117" s="1069"/>
      <c r="AD117" s="1069"/>
      <c r="AE117" s="1069"/>
      <c r="AF117" s="1070"/>
      <c r="AG117" s="1069"/>
      <c r="AH117" s="1069"/>
      <c r="AI117" s="1069"/>
      <c r="AJ117" s="1070"/>
      <c r="AK117" s="1069"/>
      <c r="AL117" s="1069"/>
      <c r="AM117" s="1069"/>
      <c r="AN117" s="1070"/>
      <c r="AO117" s="1069"/>
      <c r="AP117" s="1069"/>
      <c r="AQ117" s="1069"/>
      <c r="AR117" s="1070"/>
      <c r="AS117" s="1069"/>
      <c r="AT117" s="1069"/>
      <c r="AU117" s="1069"/>
      <c r="AV117" s="1070"/>
      <c r="AW117" s="1069"/>
      <c r="AX117" s="1069"/>
      <c r="AY117" s="1069"/>
      <c r="AZ117" s="1070">
        <f t="shared" si="70"/>
        <v>0</v>
      </c>
      <c r="BA117" s="1069"/>
      <c r="BB117" s="1069"/>
      <c r="BC117" s="1069"/>
      <c r="BD117" s="1070">
        <f t="shared" si="71"/>
        <v>0</v>
      </c>
      <c r="BE117" s="1069"/>
      <c r="BF117" s="1069"/>
      <c r="BG117" s="1069"/>
      <c r="BH117" s="1070">
        <f t="shared" si="72"/>
        <v>0</v>
      </c>
      <c r="BI117" s="1069"/>
      <c r="BJ117" s="1069"/>
      <c r="BK117" s="1069"/>
      <c r="BL117" s="1070">
        <f t="shared" si="73"/>
        <v>0</v>
      </c>
    </row>
    <row r="118" spans="1:64" s="212" customFormat="1" ht="15" x14ac:dyDescent="0.2">
      <c r="A118" s="6180"/>
      <c r="B118" s="6183"/>
      <c r="C118" s="6175"/>
      <c r="D118" s="1078" t="s">
        <v>91</v>
      </c>
      <c r="E118" s="1631"/>
      <c r="F118" s="1630"/>
      <c r="G118" s="1630"/>
      <c r="H118" s="1070"/>
      <c r="I118" s="1069"/>
      <c r="J118" s="1069"/>
      <c r="K118" s="1069"/>
      <c r="L118" s="1070">
        <v>0</v>
      </c>
      <c r="M118" s="1069"/>
      <c r="N118" s="1069"/>
      <c r="O118" s="1069"/>
      <c r="P118" s="1070"/>
      <c r="Q118" s="1069"/>
      <c r="R118" s="1069"/>
      <c r="S118" s="1069"/>
      <c r="T118" s="1070"/>
      <c r="U118" s="1069"/>
      <c r="V118" s="1069"/>
      <c r="W118" s="1069"/>
      <c r="X118" s="1070"/>
      <c r="Y118" s="1069"/>
      <c r="Z118" s="1069"/>
      <c r="AA118" s="1069"/>
      <c r="AB118" s="1070"/>
      <c r="AC118" s="1069"/>
      <c r="AD118" s="1069"/>
      <c r="AE118" s="1069"/>
      <c r="AF118" s="1070"/>
      <c r="AG118" s="1069"/>
      <c r="AH118" s="1069"/>
      <c r="AI118" s="1069"/>
      <c r="AJ118" s="1070"/>
      <c r="AK118" s="1069"/>
      <c r="AL118" s="1069"/>
      <c r="AM118" s="1069"/>
      <c r="AN118" s="1070"/>
      <c r="AO118" s="1069"/>
      <c r="AP118" s="1069"/>
      <c r="AQ118" s="1069"/>
      <c r="AR118" s="1070"/>
      <c r="AS118" s="1069"/>
      <c r="AT118" s="1069"/>
      <c r="AU118" s="1069"/>
      <c r="AV118" s="1070"/>
      <c r="AW118" s="1069"/>
      <c r="AX118" s="1069"/>
      <c r="AY118" s="1069"/>
      <c r="AZ118" s="1070">
        <f t="shared" si="70"/>
        <v>0</v>
      </c>
      <c r="BA118" s="1069"/>
      <c r="BB118" s="1069"/>
      <c r="BC118" s="1069"/>
      <c r="BD118" s="1070">
        <f t="shared" si="71"/>
        <v>0</v>
      </c>
      <c r="BE118" s="1069"/>
      <c r="BF118" s="1069"/>
      <c r="BG118" s="1069"/>
      <c r="BH118" s="1070">
        <f t="shared" si="72"/>
        <v>0</v>
      </c>
      <c r="BI118" s="1069"/>
      <c r="BJ118" s="1069"/>
      <c r="BK118" s="1069"/>
      <c r="BL118" s="1070">
        <f t="shared" si="73"/>
        <v>0</v>
      </c>
    </row>
    <row r="119" spans="1:64" s="212" customFormat="1" ht="15" x14ac:dyDescent="0.2">
      <c r="A119" s="6180"/>
      <c r="B119" s="6183"/>
      <c r="C119" s="6176" t="s">
        <v>521</v>
      </c>
      <c r="D119" s="1078" t="s">
        <v>94</v>
      </c>
      <c r="E119" s="1631"/>
      <c r="F119" s="1630"/>
      <c r="G119" s="1630">
        <v>51</v>
      </c>
      <c r="H119" s="1070">
        <f>SUM(E119:G119)</f>
        <v>51</v>
      </c>
      <c r="I119" s="1069"/>
      <c r="J119" s="1069"/>
      <c r="K119" s="1069"/>
      <c r="L119" s="1070">
        <f t="shared" ref="L119:L134" si="74">SUM(I119:K119)</f>
        <v>0</v>
      </c>
      <c r="M119" s="1069"/>
      <c r="N119" s="1069"/>
      <c r="O119" s="1069">
        <v>41</v>
      </c>
      <c r="P119" s="1070">
        <f t="shared" ref="P119:P131" si="75">SUM(M119:O119)</f>
        <v>41</v>
      </c>
      <c r="Q119" s="1069"/>
      <c r="R119" s="1069"/>
      <c r="S119" s="1069"/>
      <c r="T119" s="1070"/>
      <c r="U119" s="1069"/>
      <c r="V119" s="1069"/>
      <c r="W119" s="1069">
        <v>55</v>
      </c>
      <c r="X119" s="1070">
        <f t="shared" ref="X119:X134" si="76">SUM(U119:W119)</f>
        <v>55</v>
      </c>
      <c r="Y119" s="1069"/>
      <c r="Z119" s="1069"/>
      <c r="AA119" s="1069"/>
      <c r="AB119" s="1070"/>
      <c r="AC119" s="1069"/>
      <c r="AD119" s="1069"/>
      <c r="AE119" s="1069">
        <v>60</v>
      </c>
      <c r="AF119" s="1070">
        <f t="shared" ref="AF119:AF134" si="77">SUM(AC119:AE119)</f>
        <v>60</v>
      </c>
      <c r="AG119" s="1069"/>
      <c r="AH119" s="1069"/>
      <c r="AI119" s="1069"/>
      <c r="AJ119" s="1070"/>
      <c r="AK119" s="1069"/>
      <c r="AL119" s="1069"/>
      <c r="AM119" s="1069">
        <v>46</v>
      </c>
      <c r="AN119" s="1070">
        <f t="shared" si="69"/>
        <v>46</v>
      </c>
      <c r="AO119" s="1069"/>
      <c r="AP119" s="1069"/>
      <c r="AQ119" s="1069"/>
      <c r="AR119" s="1070"/>
      <c r="AS119" s="1069"/>
      <c r="AT119" s="1069"/>
      <c r="AU119" s="1069">
        <v>64</v>
      </c>
      <c r="AV119" s="1070">
        <f>SUM(AS119:AU119)</f>
        <v>64</v>
      </c>
      <c r="AW119" s="1069"/>
      <c r="AX119" s="1069"/>
      <c r="AY119" s="1069"/>
      <c r="AZ119" s="1070">
        <f t="shared" si="70"/>
        <v>0</v>
      </c>
      <c r="BA119" s="1069"/>
      <c r="BB119" s="1069"/>
      <c r="BC119" s="1069">
        <v>64</v>
      </c>
      <c r="BD119" s="1070">
        <f t="shared" si="71"/>
        <v>64</v>
      </c>
      <c r="BE119" s="1069"/>
      <c r="BF119" s="1069"/>
      <c r="BG119" s="1069"/>
      <c r="BH119" s="1070">
        <f t="shared" si="72"/>
        <v>0</v>
      </c>
      <c r="BI119" s="1069"/>
      <c r="BJ119" s="1069"/>
      <c r="BK119" s="1069">
        <v>23</v>
      </c>
      <c r="BL119" s="1070">
        <f t="shared" si="73"/>
        <v>23</v>
      </c>
    </row>
    <row r="120" spans="1:64" s="212" customFormat="1" ht="15" x14ac:dyDescent="0.2">
      <c r="A120" s="6180"/>
      <c r="B120" s="6183"/>
      <c r="C120" s="6174"/>
      <c r="D120" s="1081" t="s">
        <v>567</v>
      </c>
      <c r="E120" s="1631"/>
      <c r="F120" s="1630"/>
      <c r="G120" s="1630"/>
      <c r="H120" s="1070"/>
      <c r="I120" s="1069"/>
      <c r="J120" s="1069"/>
      <c r="K120" s="1069"/>
      <c r="L120" s="1070"/>
      <c r="M120" s="1069"/>
      <c r="N120" s="1069"/>
      <c r="O120" s="1069"/>
      <c r="P120" s="1070"/>
      <c r="Q120" s="1069"/>
      <c r="R120" s="1069"/>
      <c r="S120" s="1069"/>
      <c r="T120" s="1070"/>
      <c r="U120" s="1069"/>
      <c r="V120" s="1069"/>
      <c r="W120" s="1069"/>
      <c r="X120" s="1070"/>
      <c r="Y120" s="1069"/>
      <c r="Z120" s="1069"/>
      <c r="AA120" s="1069"/>
      <c r="AB120" s="1070"/>
      <c r="AC120" s="1069"/>
      <c r="AD120" s="1069"/>
      <c r="AE120" s="1069"/>
      <c r="AF120" s="1070"/>
      <c r="AG120" s="1069"/>
      <c r="AH120" s="1069"/>
      <c r="AI120" s="1069"/>
      <c r="AJ120" s="1070"/>
      <c r="AK120" s="1069"/>
      <c r="AL120" s="1069"/>
      <c r="AM120" s="1069"/>
      <c r="AN120" s="1070"/>
      <c r="AO120" s="1069"/>
      <c r="AP120" s="1069"/>
      <c r="AQ120" s="1069"/>
      <c r="AR120" s="1070"/>
      <c r="AS120" s="1069"/>
      <c r="AT120" s="1069"/>
      <c r="AU120" s="1069"/>
      <c r="AV120" s="1070"/>
      <c r="AW120" s="1069"/>
      <c r="AX120" s="1069"/>
      <c r="AY120" s="1069"/>
      <c r="AZ120" s="1070"/>
      <c r="BA120" s="1069"/>
      <c r="BB120" s="1069"/>
      <c r="BC120" s="1069"/>
      <c r="BD120" s="1070"/>
      <c r="BE120" s="1069"/>
      <c r="BF120" s="1069"/>
      <c r="BG120" s="1069"/>
      <c r="BH120" s="1070"/>
      <c r="BI120" s="1069">
        <v>52</v>
      </c>
      <c r="BJ120" s="1069"/>
      <c r="BK120" s="1069"/>
      <c r="BL120" s="1070">
        <f t="shared" si="73"/>
        <v>52</v>
      </c>
    </row>
    <row r="121" spans="1:64" s="212" customFormat="1" ht="15" x14ac:dyDescent="0.25">
      <c r="A121" s="6180"/>
      <c r="B121" s="6183"/>
      <c r="C121" s="6174"/>
      <c r="D121" s="1078" t="s">
        <v>93</v>
      </c>
      <c r="E121" s="1631"/>
      <c r="F121" s="1630"/>
      <c r="G121" s="1630"/>
      <c r="H121" s="1070"/>
      <c r="I121" s="1069">
        <v>46</v>
      </c>
      <c r="J121" s="1069"/>
      <c r="K121" s="1069"/>
      <c r="L121" s="1070">
        <f t="shared" si="74"/>
        <v>46</v>
      </c>
      <c r="M121" s="1069"/>
      <c r="N121" s="1069"/>
      <c r="O121" s="1069">
        <v>41</v>
      </c>
      <c r="P121" s="1070">
        <f t="shared" si="75"/>
        <v>41</v>
      </c>
      <c r="Q121" s="1069"/>
      <c r="R121" s="1069"/>
      <c r="S121" s="1069">
        <v>31</v>
      </c>
      <c r="T121" s="1070">
        <f t="shared" ref="T121:T134" si="78">SUM(Q121:S121)</f>
        <v>31</v>
      </c>
      <c r="U121" s="1069"/>
      <c r="V121" s="1069"/>
      <c r="W121" s="1069">
        <v>38</v>
      </c>
      <c r="X121" s="1070">
        <f t="shared" si="76"/>
        <v>38</v>
      </c>
      <c r="Y121" s="1069"/>
      <c r="Z121" s="1069"/>
      <c r="AA121" s="1069">
        <v>28</v>
      </c>
      <c r="AB121" s="1070">
        <f t="shared" ref="AB121:AB134" si="79">SUM(Y121:AA121)</f>
        <v>28</v>
      </c>
      <c r="AC121" s="1069"/>
      <c r="AD121" s="1069"/>
      <c r="AE121" s="1069">
        <v>43</v>
      </c>
      <c r="AF121" s="1070">
        <f t="shared" si="77"/>
        <v>43</v>
      </c>
      <c r="AG121" s="1069"/>
      <c r="AH121" s="1638">
        <v>63</v>
      </c>
      <c r="AI121" s="1069"/>
      <c r="AJ121" s="1070">
        <f t="shared" ref="AJ121:AJ134" si="80">SUM(AG121:AI121)</f>
        <v>63</v>
      </c>
      <c r="AK121" s="1069"/>
      <c r="AL121" s="1638"/>
      <c r="AM121" s="1069">
        <v>77</v>
      </c>
      <c r="AN121" s="1070">
        <f t="shared" si="69"/>
        <v>77</v>
      </c>
      <c r="AO121" s="1069"/>
      <c r="AP121" s="1638"/>
      <c r="AQ121" s="1069">
        <v>94</v>
      </c>
      <c r="AR121" s="1070">
        <f t="shared" ref="AR121:AR138" si="81">SUM(AO121:AQ121)</f>
        <v>94</v>
      </c>
      <c r="AS121" s="1069"/>
      <c r="AT121" s="1638"/>
      <c r="AU121" s="1069">
        <v>91</v>
      </c>
      <c r="AV121" s="1070">
        <f t="shared" ref="AV121:AV129" si="82">SUM(AS121:AU121)</f>
        <v>91</v>
      </c>
      <c r="AW121" s="1069"/>
      <c r="AX121" s="1638"/>
      <c r="AY121" s="1069">
        <v>96</v>
      </c>
      <c r="AZ121" s="1070">
        <f t="shared" si="70"/>
        <v>96</v>
      </c>
      <c r="BA121" s="1069"/>
      <c r="BB121" s="1638"/>
      <c r="BC121" s="1069">
        <v>79</v>
      </c>
      <c r="BD121" s="1070">
        <f t="shared" si="71"/>
        <v>79</v>
      </c>
      <c r="BE121" s="1069"/>
      <c r="BF121" s="1638"/>
      <c r="BG121" s="1069">
        <v>106</v>
      </c>
      <c r="BH121" s="1070">
        <f t="shared" si="72"/>
        <v>106</v>
      </c>
      <c r="BI121" s="1069"/>
      <c r="BJ121" s="1638"/>
      <c r="BK121" s="1069">
        <v>96</v>
      </c>
      <c r="BL121" s="1070">
        <f t="shared" si="73"/>
        <v>96</v>
      </c>
    </row>
    <row r="122" spans="1:64" s="212" customFormat="1" ht="15" x14ac:dyDescent="0.25">
      <c r="A122" s="6180"/>
      <c r="B122" s="6183"/>
      <c r="C122" s="6174"/>
      <c r="D122" s="1078" t="s">
        <v>395</v>
      </c>
      <c r="E122" s="1631"/>
      <c r="F122" s="1630">
        <v>28</v>
      </c>
      <c r="G122" s="1630"/>
      <c r="H122" s="1070">
        <f t="shared" ref="H122:H131" si="83">SUM(E122:G122)</f>
        <v>28</v>
      </c>
      <c r="I122" s="1069"/>
      <c r="J122" s="1069"/>
      <c r="K122" s="1069"/>
      <c r="L122" s="1070"/>
      <c r="M122" s="1069">
        <v>22</v>
      </c>
      <c r="N122" s="1069"/>
      <c r="O122" s="1069"/>
      <c r="P122" s="1070">
        <f t="shared" si="75"/>
        <v>22</v>
      </c>
      <c r="Q122" s="1069"/>
      <c r="R122" s="1069"/>
      <c r="S122" s="1069">
        <v>24</v>
      </c>
      <c r="T122" s="1070">
        <f t="shared" si="78"/>
        <v>24</v>
      </c>
      <c r="U122" s="1069"/>
      <c r="V122" s="1069"/>
      <c r="W122" s="1069"/>
      <c r="X122" s="1070"/>
      <c r="Y122" s="1069"/>
      <c r="Z122" s="1069">
        <v>29</v>
      </c>
      <c r="AA122" s="1069"/>
      <c r="AB122" s="1070">
        <f t="shared" si="79"/>
        <v>29</v>
      </c>
      <c r="AC122" s="1069"/>
      <c r="AD122" s="1069"/>
      <c r="AE122" s="1069"/>
      <c r="AF122" s="1070"/>
      <c r="AG122" s="1069"/>
      <c r="AH122" s="1638">
        <v>32</v>
      </c>
      <c r="AI122" s="1069"/>
      <c r="AJ122" s="1070">
        <f t="shared" si="80"/>
        <v>32</v>
      </c>
      <c r="AK122" s="1069"/>
      <c r="AL122" s="1638"/>
      <c r="AM122" s="1069">
        <v>35</v>
      </c>
      <c r="AN122" s="1070">
        <f t="shared" si="69"/>
        <v>35</v>
      </c>
      <c r="AO122" s="1069"/>
      <c r="AP122" s="1638"/>
      <c r="AQ122" s="1069"/>
      <c r="AR122" s="1070"/>
      <c r="AS122" s="1069"/>
      <c r="AT122" s="1638">
        <v>38</v>
      </c>
      <c r="AU122" s="1069"/>
      <c r="AV122" s="1070">
        <f t="shared" si="82"/>
        <v>38</v>
      </c>
      <c r="AW122" s="1069"/>
      <c r="AX122" s="1638"/>
      <c r="AY122" s="1069"/>
      <c r="AZ122" s="1070">
        <f t="shared" si="70"/>
        <v>0</v>
      </c>
      <c r="BA122" s="1069">
        <v>42</v>
      </c>
      <c r="BB122" s="1638"/>
      <c r="BC122" s="1069"/>
      <c r="BD122" s="1070">
        <f t="shared" si="71"/>
        <v>42</v>
      </c>
      <c r="BE122" s="1069"/>
      <c r="BF122" s="1638"/>
      <c r="BG122" s="1069">
        <v>45</v>
      </c>
      <c r="BH122" s="1070">
        <f t="shared" si="72"/>
        <v>45</v>
      </c>
      <c r="BI122" s="1069"/>
      <c r="BJ122" s="1638"/>
      <c r="BK122" s="1069"/>
      <c r="BL122" s="1070">
        <f t="shared" si="73"/>
        <v>0</v>
      </c>
    </row>
    <row r="123" spans="1:64" s="212" customFormat="1" ht="15" x14ac:dyDescent="0.25">
      <c r="A123" s="6180"/>
      <c r="B123" s="6183"/>
      <c r="C123" s="6174"/>
      <c r="D123" s="1078" t="s">
        <v>437</v>
      </c>
      <c r="E123" s="1631"/>
      <c r="F123" s="1630"/>
      <c r="G123" s="1630">
        <v>13</v>
      </c>
      <c r="H123" s="1070">
        <f t="shared" si="83"/>
        <v>13</v>
      </c>
      <c r="I123" s="1069"/>
      <c r="J123" s="1069"/>
      <c r="K123" s="1069"/>
      <c r="L123" s="1070"/>
      <c r="M123" s="1069"/>
      <c r="N123" s="1069"/>
      <c r="O123" s="1069">
        <v>10</v>
      </c>
      <c r="P123" s="1070">
        <f t="shared" si="75"/>
        <v>10</v>
      </c>
      <c r="Q123" s="1069"/>
      <c r="R123" s="1069"/>
      <c r="S123" s="1069"/>
      <c r="T123" s="1070"/>
      <c r="U123" s="1069"/>
      <c r="V123" s="1069"/>
      <c r="W123" s="1069">
        <v>13</v>
      </c>
      <c r="X123" s="1070">
        <f t="shared" si="76"/>
        <v>13</v>
      </c>
      <c r="Y123" s="1069"/>
      <c r="Z123" s="1069"/>
      <c r="AA123" s="1069"/>
      <c r="AB123" s="1070"/>
      <c r="AC123" s="1069"/>
      <c r="AD123" s="1069"/>
      <c r="AE123" s="1069"/>
      <c r="AF123" s="1070"/>
      <c r="AG123" s="1069"/>
      <c r="AH123" s="1069"/>
      <c r="AI123" s="1072">
        <v>8</v>
      </c>
      <c r="AJ123" s="1070">
        <f t="shared" si="80"/>
        <v>8</v>
      </c>
      <c r="AK123" s="1069"/>
      <c r="AL123" s="1069"/>
      <c r="AM123" s="1638"/>
      <c r="AN123" s="1070"/>
      <c r="AO123" s="1069"/>
      <c r="AP123" s="1069"/>
      <c r="AQ123" s="1638">
        <v>9</v>
      </c>
      <c r="AR123" s="1070">
        <f t="shared" si="81"/>
        <v>9</v>
      </c>
      <c r="AS123" s="1069"/>
      <c r="AT123" s="1069"/>
      <c r="AU123" s="1638"/>
      <c r="AV123" s="1070"/>
      <c r="AW123" s="1069"/>
      <c r="AX123" s="1069"/>
      <c r="AY123" s="1638"/>
      <c r="AZ123" s="1070">
        <f t="shared" si="70"/>
        <v>0</v>
      </c>
      <c r="BA123" s="1069"/>
      <c r="BB123" s="1069"/>
      <c r="BC123" s="1638">
        <v>11</v>
      </c>
      <c r="BD123" s="1070">
        <f t="shared" si="71"/>
        <v>11</v>
      </c>
      <c r="BE123" s="1069"/>
      <c r="BF123" s="1069"/>
      <c r="BG123" s="1638"/>
      <c r="BH123" s="1070">
        <f t="shared" si="72"/>
        <v>0</v>
      </c>
      <c r="BI123" s="1069"/>
      <c r="BJ123" s="1069"/>
      <c r="BK123" s="1638">
        <v>17</v>
      </c>
      <c r="BL123" s="1070">
        <f t="shared" si="73"/>
        <v>17</v>
      </c>
    </row>
    <row r="124" spans="1:64" s="212" customFormat="1" ht="15" x14ac:dyDescent="0.25">
      <c r="A124" s="6180"/>
      <c r="B124" s="6183"/>
      <c r="C124" s="6174"/>
      <c r="D124" s="1078" t="s">
        <v>95</v>
      </c>
      <c r="E124" s="1631"/>
      <c r="F124" s="1630">
        <v>3</v>
      </c>
      <c r="G124" s="1630"/>
      <c r="H124" s="1070">
        <f t="shared" si="83"/>
        <v>3</v>
      </c>
      <c r="I124" s="1069">
        <v>14</v>
      </c>
      <c r="J124" s="1069"/>
      <c r="K124" s="1069">
        <v>14</v>
      </c>
      <c r="L124" s="1070">
        <f t="shared" si="74"/>
        <v>28</v>
      </c>
      <c r="M124" s="1069">
        <v>7</v>
      </c>
      <c r="N124" s="1069">
        <v>9</v>
      </c>
      <c r="O124" s="1069">
        <v>20</v>
      </c>
      <c r="P124" s="1070">
        <f t="shared" si="75"/>
        <v>36</v>
      </c>
      <c r="Q124" s="1069">
        <v>11</v>
      </c>
      <c r="R124" s="1069">
        <v>9</v>
      </c>
      <c r="S124" s="1069">
        <v>18</v>
      </c>
      <c r="T124" s="1070">
        <f t="shared" si="78"/>
        <v>38</v>
      </c>
      <c r="U124" s="1069">
        <v>14</v>
      </c>
      <c r="V124" s="1069">
        <v>24</v>
      </c>
      <c r="W124" s="1069">
        <v>21</v>
      </c>
      <c r="X124" s="1070">
        <f t="shared" si="76"/>
        <v>59</v>
      </c>
      <c r="Y124" s="1069">
        <v>23</v>
      </c>
      <c r="Z124" s="1069">
        <v>22</v>
      </c>
      <c r="AA124" s="1069">
        <v>22</v>
      </c>
      <c r="AB124" s="1070">
        <f t="shared" si="79"/>
        <v>67</v>
      </c>
      <c r="AC124" s="1069">
        <v>17</v>
      </c>
      <c r="AD124" s="1069">
        <v>12</v>
      </c>
      <c r="AE124" s="1069">
        <v>25</v>
      </c>
      <c r="AF124" s="1070">
        <f t="shared" si="77"/>
        <v>54</v>
      </c>
      <c r="AG124" s="1638">
        <v>19</v>
      </c>
      <c r="AH124" s="1638">
        <v>15</v>
      </c>
      <c r="AI124" s="1646">
        <v>25</v>
      </c>
      <c r="AJ124" s="1070">
        <f>SUM(AG124:AI124)</f>
        <v>59</v>
      </c>
      <c r="AK124" s="1638">
        <v>28</v>
      </c>
      <c r="AL124" s="1638">
        <v>23</v>
      </c>
      <c r="AM124" s="1646">
        <v>15</v>
      </c>
      <c r="AN124" s="1070">
        <f t="shared" si="69"/>
        <v>66</v>
      </c>
      <c r="AO124" s="1638">
        <v>17</v>
      </c>
      <c r="AP124" s="1638">
        <v>28</v>
      </c>
      <c r="AQ124" s="1646">
        <v>15</v>
      </c>
      <c r="AR124" s="1070">
        <f t="shared" si="81"/>
        <v>60</v>
      </c>
      <c r="AS124" s="1638">
        <v>22</v>
      </c>
      <c r="AT124" s="1638">
        <v>27</v>
      </c>
      <c r="AU124" s="1646">
        <v>26</v>
      </c>
      <c r="AV124" s="1070">
        <f t="shared" si="82"/>
        <v>75</v>
      </c>
      <c r="AW124" s="1638">
        <v>31</v>
      </c>
      <c r="AX124" s="1638">
        <v>21</v>
      </c>
      <c r="AY124" s="1646">
        <v>17</v>
      </c>
      <c r="AZ124" s="1070">
        <f t="shared" ref="AZ124:AZ129" si="84">SUM(AW124:AY124)</f>
        <v>69</v>
      </c>
      <c r="BA124" s="1638">
        <v>22</v>
      </c>
      <c r="BB124" s="1638">
        <v>31</v>
      </c>
      <c r="BC124" s="1646">
        <v>22</v>
      </c>
      <c r="BD124" s="1070">
        <f t="shared" si="71"/>
        <v>75</v>
      </c>
      <c r="BE124" s="1638">
        <v>21</v>
      </c>
      <c r="BF124" s="1638">
        <v>31</v>
      </c>
      <c r="BG124" s="1646">
        <v>32</v>
      </c>
      <c r="BH124" s="1070">
        <f t="shared" si="72"/>
        <v>84</v>
      </c>
      <c r="BI124" s="1638">
        <v>20</v>
      </c>
      <c r="BJ124" s="1638">
        <v>18</v>
      </c>
      <c r="BK124" s="1646">
        <v>24</v>
      </c>
      <c r="BL124" s="1070">
        <f t="shared" si="73"/>
        <v>62</v>
      </c>
    </row>
    <row r="125" spans="1:64" s="212" customFormat="1" ht="15" x14ac:dyDescent="0.25">
      <c r="A125" s="6180"/>
      <c r="B125" s="6183"/>
      <c r="C125" s="6174"/>
      <c r="D125" s="1078" t="s">
        <v>92</v>
      </c>
      <c r="E125" s="1631"/>
      <c r="F125" s="1630"/>
      <c r="G125" s="1630">
        <v>14</v>
      </c>
      <c r="H125" s="1070">
        <f t="shared" si="83"/>
        <v>14</v>
      </c>
      <c r="I125" s="1069"/>
      <c r="J125" s="1069"/>
      <c r="K125" s="1069">
        <v>14</v>
      </c>
      <c r="L125" s="1070">
        <f t="shared" si="74"/>
        <v>14</v>
      </c>
      <c r="M125" s="1069"/>
      <c r="N125" s="1069"/>
      <c r="O125" s="1069">
        <v>34</v>
      </c>
      <c r="P125" s="1070">
        <f t="shared" si="75"/>
        <v>34</v>
      </c>
      <c r="Q125" s="1069"/>
      <c r="R125" s="1069"/>
      <c r="S125" s="1069">
        <v>33</v>
      </c>
      <c r="T125" s="1070">
        <f t="shared" si="78"/>
        <v>33</v>
      </c>
      <c r="U125" s="1069"/>
      <c r="V125" s="1069"/>
      <c r="W125" s="1069">
        <v>25</v>
      </c>
      <c r="X125" s="1070">
        <f t="shared" si="76"/>
        <v>25</v>
      </c>
      <c r="Y125" s="1069"/>
      <c r="Z125" s="1069"/>
      <c r="AA125" s="1069">
        <v>31</v>
      </c>
      <c r="AB125" s="1070">
        <f t="shared" si="79"/>
        <v>31</v>
      </c>
      <c r="AC125" s="1069"/>
      <c r="AD125" s="1069"/>
      <c r="AE125" s="1069">
        <v>49</v>
      </c>
      <c r="AF125" s="1070">
        <f t="shared" si="77"/>
        <v>49</v>
      </c>
      <c r="AG125" s="1072"/>
      <c r="AH125" s="1072"/>
      <c r="AI125" s="1638">
        <v>51</v>
      </c>
      <c r="AJ125" s="1070">
        <f>SUM(AG125:AI125)</f>
        <v>51</v>
      </c>
      <c r="AK125" s="1072"/>
      <c r="AL125" s="1072">
        <v>24</v>
      </c>
      <c r="AM125" s="1638">
        <v>22</v>
      </c>
      <c r="AN125" s="1070">
        <f t="shared" si="69"/>
        <v>46</v>
      </c>
      <c r="AO125" s="1072"/>
      <c r="AP125" s="1072">
        <v>15</v>
      </c>
      <c r="AQ125" s="1638">
        <v>21</v>
      </c>
      <c r="AR125" s="1070">
        <f t="shared" si="81"/>
        <v>36</v>
      </c>
      <c r="AS125" s="1072"/>
      <c r="AT125" s="1072">
        <v>27</v>
      </c>
      <c r="AU125" s="1638">
        <v>33</v>
      </c>
      <c r="AV125" s="1070">
        <f t="shared" si="82"/>
        <v>60</v>
      </c>
      <c r="AW125" s="1072"/>
      <c r="AX125" s="1072">
        <v>23</v>
      </c>
      <c r="AY125" s="1638">
        <v>19</v>
      </c>
      <c r="AZ125" s="1070">
        <f t="shared" si="84"/>
        <v>42</v>
      </c>
      <c r="BA125" s="1072"/>
      <c r="BB125" s="1072">
        <v>22</v>
      </c>
      <c r="BC125" s="1638">
        <v>24</v>
      </c>
      <c r="BD125" s="1070">
        <f t="shared" si="71"/>
        <v>46</v>
      </c>
      <c r="BE125" s="1072"/>
      <c r="BF125" s="1072">
        <v>24</v>
      </c>
      <c r="BG125" s="1638">
        <v>33</v>
      </c>
      <c r="BH125" s="1070">
        <f t="shared" si="72"/>
        <v>57</v>
      </c>
      <c r="BI125" s="1072"/>
      <c r="BJ125" s="1072">
        <v>20</v>
      </c>
      <c r="BK125" s="1638">
        <v>15</v>
      </c>
      <c r="BL125" s="1070">
        <f t="shared" si="73"/>
        <v>35</v>
      </c>
    </row>
    <row r="126" spans="1:64" s="212" customFormat="1" ht="15" x14ac:dyDescent="0.25">
      <c r="A126" s="6180"/>
      <c r="B126" s="6183"/>
      <c r="C126" s="6175"/>
      <c r="D126" s="1078" t="s">
        <v>759</v>
      </c>
      <c r="E126" s="1631"/>
      <c r="F126" s="1630"/>
      <c r="G126" s="1630"/>
      <c r="H126" s="1070"/>
      <c r="I126" s="1069"/>
      <c r="J126" s="1069"/>
      <c r="K126" s="1069"/>
      <c r="L126" s="1070"/>
      <c r="M126" s="1069"/>
      <c r="N126" s="1069"/>
      <c r="O126" s="1069"/>
      <c r="P126" s="1070"/>
      <c r="Q126" s="1069"/>
      <c r="R126" s="1069"/>
      <c r="S126" s="1069"/>
      <c r="T126" s="1070"/>
      <c r="U126" s="1069"/>
      <c r="V126" s="1069"/>
      <c r="W126" s="1069"/>
      <c r="X126" s="1070"/>
      <c r="Y126" s="1069"/>
      <c r="Z126" s="1069"/>
      <c r="AA126" s="1069"/>
      <c r="AB126" s="1070"/>
      <c r="AC126" s="1069"/>
      <c r="AD126" s="1069"/>
      <c r="AE126" s="1069"/>
      <c r="AF126" s="1070"/>
      <c r="AG126" s="1072"/>
      <c r="AH126" s="1072"/>
      <c r="AI126" s="1638"/>
      <c r="AJ126" s="1070"/>
      <c r="AK126" s="1072"/>
      <c r="AL126" s="1072"/>
      <c r="AM126" s="1638"/>
      <c r="AN126" s="1070"/>
      <c r="AO126" s="1072"/>
      <c r="AP126" s="1072"/>
      <c r="AQ126" s="1638"/>
      <c r="AR126" s="1070"/>
      <c r="AS126" s="1072"/>
      <c r="AT126" s="1072"/>
      <c r="AU126" s="1638"/>
      <c r="AV126" s="1070"/>
      <c r="AW126" s="1072"/>
      <c r="AX126" s="1072">
        <v>13</v>
      </c>
      <c r="AY126" s="1638"/>
      <c r="AZ126" s="1070">
        <f t="shared" si="84"/>
        <v>13</v>
      </c>
      <c r="BA126" s="1072"/>
      <c r="BB126" s="1072">
        <v>22</v>
      </c>
      <c r="BC126" s="1638"/>
      <c r="BD126" s="1070">
        <f t="shared" si="71"/>
        <v>22</v>
      </c>
      <c r="BE126" s="1072"/>
      <c r="BF126" s="1072">
        <v>18</v>
      </c>
      <c r="BG126" s="1638"/>
      <c r="BH126" s="1070">
        <f t="shared" si="72"/>
        <v>18</v>
      </c>
      <c r="BI126" s="1072"/>
      <c r="BJ126" s="1072">
        <v>12</v>
      </c>
      <c r="BK126" s="1638"/>
      <c r="BL126" s="1070">
        <f t="shared" si="73"/>
        <v>12</v>
      </c>
    </row>
    <row r="127" spans="1:64" s="212" customFormat="1" ht="15" x14ac:dyDescent="0.25">
      <c r="A127" s="6180"/>
      <c r="B127" s="6183"/>
      <c r="C127" s="6173" t="s">
        <v>520</v>
      </c>
      <c r="D127" s="1074" t="s">
        <v>359</v>
      </c>
      <c r="E127" s="1631"/>
      <c r="F127" s="1630"/>
      <c r="G127" s="1630">
        <v>9</v>
      </c>
      <c r="H127" s="1070">
        <f t="shared" si="83"/>
        <v>9</v>
      </c>
      <c r="I127" s="1069">
        <v>6</v>
      </c>
      <c r="J127" s="1069"/>
      <c r="K127" s="1069">
        <v>10</v>
      </c>
      <c r="L127" s="1070">
        <f t="shared" si="74"/>
        <v>16</v>
      </c>
      <c r="M127" s="1069">
        <v>5</v>
      </c>
      <c r="N127" s="1069"/>
      <c r="O127" s="1069">
        <v>9</v>
      </c>
      <c r="P127" s="1070">
        <f t="shared" si="75"/>
        <v>14</v>
      </c>
      <c r="Q127" s="1069">
        <v>6</v>
      </c>
      <c r="R127" s="1069"/>
      <c r="S127" s="1069">
        <v>18</v>
      </c>
      <c r="T127" s="1070">
        <f t="shared" si="78"/>
        <v>24</v>
      </c>
      <c r="U127" s="1069">
        <v>15</v>
      </c>
      <c r="V127" s="1069"/>
      <c r="W127" s="1069">
        <v>18</v>
      </c>
      <c r="X127" s="1070">
        <f t="shared" si="76"/>
        <v>33</v>
      </c>
      <c r="Y127" s="1069">
        <v>9</v>
      </c>
      <c r="Z127" s="1069"/>
      <c r="AA127" s="1069">
        <v>15</v>
      </c>
      <c r="AB127" s="1070">
        <f t="shared" si="79"/>
        <v>24</v>
      </c>
      <c r="AC127" s="1069"/>
      <c r="AD127" s="1069"/>
      <c r="AE127" s="1069">
        <v>26</v>
      </c>
      <c r="AF127" s="1070">
        <f t="shared" si="77"/>
        <v>26</v>
      </c>
      <c r="AG127" s="1638">
        <v>10</v>
      </c>
      <c r="AH127" s="1638"/>
      <c r="AI127" s="1638">
        <v>16</v>
      </c>
      <c r="AJ127" s="1070">
        <f t="shared" si="80"/>
        <v>26</v>
      </c>
      <c r="AK127" s="1638">
        <v>14</v>
      </c>
      <c r="AL127" s="1638"/>
      <c r="AM127" s="1638">
        <v>18</v>
      </c>
      <c r="AN127" s="1070">
        <f t="shared" si="69"/>
        <v>32</v>
      </c>
      <c r="AO127" s="1638">
        <v>12</v>
      </c>
      <c r="AP127" s="1638"/>
      <c r="AQ127" s="1638">
        <v>10</v>
      </c>
      <c r="AR127" s="1070">
        <f t="shared" si="81"/>
        <v>22</v>
      </c>
      <c r="AS127" s="1638">
        <v>7</v>
      </c>
      <c r="AT127" s="1638"/>
      <c r="AU127" s="1638">
        <v>13</v>
      </c>
      <c r="AV127" s="1070">
        <f t="shared" si="82"/>
        <v>20</v>
      </c>
      <c r="AW127" s="1638">
        <v>14</v>
      </c>
      <c r="AX127" s="1638"/>
      <c r="AY127" s="1638">
        <v>14</v>
      </c>
      <c r="AZ127" s="1070">
        <f t="shared" si="84"/>
        <v>28</v>
      </c>
      <c r="BA127" s="1638">
        <v>15</v>
      </c>
      <c r="BB127" s="1638"/>
      <c r="BC127" s="1638">
        <v>26</v>
      </c>
      <c r="BD127" s="1070">
        <f t="shared" si="71"/>
        <v>41</v>
      </c>
      <c r="BE127" s="1638">
        <v>17</v>
      </c>
      <c r="BF127" s="1638"/>
      <c r="BG127" s="1638">
        <v>17</v>
      </c>
      <c r="BH127" s="1070">
        <f t="shared" si="72"/>
        <v>34</v>
      </c>
      <c r="BI127" s="1638">
        <v>11</v>
      </c>
      <c r="BJ127" s="1638"/>
      <c r="BK127" s="1638">
        <v>12</v>
      </c>
      <c r="BL127" s="1070">
        <f t="shared" si="73"/>
        <v>23</v>
      </c>
    </row>
    <row r="128" spans="1:64" s="212" customFormat="1" ht="15" x14ac:dyDescent="0.2">
      <c r="A128" s="6180"/>
      <c r="B128" s="6183"/>
      <c r="C128" s="6174"/>
      <c r="D128" s="1075" t="s">
        <v>530</v>
      </c>
      <c r="E128" s="1632"/>
      <c r="F128" s="1633"/>
      <c r="G128" s="1633">
        <v>15</v>
      </c>
      <c r="H128" s="1077">
        <f t="shared" si="83"/>
        <v>15</v>
      </c>
      <c r="I128" s="1076"/>
      <c r="J128" s="1076"/>
      <c r="K128" s="1076">
        <v>4</v>
      </c>
      <c r="L128" s="1077">
        <f t="shared" si="74"/>
        <v>4</v>
      </c>
      <c r="M128" s="1076"/>
      <c r="N128" s="1076"/>
      <c r="O128" s="1076">
        <v>15</v>
      </c>
      <c r="P128" s="1077">
        <f t="shared" si="75"/>
        <v>15</v>
      </c>
      <c r="Q128" s="1076"/>
      <c r="R128" s="1076"/>
      <c r="S128" s="1076">
        <v>25</v>
      </c>
      <c r="T128" s="1077">
        <f t="shared" si="78"/>
        <v>25</v>
      </c>
      <c r="U128" s="1076"/>
      <c r="V128" s="1076"/>
      <c r="W128" s="1076">
        <v>43</v>
      </c>
      <c r="X128" s="1077">
        <f t="shared" si="76"/>
        <v>43</v>
      </c>
      <c r="Y128" s="1076"/>
      <c r="Z128" s="1076"/>
      <c r="AA128" s="1076"/>
      <c r="AB128" s="1077"/>
      <c r="AC128" s="1076">
        <v>40</v>
      </c>
      <c r="AD128" s="1076"/>
      <c r="AE128" s="1076"/>
      <c r="AF128" s="1077">
        <f t="shared" si="77"/>
        <v>40</v>
      </c>
      <c r="AG128" s="1076"/>
      <c r="AH128" s="1076"/>
      <c r="AI128" s="1076">
        <v>42</v>
      </c>
      <c r="AJ128" s="1077">
        <f t="shared" si="80"/>
        <v>42</v>
      </c>
      <c r="AK128" s="1076"/>
      <c r="AL128" s="1076"/>
      <c r="AM128" s="1076"/>
      <c r="AN128" s="1077"/>
      <c r="AO128" s="1076"/>
      <c r="AP128" s="1076"/>
      <c r="AQ128" s="1076">
        <v>58</v>
      </c>
      <c r="AR128" s="1077">
        <f t="shared" si="81"/>
        <v>58</v>
      </c>
      <c r="AS128" s="1076"/>
      <c r="AT128" s="1076"/>
      <c r="AU128" s="1076"/>
      <c r="AV128" s="1077"/>
      <c r="AW128" s="1076"/>
      <c r="AX128" s="1076"/>
      <c r="AY128" s="1076">
        <v>47</v>
      </c>
      <c r="AZ128" s="1077">
        <f t="shared" si="84"/>
        <v>47</v>
      </c>
      <c r="BA128" s="1076"/>
      <c r="BB128" s="1076"/>
      <c r="BC128" s="1076"/>
      <c r="BD128" s="1077">
        <f t="shared" si="71"/>
        <v>0</v>
      </c>
      <c r="BE128" s="1076"/>
      <c r="BF128" s="1076"/>
      <c r="BG128" s="1076">
        <v>41</v>
      </c>
      <c r="BH128" s="1077">
        <f t="shared" si="72"/>
        <v>41</v>
      </c>
      <c r="BI128" s="1076"/>
      <c r="BJ128" s="1076"/>
      <c r="BK128" s="1076"/>
      <c r="BL128" s="1077">
        <f t="shared" si="73"/>
        <v>0</v>
      </c>
    </row>
    <row r="129" spans="1:64" s="212" customFormat="1" ht="15" x14ac:dyDescent="0.2">
      <c r="A129" s="6180"/>
      <c r="B129" s="5157"/>
      <c r="C129" s="6175"/>
      <c r="D129" s="1078" t="s">
        <v>581</v>
      </c>
      <c r="E129" s="1632"/>
      <c r="F129" s="1633"/>
      <c r="G129" s="1633"/>
      <c r="H129" s="1077"/>
      <c r="I129" s="1076"/>
      <c r="J129" s="1076"/>
      <c r="K129" s="1076"/>
      <c r="L129" s="1077"/>
      <c r="M129" s="1076"/>
      <c r="N129" s="1076"/>
      <c r="O129" s="1076"/>
      <c r="P129" s="1077"/>
      <c r="Q129" s="1076"/>
      <c r="R129" s="1076"/>
      <c r="S129" s="1076"/>
      <c r="T129" s="1077"/>
      <c r="U129" s="1076"/>
      <c r="V129" s="1076"/>
      <c r="W129" s="1076"/>
      <c r="X129" s="1077"/>
      <c r="Y129" s="1076"/>
      <c r="Z129" s="1076"/>
      <c r="AA129" s="1076"/>
      <c r="AB129" s="1077"/>
      <c r="AC129" s="1076"/>
      <c r="AD129" s="1076"/>
      <c r="AE129" s="1076"/>
      <c r="AF129" s="1077"/>
      <c r="AG129" s="1076"/>
      <c r="AH129" s="1076"/>
      <c r="AI129" s="1076"/>
      <c r="AJ129" s="1077"/>
      <c r="AK129" s="1076"/>
      <c r="AL129" s="1076"/>
      <c r="AM129" s="1076"/>
      <c r="AN129" s="1077"/>
      <c r="AO129" s="1076"/>
      <c r="AP129" s="1076"/>
      <c r="AQ129" s="1076"/>
      <c r="AR129" s="1077"/>
      <c r="AS129" s="1076">
        <v>12</v>
      </c>
      <c r="AT129" s="1076"/>
      <c r="AU129" s="1076"/>
      <c r="AV129" s="1077">
        <f t="shared" si="82"/>
        <v>12</v>
      </c>
      <c r="AW129" s="1076">
        <v>7</v>
      </c>
      <c r="AX129" s="1076"/>
      <c r="AY129" s="1076">
        <v>11</v>
      </c>
      <c r="AZ129" s="1077">
        <f t="shared" si="84"/>
        <v>18</v>
      </c>
      <c r="BA129" s="1076">
        <v>6</v>
      </c>
      <c r="BB129" s="1076"/>
      <c r="BC129" s="1076"/>
      <c r="BD129" s="1077">
        <f t="shared" si="71"/>
        <v>6</v>
      </c>
      <c r="BE129" s="1076">
        <v>14</v>
      </c>
      <c r="BF129" s="1076"/>
      <c r="BG129" s="1076"/>
      <c r="BH129" s="1077">
        <f t="shared" si="72"/>
        <v>14</v>
      </c>
      <c r="BI129" s="1076">
        <v>7</v>
      </c>
      <c r="BJ129" s="1076"/>
      <c r="BK129" s="1076"/>
      <c r="BL129" s="1077">
        <f t="shared" si="73"/>
        <v>7</v>
      </c>
    </row>
    <row r="130" spans="1:64" s="212" customFormat="1" ht="15" x14ac:dyDescent="0.2">
      <c r="A130" s="6180"/>
      <c r="B130" s="5159"/>
      <c r="C130" s="5153"/>
      <c r="D130" s="1063" t="s">
        <v>160</v>
      </c>
      <c r="E130" s="1625">
        <f>SUM(E116:E128)</f>
        <v>0</v>
      </c>
      <c r="F130" s="1626">
        <f>SUM(F116:F128)</f>
        <v>31</v>
      </c>
      <c r="G130" s="1626">
        <f t="shared" ref="G130:AR130" si="85">SUM(G116:G128)</f>
        <v>102</v>
      </c>
      <c r="H130" s="1627">
        <f t="shared" si="85"/>
        <v>133</v>
      </c>
      <c r="I130" s="1625">
        <f t="shared" si="85"/>
        <v>93</v>
      </c>
      <c r="J130" s="1626">
        <f t="shared" si="85"/>
        <v>0</v>
      </c>
      <c r="K130" s="1626">
        <f t="shared" si="85"/>
        <v>42</v>
      </c>
      <c r="L130" s="1628">
        <f t="shared" si="85"/>
        <v>135</v>
      </c>
      <c r="M130" s="1625">
        <f t="shared" si="85"/>
        <v>34</v>
      </c>
      <c r="N130" s="1626">
        <f t="shared" si="85"/>
        <v>9</v>
      </c>
      <c r="O130" s="1626">
        <f t="shared" si="85"/>
        <v>170</v>
      </c>
      <c r="P130" s="1628">
        <f t="shared" si="85"/>
        <v>213</v>
      </c>
      <c r="Q130" s="1625">
        <f t="shared" si="85"/>
        <v>61</v>
      </c>
      <c r="R130" s="1626">
        <f t="shared" si="85"/>
        <v>9</v>
      </c>
      <c r="S130" s="1626">
        <f t="shared" si="85"/>
        <v>149</v>
      </c>
      <c r="T130" s="1628">
        <f t="shared" si="85"/>
        <v>219</v>
      </c>
      <c r="U130" s="1625">
        <f t="shared" si="85"/>
        <v>57</v>
      </c>
      <c r="V130" s="1626">
        <f t="shared" si="85"/>
        <v>24</v>
      </c>
      <c r="W130" s="1626">
        <f t="shared" si="85"/>
        <v>213</v>
      </c>
      <c r="X130" s="1628">
        <f t="shared" si="85"/>
        <v>294</v>
      </c>
      <c r="Y130" s="1625">
        <f t="shared" si="85"/>
        <v>72</v>
      </c>
      <c r="Z130" s="1626">
        <f t="shared" si="85"/>
        <v>51</v>
      </c>
      <c r="AA130" s="1626">
        <f t="shared" si="85"/>
        <v>96</v>
      </c>
      <c r="AB130" s="1628">
        <f t="shared" si="85"/>
        <v>219</v>
      </c>
      <c r="AC130" s="1625">
        <f t="shared" si="85"/>
        <v>80</v>
      </c>
      <c r="AD130" s="1626">
        <f t="shared" si="85"/>
        <v>12</v>
      </c>
      <c r="AE130" s="1626">
        <f t="shared" si="85"/>
        <v>203</v>
      </c>
      <c r="AF130" s="1628">
        <f t="shared" si="85"/>
        <v>295</v>
      </c>
      <c r="AG130" s="1625">
        <f t="shared" si="85"/>
        <v>29</v>
      </c>
      <c r="AH130" s="1626">
        <f t="shared" si="85"/>
        <v>115</v>
      </c>
      <c r="AI130" s="1626">
        <f t="shared" si="85"/>
        <v>142</v>
      </c>
      <c r="AJ130" s="1628">
        <f t="shared" si="85"/>
        <v>286</v>
      </c>
      <c r="AK130" s="1625">
        <f t="shared" si="85"/>
        <v>134</v>
      </c>
      <c r="AL130" s="1626">
        <f t="shared" si="85"/>
        <v>47</v>
      </c>
      <c r="AM130" s="1626">
        <f t="shared" si="85"/>
        <v>213</v>
      </c>
      <c r="AN130" s="1628">
        <f t="shared" si="85"/>
        <v>394</v>
      </c>
      <c r="AO130" s="1625">
        <f t="shared" si="85"/>
        <v>29</v>
      </c>
      <c r="AP130" s="1626">
        <f t="shared" si="85"/>
        <v>43</v>
      </c>
      <c r="AQ130" s="1626">
        <f t="shared" si="85"/>
        <v>207</v>
      </c>
      <c r="AR130" s="1628">
        <f t="shared" si="85"/>
        <v>279</v>
      </c>
      <c r="AS130" s="1625">
        <f t="shared" ref="AS130:AZ130" si="86">SUM(AS116:AS129)</f>
        <v>120</v>
      </c>
      <c r="AT130" s="1626">
        <f t="shared" si="86"/>
        <v>92</v>
      </c>
      <c r="AU130" s="1626">
        <f t="shared" si="86"/>
        <v>227</v>
      </c>
      <c r="AV130" s="1628">
        <f t="shared" si="86"/>
        <v>439</v>
      </c>
      <c r="AW130" s="1625">
        <f t="shared" si="86"/>
        <v>52</v>
      </c>
      <c r="AX130" s="1626">
        <f t="shared" si="86"/>
        <v>57</v>
      </c>
      <c r="AY130" s="1626">
        <f t="shared" si="86"/>
        <v>204</v>
      </c>
      <c r="AZ130" s="1628">
        <f t="shared" si="86"/>
        <v>313</v>
      </c>
      <c r="BA130" s="1625">
        <f t="shared" ref="BA130:BH130" si="87">SUM(BA116:BA129)</f>
        <v>164</v>
      </c>
      <c r="BB130" s="1626">
        <f t="shared" si="87"/>
        <v>75</v>
      </c>
      <c r="BC130" s="1626">
        <f t="shared" si="87"/>
        <v>226</v>
      </c>
      <c r="BD130" s="1628">
        <f t="shared" si="87"/>
        <v>465</v>
      </c>
      <c r="BE130" s="1625">
        <f t="shared" si="87"/>
        <v>52</v>
      </c>
      <c r="BF130" s="1626">
        <f t="shared" si="87"/>
        <v>73</v>
      </c>
      <c r="BG130" s="1626">
        <f t="shared" si="87"/>
        <v>274</v>
      </c>
      <c r="BH130" s="1628">
        <f t="shared" si="87"/>
        <v>399</v>
      </c>
      <c r="BI130" s="1625">
        <f t="shared" ref="BI130:BL130" si="88">SUM(BI116:BI129)</f>
        <v>90</v>
      </c>
      <c r="BJ130" s="1626">
        <f t="shared" si="88"/>
        <v>50</v>
      </c>
      <c r="BK130" s="1626">
        <f t="shared" si="88"/>
        <v>187</v>
      </c>
      <c r="BL130" s="1628">
        <f t="shared" si="88"/>
        <v>327</v>
      </c>
    </row>
    <row r="131" spans="1:64" s="212" customFormat="1" ht="15" x14ac:dyDescent="0.2">
      <c r="A131" s="6180"/>
      <c r="B131" s="6182" t="s">
        <v>7</v>
      </c>
      <c r="C131" s="6176" t="s">
        <v>521</v>
      </c>
      <c r="D131" s="1073" t="s">
        <v>1</v>
      </c>
      <c r="E131" s="1634"/>
      <c r="F131" s="1635"/>
      <c r="G131" s="1635">
        <v>44</v>
      </c>
      <c r="H131" s="1067">
        <f t="shared" si="83"/>
        <v>44</v>
      </c>
      <c r="I131" s="1066"/>
      <c r="J131" s="1066"/>
      <c r="K131" s="1066">
        <v>42</v>
      </c>
      <c r="L131" s="1067">
        <f t="shared" si="74"/>
        <v>42</v>
      </c>
      <c r="M131" s="1066"/>
      <c r="N131" s="1066"/>
      <c r="O131" s="1066">
        <v>48</v>
      </c>
      <c r="P131" s="1067">
        <f t="shared" si="75"/>
        <v>48</v>
      </c>
      <c r="Q131" s="1066"/>
      <c r="R131" s="1066"/>
      <c r="S131" s="1066">
        <v>48</v>
      </c>
      <c r="T131" s="1067">
        <f t="shared" si="78"/>
        <v>48</v>
      </c>
      <c r="U131" s="1066"/>
      <c r="V131" s="1066"/>
      <c r="W131" s="1066">
        <v>53</v>
      </c>
      <c r="X131" s="1067">
        <f t="shared" si="76"/>
        <v>53</v>
      </c>
      <c r="Y131" s="1066"/>
      <c r="Z131" s="1066"/>
      <c r="AA131" s="1066">
        <v>33</v>
      </c>
      <c r="AB131" s="1067">
        <f t="shared" si="79"/>
        <v>33</v>
      </c>
      <c r="AC131" s="1066"/>
      <c r="AD131" s="1066"/>
      <c r="AE131" s="1066">
        <v>52</v>
      </c>
      <c r="AF131" s="1067">
        <f t="shared" si="77"/>
        <v>52</v>
      </c>
      <c r="AG131" s="1066">
        <v>42</v>
      </c>
      <c r="AH131" s="1066"/>
      <c r="AI131" s="1066"/>
      <c r="AJ131" s="1067">
        <f t="shared" si="80"/>
        <v>42</v>
      </c>
      <c r="AK131" s="1066">
        <v>16</v>
      </c>
      <c r="AL131" s="1066"/>
      <c r="AM131" s="1066">
        <v>61</v>
      </c>
      <c r="AN131" s="1067">
        <f t="shared" si="69"/>
        <v>77</v>
      </c>
      <c r="AO131" s="1066"/>
      <c r="AP131" s="1066"/>
      <c r="AQ131" s="1066">
        <v>68</v>
      </c>
      <c r="AR131" s="1067">
        <f t="shared" si="81"/>
        <v>68</v>
      </c>
      <c r="AS131" s="1066"/>
      <c r="AT131" s="1066"/>
      <c r="AU131" s="1066">
        <v>51</v>
      </c>
      <c r="AV131" s="1067">
        <f>SUM(AS131:AU131)</f>
        <v>51</v>
      </c>
      <c r="AW131" s="1066"/>
      <c r="AX131" s="1066"/>
      <c r="AY131" s="1066">
        <v>84</v>
      </c>
      <c r="AZ131" s="1067">
        <f>SUM(AW131:AY131)</f>
        <v>84</v>
      </c>
      <c r="BA131" s="1066"/>
      <c r="BB131" s="1066"/>
      <c r="BC131" s="1066">
        <v>58</v>
      </c>
      <c r="BD131" s="1067">
        <f>SUM(BA131:BC131)</f>
        <v>58</v>
      </c>
      <c r="BE131" s="1066"/>
      <c r="BF131" s="1066"/>
      <c r="BG131" s="1066">
        <v>61</v>
      </c>
      <c r="BH131" s="1067">
        <f>SUM(BE131:BG131)</f>
        <v>61</v>
      </c>
      <c r="BI131" s="1066"/>
      <c r="BJ131" s="1066"/>
      <c r="BK131" s="1066">
        <v>90</v>
      </c>
      <c r="BL131" s="1067">
        <f>SUM(BI131:BK131)</f>
        <v>90</v>
      </c>
    </row>
    <row r="132" spans="1:64" s="212" customFormat="1" ht="15" x14ac:dyDescent="0.2">
      <c r="A132" s="6180"/>
      <c r="B132" s="6183"/>
      <c r="C132" s="6174"/>
      <c r="D132" s="1074" t="s">
        <v>531</v>
      </c>
      <c r="E132" s="1631"/>
      <c r="F132" s="1630"/>
      <c r="G132" s="1630"/>
      <c r="H132" s="1070"/>
      <c r="I132" s="1069"/>
      <c r="J132" s="1069"/>
      <c r="K132" s="1069"/>
      <c r="L132" s="1070"/>
      <c r="M132" s="1069"/>
      <c r="N132" s="1069"/>
      <c r="O132" s="1069"/>
      <c r="P132" s="1070"/>
      <c r="Q132" s="1069"/>
      <c r="R132" s="1069"/>
      <c r="S132" s="1069"/>
      <c r="T132" s="1070"/>
      <c r="U132" s="1069"/>
      <c r="V132" s="1069"/>
      <c r="W132" s="1069"/>
      <c r="X132" s="1070"/>
      <c r="Y132" s="1069"/>
      <c r="Z132" s="1069"/>
      <c r="AA132" s="1069"/>
      <c r="AB132" s="1070"/>
      <c r="AC132" s="1069"/>
      <c r="AD132" s="1069">
        <v>23</v>
      </c>
      <c r="AE132" s="1069"/>
      <c r="AF132" s="1070">
        <f t="shared" si="77"/>
        <v>23</v>
      </c>
      <c r="AG132" s="1069"/>
      <c r="AH132" s="1069"/>
      <c r="AI132" s="1069"/>
      <c r="AJ132" s="1070"/>
      <c r="AK132" s="1069"/>
      <c r="AL132" s="1069">
        <v>103</v>
      </c>
      <c r="AM132" s="1069"/>
      <c r="AN132" s="1070">
        <f t="shared" si="69"/>
        <v>103</v>
      </c>
      <c r="AO132" s="1069"/>
      <c r="AP132" s="1069"/>
      <c r="AQ132" s="1069"/>
      <c r="AR132" s="1070">
        <f t="shared" si="81"/>
        <v>0</v>
      </c>
      <c r="AS132" s="1069"/>
      <c r="AT132" s="1069">
        <v>46</v>
      </c>
      <c r="AU132" s="1069"/>
      <c r="AV132" s="1070">
        <f>SUM(AS132:AU132)</f>
        <v>46</v>
      </c>
      <c r="AW132" s="1069"/>
      <c r="AX132" s="1069"/>
      <c r="AY132" s="1069"/>
      <c r="AZ132" s="1070">
        <f>SUM(AW132:AY132)</f>
        <v>0</v>
      </c>
      <c r="BA132" s="1069"/>
      <c r="BB132" s="1069">
        <v>55</v>
      </c>
      <c r="BC132" s="1069"/>
      <c r="BD132" s="1070">
        <f>SUM(BA132:BC132)</f>
        <v>55</v>
      </c>
      <c r="BE132" s="1069"/>
      <c r="BF132" s="1069"/>
      <c r="BG132" s="1069"/>
      <c r="BH132" s="1070">
        <f>SUM(BE132:BG132)</f>
        <v>0</v>
      </c>
      <c r="BI132" s="1069"/>
      <c r="BJ132" s="1069">
        <v>40</v>
      </c>
      <c r="BK132" s="1069"/>
      <c r="BL132" s="1070">
        <f>SUM(BI132:BK132)</f>
        <v>40</v>
      </c>
    </row>
    <row r="133" spans="1:64" s="212" customFormat="1" ht="15" x14ac:dyDescent="0.2">
      <c r="A133" s="6180"/>
      <c r="B133" s="6183"/>
      <c r="C133" s="6175"/>
      <c r="D133" s="1074" t="s">
        <v>532</v>
      </c>
      <c r="E133" s="1631"/>
      <c r="F133" s="1630"/>
      <c r="G133" s="1630"/>
      <c r="H133" s="1070"/>
      <c r="I133" s="1069"/>
      <c r="J133" s="1069"/>
      <c r="K133" s="1069"/>
      <c r="L133" s="1070"/>
      <c r="M133" s="1069"/>
      <c r="N133" s="1069"/>
      <c r="O133" s="1069"/>
      <c r="P133" s="1070"/>
      <c r="Q133" s="1069"/>
      <c r="R133" s="1069"/>
      <c r="S133" s="1069"/>
      <c r="T133" s="1070"/>
      <c r="U133" s="1069"/>
      <c r="V133" s="1069"/>
      <c r="W133" s="1069"/>
      <c r="X133" s="1070"/>
      <c r="Y133" s="1069"/>
      <c r="Z133" s="1069"/>
      <c r="AA133" s="1069"/>
      <c r="AB133" s="1070"/>
      <c r="AC133" s="1069"/>
      <c r="AD133" s="1069"/>
      <c r="AE133" s="1069">
        <v>125</v>
      </c>
      <c r="AF133" s="1070">
        <f t="shared" si="77"/>
        <v>125</v>
      </c>
      <c r="AG133" s="1069"/>
      <c r="AH133" s="1069"/>
      <c r="AI133" s="1069"/>
      <c r="AJ133" s="1070"/>
      <c r="AK133" s="1069"/>
      <c r="AL133" s="1069">
        <v>25</v>
      </c>
      <c r="AM133" s="1069"/>
      <c r="AN133" s="1070">
        <f t="shared" si="69"/>
        <v>25</v>
      </c>
      <c r="AO133" s="1069"/>
      <c r="AP133" s="1069"/>
      <c r="AQ133" s="1069"/>
      <c r="AR133" s="1070">
        <f t="shared" si="81"/>
        <v>0</v>
      </c>
      <c r="AS133" s="1069"/>
      <c r="AT133" s="1069">
        <v>111</v>
      </c>
      <c r="AU133" s="1069"/>
      <c r="AV133" s="1070">
        <f>SUM(AS133:AU133)</f>
        <v>111</v>
      </c>
      <c r="AW133" s="1069"/>
      <c r="AX133" s="1069"/>
      <c r="AY133" s="1069"/>
      <c r="AZ133" s="1070">
        <f>SUM(AW133:AY133)</f>
        <v>0</v>
      </c>
      <c r="BA133" s="1069"/>
      <c r="BB133" s="1069">
        <v>70</v>
      </c>
      <c r="BC133" s="1069"/>
      <c r="BD133" s="1070">
        <f>SUM(BA133:BC133)</f>
        <v>70</v>
      </c>
      <c r="BE133" s="1069"/>
      <c r="BF133" s="1069"/>
      <c r="BG133" s="1069"/>
      <c r="BH133" s="1070">
        <f>SUM(BE133:BG133)</f>
        <v>0</v>
      </c>
      <c r="BI133" s="1069"/>
      <c r="BJ133" s="1069">
        <v>79</v>
      </c>
      <c r="BK133" s="1069"/>
      <c r="BL133" s="1070">
        <f>SUM(BI133:BK133)</f>
        <v>79</v>
      </c>
    </row>
    <row r="134" spans="1:64" s="212" customFormat="1" ht="15" x14ac:dyDescent="0.2">
      <c r="A134" s="6180"/>
      <c r="B134" s="6183"/>
      <c r="C134" s="5158" t="s">
        <v>520</v>
      </c>
      <c r="D134" s="1075" t="s">
        <v>2</v>
      </c>
      <c r="E134" s="1632"/>
      <c r="F134" s="1633"/>
      <c r="G134" s="1633"/>
      <c r="H134" s="1077"/>
      <c r="I134" s="1076"/>
      <c r="J134" s="1076"/>
      <c r="K134" s="1076">
        <v>11</v>
      </c>
      <c r="L134" s="1077">
        <f t="shared" si="74"/>
        <v>11</v>
      </c>
      <c r="M134" s="1076"/>
      <c r="N134" s="1076"/>
      <c r="O134" s="1076"/>
      <c r="P134" s="1077"/>
      <c r="Q134" s="1076">
        <v>19</v>
      </c>
      <c r="R134" s="1076"/>
      <c r="S134" s="1076"/>
      <c r="T134" s="1077">
        <f t="shared" si="78"/>
        <v>19</v>
      </c>
      <c r="U134" s="1076">
        <v>11</v>
      </c>
      <c r="V134" s="1076"/>
      <c r="W134" s="1076"/>
      <c r="X134" s="1077">
        <f t="shared" si="76"/>
        <v>11</v>
      </c>
      <c r="Y134" s="1076">
        <v>18</v>
      </c>
      <c r="Z134" s="1076"/>
      <c r="AA134" s="1076"/>
      <c r="AB134" s="1077">
        <f t="shared" si="79"/>
        <v>18</v>
      </c>
      <c r="AC134" s="1076">
        <v>17</v>
      </c>
      <c r="AD134" s="1076"/>
      <c r="AE134" s="1076"/>
      <c r="AF134" s="1077">
        <f t="shared" si="77"/>
        <v>17</v>
      </c>
      <c r="AG134" s="1076">
        <v>17</v>
      </c>
      <c r="AH134" s="1076"/>
      <c r="AI134" s="1076"/>
      <c r="AJ134" s="1077">
        <f t="shared" si="80"/>
        <v>17</v>
      </c>
      <c r="AK134" s="1076"/>
      <c r="AL134" s="1076"/>
      <c r="AM134" s="1076"/>
      <c r="AN134" s="1077">
        <f t="shared" si="69"/>
        <v>0</v>
      </c>
      <c r="AO134" s="1076">
        <v>17</v>
      </c>
      <c r="AP134" s="1076"/>
      <c r="AQ134" s="1076"/>
      <c r="AR134" s="1077">
        <f t="shared" si="81"/>
        <v>17</v>
      </c>
      <c r="AS134" s="1076">
        <v>16</v>
      </c>
      <c r="AT134" s="1076"/>
      <c r="AU134" s="1076"/>
      <c r="AV134" s="1077">
        <f>SUM(AS134:AU134)</f>
        <v>16</v>
      </c>
      <c r="AW134" s="1076">
        <v>19</v>
      </c>
      <c r="AX134" s="1076"/>
      <c r="AY134" s="1076"/>
      <c r="AZ134" s="1077">
        <f>SUM(AW134:AY134)</f>
        <v>19</v>
      </c>
      <c r="BA134" s="1076">
        <v>14</v>
      </c>
      <c r="BB134" s="1076"/>
      <c r="BC134" s="1076"/>
      <c r="BD134" s="1077">
        <f>SUM(BA134:BC134)</f>
        <v>14</v>
      </c>
      <c r="BE134" s="1076">
        <v>26</v>
      </c>
      <c r="BF134" s="1076"/>
      <c r="BG134" s="1076"/>
      <c r="BH134" s="1077">
        <f>SUM(BE134:BG134)</f>
        <v>26</v>
      </c>
      <c r="BI134" s="1076">
        <v>33</v>
      </c>
      <c r="BJ134" s="1076"/>
      <c r="BK134" s="1076"/>
      <c r="BL134" s="1077">
        <f>SUM(BI134:BK134)</f>
        <v>33</v>
      </c>
    </row>
    <row r="135" spans="1:64" s="212" customFormat="1" ht="15" x14ac:dyDescent="0.2">
      <c r="A135" s="6180"/>
      <c r="B135" s="6185"/>
      <c r="C135" s="5153"/>
      <c r="D135" s="1063" t="s">
        <v>160</v>
      </c>
      <c r="E135" s="1625">
        <f>SUM(E131:E134)</f>
        <v>0</v>
      </c>
      <c r="F135" s="1626">
        <f>SUM(F131:F134)</f>
        <v>0</v>
      </c>
      <c r="G135" s="1626">
        <f>SUM(G131:G134)</f>
        <v>44</v>
      </c>
      <c r="H135" s="1627">
        <f t="shared" ref="H135:AR135" si="89">SUM(H131:H134)</f>
        <v>44</v>
      </c>
      <c r="I135" s="1625">
        <f t="shared" si="89"/>
        <v>0</v>
      </c>
      <c r="J135" s="1626">
        <f t="shared" si="89"/>
        <v>0</v>
      </c>
      <c r="K135" s="1626">
        <f t="shared" si="89"/>
        <v>53</v>
      </c>
      <c r="L135" s="1628">
        <f t="shared" si="89"/>
        <v>53</v>
      </c>
      <c r="M135" s="1625">
        <f t="shared" si="89"/>
        <v>0</v>
      </c>
      <c r="N135" s="1626">
        <f t="shared" si="89"/>
        <v>0</v>
      </c>
      <c r="O135" s="1626">
        <f t="shared" si="89"/>
        <v>48</v>
      </c>
      <c r="P135" s="1628">
        <f t="shared" si="89"/>
        <v>48</v>
      </c>
      <c r="Q135" s="1625">
        <f t="shared" si="89"/>
        <v>19</v>
      </c>
      <c r="R135" s="1626">
        <f t="shared" si="89"/>
        <v>0</v>
      </c>
      <c r="S135" s="1626">
        <f t="shared" si="89"/>
        <v>48</v>
      </c>
      <c r="T135" s="1628">
        <f t="shared" si="89"/>
        <v>67</v>
      </c>
      <c r="U135" s="1625">
        <f t="shared" si="89"/>
        <v>11</v>
      </c>
      <c r="V135" s="1626">
        <f t="shared" si="89"/>
        <v>0</v>
      </c>
      <c r="W135" s="1626">
        <f t="shared" si="89"/>
        <v>53</v>
      </c>
      <c r="X135" s="1628">
        <f t="shared" si="89"/>
        <v>64</v>
      </c>
      <c r="Y135" s="1625">
        <f t="shared" si="89"/>
        <v>18</v>
      </c>
      <c r="Z135" s="1626">
        <f t="shared" si="89"/>
        <v>0</v>
      </c>
      <c r="AA135" s="1626">
        <f t="shared" si="89"/>
        <v>33</v>
      </c>
      <c r="AB135" s="1628">
        <f t="shared" si="89"/>
        <v>51</v>
      </c>
      <c r="AC135" s="1625">
        <f t="shared" si="89"/>
        <v>17</v>
      </c>
      <c r="AD135" s="1626">
        <f t="shared" si="89"/>
        <v>23</v>
      </c>
      <c r="AE135" s="1626">
        <f t="shared" si="89"/>
        <v>177</v>
      </c>
      <c r="AF135" s="1628">
        <f t="shared" si="89"/>
        <v>217</v>
      </c>
      <c r="AG135" s="1625">
        <f t="shared" si="89"/>
        <v>59</v>
      </c>
      <c r="AH135" s="1626">
        <f t="shared" si="89"/>
        <v>0</v>
      </c>
      <c r="AI135" s="1626">
        <f t="shared" si="89"/>
        <v>0</v>
      </c>
      <c r="AJ135" s="1628">
        <f t="shared" si="89"/>
        <v>59</v>
      </c>
      <c r="AK135" s="1625">
        <f t="shared" si="89"/>
        <v>16</v>
      </c>
      <c r="AL135" s="1626">
        <f t="shared" si="89"/>
        <v>128</v>
      </c>
      <c r="AM135" s="1626">
        <f t="shared" si="89"/>
        <v>61</v>
      </c>
      <c r="AN135" s="1628">
        <f t="shared" si="89"/>
        <v>205</v>
      </c>
      <c r="AO135" s="1625">
        <f t="shared" si="89"/>
        <v>17</v>
      </c>
      <c r="AP135" s="1626">
        <f t="shared" si="89"/>
        <v>0</v>
      </c>
      <c r="AQ135" s="1626">
        <f t="shared" si="89"/>
        <v>68</v>
      </c>
      <c r="AR135" s="1628">
        <f t="shared" si="89"/>
        <v>85</v>
      </c>
      <c r="AS135" s="1625">
        <f t="shared" ref="AS135:AZ135" si="90">SUM(AS131:AS134)</f>
        <v>16</v>
      </c>
      <c r="AT135" s="1626">
        <f t="shared" si="90"/>
        <v>157</v>
      </c>
      <c r="AU135" s="1626">
        <f t="shared" si="90"/>
        <v>51</v>
      </c>
      <c r="AV135" s="1628">
        <f t="shared" si="90"/>
        <v>224</v>
      </c>
      <c r="AW135" s="1625">
        <f t="shared" si="90"/>
        <v>19</v>
      </c>
      <c r="AX135" s="1626">
        <f t="shared" si="90"/>
        <v>0</v>
      </c>
      <c r="AY135" s="1626">
        <f t="shared" si="90"/>
        <v>84</v>
      </c>
      <c r="AZ135" s="1628">
        <f t="shared" si="90"/>
        <v>103</v>
      </c>
      <c r="BA135" s="1625">
        <f t="shared" ref="BA135:BH135" si="91">SUM(BA131:BA134)</f>
        <v>14</v>
      </c>
      <c r="BB135" s="1626">
        <f t="shared" si="91"/>
        <v>125</v>
      </c>
      <c r="BC135" s="1626">
        <f t="shared" si="91"/>
        <v>58</v>
      </c>
      <c r="BD135" s="1628">
        <f t="shared" si="91"/>
        <v>197</v>
      </c>
      <c r="BE135" s="1625">
        <f t="shared" si="91"/>
        <v>26</v>
      </c>
      <c r="BF135" s="1626">
        <f t="shared" si="91"/>
        <v>0</v>
      </c>
      <c r="BG135" s="1626">
        <f t="shared" si="91"/>
        <v>61</v>
      </c>
      <c r="BH135" s="1628">
        <f t="shared" si="91"/>
        <v>87</v>
      </c>
      <c r="BI135" s="1625">
        <f t="shared" ref="BI135:BL135" si="92">SUM(BI131:BI134)</f>
        <v>33</v>
      </c>
      <c r="BJ135" s="1626">
        <f t="shared" si="92"/>
        <v>119</v>
      </c>
      <c r="BK135" s="1626">
        <f t="shared" si="92"/>
        <v>90</v>
      </c>
      <c r="BL135" s="1628">
        <f t="shared" si="92"/>
        <v>242</v>
      </c>
    </row>
    <row r="136" spans="1:64" s="212" customFormat="1" ht="15" x14ac:dyDescent="0.2">
      <c r="A136" s="6181"/>
      <c r="B136" s="3689"/>
      <c r="C136" s="3689"/>
      <c r="D136" s="3545" t="s">
        <v>525</v>
      </c>
      <c r="E136" s="3676">
        <f>SUM(E135,E130,E115)</f>
        <v>0</v>
      </c>
      <c r="F136" s="3677">
        <f t="shared" ref="F136:AR136" si="93">SUM(F135,F130,F115)</f>
        <v>79</v>
      </c>
      <c r="G136" s="3677">
        <f t="shared" si="93"/>
        <v>242</v>
      </c>
      <c r="H136" s="3678">
        <f t="shared" si="93"/>
        <v>321</v>
      </c>
      <c r="I136" s="3679">
        <f t="shared" si="93"/>
        <v>119</v>
      </c>
      <c r="J136" s="3680">
        <f t="shared" si="93"/>
        <v>0</v>
      </c>
      <c r="K136" s="3680">
        <f t="shared" si="93"/>
        <v>549</v>
      </c>
      <c r="L136" s="3681">
        <f t="shared" si="93"/>
        <v>668</v>
      </c>
      <c r="M136" s="3679">
        <f t="shared" si="93"/>
        <v>134</v>
      </c>
      <c r="N136" s="3680">
        <f t="shared" si="93"/>
        <v>9</v>
      </c>
      <c r="O136" s="3680">
        <f t="shared" si="93"/>
        <v>316</v>
      </c>
      <c r="P136" s="3681">
        <f t="shared" si="93"/>
        <v>459</v>
      </c>
      <c r="Q136" s="3679">
        <f t="shared" si="93"/>
        <v>93</v>
      </c>
      <c r="R136" s="3680">
        <f t="shared" si="93"/>
        <v>9</v>
      </c>
      <c r="S136" s="3680">
        <f t="shared" si="93"/>
        <v>556</v>
      </c>
      <c r="T136" s="3681">
        <f t="shared" si="93"/>
        <v>658</v>
      </c>
      <c r="U136" s="3679">
        <f t="shared" si="93"/>
        <v>218</v>
      </c>
      <c r="V136" s="3680">
        <f t="shared" si="93"/>
        <v>43</v>
      </c>
      <c r="W136" s="3680">
        <f t="shared" si="93"/>
        <v>403</v>
      </c>
      <c r="X136" s="3681">
        <f t="shared" si="93"/>
        <v>664</v>
      </c>
      <c r="Y136" s="3682">
        <f t="shared" si="93"/>
        <v>146</v>
      </c>
      <c r="Z136" s="3682">
        <f t="shared" si="93"/>
        <v>51</v>
      </c>
      <c r="AA136" s="3682">
        <f t="shared" si="93"/>
        <v>538</v>
      </c>
      <c r="AB136" s="3682">
        <f t="shared" si="93"/>
        <v>735</v>
      </c>
      <c r="AC136" s="3679">
        <f t="shared" si="93"/>
        <v>279</v>
      </c>
      <c r="AD136" s="3680">
        <f t="shared" si="93"/>
        <v>35</v>
      </c>
      <c r="AE136" s="3680">
        <f t="shared" si="93"/>
        <v>481</v>
      </c>
      <c r="AF136" s="3681">
        <f t="shared" si="93"/>
        <v>795</v>
      </c>
      <c r="AG136" s="3682">
        <f t="shared" si="93"/>
        <v>88</v>
      </c>
      <c r="AH136" s="3682">
        <f t="shared" si="93"/>
        <v>115</v>
      </c>
      <c r="AI136" s="3682">
        <f t="shared" si="93"/>
        <v>727</v>
      </c>
      <c r="AJ136" s="3682">
        <f t="shared" si="93"/>
        <v>930</v>
      </c>
      <c r="AK136" s="3679">
        <f t="shared" si="93"/>
        <v>299</v>
      </c>
      <c r="AL136" s="3680">
        <f t="shared" si="93"/>
        <v>175</v>
      </c>
      <c r="AM136" s="3680">
        <f t="shared" si="93"/>
        <v>406</v>
      </c>
      <c r="AN136" s="3681">
        <f t="shared" si="93"/>
        <v>880</v>
      </c>
      <c r="AO136" s="3679">
        <f t="shared" si="93"/>
        <v>132</v>
      </c>
      <c r="AP136" s="3680">
        <f t="shared" si="93"/>
        <v>43</v>
      </c>
      <c r="AQ136" s="3680">
        <f t="shared" si="93"/>
        <v>1123</v>
      </c>
      <c r="AR136" s="3681">
        <f t="shared" si="93"/>
        <v>1298</v>
      </c>
      <c r="AS136" s="3679">
        <f t="shared" ref="AS136:AZ136" si="94">SUM(AS135,AS130,AS115)</f>
        <v>358</v>
      </c>
      <c r="AT136" s="3680">
        <f t="shared" si="94"/>
        <v>249</v>
      </c>
      <c r="AU136" s="3680">
        <f t="shared" si="94"/>
        <v>424</v>
      </c>
      <c r="AV136" s="3681">
        <f t="shared" si="94"/>
        <v>1031</v>
      </c>
      <c r="AW136" s="3679">
        <f t="shared" si="94"/>
        <v>116</v>
      </c>
      <c r="AX136" s="3680">
        <f t="shared" si="94"/>
        <v>57</v>
      </c>
      <c r="AY136" s="3680">
        <f t="shared" si="94"/>
        <v>1150</v>
      </c>
      <c r="AZ136" s="3681">
        <f t="shared" si="94"/>
        <v>1323</v>
      </c>
      <c r="BA136" s="3679">
        <f t="shared" ref="BA136:BH136" si="95">SUM(BA135,BA130,BA115)</f>
        <v>373</v>
      </c>
      <c r="BB136" s="3680">
        <f t="shared" si="95"/>
        <v>200</v>
      </c>
      <c r="BC136" s="3680">
        <f t="shared" si="95"/>
        <v>426</v>
      </c>
      <c r="BD136" s="3681">
        <f t="shared" si="95"/>
        <v>999</v>
      </c>
      <c r="BE136" s="3679">
        <f t="shared" si="95"/>
        <v>122</v>
      </c>
      <c r="BF136" s="3680">
        <f t="shared" si="95"/>
        <v>73</v>
      </c>
      <c r="BG136" s="3680">
        <f t="shared" si="95"/>
        <v>1029</v>
      </c>
      <c r="BH136" s="3681">
        <f t="shared" si="95"/>
        <v>1224</v>
      </c>
      <c r="BI136" s="3679">
        <f t="shared" ref="BI136:BL136" si="96">SUM(BI135,BI130,BI115)</f>
        <v>474</v>
      </c>
      <c r="BJ136" s="3680">
        <f t="shared" si="96"/>
        <v>169</v>
      </c>
      <c r="BK136" s="3680">
        <f t="shared" si="96"/>
        <v>637</v>
      </c>
      <c r="BL136" s="3681">
        <f t="shared" si="96"/>
        <v>1280</v>
      </c>
    </row>
    <row r="137" spans="1:64" s="212" customFormat="1" ht="15" x14ac:dyDescent="0.2">
      <c r="A137" s="6186" t="s">
        <v>8</v>
      </c>
      <c r="B137" s="6188" t="s">
        <v>6</v>
      </c>
      <c r="C137" s="1060" t="s">
        <v>521</v>
      </c>
      <c r="D137" s="1084" t="s">
        <v>406</v>
      </c>
      <c r="E137" s="1634"/>
      <c r="F137" s="1635"/>
      <c r="G137" s="1635"/>
      <c r="H137" s="1067"/>
      <c r="I137" s="1082"/>
      <c r="J137" s="1082"/>
      <c r="K137" s="1082"/>
      <c r="L137" s="1085"/>
      <c r="M137" s="1086"/>
      <c r="N137" s="1066"/>
      <c r="O137" s="1066"/>
      <c r="P137" s="1067"/>
      <c r="Q137" s="1082"/>
      <c r="R137" s="1082"/>
      <c r="S137" s="1082"/>
      <c r="T137" s="1085"/>
      <c r="U137" s="1086"/>
      <c r="V137" s="1066"/>
      <c r="W137" s="1066"/>
      <c r="X137" s="1067"/>
      <c r="Y137" s="1082"/>
      <c r="Z137" s="1082"/>
      <c r="AA137" s="1082"/>
      <c r="AB137" s="1085"/>
      <c r="AC137" s="1086"/>
      <c r="AD137" s="1066"/>
      <c r="AE137" s="1066"/>
      <c r="AF137" s="1067"/>
      <c r="AG137" s="1087"/>
      <c r="AH137" s="1082"/>
      <c r="AI137" s="1082"/>
      <c r="AJ137" s="1083"/>
      <c r="AK137" s="1087">
        <v>105</v>
      </c>
      <c r="AL137" s="1082"/>
      <c r="AM137" s="1082"/>
      <c r="AN137" s="1083">
        <f t="shared" si="69"/>
        <v>105</v>
      </c>
      <c r="AO137" s="1082">
        <v>108</v>
      </c>
      <c r="AP137" s="1082"/>
      <c r="AQ137" s="1082"/>
      <c r="AR137" s="1083">
        <f t="shared" si="81"/>
        <v>108</v>
      </c>
      <c r="AS137" s="1082">
        <v>136</v>
      </c>
      <c r="AT137" s="1082"/>
      <c r="AU137" s="1082"/>
      <c r="AV137" s="1083">
        <f>SUM(AS137:AU137)</f>
        <v>136</v>
      </c>
      <c r="AW137" s="1082"/>
      <c r="AX137" s="1082"/>
      <c r="AY137" s="1082">
        <v>152</v>
      </c>
      <c r="AZ137" s="1083">
        <f>SUM(AW137:AY137)</f>
        <v>152</v>
      </c>
      <c r="BA137" s="1082"/>
      <c r="BB137" s="1082"/>
      <c r="BC137" s="1082">
        <v>86</v>
      </c>
      <c r="BD137" s="1083">
        <f>SUM(BA137:BC137)</f>
        <v>86</v>
      </c>
      <c r="BE137" s="1082"/>
      <c r="BF137" s="1082"/>
      <c r="BG137" s="1082">
        <v>68</v>
      </c>
      <c r="BH137" s="1083">
        <f>SUM(BE137:BG137)</f>
        <v>68</v>
      </c>
      <c r="BI137" s="1082"/>
      <c r="BJ137" s="1082"/>
      <c r="BK137" s="1082">
        <v>50</v>
      </c>
      <c r="BL137" s="1083">
        <f>SUM(BI137:BK137)</f>
        <v>50</v>
      </c>
    </row>
    <row r="138" spans="1:64" s="212" customFormat="1" ht="15" x14ac:dyDescent="0.2">
      <c r="A138" s="6186"/>
      <c r="B138" s="6190"/>
      <c r="C138" s="5158" t="s">
        <v>520</v>
      </c>
      <c r="D138" s="1075" t="s">
        <v>399</v>
      </c>
      <c r="E138" s="1632"/>
      <c r="F138" s="1633"/>
      <c r="G138" s="1633"/>
      <c r="H138" s="1077"/>
      <c r="I138" s="1076"/>
      <c r="J138" s="1076"/>
      <c r="K138" s="1076"/>
      <c r="L138" s="1088"/>
      <c r="M138" s="1089"/>
      <c r="N138" s="1076"/>
      <c r="O138" s="1076"/>
      <c r="P138" s="1077"/>
      <c r="Q138" s="1076"/>
      <c r="R138" s="1076"/>
      <c r="S138" s="1076"/>
      <c r="T138" s="1088"/>
      <c r="U138" s="1089"/>
      <c r="V138" s="1076"/>
      <c r="W138" s="1076"/>
      <c r="X138" s="1077"/>
      <c r="Y138" s="1076"/>
      <c r="Z138" s="1076"/>
      <c r="AA138" s="1076"/>
      <c r="AB138" s="1088"/>
      <c r="AC138" s="1089"/>
      <c r="AD138" s="1076"/>
      <c r="AE138" s="1076"/>
      <c r="AF138" s="1077"/>
      <c r="AG138" s="1089"/>
      <c r="AH138" s="1076"/>
      <c r="AI138" s="1076"/>
      <c r="AJ138" s="1077"/>
      <c r="AK138" s="1089">
        <v>66</v>
      </c>
      <c r="AL138" s="1076"/>
      <c r="AM138" s="1076"/>
      <c r="AN138" s="1077">
        <f t="shared" si="69"/>
        <v>66</v>
      </c>
      <c r="AO138" s="1076">
        <v>63</v>
      </c>
      <c r="AP138" s="1076"/>
      <c r="AQ138" s="1076"/>
      <c r="AR138" s="1077">
        <f t="shared" si="81"/>
        <v>63</v>
      </c>
      <c r="AS138" s="1076"/>
      <c r="AT138" s="1076"/>
      <c r="AU138" s="1076">
        <v>124</v>
      </c>
      <c r="AV138" s="1077">
        <f>SUM(AS138:AU138)</f>
        <v>124</v>
      </c>
      <c r="AW138" s="1076"/>
      <c r="AX138" s="1076"/>
      <c r="AY138" s="1076">
        <v>84</v>
      </c>
      <c r="AZ138" s="1077">
        <f>SUM(AW138:AY138)</f>
        <v>84</v>
      </c>
      <c r="BA138" s="1076"/>
      <c r="BB138" s="1076"/>
      <c r="BC138" s="1076">
        <v>48</v>
      </c>
      <c r="BD138" s="1077">
        <f>SUM(BA138:BC138)</f>
        <v>48</v>
      </c>
      <c r="BE138" s="1076"/>
      <c r="BF138" s="1076"/>
      <c r="BG138" s="1076">
        <v>38</v>
      </c>
      <c r="BH138" s="1077">
        <f>SUM(BE138:BG138)</f>
        <v>38</v>
      </c>
      <c r="BI138" s="1076"/>
      <c r="BJ138" s="1076"/>
      <c r="BK138" s="1076">
        <v>3</v>
      </c>
      <c r="BL138" s="1077">
        <f>SUM(BI138:BK138)</f>
        <v>3</v>
      </c>
    </row>
    <row r="139" spans="1:64" s="212" customFormat="1" ht="15" x14ac:dyDescent="0.2">
      <c r="A139" s="6186"/>
      <c r="B139" s="6189"/>
      <c r="C139" s="5153"/>
      <c r="D139" s="1063" t="s">
        <v>160</v>
      </c>
      <c r="E139" s="1647"/>
      <c r="F139" s="1648"/>
      <c r="G139" s="1648"/>
      <c r="H139" s="1649"/>
      <c r="I139" s="1648"/>
      <c r="J139" s="1648"/>
      <c r="K139" s="1648"/>
      <c r="L139" s="1650"/>
      <c r="M139" s="1647"/>
      <c r="N139" s="1648"/>
      <c r="O139" s="1648"/>
      <c r="P139" s="1649"/>
      <c r="Q139" s="1648"/>
      <c r="R139" s="1648"/>
      <c r="S139" s="1648"/>
      <c r="T139" s="1650"/>
      <c r="U139" s="1647"/>
      <c r="V139" s="1648"/>
      <c r="W139" s="1648"/>
      <c r="X139" s="1649"/>
      <c r="Y139" s="1648"/>
      <c r="Z139" s="1648"/>
      <c r="AA139" s="1648"/>
      <c r="AB139" s="1650"/>
      <c r="AC139" s="1647"/>
      <c r="AD139" s="1648"/>
      <c r="AE139" s="1648"/>
      <c r="AF139" s="1649"/>
      <c r="AG139" s="1647"/>
      <c r="AH139" s="1648"/>
      <c r="AI139" s="1648"/>
      <c r="AJ139" s="1649"/>
      <c r="AK139" s="1647">
        <f t="shared" ref="AK139:AR139" si="97">SUM(AK137:AK138)</f>
        <v>171</v>
      </c>
      <c r="AL139" s="1648">
        <f t="shared" si="97"/>
        <v>0</v>
      </c>
      <c r="AM139" s="1648">
        <f t="shared" si="97"/>
        <v>0</v>
      </c>
      <c r="AN139" s="1649">
        <f t="shared" si="97"/>
        <v>171</v>
      </c>
      <c r="AO139" s="1647">
        <f t="shared" si="97"/>
        <v>171</v>
      </c>
      <c r="AP139" s="1648">
        <f t="shared" si="97"/>
        <v>0</v>
      </c>
      <c r="AQ139" s="1648">
        <f t="shared" si="97"/>
        <v>0</v>
      </c>
      <c r="AR139" s="1649">
        <f t="shared" si="97"/>
        <v>171</v>
      </c>
      <c r="AS139" s="1647">
        <f t="shared" ref="AS139:AZ139" si="98">SUM(AS137:AS138)</f>
        <v>136</v>
      </c>
      <c r="AT139" s="1648">
        <f t="shared" si="98"/>
        <v>0</v>
      </c>
      <c r="AU139" s="1648">
        <f t="shared" si="98"/>
        <v>124</v>
      </c>
      <c r="AV139" s="1649">
        <f t="shared" si="98"/>
        <v>260</v>
      </c>
      <c r="AW139" s="1647">
        <f t="shared" si="98"/>
        <v>0</v>
      </c>
      <c r="AX139" s="1648">
        <f t="shared" si="98"/>
        <v>0</v>
      </c>
      <c r="AY139" s="1648">
        <f t="shared" si="98"/>
        <v>236</v>
      </c>
      <c r="AZ139" s="1649">
        <f t="shared" si="98"/>
        <v>236</v>
      </c>
      <c r="BA139" s="1647">
        <f t="shared" ref="BA139:BH139" si="99">SUM(BA137:BA138)</f>
        <v>0</v>
      </c>
      <c r="BB139" s="1648">
        <f t="shared" si="99"/>
        <v>0</v>
      </c>
      <c r="BC139" s="1648">
        <f t="shared" si="99"/>
        <v>134</v>
      </c>
      <c r="BD139" s="1649">
        <f t="shared" si="99"/>
        <v>134</v>
      </c>
      <c r="BE139" s="1647">
        <f t="shared" si="99"/>
        <v>0</v>
      </c>
      <c r="BF139" s="1648">
        <f t="shared" si="99"/>
        <v>0</v>
      </c>
      <c r="BG139" s="1648">
        <f t="shared" si="99"/>
        <v>106</v>
      </c>
      <c r="BH139" s="1649">
        <f t="shared" si="99"/>
        <v>106</v>
      </c>
      <c r="BI139" s="1647">
        <f t="shared" ref="BI139:BL139" si="100">SUM(BI137:BI138)</f>
        <v>0</v>
      </c>
      <c r="BJ139" s="1648">
        <f t="shared" si="100"/>
        <v>0</v>
      </c>
      <c r="BK139" s="1648">
        <f t="shared" si="100"/>
        <v>53</v>
      </c>
      <c r="BL139" s="1649">
        <f t="shared" si="100"/>
        <v>53</v>
      </c>
    </row>
    <row r="140" spans="1:64" s="212" customFormat="1" ht="15" x14ac:dyDescent="0.2">
      <c r="A140" s="6186"/>
      <c r="B140" s="6188" t="s">
        <v>9</v>
      </c>
      <c r="C140" s="5158" t="s">
        <v>521</v>
      </c>
      <c r="D140" s="1075" t="s">
        <v>412</v>
      </c>
      <c r="E140" s="1632"/>
      <c r="F140" s="1633"/>
      <c r="G140" s="1633"/>
      <c r="H140" s="1077"/>
      <c r="I140" s="1076"/>
      <c r="J140" s="1076"/>
      <c r="K140" s="1076"/>
      <c r="L140" s="1088"/>
      <c r="M140" s="1089"/>
      <c r="N140" s="1076"/>
      <c r="O140" s="1076"/>
      <c r="P140" s="1077"/>
      <c r="Q140" s="1076"/>
      <c r="R140" s="1076"/>
      <c r="S140" s="1076"/>
      <c r="T140" s="1088"/>
      <c r="U140" s="1089"/>
      <c r="V140" s="1076"/>
      <c r="W140" s="1076"/>
      <c r="X140" s="1077"/>
      <c r="Y140" s="1076"/>
      <c r="Z140" s="1076"/>
      <c r="AA140" s="1076"/>
      <c r="AB140" s="1088"/>
      <c r="AC140" s="1089"/>
      <c r="AD140" s="1076"/>
      <c r="AE140" s="1076"/>
      <c r="AF140" s="1077"/>
      <c r="AG140" s="1076"/>
      <c r="AH140" s="1076"/>
      <c r="AI140" s="1076"/>
      <c r="AJ140" s="1077"/>
      <c r="AK140" s="1076"/>
      <c r="AL140" s="1076"/>
      <c r="AM140" s="1076"/>
      <c r="AN140" s="1077"/>
      <c r="AO140" s="1076"/>
      <c r="AP140" s="1076"/>
      <c r="AQ140" s="1076">
        <v>27</v>
      </c>
      <c r="AR140" s="1077">
        <f>SUM(AO140:AQ140)</f>
        <v>27</v>
      </c>
      <c r="AS140" s="1076">
        <v>37</v>
      </c>
      <c r="AT140" s="1076"/>
      <c r="AU140" s="1076"/>
      <c r="AV140" s="1077">
        <f>SUM(AS140:AU140)</f>
        <v>37</v>
      </c>
      <c r="AW140" s="1076"/>
      <c r="AX140" s="1076"/>
      <c r="AY140" s="1076">
        <v>61</v>
      </c>
      <c r="AZ140" s="1077">
        <f>SUM(AW140:AY140)</f>
        <v>61</v>
      </c>
      <c r="BA140" s="1076"/>
      <c r="BB140" s="1076"/>
      <c r="BC140" s="1076">
        <v>44</v>
      </c>
      <c r="BD140" s="1077">
        <f>SUM(BA140:BC140)</f>
        <v>44</v>
      </c>
      <c r="BE140" s="1076"/>
      <c r="BF140" s="1076"/>
      <c r="BG140" s="1076">
        <v>40</v>
      </c>
      <c r="BH140" s="1077">
        <f>SUM(BE140:BG140)</f>
        <v>40</v>
      </c>
      <c r="BI140" s="1076"/>
      <c r="BJ140" s="1076"/>
      <c r="BK140" s="1076">
        <v>50</v>
      </c>
      <c r="BL140" s="1077">
        <f>SUM(BI140:BK140)</f>
        <v>50</v>
      </c>
    </row>
    <row r="141" spans="1:64" s="212" customFormat="1" ht="15" x14ac:dyDescent="0.2">
      <c r="A141" s="6186"/>
      <c r="B141" s="6189"/>
      <c r="C141" s="5153"/>
      <c r="D141" s="1063" t="s">
        <v>160</v>
      </c>
      <c r="E141" s="1647"/>
      <c r="F141" s="1648"/>
      <c r="G141" s="1648"/>
      <c r="H141" s="1649"/>
      <c r="I141" s="1648"/>
      <c r="J141" s="1648"/>
      <c r="K141" s="1648"/>
      <c r="L141" s="1650"/>
      <c r="M141" s="1647"/>
      <c r="N141" s="1648"/>
      <c r="O141" s="1648"/>
      <c r="P141" s="1649"/>
      <c r="Q141" s="1648"/>
      <c r="R141" s="1648"/>
      <c r="S141" s="1648"/>
      <c r="T141" s="1650"/>
      <c r="U141" s="1647"/>
      <c r="V141" s="1648"/>
      <c r="W141" s="1648"/>
      <c r="X141" s="1649"/>
      <c r="Y141" s="1648"/>
      <c r="Z141" s="1648"/>
      <c r="AA141" s="1648"/>
      <c r="AB141" s="1650"/>
      <c r="AC141" s="1647"/>
      <c r="AD141" s="1648"/>
      <c r="AE141" s="1648"/>
      <c r="AF141" s="1649"/>
      <c r="AG141" s="1647"/>
      <c r="AH141" s="1648"/>
      <c r="AI141" s="1648"/>
      <c r="AJ141" s="1649"/>
      <c r="AK141" s="1647"/>
      <c r="AL141" s="1648"/>
      <c r="AM141" s="1648"/>
      <c r="AN141" s="1649"/>
      <c r="AO141" s="1647">
        <f t="shared" ref="AO141:AV141" si="101">SUM(AO140)</f>
        <v>0</v>
      </c>
      <c r="AP141" s="1648">
        <f t="shared" si="101"/>
        <v>0</v>
      </c>
      <c r="AQ141" s="1648">
        <f t="shared" si="101"/>
        <v>27</v>
      </c>
      <c r="AR141" s="1649">
        <f t="shared" si="101"/>
        <v>27</v>
      </c>
      <c r="AS141" s="1647">
        <f t="shared" si="101"/>
        <v>37</v>
      </c>
      <c r="AT141" s="1648">
        <f t="shared" si="101"/>
        <v>0</v>
      </c>
      <c r="AU141" s="1648">
        <f t="shared" si="101"/>
        <v>0</v>
      </c>
      <c r="AV141" s="1649">
        <f t="shared" si="101"/>
        <v>37</v>
      </c>
      <c r="AW141" s="1647">
        <f t="shared" ref="AW141:BD141" si="102">SUM(AW140)</f>
        <v>0</v>
      </c>
      <c r="AX141" s="1648">
        <f t="shared" si="102"/>
        <v>0</v>
      </c>
      <c r="AY141" s="1648">
        <f t="shared" si="102"/>
        <v>61</v>
      </c>
      <c r="AZ141" s="1649">
        <f t="shared" si="102"/>
        <v>61</v>
      </c>
      <c r="BA141" s="1647">
        <f t="shared" si="102"/>
        <v>0</v>
      </c>
      <c r="BB141" s="1648">
        <f t="shared" si="102"/>
        <v>0</v>
      </c>
      <c r="BC141" s="1648">
        <f t="shared" si="102"/>
        <v>44</v>
      </c>
      <c r="BD141" s="1649">
        <f t="shared" si="102"/>
        <v>44</v>
      </c>
      <c r="BE141" s="1647">
        <f t="shared" ref="BE141:BL141" si="103">SUM(BE140)</f>
        <v>0</v>
      </c>
      <c r="BF141" s="1648">
        <f t="shared" si="103"/>
        <v>0</v>
      </c>
      <c r="BG141" s="1648">
        <f t="shared" si="103"/>
        <v>40</v>
      </c>
      <c r="BH141" s="1649">
        <f t="shared" si="103"/>
        <v>40</v>
      </c>
      <c r="BI141" s="1647">
        <f t="shared" si="103"/>
        <v>0</v>
      </c>
      <c r="BJ141" s="1648">
        <f t="shared" si="103"/>
        <v>0</v>
      </c>
      <c r="BK141" s="1648">
        <f t="shared" si="103"/>
        <v>50</v>
      </c>
      <c r="BL141" s="1649">
        <f t="shared" si="103"/>
        <v>50</v>
      </c>
    </row>
    <row r="142" spans="1:64" s="212" customFormat="1" ht="15" x14ac:dyDescent="0.2">
      <c r="A142" s="6186"/>
      <c r="B142" s="6188" t="s">
        <v>74</v>
      </c>
      <c r="C142" s="1060" t="s">
        <v>522</v>
      </c>
      <c r="D142" s="1090" t="s">
        <v>413</v>
      </c>
      <c r="E142" s="1645"/>
      <c r="F142" s="1629"/>
      <c r="G142" s="1629"/>
      <c r="H142" s="1083"/>
      <c r="I142" s="1082"/>
      <c r="J142" s="1082"/>
      <c r="K142" s="1082"/>
      <c r="L142" s="1085"/>
      <c r="M142" s="1087"/>
      <c r="N142" s="1082"/>
      <c r="O142" s="1082"/>
      <c r="P142" s="1083"/>
      <c r="Q142" s="1082"/>
      <c r="R142" s="1082"/>
      <c r="S142" s="1082"/>
      <c r="T142" s="1085"/>
      <c r="U142" s="1087"/>
      <c r="V142" s="1082"/>
      <c r="W142" s="1082"/>
      <c r="X142" s="1083"/>
      <c r="Y142" s="1082"/>
      <c r="Z142" s="1082"/>
      <c r="AA142" s="1082"/>
      <c r="AB142" s="1085"/>
      <c r="AC142" s="1087"/>
      <c r="AD142" s="1082"/>
      <c r="AE142" s="1082"/>
      <c r="AF142" s="1083"/>
      <c r="AG142" s="1087"/>
      <c r="AH142" s="1082"/>
      <c r="AI142" s="1082"/>
      <c r="AJ142" s="1083"/>
      <c r="AK142" s="1087"/>
      <c r="AL142" s="1082"/>
      <c r="AM142" s="1082"/>
      <c r="AN142" s="1083"/>
      <c r="AO142" s="1082"/>
      <c r="AP142" s="1082">
        <v>2</v>
      </c>
      <c r="AQ142" s="1082">
        <v>1</v>
      </c>
      <c r="AR142" s="1083">
        <f>SUM(AO142:AQ142)</f>
        <v>3</v>
      </c>
      <c r="AS142" s="1082">
        <v>1</v>
      </c>
      <c r="AT142" s="1082"/>
      <c r="AU142" s="1082">
        <v>1</v>
      </c>
      <c r="AV142" s="1083">
        <f>SUM(AS142:AU142)</f>
        <v>2</v>
      </c>
      <c r="AW142" s="1082">
        <v>2</v>
      </c>
      <c r="AX142" s="1082"/>
      <c r="AY142" s="1082">
        <v>2</v>
      </c>
      <c r="AZ142" s="1083">
        <f>SUM(AW142:AY142)</f>
        <v>4</v>
      </c>
      <c r="BA142" s="1082">
        <v>2</v>
      </c>
      <c r="BB142" s="1082">
        <v>3</v>
      </c>
      <c r="BC142" s="1082">
        <v>4</v>
      </c>
      <c r="BD142" s="1083">
        <f>SUM(BA142:BC142)</f>
        <v>9</v>
      </c>
      <c r="BE142" s="1082"/>
      <c r="BF142" s="1082">
        <v>1</v>
      </c>
      <c r="BG142" s="1082">
        <v>4</v>
      </c>
      <c r="BH142" s="1083">
        <f>SUM(BE142:BG142)</f>
        <v>5</v>
      </c>
      <c r="BI142" s="1082">
        <v>3</v>
      </c>
      <c r="BJ142" s="1082"/>
      <c r="BK142" s="1082">
        <v>4</v>
      </c>
      <c r="BL142" s="1083">
        <f>SUM(BI142:BK142)</f>
        <v>7</v>
      </c>
    </row>
    <row r="143" spans="1:64" s="212" customFormat="1" ht="15" x14ac:dyDescent="0.2">
      <c r="A143" s="6186"/>
      <c r="B143" s="6190"/>
      <c r="C143" s="1060" t="s">
        <v>521</v>
      </c>
      <c r="D143" s="1062" t="s">
        <v>414</v>
      </c>
      <c r="E143" s="1631"/>
      <c r="F143" s="1630"/>
      <c r="G143" s="1630"/>
      <c r="H143" s="1070"/>
      <c r="I143" s="1069"/>
      <c r="J143" s="1069"/>
      <c r="K143" s="1069"/>
      <c r="L143" s="1091"/>
      <c r="M143" s="1092"/>
      <c r="N143" s="1069"/>
      <c r="O143" s="1069"/>
      <c r="P143" s="1070"/>
      <c r="Q143" s="1069"/>
      <c r="R143" s="1069"/>
      <c r="S143" s="1069"/>
      <c r="T143" s="1091"/>
      <c r="U143" s="1092"/>
      <c r="V143" s="1069"/>
      <c r="W143" s="1069"/>
      <c r="X143" s="1070"/>
      <c r="Y143" s="1069"/>
      <c r="Z143" s="1069"/>
      <c r="AA143" s="1069"/>
      <c r="AB143" s="1091"/>
      <c r="AC143" s="1092"/>
      <c r="AD143" s="1069"/>
      <c r="AE143" s="1069"/>
      <c r="AF143" s="1070"/>
      <c r="AG143" s="1092"/>
      <c r="AH143" s="1069"/>
      <c r="AI143" s="1069"/>
      <c r="AJ143" s="1070"/>
      <c r="AK143" s="1092"/>
      <c r="AL143" s="1069"/>
      <c r="AM143" s="1069"/>
      <c r="AN143" s="1070"/>
      <c r="AO143" s="1069"/>
      <c r="AP143" s="1069"/>
      <c r="AQ143" s="1069">
        <v>15</v>
      </c>
      <c r="AR143" s="1070">
        <f>SUM(AO143:AQ143)</f>
        <v>15</v>
      </c>
      <c r="AS143" s="1069"/>
      <c r="AT143" s="1069"/>
      <c r="AU143" s="1069">
        <v>18</v>
      </c>
      <c r="AV143" s="1070">
        <f>SUM(AS143:AU143)</f>
        <v>18</v>
      </c>
      <c r="AW143" s="1069"/>
      <c r="AX143" s="1069"/>
      <c r="AY143" s="1069">
        <v>16</v>
      </c>
      <c r="AZ143" s="1070">
        <f>SUM(AW143:AY143)</f>
        <v>16</v>
      </c>
      <c r="BA143" s="1069"/>
      <c r="BB143" s="1069"/>
      <c r="BC143" s="1069">
        <v>15</v>
      </c>
      <c r="BD143" s="1070">
        <f>SUM(BA143:BC143)</f>
        <v>15</v>
      </c>
      <c r="BE143" s="1069"/>
      <c r="BF143" s="1069"/>
      <c r="BG143" s="1069">
        <v>15</v>
      </c>
      <c r="BH143" s="1070">
        <f>SUM(BE143:BG143)</f>
        <v>15</v>
      </c>
      <c r="BI143" s="1069"/>
      <c r="BJ143" s="1069"/>
      <c r="BK143" s="1069">
        <v>24</v>
      </c>
      <c r="BL143" s="1070">
        <f>SUM(BI143:BK143)</f>
        <v>24</v>
      </c>
    </row>
    <row r="144" spans="1:64" s="212" customFormat="1" ht="15" x14ac:dyDescent="0.2">
      <c r="A144" s="6186"/>
      <c r="B144" s="6190"/>
      <c r="C144" s="6173" t="s">
        <v>520</v>
      </c>
      <c r="D144" s="1075" t="s">
        <v>415</v>
      </c>
      <c r="E144" s="1632"/>
      <c r="F144" s="1633"/>
      <c r="G144" s="1633"/>
      <c r="H144" s="1077"/>
      <c r="I144" s="1076"/>
      <c r="J144" s="1076"/>
      <c r="K144" s="1076"/>
      <c r="L144" s="1088"/>
      <c r="M144" s="1089"/>
      <c r="N144" s="1076"/>
      <c r="O144" s="1076"/>
      <c r="P144" s="1077"/>
      <c r="Q144" s="1076"/>
      <c r="R144" s="1076"/>
      <c r="S144" s="1076"/>
      <c r="T144" s="1088"/>
      <c r="U144" s="1089"/>
      <c r="V144" s="1076"/>
      <c r="W144" s="1076"/>
      <c r="X144" s="1077"/>
      <c r="Y144" s="1076"/>
      <c r="Z144" s="1076"/>
      <c r="AA144" s="1076"/>
      <c r="AB144" s="1088"/>
      <c r="AC144" s="1089"/>
      <c r="AD144" s="1076"/>
      <c r="AE144" s="1076"/>
      <c r="AF144" s="1077"/>
      <c r="AG144" s="1076"/>
      <c r="AH144" s="1076"/>
      <c r="AI144" s="1076"/>
      <c r="AJ144" s="1077"/>
      <c r="AK144" s="1076"/>
      <c r="AL144" s="1076"/>
      <c r="AM144" s="1076"/>
      <c r="AN144" s="1077"/>
      <c r="AO144" s="1076"/>
      <c r="AP144" s="1076">
        <v>8</v>
      </c>
      <c r="AQ144" s="1076">
        <v>8</v>
      </c>
      <c r="AR144" s="1077">
        <f>SUM(AO144:AQ144)</f>
        <v>16</v>
      </c>
      <c r="AS144" s="1076">
        <v>4</v>
      </c>
      <c r="AT144" s="1076">
        <v>5</v>
      </c>
      <c r="AU144" s="1076">
        <v>3</v>
      </c>
      <c r="AV144" s="1077">
        <f>SUM(AS144:AU144)</f>
        <v>12</v>
      </c>
      <c r="AW144" s="1076">
        <v>4</v>
      </c>
      <c r="AX144" s="1076">
        <v>5</v>
      </c>
      <c r="AY144" s="1076">
        <v>3</v>
      </c>
      <c r="AZ144" s="1077">
        <f>SUM(AW144:AY144)</f>
        <v>12</v>
      </c>
      <c r="BA144" s="1076">
        <v>4</v>
      </c>
      <c r="BB144" s="1076">
        <v>3</v>
      </c>
      <c r="BC144" s="1076">
        <v>6</v>
      </c>
      <c r="BD144" s="1077">
        <f>SUM(BA144:BC144)</f>
        <v>13</v>
      </c>
      <c r="BE144" s="1082"/>
      <c r="BF144" s="1082">
        <v>1</v>
      </c>
      <c r="BG144" s="1082">
        <v>3</v>
      </c>
      <c r="BH144" s="1083">
        <f>SUM(BE144:BG144)</f>
        <v>4</v>
      </c>
      <c r="BI144" s="1082">
        <v>2</v>
      </c>
      <c r="BJ144" s="1082">
        <v>2</v>
      </c>
      <c r="BK144" s="1082">
        <v>4</v>
      </c>
      <c r="BL144" s="1083">
        <f>SUM(BI144:BK144)</f>
        <v>8</v>
      </c>
    </row>
    <row r="145" spans="1:64" s="212" customFormat="1" ht="15" x14ac:dyDescent="0.2">
      <c r="A145" s="6186"/>
      <c r="B145" s="6190"/>
      <c r="C145" s="6175"/>
      <c r="D145" s="1074" t="s">
        <v>359</v>
      </c>
      <c r="E145" s="4579"/>
      <c r="F145" s="4580"/>
      <c r="G145" s="4580"/>
      <c r="H145" s="4581"/>
      <c r="I145" s="1098"/>
      <c r="J145" s="1098"/>
      <c r="K145" s="1098"/>
      <c r="L145" s="1099"/>
      <c r="M145" s="4582"/>
      <c r="N145" s="1098"/>
      <c r="O145" s="1098"/>
      <c r="P145" s="4581"/>
      <c r="Q145" s="1098"/>
      <c r="R145" s="1098"/>
      <c r="S145" s="1098"/>
      <c r="T145" s="1099"/>
      <c r="U145" s="4582"/>
      <c r="V145" s="1098"/>
      <c r="W145" s="1098"/>
      <c r="X145" s="4581"/>
      <c r="Y145" s="1098"/>
      <c r="Z145" s="1098"/>
      <c r="AA145" s="1098"/>
      <c r="AB145" s="1099"/>
      <c r="AC145" s="4582"/>
      <c r="AD145" s="1098"/>
      <c r="AE145" s="1098"/>
      <c r="AF145" s="4581"/>
      <c r="AG145" s="1098"/>
      <c r="AH145" s="1098"/>
      <c r="AI145" s="1098"/>
      <c r="AJ145" s="4581"/>
      <c r="AK145" s="1098"/>
      <c r="AL145" s="1098"/>
      <c r="AM145" s="1098"/>
      <c r="AN145" s="4581"/>
      <c r="AO145" s="1098"/>
      <c r="AP145" s="1098"/>
      <c r="AQ145" s="1098"/>
      <c r="AR145" s="4581"/>
      <c r="AS145" s="1098"/>
      <c r="AT145" s="1098"/>
      <c r="AU145" s="1098"/>
      <c r="AV145" s="4581"/>
      <c r="AW145" s="1098"/>
      <c r="AX145" s="1098"/>
      <c r="AY145" s="1098"/>
      <c r="AZ145" s="4581"/>
      <c r="BA145" s="1098"/>
      <c r="BB145" s="1098"/>
      <c r="BC145" s="1098"/>
      <c r="BD145" s="4581"/>
      <c r="BE145" s="1069"/>
      <c r="BF145" s="1069"/>
      <c r="BG145" s="1069">
        <v>3</v>
      </c>
      <c r="BH145" s="1083">
        <f>SUM(BE145:BG145)</f>
        <v>3</v>
      </c>
      <c r="BI145" s="1069"/>
      <c r="BJ145" s="1069"/>
      <c r="BK145" s="1069"/>
      <c r="BL145" s="1083">
        <f>SUM(BI145:BK145)</f>
        <v>0</v>
      </c>
    </row>
    <row r="146" spans="1:64" s="212" customFormat="1" ht="15" x14ac:dyDescent="0.2">
      <c r="A146" s="6186"/>
      <c r="B146" s="6189"/>
      <c r="C146" s="5153"/>
      <c r="D146" s="1063" t="s">
        <v>160</v>
      </c>
      <c r="E146" s="1651"/>
      <c r="F146" s="1652"/>
      <c r="G146" s="1652"/>
      <c r="H146" s="1653"/>
      <c r="I146" s="1652"/>
      <c r="J146" s="1652"/>
      <c r="K146" s="1652"/>
      <c r="L146" s="1654"/>
      <c r="M146" s="1651"/>
      <c r="N146" s="1652"/>
      <c r="O146" s="1652"/>
      <c r="P146" s="1653"/>
      <c r="Q146" s="1652"/>
      <c r="R146" s="1652"/>
      <c r="S146" s="1652"/>
      <c r="T146" s="1654"/>
      <c r="U146" s="1651"/>
      <c r="V146" s="1652"/>
      <c r="W146" s="1652"/>
      <c r="X146" s="1653"/>
      <c r="Y146" s="1652"/>
      <c r="Z146" s="1652"/>
      <c r="AA146" s="1652"/>
      <c r="AB146" s="1654"/>
      <c r="AC146" s="1651"/>
      <c r="AD146" s="1652"/>
      <c r="AE146" s="1652"/>
      <c r="AF146" s="1653"/>
      <c r="AG146" s="1651"/>
      <c r="AH146" s="1652"/>
      <c r="AI146" s="1652"/>
      <c r="AJ146" s="1653"/>
      <c r="AK146" s="1651"/>
      <c r="AL146" s="1652"/>
      <c r="AM146" s="1652"/>
      <c r="AN146" s="1653"/>
      <c r="AO146" s="1651">
        <f t="shared" ref="AO146:AV146" si="104">SUM(AO142:AO144)</f>
        <v>0</v>
      </c>
      <c r="AP146" s="1652">
        <f t="shared" si="104"/>
        <v>10</v>
      </c>
      <c r="AQ146" s="1652">
        <f t="shared" si="104"/>
        <v>24</v>
      </c>
      <c r="AR146" s="1653">
        <f t="shared" si="104"/>
        <v>34</v>
      </c>
      <c r="AS146" s="1651">
        <f t="shared" si="104"/>
        <v>5</v>
      </c>
      <c r="AT146" s="1652">
        <f t="shared" si="104"/>
        <v>5</v>
      </c>
      <c r="AU146" s="1652">
        <f t="shared" si="104"/>
        <v>22</v>
      </c>
      <c r="AV146" s="1653">
        <f t="shared" si="104"/>
        <v>32</v>
      </c>
      <c r="AW146" s="1651">
        <f t="shared" ref="AW146:BD146" si="105">SUM(AW142:AW144)</f>
        <v>6</v>
      </c>
      <c r="AX146" s="1652">
        <f t="shared" si="105"/>
        <v>5</v>
      </c>
      <c r="AY146" s="1652">
        <f t="shared" si="105"/>
        <v>21</v>
      </c>
      <c r="AZ146" s="1653">
        <f t="shared" si="105"/>
        <v>32</v>
      </c>
      <c r="BA146" s="1651">
        <f t="shared" si="105"/>
        <v>6</v>
      </c>
      <c r="BB146" s="1652">
        <f t="shared" si="105"/>
        <v>6</v>
      </c>
      <c r="BC146" s="1652">
        <f t="shared" si="105"/>
        <v>25</v>
      </c>
      <c r="BD146" s="1653">
        <f t="shared" si="105"/>
        <v>37</v>
      </c>
      <c r="BE146" s="1647">
        <f t="shared" ref="BE146:BL146" si="106">SUM(BE142:BE145)</f>
        <v>0</v>
      </c>
      <c r="BF146" s="1648">
        <f t="shared" si="106"/>
        <v>2</v>
      </c>
      <c r="BG146" s="1648">
        <f t="shared" si="106"/>
        <v>25</v>
      </c>
      <c r="BH146" s="1649">
        <f t="shared" si="106"/>
        <v>27</v>
      </c>
      <c r="BI146" s="1647">
        <f t="shared" si="106"/>
        <v>5</v>
      </c>
      <c r="BJ146" s="1648">
        <f t="shared" si="106"/>
        <v>2</v>
      </c>
      <c r="BK146" s="1648">
        <f t="shared" si="106"/>
        <v>32</v>
      </c>
      <c r="BL146" s="1649">
        <f t="shared" si="106"/>
        <v>39</v>
      </c>
    </row>
    <row r="147" spans="1:64" s="212" customFormat="1" ht="15" x14ac:dyDescent="0.2">
      <c r="A147" s="6187"/>
      <c r="B147" s="3690"/>
      <c r="C147" s="3690"/>
      <c r="D147" s="3546" t="s">
        <v>444</v>
      </c>
      <c r="E147" s="3683"/>
      <c r="F147" s="3684"/>
      <c r="G147" s="3684"/>
      <c r="H147" s="3685"/>
      <c r="I147" s="3684"/>
      <c r="J147" s="3684"/>
      <c r="K147" s="3684"/>
      <c r="L147" s="3686"/>
      <c r="M147" s="3683"/>
      <c r="N147" s="3684"/>
      <c r="O147" s="3684"/>
      <c r="P147" s="3685"/>
      <c r="Q147" s="3684"/>
      <c r="R147" s="3684"/>
      <c r="S147" s="3684"/>
      <c r="T147" s="3686"/>
      <c r="U147" s="3683"/>
      <c r="V147" s="3684"/>
      <c r="W147" s="3684"/>
      <c r="X147" s="3685"/>
      <c r="Y147" s="3684"/>
      <c r="Z147" s="3684"/>
      <c r="AA147" s="3684"/>
      <c r="AB147" s="3686"/>
      <c r="AC147" s="3683"/>
      <c r="AD147" s="3684"/>
      <c r="AE147" s="3684"/>
      <c r="AF147" s="3685"/>
      <c r="AG147" s="3683"/>
      <c r="AH147" s="3684"/>
      <c r="AI147" s="3684"/>
      <c r="AJ147" s="3685"/>
      <c r="AK147" s="3683">
        <f>SUM(AK139,AK141,AK146)</f>
        <v>171</v>
      </c>
      <c r="AL147" s="3684">
        <f t="shared" ref="AL147:AR147" si="107">SUM(AL139,AL141,AL146)</f>
        <v>0</v>
      </c>
      <c r="AM147" s="3684">
        <f t="shared" si="107"/>
        <v>0</v>
      </c>
      <c r="AN147" s="3685">
        <f t="shared" si="107"/>
        <v>171</v>
      </c>
      <c r="AO147" s="3683">
        <f t="shared" si="107"/>
        <v>171</v>
      </c>
      <c r="AP147" s="3684">
        <f t="shared" si="107"/>
        <v>10</v>
      </c>
      <c r="AQ147" s="3684">
        <f t="shared" si="107"/>
        <v>51</v>
      </c>
      <c r="AR147" s="3685">
        <f t="shared" si="107"/>
        <v>232</v>
      </c>
      <c r="AS147" s="3683">
        <f t="shared" ref="AS147:AZ147" si="108">SUM(AS139,AS141,AS146)</f>
        <v>178</v>
      </c>
      <c r="AT147" s="3684">
        <f t="shared" si="108"/>
        <v>5</v>
      </c>
      <c r="AU147" s="3684">
        <f t="shared" si="108"/>
        <v>146</v>
      </c>
      <c r="AV147" s="3685">
        <f t="shared" si="108"/>
        <v>329</v>
      </c>
      <c r="AW147" s="3683">
        <f t="shared" si="108"/>
        <v>6</v>
      </c>
      <c r="AX147" s="3684">
        <f t="shared" si="108"/>
        <v>5</v>
      </c>
      <c r="AY147" s="3684">
        <f t="shared" si="108"/>
        <v>318</v>
      </c>
      <c r="AZ147" s="3685">
        <f t="shared" si="108"/>
        <v>329</v>
      </c>
      <c r="BA147" s="3683">
        <f>SUM(BA139,BA141,BA146)</f>
        <v>6</v>
      </c>
      <c r="BB147" s="3684">
        <f>SUM(BB142:BB144)</f>
        <v>6</v>
      </c>
      <c r="BC147" s="3684">
        <f>SUM(BC139,BC141,BC146)</f>
        <v>203</v>
      </c>
      <c r="BD147" s="3685">
        <f>SUM(BD139,BD141,BD146)</f>
        <v>215</v>
      </c>
      <c r="BE147" s="3683">
        <f>SUM(BE139,BE141,BE146)</f>
        <v>0</v>
      </c>
      <c r="BF147" s="3684">
        <f>SUM(BF142:BF144)</f>
        <v>2</v>
      </c>
      <c r="BG147" s="3684">
        <f>SUM(BG139,BG141,BG146)</f>
        <v>171</v>
      </c>
      <c r="BH147" s="3685">
        <f>SUM(BH139,BH141,BH146)</f>
        <v>173</v>
      </c>
      <c r="BI147" s="3683">
        <f>SUM(BI139,BI141,BI146)</f>
        <v>5</v>
      </c>
      <c r="BJ147" s="3684">
        <f>SUM(BJ142:BJ144)</f>
        <v>2</v>
      </c>
      <c r="BK147" s="3684">
        <f>SUM(BK139,BK141,BK146)</f>
        <v>135</v>
      </c>
      <c r="BL147" s="3685">
        <f>SUM(BL139,BL141,BL146)</f>
        <v>142</v>
      </c>
    </row>
    <row r="148" spans="1:64" s="212" customFormat="1" ht="15" x14ac:dyDescent="0.2">
      <c r="A148" s="513"/>
      <c r="B148" s="1093"/>
      <c r="C148" s="513"/>
      <c r="D148" s="1094"/>
      <c r="E148" s="1095"/>
      <c r="F148" s="1095"/>
      <c r="G148" s="1095"/>
      <c r="H148" s="1096"/>
      <c r="I148" s="1097"/>
      <c r="J148" s="1097"/>
      <c r="K148" s="1097"/>
      <c r="L148" s="1096"/>
      <c r="M148" s="1097"/>
      <c r="N148" s="1097"/>
      <c r="O148" s="1097"/>
      <c r="P148" s="1096"/>
      <c r="Q148" s="1097"/>
      <c r="R148" s="1097"/>
      <c r="S148" s="1097"/>
      <c r="T148" s="1096"/>
      <c r="U148" s="1097"/>
      <c r="V148" s="1097"/>
      <c r="W148" s="1097"/>
      <c r="X148" s="1096"/>
      <c r="Y148" s="1098"/>
      <c r="Z148" s="1098"/>
      <c r="AA148" s="1098"/>
      <c r="AB148" s="1099"/>
      <c r="AC148" s="1098"/>
      <c r="AD148" s="1098"/>
      <c r="AE148" s="1098"/>
      <c r="AF148" s="1099"/>
      <c r="AG148" s="1098"/>
      <c r="AH148" s="1098"/>
      <c r="AI148" s="1098"/>
      <c r="AJ148" s="1099"/>
      <c r="AK148" s="1098"/>
      <c r="AL148" s="1098"/>
      <c r="AM148" s="1098"/>
      <c r="AN148" s="1099"/>
      <c r="AO148" s="1098"/>
      <c r="AP148" s="1098"/>
      <c r="AQ148" s="1098"/>
      <c r="AR148" s="1099"/>
      <c r="AS148" s="1098"/>
      <c r="AT148" s="1098"/>
      <c r="AU148" s="1098"/>
      <c r="AV148" s="1099"/>
      <c r="AW148" s="1098"/>
      <c r="AX148" s="1098"/>
      <c r="AY148" s="1098"/>
      <c r="AZ148" s="1099"/>
      <c r="BA148" s="1098"/>
      <c r="BB148" s="1098"/>
      <c r="BC148" s="1098"/>
      <c r="BD148" s="1099"/>
      <c r="BE148" s="1098"/>
      <c r="BF148" s="1098"/>
      <c r="BG148" s="1098"/>
      <c r="BH148" s="1099"/>
      <c r="BI148" s="1098"/>
      <c r="BJ148" s="1098"/>
      <c r="BK148" s="1098"/>
      <c r="BL148" s="1099"/>
    </row>
    <row r="149" spans="1:64" s="222" customFormat="1" ht="15" x14ac:dyDescent="0.2">
      <c r="A149" s="5655" t="s">
        <v>76</v>
      </c>
      <c r="B149" s="5656"/>
      <c r="C149" s="5656"/>
      <c r="D149" s="5657"/>
      <c r="E149" s="1655">
        <f t="shared" ref="E149:AJ149" si="109">SUM(E51,E96,E136,E147)</f>
        <v>71</v>
      </c>
      <c r="F149" s="1656">
        <f t="shared" si="109"/>
        <v>111</v>
      </c>
      <c r="G149" s="1656">
        <f t="shared" si="109"/>
        <v>727</v>
      </c>
      <c r="H149" s="1657">
        <f t="shared" si="109"/>
        <v>909</v>
      </c>
      <c r="I149" s="1656">
        <f t="shared" si="109"/>
        <v>228</v>
      </c>
      <c r="J149" s="1656">
        <f t="shared" si="109"/>
        <v>68</v>
      </c>
      <c r="K149" s="1656">
        <f t="shared" si="109"/>
        <v>1300</v>
      </c>
      <c r="L149" s="1658">
        <f t="shared" si="109"/>
        <v>1596</v>
      </c>
      <c r="M149" s="1655">
        <f t="shared" si="109"/>
        <v>464</v>
      </c>
      <c r="N149" s="1656">
        <f t="shared" si="109"/>
        <v>191</v>
      </c>
      <c r="O149" s="1656">
        <f t="shared" si="109"/>
        <v>890</v>
      </c>
      <c r="P149" s="1657">
        <f t="shared" si="109"/>
        <v>1545</v>
      </c>
      <c r="Q149" s="1656">
        <f t="shared" si="109"/>
        <v>422</v>
      </c>
      <c r="R149" s="1656">
        <f t="shared" si="109"/>
        <v>199</v>
      </c>
      <c r="S149" s="1656">
        <f t="shared" si="109"/>
        <v>1093</v>
      </c>
      <c r="T149" s="1658">
        <f t="shared" si="109"/>
        <v>1714</v>
      </c>
      <c r="U149" s="1655">
        <f t="shared" si="109"/>
        <v>565</v>
      </c>
      <c r="V149" s="1656">
        <f t="shared" si="109"/>
        <v>236</v>
      </c>
      <c r="W149" s="1656">
        <f t="shared" si="109"/>
        <v>1092</v>
      </c>
      <c r="X149" s="1657">
        <f t="shared" si="109"/>
        <v>1893</v>
      </c>
      <c r="Y149" s="1656">
        <f t="shared" si="109"/>
        <v>401</v>
      </c>
      <c r="Z149" s="1656">
        <f t="shared" si="109"/>
        <v>86</v>
      </c>
      <c r="AA149" s="1656">
        <f t="shared" si="109"/>
        <v>1644</v>
      </c>
      <c r="AB149" s="1658">
        <f t="shared" si="109"/>
        <v>2131</v>
      </c>
      <c r="AC149" s="1655">
        <f t="shared" si="109"/>
        <v>336</v>
      </c>
      <c r="AD149" s="1656">
        <f t="shared" si="109"/>
        <v>317</v>
      </c>
      <c r="AE149" s="1656">
        <f t="shared" si="109"/>
        <v>1530</v>
      </c>
      <c r="AF149" s="1657">
        <f t="shared" si="109"/>
        <v>2183</v>
      </c>
      <c r="AG149" s="1655">
        <f t="shared" si="109"/>
        <v>216</v>
      </c>
      <c r="AH149" s="1656">
        <f t="shared" si="109"/>
        <v>194</v>
      </c>
      <c r="AI149" s="1656">
        <f t="shared" si="109"/>
        <v>2164</v>
      </c>
      <c r="AJ149" s="1657">
        <f t="shared" si="109"/>
        <v>2574</v>
      </c>
      <c r="AK149" s="1655">
        <f t="shared" ref="AK149:BL149" si="110">SUM(AK51,AK96,AK136,AK147)</f>
        <v>587</v>
      </c>
      <c r="AL149" s="1656">
        <f t="shared" si="110"/>
        <v>686</v>
      </c>
      <c r="AM149" s="1656">
        <f t="shared" si="110"/>
        <v>1195</v>
      </c>
      <c r="AN149" s="1657">
        <f t="shared" si="110"/>
        <v>2468</v>
      </c>
      <c r="AO149" s="1655">
        <f t="shared" si="110"/>
        <v>444</v>
      </c>
      <c r="AP149" s="1656">
        <f t="shared" si="110"/>
        <v>89</v>
      </c>
      <c r="AQ149" s="1656">
        <f t="shared" si="110"/>
        <v>2496</v>
      </c>
      <c r="AR149" s="1657">
        <f t="shared" si="110"/>
        <v>3029</v>
      </c>
      <c r="AS149" s="1655">
        <f t="shared" si="110"/>
        <v>718</v>
      </c>
      <c r="AT149" s="1656">
        <f t="shared" si="110"/>
        <v>487</v>
      </c>
      <c r="AU149" s="1656">
        <f t="shared" si="110"/>
        <v>1288</v>
      </c>
      <c r="AV149" s="1657">
        <f t="shared" si="110"/>
        <v>2493</v>
      </c>
      <c r="AW149" s="1655">
        <f t="shared" si="110"/>
        <v>382</v>
      </c>
      <c r="AX149" s="1656">
        <f t="shared" si="110"/>
        <v>142</v>
      </c>
      <c r="AY149" s="1656">
        <f t="shared" si="110"/>
        <v>3039</v>
      </c>
      <c r="AZ149" s="1657">
        <f t="shared" si="110"/>
        <v>3563</v>
      </c>
      <c r="BA149" s="1655">
        <f t="shared" si="110"/>
        <v>621</v>
      </c>
      <c r="BB149" s="1656">
        <f t="shared" si="110"/>
        <v>328</v>
      </c>
      <c r="BC149" s="1656">
        <f t="shared" si="110"/>
        <v>1579</v>
      </c>
      <c r="BD149" s="1657">
        <f t="shared" si="110"/>
        <v>2528</v>
      </c>
      <c r="BE149" s="1655">
        <f t="shared" si="110"/>
        <v>357</v>
      </c>
      <c r="BF149" s="1656">
        <f t="shared" si="110"/>
        <v>124</v>
      </c>
      <c r="BG149" s="1656">
        <f t="shared" si="110"/>
        <v>2329</v>
      </c>
      <c r="BH149" s="1657">
        <f t="shared" si="110"/>
        <v>2810</v>
      </c>
      <c r="BI149" s="1655">
        <f t="shared" si="110"/>
        <v>841</v>
      </c>
      <c r="BJ149" s="1656">
        <f t="shared" si="110"/>
        <v>299</v>
      </c>
      <c r="BK149" s="1656">
        <f t="shared" si="110"/>
        <v>1772</v>
      </c>
      <c r="BL149" s="1657">
        <f t="shared" si="110"/>
        <v>2912</v>
      </c>
    </row>
    <row r="150" spans="1:64" s="235" customFormat="1" ht="13.5" x14ac:dyDescent="0.2">
      <c r="B150" s="543" t="s">
        <v>1242</v>
      </c>
      <c r="C150" s="578"/>
      <c r="D150" s="232"/>
      <c r="E150" s="233"/>
      <c r="F150" s="233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4"/>
      <c r="Z150" s="234"/>
      <c r="AA150" s="234"/>
      <c r="AB150" s="234"/>
      <c r="AC150" s="234"/>
      <c r="AD150" s="234"/>
      <c r="AE150" s="234"/>
      <c r="AF150" s="234"/>
      <c r="AG150" s="238"/>
      <c r="AH150" s="238"/>
      <c r="AI150" s="238"/>
    </row>
    <row r="151" spans="1:64" s="235" customFormat="1" ht="13.5" x14ac:dyDescent="0.2">
      <c r="B151" s="578"/>
      <c r="C151" s="578"/>
      <c r="D151" s="232"/>
      <c r="E151" s="233"/>
      <c r="F151" s="233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4"/>
      <c r="Z151" s="234"/>
      <c r="AA151" s="234"/>
      <c r="AB151" s="234"/>
      <c r="AC151" s="234"/>
      <c r="AD151" s="234"/>
      <c r="AE151" s="234"/>
      <c r="AF151" s="234"/>
      <c r="AG151" s="238"/>
      <c r="AH151" s="238"/>
      <c r="AI151" s="238"/>
    </row>
    <row r="152" spans="1:64" s="235" customFormat="1" x14ac:dyDescent="0.2">
      <c r="B152" s="578"/>
      <c r="C152" s="578"/>
      <c r="D152" s="926"/>
      <c r="E152" s="233"/>
      <c r="F152" s="233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4"/>
      <c r="Z152" s="234"/>
      <c r="AA152" s="234"/>
      <c r="AB152" s="234"/>
      <c r="AC152" s="234"/>
      <c r="AD152" s="234"/>
      <c r="AE152" s="234"/>
      <c r="AF152" s="234"/>
      <c r="AG152" s="238"/>
      <c r="AH152" s="238"/>
      <c r="AI152" s="238"/>
    </row>
    <row r="153" spans="1:64" x14ac:dyDescent="0.2">
      <c r="B153" s="543"/>
      <c r="C153" s="543"/>
    </row>
    <row r="154" spans="1:64" ht="13.5" x14ac:dyDescent="0.3">
      <c r="B154" s="927"/>
      <c r="C154" s="1028"/>
    </row>
  </sheetData>
  <sheetProtection algorithmName="SHA-512" hashValue="6/eW6hazpUa3J18TIfmfPBTujx+XToQ8CCmGL1vxCFsZ0yHvFjUSsbc7jgdmV7LS6ECjnRK6AHTwFaMeZz2euA==" saltValue="kod/wDjG88Z8xlSvxP0CDg==" spinCount="100000" sheet="1" objects="1" scenarios="1"/>
  <mergeCells count="59">
    <mergeCell ref="A52:A96"/>
    <mergeCell ref="B52:B68"/>
    <mergeCell ref="AW3:AZ3"/>
    <mergeCell ref="A3:A4"/>
    <mergeCell ref="B3:B4"/>
    <mergeCell ref="D3:D4"/>
    <mergeCell ref="A5:A51"/>
    <mergeCell ref="B5:B15"/>
    <mergeCell ref="AO3:AR3"/>
    <mergeCell ref="B69:B84"/>
    <mergeCell ref="B85:B95"/>
    <mergeCell ref="C60:C67"/>
    <mergeCell ref="C53:C59"/>
    <mergeCell ref="B16:B32"/>
    <mergeCell ref="B33:B50"/>
    <mergeCell ref="C33:C35"/>
    <mergeCell ref="A149:D149"/>
    <mergeCell ref="A97:A136"/>
    <mergeCell ref="B97:B115"/>
    <mergeCell ref="B116:B128"/>
    <mergeCell ref="B131:B135"/>
    <mergeCell ref="A137:A147"/>
    <mergeCell ref="B140:B141"/>
    <mergeCell ref="B142:B146"/>
    <mergeCell ref="C127:C129"/>
    <mergeCell ref="B137:B139"/>
    <mergeCell ref="C131:C133"/>
    <mergeCell ref="C116:C118"/>
    <mergeCell ref="C144:C145"/>
    <mergeCell ref="C119:C126"/>
    <mergeCell ref="C97:C98"/>
    <mergeCell ref="C99:C109"/>
    <mergeCell ref="BI3:BL3"/>
    <mergeCell ref="C70:C76"/>
    <mergeCell ref="C77:C83"/>
    <mergeCell ref="AS3:AV3"/>
    <mergeCell ref="E3:H3"/>
    <mergeCell ref="I3:L3"/>
    <mergeCell ref="M3:P3"/>
    <mergeCell ref="AK3:AN3"/>
    <mergeCell ref="Q3:T3"/>
    <mergeCell ref="U3:X3"/>
    <mergeCell ref="Y3:AB3"/>
    <mergeCell ref="AC3:AF3"/>
    <mergeCell ref="AG3:AJ3"/>
    <mergeCell ref="C36:C42"/>
    <mergeCell ref="C16:C18"/>
    <mergeCell ref="C110:C114"/>
    <mergeCell ref="BA3:BD3"/>
    <mergeCell ref="C11:C14"/>
    <mergeCell ref="C6:C10"/>
    <mergeCell ref="BE3:BH3"/>
    <mergeCell ref="C88:C91"/>
    <mergeCell ref="C92:C94"/>
    <mergeCell ref="C85:C87"/>
    <mergeCell ref="C3:C4"/>
    <mergeCell ref="C43:C49"/>
    <mergeCell ref="C19:C27"/>
    <mergeCell ref="C28:C31"/>
  </mergeCells>
  <printOptions horizontalCentered="1" verticalCentered="1"/>
  <pageMargins left="0.39370078740157483" right="0.39370078740157483" top="0.19685039370078741" bottom="0.19685039370078741" header="0" footer="0"/>
  <pageSetup scale="50" pageOrder="overThenDown" orientation="landscape" r:id="rId1"/>
  <headerFooter alignWithMargins="0"/>
  <rowBreaks count="2" manualBreakCount="2">
    <brk id="52" max="16383" man="1"/>
    <brk id="96" max="55" man="1"/>
  </rowBreaks>
  <colBreaks count="2" manualBreakCount="2">
    <brk id="24" max="122" man="1"/>
    <brk id="44" max="1048575" man="1"/>
  </colBreaks>
  <ignoredErrors>
    <ignoredError sqref="AN32:AR32 P32 AV115 AV130 AV15 AV139:AV141 AV68 AV84 AZ68 AZ84 AZ130 AZ115 AZ32 AZ15 BD130 BD115 BD84 BD68 BD32 BD15 BA50 BH32 BF148:BG148 BH121:BH130 BH84 BL84 BH115:BH119 BL15 BH15:BH25 BH28:BH30 BL32 BL130 BL68" formula="1"/>
    <ignoredError sqref="E115 H131:AR134 G68:AR68 E68:F68 H137:AR141 F130:AR130 AZ139:AZ141 BD139:BD141 BB147 BH139:BH141 BF147:BG147 BF149:BG149 BL139:BL141 BJ147" formula="1" unlockedFormula="1"/>
    <ignoredError sqref="E131:G134 E84:AR84 E95:AR96 F115:AR115 E137:G141 E135:AR136 E130 E146:AU149 AS139:AU139 AS141:AU141 AT140:AU140 AT142 AS143:AT143 AW143:AX143 AW139:AY139 AW149:AZ149 AX142 AW146:AZ147 AZ144 AZ142 AW141:AY141 AW140:AX140 BA141:BC141 BA139:BC139 AZ143:BB143 BA146:BD146 BA147 BC147:BD147 BA140:BB140 BD142:BD144 BA148:BD149 E142:AR144 BE143:BH143 BE139:BG139 BE147 BH147 BE141:BG141 BE140:BF140 BE149 BE142:BF142 BH142 BE145:BH146 BE144:BF144 BH144 BI142:BL146 BI139:BK141 BI148:BL149 BI147 BK147:BL147" unlockedFormula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J96"/>
  <sheetViews>
    <sheetView showGridLines="0" zoomScaleNormal="100" zoomScaleSheetLayoutView="40" workbookViewId="0">
      <pane xSplit="2" ySplit="5" topLeftCell="AD21" activePane="bottomRight" state="frozen"/>
      <selection sqref="A1:E1"/>
      <selection pane="topRight" sqref="A1:E1"/>
      <selection pane="bottomLeft" sqref="A1:E1"/>
      <selection pane="bottomRight" activeCell="BB105" sqref="BB105"/>
    </sheetView>
  </sheetViews>
  <sheetFormatPr baseColWidth="10" defaultRowHeight="12.75" x14ac:dyDescent="0.2"/>
  <cols>
    <col min="1" max="1" width="16.42578125" style="209" customWidth="1"/>
    <col min="2" max="2" width="15.140625" style="228" customWidth="1"/>
    <col min="3" max="6" width="7.7109375" style="228" customWidth="1"/>
    <col min="7" max="62" width="7.7109375" style="209" customWidth="1"/>
    <col min="63" max="258" width="11.42578125" style="209"/>
    <col min="259" max="259" width="5.28515625" style="209" customWidth="1"/>
    <col min="260" max="260" width="10.42578125" style="209" customWidth="1"/>
    <col min="261" max="261" width="12.5703125" style="209" customWidth="1"/>
    <col min="262" max="262" width="24.42578125" style="209" customWidth="1"/>
    <col min="263" max="286" width="9.7109375" style="209" customWidth="1"/>
    <col min="287" max="514" width="11.42578125" style="209"/>
    <col min="515" max="515" width="5.28515625" style="209" customWidth="1"/>
    <col min="516" max="516" width="10.42578125" style="209" customWidth="1"/>
    <col min="517" max="517" width="12.5703125" style="209" customWidth="1"/>
    <col min="518" max="518" width="24.42578125" style="209" customWidth="1"/>
    <col min="519" max="542" width="9.7109375" style="209" customWidth="1"/>
    <col min="543" max="770" width="11.42578125" style="209"/>
    <col min="771" max="771" width="5.28515625" style="209" customWidth="1"/>
    <col min="772" max="772" width="10.42578125" style="209" customWidth="1"/>
    <col min="773" max="773" width="12.5703125" style="209" customWidth="1"/>
    <col min="774" max="774" width="24.42578125" style="209" customWidth="1"/>
    <col min="775" max="798" width="9.7109375" style="209" customWidth="1"/>
    <col min="799" max="1026" width="11.42578125" style="209"/>
    <col min="1027" max="1027" width="5.28515625" style="209" customWidth="1"/>
    <col min="1028" max="1028" width="10.42578125" style="209" customWidth="1"/>
    <col min="1029" max="1029" width="12.5703125" style="209" customWidth="1"/>
    <col min="1030" max="1030" width="24.42578125" style="209" customWidth="1"/>
    <col min="1031" max="1054" width="9.7109375" style="209" customWidth="1"/>
    <col min="1055" max="1282" width="11.42578125" style="209"/>
    <col min="1283" max="1283" width="5.28515625" style="209" customWidth="1"/>
    <col min="1284" max="1284" width="10.42578125" style="209" customWidth="1"/>
    <col min="1285" max="1285" width="12.5703125" style="209" customWidth="1"/>
    <col min="1286" max="1286" width="24.42578125" style="209" customWidth="1"/>
    <col min="1287" max="1310" width="9.7109375" style="209" customWidth="1"/>
    <col min="1311" max="1538" width="11.42578125" style="209"/>
    <col min="1539" max="1539" width="5.28515625" style="209" customWidth="1"/>
    <col min="1540" max="1540" width="10.42578125" style="209" customWidth="1"/>
    <col min="1541" max="1541" width="12.5703125" style="209" customWidth="1"/>
    <col min="1542" max="1542" width="24.42578125" style="209" customWidth="1"/>
    <col min="1543" max="1566" width="9.7109375" style="209" customWidth="1"/>
    <col min="1567" max="1794" width="11.42578125" style="209"/>
    <col min="1795" max="1795" width="5.28515625" style="209" customWidth="1"/>
    <col min="1796" max="1796" width="10.42578125" style="209" customWidth="1"/>
    <col min="1797" max="1797" width="12.5703125" style="209" customWidth="1"/>
    <col min="1798" max="1798" width="24.42578125" style="209" customWidth="1"/>
    <col min="1799" max="1822" width="9.7109375" style="209" customWidth="1"/>
    <col min="1823" max="2050" width="11.42578125" style="209"/>
    <col min="2051" max="2051" width="5.28515625" style="209" customWidth="1"/>
    <col min="2052" max="2052" width="10.42578125" style="209" customWidth="1"/>
    <col min="2053" max="2053" width="12.5703125" style="209" customWidth="1"/>
    <col min="2054" max="2054" width="24.42578125" style="209" customWidth="1"/>
    <col min="2055" max="2078" width="9.7109375" style="209" customWidth="1"/>
    <col min="2079" max="2306" width="11.42578125" style="209"/>
    <col min="2307" max="2307" width="5.28515625" style="209" customWidth="1"/>
    <col min="2308" max="2308" width="10.42578125" style="209" customWidth="1"/>
    <col min="2309" max="2309" width="12.5703125" style="209" customWidth="1"/>
    <col min="2310" max="2310" width="24.42578125" style="209" customWidth="1"/>
    <col min="2311" max="2334" width="9.7109375" style="209" customWidth="1"/>
    <col min="2335" max="2562" width="11.42578125" style="209"/>
    <col min="2563" max="2563" width="5.28515625" style="209" customWidth="1"/>
    <col min="2564" max="2564" width="10.42578125" style="209" customWidth="1"/>
    <col min="2565" max="2565" width="12.5703125" style="209" customWidth="1"/>
    <col min="2566" max="2566" width="24.42578125" style="209" customWidth="1"/>
    <col min="2567" max="2590" width="9.7109375" style="209" customWidth="1"/>
    <col min="2591" max="2818" width="11.42578125" style="209"/>
    <col min="2819" max="2819" width="5.28515625" style="209" customWidth="1"/>
    <col min="2820" max="2820" width="10.42578125" style="209" customWidth="1"/>
    <col min="2821" max="2821" width="12.5703125" style="209" customWidth="1"/>
    <col min="2822" max="2822" width="24.42578125" style="209" customWidth="1"/>
    <col min="2823" max="2846" width="9.7109375" style="209" customWidth="1"/>
    <col min="2847" max="3074" width="11.42578125" style="209"/>
    <col min="3075" max="3075" width="5.28515625" style="209" customWidth="1"/>
    <col min="3076" max="3076" width="10.42578125" style="209" customWidth="1"/>
    <col min="3077" max="3077" width="12.5703125" style="209" customWidth="1"/>
    <col min="3078" max="3078" width="24.42578125" style="209" customWidth="1"/>
    <col min="3079" max="3102" width="9.7109375" style="209" customWidth="1"/>
    <col min="3103" max="3330" width="11.42578125" style="209"/>
    <col min="3331" max="3331" width="5.28515625" style="209" customWidth="1"/>
    <col min="3332" max="3332" width="10.42578125" style="209" customWidth="1"/>
    <col min="3333" max="3333" width="12.5703125" style="209" customWidth="1"/>
    <col min="3334" max="3334" width="24.42578125" style="209" customWidth="1"/>
    <col min="3335" max="3358" width="9.7109375" style="209" customWidth="1"/>
    <col min="3359" max="3586" width="11.42578125" style="209"/>
    <col min="3587" max="3587" width="5.28515625" style="209" customWidth="1"/>
    <col min="3588" max="3588" width="10.42578125" style="209" customWidth="1"/>
    <col min="3589" max="3589" width="12.5703125" style="209" customWidth="1"/>
    <col min="3590" max="3590" width="24.42578125" style="209" customWidth="1"/>
    <col min="3591" max="3614" width="9.7109375" style="209" customWidth="1"/>
    <col min="3615" max="3842" width="11.42578125" style="209"/>
    <col min="3843" max="3843" width="5.28515625" style="209" customWidth="1"/>
    <col min="3844" max="3844" width="10.42578125" style="209" customWidth="1"/>
    <col min="3845" max="3845" width="12.5703125" style="209" customWidth="1"/>
    <col min="3846" max="3846" width="24.42578125" style="209" customWidth="1"/>
    <col min="3847" max="3870" width="9.7109375" style="209" customWidth="1"/>
    <col min="3871" max="4098" width="11.42578125" style="209"/>
    <col min="4099" max="4099" width="5.28515625" style="209" customWidth="1"/>
    <col min="4100" max="4100" width="10.42578125" style="209" customWidth="1"/>
    <col min="4101" max="4101" width="12.5703125" style="209" customWidth="1"/>
    <col min="4102" max="4102" width="24.42578125" style="209" customWidth="1"/>
    <col min="4103" max="4126" width="9.7109375" style="209" customWidth="1"/>
    <col min="4127" max="4354" width="11.42578125" style="209"/>
    <col min="4355" max="4355" width="5.28515625" style="209" customWidth="1"/>
    <col min="4356" max="4356" width="10.42578125" style="209" customWidth="1"/>
    <col min="4357" max="4357" width="12.5703125" style="209" customWidth="1"/>
    <col min="4358" max="4358" width="24.42578125" style="209" customWidth="1"/>
    <col min="4359" max="4382" width="9.7109375" style="209" customWidth="1"/>
    <col min="4383" max="4610" width="11.42578125" style="209"/>
    <col min="4611" max="4611" width="5.28515625" style="209" customWidth="1"/>
    <col min="4612" max="4612" width="10.42578125" style="209" customWidth="1"/>
    <col min="4613" max="4613" width="12.5703125" style="209" customWidth="1"/>
    <col min="4614" max="4614" width="24.42578125" style="209" customWidth="1"/>
    <col min="4615" max="4638" width="9.7109375" style="209" customWidth="1"/>
    <col min="4639" max="4866" width="11.42578125" style="209"/>
    <col min="4867" max="4867" width="5.28515625" style="209" customWidth="1"/>
    <col min="4868" max="4868" width="10.42578125" style="209" customWidth="1"/>
    <col min="4869" max="4869" width="12.5703125" style="209" customWidth="1"/>
    <col min="4870" max="4870" width="24.42578125" style="209" customWidth="1"/>
    <col min="4871" max="4894" width="9.7109375" style="209" customWidth="1"/>
    <col min="4895" max="5122" width="11.42578125" style="209"/>
    <col min="5123" max="5123" width="5.28515625" style="209" customWidth="1"/>
    <col min="5124" max="5124" width="10.42578125" style="209" customWidth="1"/>
    <col min="5125" max="5125" width="12.5703125" style="209" customWidth="1"/>
    <col min="5126" max="5126" width="24.42578125" style="209" customWidth="1"/>
    <col min="5127" max="5150" width="9.7109375" style="209" customWidth="1"/>
    <col min="5151" max="5378" width="11.42578125" style="209"/>
    <col min="5379" max="5379" width="5.28515625" style="209" customWidth="1"/>
    <col min="5380" max="5380" width="10.42578125" style="209" customWidth="1"/>
    <col min="5381" max="5381" width="12.5703125" style="209" customWidth="1"/>
    <col min="5382" max="5382" width="24.42578125" style="209" customWidth="1"/>
    <col min="5383" max="5406" width="9.7109375" style="209" customWidth="1"/>
    <col min="5407" max="5634" width="11.42578125" style="209"/>
    <col min="5635" max="5635" width="5.28515625" style="209" customWidth="1"/>
    <col min="5636" max="5636" width="10.42578125" style="209" customWidth="1"/>
    <col min="5637" max="5637" width="12.5703125" style="209" customWidth="1"/>
    <col min="5638" max="5638" width="24.42578125" style="209" customWidth="1"/>
    <col min="5639" max="5662" width="9.7109375" style="209" customWidth="1"/>
    <col min="5663" max="5890" width="11.42578125" style="209"/>
    <col min="5891" max="5891" width="5.28515625" style="209" customWidth="1"/>
    <col min="5892" max="5892" width="10.42578125" style="209" customWidth="1"/>
    <col min="5893" max="5893" width="12.5703125" style="209" customWidth="1"/>
    <col min="5894" max="5894" width="24.42578125" style="209" customWidth="1"/>
    <col min="5895" max="5918" width="9.7109375" style="209" customWidth="1"/>
    <col min="5919" max="6146" width="11.42578125" style="209"/>
    <col min="6147" max="6147" width="5.28515625" style="209" customWidth="1"/>
    <col min="6148" max="6148" width="10.42578125" style="209" customWidth="1"/>
    <col min="6149" max="6149" width="12.5703125" style="209" customWidth="1"/>
    <col min="6150" max="6150" width="24.42578125" style="209" customWidth="1"/>
    <col min="6151" max="6174" width="9.7109375" style="209" customWidth="1"/>
    <col min="6175" max="6402" width="11.42578125" style="209"/>
    <col min="6403" max="6403" width="5.28515625" style="209" customWidth="1"/>
    <col min="6404" max="6404" width="10.42578125" style="209" customWidth="1"/>
    <col min="6405" max="6405" width="12.5703125" style="209" customWidth="1"/>
    <col min="6406" max="6406" width="24.42578125" style="209" customWidth="1"/>
    <col min="6407" max="6430" width="9.7109375" style="209" customWidth="1"/>
    <col min="6431" max="6658" width="11.42578125" style="209"/>
    <col min="6659" max="6659" width="5.28515625" style="209" customWidth="1"/>
    <col min="6660" max="6660" width="10.42578125" style="209" customWidth="1"/>
    <col min="6661" max="6661" width="12.5703125" style="209" customWidth="1"/>
    <col min="6662" max="6662" width="24.42578125" style="209" customWidth="1"/>
    <col min="6663" max="6686" width="9.7109375" style="209" customWidth="1"/>
    <col min="6687" max="6914" width="11.42578125" style="209"/>
    <col min="6915" max="6915" width="5.28515625" style="209" customWidth="1"/>
    <col min="6916" max="6916" width="10.42578125" style="209" customWidth="1"/>
    <col min="6917" max="6917" width="12.5703125" style="209" customWidth="1"/>
    <col min="6918" max="6918" width="24.42578125" style="209" customWidth="1"/>
    <col min="6919" max="6942" width="9.7109375" style="209" customWidth="1"/>
    <col min="6943" max="7170" width="11.42578125" style="209"/>
    <col min="7171" max="7171" width="5.28515625" style="209" customWidth="1"/>
    <col min="7172" max="7172" width="10.42578125" style="209" customWidth="1"/>
    <col min="7173" max="7173" width="12.5703125" style="209" customWidth="1"/>
    <col min="7174" max="7174" width="24.42578125" style="209" customWidth="1"/>
    <col min="7175" max="7198" width="9.7109375" style="209" customWidth="1"/>
    <col min="7199" max="7426" width="11.42578125" style="209"/>
    <col min="7427" max="7427" width="5.28515625" style="209" customWidth="1"/>
    <col min="7428" max="7428" width="10.42578125" style="209" customWidth="1"/>
    <col min="7429" max="7429" width="12.5703125" style="209" customWidth="1"/>
    <col min="7430" max="7430" width="24.42578125" style="209" customWidth="1"/>
    <col min="7431" max="7454" width="9.7109375" style="209" customWidth="1"/>
    <col min="7455" max="7682" width="11.42578125" style="209"/>
    <col min="7683" max="7683" width="5.28515625" style="209" customWidth="1"/>
    <col min="7684" max="7684" width="10.42578125" style="209" customWidth="1"/>
    <col min="7685" max="7685" width="12.5703125" style="209" customWidth="1"/>
    <col min="7686" max="7686" width="24.42578125" style="209" customWidth="1"/>
    <col min="7687" max="7710" width="9.7109375" style="209" customWidth="1"/>
    <col min="7711" max="7938" width="11.42578125" style="209"/>
    <col min="7939" max="7939" width="5.28515625" style="209" customWidth="1"/>
    <col min="7940" max="7940" width="10.42578125" style="209" customWidth="1"/>
    <col min="7941" max="7941" width="12.5703125" style="209" customWidth="1"/>
    <col min="7942" max="7942" width="24.42578125" style="209" customWidth="1"/>
    <col min="7943" max="7966" width="9.7109375" style="209" customWidth="1"/>
    <col min="7967" max="8194" width="11.42578125" style="209"/>
    <col min="8195" max="8195" width="5.28515625" style="209" customWidth="1"/>
    <col min="8196" max="8196" width="10.42578125" style="209" customWidth="1"/>
    <col min="8197" max="8197" width="12.5703125" style="209" customWidth="1"/>
    <col min="8198" max="8198" width="24.42578125" style="209" customWidth="1"/>
    <col min="8199" max="8222" width="9.7109375" style="209" customWidth="1"/>
    <col min="8223" max="8450" width="11.42578125" style="209"/>
    <col min="8451" max="8451" width="5.28515625" style="209" customWidth="1"/>
    <col min="8452" max="8452" width="10.42578125" style="209" customWidth="1"/>
    <col min="8453" max="8453" width="12.5703125" style="209" customWidth="1"/>
    <col min="8454" max="8454" width="24.42578125" style="209" customWidth="1"/>
    <col min="8455" max="8478" width="9.7109375" style="209" customWidth="1"/>
    <col min="8479" max="8706" width="11.42578125" style="209"/>
    <col min="8707" max="8707" width="5.28515625" style="209" customWidth="1"/>
    <col min="8708" max="8708" width="10.42578125" style="209" customWidth="1"/>
    <col min="8709" max="8709" width="12.5703125" style="209" customWidth="1"/>
    <col min="8710" max="8710" width="24.42578125" style="209" customWidth="1"/>
    <col min="8711" max="8734" width="9.7109375" style="209" customWidth="1"/>
    <col min="8735" max="8962" width="11.42578125" style="209"/>
    <col min="8963" max="8963" width="5.28515625" style="209" customWidth="1"/>
    <col min="8964" max="8964" width="10.42578125" style="209" customWidth="1"/>
    <col min="8965" max="8965" width="12.5703125" style="209" customWidth="1"/>
    <col min="8966" max="8966" width="24.42578125" style="209" customWidth="1"/>
    <col min="8967" max="8990" width="9.7109375" style="209" customWidth="1"/>
    <col min="8991" max="9218" width="11.42578125" style="209"/>
    <col min="9219" max="9219" width="5.28515625" style="209" customWidth="1"/>
    <col min="9220" max="9220" width="10.42578125" style="209" customWidth="1"/>
    <col min="9221" max="9221" width="12.5703125" style="209" customWidth="1"/>
    <col min="9222" max="9222" width="24.42578125" style="209" customWidth="1"/>
    <col min="9223" max="9246" width="9.7109375" style="209" customWidth="1"/>
    <col min="9247" max="9474" width="11.42578125" style="209"/>
    <col min="9475" max="9475" width="5.28515625" style="209" customWidth="1"/>
    <col min="9476" max="9476" width="10.42578125" style="209" customWidth="1"/>
    <col min="9477" max="9477" width="12.5703125" style="209" customWidth="1"/>
    <col min="9478" max="9478" width="24.42578125" style="209" customWidth="1"/>
    <col min="9479" max="9502" width="9.7109375" style="209" customWidth="1"/>
    <col min="9503" max="9730" width="11.42578125" style="209"/>
    <col min="9731" max="9731" width="5.28515625" style="209" customWidth="1"/>
    <col min="9732" max="9732" width="10.42578125" style="209" customWidth="1"/>
    <col min="9733" max="9733" width="12.5703125" style="209" customWidth="1"/>
    <col min="9734" max="9734" width="24.42578125" style="209" customWidth="1"/>
    <col min="9735" max="9758" width="9.7109375" style="209" customWidth="1"/>
    <col min="9759" max="9986" width="11.42578125" style="209"/>
    <col min="9987" max="9987" width="5.28515625" style="209" customWidth="1"/>
    <col min="9988" max="9988" width="10.42578125" style="209" customWidth="1"/>
    <col min="9989" max="9989" width="12.5703125" style="209" customWidth="1"/>
    <col min="9990" max="9990" width="24.42578125" style="209" customWidth="1"/>
    <col min="9991" max="10014" width="9.7109375" style="209" customWidth="1"/>
    <col min="10015" max="10242" width="11.42578125" style="209"/>
    <col min="10243" max="10243" width="5.28515625" style="209" customWidth="1"/>
    <col min="10244" max="10244" width="10.42578125" style="209" customWidth="1"/>
    <col min="10245" max="10245" width="12.5703125" style="209" customWidth="1"/>
    <col min="10246" max="10246" width="24.42578125" style="209" customWidth="1"/>
    <col min="10247" max="10270" width="9.7109375" style="209" customWidth="1"/>
    <col min="10271" max="10498" width="11.42578125" style="209"/>
    <col min="10499" max="10499" width="5.28515625" style="209" customWidth="1"/>
    <col min="10500" max="10500" width="10.42578125" style="209" customWidth="1"/>
    <col min="10501" max="10501" width="12.5703125" style="209" customWidth="1"/>
    <col min="10502" max="10502" width="24.42578125" style="209" customWidth="1"/>
    <col min="10503" max="10526" width="9.7109375" style="209" customWidth="1"/>
    <col min="10527" max="10754" width="11.42578125" style="209"/>
    <col min="10755" max="10755" width="5.28515625" style="209" customWidth="1"/>
    <col min="10756" max="10756" width="10.42578125" style="209" customWidth="1"/>
    <col min="10757" max="10757" width="12.5703125" style="209" customWidth="1"/>
    <col min="10758" max="10758" width="24.42578125" style="209" customWidth="1"/>
    <col min="10759" max="10782" width="9.7109375" style="209" customWidth="1"/>
    <col min="10783" max="11010" width="11.42578125" style="209"/>
    <col min="11011" max="11011" width="5.28515625" style="209" customWidth="1"/>
    <col min="11012" max="11012" width="10.42578125" style="209" customWidth="1"/>
    <col min="11013" max="11013" width="12.5703125" style="209" customWidth="1"/>
    <col min="11014" max="11014" width="24.42578125" style="209" customWidth="1"/>
    <col min="11015" max="11038" width="9.7109375" style="209" customWidth="1"/>
    <col min="11039" max="11266" width="11.42578125" style="209"/>
    <col min="11267" max="11267" width="5.28515625" style="209" customWidth="1"/>
    <col min="11268" max="11268" width="10.42578125" style="209" customWidth="1"/>
    <col min="11269" max="11269" width="12.5703125" style="209" customWidth="1"/>
    <col min="11270" max="11270" width="24.42578125" style="209" customWidth="1"/>
    <col min="11271" max="11294" width="9.7109375" style="209" customWidth="1"/>
    <col min="11295" max="11522" width="11.42578125" style="209"/>
    <col min="11523" max="11523" width="5.28515625" style="209" customWidth="1"/>
    <col min="11524" max="11524" width="10.42578125" style="209" customWidth="1"/>
    <col min="11525" max="11525" width="12.5703125" style="209" customWidth="1"/>
    <col min="11526" max="11526" width="24.42578125" style="209" customWidth="1"/>
    <col min="11527" max="11550" width="9.7109375" style="209" customWidth="1"/>
    <col min="11551" max="11778" width="11.42578125" style="209"/>
    <col min="11779" max="11779" width="5.28515625" style="209" customWidth="1"/>
    <col min="11780" max="11780" width="10.42578125" style="209" customWidth="1"/>
    <col min="11781" max="11781" width="12.5703125" style="209" customWidth="1"/>
    <col min="11782" max="11782" width="24.42578125" style="209" customWidth="1"/>
    <col min="11783" max="11806" width="9.7109375" style="209" customWidth="1"/>
    <col min="11807" max="12034" width="11.42578125" style="209"/>
    <col min="12035" max="12035" width="5.28515625" style="209" customWidth="1"/>
    <col min="12036" max="12036" width="10.42578125" style="209" customWidth="1"/>
    <col min="12037" max="12037" width="12.5703125" style="209" customWidth="1"/>
    <col min="12038" max="12038" width="24.42578125" style="209" customWidth="1"/>
    <col min="12039" max="12062" width="9.7109375" style="209" customWidth="1"/>
    <col min="12063" max="12290" width="11.42578125" style="209"/>
    <col min="12291" max="12291" width="5.28515625" style="209" customWidth="1"/>
    <col min="12292" max="12292" width="10.42578125" style="209" customWidth="1"/>
    <col min="12293" max="12293" width="12.5703125" style="209" customWidth="1"/>
    <col min="12294" max="12294" width="24.42578125" style="209" customWidth="1"/>
    <col min="12295" max="12318" width="9.7109375" style="209" customWidth="1"/>
    <col min="12319" max="12546" width="11.42578125" style="209"/>
    <col min="12547" max="12547" width="5.28515625" style="209" customWidth="1"/>
    <col min="12548" max="12548" width="10.42578125" style="209" customWidth="1"/>
    <col min="12549" max="12549" width="12.5703125" style="209" customWidth="1"/>
    <col min="12550" max="12550" width="24.42578125" style="209" customWidth="1"/>
    <col min="12551" max="12574" width="9.7109375" style="209" customWidth="1"/>
    <col min="12575" max="12802" width="11.42578125" style="209"/>
    <col min="12803" max="12803" width="5.28515625" style="209" customWidth="1"/>
    <col min="12804" max="12804" width="10.42578125" style="209" customWidth="1"/>
    <col min="12805" max="12805" width="12.5703125" style="209" customWidth="1"/>
    <col min="12806" max="12806" width="24.42578125" style="209" customWidth="1"/>
    <col min="12807" max="12830" width="9.7109375" style="209" customWidth="1"/>
    <col min="12831" max="13058" width="11.42578125" style="209"/>
    <col min="13059" max="13059" width="5.28515625" style="209" customWidth="1"/>
    <col min="13060" max="13060" width="10.42578125" style="209" customWidth="1"/>
    <col min="13061" max="13061" width="12.5703125" style="209" customWidth="1"/>
    <col min="13062" max="13062" width="24.42578125" style="209" customWidth="1"/>
    <col min="13063" max="13086" width="9.7109375" style="209" customWidth="1"/>
    <col min="13087" max="13314" width="11.42578125" style="209"/>
    <col min="13315" max="13315" width="5.28515625" style="209" customWidth="1"/>
    <col min="13316" max="13316" width="10.42578125" style="209" customWidth="1"/>
    <col min="13317" max="13317" width="12.5703125" style="209" customWidth="1"/>
    <col min="13318" max="13318" width="24.42578125" style="209" customWidth="1"/>
    <col min="13319" max="13342" width="9.7109375" style="209" customWidth="1"/>
    <col min="13343" max="13570" width="11.42578125" style="209"/>
    <col min="13571" max="13571" width="5.28515625" style="209" customWidth="1"/>
    <col min="13572" max="13572" width="10.42578125" style="209" customWidth="1"/>
    <col min="13573" max="13573" width="12.5703125" style="209" customWidth="1"/>
    <col min="13574" max="13574" width="24.42578125" style="209" customWidth="1"/>
    <col min="13575" max="13598" width="9.7109375" style="209" customWidth="1"/>
    <col min="13599" max="13826" width="11.42578125" style="209"/>
    <col min="13827" max="13827" width="5.28515625" style="209" customWidth="1"/>
    <col min="13828" max="13828" width="10.42578125" style="209" customWidth="1"/>
    <col min="13829" max="13829" width="12.5703125" style="209" customWidth="1"/>
    <col min="13830" max="13830" width="24.42578125" style="209" customWidth="1"/>
    <col min="13831" max="13854" width="9.7109375" style="209" customWidth="1"/>
    <col min="13855" max="14082" width="11.42578125" style="209"/>
    <col min="14083" max="14083" width="5.28515625" style="209" customWidth="1"/>
    <col min="14084" max="14084" width="10.42578125" style="209" customWidth="1"/>
    <col min="14085" max="14085" width="12.5703125" style="209" customWidth="1"/>
    <col min="14086" max="14086" width="24.42578125" style="209" customWidth="1"/>
    <col min="14087" max="14110" width="9.7109375" style="209" customWidth="1"/>
    <col min="14111" max="14338" width="11.42578125" style="209"/>
    <col min="14339" max="14339" width="5.28515625" style="209" customWidth="1"/>
    <col min="14340" max="14340" width="10.42578125" style="209" customWidth="1"/>
    <col min="14341" max="14341" width="12.5703125" style="209" customWidth="1"/>
    <col min="14342" max="14342" width="24.42578125" style="209" customWidth="1"/>
    <col min="14343" max="14366" width="9.7109375" style="209" customWidth="1"/>
    <col min="14367" max="14594" width="11.42578125" style="209"/>
    <col min="14595" max="14595" width="5.28515625" style="209" customWidth="1"/>
    <col min="14596" max="14596" width="10.42578125" style="209" customWidth="1"/>
    <col min="14597" max="14597" width="12.5703125" style="209" customWidth="1"/>
    <col min="14598" max="14598" width="24.42578125" style="209" customWidth="1"/>
    <col min="14599" max="14622" width="9.7109375" style="209" customWidth="1"/>
    <col min="14623" max="14850" width="11.42578125" style="209"/>
    <col min="14851" max="14851" width="5.28515625" style="209" customWidth="1"/>
    <col min="14852" max="14852" width="10.42578125" style="209" customWidth="1"/>
    <col min="14853" max="14853" width="12.5703125" style="209" customWidth="1"/>
    <col min="14854" max="14854" width="24.42578125" style="209" customWidth="1"/>
    <col min="14855" max="14878" width="9.7109375" style="209" customWidth="1"/>
    <col min="14879" max="15106" width="11.42578125" style="209"/>
    <col min="15107" max="15107" width="5.28515625" style="209" customWidth="1"/>
    <col min="15108" max="15108" width="10.42578125" style="209" customWidth="1"/>
    <col min="15109" max="15109" width="12.5703125" style="209" customWidth="1"/>
    <col min="15110" max="15110" width="24.42578125" style="209" customWidth="1"/>
    <col min="15111" max="15134" width="9.7109375" style="209" customWidth="1"/>
    <col min="15135" max="15362" width="11.42578125" style="209"/>
    <col min="15363" max="15363" width="5.28515625" style="209" customWidth="1"/>
    <col min="15364" max="15364" width="10.42578125" style="209" customWidth="1"/>
    <col min="15365" max="15365" width="12.5703125" style="209" customWidth="1"/>
    <col min="15366" max="15366" width="24.42578125" style="209" customWidth="1"/>
    <col min="15367" max="15390" width="9.7109375" style="209" customWidth="1"/>
    <col min="15391" max="15618" width="11.42578125" style="209"/>
    <col min="15619" max="15619" width="5.28515625" style="209" customWidth="1"/>
    <col min="15620" max="15620" width="10.42578125" style="209" customWidth="1"/>
    <col min="15621" max="15621" width="12.5703125" style="209" customWidth="1"/>
    <col min="15622" max="15622" width="24.42578125" style="209" customWidth="1"/>
    <col min="15623" max="15646" width="9.7109375" style="209" customWidth="1"/>
    <col min="15647" max="15874" width="11.42578125" style="209"/>
    <col min="15875" max="15875" width="5.28515625" style="209" customWidth="1"/>
    <col min="15876" max="15876" width="10.42578125" style="209" customWidth="1"/>
    <col min="15877" max="15877" width="12.5703125" style="209" customWidth="1"/>
    <col min="15878" max="15878" width="24.42578125" style="209" customWidth="1"/>
    <col min="15879" max="15902" width="9.7109375" style="209" customWidth="1"/>
    <col min="15903" max="16130" width="11.42578125" style="209"/>
    <col min="16131" max="16131" width="5.28515625" style="209" customWidth="1"/>
    <col min="16132" max="16132" width="10.42578125" style="209" customWidth="1"/>
    <col min="16133" max="16133" width="12.5703125" style="209" customWidth="1"/>
    <col min="16134" max="16134" width="24.42578125" style="209" customWidth="1"/>
    <col min="16135" max="16158" width="9.7109375" style="209" customWidth="1"/>
    <col min="16159" max="16384" width="11.42578125" style="209"/>
  </cols>
  <sheetData>
    <row r="1" spans="1:62" ht="32.25" customHeight="1" x14ac:dyDescent="0.2">
      <c r="A1" s="5682" t="s">
        <v>1276</v>
      </c>
      <c r="B1" s="5682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</row>
    <row r="2" spans="1:62" ht="20.25" x14ac:dyDescent="0.2">
      <c r="A2" s="581"/>
      <c r="B2" s="581"/>
      <c r="C2" s="581"/>
      <c r="D2" s="581"/>
      <c r="E2" s="581"/>
      <c r="F2" s="581"/>
      <c r="G2" s="581"/>
      <c r="H2" s="581"/>
      <c r="I2" s="581"/>
      <c r="J2" s="581"/>
      <c r="K2" s="581"/>
      <c r="L2" s="581"/>
      <c r="M2" s="581"/>
      <c r="N2" s="581"/>
      <c r="O2" s="581"/>
      <c r="P2" s="581"/>
      <c r="Q2" s="581"/>
      <c r="R2" s="581"/>
      <c r="S2" s="581"/>
      <c r="T2" s="581"/>
      <c r="U2" s="581"/>
      <c r="V2" s="581"/>
    </row>
    <row r="3" spans="1:62" ht="15" x14ac:dyDescent="0.2">
      <c r="A3" s="5723" t="s">
        <v>164</v>
      </c>
      <c r="B3" s="5723" t="s">
        <v>25</v>
      </c>
      <c r="C3" s="6170">
        <v>2003</v>
      </c>
      <c r="D3" s="6171"/>
      <c r="E3" s="6171"/>
      <c r="F3" s="6172"/>
      <c r="G3" s="6170">
        <v>2004</v>
      </c>
      <c r="H3" s="6171"/>
      <c r="I3" s="6171"/>
      <c r="J3" s="6172"/>
      <c r="K3" s="6170">
        <v>2005</v>
      </c>
      <c r="L3" s="6171"/>
      <c r="M3" s="6171"/>
      <c r="N3" s="6172"/>
      <c r="O3" s="6170">
        <v>2006</v>
      </c>
      <c r="P3" s="6171"/>
      <c r="Q3" s="6171"/>
      <c r="R3" s="6172"/>
      <c r="S3" s="6170">
        <v>2007</v>
      </c>
      <c r="T3" s="6171"/>
      <c r="U3" s="6171"/>
      <c r="V3" s="6172"/>
      <c r="W3" s="6170">
        <v>2008</v>
      </c>
      <c r="X3" s="6171"/>
      <c r="Y3" s="6171"/>
      <c r="Z3" s="6172"/>
      <c r="AA3" s="6170">
        <v>2009</v>
      </c>
      <c r="AB3" s="6171"/>
      <c r="AC3" s="6171"/>
      <c r="AD3" s="6172"/>
      <c r="AE3" s="6170">
        <v>2010</v>
      </c>
      <c r="AF3" s="6171"/>
      <c r="AG3" s="6171"/>
      <c r="AH3" s="6172"/>
      <c r="AI3" s="6170">
        <v>2011</v>
      </c>
      <c r="AJ3" s="6171"/>
      <c r="AK3" s="6171"/>
      <c r="AL3" s="6172"/>
      <c r="AM3" s="6170">
        <v>2012</v>
      </c>
      <c r="AN3" s="6171"/>
      <c r="AO3" s="6171"/>
      <c r="AP3" s="6172"/>
      <c r="AQ3" s="6170">
        <v>2013</v>
      </c>
      <c r="AR3" s="6171"/>
      <c r="AS3" s="6171"/>
      <c r="AT3" s="6172"/>
      <c r="AU3" s="6170">
        <v>2014</v>
      </c>
      <c r="AV3" s="6171"/>
      <c r="AW3" s="6171"/>
      <c r="AX3" s="6172"/>
      <c r="AY3" s="6170">
        <v>2015</v>
      </c>
      <c r="AZ3" s="6171"/>
      <c r="BA3" s="6171"/>
      <c r="BB3" s="6172"/>
      <c r="BC3" s="6170">
        <v>2016</v>
      </c>
      <c r="BD3" s="6171"/>
      <c r="BE3" s="6171"/>
      <c r="BF3" s="6172"/>
      <c r="BG3" s="6170">
        <v>2017</v>
      </c>
      <c r="BH3" s="6171"/>
      <c r="BI3" s="6171"/>
      <c r="BJ3" s="6172"/>
    </row>
    <row r="4" spans="1:62" ht="15" x14ac:dyDescent="0.2">
      <c r="A4" s="5723"/>
      <c r="B4" s="5723"/>
      <c r="C4" s="1014" t="s">
        <v>653</v>
      </c>
      <c r="D4" s="1015" t="s">
        <v>651</v>
      </c>
      <c r="E4" s="1016" t="s">
        <v>652</v>
      </c>
      <c r="F4" s="1052" t="s">
        <v>160</v>
      </c>
      <c r="G4" s="1690" t="s">
        <v>653</v>
      </c>
      <c r="H4" s="1691" t="s">
        <v>651</v>
      </c>
      <c r="I4" s="1692" t="s">
        <v>652</v>
      </c>
      <c r="J4" s="1052" t="s">
        <v>160</v>
      </c>
      <c r="K4" s="1690" t="s">
        <v>653</v>
      </c>
      <c r="L4" s="1691" t="s">
        <v>651</v>
      </c>
      <c r="M4" s="1692" t="s">
        <v>652</v>
      </c>
      <c r="N4" s="1052" t="s">
        <v>160</v>
      </c>
      <c r="O4" s="1690" t="s">
        <v>653</v>
      </c>
      <c r="P4" s="1691" t="s">
        <v>651</v>
      </c>
      <c r="Q4" s="1692" t="s">
        <v>652</v>
      </c>
      <c r="R4" s="1052" t="s">
        <v>160</v>
      </c>
      <c r="S4" s="1690" t="s">
        <v>653</v>
      </c>
      <c r="T4" s="1691" t="s">
        <v>651</v>
      </c>
      <c r="U4" s="1692" t="s">
        <v>652</v>
      </c>
      <c r="V4" s="1052" t="s">
        <v>160</v>
      </c>
      <c r="W4" s="1690" t="s">
        <v>653</v>
      </c>
      <c r="X4" s="1691" t="s">
        <v>651</v>
      </c>
      <c r="Y4" s="1692" t="s">
        <v>652</v>
      </c>
      <c r="Z4" s="1052" t="s">
        <v>160</v>
      </c>
      <c r="AA4" s="1690" t="s">
        <v>653</v>
      </c>
      <c r="AB4" s="1691" t="s">
        <v>651</v>
      </c>
      <c r="AC4" s="1692" t="s">
        <v>652</v>
      </c>
      <c r="AD4" s="1052" t="s">
        <v>160</v>
      </c>
      <c r="AE4" s="1690" t="s">
        <v>653</v>
      </c>
      <c r="AF4" s="1691" t="s">
        <v>651</v>
      </c>
      <c r="AG4" s="1692" t="s">
        <v>652</v>
      </c>
      <c r="AH4" s="1052" t="s">
        <v>160</v>
      </c>
      <c r="AI4" s="1690" t="s">
        <v>653</v>
      </c>
      <c r="AJ4" s="1691" t="s">
        <v>651</v>
      </c>
      <c r="AK4" s="1692" t="s">
        <v>652</v>
      </c>
      <c r="AL4" s="1052" t="s">
        <v>160</v>
      </c>
      <c r="AM4" s="1690" t="s">
        <v>653</v>
      </c>
      <c r="AN4" s="1691" t="s">
        <v>651</v>
      </c>
      <c r="AO4" s="1692" t="s">
        <v>652</v>
      </c>
      <c r="AP4" s="1052" t="s">
        <v>160</v>
      </c>
      <c r="AQ4" s="1690" t="s">
        <v>653</v>
      </c>
      <c r="AR4" s="1691" t="s">
        <v>651</v>
      </c>
      <c r="AS4" s="1692" t="s">
        <v>652</v>
      </c>
      <c r="AT4" s="1052" t="s">
        <v>160</v>
      </c>
      <c r="AU4" s="2003" t="s">
        <v>653</v>
      </c>
      <c r="AV4" s="2004" t="s">
        <v>651</v>
      </c>
      <c r="AW4" s="2005" t="s">
        <v>652</v>
      </c>
      <c r="AX4" s="1052" t="s">
        <v>160</v>
      </c>
      <c r="AY4" s="3905" t="s">
        <v>653</v>
      </c>
      <c r="AZ4" s="3906" t="s">
        <v>651</v>
      </c>
      <c r="BA4" s="3907" t="s">
        <v>652</v>
      </c>
      <c r="BB4" s="1052" t="s">
        <v>160</v>
      </c>
      <c r="BC4" s="4576" t="s">
        <v>653</v>
      </c>
      <c r="BD4" s="4577" t="s">
        <v>651</v>
      </c>
      <c r="BE4" s="4578" t="s">
        <v>652</v>
      </c>
      <c r="BF4" s="1052" t="s">
        <v>160</v>
      </c>
      <c r="BG4" s="5241" t="s">
        <v>653</v>
      </c>
      <c r="BH4" s="5242" t="s">
        <v>651</v>
      </c>
      <c r="BI4" s="5243" t="s">
        <v>652</v>
      </c>
      <c r="BJ4" s="1052" t="s">
        <v>160</v>
      </c>
    </row>
    <row r="5" spans="1:62" x14ac:dyDescent="0.2">
      <c r="A5" s="377"/>
      <c r="B5" s="377"/>
      <c r="C5" s="377"/>
      <c r="D5" s="377"/>
      <c r="E5" s="377"/>
      <c r="F5" s="377"/>
      <c r="G5" s="377"/>
      <c r="H5" s="377"/>
      <c r="I5" s="377"/>
      <c r="J5" s="377"/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377"/>
      <c r="AP5" s="377"/>
      <c r="AQ5" s="377"/>
      <c r="AR5" s="377"/>
      <c r="AS5" s="377"/>
      <c r="AT5" s="377"/>
      <c r="AU5" s="377"/>
      <c r="AV5" s="377"/>
      <c r="AW5" s="377"/>
      <c r="AX5" s="377"/>
      <c r="AY5" s="2928"/>
      <c r="AZ5" s="2928"/>
      <c r="BA5" s="2928"/>
      <c r="BB5" s="2928"/>
      <c r="BC5" s="2928"/>
      <c r="BD5" s="2928"/>
      <c r="BE5" s="2928"/>
      <c r="BF5" s="2928"/>
      <c r="BG5" s="2928"/>
      <c r="BH5" s="2928"/>
      <c r="BI5" s="2928"/>
      <c r="BJ5" s="2928"/>
    </row>
    <row r="6" spans="1:62" s="212" customFormat="1" ht="15" x14ac:dyDescent="0.2">
      <c r="A6" s="6213" t="s">
        <v>5</v>
      </c>
      <c r="B6" s="1029" t="s">
        <v>615</v>
      </c>
      <c r="C6" s="1030"/>
      <c r="D6" s="1031"/>
      <c r="E6" s="1031"/>
      <c r="F6" s="1032"/>
      <c r="G6" s="1030"/>
      <c r="H6" s="1031"/>
      <c r="I6" s="1031"/>
      <c r="J6" s="1032"/>
      <c r="K6" s="1030">
        <v>0</v>
      </c>
      <c r="L6" s="1031">
        <v>0</v>
      </c>
      <c r="M6" s="1031">
        <v>12</v>
      </c>
      <c r="N6" s="1033">
        <f>SUM(K6:M6)</f>
        <v>12</v>
      </c>
      <c r="O6" s="1031"/>
      <c r="P6" s="1031"/>
      <c r="Q6" s="1031"/>
      <c r="R6" s="1033"/>
      <c r="S6" s="1031"/>
      <c r="T6" s="1031"/>
      <c r="U6" s="1031"/>
      <c r="V6" s="1033"/>
      <c r="W6" s="1031"/>
      <c r="X6" s="1031"/>
      <c r="Y6" s="1031"/>
      <c r="Z6" s="1033"/>
      <c r="AA6" s="1031"/>
      <c r="AB6" s="1031"/>
      <c r="AC6" s="1031"/>
      <c r="AD6" s="1033"/>
      <c r="AE6" s="1031"/>
      <c r="AF6" s="1031"/>
      <c r="AG6" s="1031"/>
      <c r="AH6" s="1033"/>
      <c r="AI6" s="1031"/>
      <c r="AJ6" s="1031"/>
      <c r="AK6" s="1031"/>
      <c r="AL6" s="1033"/>
      <c r="AM6" s="1031"/>
      <c r="AN6" s="1031"/>
      <c r="AO6" s="1031"/>
      <c r="AP6" s="1033"/>
      <c r="AQ6" s="1031"/>
      <c r="AR6" s="1031"/>
      <c r="AS6" s="1031"/>
      <c r="AT6" s="1033"/>
      <c r="AU6" s="1031"/>
      <c r="AV6" s="1031"/>
      <c r="AW6" s="1031"/>
      <c r="AX6" s="1033"/>
      <c r="AY6" s="1031"/>
      <c r="AZ6" s="1031"/>
      <c r="BA6" s="1031"/>
      <c r="BB6" s="1033"/>
      <c r="BC6" s="1031"/>
      <c r="BD6" s="1031"/>
      <c r="BE6" s="1031"/>
      <c r="BF6" s="1033"/>
      <c r="BG6" s="1031"/>
      <c r="BH6" s="1031"/>
      <c r="BI6" s="1031"/>
      <c r="BJ6" s="1033"/>
    </row>
    <row r="7" spans="1:62" ht="15" x14ac:dyDescent="0.2">
      <c r="A7" s="6211"/>
      <c r="B7" s="1034" t="s">
        <v>616</v>
      </c>
      <c r="C7" s="1035"/>
      <c r="D7" s="1036"/>
      <c r="E7" s="1036"/>
      <c r="F7" s="1037"/>
      <c r="G7" s="1035"/>
      <c r="H7" s="1036"/>
      <c r="I7" s="1036"/>
      <c r="J7" s="1037"/>
      <c r="K7" s="1035">
        <v>20</v>
      </c>
      <c r="L7" s="1036">
        <v>22</v>
      </c>
      <c r="M7" s="1036">
        <v>39</v>
      </c>
      <c r="N7" s="1038">
        <v>81</v>
      </c>
      <c r="O7" s="1036">
        <v>29</v>
      </c>
      <c r="P7" s="1036"/>
      <c r="Q7" s="1036">
        <v>64</v>
      </c>
      <c r="R7" s="1038">
        <v>93</v>
      </c>
      <c r="S7" s="1036">
        <v>6</v>
      </c>
      <c r="T7" s="1036">
        <v>13</v>
      </c>
      <c r="U7" s="1036"/>
      <c r="V7" s="1038">
        <v>19</v>
      </c>
      <c r="W7" s="1036">
        <v>7</v>
      </c>
      <c r="X7" s="1036"/>
      <c r="Y7" s="1036">
        <v>58</v>
      </c>
      <c r="Z7" s="1038">
        <f t="shared" ref="Z7:Z17" si="0">SUM(W7:Y7)</f>
        <v>65</v>
      </c>
      <c r="AA7" s="1036">
        <v>23</v>
      </c>
      <c r="AB7" s="1036"/>
      <c r="AC7" s="1036">
        <v>57</v>
      </c>
      <c r="AD7" s="1038">
        <f t="shared" ref="AD7:AD17" si="1">SUM(AA7:AC7)</f>
        <v>80</v>
      </c>
      <c r="AE7" s="1036">
        <v>34</v>
      </c>
      <c r="AF7" s="1036">
        <v>1</v>
      </c>
      <c r="AG7" s="1036">
        <v>32</v>
      </c>
      <c r="AH7" s="1038">
        <v>67</v>
      </c>
      <c r="AI7" s="1036">
        <v>19</v>
      </c>
      <c r="AJ7" s="1036"/>
      <c r="AK7" s="1036">
        <v>59</v>
      </c>
      <c r="AL7" s="1038">
        <f>SUM(AI7:AK7)</f>
        <v>78</v>
      </c>
      <c r="AM7" s="1036">
        <f>SUM('ASPI POSG plan'!AO6:AO10)</f>
        <v>8</v>
      </c>
      <c r="AN7" s="1036">
        <f>SUM('ASPI POSG plan'!AP6:AP10)</f>
        <v>7</v>
      </c>
      <c r="AO7" s="1036">
        <f>SUM('ASPI POSG plan'!AQ6:AQ10)</f>
        <v>43</v>
      </c>
      <c r="AP7" s="1038">
        <f t="shared" ref="AP7:AP17" si="2">SUM(AM7:AO7)</f>
        <v>58</v>
      </c>
      <c r="AQ7" s="1036">
        <f>SUM('ASPI POSG plan'!AS6:AS10)</f>
        <v>28</v>
      </c>
      <c r="AR7" s="1036">
        <f>SUM('ASPI POSG plan'!AT6:AT10)</f>
        <v>0</v>
      </c>
      <c r="AS7" s="1036">
        <f>SUM('ASPI POSG plan'!AU6:AU10)</f>
        <v>83</v>
      </c>
      <c r="AT7" s="1038">
        <f t="shared" ref="AT7:AT17" si="3">SUM(AQ7:AS7)</f>
        <v>111</v>
      </c>
      <c r="AU7" s="1036">
        <f>SUM('ASPI POSG plan'!AW6:AW10)</f>
        <v>61</v>
      </c>
      <c r="AV7" s="1036">
        <f>SUM('ASPI POSG plan'!AX6:AX10)</f>
        <v>0</v>
      </c>
      <c r="AW7" s="1036">
        <f>SUM('ASPI POSG plan'!AY6:AY10)</f>
        <v>105</v>
      </c>
      <c r="AX7" s="1038">
        <f t="shared" ref="AX7:AX17" si="4">SUM(AU7:AW7)</f>
        <v>166</v>
      </c>
      <c r="AY7" s="1036">
        <f>SUM('ASPI POSG plan'!BA6:BA10)</f>
        <v>29</v>
      </c>
      <c r="AZ7" s="1036">
        <f>SUM('ASPI POSG plan'!BB6:BB10)</f>
        <v>0</v>
      </c>
      <c r="BA7" s="1036">
        <f>SUM('ASPI POSG plan'!BC6:BC10)</f>
        <v>109</v>
      </c>
      <c r="BB7" s="1038">
        <f t="shared" ref="BB7:BB17" si="5">SUM(AY7:BA7)</f>
        <v>138</v>
      </c>
      <c r="BC7" s="1036">
        <f>SUM('ASPI POSG plan'!BE6:BE10)</f>
        <v>41</v>
      </c>
      <c r="BD7" s="1036">
        <f>SUM('ASPI POSG plan'!BF6:BF10)</f>
        <v>0</v>
      </c>
      <c r="BE7" s="1036">
        <f>SUM('ASPI POSG plan'!BG6:BG10)</f>
        <v>136</v>
      </c>
      <c r="BF7" s="1038">
        <f t="shared" ref="BF7:BF17" si="6">SUM(BC7:BE7)</f>
        <v>177</v>
      </c>
      <c r="BG7" s="1036">
        <f>SUM('ASPI POSG plan'!BI6:BI10)</f>
        <v>46</v>
      </c>
      <c r="BH7" s="1036">
        <f>SUM('ASPI POSG plan'!BJ6:BJ10)</f>
        <v>0</v>
      </c>
      <c r="BI7" s="1036">
        <f>SUM('ASPI POSG plan'!BK6:BK10)</f>
        <v>172</v>
      </c>
      <c r="BJ7" s="1038">
        <f t="shared" ref="BJ7:BJ17" si="7">SUM(BG7:BI7)</f>
        <v>218</v>
      </c>
    </row>
    <row r="8" spans="1:62" s="216" customFormat="1" ht="15" x14ac:dyDescent="0.2">
      <c r="A8" s="6211"/>
      <c r="B8" s="1040" t="s">
        <v>617</v>
      </c>
      <c r="C8" s="1035"/>
      <c r="D8" s="1036"/>
      <c r="E8" s="1036"/>
      <c r="F8" s="1037"/>
      <c r="G8" s="1035"/>
      <c r="H8" s="1036"/>
      <c r="I8" s="1036"/>
      <c r="J8" s="1037"/>
      <c r="K8" s="1035">
        <v>1</v>
      </c>
      <c r="L8" s="1036">
        <v>0</v>
      </c>
      <c r="M8" s="1036">
        <v>2</v>
      </c>
      <c r="N8" s="1038">
        <v>3</v>
      </c>
      <c r="O8" s="1036">
        <v>2</v>
      </c>
      <c r="P8" s="1036">
        <v>1</v>
      </c>
      <c r="Q8" s="1036">
        <v>5</v>
      </c>
      <c r="R8" s="1038">
        <v>8</v>
      </c>
      <c r="S8" s="1036">
        <v>6</v>
      </c>
      <c r="T8" s="1036">
        <v>4</v>
      </c>
      <c r="U8" s="1036"/>
      <c r="V8" s="1038">
        <v>10</v>
      </c>
      <c r="W8" s="1036"/>
      <c r="X8" s="1036">
        <v>7</v>
      </c>
      <c r="Y8" s="1036">
        <v>6</v>
      </c>
      <c r="Z8" s="1038">
        <f t="shared" si="0"/>
        <v>13</v>
      </c>
      <c r="AA8" s="1036">
        <v>2</v>
      </c>
      <c r="AB8" s="1036"/>
      <c r="AC8" s="1036">
        <v>2</v>
      </c>
      <c r="AD8" s="1038">
        <f t="shared" si="1"/>
        <v>4</v>
      </c>
      <c r="AE8" s="1036">
        <v>2</v>
      </c>
      <c r="AF8" s="1036"/>
      <c r="AG8" s="1036">
        <v>19</v>
      </c>
      <c r="AH8" s="1038">
        <v>21</v>
      </c>
      <c r="AI8" s="1036">
        <v>3</v>
      </c>
      <c r="AJ8" s="1036">
        <v>4</v>
      </c>
      <c r="AK8" s="1036">
        <v>1</v>
      </c>
      <c r="AL8" s="1038">
        <f>SUM(AI8:AK8)</f>
        <v>8</v>
      </c>
      <c r="AM8" s="1036">
        <f>SUM('ASPI POSG plan'!AO11,'ASPI POSG plan'!AO12)</f>
        <v>1</v>
      </c>
      <c r="AN8" s="1036">
        <f>SUM('ASPI POSG plan'!AP11,'ASPI POSG plan'!AP12)</f>
        <v>0</v>
      </c>
      <c r="AO8" s="1036">
        <f>SUM('ASPI POSG plan'!AQ11,'ASPI POSG plan'!AQ12)</f>
        <v>4</v>
      </c>
      <c r="AP8" s="1038">
        <f t="shared" si="2"/>
        <v>5</v>
      </c>
      <c r="AQ8" s="1036">
        <f>SUM('ASPI POSG plan'!AS11:AS14)</f>
        <v>6</v>
      </c>
      <c r="AR8" s="1036">
        <f>SUM('ASPI POSG plan'!AT11:AT14)</f>
        <v>0</v>
      </c>
      <c r="AS8" s="1036">
        <f>SUM('ASPI POSG plan'!AU11:AU14)</f>
        <v>18</v>
      </c>
      <c r="AT8" s="1038">
        <f t="shared" si="3"/>
        <v>24</v>
      </c>
      <c r="AU8" s="1036">
        <f>SUM('ASPI POSG plan'!AW11:AW14)</f>
        <v>5</v>
      </c>
      <c r="AV8" s="1036">
        <f>SUM('ASPI POSG plan'!AX11:AX14)</f>
        <v>6</v>
      </c>
      <c r="AW8" s="1036">
        <f>SUM('ASPI POSG plan'!AY11:AY14)</f>
        <v>15</v>
      </c>
      <c r="AX8" s="1038">
        <f t="shared" si="4"/>
        <v>26</v>
      </c>
      <c r="AY8" s="1036">
        <f>SUM('ASPI POSG plan'!BA11:BA14)</f>
        <v>8</v>
      </c>
      <c r="AZ8" s="1036">
        <f>SUM('ASPI POSG plan'!BB11:BB14)</f>
        <v>6</v>
      </c>
      <c r="BA8" s="1036">
        <f>SUM('ASPI POSG plan'!BC11:BC14)</f>
        <v>17</v>
      </c>
      <c r="BB8" s="1038">
        <f t="shared" si="5"/>
        <v>31</v>
      </c>
      <c r="BC8" s="1036">
        <f>SUM('ASPI POSG plan'!BE11:BE14)</f>
        <v>7</v>
      </c>
      <c r="BD8" s="1036">
        <f>SUM('ASPI POSG plan'!BF11:BF14)</f>
        <v>10</v>
      </c>
      <c r="BE8" s="1036">
        <f>SUM('ASPI POSG plan'!BG11:BG14)</f>
        <v>21</v>
      </c>
      <c r="BF8" s="1038">
        <f t="shared" si="6"/>
        <v>38</v>
      </c>
      <c r="BG8" s="1036">
        <f>SUM('ASPI POSG plan'!BI11:BI14)</f>
        <v>15</v>
      </c>
      <c r="BH8" s="1036">
        <f>SUM('ASPI POSG plan'!BJ11:BJ14)</f>
        <v>5</v>
      </c>
      <c r="BI8" s="1036">
        <f>SUM('ASPI POSG plan'!BK11:BK14)</f>
        <v>13</v>
      </c>
      <c r="BJ8" s="1038">
        <f t="shared" si="7"/>
        <v>33</v>
      </c>
    </row>
    <row r="9" spans="1:62" s="216" customFormat="1" ht="15" x14ac:dyDescent="0.2">
      <c r="A9" s="6212"/>
      <c r="B9" s="574" t="s">
        <v>13</v>
      </c>
      <c r="C9" s="569"/>
      <c r="D9" s="570"/>
      <c r="E9" s="570"/>
      <c r="F9" s="570"/>
      <c r="G9" s="569"/>
      <c r="H9" s="570"/>
      <c r="I9" s="570"/>
      <c r="J9" s="570"/>
      <c r="K9" s="569">
        <v>21</v>
      </c>
      <c r="L9" s="570">
        <v>22</v>
      </c>
      <c r="M9" s="570">
        <v>53</v>
      </c>
      <c r="N9" s="571">
        <v>84</v>
      </c>
      <c r="O9" s="570">
        <v>31</v>
      </c>
      <c r="P9" s="570">
        <v>1</v>
      </c>
      <c r="Q9" s="570">
        <v>69</v>
      </c>
      <c r="R9" s="571">
        <v>101</v>
      </c>
      <c r="S9" s="570">
        <v>12</v>
      </c>
      <c r="T9" s="570">
        <v>17</v>
      </c>
      <c r="U9" s="570"/>
      <c r="V9" s="571">
        <v>29</v>
      </c>
      <c r="W9" s="570">
        <f>SUM(W6:W8)</f>
        <v>7</v>
      </c>
      <c r="X9" s="570">
        <f>SUM(X6:X8)</f>
        <v>7</v>
      </c>
      <c r="Y9" s="570">
        <f>SUM(Y6:Y8)</f>
        <v>64</v>
      </c>
      <c r="Z9" s="571">
        <f t="shared" si="0"/>
        <v>78</v>
      </c>
      <c r="AA9" s="570">
        <f>SUM(AA6:AA8)</f>
        <v>25</v>
      </c>
      <c r="AB9" s="570"/>
      <c r="AC9" s="570">
        <f>SUM(AC6:AC8)</f>
        <v>59</v>
      </c>
      <c r="AD9" s="571">
        <f t="shared" si="1"/>
        <v>84</v>
      </c>
      <c r="AE9" s="570">
        <f>SUM(AE6:AE8)</f>
        <v>36</v>
      </c>
      <c r="AF9" s="570">
        <f>SUM(AF6:AF8)</f>
        <v>1</v>
      </c>
      <c r="AG9" s="570">
        <f>SUM(AG6:AG8)</f>
        <v>51</v>
      </c>
      <c r="AH9" s="571">
        <f t="shared" ref="AH9:AH17" si="8">SUM(AE9:AG9)</f>
        <v>88</v>
      </c>
      <c r="AI9" s="570">
        <f>SUM(AI6:AI8)</f>
        <v>22</v>
      </c>
      <c r="AJ9" s="570">
        <f>SUM(AJ6:AJ8)</f>
        <v>4</v>
      </c>
      <c r="AK9" s="570">
        <f>SUM(AK6:AK8)</f>
        <v>60</v>
      </c>
      <c r="AL9" s="571">
        <f>SUM(AI9:AK9)</f>
        <v>86</v>
      </c>
      <c r="AM9" s="570">
        <f>SUM(AM6:AM8)</f>
        <v>9</v>
      </c>
      <c r="AN9" s="570">
        <f>SUM(AN6:AN8)</f>
        <v>7</v>
      </c>
      <c r="AO9" s="570">
        <f>SUM(AO6:AO8)</f>
        <v>47</v>
      </c>
      <c r="AP9" s="571">
        <f t="shared" si="2"/>
        <v>63</v>
      </c>
      <c r="AQ9" s="570">
        <f>SUM(AQ6:AQ8)</f>
        <v>34</v>
      </c>
      <c r="AR9" s="570">
        <f>SUM(AR6:AR8)</f>
        <v>0</v>
      </c>
      <c r="AS9" s="570">
        <f>SUM(AS6:AS8)</f>
        <v>101</v>
      </c>
      <c r="AT9" s="571">
        <f t="shared" si="3"/>
        <v>135</v>
      </c>
      <c r="AU9" s="570">
        <f>SUM(AU6:AU8)</f>
        <v>66</v>
      </c>
      <c r="AV9" s="570">
        <f>SUM(AV6:AV8)</f>
        <v>6</v>
      </c>
      <c r="AW9" s="570">
        <f>SUM(AW6:AW8)</f>
        <v>120</v>
      </c>
      <c r="AX9" s="571">
        <f t="shared" si="4"/>
        <v>192</v>
      </c>
      <c r="AY9" s="570">
        <f>SUM(AY6:AY8)</f>
        <v>37</v>
      </c>
      <c r="AZ9" s="570">
        <f>SUM(AZ6:AZ8)</f>
        <v>6</v>
      </c>
      <c r="BA9" s="570">
        <f>SUM(BA6:BA8)</f>
        <v>126</v>
      </c>
      <c r="BB9" s="571">
        <f t="shared" si="5"/>
        <v>169</v>
      </c>
      <c r="BC9" s="570">
        <f>SUM(BC6:BC8)</f>
        <v>48</v>
      </c>
      <c r="BD9" s="570">
        <f>SUM(BD6:BD8)</f>
        <v>10</v>
      </c>
      <c r="BE9" s="570">
        <f>SUM(BE6:BE8)</f>
        <v>157</v>
      </c>
      <c r="BF9" s="571">
        <f t="shared" si="6"/>
        <v>215</v>
      </c>
      <c r="BG9" s="570">
        <f>SUM(BG6:BG8)</f>
        <v>61</v>
      </c>
      <c r="BH9" s="570">
        <f>SUM(BH6:BH8)</f>
        <v>5</v>
      </c>
      <c r="BI9" s="570">
        <f>SUM(BI6:BI8)</f>
        <v>185</v>
      </c>
      <c r="BJ9" s="571">
        <f t="shared" si="7"/>
        <v>251</v>
      </c>
    </row>
    <row r="10" spans="1:62" s="216" customFormat="1" ht="15" x14ac:dyDescent="0.2">
      <c r="A10" s="6211" t="s">
        <v>6</v>
      </c>
      <c r="B10" s="1029" t="s">
        <v>615</v>
      </c>
      <c r="C10" s="1035"/>
      <c r="D10" s="1036"/>
      <c r="E10" s="1036"/>
      <c r="F10" s="1037"/>
      <c r="G10" s="1035"/>
      <c r="H10" s="1036"/>
      <c r="I10" s="1036">
        <v>49</v>
      </c>
      <c r="J10" s="1037">
        <v>49</v>
      </c>
      <c r="K10" s="1035">
        <v>0</v>
      </c>
      <c r="L10" s="1036">
        <v>0</v>
      </c>
      <c r="M10" s="1036">
        <v>54</v>
      </c>
      <c r="N10" s="1038">
        <v>54</v>
      </c>
      <c r="O10" s="1036"/>
      <c r="P10" s="1036"/>
      <c r="Q10" s="1036"/>
      <c r="R10" s="1038"/>
      <c r="S10" s="1036"/>
      <c r="T10" s="1036"/>
      <c r="U10" s="1036">
        <v>29</v>
      </c>
      <c r="V10" s="1038">
        <v>29</v>
      </c>
      <c r="W10" s="1036"/>
      <c r="X10" s="1036"/>
      <c r="Y10" s="1036">
        <v>62</v>
      </c>
      <c r="Z10" s="1038">
        <f t="shared" si="0"/>
        <v>62</v>
      </c>
      <c r="AA10" s="1036"/>
      <c r="AB10" s="1036"/>
      <c r="AC10" s="1036">
        <v>40</v>
      </c>
      <c r="AD10" s="1038">
        <f t="shared" si="1"/>
        <v>40</v>
      </c>
      <c r="AE10" s="1036"/>
      <c r="AF10" s="1036"/>
      <c r="AG10" s="1036">
        <v>68</v>
      </c>
      <c r="AH10" s="1038">
        <v>68</v>
      </c>
      <c r="AI10" s="1036"/>
      <c r="AJ10" s="1036">
        <v>79</v>
      </c>
      <c r="AK10" s="1036"/>
      <c r="AL10" s="1038">
        <f>SUM(AI10:AK10)</f>
        <v>79</v>
      </c>
      <c r="AM10" s="1036">
        <f>SUM('ASPI POSG plan'!AO16,'ASPI POSG plan'!AO17,'ASPI POSG plan'!AO18)</f>
        <v>0</v>
      </c>
      <c r="AN10" s="1036">
        <f>SUM('ASPI POSG plan'!AP16,'ASPI POSG plan'!AP17,'ASPI POSG plan'!AP18)</f>
        <v>0</v>
      </c>
      <c r="AO10" s="1036">
        <f>SUM('ASPI POSG plan'!AQ16,'ASPI POSG plan'!AQ17,'ASPI POSG plan'!AQ18)</f>
        <v>16</v>
      </c>
      <c r="AP10" s="1038">
        <f t="shared" si="2"/>
        <v>16</v>
      </c>
      <c r="AQ10" s="1036">
        <f>SUM('ASPI POSG plan'!AS16,'ASPI POSG plan'!AS17,'ASPI POSG plan'!AS18)</f>
        <v>0</v>
      </c>
      <c r="AR10" s="1036">
        <f>SUM('ASPI POSG plan'!AT16,'ASPI POSG plan'!AT17,'ASPI POSG plan'!AT18)</f>
        <v>83</v>
      </c>
      <c r="AS10" s="1036">
        <f>SUM('ASPI POSG plan'!AU16,'ASPI POSG plan'!AU17,'ASPI POSG plan'!AU18)</f>
        <v>0</v>
      </c>
      <c r="AT10" s="1038">
        <f t="shared" si="3"/>
        <v>83</v>
      </c>
      <c r="AU10" s="1036">
        <f>SUM('ASPI POSG plan'!AW16,'ASPI POSG plan'!AW17,'ASPI POSG plan'!AW18)</f>
        <v>0</v>
      </c>
      <c r="AV10" s="1036">
        <f>SUM('ASPI POSG plan'!AX16,'ASPI POSG plan'!AX17,'ASPI POSG plan'!AX18)</f>
        <v>0</v>
      </c>
      <c r="AW10" s="1036">
        <f>SUM('ASPI POSG plan'!AY16,'ASPI POSG plan'!AY17,'ASPI POSG plan'!AY18)</f>
        <v>47</v>
      </c>
      <c r="AX10" s="1038">
        <f t="shared" si="4"/>
        <v>47</v>
      </c>
      <c r="AY10" s="1036">
        <f>SUM('ASPI POSG plan'!BA16,'ASPI POSG plan'!BA17,'ASPI POSG plan'!BA18)</f>
        <v>0</v>
      </c>
      <c r="AZ10" s="1036">
        <f>SUM('ASPI POSG plan'!BB16,'ASPI POSG plan'!BB17,'ASPI POSG plan'!BB18)</f>
        <v>0</v>
      </c>
      <c r="BA10" s="1036">
        <f>SUM('ASPI POSG plan'!BC16,'ASPI POSG plan'!BC17,'ASPI POSG plan'!BC18)</f>
        <v>58</v>
      </c>
      <c r="BB10" s="1038">
        <f t="shared" si="5"/>
        <v>58</v>
      </c>
      <c r="BC10" s="1036">
        <f>SUM('ASPI POSG plan'!BE16,'ASPI POSG plan'!BE17,'ASPI POSG plan'!BE18)</f>
        <v>0</v>
      </c>
      <c r="BD10" s="1036">
        <f>SUM('ASPI POSG plan'!BF16,'ASPI POSG plan'!BF17,'ASPI POSG plan'!BF18)</f>
        <v>0</v>
      </c>
      <c r="BE10" s="1036">
        <f>SUM('ASPI POSG plan'!BG16,'ASPI POSG plan'!BG17,'ASPI POSG plan'!BG18)</f>
        <v>37</v>
      </c>
      <c r="BF10" s="1038">
        <f t="shared" si="6"/>
        <v>37</v>
      </c>
      <c r="BG10" s="1036">
        <f>SUM('ASPI POSG plan'!BI16:BI18)</f>
        <v>0</v>
      </c>
      <c r="BH10" s="1036">
        <f>SUM('ASPI POSG plan'!BJ16:BJ18)</f>
        <v>0</v>
      </c>
      <c r="BI10" s="1036">
        <f>SUM('ASPI POSG plan'!BK16:BK18)</f>
        <v>37</v>
      </c>
      <c r="BJ10" s="1038">
        <f t="shared" si="7"/>
        <v>37</v>
      </c>
    </row>
    <row r="11" spans="1:62" s="216" customFormat="1" ht="15" x14ac:dyDescent="0.2">
      <c r="A11" s="6211"/>
      <c r="B11" s="1034" t="s">
        <v>616</v>
      </c>
      <c r="C11" s="1035"/>
      <c r="D11" s="1036"/>
      <c r="E11" s="1036"/>
      <c r="F11" s="1037"/>
      <c r="G11" s="1035"/>
      <c r="H11" s="1036"/>
      <c r="I11" s="1036">
        <v>46</v>
      </c>
      <c r="J11" s="1037">
        <v>46</v>
      </c>
      <c r="K11" s="1035">
        <v>0</v>
      </c>
      <c r="L11" s="1036">
        <v>0</v>
      </c>
      <c r="M11" s="1036">
        <v>136</v>
      </c>
      <c r="N11" s="1038">
        <v>136</v>
      </c>
      <c r="O11" s="1036">
        <v>21</v>
      </c>
      <c r="P11" s="1036"/>
      <c r="Q11" s="1036"/>
      <c r="R11" s="1038">
        <v>21</v>
      </c>
      <c r="S11" s="1036"/>
      <c r="T11" s="1036"/>
      <c r="U11" s="1036">
        <v>156</v>
      </c>
      <c r="V11" s="1038">
        <v>156</v>
      </c>
      <c r="W11" s="1036">
        <v>93</v>
      </c>
      <c r="X11" s="1036"/>
      <c r="Y11" s="1036"/>
      <c r="Z11" s="1038">
        <f t="shared" si="0"/>
        <v>93</v>
      </c>
      <c r="AA11" s="1036"/>
      <c r="AB11" s="1036"/>
      <c r="AC11" s="1036">
        <v>187</v>
      </c>
      <c r="AD11" s="1038">
        <f t="shared" si="1"/>
        <v>187</v>
      </c>
      <c r="AE11" s="1036"/>
      <c r="AF11" s="1036"/>
      <c r="AG11" s="1036">
        <v>30</v>
      </c>
      <c r="AH11" s="1038">
        <f t="shared" si="8"/>
        <v>30</v>
      </c>
      <c r="AI11" s="1036"/>
      <c r="AJ11" s="1036">
        <v>377</v>
      </c>
      <c r="AK11" s="1036"/>
      <c r="AL11" s="1038">
        <f>SUM(AI11:AK11)</f>
        <v>377</v>
      </c>
      <c r="AM11" s="1036">
        <f>SUM('ASPI POSG plan'!AO19,'ASPI POSG plan'!AO20,'ASPI POSG plan'!AO21,'ASPI POSG plan'!AO22,'ASPI POSG plan'!AO23,'ASPI POSG plan'!AO24,'ASPI POSG plan'!AO25)</f>
        <v>15</v>
      </c>
      <c r="AN11" s="1036">
        <f>SUM('ASPI POSG plan'!AP19,'ASPI POSG plan'!AP20,'ASPI POSG plan'!AP21,'ASPI POSG plan'!AP22,'ASPI POSG plan'!AP23,'ASPI POSG plan'!AP24,'ASPI POSG plan'!AP25)</f>
        <v>0</v>
      </c>
      <c r="AO11" s="1036">
        <f>SUM('ASPI POSG plan'!AQ19,'ASPI POSG plan'!AQ20,'ASPI POSG plan'!AQ21,'ASPI POSG plan'!AQ22,'ASPI POSG plan'!AQ23,'ASPI POSG plan'!AQ24,'ASPI POSG plan'!AQ25)</f>
        <v>24</v>
      </c>
      <c r="AP11" s="1038">
        <f t="shared" si="2"/>
        <v>39</v>
      </c>
      <c r="AQ11" s="1036">
        <f>SUM('ASPI POSG plan'!AS19,'ASPI POSG plan'!AS20,'ASPI POSG plan'!AS21,'ASPI POSG plan'!AS22,'ASPI POSG plan'!AS23,'ASPI POSG plan'!AS24,'ASPI POSG plan'!AS25)</f>
        <v>0</v>
      </c>
      <c r="AR11" s="1036">
        <f>SUM('ASPI POSG plan'!AT19,'ASPI POSG plan'!AT20,'ASPI POSG plan'!AT21,'ASPI POSG plan'!AT22,'ASPI POSG plan'!AT23,'ASPI POSG plan'!AT24,'ASPI POSG plan'!AT25)</f>
        <v>122</v>
      </c>
      <c r="AS11" s="1036">
        <f>SUM('ASPI POSG plan'!AU19,'ASPI POSG plan'!AU20,'ASPI POSG plan'!AU21,'ASPI POSG plan'!AU22,'ASPI POSG plan'!AU23,'ASPI POSG plan'!AU24,'ASPI POSG plan'!AU25)</f>
        <v>42</v>
      </c>
      <c r="AT11" s="1038">
        <f t="shared" si="3"/>
        <v>164</v>
      </c>
      <c r="AU11" s="1036">
        <f>SUM('ASPI POSG plan'!AW19,'ASPI POSG plan'!AW20,'ASPI POSG plan'!AW21,'ASPI POSG plan'!AW22,'ASPI POSG plan'!AW23,'ASPI POSG plan'!AW24,'ASPI POSG plan'!AW25)</f>
        <v>64</v>
      </c>
      <c r="AV11" s="1036">
        <f>SUM('ASPI POSG plan'!AX19,'ASPI POSG plan'!AX20,'ASPI POSG plan'!AX21,'ASPI POSG plan'!AX22,'ASPI POSG plan'!AX23,'ASPI POSG plan'!AX24,'ASPI POSG plan'!AX25)</f>
        <v>0</v>
      </c>
      <c r="AW11" s="1036">
        <f>SUM('ASPI POSG plan'!AY19,'ASPI POSG plan'!AY20,'ASPI POSG plan'!AY21,'ASPI POSG plan'!AY22,'ASPI POSG plan'!AY23,'ASPI POSG plan'!AY24,'ASPI POSG plan'!AY25)</f>
        <v>129</v>
      </c>
      <c r="AX11" s="1038">
        <f t="shared" si="4"/>
        <v>193</v>
      </c>
      <c r="AY11" s="1036">
        <f>SUM('ASPI POSG plan'!BA19,'ASPI POSG plan'!BA20,'ASPI POSG plan'!BA21,'ASPI POSG plan'!BA22,'ASPI POSG plan'!BA23,'ASPI POSG plan'!BA24,'ASPI POSG plan'!BA25)</f>
        <v>0</v>
      </c>
      <c r="AZ11" s="1036">
        <f>SUM('ASPI POSG plan'!BB19,'ASPI POSG plan'!BB20,'ASPI POSG plan'!BB21,'ASPI POSG plan'!BB22,'ASPI POSG plan'!BB23,'ASPI POSG plan'!BB24,'ASPI POSG plan'!BB25)</f>
        <v>0</v>
      </c>
      <c r="BA11" s="1036">
        <f>SUM('ASPI POSG plan'!BC19,'ASPI POSG plan'!BC20,'ASPI POSG plan'!BC21,'ASPI POSG plan'!BC22,'ASPI POSG plan'!BC23,'ASPI POSG plan'!BC24,'ASPI POSG plan'!BC25)</f>
        <v>148</v>
      </c>
      <c r="BB11" s="1038">
        <f t="shared" si="5"/>
        <v>148</v>
      </c>
      <c r="BC11" s="1036">
        <f>SUM('ASPI POSG plan'!BE19,'ASPI POSG plan'!BE20,'ASPI POSG plan'!BE21,'ASPI POSG plan'!BE22,'ASPI POSG plan'!BE23,'ASPI POSG plan'!BE24,'ASPI POSG plan'!BE25)</f>
        <v>0</v>
      </c>
      <c r="BD11" s="1036">
        <f>SUM('ASPI POSG plan'!BF19,'ASPI POSG plan'!BF20,'ASPI POSG plan'!BF21,'ASPI POSG plan'!BF22,'ASPI POSG plan'!BF23,'ASPI POSG plan'!BF24,'ASPI POSG plan'!BF25)</f>
        <v>0</v>
      </c>
      <c r="BE11" s="1036">
        <f>SUM('ASPI POSG plan'!BG19,'ASPI POSG plan'!BG20,'ASPI POSG plan'!BG21,'ASPI POSG plan'!BG22,'ASPI POSG plan'!BG23,'ASPI POSG plan'!BG24,'ASPI POSG plan'!BG25)</f>
        <v>151</v>
      </c>
      <c r="BF11" s="1038">
        <f t="shared" si="6"/>
        <v>151</v>
      </c>
      <c r="BG11" s="1036">
        <f>SUM('ASPI POSG plan'!BI19:BI27)</f>
        <v>126</v>
      </c>
      <c r="BH11" s="1036">
        <f>SUM('ASPI POSG plan'!BJ19:BJ27)</f>
        <v>0</v>
      </c>
      <c r="BI11" s="1036">
        <f>SUM('ASPI POSG plan'!BK19:BK27)</f>
        <v>248</v>
      </c>
      <c r="BJ11" s="1038">
        <f t="shared" si="7"/>
        <v>374</v>
      </c>
    </row>
    <row r="12" spans="1:62" ht="15" x14ac:dyDescent="0.2">
      <c r="A12" s="6211"/>
      <c r="B12" s="1040" t="s">
        <v>617</v>
      </c>
      <c r="C12" s="1035"/>
      <c r="D12" s="1036"/>
      <c r="E12" s="1036"/>
      <c r="F12" s="1037"/>
      <c r="G12" s="1035"/>
      <c r="H12" s="1036"/>
      <c r="I12" s="1036"/>
      <c r="J12" s="1037"/>
      <c r="K12" s="1035">
        <v>32</v>
      </c>
      <c r="L12" s="1036">
        <v>0</v>
      </c>
      <c r="M12" s="1036">
        <v>0</v>
      </c>
      <c r="N12" s="1038">
        <v>32</v>
      </c>
      <c r="O12" s="1036">
        <v>8</v>
      </c>
      <c r="P12" s="1036"/>
      <c r="Q12" s="1036"/>
      <c r="R12" s="1038">
        <v>8</v>
      </c>
      <c r="S12" s="1036"/>
      <c r="T12" s="1036"/>
      <c r="U12" s="1036">
        <v>29</v>
      </c>
      <c r="V12" s="1038">
        <v>29</v>
      </c>
      <c r="W12" s="1036"/>
      <c r="X12" s="1036"/>
      <c r="Y12" s="1036"/>
      <c r="Z12" s="1038"/>
      <c r="AA12" s="1036"/>
      <c r="AB12" s="1036"/>
      <c r="AC12" s="1036">
        <v>22</v>
      </c>
      <c r="AD12" s="1038">
        <f t="shared" si="1"/>
        <v>22</v>
      </c>
      <c r="AE12" s="1036"/>
      <c r="AF12" s="1036">
        <v>51</v>
      </c>
      <c r="AG12" s="1036"/>
      <c r="AH12" s="1038">
        <f t="shared" si="8"/>
        <v>51</v>
      </c>
      <c r="AI12" s="1036"/>
      <c r="AJ12" s="1036">
        <v>20</v>
      </c>
      <c r="AK12" s="1036"/>
      <c r="AL12" s="1038">
        <f t="shared" ref="AL12:AL17" si="9">SUM(AI12:AK12)</f>
        <v>20</v>
      </c>
      <c r="AM12" s="1036">
        <f>SUM('ASPI POSG plan'!AO28,'ASPI POSG plan'!AO29,'ASPI POSG plan'!AO30)</f>
        <v>0</v>
      </c>
      <c r="AN12" s="1036">
        <f>SUM('ASPI POSG plan'!AP28,'ASPI POSG plan'!AP29,'ASPI POSG plan'!AP30)</f>
        <v>0</v>
      </c>
      <c r="AO12" s="1036">
        <f>SUM('ASPI POSG plan'!AQ28,'ASPI POSG plan'!AQ29,'ASPI POSG plan'!AQ30)</f>
        <v>11</v>
      </c>
      <c r="AP12" s="1038">
        <f t="shared" si="2"/>
        <v>11</v>
      </c>
      <c r="AQ12" s="1036">
        <f>SUM('ASPI POSG plan'!AS28,'ASPI POSG plan'!AS29,'ASPI POSG plan'!AS30)</f>
        <v>0</v>
      </c>
      <c r="AR12" s="1036">
        <f>SUM('ASPI POSG plan'!AT28,'ASPI POSG plan'!AT29,'ASPI POSG plan'!AT30)</f>
        <v>0</v>
      </c>
      <c r="AS12" s="1036">
        <f>SUM('ASPI POSG plan'!AU28,'ASPI POSG plan'!AU29,'ASPI POSG plan'!AU30)</f>
        <v>24</v>
      </c>
      <c r="AT12" s="1038">
        <f t="shared" si="3"/>
        <v>24</v>
      </c>
      <c r="AU12" s="1036">
        <f>SUM('ASPI POSG plan'!AW28,'ASPI POSG plan'!AW29,'ASPI POSG plan'!AW30)</f>
        <v>0</v>
      </c>
      <c r="AV12" s="1036">
        <f>SUM('ASPI POSG plan'!AX28,'ASPI POSG plan'!AX29,'ASPI POSG plan'!AX30)</f>
        <v>0</v>
      </c>
      <c r="AW12" s="1036">
        <f>SUM('ASPI POSG plan'!AY28,'ASPI POSG plan'!AY29,'ASPI POSG plan'!AY30)</f>
        <v>35</v>
      </c>
      <c r="AX12" s="1038">
        <f t="shared" si="4"/>
        <v>35</v>
      </c>
      <c r="AY12" s="1036">
        <f>SUM('ASPI POSG plan'!BA28,'ASPI POSG plan'!BA29,'ASPI POSG plan'!BA30)</f>
        <v>0</v>
      </c>
      <c r="AZ12" s="1036">
        <f>SUM('ASPI POSG plan'!BB28,'ASPI POSG plan'!BB29,'ASPI POSG plan'!BB30)</f>
        <v>0</v>
      </c>
      <c r="BA12" s="1036">
        <f>SUM('ASPI POSG plan'!BC28,'ASPI POSG plan'!BC29,'ASPI POSG plan'!BC30)</f>
        <v>26</v>
      </c>
      <c r="BB12" s="1038">
        <f t="shared" si="5"/>
        <v>26</v>
      </c>
      <c r="BC12" s="1036">
        <f>SUM('ASPI POSG plan'!BE28,'ASPI POSG plan'!BE29,'ASPI POSG plan'!BE30)</f>
        <v>0</v>
      </c>
      <c r="BD12" s="1036">
        <f>SUM('ASPI POSG plan'!BF28,'ASPI POSG plan'!BF29,'ASPI POSG plan'!BF30)</f>
        <v>0</v>
      </c>
      <c r="BE12" s="1036">
        <f>SUM('ASPI POSG plan'!BG28,'ASPI POSG plan'!BG29,'ASPI POSG plan'!BG30)</f>
        <v>48</v>
      </c>
      <c r="BF12" s="1038">
        <f t="shared" si="6"/>
        <v>48</v>
      </c>
      <c r="BG12" s="1036">
        <f>SUM('ASPI POSG plan'!BI28:BI31)</f>
        <v>3</v>
      </c>
      <c r="BH12" s="1036">
        <f>SUM('ASPI POSG plan'!BJ28:BJ31)</f>
        <v>0</v>
      </c>
      <c r="BI12" s="1036">
        <f>SUM('ASPI POSG plan'!BK28:BK31)</f>
        <v>22</v>
      </c>
      <c r="BJ12" s="1038">
        <f t="shared" si="7"/>
        <v>25</v>
      </c>
    </row>
    <row r="13" spans="1:62" s="216" customFormat="1" ht="15" x14ac:dyDescent="0.2">
      <c r="A13" s="6212"/>
      <c r="B13" s="574" t="s">
        <v>14</v>
      </c>
      <c r="C13" s="569"/>
      <c r="D13" s="570"/>
      <c r="E13" s="570"/>
      <c r="F13" s="570"/>
      <c r="G13" s="569"/>
      <c r="H13" s="570"/>
      <c r="I13" s="570">
        <v>95</v>
      </c>
      <c r="J13" s="570">
        <v>95</v>
      </c>
      <c r="K13" s="569">
        <v>32</v>
      </c>
      <c r="L13" s="570">
        <v>0</v>
      </c>
      <c r="M13" s="570">
        <v>190</v>
      </c>
      <c r="N13" s="571">
        <v>222</v>
      </c>
      <c r="O13" s="570">
        <v>29</v>
      </c>
      <c r="P13" s="570"/>
      <c r="Q13" s="570"/>
      <c r="R13" s="571">
        <v>29</v>
      </c>
      <c r="S13" s="570"/>
      <c r="T13" s="570"/>
      <c r="U13" s="570">
        <v>214</v>
      </c>
      <c r="V13" s="571">
        <v>214</v>
      </c>
      <c r="W13" s="570">
        <f>SUM(W10:W12)</f>
        <v>93</v>
      </c>
      <c r="X13" s="570"/>
      <c r="Y13" s="570">
        <f>SUM(Y10:Y12)</f>
        <v>62</v>
      </c>
      <c r="Z13" s="571">
        <f t="shared" si="0"/>
        <v>155</v>
      </c>
      <c r="AA13" s="570"/>
      <c r="AB13" s="570"/>
      <c r="AC13" s="570">
        <f>SUM(AC10:AC12)</f>
        <v>249</v>
      </c>
      <c r="AD13" s="571">
        <f t="shared" si="1"/>
        <v>249</v>
      </c>
      <c r="AE13" s="570"/>
      <c r="AF13" s="570">
        <f>SUM(AF10:AF12)</f>
        <v>51</v>
      </c>
      <c r="AG13" s="570">
        <f>SUM(AG10:AG12)</f>
        <v>98</v>
      </c>
      <c r="AH13" s="571">
        <f t="shared" si="8"/>
        <v>149</v>
      </c>
      <c r="AI13" s="570"/>
      <c r="AJ13" s="570">
        <f>SUM(AJ10:AJ12)</f>
        <v>476</v>
      </c>
      <c r="AK13" s="570"/>
      <c r="AL13" s="571">
        <f t="shared" si="9"/>
        <v>476</v>
      </c>
      <c r="AM13" s="570">
        <f>SUM(AM10:AM12)</f>
        <v>15</v>
      </c>
      <c r="AN13" s="570"/>
      <c r="AO13" s="570">
        <f>SUM(AO10:AO12)</f>
        <v>51</v>
      </c>
      <c r="AP13" s="571">
        <f t="shared" si="2"/>
        <v>66</v>
      </c>
      <c r="AQ13" s="570">
        <f>SUM(AQ10:AQ12)</f>
        <v>0</v>
      </c>
      <c r="AR13" s="570">
        <f>SUM(AR10:AR12)</f>
        <v>205</v>
      </c>
      <c r="AS13" s="570">
        <f>SUM(AS10:AS12)</f>
        <v>66</v>
      </c>
      <c r="AT13" s="571">
        <f t="shared" si="3"/>
        <v>271</v>
      </c>
      <c r="AU13" s="570">
        <f>SUM(AU10:AU12)</f>
        <v>64</v>
      </c>
      <c r="AV13" s="570">
        <f>SUM(AV10:AV12)</f>
        <v>0</v>
      </c>
      <c r="AW13" s="570">
        <f>SUM(AW10:AW12)</f>
        <v>211</v>
      </c>
      <c r="AX13" s="571">
        <f t="shared" si="4"/>
        <v>275</v>
      </c>
      <c r="AY13" s="570">
        <f>SUM(AY10:AY12)</f>
        <v>0</v>
      </c>
      <c r="AZ13" s="570">
        <f>SUM(AZ10:AZ12)</f>
        <v>0</v>
      </c>
      <c r="BA13" s="570">
        <f>SUM(BA10:BA12)</f>
        <v>232</v>
      </c>
      <c r="BB13" s="571">
        <f t="shared" si="5"/>
        <v>232</v>
      </c>
      <c r="BC13" s="570">
        <f>SUM(BC10:BC12)</f>
        <v>0</v>
      </c>
      <c r="BD13" s="570">
        <f>SUM(BD10:BD12)</f>
        <v>0</v>
      </c>
      <c r="BE13" s="570">
        <f>SUM(BE10:BE12)</f>
        <v>236</v>
      </c>
      <c r="BF13" s="571">
        <f t="shared" si="6"/>
        <v>236</v>
      </c>
      <c r="BG13" s="570">
        <f>SUM(BG10:BG12)</f>
        <v>129</v>
      </c>
      <c r="BH13" s="570">
        <f>SUM(BH10:BH12)</f>
        <v>0</v>
      </c>
      <c r="BI13" s="570">
        <f>SUM(BI10:BI12)</f>
        <v>307</v>
      </c>
      <c r="BJ13" s="571">
        <f t="shared" si="7"/>
        <v>436</v>
      </c>
    </row>
    <row r="14" spans="1:62" s="216" customFormat="1" ht="15" x14ac:dyDescent="0.2">
      <c r="A14" s="6211" t="s">
        <v>7</v>
      </c>
      <c r="B14" s="1029" t="s">
        <v>615</v>
      </c>
      <c r="C14" s="1035"/>
      <c r="D14" s="1036"/>
      <c r="E14" s="1036"/>
      <c r="F14" s="1037"/>
      <c r="G14" s="1035"/>
      <c r="H14" s="1036"/>
      <c r="I14" s="1036">
        <v>45</v>
      </c>
      <c r="J14" s="1037">
        <v>45</v>
      </c>
      <c r="K14" s="1035">
        <v>0</v>
      </c>
      <c r="L14" s="1036">
        <v>57</v>
      </c>
      <c r="M14" s="1036">
        <v>0</v>
      </c>
      <c r="N14" s="1038">
        <v>57</v>
      </c>
      <c r="O14" s="1036"/>
      <c r="P14" s="1036">
        <v>72</v>
      </c>
      <c r="Q14" s="1036"/>
      <c r="R14" s="1038">
        <v>72</v>
      </c>
      <c r="S14" s="1036"/>
      <c r="T14" s="1036">
        <v>78</v>
      </c>
      <c r="U14" s="1036"/>
      <c r="V14" s="1038">
        <v>78</v>
      </c>
      <c r="W14" s="1036"/>
      <c r="X14" s="1036"/>
      <c r="Y14" s="1036">
        <v>65</v>
      </c>
      <c r="Z14" s="1038">
        <f t="shared" si="0"/>
        <v>65</v>
      </c>
      <c r="AA14" s="1036"/>
      <c r="AB14" s="1036"/>
      <c r="AC14" s="1036">
        <v>130</v>
      </c>
      <c r="AD14" s="1038">
        <f t="shared" si="1"/>
        <v>130</v>
      </c>
      <c r="AE14" s="1036"/>
      <c r="AF14" s="1036"/>
      <c r="AG14" s="1036">
        <v>193</v>
      </c>
      <c r="AH14" s="1038">
        <f t="shared" si="8"/>
        <v>193</v>
      </c>
      <c r="AI14" s="1036"/>
      <c r="AJ14" s="1036"/>
      <c r="AK14" s="1036"/>
      <c r="AL14" s="1038"/>
      <c r="AM14" s="1036"/>
      <c r="AN14" s="1036"/>
      <c r="AO14" s="1036">
        <f>SUM('ASPI POSG plan'!AQ33)</f>
        <v>207</v>
      </c>
      <c r="AP14" s="1038">
        <f t="shared" si="2"/>
        <v>207</v>
      </c>
      <c r="AQ14" s="1036"/>
      <c r="AR14" s="1036"/>
      <c r="AS14" s="1036">
        <f>SUM('ASPI POSG plan'!AU33)</f>
        <v>0</v>
      </c>
      <c r="AT14" s="1038">
        <f t="shared" si="3"/>
        <v>0</v>
      </c>
      <c r="AU14" s="1036"/>
      <c r="AV14" s="1036"/>
      <c r="AW14" s="1036">
        <f>SUM('ASPI POSG plan'!AY33)</f>
        <v>126</v>
      </c>
      <c r="AX14" s="1038">
        <f t="shared" si="4"/>
        <v>126</v>
      </c>
      <c r="AY14" s="1036">
        <f>SUM('ASPI POSG plan'!BA33:BA35)</f>
        <v>1</v>
      </c>
      <c r="AZ14" s="1036">
        <f>SUM('ASPI POSG plan'!BB33:BB35)</f>
        <v>0</v>
      </c>
      <c r="BA14" s="1036">
        <f>SUM('ASPI POSG plan'!BC33:BC35)</f>
        <v>0</v>
      </c>
      <c r="BB14" s="1038">
        <f t="shared" si="5"/>
        <v>1</v>
      </c>
      <c r="BC14" s="1036">
        <f>SUM('ASPI POSG plan'!BE33:BE35)</f>
        <v>0</v>
      </c>
      <c r="BD14" s="1036">
        <f>SUM('ASPI POSG plan'!BF33:BF35)</f>
        <v>0</v>
      </c>
      <c r="BE14" s="1036">
        <f>SUM('ASPI POSG plan'!BG33:BG35)</f>
        <v>16</v>
      </c>
      <c r="BF14" s="1038">
        <f t="shared" si="6"/>
        <v>16</v>
      </c>
      <c r="BG14" s="1036">
        <f>SUM('ASPI POSG plan'!BI33:BI35)</f>
        <v>0</v>
      </c>
      <c r="BH14" s="1036">
        <f>SUM('ASPI POSG plan'!BJ33:BJ35)</f>
        <v>0</v>
      </c>
      <c r="BI14" s="1036">
        <f>SUM('ASPI POSG plan'!BK33:BK35)</f>
        <v>20</v>
      </c>
      <c r="BJ14" s="1038">
        <f t="shared" si="7"/>
        <v>20</v>
      </c>
    </row>
    <row r="15" spans="1:62" s="216" customFormat="1" ht="15" x14ac:dyDescent="0.2">
      <c r="A15" s="6211"/>
      <c r="B15" s="1034" t="s">
        <v>616</v>
      </c>
      <c r="C15" s="1035"/>
      <c r="D15" s="1036"/>
      <c r="E15" s="1036"/>
      <c r="F15" s="1037"/>
      <c r="G15" s="1035"/>
      <c r="H15" s="1036"/>
      <c r="I15" s="1036">
        <v>60</v>
      </c>
      <c r="J15" s="1037">
        <v>60</v>
      </c>
      <c r="K15" s="1035">
        <v>0</v>
      </c>
      <c r="L15" s="1036">
        <v>40</v>
      </c>
      <c r="M15" s="1036">
        <v>0</v>
      </c>
      <c r="N15" s="1038">
        <v>40</v>
      </c>
      <c r="O15" s="1036"/>
      <c r="P15" s="1036">
        <v>52</v>
      </c>
      <c r="Q15" s="1036"/>
      <c r="R15" s="1038">
        <v>52</v>
      </c>
      <c r="S15" s="1036"/>
      <c r="T15" s="1036">
        <v>33</v>
      </c>
      <c r="U15" s="1036"/>
      <c r="V15" s="1038">
        <v>33</v>
      </c>
      <c r="W15" s="1036"/>
      <c r="X15" s="1036"/>
      <c r="Y15" s="1036">
        <v>40</v>
      </c>
      <c r="Z15" s="1038">
        <f t="shared" si="0"/>
        <v>40</v>
      </c>
      <c r="AA15" s="1036"/>
      <c r="AB15" s="1036"/>
      <c r="AC15" s="1036">
        <v>52</v>
      </c>
      <c r="AD15" s="1038">
        <f t="shared" si="1"/>
        <v>52</v>
      </c>
      <c r="AE15" s="1036"/>
      <c r="AF15" s="1036"/>
      <c r="AG15" s="1036">
        <v>41</v>
      </c>
      <c r="AH15" s="1038">
        <f t="shared" si="8"/>
        <v>41</v>
      </c>
      <c r="AI15" s="1036"/>
      <c r="AJ15" s="1036"/>
      <c r="AK15" s="1036"/>
      <c r="AL15" s="1038"/>
      <c r="AM15" s="1036"/>
      <c r="AN15" s="1036"/>
      <c r="AO15" s="1036">
        <f>SUM('ASPI POSG plan'!AQ36)</f>
        <v>9</v>
      </c>
      <c r="AP15" s="1038">
        <f t="shared" si="2"/>
        <v>9</v>
      </c>
      <c r="AQ15" s="1036"/>
      <c r="AR15" s="1036"/>
      <c r="AS15" s="1036">
        <f>SUM('ASPI POSG plan'!AU36)</f>
        <v>49</v>
      </c>
      <c r="AT15" s="1038">
        <f t="shared" si="3"/>
        <v>49</v>
      </c>
      <c r="AU15" s="1036"/>
      <c r="AV15" s="1036"/>
      <c r="AW15" s="1036">
        <f>SUM('ASPI POSG plan'!AY36)</f>
        <v>7</v>
      </c>
      <c r="AX15" s="1038">
        <f t="shared" si="4"/>
        <v>7</v>
      </c>
      <c r="AY15" s="1036">
        <f>SUM('ASPI POSG plan'!BA36:BA42)</f>
        <v>4</v>
      </c>
      <c r="AZ15" s="1036">
        <f>SUM('ASPI POSG plan'!BB36:BB42)</f>
        <v>67</v>
      </c>
      <c r="BA15" s="1036">
        <f>SUM('ASPI POSG plan'!BC36:BC42)</f>
        <v>38</v>
      </c>
      <c r="BB15" s="1038">
        <f t="shared" si="5"/>
        <v>109</v>
      </c>
      <c r="BC15" s="1036">
        <f>SUM('ASPI POSG plan'!BE36:BE42)</f>
        <v>0</v>
      </c>
      <c r="BD15" s="1036">
        <f>SUM('ASPI POSG plan'!BF36:BF42)</f>
        <v>0</v>
      </c>
      <c r="BE15" s="1036">
        <f>SUM('ASPI POSG plan'!BG36:BG42)</f>
        <v>59</v>
      </c>
      <c r="BF15" s="1038">
        <f t="shared" si="6"/>
        <v>59</v>
      </c>
      <c r="BG15" s="1036">
        <f>SUM('ASPI POSG plan'!BI36:BI42)</f>
        <v>0</v>
      </c>
      <c r="BH15" s="1036">
        <f>SUM('ASPI POSG plan'!BJ36:BJ42)</f>
        <v>0</v>
      </c>
      <c r="BI15" s="1036">
        <f>SUM('ASPI POSG plan'!BK36:BK42)</f>
        <v>40</v>
      </c>
      <c r="BJ15" s="1038">
        <f t="shared" si="7"/>
        <v>40</v>
      </c>
    </row>
    <row r="16" spans="1:62" s="216" customFormat="1" ht="15" x14ac:dyDescent="0.2">
      <c r="A16" s="6211"/>
      <c r="B16" s="1040" t="s">
        <v>617</v>
      </c>
      <c r="C16" s="1035"/>
      <c r="D16" s="1036"/>
      <c r="E16" s="1036"/>
      <c r="F16" s="1037"/>
      <c r="G16" s="1035"/>
      <c r="H16" s="1036"/>
      <c r="I16" s="1036"/>
      <c r="J16" s="1037"/>
      <c r="K16" s="1035">
        <v>0</v>
      </c>
      <c r="L16" s="1036">
        <v>18</v>
      </c>
      <c r="M16" s="1036">
        <v>0</v>
      </c>
      <c r="N16" s="1038">
        <v>18</v>
      </c>
      <c r="O16" s="1036"/>
      <c r="P16" s="1036">
        <v>21</v>
      </c>
      <c r="Q16" s="1036"/>
      <c r="R16" s="1038">
        <v>21</v>
      </c>
      <c r="S16" s="1036"/>
      <c r="T16" s="1036">
        <v>24</v>
      </c>
      <c r="U16" s="1036"/>
      <c r="V16" s="1038">
        <v>24</v>
      </c>
      <c r="W16" s="1036"/>
      <c r="X16" s="1036"/>
      <c r="Y16" s="1036">
        <v>22</v>
      </c>
      <c r="Z16" s="1038">
        <f t="shared" si="0"/>
        <v>22</v>
      </c>
      <c r="AA16" s="1036"/>
      <c r="AB16" s="1036"/>
      <c r="AC16" s="1036">
        <v>14</v>
      </c>
      <c r="AD16" s="1038">
        <f t="shared" si="1"/>
        <v>14</v>
      </c>
      <c r="AE16" s="1036"/>
      <c r="AF16" s="1036"/>
      <c r="AG16" s="1036">
        <v>56</v>
      </c>
      <c r="AH16" s="1038">
        <f t="shared" si="8"/>
        <v>56</v>
      </c>
      <c r="AI16" s="1036"/>
      <c r="AJ16" s="1036"/>
      <c r="AK16" s="1036">
        <v>94</v>
      </c>
      <c r="AL16" s="1038">
        <f t="shared" si="9"/>
        <v>94</v>
      </c>
      <c r="AM16" s="1036"/>
      <c r="AN16" s="1036"/>
      <c r="AO16" s="1036">
        <f>SUM('ASPI POSG plan'!AQ43)</f>
        <v>27</v>
      </c>
      <c r="AP16" s="1038">
        <f t="shared" si="2"/>
        <v>27</v>
      </c>
      <c r="AQ16" s="1036"/>
      <c r="AR16" s="1036"/>
      <c r="AS16" s="1036">
        <f>SUM('ASPI POSG plan'!AU43)</f>
        <v>3</v>
      </c>
      <c r="AT16" s="1038">
        <f t="shared" si="3"/>
        <v>3</v>
      </c>
      <c r="AU16" s="1036"/>
      <c r="AV16" s="1036"/>
      <c r="AW16" s="1036">
        <f>SUM('ASPI POSG plan'!AY43)</f>
        <v>82</v>
      </c>
      <c r="AX16" s="1038">
        <f t="shared" si="4"/>
        <v>82</v>
      </c>
      <c r="AY16" s="1036">
        <f>SUM('ASPI POSG plan'!BA43:BA48)</f>
        <v>10</v>
      </c>
      <c r="AZ16" s="1036">
        <f>SUM('ASPI POSG plan'!BB43:BB48)</f>
        <v>0</v>
      </c>
      <c r="BA16" s="1036">
        <f>SUM('ASPI POSG plan'!BC43:BC48)</f>
        <v>0</v>
      </c>
      <c r="BB16" s="1038">
        <f t="shared" si="5"/>
        <v>10</v>
      </c>
      <c r="BC16" s="1036">
        <f>SUM('ASPI POSG plan'!BE43:BE48)</f>
        <v>0</v>
      </c>
      <c r="BD16" s="1036">
        <f>SUM('ASPI POSG plan'!BF43:BF48)</f>
        <v>0</v>
      </c>
      <c r="BE16" s="1036">
        <f>SUM('ASPI POSG plan'!BG43:BG48)</f>
        <v>26</v>
      </c>
      <c r="BF16" s="1038">
        <f t="shared" si="6"/>
        <v>26</v>
      </c>
      <c r="BG16" s="1036">
        <f>SUM('ASPI POSG plan'!BI43:BI49)</f>
        <v>0</v>
      </c>
      <c r="BH16" s="1036">
        <f>SUM('ASPI POSG plan'!BJ43:BJ49)</f>
        <v>0</v>
      </c>
      <c r="BI16" s="1036">
        <f>SUM('ASPI POSG plan'!BK43:BK49)</f>
        <v>38</v>
      </c>
      <c r="BJ16" s="1038">
        <f t="shared" si="7"/>
        <v>38</v>
      </c>
    </row>
    <row r="17" spans="1:62" s="216" customFormat="1" ht="15" x14ac:dyDescent="0.2">
      <c r="A17" s="6212"/>
      <c r="B17" s="574" t="s">
        <v>15</v>
      </c>
      <c r="C17" s="569"/>
      <c r="D17" s="570"/>
      <c r="E17" s="570"/>
      <c r="F17" s="570"/>
      <c r="G17" s="569"/>
      <c r="H17" s="570"/>
      <c r="I17" s="570">
        <v>105</v>
      </c>
      <c r="J17" s="570">
        <v>105</v>
      </c>
      <c r="K17" s="569">
        <v>0</v>
      </c>
      <c r="L17" s="570">
        <v>115</v>
      </c>
      <c r="M17" s="570">
        <v>0</v>
      </c>
      <c r="N17" s="571">
        <v>115</v>
      </c>
      <c r="O17" s="570"/>
      <c r="P17" s="570">
        <v>145</v>
      </c>
      <c r="Q17" s="570"/>
      <c r="R17" s="571">
        <v>145</v>
      </c>
      <c r="S17" s="570"/>
      <c r="T17" s="570">
        <v>135</v>
      </c>
      <c r="U17" s="570"/>
      <c r="V17" s="571">
        <v>135</v>
      </c>
      <c r="W17" s="570"/>
      <c r="X17" s="570"/>
      <c r="Y17" s="570">
        <f>SUM(Y14:Y16)</f>
        <v>127</v>
      </c>
      <c r="Z17" s="571">
        <f t="shared" si="0"/>
        <v>127</v>
      </c>
      <c r="AA17" s="570"/>
      <c r="AB17" s="570"/>
      <c r="AC17" s="570">
        <f>SUM(AC14:AC16)</f>
        <v>196</v>
      </c>
      <c r="AD17" s="571">
        <f t="shared" si="1"/>
        <v>196</v>
      </c>
      <c r="AE17" s="570"/>
      <c r="AF17" s="570"/>
      <c r="AG17" s="570">
        <f>SUM(AG14:AG16)</f>
        <v>290</v>
      </c>
      <c r="AH17" s="571">
        <f t="shared" si="8"/>
        <v>290</v>
      </c>
      <c r="AI17" s="570">
        <f>SUM(AI14:AI16)</f>
        <v>0</v>
      </c>
      <c r="AJ17" s="570">
        <f>SUM(AJ14:AJ16)</f>
        <v>0</v>
      </c>
      <c r="AK17" s="570">
        <f>SUM(AK14:AK16)</f>
        <v>94</v>
      </c>
      <c r="AL17" s="571">
        <f t="shared" si="9"/>
        <v>94</v>
      </c>
      <c r="AM17" s="570"/>
      <c r="AN17" s="570"/>
      <c r="AO17" s="570">
        <f>SUM(AO14:AO16)</f>
        <v>243</v>
      </c>
      <c r="AP17" s="571">
        <f t="shared" si="2"/>
        <v>243</v>
      </c>
      <c r="AQ17" s="570"/>
      <c r="AR17" s="570"/>
      <c r="AS17" s="570">
        <f>SUM(AS14:AS16)</f>
        <v>52</v>
      </c>
      <c r="AT17" s="571">
        <f t="shared" si="3"/>
        <v>52</v>
      </c>
      <c r="AU17" s="570">
        <f>SUM(AU14:AU16)</f>
        <v>0</v>
      </c>
      <c r="AV17" s="570">
        <f>SUM(AV14:AV16)</f>
        <v>0</v>
      </c>
      <c r="AW17" s="570">
        <f>SUM(AW14:AW16)</f>
        <v>215</v>
      </c>
      <c r="AX17" s="571">
        <f t="shared" si="4"/>
        <v>215</v>
      </c>
      <c r="AY17" s="570">
        <f>SUM(AY14:AY16)</f>
        <v>15</v>
      </c>
      <c r="AZ17" s="570">
        <f>SUM(AZ14:AZ16)</f>
        <v>67</v>
      </c>
      <c r="BA17" s="570">
        <f>SUM(BA14:BA16)</f>
        <v>38</v>
      </c>
      <c r="BB17" s="571">
        <f t="shared" si="5"/>
        <v>120</v>
      </c>
      <c r="BC17" s="570">
        <f>SUM(BC14:BC16)</f>
        <v>0</v>
      </c>
      <c r="BD17" s="570">
        <f>SUM(BD14:BD16)</f>
        <v>0</v>
      </c>
      <c r="BE17" s="570">
        <f>SUM(BE14:BE16)</f>
        <v>101</v>
      </c>
      <c r="BF17" s="571">
        <f t="shared" si="6"/>
        <v>101</v>
      </c>
      <c r="BG17" s="570">
        <f>SUM(BG14:BG16)</f>
        <v>0</v>
      </c>
      <c r="BH17" s="570">
        <f>SUM(BH14:BH16)</f>
        <v>0</v>
      </c>
      <c r="BI17" s="570">
        <f>SUM(BI14:BI16)</f>
        <v>98</v>
      </c>
      <c r="BJ17" s="571">
        <f t="shared" si="7"/>
        <v>98</v>
      </c>
    </row>
    <row r="18" spans="1:62" s="216" customFormat="1" ht="15" customHeight="1" x14ac:dyDescent="0.2">
      <c r="A18" s="5857" t="s">
        <v>677</v>
      </c>
      <c r="B18" s="1029" t="s">
        <v>615</v>
      </c>
      <c r="C18" s="1035"/>
      <c r="D18" s="1036"/>
      <c r="E18" s="1036"/>
      <c r="F18" s="1037"/>
      <c r="G18" s="1035"/>
      <c r="H18" s="1036"/>
      <c r="I18" s="1036">
        <v>94</v>
      </c>
      <c r="J18" s="1037">
        <v>94</v>
      </c>
      <c r="K18" s="1035">
        <v>0</v>
      </c>
      <c r="L18" s="1036">
        <v>57</v>
      </c>
      <c r="M18" s="1036">
        <v>66</v>
      </c>
      <c r="N18" s="1038">
        <f>SUM(K18:M18)</f>
        <v>123</v>
      </c>
      <c r="O18" s="1036"/>
      <c r="P18" s="1036">
        <v>72</v>
      </c>
      <c r="Q18" s="1036"/>
      <c r="R18" s="1038">
        <v>72</v>
      </c>
      <c r="S18" s="1036"/>
      <c r="T18" s="1036">
        <v>78</v>
      </c>
      <c r="U18" s="1036">
        <v>29</v>
      </c>
      <c r="V18" s="1038">
        <v>107</v>
      </c>
      <c r="W18" s="1036"/>
      <c r="X18" s="1036"/>
      <c r="Y18" s="1036">
        <f t="shared" ref="W18:AD20" si="10">Y6+Y10+Y14</f>
        <v>127</v>
      </c>
      <c r="Z18" s="1039">
        <f t="shared" si="10"/>
        <v>127</v>
      </c>
      <c r="AA18" s="1036"/>
      <c r="AB18" s="1036"/>
      <c r="AC18" s="1036">
        <f t="shared" si="10"/>
        <v>170</v>
      </c>
      <c r="AD18" s="1038">
        <f t="shared" si="10"/>
        <v>170</v>
      </c>
      <c r="AE18" s="1036"/>
      <c r="AF18" s="1036"/>
      <c r="AG18" s="1036">
        <f>AG6+AG10+AG14</f>
        <v>261</v>
      </c>
      <c r="AH18" s="1038">
        <f>AH6+AH10+AH14</f>
        <v>261</v>
      </c>
      <c r="AI18" s="1036"/>
      <c r="AJ18" s="1036"/>
      <c r="AK18" s="1036"/>
      <c r="AL18" s="1038">
        <f t="shared" ref="AK18:AL20" si="11">AL6+AL10+AL14</f>
        <v>79</v>
      </c>
      <c r="AM18" s="1036"/>
      <c r="AN18" s="1036"/>
      <c r="AO18" s="1036">
        <f t="shared" ref="AO18:AP20" si="12">AO6+AO10+AO14</f>
        <v>223</v>
      </c>
      <c r="AP18" s="1038">
        <f t="shared" si="12"/>
        <v>223</v>
      </c>
      <c r="AQ18" s="1036"/>
      <c r="AR18" s="1036"/>
      <c r="AS18" s="1036">
        <f t="shared" ref="AS18:AW20" si="13">AS6+AS10+AS14</f>
        <v>0</v>
      </c>
      <c r="AT18" s="1038">
        <f t="shared" si="13"/>
        <v>83</v>
      </c>
      <c r="AU18" s="1042">
        <f t="shared" si="13"/>
        <v>0</v>
      </c>
      <c r="AV18" s="1042">
        <f t="shared" si="13"/>
        <v>0</v>
      </c>
      <c r="AW18" s="1042">
        <f t="shared" si="13"/>
        <v>173</v>
      </c>
      <c r="AX18" s="1038">
        <f t="shared" ref="AX18:BF18" si="14">AX6+AX10+AX14</f>
        <v>173</v>
      </c>
      <c r="AY18" s="1042">
        <f t="shared" si="14"/>
        <v>1</v>
      </c>
      <c r="AZ18" s="1042">
        <f t="shared" si="14"/>
        <v>0</v>
      </c>
      <c r="BA18" s="1042">
        <f t="shared" si="14"/>
        <v>58</v>
      </c>
      <c r="BB18" s="1038">
        <f t="shared" si="14"/>
        <v>59</v>
      </c>
      <c r="BC18" s="1042">
        <f t="shared" si="14"/>
        <v>0</v>
      </c>
      <c r="BD18" s="1042">
        <f t="shared" si="14"/>
        <v>0</v>
      </c>
      <c r="BE18" s="1042">
        <f t="shared" si="14"/>
        <v>53</v>
      </c>
      <c r="BF18" s="1038">
        <f t="shared" si="14"/>
        <v>53</v>
      </c>
      <c r="BG18" s="1042">
        <f t="shared" ref="BG18:BJ18" si="15">BG6+BG10+BG14</f>
        <v>0</v>
      </c>
      <c r="BH18" s="1042">
        <f t="shared" si="15"/>
        <v>0</v>
      </c>
      <c r="BI18" s="1042">
        <f>SUM(BI6,BI10,BI14)</f>
        <v>57</v>
      </c>
      <c r="BJ18" s="1038">
        <f t="shared" si="15"/>
        <v>57</v>
      </c>
    </row>
    <row r="19" spans="1:62" s="216" customFormat="1" ht="15" x14ac:dyDescent="0.2">
      <c r="A19" s="5857"/>
      <c r="B19" s="1034" t="s">
        <v>616</v>
      </c>
      <c r="C19" s="1035"/>
      <c r="D19" s="1036"/>
      <c r="E19" s="1036"/>
      <c r="F19" s="1037"/>
      <c r="G19" s="1035"/>
      <c r="H19" s="1036"/>
      <c r="I19" s="1036">
        <v>106</v>
      </c>
      <c r="J19" s="1037">
        <v>106</v>
      </c>
      <c r="K19" s="1035">
        <v>20</v>
      </c>
      <c r="L19" s="1036">
        <v>62</v>
      </c>
      <c r="M19" s="1036">
        <v>175</v>
      </c>
      <c r="N19" s="1038">
        <f>SUM(K19:M19)</f>
        <v>257</v>
      </c>
      <c r="O19" s="1036">
        <v>50</v>
      </c>
      <c r="P19" s="1036">
        <v>52</v>
      </c>
      <c r="Q19" s="1036">
        <v>64</v>
      </c>
      <c r="R19" s="1038">
        <v>166</v>
      </c>
      <c r="S19" s="1036">
        <v>6</v>
      </c>
      <c r="T19" s="1036">
        <v>46</v>
      </c>
      <c r="U19" s="1036">
        <v>156</v>
      </c>
      <c r="V19" s="1038">
        <v>208</v>
      </c>
      <c r="W19" s="1036">
        <f t="shared" si="10"/>
        <v>100</v>
      </c>
      <c r="X19" s="1036"/>
      <c r="Y19" s="1036">
        <f t="shared" si="10"/>
        <v>98</v>
      </c>
      <c r="Z19" s="1039">
        <f t="shared" si="10"/>
        <v>198</v>
      </c>
      <c r="AA19" s="1036">
        <f t="shared" si="10"/>
        <v>23</v>
      </c>
      <c r="AB19" s="1036"/>
      <c r="AC19" s="1036">
        <f t="shared" si="10"/>
        <v>296</v>
      </c>
      <c r="AD19" s="1038">
        <f t="shared" si="10"/>
        <v>319</v>
      </c>
      <c r="AE19" s="1036">
        <f>SUM(AE7,AE11,AE15)</f>
        <v>34</v>
      </c>
      <c r="AF19" s="1036">
        <f t="shared" ref="AF19:AH20" si="16">AF7+AF11+AF15</f>
        <v>1</v>
      </c>
      <c r="AG19" s="1036">
        <f t="shared" si="16"/>
        <v>103</v>
      </c>
      <c r="AH19" s="1038">
        <f t="shared" si="16"/>
        <v>138</v>
      </c>
      <c r="AI19" s="1036">
        <f>SUM(AI7,AI11,AI15)</f>
        <v>19</v>
      </c>
      <c r="AJ19" s="1036">
        <f>SUM(AJ7,AJ11,AJ15)</f>
        <v>377</v>
      </c>
      <c r="AK19" s="1036">
        <f t="shared" si="11"/>
        <v>59</v>
      </c>
      <c r="AL19" s="1038">
        <f t="shared" si="11"/>
        <v>455</v>
      </c>
      <c r="AM19" s="1036">
        <f>SUM(AM7,AM11,AM15)</f>
        <v>23</v>
      </c>
      <c r="AN19" s="1036">
        <f>SUM(AN7,AN11,AN15)</f>
        <v>7</v>
      </c>
      <c r="AO19" s="1036">
        <f t="shared" si="12"/>
        <v>76</v>
      </c>
      <c r="AP19" s="1038">
        <f t="shared" si="12"/>
        <v>106</v>
      </c>
      <c r="AQ19" s="1036">
        <f>SUM(AQ7,AQ11,AQ15)</f>
        <v>28</v>
      </c>
      <c r="AR19" s="1036">
        <f>SUM(AR13)</f>
        <v>205</v>
      </c>
      <c r="AS19" s="1036">
        <f t="shared" si="13"/>
        <v>174</v>
      </c>
      <c r="AT19" s="1038">
        <f t="shared" si="13"/>
        <v>324</v>
      </c>
      <c r="AU19" s="1042">
        <f t="shared" si="13"/>
        <v>125</v>
      </c>
      <c r="AV19" s="1042">
        <f t="shared" si="13"/>
        <v>0</v>
      </c>
      <c r="AW19" s="1042">
        <f t="shared" si="13"/>
        <v>241</v>
      </c>
      <c r="AX19" s="1038">
        <f t="shared" ref="AX19:BF19" si="17">AX7+AX11+AX15</f>
        <v>366</v>
      </c>
      <c r="AY19" s="1042">
        <f t="shared" si="17"/>
        <v>33</v>
      </c>
      <c r="AZ19" s="1042">
        <f t="shared" si="17"/>
        <v>67</v>
      </c>
      <c r="BA19" s="1042">
        <f t="shared" si="17"/>
        <v>295</v>
      </c>
      <c r="BB19" s="1038">
        <f t="shared" si="17"/>
        <v>395</v>
      </c>
      <c r="BC19" s="1042">
        <f t="shared" si="17"/>
        <v>41</v>
      </c>
      <c r="BD19" s="1042">
        <f t="shared" si="17"/>
        <v>0</v>
      </c>
      <c r="BE19" s="1042">
        <f t="shared" si="17"/>
        <v>346</v>
      </c>
      <c r="BF19" s="1038">
        <f t="shared" si="17"/>
        <v>387</v>
      </c>
      <c r="BG19" s="1042">
        <f t="shared" ref="BG19:BJ20" si="18">BG7+BG11+BG15</f>
        <v>172</v>
      </c>
      <c r="BH19" s="1042">
        <f t="shared" si="18"/>
        <v>0</v>
      </c>
      <c r="BI19" s="1042">
        <f t="shared" ref="BI19:BI20" si="19">SUM(BI7,BI11,BI15)</f>
        <v>460</v>
      </c>
      <c r="BJ19" s="1038">
        <f t="shared" si="18"/>
        <v>632</v>
      </c>
    </row>
    <row r="20" spans="1:62" s="216" customFormat="1" ht="15" x14ac:dyDescent="0.2">
      <c r="A20" s="5857"/>
      <c r="B20" s="1040" t="s">
        <v>617</v>
      </c>
      <c r="C20" s="1041"/>
      <c r="D20" s="1042"/>
      <c r="E20" s="1042"/>
      <c r="F20" s="1043"/>
      <c r="G20" s="1041"/>
      <c r="H20" s="1042"/>
      <c r="I20" s="1042"/>
      <c r="J20" s="1043"/>
      <c r="K20" s="1041">
        <v>33</v>
      </c>
      <c r="L20" s="1042">
        <v>18</v>
      </c>
      <c r="M20" s="1042">
        <v>2</v>
      </c>
      <c r="N20" s="1038">
        <f>SUM(K20:M20)</f>
        <v>53</v>
      </c>
      <c r="O20" s="1042">
        <v>10</v>
      </c>
      <c r="P20" s="1042">
        <v>22</v>
      </c>
      <c r="Q20" s="1042">
        <v>5</v>
      </c>
      <c r="R20" s="1044">
        <v>37</v>
      </c>
      <c r="S20" s="1042">
        <v>6</v>
      </c>
      <c r="T20" s="1042">
        <v>28</v>
      </c>
      <c r="U20" s="1042">
        <v>29</v>
      </c>
      <c r="V20" s="1044">
        <v>63</v>
      </c>
      <c r="W20" s="1042"/>
      <c r="X20" s="1042">
        <f t="shared" si="10"/>
        <v>7</v>
      </c>
      <c r="Y20" s="1042">
        <f t="shared" si="10"/>
        <v>28</v>
      </c>
      <c r="Z20" s="1045">
        <f t="shared" si="10"/>
        <v>35</v>
      </c>
      <c r="AA20" s="1042">
        <f t="shared" si="10"/>
        <v>2</v>
      </c>
      <c r="AB20" s="1042"/>
      <c r="AC20" s="1042">
        <f t="shared" si="10"/>
        <v>38</v>
      </c>
      <c r="AD20" s="1044">
        <f t="shared" si="10"/>
        <v>40</v>
      </c>
      <c r="AE20" s="1042">
        <f>AE8+AE12+AE16</f>
        <v>2</v>
      </c>
      <c r="AF20" s="1042">
        <f t="shared" si="16"/>
        <v>51</v>
      </c>
      <c r="AG20" s="1042">
        <f t="shared" si="16"/>
        <v>75</v>
      </c>
      <c r="AH20" s="1044">
        <f t="shared" si="16"/>
        <v>128</v>
      </c>
      <c r="AI20" s="1042">
        <f>AI8+AI12+AI16</f>
        <v>3</v>
      </c>
      <c r="AJ20" s="1042">
        <f>SUM(AJ8,AJ12,AJ16)</f>
        <v>24</v>
      </c>
      <c r="AK20" s="1042">
        <f t="shared" si="11"/>
        <v>95</v>
      </c>
      <c r="AL20" s="1044">
        <f t="shared" si="11"/>
        <v>122</v>
      </c>
      <c r="AM20" s="1042">
        <f>AM8+AM12+AM16</f>
        <v>1</v>
      </c>
      <c r="AN20" s="1042"/>
      <c r="AO20" s="1042">
        <f t="shared" si="12"/>
        <v>42</v>
      </c>
      <c r="AP20" s="1044">
        <f t="shared" si="12"/>
        <v>43</v>
      </c>
      <c r="AQ20" s="1042">
        <f>AQ8+AQ12+AQ16</f>
        <v>6</v>
      </c>
      <c r="AR20" s="1042"/>
      <c r="AS20" s="1042">
        <f t="shared" si="13"/>
        <v>45</v>
      </c>
      <c r="AT20" s="1044">
        <f t="shared" si="13"/>
        <v>51</v>
      </c>
      <c r="AU20" s="1042">
        <f>AU8+AU12+AU16</f>
        <v>5</v>
      </c>
      <c r="AV20" s="1042">
        <f>AV8+AV12+AV16</f>
        <v>6</v>
      </c>
      <c r="AW20" s="1042">
        <f>AW8+AW12+AW16</f>
        <v>132</v>
      </c>
      <c r="AX20" s="1044">
        <f t="shared" ref="AX20:BF20" si="20">AX8+AX12+AX16</f>
        <v>143</v>
      </c>
      <c r="AY20" s="1042">
        <f t="shared" si="20"/>
        <v>18</v>
      </c>
      <c r="AZ20" s="1042">
        <f t="shared" si="20"/>
        <v>6</v>
      </c>
      <c r="BA20" s="1042">
        <f t="shared" si="20"/>
        <v>43</v>
      </c>
      <c r="BB20" s="1044">
        <f t="shared" si="20"/>
        <v>67</v>
      </c>
      <c r="BC20" s="1042">
        <f t="shared" si="20"/>
        <v>7</v>
      </c>
      <c r="BD20" s="1042">
        <f t="shared" si="20"/>
        <v>10</v>
      </c>
      <c r="BE20" s="1042">
        <f t="shared" si="20"/>
        <v>95</v>
      </c>
      <c r="BF20" s="1044">
        <f t="shared" si="20"/>
        <v>112</v>
      </c>
      <c r="BG20" s="1042">
        <f t="shared" ref="BG20:BH20" si="21">BG8+BG12+BG16</f>
        <v>18</v>
      </c>
      <c r="BH20" s="1042">
        <f t="shared" si="21"/>
        <v>5</v>
      </c>
      <c r="BI20" s="1042">
        <f t="shared" si="19"/>
        <v>73</v>
      </c>
      <c r="BJ20" s="1038">
        <f t="shared" si="18"/>
        <v>96</v>
      </c>
    </row>
    <row r="21" spans="1:62" s="222" customFormat="1" ht="15" x14ac:dyDescent="0.2">
      <c r="A21" s="6217"/>
      <c r="B21" s="2406" t="s">
        <v>12</v>
      </c>
      <c r="C21" s="2407"/>
      <c r="D21" s="2408"/>
      <c r="E21" s="2408"/>
      <c r="F21" s="2408"/>
      <c r="G21" s="2407"/>
      <c r="H21" s="2408"/>
      <c r="I21" s="2408">
        <v>200</v>
      </c>
      <c r="J21" s="2408">
        <v>200</v>
      </c>
      <c r="K21" s="2407">
        <v>53</v>
      </c>
      <c r="L21" s="2408">
        <v>137</v>
      </c>
      <c r="M21" s="2408">
        <v>243</v>
      </c>
      <c r="N21" s="2409">
        <f>SUM(N18:N20)</f>
        <v>433</v>
      </c>
      <c r="O21" s="2408">
        <v>60</v>
      </c>
      <c r="P21" s="2408">
        <v>146</v>
      </c>
      <c r="Q21" s="2408">
        <v>69</v>
      </c>
      <c r="R21" s="2409">
        <v>275</v>
      </c>
      <c r="S21" s="2408">
        <v>12</v>
      </c>
      <c r="T21" s="2408">
        <v>152</v>
      </c>
      <c r="U21" s="2408">
        <v>214</v>
      </c>
      <c r="V21" s="2409">
        <v>378</v>
      </c>
      <c r="W21" s="2408">
        <f t="shared" ref="W21:AD21" si="22">SUM(W18:W20)</f>
        <v>100</v>
      </c>
      <c r="X21" s="2408">
        <f t="shared" si="22"/>
        <v>7</v>
      </c>
      <c r="Y21" s="2408">
        <f t="shared" si="22"/>
        <v>253</v>
      </c>
      <c r="Z21" s="2409">
        <f t="shared" si="22"/>
        <v>360</v>
      </c>
      <c r="AA21" s="2408">
        <f t="shared" si="22"/>
        <v>25</v>
      </c>
      <c r="AB21" s="2408"/>
      <c r="AC21" s="2408">
        <f t="shared" si="22"/>
        <v>504</v>
      </c>
      <c r="AD21" s="2409">
        <f t="shared" si="22"/>
        <v>529</v>
      </c>
      <c r="AE21" s="2408">
        <f t="shared" ref="AE21:AL21" si="23">SUM(AE18:AE20)</f>
        <v>36</v>
      </c>
      <c r="AF21" s="2408">
        <f t="shared" si="23"/>
        <v>52</v>
      </c>
      <c r="AG21" s="2408">
        <f t="shared" si="23"/>
        <v>439</v>
      </c>
      <c r="AH21" s="2409">
        <f t="shared" si="23"/>
        <v>527</v>
      </c>
      <c r="AI21" s="2407">
        <f t="shared" si="23"/>
        <v>22</v>
      </c>
      <c r="AJ21" s="2408">
        <f>SUM(AJ18:AJ20)</f>
        <v>401</v>
      </c>
      <c r="AK21" s="2408">
        <f t="shared" si="23"/>
        <v>154</v>
      </c>
      <c r="AL21" s="2409">
        <f t="shared" si="23"/>
        <v>656</v>
      </c>
      <c r="AM21" s="2407">
        <f t="shared" ref="AM21:AT21" si="24">SUM(AM18:AM20)</f>
        <v>24</v>
      </c>
      <c r="AN21" s="2408">
        <f t="shared" si="24"/>
        <v>7</v>
      </c>
      <c r="AO21" s="2408">
        <f t="shared" si="24"/>
        <v>341</v>
      </c>
      <c r="AP21" s="2409">
        <f t="shared" si="24"/>
        <v>372</v>
      </c>
      <c r="AQ21" s="2407">
        <f t="shared" si="24"/>
        <v>34</v>
      </c>
      <c r="AR21" s="2408">
        <f t="shared" si="24"/>
        <v>205</v>
      </c>
      <c r="AS21" s="2408">
        <f t="shared" si="24"/>
        <v>219</v>
      </c>
      <c r="AT21" s="2409">
        <f t="shared" si="24"/>
        <v>458</v>
      </c>
      <c r="AU21" s="2407">
        <f>SUM(AU18:AU20)</f>
        <v>130</v>
      </c>
      <c r="AV21" s="2408">
        <f>SUM(AV9,AV13,AV17)</f>
        <v>6</v>
      </c>
      <c r="AW21" s="2408">
        <f>SUM(AW18:AW20)</f>
        <v>546</v>
      </c>
      <c r="AX21" s="2409">
        <f>SUM(AX18:AX20)</f>
        <v>682</v>
      </c>
      <c r="AY21" s="2407">
        <f>SUM(AY18:AY20)</f>
        <v>52</v>
      </c>
      <c r="AZ21" s="2408">
        <f>SUM(AZ9,AZ13,AZ17)</f>
        <v>73</v>
      </c>
      <c r="BA21" s="2408">
        <f>SUM(BA18:BA20)</f>
        <v>396</v>
      </c>
      <c r="BB21" s="2409">
        <f>SUM(BB18:BB20)</f>
        <v>521</v>
      </c>
      <c r="BC21" s="2407">
        <f>SUM(BC18:BC20)</f>
        <v>48</v>
      </c>
      <c r="BD21" s="2408">
        <f>SUM(BD9,BD13,BD17)</f>
        <v>10</v>
      </c>
      <c r="BE21" s="2408">
        <f>SUM(BE18:BE20)</f>
        <v>494</v>
      </c>
      <c r="BF21" s="2409">
        <f>SUM(BF18:BF20)</f>
        <v>552</v>
      </c>
      <c r="BG21" s="2407">
        <f>SUM(BG18:BG20)</f>
        <v>190</v>
      </c>
      <c r="BH21" s="2408">
        <f>SUM(BH9,BH13,BH17)</f>
        <v>5</v>
      </c>
      <c r="BI21" s="2408">
        <f>SUM(BI18:BI20)</f>
        <v>590</v>
      </c>
      <c r="BJ21" s="2409">
        <f>SUM(BJ18:BJ20)</f>
        <v>785</v>
      </c>
    </row>
    <row r="22" spans="1:62" s="222" customFormat="1" ht="15" x14ac:dyDescent="0.2">
      <c r="A22" s="904"/>
      <c r="B22" s="904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1046"/>
      <c r="V22" s="1046"/>
      <c r="W22" s="1046"/>
      <c r="X22" s="1046"/>
      <c r="Y22" s="1046"/>
      <c r="Z22" s="1046"/>
      <c r="AA22" s="1046"/>
      <c r="AB22" s="1046"/>
      <c r="AC22" s="1046"/>
      <c r="AD22" s="1046"/>
      <c r="AE22" s="1046"/>
      <c r="AF22" s="1046"/>
      <c r="AG22" s="1046"/>
      <c r="AH22" s="1046"/>
      <c r="AI22" s="1046"/>
      <c r="AJ22" s="1046"/>
      <c r="AK22" s="1046"/>
      <c r="AL22" s="1046"/>
      <c r="AM22" s="1046"/>
      <c r="AN22" s="1046"/>
      <c r="AO22" s="1046"/>
      <c r="AP22" s="1046"/>
      <c r="AQ22" s="1046"/>
      <c r="AR22" s="1046"/>
      <c r="AS22" s="1046"/>
      <c r="AT22" s="1046"/>
      <c r="AU22" s="1046"/>
      <c r="AV22" s="1046"/>
      <c r="AW22" s="1046"/>
      <c r="AX22" s="1046"/>
      <c r="AY22" s="1046"/>
      <c r="AZ22" s="1046"/>
      <c r="BA22" s="1046"/>
      <c r="BB22" s="1046"/>
      <c r="BC22" s="1046"/>
      <c r="BD22" s="1046"/>
      <c r="BE22" s="1046"/>
      <c r="BF22" s="1046"/>
      <c r="BG22" s="1046"/>
      <c r="BH22" s="1046"/>
      <c r="BI22" s="1046"/>
      <c r="BJ22" s="1046"/>
    </row>
    <row r="23" spans="1:62" s="222" customFormat="1" ht="15" x14ac:dyDescent="0.2">
      <c r="A23" s="6228" t="s">
        <v>6</v>
      </c>
      <c r="B23" s="1029" t="s">
        <v>615</v>
      </c>
      <c r="C23" s="699"/>
      <c r="D23" s="493"/>
      <c r="E23" s="493"/>
      <c r="F23" s="494"/>
      <c r="G23" s="493"/>
      <c r="H23" s="493"/>
      <c r="I23" s="493"/>
      <c r="J23" s="493"/>
      <c r="K23" s="699"/>
      <c r="L23" s="493"/>
      <c r="M23" s="493"/>
      <c r="N23" s="494"/>
      <c r="O23" s="464"/>
      <c r="P23" s="464"/>
      <c r="Q23" s="464"/>
      <c r="R23" s="494"/>
      <c r="S23" s="464"/>
      <c r="T23" s="464"/>
      <c r="U23" s="464"/>
      <c r="V23" s="494"/>
      <c r="W23" s="464"/>
      <c r="X23" s="464"/>
      <c r="Y23" s="464"/>
      <c r="Z23" s="494"/>
      <c r="AA23" s="464"/>
      <c r="AB23" s="464"/>
      <c r="AC23" s="464"/>
      <c r="AD23" s="494"/>
      <c r="AE23" s="464"/>
      <c r="AF23" s="464"/>
      <c r="AG23" s="464"/>
      <c r="AH23" s="494"/>
      <c r="AI23" s="1031"/>
      <c r="AJ23" s="1031"/>
      <c r="AK23" s="1031"/>
      <c r="AL23" s="1033"/>
      <c r="AM23" s="1031"/>
      <c r="AN23" s="1031"/>
      <c r="AO23" s="1031"/>
      <c r="AP23" s="1033"/>
      <c r="AQ23" s="1031"/>
      <c r="AR23" s="1031"/>
      <c r="AS23" s="1031"/>
      <c r="AT23" s="1033"/>
      <c r="AU23" s="1031"/>
      <c r="AV23" s="1031"/>
      <c r="AW23" s="1031"/>
      <c r="AX23" s="1033"/>
      <c r="AY23" s="1031"/>
      <c r="AZ23" s="1031"/>
      <c r="BA23" s="1031"/>
      <c r="BB23" s="1033"/>
      <c r="BC23" s="1031"/>
      <c r="BD23" s="1031"/>
      <c r="BE23" s="1031"/>
      <c r="BF23" s="1033"/>
      <c r="BG23" s="1031"/>
      <c r="BH23" s="1031"/>
      <c r="BI23" s="1031"/>
      <c r="BJ23" s="1033"/>
    </row>
    <row r="24" spans="1:62" s="222" customFormat="1" ht="15" x14ac:dyDescent="0.2">
      <c r="A24" s="6229"/>
      <c r="B24" s="1034" t="s">
        <v>616</v>
      </c>
      <c r="C24" s="700"/>
      <c r="D24" s="499"/>
      <c r="E24" s="499"/>
      <c r="F24" s="500"/>
      <c r="G24" s="499"/>
      <c r="H24" s="499"/>
      <c r="I24" s="499"/>
      <c r="J24" s="499"/>
      <c r="K24" s="700"/>
      <c r="L24" s="499"/>
      <c r="M24" s="499"/>
      <c r="N24" s="500"/>
      <c r="O24" s="467"/>
      <c r="P24" s="467"/>
      <c r="Q24" s="467"/>
      <c r="R24" s="500"/>
      <c r="S24" s="467"/>
      <c r="T24" s="467"/>
      <c r="U24" s="467"/>
      <c r="V24" s="500"/>
      <c r="W24" s="467"/>
      <c r="X24" s="467"/>
      <c r="Y24" s="467"/>
      <c r="Z24" s="500"/>
      <c r="AA24" s="467"/>
      <c r="AB24" s="467"/>
      <c r="AC24" s="467"/>
      <c r="AD24" s="500"/>
      <c r="AE24" s="467"/>
      <c r="AF24" s="467"/>
      <c r="AG24" s="467"/>
      <c r="AH24" s="500"/>
      <c r="AI24" s="1036">
        <v>105</v>
      </c>
      <c r="AJ24" s="1036"/>
      <c r="AK24" s="1036"/>
      <c r="AL24" s="1038">
        <f>SUM(AI24:AK24)</f>
        <v>105</v>
      </c>
      <c r="AM24" s="1036">
        <v>108</v>
      </c>
      <c r="AN24" s="1036"/>
      <c r="AO24" s="1036"/>
      <c r="AP24" s="1038">
        <f>SUM(AM24:AO24)</f>
        <v>108</v>
      </c>
      <c r="AQ24" s="1036">
        <f>SUM('ASPI POSG plan'!AS137)</f>
        <v>136</v>
      </c>
      <c r="AR24" s="1036">
        <f>SUM('ASPI POSG plan'!AT137)</f>
        <v>0</v>
      </c>
      <c r="AS24" s="1036">
        <f>SUM('ASPI POSG plan'!AU137)</f>
        <v>0</v>
      </c>
      <c r="AT24" s="1038">
        <f>SUM(AQ24:AS24)</f>
        <v>136</v>
      </c>
      <c r="AU24" s="1036">
        <f>SUM('ASPI POSG plan'!AW137)</f>
        <v>0</v>
      </c>
      <c r="AV24" s="1036">
        <f>SUM('ASPI POSG plan'!AX137)</f>
        <v>0</v>
      </c>
      <c r="AW24" s="1036">
        <f>SUM('ASPI POSG plan'!AY137)</f>
        <v>152</v>
      </c>
      <c r="AX24" s="1038">
        <f>SUM(AU24:AW24)</f>
        <v>152</v>
      </c>
      <c r="AY24" s="1036">
        <f>SUM('ASPI POSG plan'!BA137)</f>
        <v>0</v>
      </c>
      <c r="AZ24" s="1036">
        <f>SUM('ASPI POSG plan'!BB137)</f>
        <v>0</v>
      </c>
      <c r="BA24" s="1036">
        <f>SUM('ASPI POSG plan'!BC137)</f>
        <v>86</v>
      </c>
      <c r="BB24" s="1038">
        <f>SUM(AY24:BA24)</f>
        <v>86</v>
      </c>
      <c r="BC24" s="1036">
        <f>SUM('ASPI POSG plan'!BE137)</f>
        <v>0</v>
      </c>
      <c r="BD24" s="1036">
        <f>SUM('ASPI POSG plan'!BF137)</f>
        <v>0</v>
      </c>
      <c r="BE24" s="1036">
        <f>SUM('ASPI POSG plan'!BG137)</f>
        <v>68</v>
      </c>
      <c r="BF24" s="1038">
        <f>SUM(BC24:BE24)</f>
        <v>68</v>
      </c>
      <c r="BG24" s="1036">
        <f>SUM('ASPI POSG plan'!BI137)</f>
        <v>0</v>
      </c>
      <c r="BH24" s="1036">
        <f>SUM('ASPI POSG plan'!BJ137)</f>
        <v>0</v>
      </c>
      <c r="BI24" s="1036">
        <f>SUM('ASPI POSG plan'!BK137)</f>
        <v>50</v>
      </c>
      <c r="BJ24" s="1038">
        <f>SUM(BG24:BI24)</f>
        <v>50</v>
      </c>
    </row>
    <row r="25" spans="1:62" s="222" customFormat="1" ht="15" x14ac:dyDescent="0.2">
      <c r="A25" s="6229"/>
      <c r="B25" s="1040" t="s">
        <v>617</v>
      </c>
      <c r="C25" s="700"/>
      <c r="D25" s="499"/>
      <c r="E25" s="499"/>
      <c r="F25" s="500"/>
      <c r="G25" s="499"/>
      <c r="H25" s="499"/>
      <c r="I25" s="499"/>
      <c r="J25" s="499"/>
      <c r="K25" s="700"/>
      <c r="L25" s="499"/>
      <c r="M25" s="499"/>
      <c r="N25" s="500"/>
      <c r="O25" s="467"/>
      <c r="P25" s="467"/>
      <c r="Q25" s="467"/>
      <c r="R25" s="500"/>
      <c r="S25" s="467"/>
      <c r="T25" s="467"/>
      <c r="U25" s="467"/>
      <c r="V25" s="500"/>
      <c r="W25" s="467"/>
      <c r="X25" s="467"/>
      <c r="Y25" s="467"/>
      <c r="Z25" s="500"/>
      <c r="AA25" s="467"/>
      <c r="AB25" s="467"/>
      <c r="AC25" s="467"/>
      <c r="AD25" s="500"/>
      <c r="AE25" s="467"/>
      <c r="AF25" s="467"/>
      <c r="AG25" s="467"/>
      <c r="AH25" s="500"/>
      <c r="AI25" s="1042">
        <v>66</v>
      </c>
      <c r="AJ25" s="1042"/>
      <c r="AK25" s="1042"/>
      <c r="AL25" s="1044">
        <f>SUM(AI25:AK25)</f>
        <v>66</v>
      </c>
      <c r="AM25" s="1042">
        <v>63</v>
      </c>
      <c r="AN25" s="1042"/>
      <c r="AO25" s="1042"/>
      <c r="AP25" s="1044">
        <f>SUM(AM25:AO25)</f>
        <v>63</v>
      </c>
      <c r="AQ25" s="1042">
        <f>SUM('ASPI POSG plan'!AS138)</f>
        <v>0</v>
      </c>
      <c r="AR25" s="1042">
        <f>SUM('ASPI POSG plan'!AT138)</f>
        <v>0</v>
      </c>
      <c r="AS25" s="1042">
        <f>SUM('ASPI POSG plan'!AU138)</f>
        <v>124</v>
      </c>
      <c r="AT25" s="1044">
        <f>SUM(AQ25:AS25)</f>
        <v>124</v>
      </c>
      <c r="AU25" s="1042">
        <f>SUM('ASPI POSG plan'!AW138)</f>
        <v>0</v>
      </c>
      <c r="AV25" s="1042">
        <f>SUM('ASPI POSG plan'!AX138)</f>
        <v>0</v>
      </c>
      <c r="AW25" s="1042">
        <f>SUM('ASPI POSG plan'!AY138)</f>
        <v>84</v>
      </c>
      <c r="AX25" s="1044">
        <f>SUM(AU25:AW25)</f>
        <v>84</v>
      </c>
      <c r="AY25" s="1042">
        <f>SUM('ASPI POSG plan'!BA138)</f>
        <v>0</v>
      </c>
      <c r="AZ25" s="1042">
        <f>SUM('ASPI POSG plan'!BB138)</f>
        <v>0</v>
      </c>
      <c r="BA25" s="1042">
        <f>SUM('ASPI POSG plan'!BC138)</f>
        <v>48</v>
      </c>
      <c r="BB25" s="1044">
        <f>SUM(AY25:BA25)</f>
        <v>48</v>
      </c>
      <c r="BC25" s="1042">
        <f>SUM('ASPI POSG plan'!BE138)</f>
        <v>0</v>
      </c>
      <c r="BD25" s="1042">
        <f>SUM('ASPI POSG plan'!BF138)</f>
        <v>0</v>
      </c>
      <c r="BE25" s="1042">
        <f>SUM('ASPI POSG plan'!BG138)</f>
        <v>38</v>
      </c>
      <c r="BF25" s="1044">
        <f>SUM(BC25:BE25)</f>
        <v>38</v>
      </c>
      <c r="BG25" s="1042">
        <f>SUM('ASPI POSG plan'!BI138)</f>
        <v>0</v>
      </c>
      <c r="BH25" s="1042">
        <f>SUM('ASPI POSG plan'!BJ138)</f>
        <v>0</v>
      </c>
      <c r="BI25" s="1042">
        <f>SUM('ASPI POSG plan'!BK138)</f>
        <v>3</v>
      </c>
      <c r="BJ25" s="1044">
        <f>SUM(BG25:BI25)</f>
        <v>3</v>
      </c>
    </row>
    <row r="26" spans="1:62" s="222" customFormat="1" ht="15" x14ac:dyDescent="0.2">
      <c r="A26" s="6230"/>
      <c r="B26" s="574" t="s">
        <v>14</v>
      </c>
      <c r="C26" s="575"/>
      <c r="D26" s="576"/>
      <c r="E26" s="576"/>
      <c r="F26" s="577"/>
      <c r="G26" s="576"/>
      <c r="H26" s="576"/>
      <c r="I26" s="576"/>
      <c r="J26" s="576"/>
      <c r="K26" s="575"/>
      <c r="L26" s="576"/>
      <c r="M26" s="576"/>
      <c r="N26" s="577"/>
      <c r="O26" s="576"/>
      <c r="P26" s="576"/>
      <c r="Q26" s="576"/>
      <c r="R26" s="577"/>
      <c r="S26" s="576"/>
      <c r="T26" s="576"/>
      <c r="U26" s="576"/>
      <c r="V26" s="577"/>
      <c r="W26" s="576"/>
      <c r="X26" s="576"/>
      <c r="Y26" s="576"/>
      <c r="Z26" s="577"/>
      <c r="AA26" s="576"/>
      <c r="AB26" s="576"/>
      <c r="AC26" s="576"/>
      <c r="AD26" s="577"/>
      <c r="AE26" s="576"/>
      <c r="AF26" s="576"/>
      <c r="AG26" s="576"/>
      <c r="AH26" s="577"/>
      <c r="AI26" s="576">
        <f>SUM(AI23:AI25)</f>
        <v>171</v>
      </c>
      <c r="AJ26" s="576"/>
      <c r="AK26" s="576"/>
      <c r="AL26" s="577">
        <f>SUM(AI26:AK26)</f>
        <v>171</v>
      </c>
      <c r="AM26" s="576">
        <f>SUM(AM23:AM25)</f>
        <v>171</v>
      </c>
      <c r="AN26" s="576"/>
      <c r="AO26" s="576"/>
      <c r="AP26" s="577">
        <f>SUM(AM26:AO26)</f>
        <v>171</v>
      </c>
      <c r="AQ26" s="576">
        <f>SUM(AQ23:AQ25)</f>
        <v>136</v>
      </c>
      <c r="AR26" s="576">
        <f>SUM(AR24:AR25)</f>
        <v>0</v>
      </c>
      <c r="AS26" s="576">
        <f>SUM(AS24:AS25)</f>
        <v>124</v>
      </c>
      <c r="AT26" s="577">
        <f>SUM(AQ26:AS26)</f>
        <v>260</v>
      </c>
      <c r="AU26" s="576">
        <f>SUM(AU23:AU25)</f>
        <v>0</v>
      </c>
      <c r="AV26" s="576">
        <f>SUM(AV24:AV25)</f>
        <v>0</v>
      </c>
      <c r="AW26" s="576">
        <f>SUM(AW24:AW25)</f>
        <v>236</v>
      </c>
      <c r="AX26" s="577">
        <f>SUM(AU26:AW26)</f>
        <v>236</v>
      </c>
      <c r="AY26" s="576">
        <f>SUM(AY23:AY25)</f>
        <v>0</v>
      </c>
      <c r="AZ26" s="576">
        <f>SUM(AZ24:AZ25)</f>
        <v>0</v>
      </c>
      <c r="BA26" s="576">
        <f>SUM(BA24:BA25)</f>
        <v>134</v>
      </c>
      <c r="BB26" s="577">
        <f>SUM(AY26:BA26)</f>
        <v>134</v>
      </c>
      <c r="BC26" s="576">
        <f>SUM(BC23:BC25)</f>
        <v>0</v>
      </c>
      <c r="BD26" s="576">
        <f>SUM(BD24:BD25)</f>
        <v>0</v>
      </c>
      <c r="BE26" s="576">
        <f>SUM(BE24:BE25)</f>
        <v>106</v>
      </c>
      <c r="BF26" s="577">
        <f>SUM(BC26:BE26)</f>
        <v>106</v>
      </c>
      <c r="BG26" s="576">
        <f>SUM(BG23:BG25)</f>
        <v>0</v>
      </c>
      <c r="BH26" s="576">
        <f>SUM(BH24:BH25)</f>
        <v>0</v>
      </c>
      <c r="BI26" s="576">
        <f>SUM(BI24:BI25)</f>
        <v>53</v>
      </c>
      <c r="BJ26" s="577">
        <f>SUM(BG26:BI26)</f>
        <v>53</v>
      </c>
    </row>
    <row r="27" spans="1:62" s="222" customFormat="1" ht="14.25" customHeight="1" x14ac:dyDescent="0.2">
      <c r="A27" s="6229" t="s">
        <v>9</v>
      </c>
      <c r="B27" s="1029" t="s">
        <v>615</v>
      </c>
      <c r="C27" s="699"/>
      <c r="D27" s="493"/>
      <c r="E27" s="493"/>
      <c r="F27" s="494"/>
      <c r="G27" s="493"/>
      <c r="H27" s="493"/>
      <c r="I27" s="493"/>
      <c r="J27" s="493"/>
      <c r="K27" s="699"/>
      <c r="L27" s="493"/>
      <c r="M27" s="493"/>
      <c r="N27" s="494"/>
      <c r="O27" s="464"/>
      <c r="P27" s="464"/>
      <c r="Q27" s="464"/>
      <c r="R27" s="494"/>
      <c r="S27" s="464"/>
      <c r="T27" s="464"/>
      <c r="U27" s="464"/>
      <c r="V27" s="494"/>
      <c r="W27" s="464"/>
      <c r="X27" s="464"/>
      <c r="Y27" s="464"/>
      <c r="Z27" s="494"/>
      <c r="AA27" s="464"/>
      <c r="AB27" s="464"/>
      <c r="AC27" s="464"/>
      <c r="AD27" s="494"/>
      <c r="AE27" s="464"/>
      <c r="AF27" s="464"/>
      <c r="AG27" s="464"/>
      <c r="AH27" s="494"/>
      <c r="AI27" s="1036"/>
      <c r="AJ27" s="1036"/>
      <c r="AK27" s="1036"/>
      <c r="AL27" s="1038"/>
      <c r="AM27" s="1036"/>
      <c r="AN27" s="1036"/>
      <c r="AO27" s="1036"/>
      <c r="AP27" s="1038"/>
      <c r="AQ27" s="1036"/>
      <c r="AR27" s="1036"/>
      <c r="AS27" s="1036"/>
      <c r="AT27" s="1038"/>
      <c r="AU27" s="1036"/>
      <c r="AV27" s="1036"/>
      <c r="AW27" s="1036"/>
      <c r="AX27" s="1038"/>
      <c r="AY27" s="1036"/>
      <c r="AZ27" s="1036"/>
      <c r="BA27" s="1036"/>
      <c r="BB27" s="1038"/>
      <c r="BC27" s="1036"/>
      <c r="BD27" s="1036"/>
      <c r="BE27" s="1036"/>
      <c r="BF27" s="1038"/>
      <c r="BG27" s="1036"/>
      <c r="BH27" s="1036"/>
      <c r="BI27" s="1036"/>
      <c r="BJ27" s="1038"/>
    </row>
    <row r="28" spans="1:62" s="222" customFormat="1" ht="14.25" customHeight="1" x14ac:dyDescent="0.2">
      <c r="A28" s="6229"/>
      <c r="B28" s="1034" t="s">
        <v>616</v>
      </c>
      <c r="C28" s="700"/>
      <c r="D28" s="499"/>
      <c r="E28" s="499"/>
      <c r="F28" s="500"/>
      <c r="G28" s="499"/>
      <c r="H28" s="499"/>
      <c r="I28" s="499"/>
      <c r="J28" s="499"/>
      <c r="K28" s="700"/>
      <c r="L28" s="499"/>
      <c r="M28" s="499"/>
      <c r="N28" s="500"/>
      <c r="O28" s="467"/>
      <c r="P28" s="467"/>
      <c r="Q28" s="467"/>
      <c r="R28" s="500"/>
      <c r="S28" s="467"/>
      <c r="T28" s="467"/>
      <c r="U28" s="467"/>
      <c r="V28" s="500"/>
      <c r="W28" s="467"/>
      <c r="X28" s="467"/>
      <c r="Y28" s="467"/>
      <c r="Z28" s="500"/>
      <c r="AA28" s="467"/>
      <c r="AB28" s="467"/>
      <c r="AC28" s="467"/>
      <c r="AD28" s="500"/>
      <c r="AE28" s="467"/>
      <c r="AF28" s="467"/>
      <c r="AG28" s="467"/>
      <c r="AH28" s="500"/>
      <c r="AI28" s="1036"/>
      <c r="AJ28" s="1036"/>
      <c r="AK28" s="1036"/>
      <c r="AL28" s="1038"/>
      <c r="AM28" s="1036"/>
      <c r="AN28" s="1036"/>
      <c r="AO28" s="1036">
        <v>27</v>
      </c>
      <c r="AP28" s="1038">
        <f>SUM(AM28:AO28)</f>
        <v>27</v>
      </c>
      <c r="AQ28" s="1036">
        <f>SUM('ASPI POSG plan'!AS140)</f>
        <v>37</v>
      </c>
      <c r="AR28" s="1036"/>
      <c r="AS28" s="1036"/>
      <c r="AT28" s="1038">
        <f>SUM(AQ28:AS28)</f>
        <v>37</v>
      </c>
      <c r="AU28" s="1036">
        <f>SUM('ASPI POSG plan'!AW140)</f>
        <v>0</v>
      </c>
      <c r="AV28" s="1036">
        <f>SUM('ASPI POSG plan'!AX140)</f>
        <v>0</v>
      </c>
      <c r="AW28" s="1036">
        <f>SUM('ASPI POSG plan'!AY140)</f>
        <v>61</v>
      </c>
      <c r="AX28" s="1038">
        <f>SUM(AU28:AW28)</f>
        <v>61</v>
      </c>
      <c r="AY28" s="1036">
        <f>SUM('ASPI POSG plan'!BA140)</f>
        <v>0</v>
      </c>
      <c r="AZ28" s="1036">
        <f>SUM('ASPI POSG plan'!BB140)</f>
        <v>0</v>
      </c>
      <c r="BA28" s="1036">
        <f>SUM('ASPI POSG plan'!BC140)</f>
        <v>44</v>
      </c>
      <c r="BB28" s="1038">
        <f>SUM(AY28:BA28)</f>
        <v>44</v>
      </c>
      <c r="BC28" s="1036">
        <f>SUM('ASPI POSG plan'!BE140)</f>
        <v>0</v>
      </c>
      <c r="BD28" s="1036">
        <f>SUM('ASPI POSG plan'!BF140)</f>
        <v>0</v>
      </c>
      <c r="BE28" s="1036">
        <f>SUM('ASPI POSG plan'!BG140)</f>
        <v>40</v>
      </c>
      <c r="BF28" s="1038">
        <f>SUM(BC28:BE28)</f>
        <v>40</v>
      </c>
      <c r="BG28" s="1036">
        <f>SUM('ASPI POSG plan'!BI140)</f>
        <v>0</v>
      </c>
      <c r="BH28" s="1036">
        <f>SUM('ASPI POSG plan'!BJ140)</f>
        <v>0</v>
      </c>
      <c r="BI28" s="1036">
        <f>SUM('ASPI POSG plan'!BK140)</f>
        <v>50</v>
      </c>
      <c r="BJ28" s="1038">
        <f>SUM(BG28:BI28)</f>
        <v>50</v>
      </c>
    </row>
    <row r="29" spans="1:62" s="222" customFormat="1" ht="14.25" customHeight="1" x14ac:dyDescent="0.2">
      <c r="A29" s="6229"/>
      <c r="B29" s="1040" t="s">
        <v>617</v>
      </c>
      <c r="C29" s="700"/>
      <c r="D29" s="499"/>
      <c r="E29" s="499"/>
      <c r="F29" s="500"/>
      <c r="G29" s="499"/>
      <c r="H29" s="499"/>
      <c r="I29" s="499"/>
      <c r="J29" s="499"/>
      <c r="K29" s="700"/>
      <c r="L29" s="499"/>
      <c r="M29" s="499"/>
      <c r="N29" s="500"/>
      <c r="O29" s="467"/>
      <c r="P29" s="467"/>
      <c r="Q29" s="467"/>
      <c r="R29" s="500"/>
      <c r="S29" s="467"/>
      <c r="T29" s="467"/>
      <c r="U29" s="467"/>
      <c r="V29" s="500"/>
      <c r="W29" s="467"/>
      <c r="X29" s="467"/>
      <c r="Y29" s="467"/>
      <c r="Z29" s="500"/>
      <c r="AA29" s="467"/>
      <c r="AB29" s="467"/>
      <c r="AC29" s="467"/>
      <c r="AD29" s="500"/>
      <c r="AE29" s="467"/>
      <c r="AF29" s="467"/>
      <c r="AG29" s="467"/>
      <c r="AH29" s="500"/>
      <c r="AI29" s="1042"/>
      <c r="AJ29" s="1042"/>
      <c r="AK29" s="1042"/>
      <c r="AL29" s="1044"/>
      <c r="AM29" s="1042"/>
      <c r="AN29" s="1042"/>
      <c r="AO29" s="1042"/>
      <c r="AP29" s="1044"/>
      <c r="AQ29" s="1042"/>
      <c r="AR29" s="1042"/>
      <c r="AS29" s="1042"/>
      <c r="AT29" s="1044"/>
      <c r="AU29" s="1042"/>
      <c r="AV29" s="1042"/>
      <c r="AW29" s="1042"/>
      <c r="AX29" s="1044"/>
      <c r="AY29" s="1042"/>
      <c r="AZ29" s="1042"/>
      <c r="BA29" s="1042"/>
      <c r="BB29" s="1044"/>
      <c r="BC29" s="1042"/>
      <c r="BD29" s="1042"/>
      <c r="BE29" s="1042"/>
      <c r="BF29" s="1044"/>
      <c r="BG29" s="1042"/>
      <c r="BH29" s="1042"/>
      <c r="BI29" s="1042"/>
      <c r="BJ29" s="1044"/>
    </row>
    <row r="30" spans="1:62" s="222" customFormat="1" ht="14.25" customHeight="1" x14ac:dyDescent="0.2">
      <c r="A30" s="6230"/>
      <c r="B30" s="574" t="s">
        <v>417</v>
      </c>
      <c r="C30" s="575"/>
      <c r="D30" s="576"/>
      <c r="E30" s="576"/>
      <c r="F30" s="577"/>
      <c r="G30" s="576"/>
      <c r="H30" s="576"/>
      <c r="I30" s="576"/>
      <c r="J30" s="576"/>
      <c r="K30" s="575"/>
      <c r="L30" s="576"/>
      <c r="M30" s="576"/>
      <c r="N30" s="577"/>
      <c r="O30" s="576"/>
      <c r="P30" s="576"/>
      <c r="Q30" s="576"/>
      <c r="R30" s="577"/>
      <c r="S30" s="576"/>
      <c r="T30" s="576"/>
      <c r="U30" s="576"/>
      <c r="V30" s="577"/>
      <c r="W30" s="576"/>
      <c r="X30" s="576"/>
      <c r="Y30" s="576"/>
      <c r="Z30" s="577"/>
      <c r="AA30" s="576"/>
      <c r="AB30" s="576"/>
      <c r="AC30" s="576"/>
      <c r="AD30" s="577"/>
      <c r="AE30" s="576"/>
      <c r="AF30" s="576"/>
      <c r="AG30" s="576"/>
      <c r="AH30" s="577"/>
      <c r="AI30" s="576"/>
      <c r="AJ30" s="576"/>
      <c r="AK30" s="576"/>
      <c r="AL30" s="577"/>
      <c r="AM30" s="576"/>
      <c r="AN30" s="576"/>
      <c r="AO30" s="576">
        <f>SUM(AO27:AO29)</f>
        <v>27</v>
      </c>
      <c r="AP30" s="577">
        <f>SUM(AM30:AO30)</f>
        <v>27</v>
      </c>
      <c r="AQ30" s="576">
        <f>SUM(AQ28:AQ29)</f>
        <v>37</v>
      </c>
      <c r="AR30" s="576"/>
      <c r="AS30" s="576"/>
      <c r="AT30" s="577">
        <f>SUM(AQ30:AS30)</f>
        <v>37</v>
      </c>
      <c r="AU30" s="576">
        <f>SUM(AU28:AU29)</f>
        <v>0</v>
      </c>
      <c r="AV30" s="576">
        <f>SUM(AV28:AV29)</f>
        <v>0</v>
      </c>
      <c r="AW30" s="576">
        <f>SUM(AW28:AW29)</f>
        <v>61</v>
      </c>
      <c r="AX30" s="577">
        <f>SUM(AX27:AX29)</f>
        <v>61</v>
      </c>
      <c r="AY30" s="576">
        <f>SUM(AY28:AY29)</f>
        <v>0</v>
      </c>
      <c r="AZ30" s="576">
        <f>SUM(AZ28:AZ29)</f>
        <v>0</v>
      </c>
      <c r="BA30" s="576">
        <f>SUM(BA28:BA29)</f>
        <v>44</v>
      </c>
      <c r="BB30" s="577">
        <f>SUM(BB27:BB29)</f>
        <v>44</v>
      </c>
      <c r="BC30" s="576">
        <f>SUM(BC28:BC29)</f>
        <v>0</v>
      </c>
      <c r="BD30" s="576">
        <f>SUM(BD28:BD29)</f>
        <v>0</v>
      </c>
      <c r="BE30" s="576">
        <f>SUM(BE28:BE29)</f>
        <v>40</v>
      </c>
      <c r="BF30" s="577">
        <f>SUM(BF27:BF29)</f>
        <v>40</v>
      </c>
      <c r="BG30" s="576">
        <f>SUM(BG28:BG29)</f>
        <v>0</v>
      </c>
      <c r="BH30" s="576">
        <f>SUM(BH28:BH29)</f>
        <v>0</v>
      </c>
      <c r="BI30" s="576">
        <f>SUM(BI28:BI29)</f>
        <v>50</v>
      </c>
      <c r="BJ30" s="577">
        <f>SUM(BJ27:BJ29)</f>
        <v>50</v>
      </c>
    </row>
    <row r="31" spans="1:62" s="222" customFormat="1" ht="14.25" customHeight="1" x14ac:dyDescent="0.2">
      <c r="A31" s="6229" t="s">
        <v>74</v>
      </c>
      <c r="B31" s="1029" t="s">
        <v>615</v>
      </c>
      <c r="C31" s="699"/>
      <c r="D31" s="493"/>
      <c r="E31" s="493"/>
      <c r="F31" s="494"/>
      <c r="G31" s="493"/>
      <c r="H31" s="493"/>
      <c r="I31" s="493"/>
      <c r="J31" s="493"/>
      <c r="K31" s="699"/>
      <c r="L31" s="493"/>
      <c r="M31" s="493"/>
      <c r="N31" s="494"/>
      <c r="O31" s="464"/>
      <c r="P31" s="464"/>
      <c r="Q31" s="464"/>
      <c r="R31" s="494"/>
      <c r="S31" s="464"/>
      <c r="T31" s="464"/>
      <c r="U31" s="464"/>
      <c r="V31" s="494"/>
      <c r="W31" s="464"/>
      <c r="X31" s="464"/>
      <c r="Y31" s="464"/>
      <c r="Z31" s="494"/>
      <c r="AA31" s="464"/>
      <c r="AB31" s="464"/>
      <c r="AC31" s="464"/>
      <c r="AD31" s="494"/>
      <c r="AE31" s="464"/>
      <c r="AF31" s="464"/>
      <c r="AG31" s="464"/>
      <c r="AH31" s="494"/>
      <c r="AI31" s="1036"/>
      <c r="AJ31" s="1036"/>
      <c r="AK31" s="1036"/>
      <c r="AL31" s="1038"/>
      <c r="AM31" s="1036"/>
      <c r="AN31" s="1036">
        <v>2</v>
      </c>
      <c r="AO31" s="1036">
        <v>1</v>
      </c>
      <c r="AP31" s="1038">
        <f t="shared" ref="AP31:AP38" si="25">SUM(AM31:AO31)</f>
        <v>3</v>
      </c>
      <c r="AQ31" s="1036">
        <f>SUM('ASPI POSG plan'!AS142)</f>
        <v>1</v>
      </c>
      <c r="AR31" s="1036">
        <f>SUM('ASPI POSG plan'!AT142)</f>
        <v>0</v>
      </c>
      <c r="AS31" s="1036">
        <f>SUM('ASPI POSG plan'!AU142)</f>
        <v>1</v>
      </c>
      <c r="AT31" s="1038">
        <f t="shared" ref="AT31:AT38" si="26">SUM(AQ31:AS31)</f>
        <v>2</v>
      </c>
      <c r="AU31" s="1036">
        <f>SUM('ASPI POSG plan'!AW142)</f>
        <v>2</v>
      </c>
      <c r="AV31" s="1036">
        <f>SUM('ASPI POSG plan'!AX142)</f>
        <v>0</v>
      </c>
      <c r="AW31" s="1036">
        <f>SUM('ASPI POSG plan'!AY142)</f>
        <v>2</v>
      </c>
      <c r="AX31" s="1038">
        <f t="shared" ref="AX31:AX38" si="27">SUM(AU31:AW31)</f>
        <v>4</v>
      </c>
      <c r="AY31" s="1036">
        <f>SUM('ASPI POSG plan'!BA142)</f>
        <v>2</v>
      </c>
      <c r="AZ31" s="1036">
        <f>SUM('ASPI POSG plan'!BB142)</f>
        <v>3</v>
      </c>
      <c r="BA31" s="1036">
        <f>SUM('ASPI POSG plan'!BC142)</f>
        <v>4</v>
      </c>
      <c r="BB31" s="1038">
        <f t="shared" ref="BB31:BB38" si="28">SUM(AY31:BA31)</f>
        <v>9</v>
      </c>
      <c r="BC31" s="1036">
        <f>SUM('ASPI POSG plan'!BE142)</f>
        <v>0</v>
      </c>
      <c r="BD31" s="1036">
        <f>SUM('ASPI POSG plan'!BF142)</f>
        <v>1</v>
      </c>
      <c r="BE31" s="1036">
        <f>SUM('ASPI POSG plan'!BG142)</f>
        <v>4</v>
      </c>
      <c r="BF31" s="1038">
        <f t="shared" ref="BF31:BF38" si="29">SUM(BC31:BE31)</f>
        <v>5</v>
      </c>
      <c r="BG31" s="1036">
        <f>SUM('ASPI POSG plan'!BI142)</f>
        <v>3</v>
      </c>
      <c r="BH31" s="1036">
        <f>SUM('ASPI POSG plan'!BJ142)</f>
        <v>0</v>
      </c>
      <c r="BI31" s="1036">
        <f>SUM('ASPI POSG plan'!BK142)</f>
        <v>4</v>
      </c>
      <c r="BJ31" s="1038">
        <f t="shared" ref="BJ31:BJ38" si="30">SUM(BG31:BI31)</f>
        <v>7</v>
      </c>
    </row>
    <row r="32" spans="1:62" s="222" customFormat="1" ht="14.25" customHeight="1" x14ac:dyDescent="0.2">
      <c r="A32" s="6229"/>
      <c r="B32" s="1034" t="s">
        <v>616</v>
      </c>
      <c r="C32" s="700"/>
      <c r="D32" s="499"/>
      <c r="E32" s="499"/>
      <c r="F32" s="500"/>
      <c r="G32" s="499"/>
      <c r="H32" s="499"/>
      <c r="I32" s="499"/>
      <c r="J32" s="499"/>
      <c r="K32" s="700"/>
      <c r="L32" s="499"/>
      <c r="M32" s="499"/>
      <c r="N32" s="500"/>
      <c r="O32" s="467"/>
      <c r="P32" s="467"/>
      <c r="Q32" s="467"/>
      <c r="R32" s="500"/>
      <c r="S32" s="467"/>
      <c r="T32" s="467"/>
      <c r="U32" s="467"/>
      <c r="V32" s="500"/>
      <c r="W32" s="467"/>
      <c r="X32" s="467"/>
      <c r="Y32" s="467"/>
      <c r="Z32" s="500"/>
      <c r="AA32" s="467"/>
      <c r="AB32" s="467"/>
      <c r="AC32" s="467"/>
      <c r="AD32" s="500"/>
      <c r="AE32" s="467"/>
      <c r="AF32" s="467"/>
      <c r="AG32" s="467"/>
      <c r="AH32" s="500"/>
      <c r="AI32" s="1036"/>
      <c r="AJ32" s="1036"/>
      <c r="AK32" s="1036"/>
      <c r="AL32" s="1038"/>
      <c r="AM32" s="1036"/>
      <c r="AN32" s="1036"/>
      <c r="AO32" s="1036">
        <v>15</v>
      </c>
      <c r="AP32" s="1038">
        <f t="shared" si="25"/>
        <v>15</v>
      </c>
      <c r="AQ32" s="1036">
        <f>SUM('ASPI POSG plan'!AS143)</f>
        <v>0</v>
      </c>
      <c r="AR32" s="1036">
        <f>SUM('ASPI POSG plan'!AT143)</f>
        <v>0</v>
      </c>
      <c r="AS32" s="1036">
        <f>SUM('ASPI POSG plan'!AU143)</f>
        <v>18</v>
      </c>
      <c r="AT32" s="1038">
        <f t="shared" si="26"/>
        <v>18</v>
      </c>
      <c r="AU32" s="1036">
        <f>SUM('ASPI POSG plan'!AW143)</f>
        <v>0</v>
      </c>
      <c r="AV32" s="1036">
        <f>SUM('ASPI POSG plan'!AX143)</f>
        <v>0</v>
      </c>
      <c r="AW32" s="1036">
        <f>SUM('ASPI POSG plan'!AY143)</f>
        <v>16</v>
      </c>
      <c r="AX32" s="1038">
        <f t="shared" si="27"/>
        <v>16</v>
      </c>
      <c r="AY32" s="1036">
        <f>SUM('ASPI POSG plan'!BA143)</f>
        <v>0</v>
      </c>
      <c r="AZ32" s="1036">
        <f>SUM('ASPI POSG plan'!BB143)</f>
        <v>0</v>
      </c>
      <c r="BA32" s="1036">
        <f>SUM('ASPI POSG plan'!BC143)</f>
        <v>15</v>
      </c>
      <c r="BB32" s="1038">
        <f t="shared" si="28"/>
        <v>15</v>
      </c>
      <c r="BC32" s="1036">
        <f>SUM('ASPI POSG plan'!BE143)</f>
        <v>0</v>
      </c>
      <c r="BD32" s="1036">
        <f>SUM('ASPI POSG plan'!BF143)</f>
        <v>0</v>
      </c>
      <c r="BE32" s="1036">
        <f>SUM('ASPI POSG plan'!BG143)</f>
        <v>15</v>
      </c>
      <c r="BF32" s="1038">
        <f t="shared" si="29"/>
        <v>15</v>
      </c>
      <c r="BG32" s="1036">
        <f>SUM('ASPI POSG plan'!BI143)</f>
        <v>0</v>
      </c>
      <c r="BH32" s="1036">
        <f>SUM('ASPI POSG plan'!BJ143)</f>
        <v>0</v>
      </c>
      <c r="BI32" s="1036">
        <f>SUM('ASPI POSG plan'!BK143)</f>
        <v>24</v>
      </c>
      <c r="BJ32" s="1038">
        <f t="shared" si="30"/>
        <v>24</v>
      </c>
    </row>
    <row r="33" spans="1:62" s="222" customFormat="1" ht="14.25" customHeight="1" x14ac:dyDescent="0.2">
      <c r="A33" s="6229"/>
      <c r="B33" s="1040" t="s">
        <v>617</v>
      </c>
      <c r="C33" s="700"/>
      <c r="D33" s="499"/>
      <c r="E33" s="499"/>
      <c r="F33" s="500"/>
      <c r="G33" s="499"/>
      <c r="H33" s="499"/>
      <c r="I33" s="499"/>
      <c r="J33" s="499"/>
      <c r="K33" s="700"/>
      <c r="L33" s="499"/>
      <c r="M33" s="499"/>
      <c r="N33" s="500"/>
      <c r="O33" s="467"/>
      <c r="P33" s="467"/>
      <c r="Q33" s="467"/>
      <c r="R33" s="500"/>
      <c r="S33" s="467"/>
      <c r="T33" s="467"/>
      <c r="U33" s="467"/>
      <c r="V33" s="500"/>
      <c r="W33" s="467"/>
      <c r="X33" s="467"/>
      <c r="Y33" s="467"/>
      <c r="Z33" s="500"/>
      <c r="AA33" s="467"/>
      <c r="AB33" s="467"/>
      <c r="AC33" s="467"/>
      <c r="AD33" s="500"/>
      <c r="AE33" s="467"/>
      <c r="AF33" s="467"/>
      <c r="AG33" s="467"/>
      <c r="AH33" s="500"/>
      <c r="AI33" s="1042"/>
      <c r="AJ33" s="1042"/>
      <c r="AK33" s="1042"/>
      <c r="AL33" s="1044"/>
      <c r="AM33" s="1042"/>
      <c r="AN33" s="1042">
        <v>8</v>
      </c>
      <c r="AO33" s="1042">
        <v>8</v>
      </c>
      <c r="AP33" s="1044">
        <f t="shared" si="25"/>
        <v>16</v>
      </c>
      <c r="AQ33" s="1036">
        <f>SUM('ASPI POSG plan'!AS144)</f>
        <v>4</v>
      </c>
      <c r="AR33" s="1036">
        <f>SUM('ASPI POSG plan'!AT144)</f>
        <v>5</v>
      </c>
      <c r="AS33" s="1036">
        <f>SUM('ASPI POSG plan'!AU144)</f>
        <v>3</v>
      </c>
      <c r="AT33" s="1044">
        <f t="shared" si="26"/>
        <v>12</v>
      </c>
      <c r="AU33" s="1036">
        <f>SUM('ASPI POSG plan'!AW144)</f>
        <v>4</v>
      </c>
      <c r="AV33" s="1036">
        <f>SUM('ASPI POSG plan'!AX144)</f>
        <v>5</v>
      </c>
      <c r="AW33" s="1036">
        <f>SUM('ASPI POSG plan'!AY144)</f>
        <v>3</v>
      </c>
      <c r="AX33" s="1044">
        <f t="shared" si="27"/>
        <v>12</v>
      </c>
      <c r="AY33" s="1036">
        <f>SUM('ASPI POSG plan'!BA144)</f>
        <v>4</v>
      </c>
      <c r="AZ33" s="1036">
        <f>SUM('ASPI POSG plan'!BB144)</f>
        <v>3</v>
      </c>
      <c r="BA33" s="1036">
        <f>SUM('ASPI POSG plan'!BC144)</f>
        <v>6</v>
      </c>
      <c r="BB33" s="1044">
        <f t="shared" si="28"/>
        <v>13</v>
      </c>
      <c r="BC33" s="1036">
        <f>SUM('ASPI POSG plan'!BE144:BE145)</f>
        <v>0</v>
      </c>
      <c r="BD33" s="1036">
        <f>SUM('ASPI POSG plan'!BF144:BF145)</f>
        <v>1</v>
      </c>
      <c r="BE33" s="1036">
        <f>SUM('ASPI POSG plan'!BG144:BG145)</f>
        <v>6</v>
      </c>
      <c r="BF33" s="1044">
        <f t="shared" si="29"/>
        <v>7</v>
      </c>
      <c r="BG33" s="1036">
        <f>SUM('ASPI POSG plan'!BI144:BI145)</f>
        <v>2</v>
      </c>
      <c r="BH33" s="1036">
        <f>SUM('ASPI POSG plan'!BJ144:BJ145)</f>
        <v>2</v>
      </c>
      <c r="BI33" s="1036">
        <f>SUM('ASPI POSG plan'!BK144:BK145)</f>
        <v>4</v>
      </c>
      <c r="BJ33" s="1044">
        <f t="shared" si="30"/>
        <v>8</v>
      </c>
    </row>
    <row r="34" spans="1:62" s="222" customFormat="1" ht="14.25" customHeight="1" x14ac:dyDescent="0.2">
      <c r="A34" s="6230"/>
      <c r="B34" s="574" t="s">
        <v>418</v>
      </c>
      <c r="C34" s="575"/>
      <c r="D34" s="576"/>
      <c r="E34" s="576"/>
      <c r="F34" s="577"/>
      <c r="G34" s="576"/>
      <c r="H34" s="576"/>
      <c r="I34" s="576"/>
      <c r="J34" s="576"/>
      <c r="K34" s="575"/>
      <c r="L34" s="576"/>
      <c r="M34" s="576"/>
      <c r="N34" s="577"/>
      <c r="O34" s="576"/>
      <c r="P34" s="576"/>
      <c r="Q34" s="576"/>
      <c r="R34" s="577"/>
      <c r="S34" s="576"/>
      <c r="T34" s="576"/>
      <c r="U34" s="576"/>
      <c r="V34" s="577"/>
      <c r="W34" s="576"/>
      <c r="X34" s="576"/>
      <c r="Y34" s="576"/>
      <c r="Z34" s="577"/>
      <c r="AA34" s="576"/>
      <c r="AB34" s="576"/>
      <c r="AC34" s="576"/>
      <c r="AD34" s="577"/>
      <c r="AE34" s="576"/>
      <c r="AF34" s="576"/>
      <c r="AG34" s="576"/>
      <c r="AH34" s="577"/>
      <c r="AI34" s="576"/>
      <c r="AJ34" s="576"/>
      <c r="AK34" s="576"/>
      <c r="AL34" s="577"/>
      <c r="AM34" s="576"/>
      <c r="AN34" s="576">
        <f>SUM(AN31:AN33)</f>
        <v>10</v>
      </c>
      <c r="AO34" s="576">
        <f>SUM(AO31:AO33)</f>
        <v>24</v>
      </c>
      <c r="AP34" s="577">
        <f t="shared" si="25"/>
        <v>34</v>
      </c>
      <c r="AQ34" s="576">
        <f>SUM(AQ31:AQ33)</f>
        <v>5</v>
      </c>
      <c r="AR34" s="576">
        <f>SUM(AR31:AR33)</f>
        <v>5</v>
      </c>
      <c r="AS34" s="576">
        <f>SUM(AS31:AS33)</f>
        <v>22</v>
      </c>
      <c r="AT34" s="577">
        <f t="shared" si="26"/>
        <v>32</v>
      </c>
      <c r="AU34" s="576">
        <f>SUM(AU31:AU33)</f>
        <v>6</v>
      </c>
      <c r="AV34" s="576">
        <f>SUM(AV31:AV33)</f>
        <v>5</v>
      </c>
      <c r="AW34" s="576">
        <f>SUM(AW31:AW33)</f>
        <v>21</v>
      </c>
      <c r="AX34" s="577">
        <f t="shared" si="27"/>
        <v>32</v>
      </c>
      <c r="AY34" s="576">
        <f>SUM(AY31:AY33)</f>
        <v>6</v>
      </c>
      <c r="AZ34" s="576">
        <f>SUM(AZ31:AZ33)</f>
        <v>6</v>
      </c>
      <c r="BA34" s="576">
        <f>SUM(BA31:BA33)</f>
        <v>25</v>
      </c>
      <c r="BB34" s="577">
        <f t="shared" si="28"/>
        <v>37</v>
      </c>
      <c r="BC34" s="576">
        <f>SUM(BC31:BC33)</f>
        <v>0</v>
      </c>
      <c r="BD34" s="576">
        <f>SUM(BD31:BD33)</f>
        <v>2</v>
      </c>
      <c r="BE34" s="576">
        <f>SUM(BE31:BE33)</f>
        <v>25</v>
      </c>
      <c r="BF34" s="577">
        <f t="shared" si="29"/>
        <v>27</v>
      </c>
      <c r="BG34" s="576">
        <f>SUM(BG31:BG33)</f>
        <v>5</v>
      </c>
      <c r="BH34" s="576">
        <f>SUM(BH31:BH33)</f>
        <v>2</v>
      </c>
      <c r="BI34" s="576">
        <f>SUM(BI31:BI33)</f>
        <v>32</v>
      </c>
      <c r="BJ34" s="577">
        <f t="shared" si="30"/>
        <v>39</v>
      </c>
    </row>
    <row r="35" spans="1:62" s="222" customFormat="1" ht="14.25" customHeight="1" x14ac:dyDescent="0.2">
      <c r="A35" s="6231" t="s">
        <v>678</v>
      </c>
      <c r="B35" s="1029" t="s">
        <v>615</v>
      </c>
      <c r="C35" s="699"/>
      <c r="D35" s="493"/>
      <c r="E35" s="493"/>
      <c r="F35" s="494"/>
      <c r="G35" s="493"/>
      <c r="H35" s="493"/>
      <c r="I35" s="493"/>
      <c r="J35" s="493"/>
      <c r="K35" s="699"/>
      <c r="L35" s="493"/>
      <c r="M35" s="493"/>
      <c r="N35" s="494"/>
      <c r="O35" s="464"/>
      <c r="P35" s="464"/>
      <c r="Q35" s="464"/>
      <c r="R35" s="494"/>
      <c r="S35" s="464"/>
      <c r="T35" s="464"/>
      <c r="U35" s="464"/>
      <c r="V35" s="494"/>
      <c r="W35" s="464"/>
      <c r="X35" s="464"/>
      <c r="Y35" s="464"/>
      <c r="Z35" s="494"/>
      <c r="AA35" s="464"/>
      <c r="AB35" s="464"/>
      <c r="AC35" s="464"/>
      <c r="AD35" s="494"/>
      <c r="AE35" s="464"/>
      <c r="AF35" s="464"/>
      <c r="AG35" s="464"/>
      <c r="AH35" s="494"/>
      <c r="AI35" s="1036"/>
      <c r="AJ35" s="1036"/>
      <c r="AK35" s="1036"/>
      <c r="AL35" s="1038"/>
      <c r="AM35" s="1036">
        <f>SUM(AM23,AM27,AM31)</f>
        <v>0</v>
      </c>
      <c r="AN35" s="1036">
        <f>SUM(AN23,AN27,AN31)</f>
        <v>2</v>
      </c>
      <c r="AO35" s="1036">
        <f>SUM(AO23,AO27,AO31)</f>
        <v>1</v>
      </c>
      <c r="AP35" s="1038">
        <f t="shared" si="25"/>
        <v>3</v>
      </c>
      <c r="AQ35" s="1036">
        <f>SUM(AQ23,AQ27,AQ31)</f>
        <v>1</v>
      </c>
      <c r="AR35" s="1036">
        <f>SUM(AR23,AR27,AR31)</f>
        <v>0</v>
      </c>
      <c r="AS35" s="1036">
        <f>SUM(AS23,AS27,AS31)</f>
        <v>1</v>
      </c>
      <c r="AT35" s="1038">
        <f t="shared" si="26"/>
        <v>2</v>
      </c>
      <c r="AU35" s="1036">
        <f t="shared" ref="AU35:AW37" si="31">SUM(AU23,AU27,AU31)</f>
        <v>2</v>
      </c>
      <c r="AV35" s="1036">
        <f t="shared" si="31"/>
        <v>0</v>
      </c>
      <c r="AW35" s="1036">
        <f t="shared" si="31"/>
        <v>2</v>
      </c>
      <c r="AX35" s="1038">
        <f t="shared" si="27"/>
        <v>4</v>
      </c>
      <c r="AY35" s="1036">
        <f t="shared" ref="AY35:BA37" si="32">SUM(AY23,AY27,AY31)</f>
        <v>2</v>
      </c>
      <c r="AZ35" s="1036">
        <f t="shared" si="32"/>
        <v>3</v>
      </c>
      <c r="BA35" s="1036">
        <f t="shared" si="32"/>
        <v>4</v>
      </c>
      <c r="BB35" s="1038">
        <f t="shared" si="28"/>
        <v>9</v>
      </c>
      <c r="BC35" s="1036">
        <f t="shared" ref="BC35:BE37" si="33">SUM(BC23,BC27,BC31)</f>
        <v>0</v>
      </c>
      <c r="BD35" s="1036">
        <f t="shared" si="33"/>
        <v>1</v>
      </c>
      <c r="BE35" s="1036">
        <f t="shared" si="33"/>
        <v>4</v>
      </c>
      <c r="BF35" s="1038">
        <f t="shared" si="29"/>
        <v>5</v>
      </c>
      <c r="BG35" s="1036">
        <f t="shared" ref="BG35:BI35" si="34">SUM(BG23,BG27,BG31)</f>
        <v>3</v>
      </c>
      <c r="BH35" s="1036">
        <f t="shared" si="34"/>
        <v>0</v>
      </c>
      <c r="BI35" s="1036">
        <f t="shared" si="34"/>
        <v>4</v>
      </c>
      <c r="BJ35" s="1038">
        <f t="shared" si="30"/>
        <v>7</v>
      </c>
    </row>
    <row r="36" spans="1:62" s="222" customFormat="1" ht="14.25" customHeight="1" x14ac:dyDescent="0.2">
      <c r="A36" s="6232"/>
      <c r="B36" s="1034" t="s">
        <v>616</v>
      </c>
      <c r="C36" s="700"/>
      <c r="D36" s="499"/>
      <c r="E36" s="499"/>
      <c r="F36" s="500"/>
      <c r="G36" s="499"/>
      <c r="H36" s="499"/>
      <c r="I36" s="499"/>
      <c r="J36" s="499"/>
      <c r="K36" s="700"/>
      <c r="L36" s="499"/>
      <c r="M36" s="499"/>
      <c r="N36" s="500"/>
      <c r="O36" s="467"/>
      <c r="P36" s="467"/>
      <c r="Q36" s="467"/>
      <c r="R36" s="500"/>
      <c r="S36" s="467"/>
      <c r="T36" s="467"/>
      <c r="U36" s="467"/>
      <c r="V36" s="500"/>
      <c r="W36" s="467"/>
      <c r="X36" s="467"/>
      <c r="Y36" s="467"/>
      <c r="Z36" s="500"/>
      <c r="AA36" s="467"/>
      <c r="AB36" s="467"/>
      <c r="AC36" s="467"/>
      <c r="AD36" s="500"/>
      <c r="AE36" s="467"/>
      <c r="AF36" s="467"/>
      <c r="AG36" s="467"/>
      <c r="AH36" s="500"/>
      <c r="AI36" s="1036">
        <v>105</v>
      </c>
      <c r="AJ36" s="1036"/>
      <c r="AK36" s="1036"/>
      <c r="AL36" s="1038">
        <f>SUM(AI36:AK36)</f>
        <v>105</v>
      </c>
      <c r="AM36" s="1036">
        <f>SUM(AM24,AM28,AM32)</f>
        <v>108</v>
      </c>
      <c r="AN36" s="1036"/>
      <c r="AO36" s="1036">
        <f>SUM(AO24,AO28,AO32)</f>
        <v>42</v>
      </c>
      <c r="AP36" s="1038">
        <f t="shared" si="25"/>
        <v>150</v>
      </c>
      <c r="AQ36" s="1036">
        <f>SUM(AQ24,AQ28,AQ32)</f>
        <v>173</v>
      </c>
      <c r="AR36" s="1036"/>
      <c r="AS36" s="1036">
        <f>SUM(AS24,AS28,AS32)</f>
        <v>18</v>
      </c>
      <c r="AT36" s="1038">
        <f t="shared" si="26"/>
        <v>191</v>
      </c>
      <c r="AU36" s="1036">
        <f t="shared" si="31"/>
        <v>0</v>
      </c>
      <c r="AV36" s="1036">
        <f t="shared" si="31"/>
        <v>0</v>
      </c>
      <c r="AW36" s="1036">
        <f t="shared" si="31"/>
        <v>229</v>
      </c>
      <c r="AX36" s="1038">
        <f t="shared" si="27"/>
        <v>229</v>
      </c>
      <c r="AY36" s="1036">
        <f t="shared" si="32"/>
        <v>0</v>
      </c>
      <c r="AZ36" s="1036">
        <f t="shared" si="32"/>
        <v>0</v>
      </c>
      <c r="BA36" s="1036">
        <f t="shared" si="32"/>
        <v>145</v>
      </c>
      <c r="BB36" s="1038">
        <f t="shared" si="28"/>
        <v>145</v>
      </c>
      <c r="BC36" s="1036">
        <f t="shared" si="33"/>
        <v>0</v>
      </c>
      <c r="BD36" s="1036">
        <f t="shared" si="33"/>
        <v>0</v>
      </c>
      <c r="BE36" s="1036">
        <f t="shared" si="33"/>
        <v>123</v>
      </c>
      <c r="BF36" s="1038">
        <f t="shared" si="29"/>
        <v>123</v>
      </c>
      <c r="BG36" s="1036">
        <f t="shared" ref="BG36:BI36" si="35">SUM(BG24,BG28,BG32)</f>
        <v>0</v>
      </c>
      <c r="BH36" s="1036">
        <f t="shared" si="35"/>
        <v>0</v>
      </c>
      <c r="BI36" s="1036">
        <f t="shared" si="35"/>
        <v>124</v>
      </c>
      <c r="BJ36" s="1038">
        <f t="shared" si="30"/>
        <v>124</v>
      </c>
    </row>
    <row r="37" spans="1:62" s="222" customFormat="1" ht="14.25" customHeight="1" x14ac:dyDescent="0.2">
      <c r="A37" s="6232"/>
      <c r="B37" s="1040" t="s">
        <v>617</v>
      </c>
      <c r="C37" s="701"/>
      <c r="D37" s="505"/>
      <c r="E37" s="505"/>
      <c r="F37" s="506"/>
      <c r="G37" s="505"/>
      <c r="H37" s="505"/>
      <c r="I37" s="505"/>
      <c r="J37" s="505"/>
      <c r="K37" s="701"/>
      <c r="L37" s="505"/>
      <c r="M37" s="505"/>
      <c r="N37" s="506"/>
      <c r="O37" s="470"/>
      <c r="P37" s="470"/>
      <c r="Q37" s="470"/>
      <c r="R37" s="506"/>
      <c r="S37" s="470"/>
      <c r="T37" s="470"/>
      <c r="U37" s="470"/>
      <c r="V37" s="506"/>
      <c r="W37" s="470"/>
      <c r="X37" s="470"/>
      <c r="Y37" s="470"/>
      <c r="Z37" s="506"/>
      <c r="AA37" s="470"/>
      <c r="AB37" s="470"/>
      <c r="AC37" s="470"/>
      <c r="AD37" s="506"/>
      <c r="AE37" s="470"/>
      <c r="AF37" s="470"/>
      <c r="AG37" s="470"/>
      <c r="AH37" s="506"/>
      <c r="AI37" s="1042">
        <v>66</v>
      </c>
      <c r="AJ37" s="1042"/>
      <c r="AK37" s="1042"/>
      <c r="AL37" s="1044">
        <f>SUM(AI37:AK37)</f>
        <v>66</v>
      </c>
      <c r="AM37" s="1036">
        <f>SUM(AM25,AM29,AM33)</f>
        <v>63</v>
      </c>
      <c r="AN37" s="1036">
        <f>SUM(AN25,AN29,AN33)</f>
        <v>8</v>
      </c>
      <c r="AO37" s="1036">
        <f>SUM(AO25,AO29,AO33)</f>
        <v>8</v>
      </c>
      <c r="AP37" s="1044">
        <f t="shared" si="25"/>
        <v>79</v>
      </c>
      <c r="AQ37" s="1036">
        <f>SUM(AQ25,AQ29,AQ33)</f>
        <v>4</v>
      </c>
      <c r="AR37" s="1036">
        <f>SUM(AR25,AR29,AR33)</f>
        <v>5</v>
      </c>
      <c r="AS37" s="1036">
        <f>SUM(AS25,AS29,AS33)</f>
        <v>127</v>
      </c>
      <c r="AT37" s="1044">
        <f t="shared" si="26"/>
        <v>136</v>
      </c>
      <c r="AU37" s="1036">
        <f t="shared" si="31"/>
        <v>4</v>
      </c>
      <c r="AV37" s="1036">
        <f t="shared" si="31"/>
        <v>5</v>
      </c>
      <c r="AW37" s="1036">
        <f t="shared" si="31"/>
        <v>87</v>
      </c>
      <c r="AX37" s="1044">
        <f t="shared" si="27"/>
        <v>96</v>
      </c>
      <c r="AY37" s="1036">
        <f t="shared" si="32"/>
        <v>4</v>
      </c>
      <c r="AZ37" s="1036">
        <f t="shared" si="32"/>
        <v>3</v>
      </c>
      <c r="BA37" s="1036">
        <f t="shared" si="32"/>
        <v>54</v>
      </c>
      <c r="BB37" s="1044">
        <f t="shared" si="28"/>
        <v>61</v>
      </c>
      <c r="BC37" s="1036">
        <f t="shared" si="33"/>
        <v>0</v>
      </c>
      <c r="BD37" s="1036">
        <f t="shared" si="33"/>
        <v>1</v>
      </c>
      <c r="BE37" s="1036">
        <f t="shared" si="33"/>
        <v>44</v>
      </c>
      <c r="BF37" s="1044">
        <f t="shared" si="29"/>
        <v>45</v>
      </c>
      <c r="BG37" s="1036">
        <f t="shared" ref="BG37:BI37" si="36">SUM(BG25,BG29,BG33)</f>
        <v>2</v>
      </c>
      <c r="BH37" s="1036">
        <f t="shared" si="36"/>
        <v>2</v>
      </c>
      <c r="BI37" s="1036">
        <f t="shared" si="36"/>
        <v>7</v>
      </c>
      <c r="BJ37" s="1044">
        <f t="shared" si="30"/>
        <v>11</v>
      </c>
    </row>
    <row r="38" spans="1:62" s="222" customFormat="1" ht="14.25" customHeight="1" x14ac:dyDescent="0.2">
      <c r="A38" s="6233"/>
      <c r="B38" s="2410" t="s">
        <v>12</v>
      </c>
      <c r="C38" s="2411"/>
      <c r="D38" s="2412"/>
      <c r="E38" s="2412"/>
      <c r="F38" s="2413"/>
      <c r="G38" s="2412"/>
      <c r="H38" s="2412"/>
      <c r="I38" s="2412"/>
      <c r="J38" s="2412"/>
      <c r="K38" s="2411"/>
      <c r="L38" s="2412"/>
      <c r="M38" s="2412"/>
      <c r="N38" s="2413"/>
      <c r="O38" s="2412"/>
      <c r="P38" s="2412"/>
      <c r="Q38" s="2412"/>
      <c r="R38" s="2413"/>
      <c r="S38" s="2412"/>
      <c r="T38" s="2412"/>
      <c r="U38" s="2412"/>
      <c r="V38" s="2413"/>
      <c r="W38" s="2412"/>
      <c r="X38" s="2412"/>
      <c r="Y38" s="2412"/>
      <c r="Z38" s="2413"/>
      <c r="AA38" s="2412"/>
      <c r="AB38" s="2412"/>
      <c r="AC38" s="2412"/>
      <c r="AD38" s="2413"/>
      <c r="AE38" s="2412"/>
      <c r="AF38" s="2412"/>
      <c r="AG38" s="2412"/>
      <c r="AH38" s="2413"/>
      <c r="AI38" s="2412">
        <f>SUM(AI35:AI37)</f>
        <v>171</v>
      </c>
      <c r="AJ38" s="2412"/>
      <c r="AK38" s="2412"/>
      <c r="AL38" s="2413">
        <f>SUM(AI38:AK38)</f>
        <v>171</v>
      </c>
      <c r="AM38" s="2412">
        <f>SUM(AM35:AM37)</f>
        <v>171</v>
      </c>
      <c r="AN38" s="2412">
        <f>SUM(AN35:AN37)</f>
        <v>10</v>
      </c>
      <c r="AO38" s="2412">
        <f>SUM(AO35:AO37)</f>
        <v>51</v>
      </c>
      <c r="AP38" s="2413">
        <f t="shared" si="25"/>
        <v>232</v>
      </c>
      <c r="AQ38" s="2412">
        <f>SUM(AQ35:AQ37)</f>
        <v>178</v>
      </c>
      <c r="AR38" s="2412">
        <f>SUM(AR35:AR37)</f>
        <v>5</v>
      </c>
      <c r="AS38" s="2412">
        <f>SUM(AS35:AS37)</f>
        <v>146</v>
      </c>
      <c r="AT38" s="2413">
        <f t="shared" si="26"/>
        <v>329</v>
      </c>
      <c r="AU38" s="2412">
        <f>SUM(AU35:AU37)</f>
        <v>6</v>
      </c>
      <c r="AV38" s="2412">
        <f>SUM(AV35:AV37)</f>
        <v>5</v>
      </c>
      <c r="AW38" s="2412">
        <f>SUM(AW35:AW37)</f>
        <v>318</v>
      </c>
      <c r="AX38" s="2413">
        <f t="shared" si="27"/>
        <v>329</v>
      </c>
      <c r="AY38" s="2412">
        <f>SUM(AY35:AY37)</f>
        <v>6</v>
      </c>
      <c r="AZ38" s="2412">
        <f>SUM(AZ35:AZ37)</f>
        <v>6</v>
      </c>
      <c r="BA38" s="2412">
        <f>SUM(BA35:BA37)</f>
        <v>203</v>
      </c>
      <c r="BB38" s="2413">
        <f t="shared" si="28"/>
        <v>215</v>
      </c>
      <c r="BC38" s="2412">
        <f>SUM(BC35:BC37)</f>
        <v>0</v>
      </c>
      <c r="BD38" s="2412">
        <f>SUM(BD35:BD37)</f>
        <v>2</v>
      </c>
      <c r="BE38" s="2412">
        <f>SUM(BE35:BE37)</f>
        <v>171</v>
      </c>
      <c r="BF38" s="2413">
        <f t="shared" si="29"/>
        <v>173</v>
      </c>
      <c r="BG38" s="2412">
        <f>SUM(BG35:BG37)</f>
        <v>5</v>
      </c>
      <c r="BH38" s="2412">
        <f>SUM(BH35:BH37)</f>
        <v>2</v>
      </c>
      <c r="BI38" s="2412">
        <f>SUM(BI35:BI37)</f>
        <v>135</v>
      </c>
      <c r="BJ38" s="2413">
        <f t="shared" si="30"/>
        <v>142</v>
      </c>
    </row>
    <row r="39" spans="1:62" s="222" customFormat="1" ht="14.25" customHeight="1" x14ac:dyDescent="0.2">
      <c r="A39" s="904"/>
      <c r="B39" s="904"/>
      <c r="C39" s="1046"/>
      <c r="D39" s="1046"/>
      <c r="E39" s="1046"/>
      <c r="F39" s="1046"/>
      <c r="G39" s="1046"/>
      <c r="H39" s="1046"/>
      <c r="I39" s="1046"/>
      <c r="J39" s="1046"/>
      <c r="K39" s="1046"/>
      <c r="L39" s="1046"/>
      <c r="M39" s="1046"/>
      <c r="N39" s="1046"/>
      <c r="O39" s="1046"/>
      <c r="P39" s="1046"/>
      <c r="Q39" s="1046"/>
      <c r="R39" s="1046"/>
      <c r="S39" s="1046"/>
      <c r="T39" s="1046"/>
      <c r="U39" s="1046"/>
      <c r="V39" s="1046"/>
      <c r="W39" s="1046"/>
      <c r="X39" s="1046"/>
      <c r="Y39" s="1046"/>
      <c r="Z39" s="1046"/>
      <c r="AA39" s="1046"/>
      <c r="AB39" s="1046"/>
      <c r="AC39" s="1046"/>
      <c r="AD39" s="1046"/>
      <c r="AE39" s="1046"/>
      <c r="AF39" s="1046"/>
      <c r="AG39" s="1046"/>
      <c r="AH39" s="1046"/>
      <c r="AI39" s="1046"/>
      <c r="AJ39" s="1046"/>
      <c r="AK39" s="1046"/>
      <c r="AL39" s="1046"/>
      <c r="AM39" s="1046"/>
      <c r="AN39" s="1046"/>
      <c r="AO39" s="1046"/>
      <c r="AP39" s="1046"/>
      <c r="AQ39" s="1046"/>
      <c r="AR39" s="1046"/>
      <c r="AS39" s="1046"/>
      <c r="AT39" s="1046"/>
      <c r="AU39" s="1046"/>
      <c r="AV39" s="1046"/>
      <c r="AW39" s="1046"/>
      <c r="AX39" s="1046"/>
      <c r="AY39" s="1046"/>
      <c r="AZ39" s="1046"/>
      <c r="BA39" s="1046"/>
      <c r="BB39" s="1046"/>
      <c r="BC39" s="1046"/>
      <c r="BD39" s="1046"/>
      <c r="BE39" s="1046"/>
      <c r="BF39" s="1046"/>
      <c r="BG39" s="1046"/>
      <c r="BH39" s="1046"/>
      <c r="BI39" s="1046"/>
      <c r="BJ39" s="1046"/>
    </row>
    <row r="40" spans="1:62" ht="15" x14ac:dyDescent="0.2">
      <c r="A40" s="6218" t="s">
        <v>5</v>
      </c>
      <c r="B40" s="1029" t="s">
        <v>615</v>
      </c>
      <c r="C40" s="1030"/>
      <c r="D40" s="1031"/>
      <c r="E40" s="1031"/>
      <c r="F40" s="1032"/>
      <c r="G40" s="1030"/>
      <c r="H40" s="1031"/>
      <c r="I40" s="1031"/>
      <c r="J40" s="1032"/>
      <c r="K40" s="1030"/>
      <c r="L40" s="1031"/>
      <c r="M40" s="1031"/>
      <c r="N40" s="1033"/>
      <c r="O40" s="1031"/>
      <c r="P40" s="1031"/>
      <c r="Q40" s="1031"/>
      <c r="R40" s="1033"/>
      <c r="S40" s="1031"/>
      <c r="T40" s="1031"/>
      <c r="U40" s="1031"/>
      <c r="V40" s="1033"/>
      <c r="W40" s="1031"/>
      <c r="X40" s="1031"/>
      <c r="Y40" s="1031"/>
      <c r="Z40" s="1033"/>
      <c r="AA40" s="1031"/>
      <c r="AB40" s="1031"/>
      <c r="AC40" s="1031"/>
      <c r="AD40" s="1033"/>
      <c r="AE40" s="1031"/>
      <c r="AF40" s="1031"/>
      <c r="AG40" s="1031"/>
      <c r="AH40" s="1033"/>
      <c r="AI40" s="1031"/>
      <c r="AJ40" s="1031"/>
      <c r="AK40" s="1031"/>
      <c r="AL40" s="1033"/>
      <c r="AM40" s="1030"/>
      <c r="AN40" s="1031"/>
      <c r="AO40" s="1031"/>
      <c r="AP40" s="1048"/>
      <c r="AQ40" s="1030"/>
      <c r="AR40" s="1031"/>
      <c r="AS40" s="1031"/>
      <c r="AT40" s="1048"/>
      <c r="AU40" s="1030"/>
      <c r="AV40" s="1031"/>
      <c r="AW40" s="1031"/>
      <c r="AX40" s="1048"/>
      <c r="AY40" s="1030"/>
      <c r="AZ40" s="1031"/>
      <c r="BA40" s="1031"/>
      <c r="BB40" s="1048"/>
      <c r="BC40" s="1030"/>
      <c r="BD40" s="1031">
        <f>SUM('ASPI POSG plan'!BF52)</f>
        <v>4</v>
      </c>
      <c r="BE40" s="1031"/>
      <c r="BF40" s="1033">
        <f>SUM(BC40:BE40)</f>
        <v>4</v>
      </c>
      <c r="BG40" s="1030"/>
      <c r="BH40" s="1031">
        <f>SUM('ASPI POSG plan'!BJ52)</f>
        <v>3</v>
      </c>
      <c r="BI40" s="1031"/>
      <c r="BJ40" s="1033">
        <f>SUM(BG40:BI40)</f>
        <v>3</v>
      </c>
    </row>
    <row r="41" spans="1:62" ht="15" x14ac:dyDescent="0.2">
      <c r="A41" s="6219"/>
      <c r="B41" s="1034" t="s">
        <v>616</v>
      </c>
      <c r="C41" s="1035">
        <f>SUM('ASPI POSG plan'!E53,'ASPI POSG plan'!E54,'ASPI POSG plan'!E55,'ASPI POSG plan'!E56,'ASPI POSG plan'!E57)</f>
        <v>22</v>
      </c>
      <c r="D41" s="1036">
        <f>SUM('ASPI POSG plan'!F53,'ASPI POSG plan'!F54,'ASPI POSG plan'!F55,'ASPI POSG plan'!F56,'ASPI POSG plan'!F57)</f>
        <v>30</v>
      </c>
      <c r="E41" s="1036">
        <f>SUM('ASPI POSG plan'!G53,'ASPI POSG plan'!G54,'ASPI POSG plan'!G55,'ASPI POSG plan'!G56,'ASPI POSG plan'!G57)</f>
        <v>68</v>
      </c>
      <c r="F41" s="1037">
        <f>SUM('ASPI POSG plan'!H53,'ASPI POSG plan'!H54,'ASPI POSG plan'!H55,'ASPI POSG plan'!H56,'ASPI POSG plan'!H57)</f>
        <v>120</v>
      </c>
      <c r="G41" s="1035">
        <v>41</v>
      </c>
      <c r="H41" s="1036">
        <v>32</v>
      </c>
      <c r="I41" s="1036">
        <v>79</v>
      </c>
      <c r="J41" s="1037">
        <v>152</v>
      </c>
      <c r="K41" s="1035">
        <v>53</v>
      </c>
      <c r="L41" s="1036">
        <v>39</v>
      </c>
      <c r="M41" s="1036">
        <v>98</v>
      </c>
      <c r="N41" s="1038">
        <v>190</v>
      </c>
      <c r="O41" s="1036">
        <v>25</v>
      </c>
      <c r="P41" s="1036">
        <v>37</v>
      </c>
      <c r="Q41" s="1036">
        <v>111</v>
      </c>
      <c r="R41" s="1038">
        <v>173</v>
      </c>
      <c r="S41" s="1036">
        <v>30</v>
      </c>
      <c r="T41" s="1036">
        <v>20</v>
      </c>
      <c r="U41" s="1036">
        <v>80</v>
      </c>
      <c r="V41" s="1038">
        <v>130</v>
      </c>
      <c r="W41" s="1036">
        <v>26</v>
      </c>
      <c r="X41" s="1036">
        <v>18</v>
      </c>
      <c r="Y41" s="1036">
        <v>95</v>
      </c>
      <c r="Z41" s="1038">
        <v>139</v>
      </c>
      <c r="AA41" s="1036">
        <v>15</v>
      </c>
      <c r="AB41" s="1036">
        <v>15</v>
      </c>
      <c r="AC41" s="1036">
        <v>141</v>
      </c>
      <c r="AD41" s="1038">
        <f t="shared" ref="AD41:AD51" si="37">SUM(AA41:AC41)</f>
        <v>171</v>
      </c>
      <c r="AE41" s="1036">
        <v>29</v>
      </c>
      <c r="AF41" s="1036">
        <v>13</v>
      </c>
      <c r="AG41" s="1036">
        <v>101</v>
      </c>
      <c r="AH41" s="1038">
        <f t="shared" ref="AH41:AH51" si="38">SUM(AE41:AG41)</f>
        <v>143</v>
      </c>
      <c r="AI41" s="1036">
        <v>15</v>
      </c>
      <c r="AJ41" s="1036">
        <v>16</v>
      </c>
      <c r="AK41" s="1036">
        <v>57</v>
      </c>
      <c r="AL41" s="1038">
        <f t="shared" ref="AL41:AL51" si="39">SUM(AI41:AK41)</f>
        <v>88</v>
      </c>
      <c r="AM41" s="1035">
        <v>27</v>
      </c>
      <c r="AN41" s="1036">
        <v>11</v>
      </c>
      <c r="AO41" s="1036">
        <v>131</v>
      </c>
      <c r="AP41" s="1038">
        <f>SUM(AM41:AO41)</f>
        <v>169</v>
      </c>
      <c r="AQ41" s="1035">
        <f>SUM('ASPI POSG plan'!AS53:AS59)</f>
        <v>67</v>
      </c>
      <c r="AR41" s="1036">
        <f>SUM('ASPI POSG plan'!AT53:AT59)</f>
        <v>14</v>
      </c>
      <c r="AS41" s="1036">
        <f>SUM('ASPI POSG plan'!AU53:AU59)</f>
        <v>122</v>
      </c>
      <c r="AT41" s="1038">
        <f>SUM(AQ41:AS41)</f>
        <v>203</v>
      </c>
      <c r="AU41" s="1035">
        <f>SUM('ASPI POSG plan'!AW53:AW59)</f>
        <v>56</v>
      </c>
      <c r="AV41" s="1036">
        <f>SUM('ASPI POSG plan'!AX53:AX59)</f>
        <v>15</v>
      </c>
      <c r="AW41" s="1036">
        <f>SUM('ASPI POSG plan'!AY53:AY59)</f>
        <v>121</v>
      </c>
      <c r="AX41" s="1038">
        <f>SUM(AU41:AW41)</f>
        <v>192</v>
      </c>
      <c r="AY41" s="1035">
        <f>SUM('ASPI POSG plan'!BA53:BA59)</f>
        <v>59</v>
      </c>
      <c r="AZ41" s="1036">
        <f>SUM('ASPI POSG plan'!BB53:BB59)</f>
        <v>32</v>
      </c>
      <c r="BA41" s="1036">
        <f>SUM('ASPI POSG plan'!BC53:BC59)</f>
        <v>115</v>
      </c>
      <c r="BB41" s="1038">
        <f>SUM(AY41:BA41)</f>
        <v>206</v>
      </c>
      <c r="BC41" s="1035">
        <f>SUM('ASPI POSG plan'!BE53:BE59)</f>
        <v>88</v>
      </c>
      <c r="BD41" s="1036">
        <f>SUM('ASPI POSG plan'!BF53:BF59)</f>
        <v>23</v>
      </c>
      <c r="BE41" s="1036">
        <f>SUM('ASPI POSG plan'!BG53:BG59)</f>
        <v>89</v>
      </c>
      <c r="BF41" s="1038">
        <f>SUM(BC41:BE41)</f>
        <v>200</v>
      </c>
      <c r="BG41" s="1035">
        <f>SUM('ASPI POSG plan'!BI53:BI59)</f>
        <v>64</v>
      </c>
      <c r="BH41" s="1036">
        <f>SUM('ASPI POSG plan'!BJ53:BJ59)</f>
        <v>18</v>
      </c>
      <c r="BI41" s="1036">
        <f>SUM('ASPI POSG plan'!BK53:BK59)</f>
        <v>109</v>
      </c>
      <c r="BJ41" s="1038">
        <f>SUM(BG41:BI41)</f>
        <v>191</v>
      </c>
    </row>
    <row r="42" spans="1:62" ht="15" x14ac:dyDescent="0.2">
      <c r="A42" s="6219"/>
      <c r="B42" s="1040" t="s">
        <v>617</v>
      </c>
      <c r="C42" s="1035"/>
      <c r="D42" s="1036"/>
      <c r="E42" s="1036"/>
      <c r="F42" s="1037"/>
      <c r="G42" s="1035">
        <v>0</v>
      </c>
      <c r="H42" s="1036">
        <v>0</v>
      </c>
      <c r="I42" s="1036">
        <v>0</v>
      </c>
      <c r="J42" s="1037">
        <v>0</v>
      </c>
      <c r="K42" s="1035">
        <v>0</v>
      </c>
      <c r="L42" s="1036">
        <v>0</v>
      </c>
      <c r="M42" s="1036">
        <v>0</v>
      </c>
      <c r="N42" s="1038">
        <v>0</v>
      </c>
      <c r="O42" s="1036"/>
      <c r="P42" s="1036"/>
      <c r="Q42" s="1036"/>
      <c r="R42" s="1038"/>
      <c r="S42" s="1036"/>
      <c r="T42" s="1036"/>
      <c r="U42" s="1036"/>
      <c r="V42" s="1038"/>
      <c r="W42" s="1036">
        <v>7</v>
      </c>
      <c r="X42" s="1036">
        <v>1</v>
      </c>
      <c r="Y42" s="1036">
        <v>12</v>
      </c>
      <c r="Z42" s="1038">
        <v>20</v>
      </c>
      <c r="AA42" s="1036"/>
      <c r="AB42" s="1036"/>
      <c r="AC42" s="1036"/>
      <c r="AD42" s="1038"/>
      <c r="AE42" s="1036">
        <v>13</v>
      </c>
      <c r="AF42" s="1036">
        <v>3</v>
      </c>
      <c r="AG42" s="1036">
        <v>15</v>
      </c>
      <c r="AH42" s="1038">
        <f t="shared" si="38"/>
        <v>31</v>
      </c>
      <c r="AI42" s="1036">
        <v>23</v>
      </c>
      <c r="AJ42" s="1036">
        <v>9</v>
      </c>
      <c r="AK42" s="1036">
        <v>87</v>
      </c>
      <c r="AL42" s="1038">
        <f t="shared" si="39"/>
        <v>119</v>
      </c>
      <c r="AM42" s="1035">
        <v>23</v>
      </c>
      <c r="AN42" s="1036">
        <v>3</v>
      </c>
      <c r="AO42" s="1036">
        <v>33</v>
      </c>
      <c r="AP42" s="1038">
        <f>SUM(AM42:AO42)</f>
        <v>59</v>
      </c>
      <c r="AQ42" s="1035">
        <f>SUM('ASPI POSG plan'!AS60:AS67)</f>
        <v>11</v>
      </c>
      <c r="AR42" s="1036">
        <f>SUM('ASPI POSG plan'!AT60:AT67)</f>
        <v>8</v>
      </c>
      <c r="AS42" s="1036">
        <f>SUM('ASPI POSG plan'!AU60:AU67)</f>
        <v>25</v>
      </c>
      <c r="AT42" s="1038">
        <f>SUM(AQ42:AS42)</f>
        <v>44</v>
      </c>
      <c r="AU42" s="1035">
        <f>SUM('ASPI POSG plan'!AW60:AW67)</f>
        <v>12</v>
      </c>
      <c r="AV42" s="1036">
        <f>SUM('ASPI POSG plan'!AX60:AX67)</f>
        <v>6</v>
      </c>
      <c r="AW42" s="1036">
        <f>SUM('ASPI POSG plan'!AY60:AY67)</f>
        <v>17</v>
      </c>
      <c r="AX42" s="1038">
        <f>SUM(AU42:AW42)</f>
        <v>35</v>
      </c>
      <c r="AY42" s="1035">
        <f>SUM('ASPI POSG plan'!BA60:BA67)</f>
        <v>20</v>
      </c>
      <c r="AZ42" s="1036">
        <f>SUM('ASPI POSG plan'!BB60:BB67)</f>
        <v>10</v>
      </c>
      <c r="BA42" s="1036">
        <f>SUM('ASPI POSG plan'!BC60:BC67)</f>
        <v>21</v>
      </c>
      <c r="BB42" s="1038">
        <f>SUM(AY42:BA42)</f>
        <v>51</v>
      </c>
      <c r="BC42" s="1035">
        <f>SUM('ASPI POSG plan'!BE60:BE67)</f>
        <v>23</v>
      </c>
      <c r="BD42" s="1036">
        <f>SUM('ASPI POSG plan'!BF60:BF67)</f>
        <v>9</v>
      </c>
      <c r="BE42" s="1036">
        <f>SUM('ASPI POSG plan'!BG60:BG67)</f>
        <v>12</v>
      </c>
      <c r="BF42" s="1038">
        <f>SUM(BC42:BE42)</f>
        <v>44</v>
      </c>
      <c r="BG42" s="1035">
        <f>SUM('ASPI POSG plan'!BI60:BI67)</f>
        <v>9</v>
      </c>
      <c r="BH42" s="1036">
        <f>SUM('ASPI POSG plan'!BJ60:BJ67)</f>
        <v>8</v>
      </c>
      <c r="BI42" s="1036">
        <f>SUM('ASPI POSG plan'!BK60:BK67)</f>
        <v>13</v>
      </c>
      <c r="BJ42" s="1038">
        <f>SUM(BG42:BI42)</f>
        <v>30</v>
      </c>
    </row>
    <row r="43" spans="1:62" ht="15" x14ac:dyDescent="0.2">
      <c r="A43" s="6220"/>
      <c r="B43" s="574" t="s">
        <v>13</v>
      </c>
      <c r="C43" s="569">
        <f>SUM(C40:C42)</f>
        <v>22</v>
      </c>
      <c r="D43" s="570">
        <f>SUM(D40:D42)</f>
        <v>30</v>
      </c>
      <c r="E43" s="570">
        <f>SUM(E40:E42)</f>
        <v>68</v>
      </c>
      <c r="F43" s="570">
        <f>SUM(F40:F42)</f>
        <v>120</v>
      </c>
      <c r="G43" s="569">
        <v>41</v>
      </c>
      <c r="H43" s="570">
        <v>32</v>
      </c>
      <c r="I43" s="570">
        <v>79</v>
      </c>
      <c r="J43" s="570">
        <v>152</v>
      </c>
      <c r="K43" s="569">
        <v>53</v>
      </c>
      <c r="L43" s="570">
        <v>39</v>
      </c>
      <c r="M43" s="570">
        <v>98</v>
      </c>
      <c r="N43" s="571">
        <v>190</v>
      </c>
      <c r="O43" s="570">
        <v>25</v>
      </c>
      <c r="P43" s="570">
        <v>37</v>
      </c>
      <c r="Q43" s="570">
        <v>111</v>
      </c>
      <c r="R43" s="571">
        <v>173</v>
      </c>
      <c r="S43" s="570">
        <v>30</v>
      </c>
      <c r="T43" s="570">
        <v>20</v>
      </c>
      <c r="U43" s="570">
        <v>80</v>
      </c>
      <c r="V43" s="571">
        <v>130</v>
      </c>
      <c r="W43" s="570">
        <v>33</v>
      </c>
      <c r="X43" s="570">
        <v>19</v>
      </c>
      <c r="Y43" s="570">
        <v>107</v>
      </c>
      <c r="Z43" s="571">
        <v>159</v>
      </c>
      <c r="AA43" s="570">
        <f>SUM(AA40:AA42)</f>
        <v>15</v>
      </c>
      <c r="AB43" s="570">
        <f>SUM(AB40:AB42)</f>
        <v>15</v>
      </c>
      <c r="AC43" s="570">
        <f>SUM(AC40:AC42)</f>
        <v>141</v>
      </c>
      <c r="AD43" s="571">
        <f t="shared" si="37"/>
        <v>171</v>
      </c>
      <c r="AE43" s="570">
        <f>SUM(AE40:AE42)</f>
        <v>42</v>
      </c>
      <c r="AF43" s="570">
        <f>SUM(AF40:AF42)</f>
        <v>16</v>
      </c>
      <c r="AG43" s="570">
        <f>SUM(AG40:AG42)</f>
        <v>116</v>
      </c>
      <c r="AH43" s="571">
        <f t="shared" si="38"/>
        <v>174</v>
      </c>
      <c r="AI43" s="570">
        <f>SUM(AI40:AI42)</f>
        <v>38</v>
      </c>
      <c r="AJ43" s="570">
        <f>SUM(AJ40:AJ42)</f>
        <v>25</v>
      </c>
      <c r="AK43" s="570">
        <f>SUM(AK40:AK42)</f>
        <v>144</v>
      </c>
      <c r="AL43" s="571">
        <f>SUM(AL41:AL42)</f>
        <v>207</v>
      </c>
      <c r="AM43" s="569">
        <f t="shared" ref="AM43:AT43" si="40">SUM(AM40:AM42)</f>
        <v>50</v>
      </c>
      <c r="AN43" s="570">
        <f t="shared" si="40"/>
        <v>14</v>
      </c>
      <c r="AO43" s="570">
        <f t="shared" si="40"/>
        <v>164</v>
      </c>
      <c r="AP43" s="571">
        <f t="shared" si="40"/>
        <v>228</v>
      </c>
      <c r="AQ43" s="569">
        <f t="shared" si="40"/>
        <v>78</v>
      </c>
      <c r="AR43" s="570">
        <f t="shared" si="40"/>
        <v>22</v>
      </c>
      <c r="AS43" s="570">
        <f t="shared" si="40"/>
        <v>147</v>
      </c>
      <c r="AT43" s="571">
        <f t="shared" si="40"/>
        <v>247</v>
      </c>
      <c r="AU43" s="569">
        <f t="shared" ref="AU43:BB43" si="41">SUM(AU40:AU42)</f>
        <v>68</v>
      </c>
      <c r="AV43" s="570">
        <f t="shared" si="41"/>
        <v>21</v>
      </c>
      <c r="AW43" s="570">
        <f t="shared" si="41"/>
        <v>138</v>
      </c>
      <c r="AX43" s="571">
        <f t="shared" si="41"/>
        <v>227</v>
      </c>
      <c r="AY43" s="569">
        <f t="shared" si="41"/>
        <v>79</v>
      </c>
      <c r="AZ43" s="570">
        <f t="shared" si="41"/>
        <v>42</v>
      </c>
      <c r="BA43" s="570">
        <f t="shared" si="41"/>
        <v>136</v>
      </c>
      <c r="BB43" s="571">
        <f t="shared" si="41"/>
        <v>257</v>
      </c>
      <c r="BC43" s="569">
        <f t="shared" ref="BC43:BJ43" si="42">SUM(BC40:BC42)</f>
        <v>111</v>
      </c>
      <c r="BD43" s="570">
        <f t="shared" si="42"/>
        <v>36</v>
      </c>
      <c r="BE43" s="570">
        <f t="shared" si="42"/>
        <v>101</v>
      </c>
      <c r="BF43" s="571">
        <f t="shared" si="42"/>
        <v>248</v>
      </c>
      <c r="BG43" s="569">
        <f t="shared" si="42"/>
        <v>73</v>
      </c>
      <c r="BH43" s="570">
        <f t="shared" si="42"/>
        <v>29</v>
      </c>
      <c r="BI43" s="570">
        <f t="shared" si="42"/>
        <v>122</v>
      </c>
      <c r="BJ43" s="571">
        <f t="shared" si="42"/>
        <v>224</v>
      </c>
    </row>
    <row r="44" spans="1:62" ht="15" x14ac:dyDescent="0.2">
      <c r="A44" s="6219" t="s">
        <v>6</v>
      </c>
      <c r="B44" s="1029" t="s">
        <v>615</v>
      </c>
      <c r="C44" s="1035">
        <f>SUM('ASPI POSG plan'!E69)</f>
        <v>0</v>
      </c>
      <c r="D44" s="1036"/>
      <c r="E44" s="1036">
        <f>SUM('ASPI POSG plan'!G69)</f>
        <v>186</v>
      </c>
      <c r="F44" s="1037">
        <f>SUM(C44:E44)</f>
        <v>186</v>
      </c>
      <c r="G44" s="1035">
        <v>0</v>
      </c>
      <c r="H44" s="1036">
        <v>0</v>
      </c>
      <c r="I44" s="1036">
        <v>206</v>
      </c>
      <c r="J44" s="1037">
        <v>206</v>
      </c>
      <c r="K44" s="1035">
        <v>0</v>
      </c>
      <c r="L44" s="1036">
        <v>0</v>
      </c>
      <c r="M44" s="1036">
        <v>59</v>
      </c>
      <c r="N44" s="1038">
        <v>59</v>
      </c>
      <c r="O44" s="1036">
        <v>155</v>
      </c>
      <c r="P44" s="1036"/>
      <c r="Q44" s="1036">
        <v>22</v>
      </c>
      <c r="R44" s="1038">
        <v>177</v>
      </c>
      <c r="S44" s="1036">
        <v>132</v>
      </c>
      <c r="T44" s="1036"/>
      <c r="U44" s="1036">
        <v>102</v>
      </c>
      <c r="V44" s="1038">
        <v>234</v>
      </c>
      <c r="W44" s="1036">
        <v>103</v>
      </c>
      <c r="X44" s="1036"/>
      <c r="Y44" s="1036"/>
      <c r="Z44" s="1038">
        <v>103</v>
      </c>
      <c r="AA44" s="1036"/>
      <c r="AB44" s="1036">
        <v>208</v>
      </c>
      <c r="AC44" s="1036">
        <v>134</v>
      </c>
      <c r="AD44" s="1038">
        <f t="shared" si="37"/>
        <v>342</v>
      </c>
      <c r="AE44" s="1036"/>
      <c r="AF44" s="1036"/>
      <c r="AG44" s="1036">
        <v>115</v>
      </c>
      <c r="AH44" s="1038">
        <f t="shared" si="38"/>
        <v>115</v>
      </c>
      <c r="AI44" s="1036"/>
      <c r="AJ44" s="1036"/>
      <c r="AK44" s="1036">
        <v>69</v>
      </c>
      <c r="AL44" s="1038">
        <f t="shared" si="39"/>
        <v>69</v>
      </c>
      <c r="AM44" s="1030"/>
      <c r="AN44" s="1031"/>
      <c r="AO44" s="1031">
        <f>SUM('ASPI POSG plan'!AQ69)</f>
        <v>111</v>
      </c>
      <c r="AP44" s="1048">
        <f>SUM(AM44:AO44)</f>
        <v>111</v>
      </c>
      <c r="AQ44" s="1030"/>
      <c r="AR44" s="1031"/>
      <c r="AS44" s="1031">
        <f>SUM('ASPI POSG plan'!AU69)</f>
        <v>0</v>
      </c>
      <c r="AT44" s="1048">
        <f>SUM(AQ44:AS44)</f>
        <v>0</v>
      </c>
      <c r="AU44" s="1030">
        <f>SUM('ASPI POSG plan'!AW69)</f>
        <v>0</v>
      </c>
      <c r="AV44" s="1031">
        <f>SUM('ASPI POSG plan'!AX69)</f>
        <v>0</v>
      </c>
      <c r="AW44" s="1031">
        <f>SUM('ASPI POSG plan'!AY69)</f>
        <v>115</v>
      </c>
      <c r="AX44" s="1048">
        <f>SUM(AU44:AW44)</f>
        <v>115</v>
      </c>
      <c r="AY44" s="1030">
        <f>SUM('ASPI POSG plan'!BA69)</f>
        <v>53</v>
      </c>
      <c r="AZ44" s="1031">
        <f>SUM('ASPI POSG plan'!BB69)</f>
        <v>1</v>
      </c>
      <c r="BA44" s="1031">
        <f>SUM('ASPI POSG plan'!BC69)</f>
        <v>38</v>
      </c>
      <c r="BB44" s="1048">
        <f>SUM(AY44:BA44)</f>
        <v>92</v>
      </c>
      <c r="BC44" s="1030">
        <f>SUM('ASPI POSG plan'!BE69)</f>
        <v>0</v>
      </c>
      <c r="BD44" s="1031">
        <f>SUM('ASPI POSG plan'!BF69)</f>
        <v>0</v>
      </c>
      <c r="BE44" s="1031">
        <f>SUM('ASPI POSG plan'!BG69)</f>
        <v>45</v>
      </c>
      <c r="BF44" s="1033">
        <f>SUM(BC44:BE44)</f>
        <v>45</v>
      </c>
      <c r="BG44" s="1030">
        <f>SUM('ASPI POSG plan'!BI69)</f>
        <v>0</v>
      </c>
      <c r="BH44" s="1031">
        <f>SUM('ASPI POSG plan'!BJ69)</f>
        <v>86</v>
      </c>
      <c r="BI44" s="1031">
        <f>SUM('ASPI POSG plan'!BK69)</f>
        <v>0</v>
      </c>
      <c r="BJ44" s="1033">
        <f>SUM(BG44:BI44)</f>
        <v>86</v>
      </c>
    </row>
    <row r="45" spans="1:62" ht="15" x14ac:dyDescent="0.2">
      <c r="A45" s="6219"/>
      <c r="B45" s="1034" t="s">
        <v>616</v>
      </c>
      <c r="C45" s="1035">
        <f>SUM('ASPI POSG plan'!E70,'ASPI POSG plan'!E71,'ASPI POSG plan'!E72,'ASPI POSG plan'!E73,'ASPI POSG plan'!E74)</f>
        <v>4</v>
      </c>
      <c r="D45" s="1036"/>
      <c r="E45" s="1036">
        <f>SUM('ASPI POSG plan'!G70,'ASPI POSG plan'!G71,'ASPI POSG plan'!G72,'ASPI POSG plan'!G73,'ASPI POSG plan'!G74)</f>
        <v>134</v>
      </c>
      <c r="F45" s="1037">
        <f>SUM(C45:E45)</f>
        <v>138</v>
      </c>
      <c r="G45" s="1035">
        <v>29</v>
      </c>
      <c r="H45" s="1036">
        <v>33</v>
      </c>
      <c r="I45" s="1036">
        <v>163</v>
      </c>
      <c r="J45" s="1037">
        <v>225</v>
      </c>
      <c r="K45" s="1035">
        <v>160</v>
      </c>
      <c r="L45" s="1036">
        <v>0</v>
      </c>
      <c r="M45" s="1036">
        <v>65</v>
      </c>
      <c r="N45" s="1038">
        <v>225</v>
      </c>
      <c r="O45" s="1036">
        <v>56</v>
      </c>
      <c r="P45" s="1036"/>
      <c r="Q45" s="1036">
        <v>223</v>
      </c>
      <c r="R45" s="1038">
        <v>279</v>
      </c>
      <c r="S45" s="1036">
        <v>147</v>
      </c>
      <c r="T45" s="1036"/>
      <c r="U45" s="1036">
        <v>132</v>
      </c>
      <c r="V45" s="1038">
        <v>279</v>
      </c>
      <c r="W45" s="1036"/>
      <c r="X45" s="1036"/>
      <c r="Y45" s="1036">
        <v>376</v>
      </c>
      <c r="Z45" s="1038">
        <v>376</v>
      </c>
      <c r="AA45" s="1036"/>
      <c r="AB45" s="1036"/>
      <c r="AC45" s="1036">
        <v>86</v>
      </c>
      <c r="AD45" s="1038">
        <f t="shared" si="37"/>
        <v>86</v>
      </c>
      <c r="AE45" s="1036"/>
      <c r="AF45" s="1036"/>
      <c r="AG45" s="1036">
        <v>306</v>
      </c>
      <c r="AH45" s="1038">
        <f t="shared" si="38"/>
        <v>306</v>
      </c>
      <c r="AI45" s="1036"/>
      <c r="AJ45" s="1036"/>
      <c r="AK45" s="1036">
        <v>83</v>
      </c>
      <c r="AL45" s="1038">
        <f t="shared" si="39"/>
        <v>83</v>
      </c>
      <c r="AM45" s="1035"/>
      <c r="AN45" s="1036"/>
      <c r="AO45" s="1036">
        <f>SUM('ASPI POSG plan'!AQ70,'ASPI POSG plan'!AQ71,'ASPI POSG plan'!AQ72,'ASPI POSG plan'!AQ73,'ASPI POSG plan'!AQ74)</f>
        <v>322</v>
      </c>
      <c r="AP45" s="1039">
        <f>SUM(AM45:AO45)</f>
        <v>322</v>
      </c>
      <c r="AQ45" s="1035"/>
      <c r="AR45" s="1036"/>
      <c r="AS45" s="1036">
        <f>SUM('ASPI POSG plan'!AU70,'ASPI POSG plan'!AU71,'ASPI POSG plan'!AU72,'ASPI POSG plan'!AU73,'ASPI POSG plan'!AU74)</f>
        <v>0</v>
      </c>
      <c r="AT45" s="1039">
        <f>SUM(AQ45:AS45)</f>
        <v>0</v>
      </c>
      <c r="AU45" s="1035">
        <f>SUM('ASPI POSG plan'!AW70:AW74)</f>
        <v>13</v>
      </c>
      <c r="AV45" s="1036">
        <f>SUM('ASPI POSG plan'!AX70:AX74)</f>
        <v>44</v>
      </c>
      <c r="AW45" s="1036">
        <f>SUM('ASPI POSG plan'!AY70:AY74)</f>
        <v>339</v>
      </c>
      <c r="AX45" s="1039">
        <f>SUM(AU45:AW45)</f>
        <v>396</v>
      </c>
      <c r="AY45" s="1035">
        <f>SUM('ASPI POSG plan'!BA70:BA74)</f>
        <v>10</v>
      </c>
      <c r="AZ45" s="1036">
        <f>SUM('ASPI POSG plan'!BB70:BB74)</f>
        <v>0</v>
      </c>
      <c r="BA45" s="1036">
        <f>SUM('ASPI POSG plan'!BC70:BC74)</f>
        <v>86</v>
      </c>
      <c r="BB45" s="1039">
        <f>SUM(AY45:BA45)</f>
        <v>96</v>
      </c>
      <c r="BC45" s="1035">
        <f>SUM('ASPI POSG plan'!BE70:BE74)</f>
        <v>11</v>
      </c>
      <c r="BD45" s="1036">
        <f>SUM('ASPI POSG plan'!BF70:BF74)</f>
        <v>0</v>
      </c>
      <c r="BE45" s="1036">
        <f>SUM('ASPI POSG plan'!BG70:BG74)</f>
        <v>109</v>
      </c>
      <c r="BF45" s="1038">
        <f>SUM(BC45:BE45)</f>
        <v>120</v>
      </c>
      <c r="BG45" s="1035">
        <f>SUM('ASPI POSG plan'!BI70:BI76)</f>
        <v>31</v>
      </c>
      <c r="BH45" s="1036">
        <f>SUM('ASPI POSG plan'!BJ70:BJ76)</f>
        <v>0</v>
      </c>
      <c r="BI45" s="1036">
        <f>SUM('ASPI POSG plan'!BK70:BK76)</f>
        <v>86</v>
      </c>
      <c r="BJ45" s="1038">
        <f>SUM(BG45:BI45)</f>
        <v>117</v>
      </c>
    </row>
    <row r="46" spans="1:62" ht="15" x14ac:dyDescent="0.2">
      <c r="A46" s="6219"/>
      <c r="B46" s="1040" t="s">
        <v>617</v>
      </c>
      <c r="C46" s="1035"/>
      <c r="D46" s="1036"/>
      <c r="E46" s="1036"/>
      <c r="F46" s="1037"/>
      <c r="G46" s="1035">
        <v>0</v>
      </c>
      <c r="H46" s="1036">
        <v>0</v>
      </c>
      <c r="I46" s="1036">
        <v>0</v>
      </c>
      <c r="J46" s="1037">
        <v>0</v>
      </c>
      <c r="K46" s="1035">
        <v>0</v>
      </c>
      <c r="L46" s="1036">
        <v>0</v>
      </c>
      <c r="M46" s="1036">
        <v>0</v>
      </c>
      <c r="N46" s="1038">
        <v>0</v>
      </c>
      <c r="O46" s="1036">
        <v>0</v>
      </c>
      <c r="P46" s="1036"/>
      <c r="Q46" s="1036">
        <v>0</v>
      </c>
      <c r="R46" s="1038">
        <v>0</v>
      </c>
      <c r="S46" s="1036">
        <v>0</v>
      </c>
      <c r="T46" s="1036"/>
      <c r="U46" s="1036">
        <v>0</v>
      </c>
      <c r="V46" s="1038">
        <v>0</v>
      </c>
      <c r="W46" s="1036"/>
      <c r="X46" s="1036"/>
      <c r="Y46" s="1036">
        <v>178</v>
      </c>
      <c r="Z46" s="1038">
        <v>178</v>
      </c>
      <c r="AA46" s="1036">
        <v>1</v>
      </c>
      <c r="AB46" s="1036">
        <v>52</v>
      </c>
      <c r="AC46" s="1036"/>
      <c r="AD46" s="1038">
        <f t="shared" si="37"/>
        <v>53</v>
      </c>
      <c r="AE46" s="1036"/>
      <c r="AF46" s="1036"/>
      <c r="AG46" s="1036">
        <v>196</v>
      </c>
      <c r="AH46" s="1038">
        <f t="shared" si="38"/>
        <v>196</v>
      </c>
      <c r="AI46" s="1036">
        <v>18</v>
      </c>
      <c r="AJ46" s="1036"/>
      <c r="AK46" s="1036">
        <v>93</v>
      </c>
      <c r="AL46" s="1038">
        <f t="shared" si="39"/>
        <v>111</v>
      </c>
      <c r="AM46" s="1035"/>
      <c r="AN46" s="1036"/>
      <c r="AO46" s="1036">
        <f>SUM('ASPI POSG plan'!AQ77,'ASPI POSG plan'!AQ78,'ASPI POSG plan'!AQ79,'ASPI POSG plan'!AQ80,'ASPI POSG plan'!AQ81)</f>
        <v>198</v>
      </c>
      <c r="AP46" s="1039">
        <f>SUM(AM46:AO46)</f>
        <v>198</v>
      </c>
      <c r="AQ46" s="1035">
        <f>SUM('ASPI POSG plan'!AS77:AS81)</f>
        <v>32</v>
      </c>
      <c r="AR46" s="1036">
        <f>SUM('ASPI POSG plan'!AT77:AT81)</f>
        <v>0</v>
      </c>
      <c r="AS46" s="1036">
        <f>SUM('ASPI POSG plan'!AU77:AU81)</f>
        <v>139</v>
      </c>
      <c r="AT46" s="1039">
        <f>SUM(AQ46:AS46)</f>
        <v>171</v>
      </c>
      <c r="AU46" s="1035">
        <f>SUM('ASPI POSG plan'!AW77:AW81)</f>
        <v>6</v>
      </c>
      <c r="AV46" s="1036">
        <f>SUM('ASPI POSG plan'!AX77:AX81)</f>
        <v>0</v>
      </c>
      <c r="AW46" s="1036">
        <f>SUM('ASPI POSG plan'!AY77:AY81)</f>
        <v>209</v>
      </c>
      <c r="AX46" s="1039">
        <f>SUM(AU46:AW46)</f>
        <v>215</v>
      </c>
      <c r="AY46" s="1035">
        <f>SUM('ASPI POSG plan'!BA77:BA81)</f>
        <v>15</v>
      </c>
      <c r="AZ46" s="1036">
        <f>SUM('ASPI POSG plan'!BB77:BB81)</f>
        <v>0</v>
      </c>
      <c r="BA46" s="1036">
        <f>SUM('ASPI POSG plan'!BC77:BC81)</f>
        <v>113</v>
      </c>
      <c r="BB46" s="1039">
        <f>SUM(AY46:BA46)</f>
        <v>128</v>
      </c>
      <c r="BC46" s="1035">
        <f>SUM('ASPI POSG plan'!BE77:BE81)</f>
        <v>14</v>
      </c>
      <c r="BD46" s="1036">
        <f>SUM('ASPI POSG plan'!BF77:BF81)</f>
        <v>0</v>
      </c>
      <c r="BE46" s="1036">
        <f>SUM('ASPI POSG plan'!BG77:BG81)</f>
        <v>138</v>
      </c>
      <c r="BF46" s="1038">
        <f>SUM(BC46:BE46)</f>
        <v>152</v>
      </c>
      <c r="BG46" s="1035">
        <f>SUM('ASPI POSG plan'!BI77:BI83)</f>
        <v>25</v>
      </c>
      <c r="BH46" s="1036">
        <f>SUM('ASPI POSG plan'!BJ77:BJ83)</f>
        <v>0</v>
      </c>
      <c r="BI46" s="1036">
        <f>SUM('ASPI POSG plan'!BK77:BK83)</f>
        <v>58</v>
      </c>
      <c r="BJ46" s="1038">
        <f>SUM(BG46:BI46)</f>
        <v>83</v>
      </c>
    </row>
    <row r="47" spans="1:62" ht="15" x14ac:dyDescent="0.2">
      <c r="A47" s="6220"/>
      <c r="B47" s="574" t="s">
        <v>14</v>
      </c>
      <c r="C47" s="569">
        <f>SUM(C44:C46)</f>
        <v>4</v>
      </c>
      <c r="D47" s="570"/>
      <c r="E47" s="570">
        <f>SUM(E44:E46)</f>
        <v>320</v>
      </c>
      <c r="F47" s="570">
        <f>SUM(F44:F46)</f>
        <v>324</v>
      </c>
      <c r="G47" s="569">
        <v>29</v>
      </c>
      <c r="H47" s="570">
        <v>33</v>
      </c>
      <c r="I47" s="570">
        <v>369</v>
      </c>
      <c r="J47" s="570">
        <v>431</v>
      </c>
      <c r="K47" s="569">
        <v>160</v>
      </c>
      <c r="L47" s="570">
        <v>0</v>
      </c>
      <c r="M47" s="570">
        <v>124</v>
      </c>
      <c r="N47" s="571">
        <v>284</v>
      </c>
      <c r="O47" s="570">
        <v>211</v>
      </c>
      <c r="P47" s="570"/>
      <c r="Q47" s="570">
        <v>245</v>
      </c>
      <c r="R47" s="571">
        <v>456</v>
      </c>
      <c r="S47" s="570">
        <v>279</v>
      </c>
      <c r="T47" s="570"/>
      <c r="U47" s="570">
        <v>234</v>
      </c>
      <c r="V47" s="571">
        <v>513</v>
      </c>
      <c r="W47" s="570">
        <v>103</v>
      </c>
      <c r="X47" s="570"/>
      <c r="Y47" s="570">
        <v>554</v>
      </c>
      <c r="Z47" s="571">
        <v>657</v>
      </c>
      <c r="AA47" s="570">
        <f>SUM(AA44:AA46)</f>
        <v>1</v>
      </c>
      <c r="AB47" s="570">
        <f>SUM(AB44:AB46)</f>
        <v>260</v>
      </c>
      <c r="AC47" s="570">
        <f>SUM(AC44:AC46)</f>
        <v>220</v>
      </c>
      <c r="AD47" s="571">
        <f t="shared" si="37"/>
        <v>481</v>
      </c>
      <c r="AE47" s="570"/>
      <c r="AF47" s="570"/>
      <c r="AG47" s="570">
        <f>SUM(AG44:AG46)</f>
        <v>617</v>
      </c>
      <c r="AH47" s="571">
        <f t="shared" si="38"/>
        <v>617</v>
      </c>
      <c r="AI47" s="570">
        <f>SUM(AI44:AI46)</f>
        <v>18</v>
      </c>
      <c r="AJ47" s="570"/>
      <c r="AK47" s="570">
        <f>SUM(AK44:AK46)</f>
        <v>245</v>
      </c>
      <c r="AL47" s="571">
        <f t="shared" si="39"/>
        <v>263</v>
      </c>
      <c r="AM47" s="569"/>
      <c r="AN47" s="570"/>
      <c r="AO47" s="570">
        <f>SUM(AO44:AO46)</f>
        <v>631</v>
      </c>
      <c r="AP47" s="571">
        <f>SUM(AP44:AP46)</f>
        <v>631</v>
      </c>
      <c r="AQ47" s="569"/>
      <c r="AR47" s="570"/>
      <c r="AS47" s="570">
        <f t="shared" ref="AS47:AX47" si="43">SUM(AS44:AS46)</f>
        <v>139</v>
      </c>
      <c r="AT47" s="571">
        <f t="shared" si="43"/>
        <v>171</v>
      </c>
      <c r="AU47" s="569">
        <f t="shared" si="43"/>
        <v>19</v>
      </c>
      <c r="AV47" s="570">
        <f t="shared" si="43"/>
        <v>44</v>
      </c>
      <c r="AW47" s="570">
        <f t="shared" si="43"/>
        <v>663</v>
      </c>
      <c r="AX47" s="571">
        <f t="shared" si="43"/>
        <v>726</v>
      </c>
      <c r="AY47" s="569">
        <f t="shared" ref="AY47:BF47" si="44">SUM(AY44:AY46)</f>
        <v>78</v>
      </c>
      <c r="AZ47" s="570">
        <f t="shared" si="44"/>
        <v>1</v>
      </c>
      <c r="BA47" s="570">
        <f t="shared" si="44"/>
        <v>237</v>
      </c>
      <c r="BB47" s="571">
        <f t="shared" si="44"/>
        <v>316</v>
      </c>
      <c r="BC47" s="569">
        <f t="shared" si="44"/>
        <v>25</v>
      </c>
      <c r="BD47" s="570">
        <f t="shared" si="44"/>
        <v>0</v>
      </c>
      <c r="BE47" s="570">
        <f t="shared" si="44"/>
        <v>292</v>
      </c>
      <c r="BF47" s="571">
        <f t="shared" si="44"/>
        <v>317</v>
      </c>
      <c r="BG47" s="569">
        <f t="shared" ref="BG47:BJ47" si="45">SUM(BG44:BG46)</f>
        <v>56</v>
      </c>
      <c r="BH47" s="570">
        <f t="shared" si="45"/>
        <v>86</v>
      </c>
      <c r="BI47" s="570">
        <f t="shared" si="45"/>
        <v>144</v>
      </c>
      <c r="BJ47" s="571">
        <f t="shared" si="45"/>
        <v>286</v>
      </c>
    </row>
    <row r="48" spans="1:62" ht="15" x14ac:dyDescent="0.2">
      <c r="A48" s="6219" t="s">
        <v>11</v>
      </c>
      <c r="B48" s="1029" t="s">
        <v>615</v>
      </c>
      <c r="C48" s="1035">
        <f>SUM('ASPI POSG plan'!E85,'ASPI POSG plan'!E86)</f>
        <v>1</v>
      </c>
      <c r="D48" s="1036">
        <f>SUM('ASPI POSG plan'!F85,'ASPI POSG plan'!F86)</f>
        <v>2</v>
      </c>
      <c r="E48" s="1036">
        <f>SUM('ASPI POSG plan'!G85,'ASPI POSG plan'!G86)</f>
        <v>23</v>
      </c>
      <c r="F48" s="1037">
        <f>SUM(C48:E48)</f>
        <v>26</v>
      </c>
      <c r="G48" s="1035">
        <v>2</v>
      </c>
      <c r="H48" s="1036">
        <v>3</v>
      </c>
      <c r="I48" s="1036">
        <v>26</v>
      </c>
      <c r="J48" s="1037">
        <v>31</v>
      </c>
      <c r="K48" s="1035">
        <v>2</v>
      </c>
      <c r="L48" s="1036">
        <v>6</v>
      </c>
      <c r="M48" s="1036">
        <v>19</v>
      </c>
      <c r="N48" s="1038">
        <v>27</v>
      </c>
      <c r="O48" s="1036">
        <v>13</v>
      </c>
      <c r="P48" s="1036">
        <v>7</v>
      </c>
      <c r="Q48" s="1036">
        <v>11</v>
      </c>
      <c r="R48" s="1038">
        <v>31</v>
      </c>
      <c r="S48" s="1036">
        <v>7</v>
      </c>
      <c r="T48" s="1036">
        <v>21</v>
      </c>
      <c r="U48" s="1036">
        <v>15</v>
      </c>
      <c r="V48" s="1038">
        <v>43</v>
      </c>
      <c r="W48" s="1036">
        <v>2</v>
      </c>
      <c r="X48" s="1036">
        <v>9</v>
      </c>
      <c r="Y48" s="1036">
        <v>31</v>
      </c>
      <c r="Z48" s="1038">
        <v>42</v>
      </c>
      <c r="AA48" s="1036">
        <v>3</v>
      </c>
      <c r="AB48" s="1036">
        <v>7</v>
      </c>
      <c r="AC48" s="1036">
        <v>18</v>
      </c>
      <c r="AD48" s="1038">
        <f t="shared" si="37"/>
        <v>28</v>
      </c>
      <c r="AE48" s="1036">
        <v>7</v>
      </c>
      <c r="AF48" s="1036">
        <v>11</v>
      </c>
      <c r="AG48" s="1036">
        <v>55</v>
      </c>
      <c r="AH48" s="1038">
        <f t="shared" si="38"/>
        <v>73</v>
      </c>
      <c r="AI48" s="1036">
        <v>12</v>
      </c>
      <c r="AJ48" s="1036">
        <v>6</v>
      </c>
      <c r="AK48" s="1036">
        <v>29</v>
      </c>
      <c r="AL48" s="1038">
        <f t="shared" si="39"/>
        <v>47</v>
      </c>
      <c r="AM48" s="1030">
        <f>SUM('ASPI POSG plan'!AO85,'ASPI POSG plan'!AO86)</f>
        <v>10</v>
      </c>
      <c r="AN48" s="1031">
        <f>SUM('ASPI POSG plan'!AP85,'ASPI POSG plan'!AP86)</f>
        <v>15</v>
      </c>
      <c r="AO48" s="1031">
        <f>SUM('ASPI POSG plan'!AQ85,'ASPI POSG plan'!AQ86)</f>
        <v>20</v>
      </c>
      <c r="AP48" s="1048">
        <f>SUM(AM48:AO48)</f>
        <v>45</v>
      </c>
      <c r="AQ48" s="1030">
        <f>SUM('ASPI POSG plan'!AS85,'ASPI POSG plan'!AS86)</f>
        <v>6</v>
      </c>
      <c r="AR48" s="1031">
        <f>SUM('ASPI POSG plan'!AT85,'ASPI POSG plan'!AT86)</f>
        <v>6</v>
      </c>
      <c r="AS48" s="1031">
        <f>SUM('ASPI POSG plan'!AU85,'ASPI POSG plan'!AU86)</f>
        <v>16</v>
      </c>
      <c r="AT48" s="1048">
        <f>SUM(AQ48:AS48)</f>
        <v>28</v>
      </c>
      <c r="AU48" s="1030">
        <f>SUM('ASPI POSG plan'!AW85,'ASPI POSG plan'!AW86)</f>
        <v>5</v>
      </c>
      <c r="AV48" s="1031">
        <f>SUM('ASPI POSG plan'!AX85,'ASPI POSG plan'!AX86)</f>
        <v>9</v>
      </c>
      <c r="AW48" s="1031">
        <f>SUM('ASPI POSG plan'!AY85,'ASPI POSG plan'!AY86)</f>
        <v>12</v>
      </c>
      <c r="AX48" s="1048">
        <f>SUM(AU48:AW48)</f>
        <v>26</v>
      </c>
      <c r="AY48" s="1030">
        <f>SUM('ASPI POSG plan'!BA85,'ASPI POSG plan'!BA86)</f>
        <v>9</v>
      </c>
      <c r="AZ48" s="1031">
        <f>SUM('ASPI POSG plan'!BB85,'ASPI POSG plan'!BB86)</f>
        <v>6</v>
      </c>
      <c r="BA48" s="1031">
        <f>SUM('ASPI POSG plan'!BC85,'ASPI POSG plan'!BC86)</f>
        <v>12</v>
      </c>
      <c r="BB48" s="1048">
        <f>SUM(AY48:BA48)</f>
        <v>27</v>
      </c>
      <c r="BC48" s="1030">
        <f>SUM('ASPI POSG plan'!BE85,'ASPI POSG plan'!BE86)</f>
        <v>6</v>
      </c>
      <c r="BD48" s="1031">
        <f>SUM('ASPI POSG plan'!BF85,'ASPI POSG plan'!BF86)</f>
        <v>3</v>
      </c>
      <c r="BE48" s="1031">
        <f>SUM('ASPI POSG plan'!BG85:BG87)</f>
        <v>15</v>
      </c>
      <c r="BF48" s="1048">
        <f>SUM(BC48:BE48)</f>
        <v>24</v>
      </c>
      <c r="BG48" s="1030">
        <f>SUM('ASPI POSG plan'!BI85,'ASPI POSG plan'!BI86)</f>
        <v>1</v>
      </c>
      <c r="BH48" s="1031">
        <f>SUM('ASPI POSG plan'!BJ85,'ASPI POSG plan'!BJ86)</f>
        <v>8</v>
      </c>
      <c r="BI48" s="1031">
        <f>SUM('ASPI POSG plan'!BK85:BK87)</f>
        <v>11</v>
      </c>
      <c r="BJ48" s="1048">
        <f>SUM(BG48:BI48)</f>
        <v>20</v>
      </c>
    </row>
    <row r="49" spans="1:62" ht="15" x14ac:dyDescent="0.2">
      <c r="A49" s="6219"/>
      <c r="B49" s="1034" t="s">
        <v>616</v>
      </c>
      <c r="C49" s="1035">
        <f>SUM('ASPI POSG plan'!E88,'ASPI POSG plan'!E89,'ASPI POSG plan'!E90,'ASPI POSG plan'!E93,'ASPI POSG plan'!E93,'ASPI POSG plan'!E91)</f>
        <v>36</v>
      </c>
      <c r="D49" s="1036">
        <f>SUM('ASPI POSG plan'!F88,'ASPI POSG plan'!F89,'ASPI POSG plan'!F90,'ASPI POSG plan'!F93,'ASPI POSG plan'!F93,'ASPI POSG plan'!F91)</f>
        <v>0</v>
      </c>
      <c r="E49" s="1036">
        <f>SUM('ASPI POSG plan'!G88,'ASPI POSG plan'!G89,'ASPI POSG plan'!G90,'ASPI POSG plan'!G93,'ASPI POSG plan'!G93,'ASPI POSG plan'!G91)</f>
        <v>64</v>
      </c>
      <c r="F49" s="1037">
        <f>SUM(C49:E49)</f>
        <v>100</v>
      </c>
      <c r="G49" s="1035">
        <v>27</v>
      </c>
      <c r="H49" s="1036">
        <v>0</v>
      </c>
      <c r="I49" s="1036">
        <v>62</v>
      </c>
      <c r="J49" s="1037">
        <v>89</v>
      </c>
      <c r="K49" s="1035">
        <v>43</v>
      </c>
      <c r="L49" s="1036">
        <v>0</v>
      </c>
      <c r="M49" s="1036">
        <v>80</v>
      </c>
      <c r="N49" s="1038">
        <v>123</v>
      </c>
      <c r="O49" s="1036">
        <v>15</v>
      </c>
      <c r="P49" s="1036"/>
      <c r="Q49" s="1036">
        <v>93</v>
      </c>
      <c r="R49" s="1038">
        <v>108</v>
      </c>
      <c r="S49" s="1036">
        <v>15</v>
      </c>
      <c r="T49" s="1036"/>
      <c r="U49" s="1036">
        <v>127</v>
      </c>
      <c r="V49" s="1038">
        <v>142</v>
      </c>
      <c r="W49" s="1036">
        <v>0</v>
      </c>
      <c r="X49" s="1036"/>
      <c r="Y49" s="1036">
        <v>124</v>
      </c>
      <c r="Z49" s="1038">
        <v>124</v>
      </c>
      <c r="AA49" s="1036"/>
      <c r="AB49" s="1036"/>
      <c r="AC49" s="1036">
        <v>120</v>
      </c>
      <c r="AD49" s="1038">
        <f t="shared" si="37"/>
        <v>120</v>
      </c>
      <c r="AE49" s="1036"/>
      <c r="AF49" s="1036"/>
      <c r="AG49" s="1036">
        <v>166</v>
      </c>
      <c r="AH49" s="1038">
        <f t="shared" si="38"/>
        <v>166</v>
      </c>
      <c r="AI49" s="1036"/>
      <c r="AJ49" s="1036"/>
      <c r="AK49" s="1036">
        <v>167</v>
      </c>
      <c r="AL49" s="1038">
        <f t="shared" si="39"/>
        <v>167</v>
      </c>
      <c r="AM49" s="1035">
        <f>SUM('ASPI POSG plan'!AO88,'ASPI POSG plan'!AO89,'ASPI POSG plan'!AO90,'ASPI POSG plan'!AO91)</f>
        <v>18</v>
      </c>
      <c r="AN49" s="1036">
        <f>SUM('ASPI POSG plan'!AP88,'ASPI POSG plan'!AP89,'ASPI POSG plan'!AP90,'ASPI POSG plan'!AP91)</f>
        <v>0</v>
      </c>
      <c r="AO49" s="1036">
        <f>SUM('ASPI POSG plan'!AQ88,'ASPI POSG plan'!AQ89,'ASPI POSG plan'!AQ90,'ASPI POSG plan'!AQ91)</f>
        <v>136</v>
      </c>
      <c r="AP49" s="1038">
        <f>SUM(AM49:AO49)</f>
        <v>154</v>
      </c>
      <c r="AQ49" s="1035">
        <f>SUM('ASPI POSG plan'!AS88,'ASPI POSG plan'!AS89,'ASPI POSG plan'!AS90,'ASPI POSG plan'!AS91)</f>
        <v>0</v>
      </c>
      <c r="AR49" s="1036">
        <f>SUM('ASPI POSG plan'!AT88,'ASPI POSG plan'!AT89,'ASPI POSG plan'!AT90,'ASPI POSG plan'!AT91)</f>
        <v>0</v>
      </c>
      <c r="AS49" s="1036">
        <f>SUM('ASPI POSG plan'!AU88,'ASPI POSG plan'!AU89,'ASPI POSG plan'!AU90,'ASPI POSG plan'!AU91)</f>
        <v>67</v>
      </c>
      <c r="AT49" s="1038">
        <f>SUM(AQ49:AS49)</f>
        <v>67</v>
      </c>
      <c r="AU49" s="1035">
        <f>SUM('ASPI POSG plan'!AW88,'ASPI POSG plan'!AW89,'ASPI POSG plan'!AW90,'ASPI POSG plan'!AW91)</f>
        <v>0</v>
      </c>
      <c r="AV49" s="1036">
        <f>SUM('ASPI POSG plan'!AX88,'ASPI POSG plan'!AX89,'ASPI POSG plan'!AX90,'ASPI POSG plan'!AX91)</f>
        <v>0</v>
      </c>
      <c r="AW49" s="1036">
        <f>SUM('ASPI POSG plan'!AY88,'ASPI POSG plan'!AY89,'ASPI POSG plan'!AY90,'ASPI POSG plan'!AY91)</f>
        <v>176</v>
      </c>
      <c r="AX49" s="1038">
        <f>SUM(AU49:AW49)</f>
        <v>176</v>
      </c>
      <c r="AY49" s="1035">
        <f>SUM('ASPI POSG plan'!BA88,'ASPI POSG plan'!BA89,'ASPI POSG plan'!BA90,'ASPI POSG plan'!BA91)</f>
        <v>0</v>
      </c>
      <c r="AZ49" s="1036">
        <f>SUM('ASPI POSG plan'!BB88,'ASPI POSG plan'!BB89,'ASPI POSG plan'!BB90,'ASPI POSG plan'!BB91)</f>
        <v>0</v>
      </c>
      <c r="BA49" s="1036">
        <f>SUM('ASPI POSG plan'!BC88,'ASPI POSG plan'!BC89,'ASPI POSG plan'!BC90,'ASPI POSG plan'!BC91)</f>
        <v>119</v>
      </c>
      <c r="BB49" s="1038">
        <f>SUM(AY49:BA49)</f>
        <v>119</v>
      </c>
      <c r="BC49" s="1035">
        <f>SUM('ASPI POSG plan'!BE88,'ASPI POSG plan'!BE89,'ASPI POSG plan'!BE90,'ASPI POSG plan'!BE91)</f>
        <v>0</v>
      </c>
      <c r="BD49" s="1036">
        <f>SUM('ASPI POSG plan'!BF88,'ASPI POSG plan'!BF89,'ASPI POSG plan'!BF90,'ASPI POSG plan'!BF91)</f>
        <v>0</v>
      </c>
      <c r="BE49" s="1036">
        <f>SUM('ASPI POSG plan'!BG88,'ASPI POSG plan'!BG89,'ASPI POSG plan'!BG90,'ASPI POSG plan'!BG91)</f>
        <v>168</v>
      </c>
      <c r="BF49" s="1038">
        <f>SUM(BC49:BE49)</f>
        <v>168</v>
      </c>
      <c r="BG49" s="1035">
        <f>SUM('ASPI POSG plan'!BI88,'ASPI POSG plan'!BI89,'ASPI POSG plan'!BI90,'ASPI POSG plan'!BI91)</f>
        <v>0</v>
      </c>
      <c r="BH49" s="1036">
        <f>SUM('ASPI POSG plan'!BJ88,'ASPI POSG plan'!BJ89,'ASPI POSG plan'!BJ90,'ASPI POSG plan'!BJ91)</f>
        <v>0</v>
      </c>
      <c r="BI49" s="1036">
        <f>SUM('ASPI POSG plan'!BK88,'ASPI POSG plan'!BK89,'ASPI POSG plan'!BK90,'ASPI POSG plan'!BK91)</f>
        <v>94</v>
      </c>
      <c r="BJ49" s="1038">
        <f>SUM(BG49:BI49)</f>
        <v>94</v>
      </c>
    </row>
    <row r="50" spans="1:62" ht="15" x14ac:dyDescent="0.2">
      <c r="A50" s="6219"/>
      <c r="B50" s="1040" t="s">
        <v>617</v>
      </c>
      <c r="C50" s="1035">
        <f>SUM('ASPI POSG plan'!E92,'ASPI POSG plan'!E93,'ASPI POSG plan'!E94)</f>
        <v>8</v>
      </c>
      <c r="D50" s="1036">
        <f>SUM('ASPI POSG plan'!F92,'ASPI POSG plan'!F93,'ASPI POSG plan'!F94)</f>
        <v>0</v>
      </c>
      <c r="E50" s="1036">
        <f>SUM('ASPI POSG plan'!G92,'ASPI POSG plan'!G93,'ASPI POSG plan'!G94)</f>
        <v>10</v>
      </c>
      <c r="F50" s="1037">
        <f>SUM(C50:E50)</f>
        <v>18</v>
      </c>
      <c r="G50" s="1035">
        <v>10</v>
      </c>
      <c r="H50" s="1036">
        <v>0</v>
      </c>
      <c r="I50" s="1036">
        <v>15</v>
      </c>
      <c r="J50" s="1037">
        <v>25</v>
      </c>
      <c r="K50" s="1035">
        <v>19</v>
      </c>
      <c r="L50" s="1036">
        <v>0</v>
      </c>
      <c r="M50" s="1036">
        <v>10</v>
      </c>
      <c r="N50" s="1038">
        <v>29</v>
      </c>
      <c r="O50" s="1036">
        <v>5</v>
      </c>
      <c r="P50" s="1036"/>
      <c r="Q50" s="1036">
        <v>8</v>
      </c>
      <c r="R50" s="1038">
        <v>13</v>
      </c>
      <c r="S50" s="1036">
        <v>4</v>
      </c>
      <c r="T50" s="1036"/>
      <c r="U50" s="1036">
        <v>19</v>
      </c>
      <c r="V50" s="1038">
        <v>23</v>
      </c>
      <c r="W50" s="1036">
        <v>17</v>
      </c>
      <c r="X50" s="1036"/>
      <c r="Y50" s="1036">
        <v>37</v>
      </c>
      <c r="Z50" s="1038">
        <v>54</v>
      </c>
      <c r="AA50" s="1036">
        <v>13</v>
      </c>
      <c r="AB50" s="1036"/>
      <c r="AC50" s="1036">
        <v>46</v>
      </c>
      <c r="AD50" s="1038">
        <f t="shared" si="37"/>
        <v>59</v>
      </c>
      <c r="AE50" s="1036">
        <v>43</v>
      </c>
      <c r="AF50" s="1036"/>
      <c r="AG50" s="1036">
        <v>44</v>
      </c>
      <c r="AH50" s="1038">
        <f t="shared" si="38"/>
        <v>87</v>
      </c>
      <c r="AI50" s="1036">
        <v>27</v>
      </c>
      <c r="AJ50" s="1036"/>
      <c r="AK50" s="1036">
        <v>50</v>
      </c>
      <c r="AL50" s="1038">
        <f t="shared" si="39"/>
        <v>77</v>
      </c>
      <c r="AM50" s="1035">
        <f>SUM('ASPI POSG plan'!AO92,'ASPI POSG plan'!AO93,'ASPI POSG plan'!AO94)</f>
        <v>39</v>
      </c>
      <c r="AN50" s="1036">
        <f>SUM('ASPI POSG plan'!AP92,'ASPI POSG plan'!AP93,'ASPI POSG plan'!AP94)</f>
        <v>0</v>
      </c>
      <c r="AO50" s="1036">
        <f>SUM('ASPI POSG plan'!AQ92,'ASPI POSG plan'!AQ93,'ASPI POSG plan'!AQ94)</f>
        <v>30</v>
      </c>
      <c r="AP50" s="1038">
        <f>SUM(AM50:AO50)</f>
        <v>69</v>
      </c>
      <c r="AQ50" s="1035">
        <f>SUM('ASPI POSG plan'!AS92,'ASPI POSG plan'!AS93,'ASPI POSG plan'!AS94)</f>
        <v>32</v>
      </c>
      <c r="AR50" s="1036">
        <f>SUM('ASPI POSG plan'!AT92,'ASPI POSG plan'!AT93,'ASPI POSG plan'!AT94)</f>
        <v>0</v>
      </c>
      <c r="AS50" s="1036">
        <f>SUM('ASPI POSG plan'!AU92,'ASPI POSG plan'!AU93,'ASPI POSG plan'!AU94)</f>
        <v>130</v>
      </c>
      <c r="AT50" s="1038">
        <f>SUM(AQ50:AS50)</f>
        <v>162</v>
      </c>
      <c r="AU50" s="1035">
        <f>SUM('ASPI POSG plan'!AW92,'ASPI POSG plan'!AW93,'ASPI POSG plan'!AW94)</f>
        <v>38</v>
      </c>
      <c r="AV50" s="1036">
        <f>SUM('ASPI POSG plan'!AX92,'ASPI POSG plan'!AX93,'ASPI POSG plan'!AX94)</f>
        <v>0</v>
      </c>
      <c r="AW50" s="1036">
        <f>SUM('ASPI POSG plan'!AY92,'ASPI POSG plan'!AY93,'ASPI POSG plan'!AY94)</f>
        <v>36</v>
      </c>
      <c r="AX50" s="1038">
        <f>SUM(AU50:AW50)</f>
        <v>74</v>
      </c>
      <c r="AY50" s="1035">
        <f>SUM('ASPI POSG plan'!BA92,'ASPI POSG plan'!BA93,'ASPI POSG plan'!BA94)</f>
        <v>24</v>
      </c>
      <c r="AZ50" s="1036">
        <f>SUM('ASPI POSG plan'!BB92,'ASPI POSG plan'!BB93,'ASPI POSG plan'!BB94)</f>
        <v>0</v>
      </c>
      <c r="BA50" s="1036">
        <f>SUM('ASPI POSG plan'!BC92,'ASPI POSG plan'!BC93,'ASPI POSG plan'!BC94)</f>
        <v>50</v>
      </c>
      <c r="BB50" s="1038">
        <f>SUM(AY50:BA50)</f>
        <v>74</v>
      </c>
      <c r="BC50" s="1035">
        <f>SUM('ASPI POSG plan'!BE92,'ASPI POSG plan'!BE93,'ASPI POSG plan'!BE94)</f>
        <v>45</v>
      </c>
      <c r="BD50" s="1036">
        <f>SUM('ASPI POSG plan'!BF92,'ASPI POSG plan'!BF93,'ASPI POSG plan'!BF94)</f>
        <v>0</v>
      </c>
      <c r="BE50" s="1036">
        <f>SUM('ASPI POSG plan'!BG92,'ASPI POSG plan'!BG93,'ASPI POSG plan'!BG94)</f>
        <v>59</v>
      </c>
      <c r="BF50" s="1038">
        <f>SUM(BC50:BE50)</f>
        <v>104</v>
      </c>
      <c r="BG50" s="1035">
        <f>SUM('ASPI POSG plan'!BI92,'ASPI POSG plan'!BI93,'ASPI POSG plan'!BI94)</f>
        <v>42</v>
      </c>
      <c r="BH50" s="1036">
        <f>SUM('ASPI POSG plan'!BJ92,'ASPI POSG plan'!BJ93,'ASPI POSG plan'!BJ94)</f>
        <v>0</v>
      </c>
      <c r="BI50" s="1036">
        <f>SUM('ASPI POSG plan'!BK92,'ASPI POSG plan'!BK93,'ASPI POSG plan'!BK94)</f>
        <v>39</v>
      </c>
      <c r="BJ50" s="1038">
        <f>SUM(BG50:BI50)</f>
        <v>81</v>
      </c>
    </row>
    <row r="51" spans="1:62" ht="15" x14ac:dyDescent="0.2">
      <c r="A51" s="6220"/>
      <c r="B51" s="574" t="s">
        <v>30</v>
      </c>
      <c r="C51" s="569">
        <f>SUM(C48:C50)</f>
        <v>45</v>
      </c>
      <c r="D51" s="570">
        <f>SUM(D48:D50)</f>
        <v>2</v>
      </c>
      <c r="E51" s="570">
        <f>SUM(E48:E50)</f>
        <v>97</v>
      </c>
      <c r="F51" s="570">
        <f>SUM(F48:F50)</f>
        <v>144</v>
      </c>
      <c r="G51" s="569">
        <v>39</v>
      </c>
      <c r="H51" s="570">
        <v>3</v>
      </c>
      <c r="I51" s="570">
        <v>103</v>
      </c>
      <c r="J51" s="570">
        <v>145</v>
      </c>
      <c r="K51" s="569">
        <v>64</v>
      </c>
      <c r="L51" s="570">
        <v>6</v>
      </c>
      <c r="M51" s="570">
        <v>109</v>
      </c>
      <c r="N51" s="571">
        <v>179</v>
      </c>
      <c r="O51" s="570">
        <v>33</v>
      </c>
      <c r="P51" s="570">
        <v>7</v>
      </c>
      <c r="Q51" s="570">
        <v>112</v>
      </c>
      <c r="R51" s="571">
        <v>152</v>
      </c>
      <c r="S51" s="570">
        <v>26</v>
      </c>
      <c r="T51" s="570">
        <v>21</v>
      </c>
      <c r="U51" s="570">
        <v>161</v>
      </c>
      <c r="V51" s="571">
        <v>208</v>
      </c>
      <c r="W51" s="570">
        <v>19</v>
      </c>
      <c r="X51" s="570">
        <v>9</v>
      </c>
      <c r="Y51" s="570">
        <v>192</v>
      </c>
      <c r="Z51" s="571">
        <v>220</v>
      </c>
      <c r="AA51" s="570">
        <f>SUM(AA48:AA50)</f>
        <v>16</v>
      </c>
      <c r="AB51" s="570">
        <f>SUM(AB48:AB50)</f>
        <v>7</v>
      </c>
      <c r="AC51" s="570">
        <f>SUM(AC48:AC50)</f>
        <v>184</v>
      </c>
      <c r="AD51" s="571">
        <f t="shared" si="37"/>
        <v>207</v>
      </c>
      <c r="AE51" s="570">
        <f>SUM(AE48:AE50)</f>
        <v>50</v>
      </c>
      <c r="AF51" s="570">
        <f>SUM(AF48:AF50)</f>
        <v>11</v>
      </c>
      <c r="AG51" s="570">
        <f>SUM(AG48:AG50)</f>
        <v>265</v>
      </c>
      <c r="AH51" s="571">
        <f t="shared" si="38"/>
        <v>326</v>
      </c>
      <c r="AI51" s="570">
        <f>SUM(AI48:AI50)</f>
        <v>39</v>
      </c>
      <c r="AJ51" s="570">
        <f>SUM(AJ48:AJ50)</f>
        <v>6</v>
      </c>
      <c r="AK51" s="570">
        <f>SUM(AK48:AK50)</f>
        <v>246</v>
      </c>
      <c r="AL51" s="571">
        <f t="shared" si="39"/>
        <v>291</v>
      </c>
      <c r="AM51" s="569">
        <f t="shared" ref="AM51:AT51" si="46">SUM(AM48:AM50)</f>
        <v>67</v>
      </c>
      <c r="AN51" s="570">
        <f t="shared" si="46"/>
        <v>15</v>
      </c>
      <c r="AO51" s="570">
        <f t="shared" si="46"/>
        <v>186</v>
      </c>
      <c r="AP51" s="571">
        <f t="shared" si="46"/>
        <v>268</v>
      </c>
      <c r="AQ51" s="569">
        <f t="shared" si="46"/>
        <v>38</v>
      </c>
      <c r="AR51" s="570">
        <f t="shared" si="46"/>
        <v>6</v>
      </c>
      <c r="AS51" s="570">
        <f t="shared" si="46"/>
        <v>213</v>
      </c>
      <c r="AT51" s="571">
        <f t="shared" si="46"/>
        <v>257</v>
      </c>
      <c r="AU51" s="569">
        <f t="shared" ref="AU51:BB51" si="47">SUM(AU48:AU50)</f>
        <v>43</v>
      </c>
      <c r="AV51" s="570">
        <f t="shared" si="47"/>
        <v>9</v>
      </c>
      <c r="AW51" s="570">
        <f t="shared" si="47"/>
        <v>224</v>
      </c>
      <c r="AX51" s="571">
        <f t="shared" si="47"/>
        <v>276</v>
      </c>
      <c r="AY51" s="569">
        <f t="shared" si="47"/>
        <v>33</v>
      </c>
      <c r="AZ51" s="570">
        <f t="shared" si="47"/>
        <v>6</v>
      </c>
      <c r="BA51" s="570">
        <f t="shared" si="47"/>
        <v>181</v>
      </c>
      <c r="BB51" s="571">
        <f t="shared" si="47"/>
        <v>220</v>
      </c>
      <c r="BC51" s="569">
        <f t="shared" ref="BC51:BJ51" si="48">SUM(BC48:BC50)</f>
        <v>51</v>
      </c>
      <c r="BD51" s="570">
        <f t="shared" si="48"/>
        <v>3</v>
      </c>
      <c r="BE51" s="570">
        <f t="shared" si="48"/>
        <v>242</v>
      </c>
      <c r="BF51" s="571">
        <f t="shared" si="48"/>
        <v>296</v>
      </c>
      <c r="BG51" s="569">
        <f t="shared" si="48"/>
        <v>43</v>
      </c>
      <c r="BH51" s="570">
        <f t="shared" si="48"/>
        <v>8</v>
      </c>
      <c r="BI51" s="570">
        <f t="shared" si="48"/>
        <v>144</v>
      </c>
      <c r="BJ51" s="571">
        <f t="shared" si="48"/>
        <v>195</v>
      </c>
    </row>
    <row r="52" spans="1:62" ht="15" customHeight="1" x14ac:dyDescent="0.2">
      <c r="A52" s="6221" t="s">
        <v>679</v>
      </c>
      <c r="B52" s="1029" t="s">
        <v>615</v>
      </c>
      <c r="C52" s="1035">
        <f>SUM(C40,C44,C48)</f>
        <v>1</v>
      </c>
      <c r="D52" s="1036">
        <f>SUM(D40,D44,D48)</f>
        <v>2</v>
      </c>
      <c r="E52" s="1036">
        <f>SUM(E40,E44,E48)</f>
        <v>209</v>
      </c>
      <c r="F52" s="1037">
        <f>SUM(C52:E52)</f>
        <v>212</v>
      </c>
      <c r="G52" s="1035">
        <v>2</v>
      </c>
      <c r="H52" s="1036">
        <v>3</v>
      </c>
      <c r="I52" s="1036">
        <v>232</v>
      </c>
      <c r="J52" s="1037">
        <v>237</v>
      </c>
      <c r="K52" s="1035">
        <v>2</v>
      </c>
      <c r="L52" s="1036">
        <v>6</v>
      </c>
      <c r="M52" s="1036">
        <v>78</v>
      </c>
      <c r="N52" s="1038">
        <v>86</v>
      </c>
      <c r="O52" s="1036">
        <v>168</v>
      </c>
      <c r="P52" s="1036">
        <v>7</v>
      </c>
      <c r="Q52" s="1036">
        <v>33</v>
      </c>
      <c r="R52" s="1038">
        <v>208</v>
      </c>
      <c r="S52" s="1036">
        <v>139</v>
      </c>
      <c r="T52" s="1036">
        <v>21</v>
      </c>
      <c r="U52" s="1036">
        <v>117</v>
      </c>
      <c r="V52" s="1038">
        <v>277</v>
      </c>
      <c r="W52" s="1036">
        <v>105</v>
      </c>
      <c r="X52" s="1036">
        <v>9</v>
      </c>
      <c r="Y52" s="1036">
        <v>31</v>
      </c>
      <c r="Z52" s="1039">
        <v>145</v>
      </c>
      <c r="AA52" s="1036">
        <f t="shared" ref="AA52:AL54" si="49">AA40+AA44+AA48</f>
        <v>3</v>
      </c>
      <c r="AB52" s="1036">
        <f t="shared" si="49"/>
        <v>215</v>
      </c>
      <c r="AC52" s="1036">
        <f t="shared" si="49"/>
        <v>152</v>
      </c>
      <c r="AD52" s="1038">
        <f t="shared" si="49"/>
        <v>370</v>
      </c>
      <c r="AE52" s="1036">
        <f t="shared" si="49"/>
        <v>7</v>
      </c>
      <c r="AF52" s="1036">
        <f t="shared" si="49"/>
        <v>11</v>
      </c>
      <c r="AG52" s="1036">
        <f t="shared" si="49"/>
        <v>170</v>
      </c>
      <c r="AH52" s="1038">
        <f t="shared" si="49"/>
        <v>188</v>
      </c>
      <c r="AI52" s="1036">
        <f t="shared" si="49"/>
        <v>12</v>
      </c>
      <c r="AJ52" s="1036">
        <f t="shared" si="49"/>
        <v>6</v>
      </c>
      <c r="AK52" s="1036">
        <f t="shared" si="49"/>
        <v>98</v>
      </c>
      <c r="AL52" s="1038">
        <f t="shared" si="49"/>
        <v>116</v>
      </c>
      <c r="AM52" s="1036">
        <f t="shared" ref="AM52:AT52" si="50">AM40+AM44+AM48</f>
        <v>10</v>
      </c>
      <c r="AN52" s="1036">
        <f t="shared" si="50"/>
        <v>15</v>
      </c>
      <c r="AO52" s="1036">
        <f t="shared" si="50"/>
        <v>131</v>
      </c>
      <c r="AP52" s="1038">
        <f t="shared" si="50"/>
        <v>156</v>
      </c>
      <c r="AQ52" s="1036">
        <f t="shared" si="50"/>
        <v>6</v>
      </c>
      <c r="AR52" s="1036">
        <f t="shared" si="50"/>
        <v>6</v>
      </c>
      <c r="AS52" s="1036">
        <f t="shared" si="50"/>
        <v>16</v>
      </c>
      <c r="AT52" s="1038">
        <f t="shared" si="50"/>
        <v>28</v>
      </c>
      <c r="AU52" s="1036">
        <f t="shared" ref="AU52:BB52" si="51">AU40+AU44+AU48</f>
        <v>5</v>
      </c>
      <c r="AV52" s="1036">
        <f t="shared" si="51"/>
        <v>9</v>
      </c>
      <c r="AW52" s="1036">
        <f t="shared" si="51"/>
        <v>127</v>
      </c>
      <c r="AX52" s="1038">
        <f t="shared" si="51"/>
        <v>141</v>
      </c>
      <c r="AY52" s="1036">
        <f t="shared" si="51"/>
        <v>62</v>
      </c>
      <c r="AZ52" s="1036">
        <f t="shared" si="51"/>
        <v>7</v>
      </c>
      <c r="BA52" s="1036">
        <f t="shared" si="51"/>
        <v>50</v>
      </c>
      <c r="BB52" s="1038">
        <f t="shared" si="51"/>
        <v>119</v>
      </c>
      <c r="BC52" s="1036">
        <f>BC40+BC44+BC48</f>
        <v>6</v>
      </c>
      <c r="BD52" s="1036">
        <f>BD40+BD44+BD48</f>
        <v>7</v>
      </c>
      <c r="BE52" s="1036">
        <f>BE40+BE44+BE48</f>
        <v>60</v>
      </c>
      <c r="BF52" s="1038">
        <f>SUM(BC52:BE52)</f>
        <v>73</v>
      </c>
      <c r="BG52" s="1036">
        <f>SUM(BG40,BG44,BG48)</f>
        <v>1</v>
      </c>
      <c r="BH52" s="1036">
        <f t="shared" ref="BH52:BI52" si="52">SUM(BH40,BH44,BH48)</f>
        <v>97</v>
      </c>
      <c r="BI52" s="1036">
        <f t="shared" si="52"/>
        <v>11</v>
      </c>
      <c r="BJ52" s="1038">
        <f>SUM(BG52:BI52)</f>
        <v>109</v>
      </c>
    </row>
    <row r="53" spans="1:62" ht="15" x14ac:dyDescent="0.2">
      <c r="A53" s="6221"/>
      <c r="B53" s="1034" t="s">
        <v>616</v>
      </c>
      <c r="C53" s="1035">
        <f t="shared" ref="C53:E54" si="53">SUM(C41,C45,C49)</f>
        <v>62</v>
      </c>
      <c r="D53" s="1036">
        <f t="shared" si="53"/>
        <v>30</v>
      </c>
      <c r="E53" s="1036">
        <f t="shared" si="53"/>
        <v>266</v>
      </c>
      <c r="F53" s="1037">
        <f>SUM(C53:E53)</f>
        <v>358</v>
      </c>
      <c r="G53" s="1035">
        <v>97</v>
      </c>
      <c r="H53" s="1036">
        <v>65</v>
      </c>
      <c r="I53" s="1036">
        <v>304</v>
      </c>
      <c r="J53" s="1037">
        <v>466</v>
      </c>
      <c r="K53" s="1035">
        <v>256</v>
      </c>
      <c r="L53" s="1036">
        <v>39</v>
      </c>
      <c r="M53" s="1036">
        <v>243</v>
      </c>
      <c r="N53" s="1038">
        <v>538</v>
      </c>
      <c r="O53" s="1036">
        <v>96</v>
      </c>
      <c r="P53" s="1036">
        <v>37</v>
      </c>
      <c r="Q53" s="1036">
        <v>427</v>
      </c>
      <c r="R53" s="1038">
        <v>560</v>
      </c>
      <c r="S53" s="1036">
        <v>192</v>
      </c>
      <c r="T53" s="1036">
        <v>20</v>
      </c>
      <c r="U53" s="1036">
        <v>339</v>
      </c>
      <c r="V53" s="1038">
        <v>551</v>
      </c>
      <c r="W53" s="1036">
        <v>26</v>
      </c>
      <c r="X53" s="1036">
        <v>18</v>
      </c>
      <c r="Y53" s="1036">
        <v>595</v>
      </c>
      <c r="Z53" s="1039">
        <v>639</v>
      </c>
      <c r="AA53" s="1036">
        <f t="shared" si="49"/>
        <v>15</v>
      </c>
      <c r="AB53" s="1036">
        <f t="shared" si="49"/>
        <v>15</v>
      </c>
      <c r="AC53" s="1036">
        <f t="shared" si="49"/>
        <v>347</v>
      </c>
      <c r="AD53" s="1038">
        <f t="shared" si="49"/>
        <v>377</v>
      </c>
      <c r="AE53" s="1036">
        <f>SUM(AE41,AE45,AE49)</f>
        <v>29</v>
      </c>
      <c r="AF53" s="1036">
        <f t="shared" si="49"/>
        <v>13</v>
      </c>
      <c r="AG53" s="1036">
        <f t="shared" si="49"/>
        <v>573</v>
      </c>
      <c r="AH53" s="1038">
        <f t="shared" si="49"/>
        <v>615</v>
      </c>
      <c r="AI53" s="1036">
        <f>SUM(AI41,AI45,AI49)</f>
        <v>15</v>
      </c>
      <c r="AJ53" s="1036">
        <f t="shared" si="49"/>
        <v>16</v>
      </c>
      <c r="AK53" s="1036">
        <f t="shared" si="49"/>
        <v>307</v>
      </c>
      <c r="AL53" s="1038">
        <f t="shared" si="49"/>
        <v>338</v>
      </c>
      <c r="AM53" s="1036">
        <f>SUM(AM41,AM45,AM49)</f>
        <v>45</v>
      </c>
      <c r="AN53" s="1036">
        <f t="shared" ref="AN53:AP54" si="54">AN41+AN45+AN49</f>
        <v>11</v>
      </c>
      <c r="AO53" s="1036">
        <f t="shared" si="54"/>
        <v>589</v>
      </c>
      <c r="AP53" s="1038">
        <f t="shared" si="54"/>
        <v>645</v>
      </c>
      <c r="AQ53" s="1036">
        <f>SUM(AQ41,AQ45,AQ49)</f>
        <v>67</v>
      </c>
      <c r="AR53" s="1036">
        <f t="shared" ref="AR53:AT54" si="55">AR41+AR45+AR49</f>
        <v>14</v>
      </c>
      <c r="AS53" s="1036">
        <f t="shared" si="55"/>
        <v>189</v>
      </c>
      <c r="AT53" s="1038">
        <f t="shared" si="55"/>
        <v>270</v>
      </c>
      <c r="AU53" s="1036">
        <f>SUM(AU41,AU45,AU49)</f>
        <v>69</v>
      </c>
      <c r="AV53" s="1036">
        <f t="shared" ref="AV53:AX54" si="56">AV41+AV45+AV49</f>
        <v>59</v>
      </c>
      <c r="AW53" s="1036">
        <f t="shared" si="56"/>
        <v>636</v>
      </c>
      <c r="AX53" s="1038">
        <f t="shared" si="56"/>
        <v>764</v>
      </c>
      <c r="AY53" s="1036">
        <f>SUM(AY41,AY45,AY49)</f>
        <v>69</v>
      </c>
      <c r="AZ53" s="1036">
        <f t="shared" ref="AZ53:BB54" si="57">AZ41+AZ45+AZ49</f>
        <v>32</v>
      </c>
      <c r="BA53" s="1036">
        <f t="shared" si="57"/>
        <v>320</v>
      </c>
      <c r="BB53" s="1038">
        <f t="shared" si="57"/>
        <v>421</v>
      </c>
      <c r="BC53" s="1036">
        <f>SUM(BC41,BC45,BC49)</f>
        <v>99</v>
      </c>
      <c r="BD53" s="1036">
        <f>BD41+BD45+BD49</f>
        <v>23</v>
      </c>
      <c r="BE53" s="1036">
        <f>BE41+BE45+BE49</f>
        <v>366</v>
      </c>
      <c r="BF53" s="1038">
        <f>SUM(BC53:BE53)</f>
        <v>488</v>
      </c>
      <c r="BG53" s="1036">
        <f t="shared" ref="BG53:BI53" si="58">SUM(BG41,BG45,BG49)</f>
        <v>95</v>
      </c>
      <c r="BH53" s="1036">
        <f t="shared" si="58"/>
        <v>18</v>
      </c>
      <c r="BI53" s="1036">
        <f t="shared" si="58"/>
        <v>289</v>
      </c>
      <c r="BJ53" s="1038">
        <f>SUM(BG53:BI53)</f>
        <v>402</v>
      </c>
    </row>
    <row r="54" spans="1:62" ht="15" x14ac:dyDescent="0.2">
      <c r="A54" s="6221"/>
      <c r="B54" s="1040" t="s">
        <v>617</v>
      </c>
      <c r="C54" s="1035">
        <f t="shared" si="53"/>
        <v>8</v>
      </c>
      <c r="D54" s="1036">
        <f t="shared" si="53"/>
        <v>0</v>
      </c>
      <c r="E54" s="1036">
        <f t="shared" si="53"/>
        <v>10</v>
      </c>
      <c r="F54" s="1037">
        <f>SUM(C54:E54)</f>
        <v>18</v>
      </c>
      <c r="G54" s="1035">
        <v>10</v>
      </c>
      <c r="H54" s="1036">
        <v>0</v>
      </c>
      <c r="I54" s="1036">
        <v>15</v>
      </c>
      <c r="J54" s="1037">
        <v>25</v>
      </c>
      <c r="K54" s="1035">
        <v>19</v>
      </c>
      <c r="L54" s="1036">
        <v>0</v>
      </c>
      <c r="M54" s="1036">
        <v>10</v>
      </c>
      <c r="N54" s="1038">
        <v>29</v>
      </c>
      <c r="O54" s="1036">
        <v>5</v>
      </c>
      <c r="P54" s="1036"/>
      <c r="Q54" s="1036">
        <v>8</v>
      </c>
      <c r="R54" s="1038">
        <v>13</v>
      </c>
      <c r="S54" s="1036">
        <v>4</v>
      </c>
      <c r="T54" s="1036"/>
      <c r="U54" s="1036">
        <v>19</v>
      </c>
      <c r="V54" s="1038">
        <v>23</v>
      </c>
      <c r="W54" s="1036">
        <v>24</v>
      </c>
      <c r="X54" s="1036">
        <v>1</v>
      </c>
      <c r="Y54" s="1036">
        <v>227</v>
      </c>
      <c r="Z54" s="1039">
        <v>252</v>
      </c>
      <c r="AA54" s="1036">
        <f t="shared" si="49"/>
        <v>14</v>
      </c>
      <c r="AB54" s="1036">
        <f t="shared" si="49"/>
        <v>52</v>
      </c>
      <c r="AC54" s="1036">
        <f t="shared" si="49"/>
        <v>46</v>
      </c>
      <c r="AD54" s="1038">
        <f t="shared" si="49"/>
        <v>112</v>
      </c>
      <c r="AE54" s="1036">
        <f>AE42+AE46+AE50</f>
        <v>56</v>
      </c>
      <c r="AF54" s="1036">
        <f t="shared" si="49"/>
        <v>3</v>
      </c>
      <c r="AG54" s="1036">
        <f t="shared" si="49"/>
        <v>255</v>
      </c>
      <c r="AH54" s="1038">
        <f t="shared" si="49"/>
        <v>314</v>
      </c>
      <c r="AI54" s="1036">
        <f>AI42+AI46+AI50</f>
        <v>68</v>
      </c>
      <c r="AJ54" s="1036">
        <f t="shared" si="49"/>
        <v>9</v>
      </c>
      <c r="AK54" s="1036">
        <f t="shared" si="49"/>
        <v>230</v>
      </c>
      <c r="AL54" s="1038">
        <f t="shared" si="49"/>
        <v>307</v>
      </c>
      <c r="AM54" s="1036">
        <f>AM42+AM46+AM50</f>
        <v>62</v>
      </c>
      <c r="AN54" s="1036">
        <f t="shared" si="54"/>
        <v>3</v>
      </c>
      <c r="AO54" s="1036">
        <f t="shared" si="54"/>
        <v>261</v>
      </c>
      <c r="AP54" s="1038">
        <f t="shared" si="54"/>
        <v>326</v>
      </c>
      <c r="AQ54" s="1036">
        <f>AQ42+AQ46+AQ50</f>
        <v>75</v>
      </c>
      <c r="AR54" s="1036">
        <f t="shared" si="55"/>
        <v>8</v>
      </c>
      <c r="AS54" s="1036">
        <f t="shared" si="55"/>
        <v>294</v>
      </c>
      <c r="AT54" s="1038">
        <f t="shared" si="55"/>
        <v>377</v>
      </c>
      <c r="AU54" s="1036">
        <f>AU42+AU46+AU50</f>
        <v>56</v>
      </c>
      <c r="AV54" s="1036">
        <f t="shared" si="56"/>
        <v>6</v>
      </c>
      <c r="AW54" s="1036">
        <f t="shared" si="56"/>
        <v>262</v>
      </c>
      <c r="AX54" s="1038">
        <f t="shared" si="56"/>
        <v>324</v>
      </c>
      <c r="AY54" s="1036">
        <f>AY42+AY46+AY50</f>
        <v>59</v>
      </c>
      <c r="AZ54" s="1036">
        <f t="shared" si="57"/>
        <v>10</v>
      </c>
      <c r="BA54" s="1036">
        <f t="shared" si="57"/>
        <v>184</v>
      </c>
      <c r="BB54" s="1038">
        <f t="shared" si="57"/>
        <v>253</v>
      </c>
      <c r="BC54" s="1036">
        <f>BC42+BC46+BC50</f>
        <v>82</v>
      </c>
      <c r="BD54" s="1036">
        <f>BD42+BD46+BD50</f>
        <v>9</v>
      </c>
      <c r="BE54" s="1036">
        <f>BE42+BE46+BE50</f>
        <v>209</v>
      </c>
      <c r="BF54" s="1038">
        <f>SUM(BC54:BE54)</f>
        <v>300</v>
      </c>
      <c r="BG54" s="1036">
        <f t="shared" ref="BG54:BI54" si="59">SUM(BG42,BG46,BG50)</f>
        <v>76</v>
      </c>
      <c r="BH54" s="1036">
        <f t="shared" si="59"/>
        <v>8</v>
      </c>
      <c r="BI54" s="1036">
        <f t="shared" si="59"/>
        <v>110</v>
      </c>
      <c r="BJ54" s="1038">
        <f>SUM(BG54:BI54)</f>
        <v>194</v>
      </c>
    </row>
    <row r="55" spans="1:62" ht="12.75" customHeight="1" x14ac:dyDescent="0.2">
      <c r="A55" s="6222"/>
      <c r="B55" s="2414" t="s">
        <v>12</v>
      </c>
      <c r="C55" s="2415">
        <f>SUM(C52:C54)</f>
        <v>71</v>
      </c>
      <c r="D55" s="2416">
        <f>SUM(D52:D54)</f>
        <v>32</v>
      </c>
      <c r="E55" s="2416">
        <f>SUM(E52:E54)</f>
        <v>485</v>
      </c>
      <c r="F55" s="2416">
        <f>SUM(F52:F54)</f>
        <v>588</v>
      </c>
      <c r="G55" s="2415">
        <v>109</v>
      </c>
      <c r="H55" s="2416">
        <v>68</v>
      </c>
      <c r="I55" s="2416">
        <v>551</v>
      </c>
      <c r="J55" s="2416">
        <v>728</v>
      </c>
      <c r="K55" s="2415">
        <v>277</v>
      </c>
      <c r="L55" s="2416">
        <v>45</v>
      </c>
      <c r="M55" s="2416">
        <v>331</v>
      </c>
      <c r="N55" s="2417">
        <v>653</v>
      </c>
      <c r="O55" s="2416">
        <v>269</v>
      </c>
      <c r="P55" s="2416">
        <v>44</v>
      </c>
      <c r="Q55" s="2416">
        <v>468</v>
      </c>
      <c r="R55" s="2417">
        <v>781</v>
      </c>
      <c r="S55" s="2416">
        <v>335</v>
      </c>
      <c r="T55" s="2416">
        <v>41</v>
      </c>
      <c r="U55" s="2416">
        <v>475</v>
      </c>
      <c r="V55" s="2417">
        <v>851</v>
      </c>
      <c r="W55" s="2416">
        <v>155</v>
      </c>
      <c r="X55" s="2416">
        <v>28</v>
      </c>
      <c r="Y55" s="2416">
        <v>853</v>
      </c>
      <c r="Z55" s="2417">
        <v>1036</v>
      </c>
      <c r="AA55" s="2416">
        <f t="shared" ref="AA55:AH55" si="60">SUM(AA52:AA54)</f>
        <v>32</v>
      </c>
      <c r="AB55" s="2416">
        <f t="shared" si="60"/>
        <v>282</v>
      </c>
      <c r="AC55" s="2416">
        <f t="shared" si="60"/>
        <v>545</v>
      </c>
      <c r="AD55" s="2417">
        <f t="shared" si="60"/>
        <v>859</v>
      </c>
      <c r="AE55" s="2416">
        <f t="shared" si="60"/>
        <v>92</v>
      </c>
      <c r="AF55" s="2416">
        <f t="shared" si="60"/>
        <v>27</v>
      </c>
      <c r="AG55" s="2416">
        <f t="shared" si="60"/>
        <v>998</v>
      </c>
      <c r="AH55" s="2417">
        <f t="shared" si="60"/>
        <v>1117</v>
      </c>
      <c r="AI55" s="2416">
        <f t="shared" ref="AI55:AP55" si="61">SUM(AI52:AI54)</f>
        <v>95</v>
      </c>
      <c r="AJ55" s="2416">
        <f t="shared" si="61"/>
        <v>31</v>
      </c>
      <c r="AK55" s="2416">
        <f t="shared" si="61"/>
        <v>635</v>
      </c>
      <c r="AL55" s="2417">
        <f t="shared" si="61"/>
        <v>761</v>
      </c>
      <c r="AM55" s="2416">
        <f t="shared" si="61"/>
        <v>117</v>
      </c>
      <c r="AN55" s="2416">
        <f t="shared" si="61"/>
        <v>29</v>
      </c>
      <c r="AO55" s="2416">
        <f t="shared" si="61"/>
        <v>981</v>
      </c>
      <c r="AP55" s="2417">
        <f t="shared" si="61"/>
        <v>1127</v>
      </c>
      <c r="AQ55" s="2416">
        <f t="shared" ref="AQ55:AX55" si="62">SUM(AQ52:AQ54)</f>
        <v>148</v>
      </c>
      <c r="AR55" s="2416">
        <f t="shared" si="62"/>
        <v>28</v>
      </c>
      <c r="AS55" s="2416">
        <f t="shared" si="62"/>
        <v>499</v>
      </c>
      <c r="AT55" s="2417">
        <f t="shared" si="62"/>
        <v>675</v>
      </c>
      <c r="AU55" s="2416">
        <f t="shared" si="62"/>
        <v>130</v>
      </c>
      <c r="AV55" s="2416">
        <f t="shared" si="62"/>
        <v>74</v>
      </c>
      <c r="AW55" s="2416">
        <f t="shared" si="62"/>
        <v>1025</v>
      </c>
      <c r="AX55" s="2417">
        <f t="shared" si="62"/>
        <v>1229</v>
      </c>
      <c r="AY55" s="2416">
        <f t="shared" ref="AY55:BF55" si="63">SUM(AY52:AY54)</f>
        <v>190</v>
      </c>
      <c r="AZ55" s="2416">
        <f t="shared" si="63"/>
        <v>49</v>
      </c>
      <c r="BA55" s="2416">
        <f t="shared" si="63"/>
        <v>554</v>
      </c>
      <c r="BB55" s="2417">
        <f t="shared" si="63"/>
        <v>793</v>
      </c>
      <c r="BC55" s="2416">
        <f t="shared" si="63"/>
        <v>187</v>
      </c>
      <c r="BD55" s="2416">
        <f t="shared" si="63"/>
        <v>39</v>
      </c>
      <c r="BE55" s="2416">
        <f t="shared" si="63"/>
        <v>635</v>
      </c>
      <c r="BF55" s="2417">
        <f t="shared" si="63"/>
        <v>861</v>
      </c>
      <c r="BG55" s="2416">
        <f t="shared" ref="BG55:BJ55" si="64">SUM(BG52:BG54)</f>
        <v>172</v>
      </c>
      <c r="BH55" s="2416">
        <f t="shared" si="64"/>
        <v>123</v>
      </c>
      <c r="BI55" s="2416">
        <f t="shared" si="64"/>
        <v>410</v>
      </c>
      <c r="BJ55" s="2417">
        <f t="shared" si="64"/>
        <v>705</v>
      </c>
    </row>
    <row r="56" spans="1:62" ht="12.75" customHeight="1" x14ac:dyDescent="0.2">
      <c r="A56" s="904"/>
      <c r="B56" s="904"/>
      <c r="C56" s="377"/>
      <c r="D56" s="377"/>
      <c r="E56" s="377"/>
      <c r="F56" s="377"/>
      <c r="G56" s="377"/>
      <c r="H56" s="377"/>
      <c r="I56" s="377"/>
      <c r="J56" s="377"/>
      <c r="K56" s="377"/>
      <c r="L56" s="377"/>
      <c r="M56" s="377"/>
      <c r="N56" s="377"/>
      <c r="O56" s="377"/>
      <c r="P56" s="377"/>
      <c r="Q56" s="377"/>
      <c r="R56" s="377"/>
      <c r="S56" s="377"/>
      <c r="T56" s="377"/>
      <c r="U56" s="377"/>
      <c r="V56" s="377"/>
      <c r="W56" s="377"/>
      <c r="X56" s="377"/>
      <c r="Y56" s="377"/>
      <c r="Z56" s="377"/>
      <c r="AA56" s="377"/>
      <c r="AB56" s="377"/>
      <c r="AC56" s="377"/>
      <c r="AD56" s="377"/>
      <c r="AE56" s="377"/>
      <c r="AF56" s="377"/>
      <c r="AG56" s="377"/>
      <c r="AH56" s="377"/>
      <c r="AI56" s="377"/>
      <c r="AJ56" s="377"/>
      <c r="AK56" s="377"/>
      <c r="AL56" s="377"/>
      <c r="AM56" s="377"/>
      <c r="AN56" s="377"/>
      <c r="AO56" s="377"/>
      <c r="AP56" s="377"/>
      <c r="AQ56" s="377"/>
      <c r="AR56" s="377"/>
      <c r="AS56" s="377"/>
      <c r="AT56" s="377"/>
      <c r="AU56" s="377"/>
      <c r="AV56" s="377"/>
      <c r="AW56" s="377"/>
      <c r="AX56" s="377"/>
      <c r="AY56" s="2928"/>
      <c r="AZ56" s="2928"/>
      <c r="BA56" s="2928"/>
      <c r="BB56" s="2928"/>
      <c r="BC56" s="2928"/>
      <c r="BD56" s="2928"/>
      <c r="BE56" s="2928"/>
      <c r="BF56" s="2928"/>
      <c r="BG56" s="2928"/>
      <c r="BH56" s="2928"/>
      <c r="BI56" s="2928"/>
      <c r="BJ56" s="2928"/>
    </row>
    <row r="57" spans="1:62" ht="15" x14ac:dyDescent="0.2">
      <c r="A57" s="6223" t="s">
        <v>6</v>
      </c>
      <c r="B57" s="1029" t="s">
        <v>615</v>
      </c>
      <c r="C57" s="1030"/>
      <c r="D57" s="1031"/>
      <c r="E57" s="1031"/>
      <c r="F57" s="1032"/>
      <c r="G57" s="1030">
        <v>0</v>
      </c>
      <c r="H57" s="1031">
        <v>0</v>
      </c>
      <c r="I57" s="1031">
        <v>0</v>
      </c>
      <c r="J57" s="1032">
        <v>0</v>
      </c>
      <c r="K57" s="1030">
        <v>0</v>
      </c>
      <c r="L57" s="1031">
        <v>0</v>
      </c>
      <c r="M57" s="1031">
        <v>70</v>
      </c>
      <c r="N57" s="1033">
        <v>70</v>
      </c>
      <c r="O57" s="1031">
        <v>0</v>
      </c>
      <c r="P57" s="1031"/>
      <c r="Q57" s="1031">
        <v>95</v>
      </c>
      <c r="R57" s="1033">
        <v>95</v>
      </c>
      <c r="S57" s="1031"/>
      <c r="T57" s="1031"/>
      <c r="U57" s="1031"/>
      <c r="V57" s="1033"/>
      <c r="W57" s="1031"/>
      <c r="X57" s="1031"/>
      <c r="Y57" s="1031">
        <v>118</v>
      </c>
      <c r="Z57" s="1033">
        <v>118</v>
      </c>
      <c r="AA57" s="1031"/>
      <c r="AB57" s="1031"/>
      <c r="AC57" s="1031"/>
      <c r="AD57" s="1033">
        <f t="shared" ref="AD57:AD68" si="65">SUM(AA57:AC57)</f>
        <v>0</v>
      </c>
      <c r="AE57" s="1031"/>
      <c r="AF57" s="1031"/>
      <c r="AG57" s="1031"/>
      <c r="AH57" s="1033"/>
      <c r="AI57" s="1031"/>
      <c r="AJ57" s="1031"/>
      <c r="AK57" s="1031"/>
      <c r="AL57" s="1033"/>
      <c r="AM57" s="1031">
        <f>SUM('ASPI POSG plan'!AO97,'ASPI POSG plan'!AO98)</f>
        <v>0</v>
      </c>
      <c r="AN57" s="1031">
        <f>SUM('ASPI POSG plan'!AP97,'ASPI POSG plan'!AP98)</f>
        <v>0</v>
      </c>
      <c r="AO57" s="1031">
        <f>SUM('ASPI POSG plan'!AQ97,'ASPI POSG plan'!AQ98)</f>
        <v>222</v>
      </c>
      <c r="AP57" s="1033">
        <f>SUM(AM57:AO57)</f>
        <v>222</v>
      </c>
      <c r="AQ57" s="1031">
        <f>SUM('ASPI POSG plan'!AS97:AS98)</f>
        <v>0</v>
      </c>
      <c r="AR57" s="1031">
        <f>SUM('ASPI POSG plan'!AT97:AT98)</f>
        <v>0</v>
      </c>
      <c r="AS57" s="1031">
        <f>SUM('ASPI POSG plan'!AU97:AU98)</f>
        <v>117</v>
      </c>
      <c r="AT57" s="1033">
        <f t="shared" ref="AT57:AT64" si="66">SUM(AQ57:AS57)</f>
        <v>117</v>
      </c>
      <c r="AU57" s="1031">
        <f>SUM('ASPI POSG plan'!AW97:AW98)</f>
        <v>0</v>
      </c>
      <c r="AV57" s="1031">
        <f>SUM('ASPI POSG plan'!AX97:AX98)</f>
        <v>0</v>
      </c>
      <c r="AW57" s="1031">
        <f>SUM('ASPI POSG plan'!AY97:AY98)</f>
        <v>0</v>
      </c>
      <c r="AX57" s="1033">
        <f t="shared" ref="AX57:AX64" si="67">SUM(AU57:AW57)</f>
        <v>0</v>
      </c>
      <c r="AY57" s="1031">
        <f>SUM('ASPI POSG plan'!BA97:BA98)</f>
        <v>0</v>
      </c>
      <c r="AZ57" s="1031">
        <f>SUM('ASPI POSG plan'!BB97:BB98)</f>
        <v>0</v>
      </c>
      <c r="BA57" s="1031">
        <f>SUM('ASPI POSG plan'!BC97:BC98)</f>
        <v>0</v>
      </c>
      <c r="BB57" s="1033">
        <f t="shared" ref="BB57:BB64" si="68">SUM(AY57:BA57)</f>
        <v>0</v>
      </c>
      <c r="BC57" s="1031">
        <f>SUM('ASPI POSG plan'!BE97:BE98)</f>
        <v>0</v>
      </c>
      <c r="BD57" s="1031">
        <f>SUM('ASPI POSG plan'!BF97:BF98)</f>
        <v>0</v>
      </c>
      <c r="BE57" s="1031">
        <f>SUM('ASPI POSG plan'!BG97:BG98)</f>
        <v>0</v>
      </c>
      <c r="BF57" s="1033">
        <f t="shared" ref="BF57:BF64" si="69">SUM(BC57:BE57)</f>
        <v>0</v>
      </c>
      <c r="BG57" s="1030">
        <f>SUM('ASPI POSG plan'!BI97:BI98)</f>
        <v>0</v>
      </c>
      <c r="BH57" s="1031">
        <f>SUM('ASPI POSG plan'!BJ97:BJ98)</f>
        <v>0</v>
      </c>
      <c r="BI57" s="1031">
        <f>SUM('ASPI POSG plan'!BK97:BK98)</f>
        <v>30</v>
      </c>
      <c r="BJ57" s="1033">
        <f t="shared" ref="BJ57:BJ64" si="70">SUM(BG57:BI57)</f>
        <v>30</v>
      </c>
    </row>
    <row r="58" spans="1:62" ht="15" x14ac:dyDescent="0.2">
      <c r="A58" s="6224"/>
      <c r="B58" s="1034" t="s">
        <v>616</v>
      </c>
      <c r="C58" s="1035"/>
      <c r="D58" s="1036">
        <f>SUM('ASPI POSG plan'!F99,'ASPI POSG plan'!F100,'ASPI POSG plan'!F101,'ASPI POSG plan'!F102,'ASPI POSG plan'!F103,'ASPI POSG plan'!F104,'ASPI POSG plan'!F105,'ASPI POSG plan'!F106,'ASPI POSG plan'!F107)</f>
        <v>48</v>
      </c>
      <c r="E58" s="1036">
        <f>SUM('ASPI POSG plan'!G99,'ASPI POSG plan'!G100,'ASPI POSG plan'!G101,'ASPI POSG plan'!G102,'ASPI POSG plan'!G103,'ASPI POSG plan'!G104,'ASPI POSG plan'!G105,'ASPI POSG plan'!G106,'ASPI POSG plan'!G107)</f>
        <v>76</v>
      </c>
      <c r="F58" s="1037">
        <f>SUM(C58:E58)</f>
        <v>124</v>
      </c>
      <c r="G58" s="1035">
        <v>20</v>
      </c>
      <c r="H58" s="1036">
        <v>0</v>
      </c>
      <c r="I58" s="1036">
        <v>454</v>
      </c>
      <c r="J58" s="1037">
        <v>474</v>
      </c>
      <c r="K58" s="1035">
        <v>5</v>
      </c>
      <c r="L58" s="1036">
        <v>0</v>
      </c>
      <c r="M58" s="1036">
        <v>0</v>
      </c>
      <c r="N58" s="1038">
        <v>5</v>
      </c>
      <c r="O58" s="1036">
        <v>13</v>
      </c>
      <c r="P58" s="1036"/>
      <c r="Q58" s="1036">
        <v>264</v>
      </c>
      <c r="R58" s="1038">
        <v>277</v>
      </c>
      <c r="S58" s="1036"/>
      <c r="T58" s="1036"/>
      <c r="U58" s="1036">
        <v>108</v>
      </c>
      <c r="V58" s="1038">
        <v>108</v>
      </c>
      <c r="W58" s="1036">
        <v>39</v>
      </c>
      <c r="X58" s="1036"/>
      <c r="Y58" s="1036">
        <v>291</v>
      </c>
      <c r="Z58" s="1038">
        <v>330</v>
      </c>
      <c r="AA58" s="1036">
        <v>28</v>
      </c>
      <c r="AB58" s="1036"/>
      <c r="AC58" s="1036">
        <v>83</v>
      </c>
      <c r="AD58" s="1038">
        <f t="shared" si="65"/>
        <v>111</v>
      </c>
      <c r="AE58" s="1036"/>
      <c r="AF58" s="1036"/>
      <c r="AG58" s="1036">
        <v>585</v>
      </c>
      <c r="AH58" s="1038">
        <f t="shared" ref="AH58:AH68" si="71">SUM(AE58:AG58)</f>
        <v>585</v>
      </c>
      <c r="AI58" s="1036">
        <v>32</v>
      </c>
      <c r="AJ58" s="1036"/>
      <c r="AK58" s="1036">
        <v>95</v>
      </c>
      <c r="AL58" s="1038">
        <f>SUM(AI58:AK58)</f>
        <v>127</v>
      </c>
      <c r="AM58" s="1036">
        <f>SUM('ASPI POSG plan'!AO99,'ASPI POSG plan'!AO100,'ASPI POSG plan'!AO101,'ASPI POSG plan'!AO102,'ASPI POSG plan'!AO103,'ASPI POSG plan'!AO104,'ASPI POSG plan'!AO105,'ASPI POSG plan'!AO106,'ASPI POSG plan'!AO107)</f>
        <v>76</v>
      </c>
      <c r="AN58" s="1036">
        <f>SUM('ASPI POSG plan'!AP99,'ASPI POSG plan'!AP100,'ASPI POSG plan'!AP101,'ASPI POSG plan'!AP102,'ASPI POSG plan'!AP103,'ASPI POSG plan'!AP104,'ASPI POSG plan'!AP105,'ASPI POSG plan'!AP106,'ASPI POSG plan'!AP107)</f>
        <v>0</v>
      </c>
      <c r="AO58" s="1036">
        <f>SUM('ASPI POSG plan'!AQ99,'ASPI POSG plan'!AQ100,'ASPI POSG plan'!AQ101,'ASPI POSG plan'!AQ102,'ASPI POSG plan'!AQ103,'ASPI POSG plan'!AQ104,'ASPI POSG plan'!AQ105,'ASPI POSG plan'!AQ106,'ASPI POSG plan'!AQ107)</f>
        <v>626</v>
      </c>
      <c r="AP58" s="1038">
        <f>SUM(AM58:AO58)</f>
        <v>702</v>
      </c>
      <c r="AQ58" s="1036">
        <f>SUM('ASPI POSG plan'!AS99,'ASPI POSG plan'!AS100,'ASPI POSG plan'!AS101,'ASPI POSG plan'!AS102,'ASPI POSG plan'!AS103,'ASPI POSG plan'!AS104,'ASPI POSG plan'!AS105,'ASPI POSG plan'!AS106,'ASPI POSG plan'!AS107)</f>
        <v>82</v>
      </c>
      <c r="AR58" s="1036">
        <f>SUM('ASPI POSG plan'!AT99,'ASPI POSG plan'!AT100,'ASPI POSG plan'!AT101,'ASPI POSG plan'!AT102,'ASPI POSG plan'!AT103,'ASPI POSG plan'!AT104,'ASPI POSG plan'!AT105,'ASPI POSG plan'!AT106,'ASPI POSG plan'!AT107)</f>
        <v>0</v>
      </c>
      <c r="AS58" s="1036">
        <f>SUM('ASPI POSG plan'!AU99,'ASPI POSG plan'!AU100,'ASPI POSG plan'!AU101,'ASPI POSG plan'!AU102,'ASPI POSG plan'!AU103,'ASPI POSG plan'!AU104,'ASPI POSG plan'!AU105,'ASPI POSG plan'!AU106,'ASPI POSG plan'!AU107)</f>
        <v>0</v>
      </c>
      <c r="AT58" s="1038">
        <f t="shared" si="66"/>
        <v>82</v>
      </c>
      <c r="AU58" s="1036">
        <f>SUM('ASPI POSG plan'!AW99,'ASPI POSG plan'!AW100,'ASPI POSG plan'!AW101,'ASPI POSG plan'!AW102,'ASPI POSG plan'!AW103,'ASPI POSG plan'!AW104,'ASPI POSG plan'!AW105,'ASPI POSG plan'!AW106,'ASPI POSG plan'!AW107)</f>
        <v>45</v>
      </c>
      <c r="AV58" s="1036">
        <f>SUM('ASPI POSG plan'!AX99,'ASPI POSG plan'!AX100,'ASPI POSG plan'!AX101,'ASPI POSG plan'!AX102,'ASPI POSG plan'!AX103,'ASPI POSG plan'!AX104,'ASPI POSG plan'!AX105,'ASPI POSG plan'!AX106,'ASPI POSG plan'!AX107)</f>
        <v>0</v>
      </c>
      <c r="AW58" s="1036">
        <f>SUM('ASPI POSG plan'!AY99,'ASPI POSG plan'!AY100,'ASPI POSG plan'!AY101,'ASPI POSG plan'!AY102,'ASPI POSG plan'!AY103,'ASPI POSG plan'!AY104,'ASPI POSG plan'!AY105,'ASPI POSG plan'!AY106,'ASPI POSG plan'!AY107)</f>
        <v>862</v>
      </c>
      <c r="AX58" s="1038">
        <f t="shared" si="67"/>
        <v>907</v>
      </c>
      <c r="AY58" s="1036">
        <f>SUM('ASPI POSG plan'!BA99,'ASPI POSG plan'!BA100,'ASPI POSG plan'!BA101,'ASPI POSG plan'!BA102,'ASPI POSG plan'!BA103,'ASPI POSG plan'!BA104,'ASPI POSG plan'!BA105,'ASPI POSG plan'!BA106,'ASPI POSG plan'!BA107)</f>
        <v>21</v>
      </c>
      <c r="AZ58" s="1036">
        <f>SUM('ASPI POSG plan'!BB99,'ASPI POSG plan'!BB100,'ASPI POSG plan'!BB101,'ASPI POSG plan'!BB102,'ASPI POSG plan'!BB103,'ASPI POSG plan'!BB104,'ASPI POSG plan'!BB105,'ASPI POSG plan'!BB106,'ASPI POSG plan'!BB107)</f>
        <v>0</v>
      </c>
      <c r="BA58" s="1036">
        <f>SUM('ASPI POSG plan'!BC99,'ASPI POSG plan'!BC100,'ASPI POSG plan'!BC101,'ASPI POSG plan'!BC102,'ASPI POSG plan'!BC103,'ASPI POSG plan'!BC104,'ASPI POSG plan'!BC105,'ASPI POSG plan'!BC106,'ASPI POSG plan'!BC107)</f>
        <v>107</v>
      </c>
      <c r="BB58" s="1038">
        <f t="shared" si="68"/>
        <v>128</v>
      </c>
      <c r="BC58" s="1036">
        <f>SUM('ASPI POSG plan'!BE99,'ASPI POSG plan'!BE100,'ASPI POSG plan'!BE101,'ASPI POSG plan'!BE102,'ASPI POSG plan'!BE103,'ASPI POSG plan'!BE104,'ASPI POSG plan'!BE105,'ASPI POSG plan'!BE106,'ASPI POSG plan'!BE107)</f>
        <v>44</v>
      </c>
      <c r="BD58" s="1036">
        <f>SUM('ASPI POSG plan'!BF99,'ASPI POSG plan'!BF100,'ASPI POSG plan'!BF101,'ASPI POSG plan'!BF102,'ASPI POSG plan'!BF103,'ASPI POSG plan'!BF104,'ASPI POSG plan'!BF105,'ASPI POSG plan'!BF106,'ASPI POSG plan'!BF107)</f>
        <v>0</v>
      </c>
      <c r="BE58" s="1036">
        <f>SUM('ASPI POSG plan'!BG99,'ASPI POSG plan'!BG100,'ASPI POSG plan'!BG101,'ASPI POSG plan'!BG102,'ASPI POSG plan'!BG103,'ASPI POSG plan'!BG104,'ASPI POSG plan'!BG105,'ASPI POSG plan'!BG106,'ASPI POSG plan'!BG107)</f>
        <v>694</v>
      </c>
      <c r="BF58" s="1038">
        <f t="shared" si="69"/>
        <v>738</v>
      </c>
      <c r="BG58" s="1035">
        <f>SUM('ASPI POSG plan'!BI99:BI109)</f>
        <v>151</v>
      </c>
      <c r="BH58" s="1036">
        <f>SUM('ASPI POSG plan'!BJ99:BJ109)</f>
        <v>0</v>
      </c>
      <c r="BI58" s="1036">
        <f>SUM('ASPI POSG plan'!BK99:BK109)</f>
        <v>165</v>
      </c>
      <c r="BJ58" s="1038">
        <f t="shared" si="70"/>
        <v>316</v>
      </c>
    </row>
    <row r="59" spans="1:62" ht="15" x14ac:dyDescent="0.2">
      <c r="A59" s="6224"/>
      <c r="B59" s="1040" t="s">
        <v>617</v>
      </c>
      <c r="C59" s="1035"/>
      <c r="D59" s="1036">
        <f>SUM('ASPI POSG plan'!F110,'ASPI POSG plan'!F111,'ASPI POSG plan'!F112)</f>
        <v>0</v>
      </c>
      <c r="E59" s="1036">
        <f>SUM('ASPI POSG plan'!G110,'ASPI POSG plan'!G111,'ASPI POSG plan'!G112)</f>
        <v>20</v>
      </c>
      <c r="F59" s="1037">
        <f>SUM(C59:E59)</f>
        <v>20</v>
      </c>
      <c r="G59" s="1035">
        <v>6</v>
      </c>
      <c r="H59" s="1036">
        <v>0</v>
      </c>
      <c r="I59" s="1036">
        <v>0</v>
      </c>
      <c r="J59" s="1037">
        <v>6</v>
      </c>
      <c r="K59" s="1035">
        <v>95</v>
      </c>
      <c r="L59" s="1036">
        <v>0</v>
      </c>
      <c r="M59" s="1036">
        <v>28</v>
      </c>
      <c r="N59" s="1038">
        <v>123</v>
      </c>
      <c r="O59" s="1036">
        <v>0</v>
      </c>
      <c r="P59" s="1036"/>
      <c r="Q59" s="1036">
        <v>0</v>
      </c>
      <c r="R59" s="1038">
        <v>0</v>
      </c>
      <c r="S59" s="1036">
        <v>150</v>
      </c>
      <c r="T59" s="1036">
        <v>19</v>
      </c>
      <c r="U59" s="1036">
        <v>29</v>
      </c>
      <c r="V59" s="1038">
        <v>198</v>
      </c>
      <c r="W59" s="1036">
        <v>17</v>
      </c>
      <c r="X59" s="1036"/>
      <c r="Y59" s="1036"/>
      <c r="Z59" s="1038">
        <v>17</v>
      </c>
      <c r="AA59" s="1036">
        <v>154</v>
      </c>
      <c r="AB59" s="1036"/>
      <c r="AC59" s="1036">
        <v>18</v>
      </c>
      <c r="AD59" s="1038">
        <f t="shared" si="65"/>
        <v>172</v>
      </c>
      <c r="AE59" s="1036"/>
      <c r="AF59" s="1036"/>
      <c r="AG59" s="1036"/>
      <c r="AH59" s="1038"/>
      <c r="AI59" s="1036">
        <v>102</v>
      </c>
      <c r="AJ59" s="1036"/>
      <c r="AK59" s="1036">
        <v>52</v>
      </c>
      <c r="AL59" s="1038">
        <f>SUM(AI59:AK59)</f>
        <v>154</v>
      </c>
      <c r="AM59" s="1036">
        <f>SUM('ASPI POSG plan'!AO110,'ASPI POSG plan'!AO111,'ASPI POSG plan'!AO112)</f>
        <v>10</v>
      </c>
      <c r="AN59" s="1036">
        <f>SUM('ASPI POSG plan'!AP110,'ASPI POSG plan'!AP111,'ASPI POSG plan'!AP112)</f>
        <v>0</v>
      </c>
      <c r="AO59" s="1036">
        <f>SUM('ASPI POSG plan'!AQ110,'ASPI POSG plan'!AQ111,'ASPI POSG plan'!AQ112)</f>
        <v>0</v>
      </c>
      <c r="AP59" s="1038">
        <f>SUM(AM59:AO59)</f>
        <v>10</v>
      </c>
      <c r="AQ59" s="1036">
        <f>SUM('ASPI POSG plan'!AS110,'ASPI POSG plan'!AS111,'ASPI POSG plan'!AS112)</f>
        <v>140</v>
      </c>
      <c r="AR59" s="1036">
        <f>SUM('ASPI POSG plan'!AT110,'ASPI POSG plan'!AT111,'ASPI POSG plan'!AT112)</f>
        <v>0</v>
      </c>
      <c r="AS59" s="1036">
        <f>SUM('ASPI POSG plan'!AU110,'ASPI POSG plan'!AU111,'ASPI POSG plan'!AU112)</f>
        <v>29</v>
      </c>
      <c r="AT59" s="1038">
        <f t="shared" si="66"/>
        <v>169</v>
      </c>
      <c r="AU59" s="1036">
        <f>SUM('ASPI POSG plan'!AW110,'ASPI POSG plan'!AW111,'ASPI POSG plan'!AW112)</f>
        <v>0</v>
      </c>
      <c r="AV59" s="1036">
        <f>SUM('ASPI POSG plan'!AX110,'ASPI POSG plan'!AX111,'ASPI POSG plan'!AX112)</f>
        <v>0</v>
      </c>
      <c r="AW59" s="1036">
        <f>SUM('ASPI POSG plan'!AY110,'ASPI POSG plan'!AY111,'ASPI POSG plan'!AY112)</f>
        <v>0</v>
      </c>
      <c r="AX59" s="1038">
        <f t="shared" si="67"/>
        <v>0</v>
      </c>
      <c r="AY59" s="1036">
        <f>SUM('ASPI POSG plan'!BA110,'ASPI POSG plan'!BA111,'ASPI POSG plan'!BA112)</f>
        <v>174</v>
      </c>
      <c r="AZ59" s="1036">
        <f>SUM('ASPI POSG plan'!BB110,'ASPI POSG plan'!BB111,'ASPI POSG plan'!BB112)</f>
        <v>0</v>
      </c>
      <c r="BA59" s="1036">
        <f>SUM('ASPI POSG plan'!BC110,'ASPI POSG plan'!BC111,'ASPI POSG plan'!BC112)</f>
        <v>35</v>
      </c>
      <c r="BB59" s="1038">
        <f t="shared" si="68"/>
        <v>209</v>
      </c>
      <c r="BC59" s="1036">
        <f>SUM('ASPI POSG plan'!BE110,'ASPI POSG plan'!BE111,'ASPI POSG plan'!BE112)</f>
        <v>0</v>
      </c>
      <c r="BD59" s="1036">
        <f>SUM('ASPI POSG plan'!BF110,'ASPI POSG plan'!BF111,'ASPI POSG plan'!BF112)</f>
        <v>0</v>
      </c>
      <c r="BE59" s="1036">
        <f>SUM('ASPI POSG plan'!BG110,'ASPI POSG plan'!BG111,'ASPI POSG plan'!BG112)</f>
        <v>0</v>
      </c>
      <c r="BF59" s="1038">
        <f t="shared" si="69"/>
        <v>0</v>
      </c>
      <c r="BG59" s="1035">
        <f>SUM('ASPI POSG plan'!BI110:BI114)</f>
        <v>200</v>
      </c>
      <c r="BH59" s="1036">
        <f>SUM('ASPI POSG plan'!BJ110:BJ114)</f>
        <v>0</v>
      </c>
      <c r="BI59" s="1036">
        <f>SUM('ASPI POSG plan'!BK110:BK114)</f>
        <v>165</v>
      </c>
      <c r="BJ59" s="1038">
        <f t="shared" si="70"/>
        <v>365</v>
      </c>
    </row>
    <row r="60" spans="1:62" ht="15" x14ac:dyDescent="0.2">
      <c r="A60" s="6225"/>
      <c r="B60" s="574" t="s">
        <v>14</v>
      </c>
      <c r="C60" s="569"/>
      <c r="D60" s="570">
        <f>SUM(D57:D59)</f>
        <v>48</v>
      </c>
      <c r="E60" s="570">
        <f>SUM(E57:E59)</f>
        <v>96</v>
      </c>
      <c r="F60" s="570">
        <f>SUM(F57:F59)</f>
        <v>144</v>
      </c>
      <c r="G60" s="569">
        <v>26</v>
      </c>
      <c r="H60" s="570">
        <v>0</v>
      </c>
      <c r="I60" s="570">
        <v>454</v>
      </c>
      <c r="J60" s="570">
        <v>480</v>
      </c>
      <c r="K60" s="569">
        <v>100</v>
      </c>
      <c r="L60" s="570">
        <v>0</v>
      </c>
      <c r="M60" s="570">
        <v>98</v>
      </c>
      <c r="N60" s="571">
        <v>198</v>
      </c>
      <c r="O60" s="570">
        <v>13</v>
      </c>
      <c r="P60" s="570"/>
      <c r="Q60" s="570">
        <v>359</v>
      </c>
      <c r="R60" s="571">
        <v>372</v>
      </c>
      <c r="S60" s="570">
        <v>150</v>
      </c>
      <c r="T60" s="570">
        <v>19</v>
      </c>
      <c r="U60" s="570">
        <v>137</v>
      </c>
      <c r="V60" s="571">
        <v>306</v>
      </c>
      <c r="W60" s="570">
        <v>56</v>
      </c>
      <c r="X60" s="570"/>
      <c r="Y60" s="570">
        <v>409</v>
      </c>
      <c r="Z60" s="571">
        <v>465</v>
      </c>
      <c r="AA60" s="570">
        <f>SUM(AA57:AA59)</f>
        <v>182</v>
      </c>
      <c r="AB60" s="570"/>
      <c r="AC60" s="570">
        <f>SUM(AC57:AC59)</f>
        <v>101</v>
      </c>
      <c r="AD60" s="571">
        <f t="shared" si="65"/>
        <v>283</v>
      </c>
      <c r="AE60" s="570"/>
      <c r="AF60" s="570"/>
      <c r="AG60" s="570">
        <f>SUM(AG57:AG59)</f>
        <v>585</v>
      </c>
      <c r="AH60" s="571">
        <f t="shared" si="71"/>
        <v>585</v>
      </c>
      <c r="AI60" s="570">
        <f>SUM(AI57:AI59)</f>
        <v>134</v>
      </c>
      <c r="AJ60" s="570"/>
      <c r="AK60" s="570">
        <f>SUM(AK57:AK59)</f>
        <v>147</v>
      </c>
      <c r="AL60" s="571">
        <f>SUM(AI60:AK60)</f>
        <v>281</v>
      </c>
      <c r="AM60" s="570">
        <f>SUM(AM57:AM59)</f>
        <v>86</v>
      </c>
      <c r="AN60" s="570"/>
      <c r="AO60" s="570">
        <f>SUM(AO57:AO59)</f>
        <v>848</v>
      </c>
      <c r="AP60" s="571">
        <f>SUM(AM60:AO60)</f>
        <v>934</v>
      </c>
      <c r="AQ60" s="570">
        <f>SUM(AQ57:AQ59)</f>
        <v>222</v>
      </c>
      <c r="AR60" s="570"/>
      <c r="AS60" s="570">
        <f>SUM(AS57:AS59)</f>
        <v>146</v>
      </c>
      <c r="AT60" s="571">
        <f t="shared" si="66"/>
        <v>368</v>
      </c>
      <c r="AU60" s="570">
        <f>SUM(AU57:AU59)</f>
        <v>45</v>
      </c>
      <c r="AV60" s="570"/>
      <c r="AW60" s="570">
        <f>SUM(AW57:AW59)</f>
        <v>862</v>
      </c>
      <c r="AX60" s="571">
        <f t="shared" si="67"/>
        <v>907</v>
      </c>
      <c r="AY60" s="570">
        <f>SUM(AY57:AY59)</f>
        <v>195</v>
      </c>
      <c r="AZ60" s="570"/>
      <c r="BA60" s="570">
        <f>SUM(BA57:BA59)</f>
        <v>142</v>
      </c>
      <c r="BB60" s="571">
        <f t="shared" si="68"/>
        <v>337</v>
      </c>
      <c r="BC60" s="570">
        <f>SUM(BC57:BC59)</f>
        <v>44</v>
      </c>
      <c r="BD60" s="570"/>
      <c r="BE60" s="570">
        <f>SUM(BE57:BE59)</f>
        <v>694</v>
      </c>
      <c r="BF60" s="571">
        <f t="shared" si="69"/>
        <v>738</v>
      </c>
      <c r="BG60" s="569">
        <f>SUM(BG57:BG59)</f>
        <v>351</v>
      </c>
      <c r="BH60" s="570">
        <f t="shared" ref="BH60:BJ60" si="72">SUM(BH57:BH59)</f>
        <v>0</v>
      </c>
      <c r="BI60" s="570">
        <f t="shared" si="72"/>
        <v>360</v>
      </c>
      <c r="BJ60" s="571">
        <f t="shared" si="72"/>
        <v>711</v>
      </c>
    </row>
    <row r="61" spans="1:62" ht="15" x14ac:dyDescent="0.2">
      <c r="A61" s="6224" t="s">
        <v>11</v>
      </c>
      <c r="B61" s="1029" t="s">
        <v>615</v>
      </c>
      <c r="C61" s="1035"/>
      <c r="D61" s="1036"/>
      <c r="E61" s="1036"/>
      <c r="F61" s="1037"/>
      <c r="G61" s="1035">
        <v>27</v>
      </c>
      <c r="H61" s="1036">
        <v>0</v>
      </c>
      <c r="I61" s="1036">
        <v>0</v>
      </c>
      <c r="J61" s="1037">
        <v>27</v>
      </c>
      <c r="K61" s="1035">
        <v>0</v>
      </c>
      <c r="L61" s="1036">
        <v>0</v>
      </c>
      <c r="M61" s="1036">
        <v>0</v>
      </c>
      <c r="N61" s="1038">
        <v>0</v>
      </c>
      <c r="O61" s="1036">
        <v>44</v>
      </c>
      <c r="P61" s="1036"/>
      <c r="Q61" s="1036"/>
      <c r="R61" s="1038">
        <v>44</v>
      </c>
      <c r="S61" s="1036">
        <v>28</v>
      </c>
      <c r="T61" s="1036"/>
      <c r="U61" s="1036"/>
      <c r="V61" s="1038">
        <v>28</v>
      </c>
      <c r="W61" s="1036">
        <v>40</v>
      </c>
      <c r="X61" s="1036"/>
      <c r="Y61" s="1036"/>
      <c r="Z61" s="1038">
        <v>40</v>
      </c>
      <c r="AA61" s="1036">
        <v>23</v>
      </c>
      <c r="AB61" s="1036"/>
      <c r="AC61" s="1036"/>
      <c r="AD61" s="1038">
        <f t="shared" si="65"/>
        <v>23</v>
      </c>
      <c r="AE61" s="1036"/>
      <c r="AF61" s="1036"/>
      <c r="AG61" s="1036"/>
      <c r="AH61" s="1038"/>
      <c r="AI61" s="1036">
        <v>92</v>
      </c>
      <c r="AJ61" s="1036"/>
      <c r="AK61" s="1036"/>
      <c r="AL61" s="1038">
        <f>SUM(AI61:AK61)</f>
        <v>92</v>
      </c>
      <c r="AM61" s="1036"/>
      <c r="AN61" s="1036"/>
      <c r="AO61" s="1036"/>
      <c r="AP61" s="1038"/>
      <c r="AQ61" s="1036">
        <f>SUM('ASPI POSG plan'!AS116:AS118)</f>
        <v>79</v>
      </c>
      <c r="AR61" s="1036">
        <f>SUM('ASPI POSG plan'!AT116:AT118)</f>
        <v>0</v>
      </c>
      <c r="AS61" s="1036">
        <f>SUM('ASPI POSG plan'!AU116:AU118)</f>
        <v>0</v>
      </c>
      <c r="AT61" s="1038">
        <f t="shared" si="66"/>
        <v>79</v>
      </c>
      <c r="AU61" s="1036">
        <f>SUM('ASPI POSG plan'!AW116:AW118)</f>
        <v>0</v>
      </c>
      <c r="AV61" s="1036">
        <f>SUM('ASPI POSG plan'!AX116:AX118)</f>
        <v>0</v>
      </c>
      <c r="AW61" s="1036">
        <f>SUM('ASPI POSG plan'!AY116:AY118)</f>
        <v>0</v>
      </c>
      <c r="AX61" s="1038">
        <f t="shared" si="67"/>
        <v>0</v>
      </c>
      <c r="AY61" s="1036">
        <f>SUM('ASPI POSG plan'!BA116:BA118)</f>
        <v>79</v>
      </c>
      <c r="AZ61" s="1036">
        <f>SUM('ASPI POSG plan'!BB116:BB118)</f>
        <v>0</v>
      </c>
      <c r="BA61" s="1036">
        <f>SUM('ASPI POSG plan'!BC116:BC118)</f>
        <v>0</v>
      </c>
      <c r="BB61" s="1038">
        <f t="shared" si="68"/>
        <v>79</v>
      </c>
      <c r="BC61" s="1036">
        <f>SUM('ASPI POSG plan'!BE116:BE118)</f>
        <v>0</v>
      </c>
      <c r="BD61" s="1036">
        <f>SUM('ASPI POSG plan'!BF116:BF118)</f>
        <v>0</v>
      </c>
      <c r="BE61" s="1036">
        <f>SUM('ASPI POSG plan'!BG116:BG118)</f>
        <v>0</v>
      </c>
      <c r="BF61" s="1038">
        <f t="shared" si="69"/>
        <v>0</v>
      </c>
      <c r="BG61" s="1036">
        <f>SUM('ASPI POSG plan'!BI116:BI118)</f>
        <v>0</v>
      </c>
      <c r="BH61" s="1036">
        <f>SUM('ASPI POSG plan'!BJ116:BJ118)</f>
        <v>0</v>
      </c>
      <c r="BI61" s="1036">
        <f>SUM('ASPI POSG plan'!BK116:BK118)</f>
        <v>0</v>
      </c>
      <c r="BJ61" s="1038">
        <f t="shared" si="70"/>
        <v>0</v>
      </c>
    </row>
    <row r="62" spans="1:62" ht="15" x14ac:dyDescent="0.2">
      <c r="A62" s="6224"/>
      <c r="B62" s="1034" t="s">
        <v>616</v>
      </c>
      <c r="C62" s="1035"/>
      <c r="D62" s="1036">
        <f>SUM('ASPI POSG plan'!F119,'ASPI POSG plan'!F121,'ASPI POSG plan'!F122,'ASPI POSG plan'!F123,'ASPI POSG plan'!F124,'ASPI POSG plan'!F125)</f>
        <v>31</v>
      </c>
      <c r="E62" s="1036">
        <f>SUM('ASPI POSG plan'!G119,'ASPI POSG plan'!G121,'ASPI POSG plan'!G122,'ASPI POSG plan'!G123,'ASPI POSG plan'!G124,'ASPI POSG plan'!G125)</f>
        <v>78</v>
      </c>
      <c r="F62" s="1037">
        <f>SUM(C62:E62)</f>
        <v>109</v>
      </c>
      <c r="G62" s="1035">
        <v>60</v>
      </c>
      <c r="H62" s="1036">
        <v>0</v>
      </c>
      <c r="I62" s="1036">
        <v>28</v>
      </c>
      <c r="J62" s="1037">
        <v>88</v>
      </c>
      <c r="K62" s="1035">
        <v>29</v>
      </c>
      <c r="L62" s="1036">
        <v>9</v>
      </c>
      <c r="M62" s="1036">
        <v>146</v>
      </c>
      <c r="N62" s="1038">
        <v>184</v>
      </c>
      <c r="O62" s="1036">
        <v>11</v>
      </c>
      <c r="P62" s="1036">
        <v>9</v>
      </c>
      <c r="Q62" s="1036">
        <v>106</v>
      </c>
      <c r="R62" s="1038">
        <v>126</v>
      </c>
      <c r="S62" s="1036">
        <v>14</v>
      </c>
      <c r="T62" s="1036">
        <v>24</v>
      </c>
      <c r="U62" s="1036">
        <v>152</v>
      </c>
      <c r="V62" s="1038">
        <v>190</v>
      </c>
      <c r="W62" s="1036">
        <v>23</v>
      </c>
      <c r="X62" s="1036">
        <v>51</v>
      </c>
      <c r="Y62" s="1036">
        <v>81</v>
      </c>
      <c r="Z62" s="1038">
        <v>155</v>
      </c>
      <c r="AA62" s="1036">
        <v>17</v>
      </c>
      <c r="AB62" s="1036">
        <v>12</v>
      </c>
      <c r="AC62" s="1036">
        <v>177</v>
      </c>
      <c r="AD62" s="1038">
        <f t="shared" si="65"/>
        <v>206</v>
      </c>
      <c r="AE62" s="1036">
        <v>19</v>
      </c>
      <c r="AF62" s="1036">
        <v>115</v>
      </c>
      <c r="AG62" s="1036">
        <v>84</v>
      </c>
      <c r="AH62" s="1038">
        <f t="shared" si="71"/>
        <v>218</v>
      </c>
      <c r="AI62" s="1036">
        <v>28</v>
      </c>
      <c r="AJ62" s="1036">
        <v>47</v>
      </c>
      <c r="AK62" s="1036">
        <v>195</v>
      </c>
      <c r="AL62" s="1038">
        <f t="shared" ref="AL62:AL68" si="73">SUM(AI62:AK62)</f>
        <v>270</v>
      </c>
      <c r="AM62" s="1036">
        <f>SUM('ASPI POSG plan'!AO119,'ASPI POSG plan'!AO121,'ASPI POSG plan'!AO122,'ASPI POSG plan'!AO123,'ASPI POSG plan'!AO124,'ASPI POSG plan'!AO125)</f>
        <v>17</v>
      </c>
      <c r="AN62" s="1036">
        <f>SUM('ASPI POSG plan'!AP119,'ASPI POSG plan'!AP121,'ASPI POSG plan'!AP122,'ASPI POSG plan'!AP123,'ASPI POSG plan'!AP124,'ASPI POSG plan'!AP125)</f>
        <v>43</v>
      </c>
      <c r="AO62" s="1036">
        <f>SUM('ASPI POSG plan'!AQ119,'ASPI POSG plan'!AQ121,'ASPI POSG plan'!AQ122,'ASPI POSG plan'!AQ123,'ASPI POSG plan'!AQ124,'ASPI POSG plan'!AQ125)</f>
        <v>139</v>
      </c>
      <c r="AP62" s="1038">
        <f>SUM(AM62:AO62)</f>
        <v>199</v>
      </c>
      <c r="AQ62" s="1036">
        <f>SUM('ASPI POSG plan'!AS119,'ASPI POSG plan'!AS121,'ASPI POSG plan'!AS122,'ASPI POSG plan'!AS123,'ASPI POSG plan'!AS124,'ASPI POSG plan'!AS125)</f>
        <v>22</v>
      </c>
      <c r="AR62" s="1036">
        <f>SUM('ASPI POSG plan'!AT119,'ASPI POSG plan'!AT121,'ASPI POSG plan'!AT122,'ASPI POSG plan'!AT123,'ASPI POSG plan'!AT124,'ASPI POSG plan'!AT125)</f>
        <v>92</v>
      </c>
      <c r="AS62" s="1036">
        <f>SUM('ASPI POSG plan'!AU119,'ASPI POSG plan'!AU121,'ASPI POSG plan'!AU122,'ASPI POSG plan'!AU123,'ASPI POSG plan'!AU124,'ASPI POSG plan'!AU125)</f>
        <v>214</v>
      </c>
      <c r="AT62" s="1038">
        <f t="shared" si="66"/>
        <v>328</v>
      </c>
      <c r="AU62" s="1036">
        <f>SUM('ASPI POSG plan'!AW119:AW126)</f>
        <v>31</v>
      </c>
      <c r="AV62" s="1036">
        <f>SUM('ASPI POSG plan'!AX119:AX126)</f>
        <v>57</v>
      </c>
      <c r="AW62" s="1036">
        <f>SUM('ASPI POSG plan'!AY119:AY126)</f>
        <v>132</v>
      </c>
      <c r="AX62" s="1038">
        <f t="shared" si="67"/>
        <v>220</v>
      </c>
      <c r="AY62" s="1036">
        <f>SUM('ASPI POSG plan'!BA119:BA126)</f>
        <v>64</v>
      </c>
      <c r="AZ62" s="1036">
        <f>SUM('ASPI POSG plan'!BB119:BB126)</f>
        <v>75</v>
      </c>
      <c r="BA62" s="1036">
        <f>SUM('ASPI POSG plan'!BC119:BC126)</f>
        <v>200</v>
      </c>
      <c r="BB62" s="1038">
        <f t="shared" si="68"/>
        <v>339</v>
      </c>
      <c r="BC62" s="1036">
        <f>SUM('ASPI POSG plan'!BE119:BE126)</f>
        <v>21</v>
      </c>
      <c r="BD62" s="1036">
        <f>SUM('ASPI POSG plan'!BF119:BF126)</f>
        <v>73</v>
      </c>
      <c r="BE62" s="1036">
        <f>SUM('ASPI POSG plan'!BG119:BG126)</f>
        <v>216</v>
      </c>
      <c r="BF62" s="1038">
        <f t="shared" si="69"/>
        <v>310</v>
      </c>
      <c r="BG62" s="1036">
        <f>SUM('ASPI POSG plan'!BI119:BI126)</f>
        <v>72</v>
      </c>
      <c r="BH62" s="1036">
        <f>SUM('ASPI POSG plan'!BJ119:BJ126)</f>
        <v>50</v>
      </c>
      <c r="BI62" s="1036">
        <f>SUM('ASPI POSG plan'!BK119:BK126)</f>
        <v>175</v>
      </c>
      <c r="BJ62" s="1038">
        <f t="shared" si="70"/>
        <v>297</v>
      </c>
    </row>
    <row r="63" spans="1:62" ht="15" x14ac:dyDescent="0.2">
      <c r="A63" s="6224"/>
      <c r="B63" s="1040" t="s">
        <v>617</v>
      </c>
      <c r="C63" s="1035"/>
      <c r="D63" s="1036">
        <f>SUM('ASPI POSG plan'!F127,'ASPI POSG plan'!F128)</f>
        <v>0</v>
      </c>
      <c r="E63" s="1036">
        <f>SUM('ASPI POSG plan'!G127,'ASPI POSG plan'!G128)</f>
        <v>24</v>
      </c>
      <c r="F63" s="1037">
        <f>SUM(C63:E63)</f>
        <v>24</v>
      </c>
      <c r="G63" s="1035">
        <v>6</v>
      </c>
      <c r="H63" s="1036">
        <v>0</v>
      </c>
      <c r="I63" s="1036">
        <v>14</v>
      </c>
      <c r="J63" s="1037">
        <v>20</v>
      </c>
      <c r="K63" s="1035">
        <v>5</v>
      </c>
      <c r="L63" s="1036">
        <v>0</v>
      </c>
      <c r="M63" s="1036">
        <v>24</v>
      </c>
      <c r="N63" s="1038">
        <v>29</v>
      </c>
      <c r="O63" s="1036">
        <v>6</v>
      </c>
      <c r="P63" s="1036"/>
      <c r="Q63" s="1036">
        <v>43</v>
      </c>
      <c r="R63" s="1038">
        <v>49</v>
      </c>
      <c r="S63" s="1036">
        <v>15</v>
      </c>
      <c r="T63" s="1036"/>
      <c r="U63" s="1036">
        <v>61</v>
      </c>
      <c r="V63" s="1038">
        <v>76</v>
      </c>
      <c r="W63" s="1036">
        <v>9</v>
      </c>
      <c r="X63" s="1036"/>
      <c r="Y63" s="1036">
        <v>15</v>
      </c>
      <c r="Z63" s="1038">
        <v>24</v>
      </c>
      <c r="AA63" s="1036">
        <v>40</v>
      </c>
      <c r="AB63" s="1036"/>
      <c r="AC63" s="1036">
        <v>26</v>
      </c>
      <c r="AD63" s="1038">
        <f t="shared" si="65"/>
        <v>66</v>
      </c>
      <c r="AE63" s="1036">
        <v>10</v>
      </c>
      <c r="AF63" s="1036"/>
      <c r="AG63" s="1036">
        <v>58</v>
      </c>
      <c r="AH63" s="1038">
        <f t="shared" si="71"/>
        <v>68</v>
      </c>
      <c r="AI63" s="1036">
        <v>14</v>
      </c>
      <c r="AJ63" s="1036"/>
      <c r="AK63" s="1036">
        <v>18</v>
      </c>
      <c r="AL63" s="1038">
        <f t="shared" si="73"/>
        <v>32</v>
      </c>
      <c r="AM63" s="1036">
        <f>SUM('ASPI POSG plan'!AO127,'ASPI POSG plan'!AO128)</f>
        <v>12</v>
      </c>
      <c r="AN63" s="1036">
        <f>SUM('ASPI POSG plan'!AP127,'ASPI POSG plan'!AP128)</f>
        <v>0</v>
      </c>
      <c r="AO63" s="1036">
        <f>SUM('ASPI POSG plan'!AQ127,'ASPI POSG plan'!AQ128)</f>
        <v>68</v>
      </c>
      <c r="AP63" s="1038">
        <f>SUM(AM63:AO63)</f>
        <v>80</v>
      </c>
      <c r="AQ63" s="1036">
        <f>SUM('ASPI POSG plan'!AS127:AS129)</f>
        <v>19</v>
      </c>
      <c r="AR63" s="1036">
        <f>SUM('ASPI POSG plan'!AT127:AT129)</f>
        <v>0</v>
      </c>
      <c r="AS63" s="1036">
        <f>SUM('ASPI POSG plan'!AU127:AU129)</f>
        <v>13</v>
      </c>
      <c r="AT63" s="1038">
        <f t="shared" si="66"/>
        <v>32</v>
      </c>
      <c r="AU63" s="1036">
        <f>SUM('ASPI POSG plan'!AW127:AW129)</f>
        <v>21</v>
      </c>
      <c r="AV63" s="1036">
        <f>SUM('ASPI POSG plan'!AX127:AX129)</f>
        <v>0</v>
      </c>
      <c r="AW63" s="1036">
        <f>SUM('ASPI POSG plan'!AY127:AY129)</f>
        <v>72</v>
      </c>
      <c r="AX63" s="1038">
        <f t="shared" si="67"/>
        <v>93</v>
      </c>
      <c r="AY63" s="1036">
        <f>SUM('ASPI POSG plan'!BA127:BA129)</f>
        <v>21</v>
      </c>
      <c r="AZ63" s="1036">
        <f>SUM('ASPI POSG plan'!BB127:BB129)</f>
        <v>0</v>
      </c>
      <c r="BA63" s="1036">
        <f>SUM('ASPI POSG plan'!BC127:BC129)</f>
        <v>26</v>
      </c>
      <c r="BB63" s="1038">
        <f t="shared" si="68"/>
        <v>47</v>
      </c>
      <c r="BC63" s="1036">
        <f>SUM('ASPI POSG plan'!BE127:BE129)</f>
        <v>31</v>
      </c>
      <c r="BD63" s="1036">
        <f>SUM('ASPI POSG plan'!BF127:BF129)</f>
        <v>0</v>
      </c>
      <c r="BE63" s="1036">
        <f>SUM('ASPI POSG plan'!BG127:BG129)</f>
        <v>58</v>
      </c>
      <c r="BF63" s="1038">
        <f t="shared" si="69"/>
        <v>89</v>
      </c>
      <c r="BG63" s="1036">
        <f>SUM('ASPI POSG plan'!BI127:BI129)</f>
        <v>18</v>
      </c>
      <c r="BH63" s="1036">
        <f>SUM('ASPI POSG plan'!BJ127:BJ129)</f>
        <v>0</v>
      </c>
      <c r="BI63" s="1036">
        <f>SUM('ASPI POSG plan'!BK127:BK129)</f>
        <v>12</v>
      </c>
      <c r="BJ63" s="1038">
        <f t="shared" si="70"/>
        <v>30</v>
      </c>
    </row>
    <row r="64" spans="1:62" ht="15" x14ac:dyDescent="0.2">
      <c r="A64" s="6225"/>
      <c r="B64" s="574" t="s">
        <v>30</v>
      </c>
      <c r="C64" s="569"/>
      <c r="D64" s="570">
        <f>SUM(D62:D63)</f>
        <v>31</v>
      </c>
      <c r="E64" s="570">
        <f>SUM(E62:E63)</f>
        <v>102</v>
      </c>
      <c r="F64" s="570">
        <f>SUM(F62:F63)</f>
        <v>133</v>
      </c>
      <c r="G64" s="569">
        <v>93</v>
      </c>
      <c r="H64" s="570">
        <v>0</v>
      </c>
      <c r="I64" s="570">
        <v>42</v>
      </c>
      <c r="J64" s="570">
        <v>135</v>
      </c>
      <c r="K64" s="569">
        <v>34</v>
      </c>
      <c r="L64" s="570">
        <v>9</v>
      </c>
      <c r="M64" s="570">
        <v>170</v>
      </c>
      <c r="N64" s="571">
        <v>213</v>
      </c>
      <c r="O64" s="570">
        <v>61</v>
      </c>
      <c r="P64" s="570">
        <v>9</v>
      </c>
      <c r="Q64" s="570">
        <v>149</v>
      </c>
      <c r="R64" s="571">
        <v>219</v>
      </c>
      <c r="S64" s="570">
        <v>57</v>
      </c>
      <c r="T64" s="570">
        <v>24</v>
      </c>
      <c r="U64" s="570">
        <v>213</v>
      </c>
      <c r="V64" s="571">
        <v>294</v>
      </c>
      <c r="W64" s="570">
        <v>72</v>
      </c>
      <c r="X64" s="570">
        <v>51</v>
      </c>
      <c r="Y64" s="570">
        <v>96</v>
      </c>
      <c r="Z64" s="571">
        <v>219</v>
      </c>
      <c r="AA64" s="570">
        <f>SUM(AA61:AA63)</f>
        <v>80</v>
      </c>
      <c r="AB64" s="570">
        <f>SUM(AB61:AB63)</f>
        <v>12</v>
      </c>
      <c r="AC64" s="570">
        <f>SUM(AC61:AC63)</f>
        <v>203</v>
      </c>
      <c r="AD64" s="571">
        <f t="shared" si="65"/>
        <v>295</v>
      </c>
      <c r="AE64" s="570">
        <f>SUM(AE61:AE63)</f>
        <v>29</v>
      </c>
      <c r="AF64" s="570">
        <f>SUM(AF61:AF63)</f>
        <v>115</v>
      </c>
      <c r="AG64" s="570">
        <f>SUM(AG61:AG63)</f>
        <v>142</v>
      </c>
      <c r="AH64" s="571">
        <f t="shared" si="71"/>
        <v>286</v>
      </c>
      <c r="AI64" s="570">
        <f>SUM(AI61:AI63)</f>
        <v>134</v>
      </c>
      <c r="AJ64" s="570">
        <f>SUM(AJ61:AJ63)</f>
        <v>47</v>
      </c>
      <c r="AK64" s="570">
        <f>SUM(AK61:AK63)</f>
        <v>213</v>
      </c>
      <c r="AL64" s="571">
        <f t="shared" si="73"/>
        <v>394</v>
      </c>
      <c r="AM64" s="570">
        <f>SUM(AM61:AM63)</f>
        <v>29</v>
      </c>
      <c r="AN64" s="570">
        <f>SUM(AN61:AN63)</f>
        <v>43</v>
      </c>
      <c r="AO64" s="570">
        <f>SUM(AO61:AO63)</f>
        <v>207</v>
      </c>
      <c r="AP64" s="571">
        <f>SUM(AM64:AO64)</f>
        <v>279</v>
      </c>
      <c r="AQ64" s="570">
        <f>SUM(AQ61:AQ63)</f>
        <v>120</v>
      </c>
      <c r="AR64" s="570">
        <f>SUM(AR61:AR63)</f>
        <v>92</v>
      </c>
      <c r="AS64" s="570">
        <f>SUM(AS61:AS63)</f>
        <v>227</v>
      </c>
      <c r="AT64" s="571">
        <f t="shared" si="66"/>
        <v>439</v>
      </c>
      <c r="AU64" s="570">
        <f>SUM(AU61:AU63)</f>
        <v>52</v>
      </c>
      <c r="AV64" s="570">
        <f>SUM(AV61:AV63)</f>
        <v>57</v>
      </c>
      <c r="AW64" s="570">
        <f>SUM(AW61:AW63)</f>
        <v>204</v>
      </c>
      <c r="AX64" s="571">
        <f t="shared" si="67"/>
        <v>313</v>
      </c>
      <c r="AY64" s="570">
        <f>SUM(AY61:AY63)</f>
        <v>164</v>
      </c>
      <c r="AZ64" s="570">
        <f>SUM(AZ61:AZ63)</f>
        <v>75</v>
      </c>
      <c r="BA64" s="570">
        <f>SUM(BA61:BA63)</f>
        <v>226</v>
      </c>
      <c r="BB64" s="571">
        <f t="shared" si="68"/>
        <v>465</v>
      </c>
      <c r="BC64" s="570">
        <f>SUM(BC61:BC63)</f>
        <v>52</v>
      </c>
      <c r="BD64" s="570">
        <f>SUM(BD61:BD63)</f>
        <v>73</v>
      </c>
      <c r="BE64" s="570">
        <f>SUM(BE61:BE63)</f>
        <v>274</v>
      </c>
      <c r="BF64" s="571">
        <f t="shared" si="69"/>
        <v>399</v>
      </c>
      <c r="BG64" s="570">
        <f>SUM(BG61:BG63)</f>
        <v>90</v>
      </c>
      <c r="BH64" s="570">
        <f>SUM(BH61:BH63)</f>
        <v>50</v>
      </c>
      <c r="BI64" s="570">
        <f>SUM(BI61:BI63)</f>
        <v>187</v>
      </c>
      <c r="BJ64" s="571">
        <f t="shared" si="70"/>
        <v>327</v>
      </c>
    </row>
    <row r="65" spans="1:62" ht="15" x14ac:dyDescent="0.2">
      <c r="A65" s="6224" t="s">
        <v>7</v>
      </c>
      <c r="B65" s="1029" t="s">
        <v>615</v>
      </c>
      <c r="C65" s="1035"/>
      <c r="D65" s="1036"/>
      <c r="E65" s="1036"/>
      <c r="F65" s="1037"/>
      <c r="G65" s="1035"/>
      <c r="H65" s="1036"/>
      <c r="I65" s="1036"/>
      <c r="J65" s="1037"/>
      <c r="K65" s="1035"/>
      <c r="L65" s="1036"/>
      <c r="M65" s="1036"/>
      <c r="N65" s="1038"/>
      <c r="O65" s="1036"/>
      <c r="P65" s="1036"/>
      <c r="Q65" s="1036"/>
      <c r="R65" s="1038"/>
      <c r="S65" s="1036"/>
      <c r="T65" s="1036"/>
      <c r="U65" s="1036"/>
      <c r="V65" s="1038"/>
      <c r="W65" s="1036"/>
      <c r="X65" s="1036"/>
      <c r="Y65" s="1036"/>
      <c r="Z65" s="1038"/>
      <c r="AA65" s="1036"/>
      <c r="AB65" s="1036"/>
      <c r="AC65" s="1036"/>
      <c r="AD65" s="1038"/>
      <c r="AE65" s="1036"/>
      <c r="AF65" s="1036"/>
      <c r="AG65" s="1036"/>
      <c r="AH65" s="1038"/>
      <c r="AI65" s="1036"/>
      <c r="AJ65" s="1036"/>
      <c r="AK65" s="1036"/>
      <c r="AL65" s="1038"/>
      <c r="AM65" s="1036"/>
      <c r="AN65" s="1036"/>
      <c r="AO65" s="1036"/>
      <c r="AP65" s="1038"/>
      <c r="AQ65" s="1036"/>
      <c r="AR65" s="1036"/>
      <c r="AS65" s="1036"/>
      <c r="AT65" s="1038"/>
      <c r="AU65" s="1036"/>
      <c r="AV65" s="1036"/>
      <c r="AW65" s="1036"/>
      <c r="AX65" s="1038"/>
      <c r="AY65" s="1036"/>
      <c r="AZ65" s="1036"/>
      <c r="BA65" s="1036"/>
      <c r="BB65" s="1038"/>
      <c r="BC65" s="1036"/>
      <c r="BD65" s="1036"/>
      <c r="BE65" s="1036"/>
      <c r="BF65" s="1038"/>
      <c r="BG65" s="1036"/>
      <c r="BH65" s="1036"/>
      <c r="BI65" s="1036"/>
      <c r="BJ65" s="1038"/>
    </row>
    <row r="66" spans="1:62" ht="15" x14ac:dyDescent="0.2">
      <c r="A66" s="6224"/>
      <c r="B66" s="1034" t="s">
        <v>616</v>
      </c>
      <c r="C66" s="1035"/>
      <c r="D66" s="1036"/>
      <c r="E66" s="1036">
        <f>SUM('ASPI POSG plan'!G131)</f>
        <v>44</v>
      </c>
      <c r="F66" s="1037">
        <f>SUM(C66:E66)</f>
        <v>44</v>
      </c>
      <c r="G66" s="1035">
        <v>0</v>
      </c>
      <c r="H66" s="1036">
        <v>0</v>
      </c>
      <c r="I66" s="1036">
        <v>42</v>
      </c>
      <c r="J66" s="1037">
        <v>42</v>
      </c>
      <c r="K66" s="1035">
        <v>0</v>
      </c>
      <c r="L66" s="1036">
        <v>0</v>
      </c>
      <c r="M66" s="1036">
        <v>48</v>
      </c>
      <c r="N66" s="1038">
        <v>48</v>
      </c>
      <c r="O66" s="1036"/>
      <c r="P66" s="1036"/>
      <c r="Q66" s="1036">
        <v>48</v>
      </c>
      <c r="R66" s="1038">
        <v>48</v>
      </c>
      <c r="S66" s="1036"/>
      <c r="T66" s="1036"/>
      <c r="U66" s="1036">
        <v>53</v>
      </c>
      <c r="V66" s="1038">
        <v>53</v>
      </c>
      <c r="W66" s="1036"/>
      <c r="X66" s="1036"/>
      <c r="Y66" s="1036">
        <v>33</v>
      </c>
      <c r="Z66" s="1038">
        <v>33</v>
      </c>
      <c r="AA66" s="1036"/>
      <c r="AB66" s="1036">
        <v>23</v>
      </c>
      <c r="AC66" s="1036">
        <v>177</v>
      </c>
      <c r="AD66" s="1038">
        <f t="shared" si="65"/>
        <v>200</v>
      </c>
      <c r="AE66" s="1036">
        <v>59</v>
      </c>
      <c r="AF66" s="1036"/>
      <c r="AG66" s="1036"/>
      <c r="AH66" s="1038">
        <f t="shared" si="71"/>
        <v>59</v>
      </c>
      <c r="AI66" s="1036">
        <v>16</v>
      </c>
      <c r="AJ66" s="1036">
        <v>128</v>
      </c>
      <c r="AK66" s="1036">
        <v>61</v>
      </c>
      <c r="AL66" s="1038">
        <f t="shared" si="73"/>
        <v>205</v>
      </c>
      <c r="AM66" s="1036">
        <f>SUM('ASPI POSG plan'!AO131,'ASPI POSG plan'!AO132,'ASPI POSG plan'!AO133)</f>
        <v>0</v>
      </c>
      <c r="AN66" s="1036">
        <f>SUM('ASPI POSG plan'!AP131,'ASPI POSG plan'!AP132,'ASPI POSG plan'!AP133)</f>
        <v>0</v>
      </c>
      <c r="AO66" s="1036">
        <f>SUM('ASPI POSG plan'!AQ131,'ASPI POSG plan'!AQ132,'ASPI POSG plan'!AQ133)</f>
        <v>68</v>
      </c>
      <c r="AP66" s="1038">
        <f t="shared" ref="AP66:AP71" si="74">SUM(AM66:AO66)</f>
        <v>68</v>
      </c>
      <c r="AQ66" s="1036">
        <f>SUM('ASPI POSG plan'!AS131,'ASPI POSG plan'!AS132,'ASPI POSG plan'!AS133)</f>
        <v>0</v>
      </c>
      <c r="AR66" s="1036">
        <f>SUM('ASPI POSG plan'!AT131,'ASPI POSG plan'!AT132,'ASPI POSG plan'!AT133)</f>
        <v>157</v>
      </c>
      <c r="AS66" s="1036">
        <f>SUM('ASPI POSG plan'!AU131,'ASPI POSG plan'!AU132,'ASPI POSG plan'!AU133)</f>
        <v>51</v>
      </c>
      <c r="AT66" s="1038">
        <f t="shared" ref="AT66:AT71" si="75">SUM(AQ66:AS66)</f>
        <v>208</v>
      </c>
      <c r="AU66" s="1036">
        <f>SUM('ASPI POSG plan'!AW131,'ASPI POSG plan'!AW132,'ASPI POSG plan'!AW133)</f>
        <v>0</v>
      </c>
      <c r="AV66" s="1036">
        <f>SUM('ASPI POSG plan'!AX131,'ASPI POSG plan'!AX132,'ASPI POSG plan'!AX133)</f>
        <v>0</v>
      </c>
      <c r="AW66" s="1036">
        <f>SUM('ASPI POSG plan'!AY131,'ASPI POSG plan'!AY132,'ASPI POSG plan'!AY133)</f>
        <v>84</v>
      </c>
      <c r="AX66" s="1038">
        <f t="shared" ref="AX66:AX71" si="76">SUM(AU66:AW66)</f>
        <v>84</v>
      </c>
      <c r="AY66" s="1036">
        <f>SUM('ASPI POSG plan'!BA131,'ASPI POSG plan'!BA132,'ASPI POSG plan'!BA133)</f>
        <v>0</v>
      </c>
      <c r="AZ66" s="1036">
        <f>SUM('ASPI POSG plan'!BB131,'ASPI POSG plan'!BB132,'ASPI POSG plan'!BB133)</f>
        <v>125</v>
      </c>
      <c r="BA66" s="1036">
        <f>SUM('ASPI POSG plan'!BC131,'ASPI POSG plan'!BC132,'ASPI POSG plan'!BC133)</f>
        <v>58</v>
      </c>
      <c r="BB66" s="1038">
        <f t="shared" ref="BB66:BB71" si="77">SUM(AY66:BA66)</f>
        <v>183</v>
      </c>
      <c r="BC66" s="1036">
        <f>SUM('ASPI POSG plan'!BE131,'ASPI POSG plan'!BE132,'ASPI POSG plan'!BE133)</f>
        <v>0</v>
      </c>
      <c r="BD66" s="1036">
        <f>SUM('ASPI POSG plan'!BF131,'ASPI POSG plan'!BF132,'ASPI POSG plan'!BF133)</f>
        <v>0</v>
      </c>
      <c r="BE66" s="1036">
        <f>SUM('ASPI POSG plan'!BG131,'ASPI POSG plan'!BG132,'ASPI POSG plan'!BG133)</f>
        <v>61</v>
      </c>
      <c r="BF66" s="1038">
        <f t="shared" ref="BF66:BF71" si="78">SUM(BC66:BE66)</f>
        <v>61</v>
      </c>
      <c r="BG66" s="1036">
        <f>SUM('ASPI POSG plan'!BI131,'ASPI POSG plan'!BI132,'ASPI POSG plan'!BI133)</f>
        <v>0</v>
      </c>
      <c r="BH66" s="1036">
        <f>SUM('ASPI POSG plan'!BJ131,'ASPI POSG plan'!BJ132,'ASPI POSG plan'!BJ133)</f>
        <v>119</v>
      </c>
      <c r="BI66" s="1036">
        <f>SUM('ASPI POSG plan'!BK131,'ASPI POSG plan'!BK132,'ASPI POSG plan'!BK133)</f>
        <v>90</v>
      </c>
      <c r="BJ66" s="1038">
        <f t="shared" ref="BJ66:BJ71" si="79">SUM(BG66:BI66)</f>
        <v>209</v>
      </c>
    </row>
    <row r="67" spans="1:62" ht="15" x14ac:dyDescent="0.2">
      <c r="A67" s="6224"/>
      <c r="B67" s="1040" t="s">
        <v>617</v>
      </c>
      <c r="C67" s="1035"/>
      <c r="D67" s="1036"/>
      <c r="E67" s="1036"/>
      <c r="F67" s="1037"/>
      <c r="G67" s="1035">
        <v>0</v>
      </c>
      <c r="H67" s="1036">
        <v>0</v>
      </c>
      <c r="I67" s="1036">
        <v>11</v>
      </c>
      <c r="J67" s="1037">
        <v>11</v>
      </c>
      <c r="K67" s="1035">
        <v>0</v>
      </c>
      <c r="L67" s="1036">
        <v>0</v>
      </c>
      <c r="M67" s="1036">
        <v>0</v>
      </c>
      <c r="N67" s="1038">
        <v>0</v>
      </c>
      <c r="O67" s="1036">
        <v>19</v>
      </c>
      <c r="P67" s="1036"/>
      <c r="Q67" s="1036"/>
      <c r="R67" s="1038">
        <v>19</v>
      </c>
      <c r="S67" s="1036">
        <v>11</v>
      </c>
      <c r="T67" s="1036"/>
      <c r="U67" s="1036"/>
      <c r="V67" s="1038">
        <v>11</v>
      </c>
      <c r="W67" s="1036">
        <v>18</v>
      </c>
      <c r="X67" s="1036"/>
      <c r="Y67" s="1036"/>
      <c r="Z67" s="1038">
        <v>18</v>
      </c>
      <c r="AA67" s="1036">
        <v>17</v>
      </c>
      <c r="AB67" s="1036"/>
      <c r="AC67" s="1036"/>
      <c r="AD67" s="1038">
        <f t="shared" si="65"/>
        <v>17</v>
      </c>
      <c r="AE67" s="1036"/>
      <c r="AF67" s="1036"/>
      <c r="AG67" s="1036"/>
      <c r="AH67" s="1038">
        <f t="shared" si="71"/>
        <v>0</v>
      </c>
      <c r="AI67" s="1036"/>
      <c r="AJ67" s="1036"/>
      <c r="AK67" s="1036"/>
      <c r="AL67" s="1038"/>
      <c r="AM67" s="1036">
        <f>SUM('ASPI POSG plan'!AO134)</f>
        <v>17</v>
      </c>
      <c r="AN67" s="1036">
        <f>SUM('ASPI POSG plan'!AP134)</f>
        <v>0</v>
      </c>
      <c r="AO67" s="1036">
        <f>SUM('ASPI POSG plan'!AQ134)</f>
        <v>0</v>
      </c>
      <c r="AP67" s="1038">
        <f t="shared" si="74"/>
        <v>17</v>
      </c>
      <c r="AQ67" s="1036">
        <f>SUM('ASPI POSG plan'!AS134)</f>
        <v>16</v>
      </c>
      <c r="AR67" s="1036">
        <f>SUM('ASPI POSG plan'!AT134)</f>
        <v>0</v>
      </c>
      <c r="AS67" s="1036">
        <f>SUM('ASPI POSG plan'!AU134)</f>
        <v>0</v>
      </c>
      <c r="AT67" s="1038">
        <f t="shared" si="75"/>
        <v>16</v>
      </c>
      <c r="AU67" s="1036">
        <f>SUM('ASPI POSG plan'!AW134)</f>
        <v>19</v>
      </c>
      <c r="AV67" s="1036">
        <f>SUM('ASPI POSG plan'!AX134)</f>
        <v>0</v>
      </c>
      <c r="AW67" s="1036">
        <f>SUM('ASPI POSG plan'!AY134)</f>
        <v>0</v>
      </c>
      <c r="AX67" s="1038">
        <f t="shared" si="76"/>
        <v>19</v>
      </c>
      <c r="AY67" s="1036">
        <f>SUM('ASPI POSG plan'!BA134)</f>
        <v>14</v>
      </c>
      <c r="AZ67" s="1036">
        <f>SUM('ASPI POSG plan'!BB134)</f>
        <v>0</v>
      </c>
      <c r="BA67" s="1036">
        <f>SUM('ASPI POSG plan'!BC134)</f>
        <v>0</v>
      </c>
      <c r="BB67" s="1038">
        <f t="shared" si="77"/>
        <v>14</v>
      </c>
      <c r="BC67" s="1036">
        <f>SUM('ASPI POSG plan'!BE134)</f>
        <v>26</v>
      </c>
      <c r="BD67" s="1036">
        <f>SUM('ASPI POSG plan'!BF134)</f>
        <v>0</v>
      </c>
      <c r="BE67" s="1036">
        <f>SUM('ASPI POSG plan'!BG134)</f>
        <v>0</v>
      </c>
      <c r="BF67" s="1038">
        <f t="shared" si="78"/>
        <v>26</v>
      </c>
      <c r="BG67" s="1036">
        <f>SUM('ASPI POSG plan'!BI134)</f>
        <v>33</v>
      </c>
      <c r="BH67" s="1036">
        <f>SUM('ASPI POSG plan'!BJ134)</f>
        <v>0</v>
      </c>
      <c r="BI67" s="1036">
        <f>SUM('ASPI POSG plan'!BK134)</f>
        <v>0</v>
      </c>
      <c r="BJ67" s="1038">
        <f t="shared" si="79"/>
        <v>33</v>
      </c>
    </row>
    <row r="68" spans="1:62" ht="15" x14ac:dyDescent="0.2">
      <c r="A68" s="6225"/>
      <c r="B68" s="574" t="s">
        <v>15</v>
      </c>
      <c r="C68" s="569"/>
      <c r="D68" s="570"/>
      <c r="E68" s="570">
        <f>SUM(E66:E67)</f>
        <v>44</v>
      </c>
      <c r="F68" s="570">
        <f>SUM(F66:F67)</f>
        <v>44</v>
      </c>
      <c r="G68" s="569">
        <v>0</v>
      </c>
      <c r="H68" s="570">
        <v>0</v>
      </c>
      <c r="I68" s="570">
        <v>53</v>
      </c>
      <c r="J68" s="570">
        <v>53</v>
      </c>
      <c r="K68" s="569">
        <v>0</v>
      </c>
      <c r="L68" s="570">
        <v>0</v>
      </c>
      <c r="M68" s="570">
        <v>48</v>
      </c>
      <c r="N68" s="571">
        <v>48</v>
      </c>
      <c r="O68" s="570">
        <v>19</v>
      </c>
      <c r="P68" s="570"/>
      <c r="Q68" s="570">
        <v>48</v>
      </c>
      <c r="R68" s="571">
        <v>67</v>
      </c>
      <c r="S68" s="570">
        <v>11</v>
      </c>
      <c r="T68" s="570"/>
      <c r="U68" s="570">
        <v>53</v>
      </c>
      <c r="V68" s="571">
        <v>64</v>
      </c>
      <c r="W68" s="570">
        <v>18</v>
      </c>
      <c r="X68" s="570"/>
      <c r="Y68" s="570">
        <v>33</v>
      </c>
      <c r="Z68" s="571">
        <v>51</v>
      </c>
      <c r="AA68" s="570">
        <f>SUM(AA65:AA67)</f>
        <v>17</v>
      </c>
      <c r="AB68" s="570">
        <f>SUM(AB65:AB67)</f>
        <v>23</v>
      </c>
      <c r="AC68" s="570">
        <f>SUM(AC65:AC67)</f>
        <v>177</v>
      </c>
      <c r="AD68" s="571">
        <f t="shared" si="65"/>
        <v>217</v>
      </c>
      <c r="AE68" s="570">
        <f>SUM(AE65:AE67)</f>
        <v>59</v>
      </c>
      <c r="AF68" s="570"/>
      <c r="AG68" s="570"/>
      <c r="AH68" s="571">
        <f t="shared" si="71"/>
        <v>59</v>
      </c>
      <c r="AI68" s="570">
        <f>SUM(AI65:AI67)</f>
        <v>16</v>
      </c>
      <c r="AJ68" s="570">
        <f>SUM(AJ65:AJ67)</f>
        <v>128</v>
      </c>
      <c r="AK68" s="570">
        <f>SUM(AK65:AK67)</f>
        <v>61</v>
      </c>
      <c r="AL68" s="571">
        <f t="shared" si="73"/>
        <v>205</v>
      </c>
      <c r="AM68" s="570">
        <f>SUM(AM65:AM67)</f>
        <v>17</v>
      </c>
      <c r="AN68" s="570">
        <f>SUM(AN65:AN67)</f>
        <v>0</v>
      </c>
      <c r="AO68" s="570">
        <f>SUM(AO65:AO67)</f>
        <v>68</v>
      </c>
      <c r="AP68" s="571">
        <f t="shared" si="74"/>
        <v>85</v>
      </c>
      <c r="AQ68" s="570">
        <f>SUM(AQ65:AQ67)</f>
        <v>16</v>
      </c>
      <c r="AR68" s="570">
        <f>SUM(AR65:AR67)</f>
        <v>157</v>
      </c>
      <c r="AS68" s="570">
        <f>SUM(AS65:AS67)</f>
        <v>51</v>
      </c>
      <c r="AT68" s="571">
        <f t="shared" si="75"/>
        <v>224</v>
      </c>
      <c r="AU68" s="570">
        <f>SUM(AU65:AU67)</f>
        <v>19</v>
      </c>
      <c r="AV68" s="570">
        <f>SUM(AV65:AV67)</f>
        <v>0</v>
      </c>
      <c r="AW68" s="570">
        <f>SUM(AW65:AW67)</f>
        <v>84</v>
      </c>
      <c r="AX68" s="571">
        <f t="shared" si="76"/>
        <v>103</v>
      </c>
      <c r="AY68" s="570">
        <f>SUM(AY65:AY67)</f>
        <v>14</v>
      </c>
      <c r="AZ68" s="570">
        <f>SUM(AZ65:AZ67)</f>
        <v>125</v>
      </c>
      <c r="BA68" s="570">
        <f>SUM(BA65:BA67)</f>
        <v>58</v>
      </c>
      <c r="BB68" s="571">
        <f t="shared" si="77"/>
        <v>197</v>
      </c>
      <c r="BC68" s="570">
        <f>SUM(BC65:BC67)</f>
        <v>26</v>
      </c>
      <c r="BD68" s="570">
        <f>SUM(BD65:BD67)</f>
        <v>0</v>
      </c>
      <c r="BE68" s="570">
        <f>SUM(BE65:BE67)</f>
        <v>61</v>
      </c>
      <c r="BF68" s="571">
        <f t="shared" si="78"/>
        <v>87</v>
      </c>
      <c r="BG68" s="570">
        <f>SUM(BG65:BG67)</f>
        <v>33</v>
      </c>
      <c r="BH68" s="570">
        <f>SUM(BH65:BH67)</f>
        <v>119</v>
      </c>
      <c r="BI68" s="570">
        <f>SUM(BI65:BI67)</f>
        <v>90</v>
      </c>
      <c r="BJ68" s="571">
        <f t="shared" si="79"/>
        <v>242</v>
      </c>
    </row>
    <row r="69" spans="1:62" ht="15" customHeight="1" x14ac:dyDescent="0.2">
      <c r="A69" s="6226" t="s">
        <v>680</v>
      </c>
      <c r="B69" s="1029" t="s">
        <v>615</v>
      </c>
      <c r="C69" s="1035"/>
      <c r="D69" s="1036">
        <f t="shared" ref="D69:E71" si="80">SUM(D57,D61,D65)</f>
        <v>0</v>
      </c>
      <c r="E69" s="1036">
        <f t="shared" si="80"/>
        <v>0</v>
      </c>
      <c r="F69" s="1037">
        <f>SUM(C69:E69)</f>
        <v>0</v>
      </c>
      <c r="G69" s="1035">
        <v>27</v>
      </c>
      <c r="H69" s="1036">
        <v>0</v>
      </c>
      <c r="I69" s="1036">
        <v>0</v>
      </c>
      <c r="J69" s="1037">
        <v>27</v>
      </c>
      <c r="K69" s="1035">
        <v>0</v>
      </c>
      <c r="L69" s="1036">
        <v>0</v>
      </c>
      <c r="M69" s="1036">
        <v>70</v>
      </c>
      <c r="N69" s="1038">
        <v>70</v>
      </c>
      <c r="O69" s="1036">
        <v>44</v>
      </c>
      <c r="P69" s="1036"/>
      <c r="Q69" s="1036">
        <v>95</v>
      </c>
      <c r="R69" s="1038">
        <v>139</v>
      </c>
      <c r="S69" s="1036">
        <v>28</v>
      </c>
      <c r="T69" s="1036"/>
      <c r="U69" s="1036"/>
      <c r="V69" s="1038">
        <v>28</v>
      </c>
      <c r="W69" s="1036">
        <v>40</v>
      </c>
      <c r="X69" s="1036"/>
      <c r="Y69" s="1036">
        <v>118</v>
      </c>
      <c r="Z69" s="1038">
        <v>158</v>
      </c>
      <c r="AA69" s="1036">
        <f t="shared" ref="AA69:AD71" si="81">AA57+AA61+AA65</f>
        <v>23</v>
      </c>
      <c r="AB69" s="1036"/>
      <c r="AC69" s="1036"/>
      <c r="AD69" s="1038">
        <f t="shared" si="81"/>
        <v>23</v>
      </c>
      <c r="AE69" s="1036"/>
      <c r="AF69" s="1036"/>
      <c r="AG69" s="1036"/>
      <c r="AH69" s="1038"/>
      <c r="AI69" s="1036">
        <f>+AI57+AI61+AI65</f>
        <v>92</v>
      </c>
      <c r="AJ69" s="1036"/>
      <c r="AK69" s="1036"/>
      <c r="AL69" s="1038">
        <f>SUM(AI69:AK69)</f>
        <v>92</v>
      </c>
      <c r="AM69" s="1036"/>
      <c r="AN69" s="1036"/>
      <c r="AO69" s="1036">
        <f>+AO65+AO61+AO57</f>
        <v>222</v>
      </c>
      <c r="AP69" s="1038">
        <f t="shared" si="74"/>
        <v>222</v>
      </c>
      <c r="AQ69" s="1036">
        <f>SUM(AQ57,AQ61,AQ65)</f>
        <v>79</v>
      </c>
      <c r="AR69" s="1036">
        <f>SUM(AR57,AR61,AR65)</f>
        <v>0</v>
      </c>
      <c r="AS69" s="1036">
        <f>SUM(AS57,AS61,AS65)</f>
        <v>117</v>
      </c>
      <c r="AT69" s="1038">
        <f t="shared" si="75"/>
        <v>196</v>
      </c>
      <c r="AU69" s="1036">
        <f>SUM(AU57,AU61,AU65)</f>
        <v>0</v>
      </c>
      <c r="AV69" s="1036">
        <f>SUM(AV57,AV61,AV65)</f>
        <v>0</v>
      </c>
      <c r="AW69" s="1036">
        <f>SUM(AW57,AW61,AW65)</f>
        <v>0</v>
      </c>
      <c r="AX69" s="1038">
        <f t="shared" si="76"/>
        <v>0</v>
      </c>
      <c r="AY69" s="1036">
        <f>SUM(AY57,AY61,AY65)</f>
        <v>79</v>
      </c>
      <c r="AZ69" s="1036">
        <f>SUM(AZ57,AZ61,AZ65)</f>
        <v>0</v>
      </c>
      <c r="BA69" s="1036">
        <f>SUM(BA57,BA61,BA65)</f>
        <v>0</v>
      </c>
      <c r="BB69" s="1038">
        <f t="shared" si="77"/>
        <v>79</v>
      </c>
      <c r="BC69" s="1036">
        <f>SUM(BC57,BC61,BC65)</f>
        <v>0</v>
      </c>
      <c r="BD69" s="1036">
        <f>SUM(BD57,BD61,BD65)</f>
        <v>0</v>
      </c>
      <c r="BE69" s="1036">
        <f>SUM(BE57,BE61,BE65)</f>
        <v>0</v>
      </c>
      <c r="BF69" s="1038">
        <f t="shared" si="78"/>
        <v>0</v>
      </c>
      <c r="BG69" s="1036">
        <f>SUM(BG57,BG61,BG65)</f>
        <v>0</v>
      </c>
      <c r="BH69" s="1036">
        <f>SUM(BH57,BH61,BH65)</f>
        <v>0</v>
      </c>
      <c r="BI69" s="1036">
        <f>SUM(BI57,BI61,BI65)</f>
        <v>30</v>
      </c>
      <c r="BJ69" s="1038">
        <f t="shared" si="79"/>
        <v>30</v>
      </c>
    </row>
    <row r="70" spans="1:62" ht="15" x14ac:dyDescent="0.2">
      <c r="A70" s="6226"/>
      <c r="B70" s="1034" t="s">
        <v>616</v>
      </c>
      <c r="C70" s="1035"/>
      <c r="D70" s="1036">
        <f t="shared" si="80"/>
        <v>79</v>
      </c>
      <c r="E70" s="1036">
        <f t="shared" si="80"/>
        <v>198</v>
      </c>
      <c r="F70" s="1037">
        <f>SUM(C70:E70)</f>
        <v>277</v>
      </c>
      <c r="G70" s="1035">
        <v>80</v>
      </c>
      <c r="H70" s="1036">
        <v>0</v>
      </c>
      <c r="I70" s="1036">
        <v>524</v>
      </c>
      <c r="J70" s="1037">
        <v>604</v>
      </c>
      <c r="K70" s="1035">
        <v>34</v>
      </c>
      <c r="L70" s="1036">
        <v>9</v>
      </c>
      <c r="M70" s="1036">
        <v>194</v>
      </c>
      <c r="N70" s="1038">
        <v>237</v>
      </c>
      <c r="O70" s="1036">
        <v>24</v>
      </c>
      <c r="P70" s="1036">
        <v>9</v>
      </c>
      <c r="Q70" s="1036">
        <v>418</v>
      </c>
      <c r="R70" s="1038">
        <v>451</v>
      </c>
      <c r="S70" s="1036">
        <v>14</v>
      </c>
      <c r="T70" s="1036">
        <v>24</v>
      </c>
      <c r="U70" s="1036">
        <v>313</v>
      </c>
      <c r="V70" s="1038">
        <v>351</v>
      </c>
      <c r="W70" s="1036">
        <v>62</v>
      </c>
      <c r="X70" s="1036">
        <v>51</v>
      </c>
      <c r="Y70" s="1036">
        <v>405</v>
      </c>
      <c r="Z70" s="1038">
        <v>518</v>
      </c>
      <c r="AA70" s="1036">
        <f t="shared" si="81"/>
        <v>45</v>
      </c>
      <c r="AB70" s="1036">
        <f t="shared" si="81"/>
        <v>35</v>
      </c>
      <c r="AC70" s="1036">
        <f t="shared" si="81"/>
        <v>437</v>
      </c>
      <c r="AD70" s="1038">
        <f t="shared" si="81"/>
        <v>517</v>
      </c>
      <c r="AE70" s="1036">
        <f>SUM(AE58,AE62,AE66)</f>
        <v>78</v>
      </c>
      <c r="AF70" s="1036">
        <f t="shared" ref="AF70:AH71" si="82">AF58+AF62+AF66</f>
        <v>115</v>
      </c>
      <c r="AG70" s="1036">
        <f t="shared" si="82"/>
        <v>669</v>
      </c>
      <c r="AH70" s="1038">
        <f t="shared" si="82"/>
        <v>862</v>
      </c>
      <c r="AI70" s="1036">
        <f>SUM(AI58,AI62,AI66)</f>
        <v>76</v>
      </c>
      <c r="AJ70" s="1036">
        <f t="shared" ref="AJ70:AL71" si="83">AJ58+AJ62+AJ66</f>
        <v>175</v>
      </c>
      <c r="AK70" s="1036">
        <f t="shared" si="83"/>
        <v>351</v>
      </c>
      <c r="AL70" s="1038">
        <f t="shared" si="83"/>
        <v>602</v>
      </c>
      <c r="AM70" s="1036">
        <f>SUM(AM58,AM62,AM66)</f>
        <v>93</v>
      </c>
      <c r="AN70" s="1036">
        <f>AN58+AN62+AN66</f>
        <v>43</v>
      </c>
      <c r="AO70" s="1036">
        <f>AO58+AO62+AO66</f>
        <v>833</v>
      </c>
      <c r="AP70" s="1038">
        <f t="shared" si="74"/>
        <v>969</v>
      </c>
      <c r="AQ70" s="1036">
        <f>SUM(AQ58,AQ62,AQ66)</f>
        <v>104</v>
      </c>
      <c r="AR70" s="1036">
        <f>AR58+AR62+AR66</f>
        <v>249</v>
      </c>
      <c r="AS70" s="1036">
        <f>AS58+AS62+AS66</f>
        <v>265</v>
      </c>
      <c r="AT70" s="1038">
        <f t="shared" si="75"/>
        <v>618</v>
      </c>
      <c r="AU70" s="1036">
        <f>SUM(AU58,AU62,AU66)</f>
        <v>76</v>
      </c>
      <c r="AV70" s="1036">
        <f>AV58+AV62+AV66</f>
        <v>57</v>
      </c>
      <c r="AW70" s="1036">
        <f>AW58+AW62+AW66</f>
        <v>1078</v>
      </c>
      <c r="AX70" s="1038">
        <f t="shared" si="76"/>
        <v>1211</v>
      </c>
      <c r="AY70" s="1036">
        <f>SUM(AY58,AY62,AY66)</f>
        <v>85</v>
      </c>
      <c r="AZ70" s="1036">
        <f>AZ58+AZ62+AZ66</f>
        <v>200</v>
      </c>
      <c r="BA70" s="1036">
        <f>BA58+BA62+BA66</f>
        <v>365</v>
      </c>
      <c r="BB70" s="1038">
        <f t="shared" si="77"/>
        <v>650</v>
      </c>
      <c r="BC70" s="1036">
        <f>SUM(BC58,BC62,BC66)</f>
        <v>65</v>
      </c>
      <c r="BD70" s="1036">
        <f>BD58+BD62+BD66</f>
        <v>73</v>
      </c>
      <c r="BE70" s="1036">
        <f>BE58+BE62+BE66</f>
        <v>971</v>
      </c>
      <c r="BF70" s="1038">
        <f t="shared" si="78"/>
        <v>1109</v>
      </c>
      <c r="BG70" s="1036">
        <f>SUM(BG58,BG62,BG66)</f>
        <v>223</v>
      </c>
      <c r="BH70" s="1036">
        <f>BH58+BH62+BH66</f>
        <v>169</v>
      </c>
      <c r="BI70" s="1036">
        <f>BI58+BI62+BI66</f>
        <v>430</v>
      </c>
      <c r="BJ70" s="1038">
        <f t="shared" si="79"/>
        <v>822</v>
      </c>
    </row>
    <row r="71" spans="1:62" ht="15" x14ac:dyDescent="0.2">
      <c r="A71" s="6226"/>
      <c r="B71" s="1040" t="s">
        <v>617</v>
      </c>
      <c r="C71" s="1035"/>
      <c r="D71" s="1036">
        <f t="shared" si="80"/>
        <v>0</v>
      </c>
      <c r="E71" s="1036">
        <f t="shared" si="80"/>
        <v>44</v>
      </c>
      <c r="F71" s="1037">
        <f>SUM(C71:E71)</f>
        <v>44</v>
      </c>
      <c r="G71" s="1035">
        <v>12</v>
      </c>
      <c r="H71" s="1036">
        <v>0</v>
      </c>
      <c r="I71" s="1036">
        <v>25</v>
      </c>
      <c r="J71" s="1037">
        <v>37</v>
      </c>
      <c r="K71" s="1035">
        <v>100</v>
      </c>
      <c r="L71" s="1036">
        <v>0</v>
      </c>
      <c r="M71" s="1036">
        <v>52</v>
      </c>
      <c r="N71" s="1038">
        <v>152</v>
      </c>
      <c r="O71" s="1036">
        <v>25</v>
      </c>
      <c r="P71" s="1036"/>
      <c r="Q71" s="1036">
        <v>43</v>
      </c>
      <c r="R71" s="1038">
        <v>68</v>
      </c>
      <c r="S71" s="1036">
        <v>176</v>
      </c>
      <c r="T71" s="1036">
        <v>19</v>
      </c>
      <c r="U71" s="1036">
        <v>90</v>
      </c>
      <c r="V71" s="1038">
        <v>285</v>
      </c>
      <c r="W71" s="1036">
        <v>44</v>
      </c>
      <c r="X71" s="1036"/>
      <c r="Y71" s="1036">
        <v>15</v>
      </c>
      <c r="Z71" s="1038">
        <v>59</v>
      </c>
      <c r="AA71" s="1036">
        <f t="shared" si="81"/>
        <v>211</v>
      </c>
      <c r="AB71" s="1036"/>
      <c r="AC71" s="1036">
        <f t="shared" si="81"/>
        <v>44</v>
      </c>
      <c r="AD71" s="1038">
        <f t="shared" si="81"/>
        <v>255</v>
      </c>
      <c r="AE71" s="1036">
        <f>AE59+AE63+AE67</f>
        <v>10</v>
      </c>
      <c r="AF71" s="1036"/>
      <c r="AG71" s="1036">
        <f t="shared" si="82"/>
        <v>58</v>
      </c>
      <c r="AH71" s="1038">
        <f t="shared" si="82"/>
        <v>68</v>
      </c>
      <c r="AI71" s="1036">
        <f>AI59+AI63+AI67</f>
        <v>116</v>
      </c>
      <c r="AJ71" s="1036"/>
      <c r="AK71" s="1036">
        <f t="shared" si="83"/>
        <v>70</v>
      </c>
      <c r="AL71" s="1038">
        <f t="shared" si="83"/>
        <v>186</v>
      </c>
      <c r="AM71" s="1036">
        <f>AM59+AM63+AM67</f>
        <v>39</v>
      </c>
      <c r="AN71" s="1036"/>
      <c r="AO71" s="1036">
        <f>AO59+AO63+AO67</f>
        <v>68</v>
      </c>
      <c r="AP71" s="1038">
        <f t="shared" si="74"/>
        <v>107</v>
      </c>
      <c r="AQ71" s="1036">
        <f>AQ59+AQ63+AQ67</f>
        <v>175</v>
      </c>
      <c r="AR71" s="1036"/>
      <c r="AS71" s="1036">
        <f>AS59+AS63+AS67</f>
        <v>42</v>
      </c>
      <c r="AT71" s="1038">
        <f t="shared" si="75"/>
        <v>217</v>
      </c>
      <c r="AU71" s="1036">
        <f>AU59+AU63+AU67</f>
        <v>40</v>
      </c>
      <c r="AV71" s="1036">
        <f>AV59+AV63+AV67</f>
        <v>0</v>
      </c>
      <c r="AW71" s="1036">
        <f>AW59+AW63+AW67</f>
        <v>72</v>
      </c>
      <c r="AX71" s="1038">
        <f t="shared" si="76"/>
        <v>112</v>
      </c>
      <c r="AY71" s="1036">
        <f>AY59+AY63+AY67</f>
        <v>209</v>
      </c>
      <c r="AZ71" s="1036">
        <f>AZ59+AZ63+AZ67</f>
        <v>0</v>
      </c>
      <c r="BA71" s="1036">
        <f>BA59+BA63+BA67</f>
        <v>61</v>
      </c>
      <c r="BB71" s="1038">
        <f t="shared" si="77"/>
        <v>270</v>
      </c>
      <c r="BC71" s="1036">
        <f>BC59+BC63+BC67</f>
        <v>57</v>
      </c>
      <c r="BD71" s="1036">
        <f>BD59+BD63+BD67</f>
        <v>0</v>
      </c>
      <c r="BE71" s="1036">
        <f>BE59+BE63+BE67</f>
        <v>58</v>
      </c>
      <c r="BF71" s="1038">
        <f t="shared" si="78"/>
        <v>115</v>
      </c>
      <c r="BG71" s="1036">
        <f>BG59+BG63+BG67</f>
        <v>251</v>
      </c>
      <c r="BH71" s="1036">
        <f>BH59+BH63+BH67</f>
        <v>0</v>
      </c>
      <c r="BI71" s="1036">
        <f>BI59+BI63+BI67</f>
        <v>177</v>
      </c>
      <c r="BJ71" s="1038">
        <f t="shared" si="79"/>
        <v>428</v>
      </c>
    </row>
    <row r="72" spans="1:62" ht="12.75" customHeight="1" x14ac:dyDescent="0.2">
      <c r="A72" s="6227"/>
      <c r="B72" s="2418" t="s">
        <v>12</v>
      </c>
      <c r="C72" s="2419"/>
      <c r="D72" s="2420">
        <f>SUM(D69:D71)</f>
        <v>79</v>
      </c>
      <c r="E72" s="2420">
        <f>SUM(E69:E71)</f>
        <v>242</v>
      </c>
      <c r="F72" s="2420">
        <f>SUM(F69:F71)</f>
        <v>321</v>
      </c>
      <c r="G72" s="2419">
        <v>119</v>
      </c>
      <c r="H72" s="2420">
        <v>0</v>
      </c>
      <c r="I72" s="2420">
        <v>549</v>
      </c>
      <c r="J72" s="2420">
        <v>668</v>
      </c>
      <c r="K72" s="2419">
        <v>134</v>
      </c>
      <c r="L72" s="2420">
        <v>9</v>
      </c>
      <c r="M72" s="2420">
        <v>316</v>
      </c>
      <c r="N72" s="2421">
        <v>459</v>
      </c>
      <c r="O72" s="2420">
        <v>93</v>
      </c>
      <c r="P72" s="2420">
        <v>9</v>
      </c>
      <c r="Q72" s="2420">
        <v>556</v>
      </c>
      <c r="R72" s="2421">
        <v>658</v>
      </c>
      <c r="S72" s="2420">
        <v>218</v>
      </c>
      <c r="T72" s="2420">
        <v>43</v>
      </c>
      <c r="U72" s="2420">
        <v>403</v>
      </c>
      <c r="V72" s="2421">
        <v>664</v>
      </c>
      <c r="W72" s="2420">
        <v>146</v>
      </c>
      <c r="X72" s="2420">
        <v>51</v>
      </c>
      <c r="Y72" s="2420">
        <v>538</v>
      </c>
      <c r="Z72" s="2421">
        <v>735</v>
      </c>
      <c r="AA72" s="2420">
        <f t="shared" ref="AA72:AH72" si="84">SUM(AA69:AA71)</f>
        <v>279</v>
      </c>
      <c r="AB72" s="2420">
        <f t="shared" si="84"/>
        <v>35</v>
      </c>
      <c r="AC72" s="2420">
        <f t="shared" si="84"/>
        <v>481</v>
      </c>
      <c r="AD72" s="2421">
        <f t="shared" si="84"/>
        <v>795</v>
      </c>
      <c r="AE72" s="2420">
        <f t="shared" si="84"/>
        <v>88</v>
      </c>
      <c r="AF72" s="2420">
        <f t="shared" si="84"/>
        <v>115</v>
      </c>
      <c r="AG72" s="2420">
        <f t="shared" si="84"/>
        <v>727</v>
      </c>
      <c r="AH72" s="2421">
        <f t="shared" si="84"/>
        <v>930</v>
      </c>
      <c r="AI72" s="2420">
        <f t="shared" ref="AI72:AP72" si="85">SUM(AI69:AI71)</f>
        <v>284</v>
      </c>
      <c r="AJ72" s="2420">
        <f t="shared" si="85"/>
        <v>175</v>
      </c>
      <c r="AK72" s="2420">
        <f t="shared" si="85"/>
        <v>421</v>
      </c>
      <c r="AL72" s="2421">
        <f t="shared" si="85"/>
        <v>880</v>
      </c>
      <c r="AM72" s="2420">
        <f t="shared" si="85"/>
        <v>132</v>
      </c>
      <c r="AN72" s="2420">
        <f t="shared" si="85"/>
        <v>43</v>
      </c>
      <c r="AO72" s="2420">
        <f t="shared" si="85"/>
        <v>1123</v>
      </c>
      <c r="AP72" s="2421">
        <f t="shared" si="85"/>
        <v>1298</v>
      </c>
      <c r="AQ72" s="2420">
        <f t="shared" ref="AQ72:AX72" si="86">SUM(AQ69:AQ71)</f>
        <v>358</v>
      </c>
      <c r="AR72" s="2420">
        <f t="shared" si="86"/>
        <v>249</v>
      </c>
      <c r="AS72" s="2420">
        <f t="shared" si="86"/>
        <v>424</v>
      </c>
      <c r="AT72" s="2421">
        <f t="shared" si="86"/>
        <v>1031</v>
      </c>
      <c r="AU72" s="2420">
        <f t="shared" si="86"/>
        <v>116</v>
      </c>
      <c r="AV72" s="2420">
        <f t="shared" si="86"/>
        <v>57</v>
      </c>
      <c r="AW72" s="2420">
        <f t="shared" si="86"/>
        <v>1150</v>
      </c>
      <c r="AX72" s="2421">
        <f t="shared" si="86"/>
        <v>1323</v>
      </c>
      <c r="AY72" s="2420">
        <f t="shared" ref="AY72:BF72" si="87">SUM(AY69:AY71)</f>
        <v>373</v>
      </c>
      <c r="AZ72" s="2420">
        <f t="shared" si="87"/>
        <v>200</v>
      </c>
      <c r="BA72" s="2420">
        <f t="shared" si="87"/>
        <v>426</v>
      </c>
      <c r="BB72" s="2421">
        <f t="shared" si="87"/>
        <v>999</v>
      </c>
      <c r="BC72" s="2420">
        <f t="shared" si="87"/>
        <v>122</v>
      </c>
      <c r="BD72" s="2420">
        <f t="shared" si="87"/>
        <v>73</v>
      </c>
      <c r="BE72" s="2420">
        <f t="shared" si="87"/>
        <v>1029</v>
      </c>
      <c r="BF72" s="2421">
        <f t="shared" si="87"/>
        <v>1224</v>
      </c>
      <c r="BG72" s="2420">
        <f t="shared" ref="BG72:BJ72" si="88">SUM(BG69:BG71)</f>
        <v>474</v>
      </c>
      <c r="BH72" s="2420">
        <f t="shared" si="88"/>
        <v>169</v>
      </c>
      <c r="BI72" s="2420">
        <f t="shared" si="88"/>
        <v>637</v>
      </c>
      <c r="BJ72" s="2421">
        <f t="shared" si="88"/>
        <v>1280</v>
      </c>
    </row>
    <row r="73" spans="1:62" ht="15" x14ac:dyDescent="0.2">
      <c r="A73" s="904"/>
      <c r="B73" s="904"/>
      <c r="C73" s="377"/>
      <c r="D73" s="377"/>
      <c r="E73" s="377"/>
      <c r="F73" s="377"/>
      <c r="G73" s="377"/>
      <c r="H73" s="377"/>
      <c r="I73" s="377"/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  <c r="V73" s="377"/>
      <c r="W73" s="377"/>
      <c r="X73" s="377"/>
      <c r="Y73" s="377"/>
      <c r="Z73" s="377"/>
      <c r="AA73" s="377"/>
      <c r="AB73" s="377"/>
      <c r="AC73" s="377"/>
      <c r="AD73" s="377"/>
      <c r="AE73" s="377"/>
      <c r="AF73" s="377"/>
      <c r="AG73" s="377"/>
      <c r="AH73" s="377"/>
      <c r="AI73" s="377"/>
      <c r="AJ73" s="377"/>
      <c r="AK73" s="377"/>
      <c r="AL73" s="377"/>
      <c r="AM73" s="377"/>
      <c r="AN73" s="377"/>
      <c r="AO73" s="377"/>
      <c r="AP73" s="377"/>
      <c r="AQ73" s="377"/>
      <c r="AR73" s="377"/>
      <c r="AS73" s="377"/>
      <c r="AT73" s="377"/>
      <c r="AU73" s="377"/>
      <c r="AV73" s="377"/>
      <c r="AW73" s="377"/>
      <c r="AX73" s="377"/>
      <c r="AY73" s="2928"/>
      <c r="AZ73" s="2928"/>
      <c r="BA73" s="2928"/>
      <c r="BB73" s="2928"/>
      <c r="BC73" s="2928"/>
      <c r="BD73" s="2928"/>
      <c r="BE73" s="2928"/>
      <c r="BF73" s="2928"/>
      <c r="BG73" s="2928"/>
      <c r="BH73" s="2928"/>
      <c r="BI73" s="2928"/>
      <c r="BJ73" s="2928"/>
    </row>
    <row r="74" spans="1:62" ht="15" x14ac:dyDescent="0.2">
      <c r="A74" s="6214" t="s">
        <v>573</v>
      </c>
      <c r="B74" s="1029" t="s">
        <v>615</v>
      </c>
      <c r="C74" s="1030">
        <f>SUM(C52,C69)</f>
        <v>1</v>
      </c>
      <c r="D74" s="1031">
        <f>SUM(D52,D69)</f>
        <v>2</v>
      </c>
      <c r="E74" s="1031">
        <f>SUM(E52,E69)</f>
        <v>209</v>
      </c>
      <c r="F74" s="1032">
        <f>SUM(C74:E74)</f>
        <v>212</v>
      </c>
      <c r="G74" s="1030">
        <v>29</v>
      </c>
      <c r="H74" s="1031">
        <v>3</v>
      </c>
      <c r="I74" s="1031">
        <v>326</v>
      </c>
      <c r="J74" s="1032">
        <v>358</v>
      </c>
      <c r="K74" s="1030">
        <v>2</v>
      </c>
      <c r="L74" s="1031">
        <v>63</v>
      </c>
      <c r="M74" s="1031">
        <v>214</v>
      </c>
      <c r="N74" s="1033">
        <v>267</v>
      </c>
      <c r="O74" s="1031">
        <v>212</v>
      </c>
      <c r="P74" s="1031">
        <v>79</v>
      </c>
      <c r="Q74" s="1031">
        <v>128</v>
      </c>
      <c r="R74" s="1033">
        <v>419</v>
      </c>
      <c r="S74" s="1031">
        <v>167</v>
      </c>
      <c r="T74" s="1031">
        <v>99</v>
      </c>
      <c r="U74" s="1031">
        <v>146</v>
      </c>
      <c r="V74" s="1033">
        <v>412</v>
      </c>
      <c r="W74" s="1031">
        <f t="shared" ref="W74:AD76" si="89">W18+W52+W69</f>
        <v>145</v>
      </c>
      <c r="X74" s="1031">
        <f t="shared" si="89"/>
        <v>9</v>
      </c>
      <c r="Y74" s="1031">
        <f t="shared" si="89"/>
        <v>276</v>
      </c>
      <c r="Z74" s="1033">
        <f t="shared" si="89"/>
        <v>430</v>
      </c>
      <c r="AA74" s="1031">
        <f t="shared" si="89"/>
        <v>26</v>
      </c>
      <c r="AB74" s="1031">
        <f t="shared" si="89"/>
        <v>215</v>
      </c>
      <c r="AC74" s="1031">
        <f t="shared" si="89"/>
        <v>322</v>
      </c>
      <c r="AD74" s="1033">
        <f t="shared" si="89"/>
        <v>563</v>
      </c>
      <c r="AE74" s="1030">
        <f t="shared" ref="AE74:AL74" si="90">SUM(AE18,AE52,AE69)</f>
        <v>7</v>
      </c>
      <c r="AF74" s="1031">
        <f t="shared" si="90"/>
        <v>11</v>
      </c>
      <c r="AG74" s="1031">
        <f t="shared" si="90"/>
        <v>431</v>
      </c>
      <c r="AH74" s="1033">
        <f t="shared" si="90"/>
        <v>449</v>
      </c>
      <c r="AI74" s="1030">
        <f t="shared" si="90"/>
        <v>104</v>
      </c>
      <c r="AJ74" s="1031">
        <f t="shared" si="90"/>
        <v>6</v>
      </c>
      <c r="AK74" s="1031">
        <f t="shared" si="90"/>
        <v>98</v>
      </c>
      <c r="AL74" s="1033">
        <f t="shared" si="90"/>
        <v>287</v>
      </c>
      <c r="AM74" s="1030">
        <f t="shared" ref="AM74:AO76" si="91">SUM(AM18,AM35,AM52,AM69)</f>
        <v>10</v>
      </c>
      <c r="AN74" s="1031">
        <f t="shared" si="91"/>
        <v>17</v>
      </c>
      <c r="AO74" s="1031">
        <f t="shared" si="91"/>
        <v>577</v>
      </c>
      <c r="AP74" s="1033">
        <f>SUM(AM74:AO74)</f>
        <v>604</v>
      </c>
      <c r="AQ74" s="1030">
        <f t="shared" ref="AQ74:AS76" si="92">SUM(AQ18,AQ35,AQ52,AQ69)</f>
        <v>86</v>
      </c>
      <c r="AR74" s="1031">
        <f t="shared" si="92"/>
        <v>6</v>
      </c>
      <c r="AS74" s="1031">
        <f t="shared" si="92"/>
        <v>134</v>
      </c>
      <c r="AT74" s="1033">
        <f>SUM(AQ74:AS74)</f>
        <v>226</v>
      </c>
      <c r="AU74" s="1030">
        <f t="shared" ref="AU74:AW76" si="93">SUM(AU18,AU35,AU52,AU69)</f>
        <v>7</v>
      </c>
      <c r="AV74" s="1031">
        <f t="shared" si="93"/>
        <v>9</v>
      </c>
      <c r="AW74" s="1031">
        <f t="shared" si="93"/>
        <v>302</v>
      </c>
      <c r="AX74" s="1033">
        <f>SUM(AU74:AW74)</f>
        <v>318</v>
      </c>
      <c r="AY74" s="1030">
        <f t="shared" ref="AY74:BA76" si="94">SUM(AY18,AY35,AY52,AY69)</f>
        <v>144</v>
      </c>
      <c r="AZ74" s="1031">
        <f t="shared" si="94"/>
        <v>10</v>
      </c>
      <c r="BA74" s="1031">
        <f t="shared" si="94"/>
        <v>112</v>
      </c>
      <c r="BB74" s="1033">
        <f>SUM(AY74:BA74)</f>
        <v>266</v>
      </c>
      <c r="BC74" s="1030">
        <f t="shared" ref="BC74:BE76" si="95">SUM(BC18,BC35,BC52,BC69)</f>
        <v>6</v>
      </c>
      <c r="BD74" s="1031">
        <f t="shared" si="95"/>
        <v>8</v>
      </c>
      <c r="BE74" s="1031">
        <f t="shared" si="95"/>
        <v>117</v>
      </c>
      <c r="BF74" s="1033">
        <f>SUM(BC74:BE74)</f>
        <v>131</v>
      </c>
      <c r="BG74" s="1030">
        <f t="shared" ref="BG74:BI74" si="96">SUM(BG18,BG35,BG52,BG69)</f>
        <v>4</v>
      </c>
      <c r="BH74" s="1031">
        <f t="shared" si="96"/>
        <v>97</v>
      </c>
      <c r="BI74" s="1031">
        <f t="shared" si="96"/>
        <v>102</v>
      </c>
      <c r="BJ74" s="1033">
        <f>SUM(BG74:BI74)</f>
        <v>203</v>
      </c>
    </row>
    <row r="75" spans="1:62" ht="15" x14ac:dyDescent="0.2">
      <c r="A75" s="6215"/>
      <c r="B75" s="1034" t="s">
        <v>616</v>
      </c>
      <c r="C75" s="1035">
        <f t="shared" ref="C75:E76" si="97">SUM(C53,C70)</f>
        <v>62</v>
      </c>
      <c r="D75" s="1036">
        <f t="shared" si="97"/>
        <v>109</v>
      </c>
      <c r="E75" s="1036">
        <f t="shared" si="97"/>
        <v>464</v>
      </c>
      <c r="F75" s="1037">
        <f>SUM(C75:E75)</f>
        <v>635</v>
      </c>
      <c r="G75" s="1035">
        <v>177</v>
      </c>
      <c r="H75" s="1036">
        <v>65</v>
      </c>
      <c r="I75" s="1036">
        <v>934</v>
      </c>
      <c r="J75" s="1037">
        <v>1176</v>
      </c>
      <c r="K75" s="1035">
        <v>310</v>
      </c>
      <c r="L75" s="1036">
        <v>110</v>
      </c>
      <c r="M75" s="1036">
        <v>612</v>
      </c>
      <c r="N75" s="1038">
        <v>1032</v>
      </c>
      <c r="O75" s="1036">
        <v>170</v>
      </c>
      <c r="P75" s="1036">
        <v>98</v>
      </c>
      <c r="Q75" s="1036">
        <v>909</v>
      </c>
      <c r="R75" s="1038">
        <v>1177</v>
      </c>
      <c r="S75" s="1036">
        <v>212</v>
      </c>
      <c r="T75" s="1036">
        <v>90</v>
      </c>
      <c r="U75" s="1036">
        <v>808</v>
      </c>
      <c r="V75" s="1038">
        <v>1110</v>
      </c>
      <c r="W75" s="1036">
        <f t="shared" si="89"/>
        <v>188</v>
      </c>
      <c r="X75" s="1036">
        <f t="shared" si="89"/>
        <v>69</v>
      </c>
      <c r="Y75" s="1036">
        <f t="shared" si="89"/>
        <v>1098</v>
      </c>
      <c r="Z75" s="1038">
        <f t="shared" si="89"/>
        <v>1355</v>
      </c>
      <c r="AA75" s="1036">
        <f t="shared" si="89"/>
        <v>83</v>
      </c>
      <c r="AB75" s="1036">
        <f t="shared" si="89"/>
        <v>50</v>
      </c>
      <c r="AC75" s="1036">
        <f t="shared" si="89"/>
        <v>1080</v>
      </c>
      <c r="AD75" s="1038">
        <f t="shared" si="89"/>
        <v>1213</v>
      </c>
      <c r="AE75" s="1035">
        <f t="shared" ref="AE75:AH76" si="98">SUM(AE19,AE53,AE70)</f>
        <v>141</v>
      </c>
      <c r="AF75" s="1036">
        <f t="shared" si="98"/>
        <v>129</v>
      </c>
      <c r="AG75" s="1036">
        <f t="shared" si="98"/>
        <v>1345</v>
      </c>
      <c r="AH75" s="1038">
        <f t="shared" si="98"/>
        <v>1615</v>
      </c>
      <c r="AI75" s="1035">
        <f>SUM(AI19,AI53,AI70,AI24)</f>
        <v>215</v>
      </c>
      <c r="AJ75" s="1036">
        <f>SUM(AJ19,AJ53,AJ70)</f>
        <v>568</v>
      </c>
      <c r="AK75" s="1036">
        <f>SUM(AK19,AK53,AK70)</f>
        <v>717</v>
      </c>
      <c r="AL75" s="1038">
        <f>SUM(AL19,AL53,AL70,AL24)</f>
        <v>1500</v>
      </c>
      <c r="AM75" s="1035">
        <f t="shared" si="91"/>
        <v>269</v>
      </c>
      <c r="AN75" s="1036">
        <f t="shared" si="91"/>
        <v>61</v>
      </c>
      <c r="AO75" s="1036">
        <f t="shared" si="91"/>
        <v>1540</v>
      </c>
      <c r="AP75" s="1038">
        <f>SUM(AM75:AO75)</f>
        <v>1870</v>
      </c>
      <c r="AQ75" s="1035">
        <f t="shared" si="92"/>
        <v>372</v>
      </c>
      <c r="AR75" s="1036">
        <f t="shared" si="92"/>
        <v>468</v>
      </c>
      <c r="AS75" s="1036">
        <f t="shared" si="92"/>
        <v>646</v>
      </c>
      <c r="AT75" s="1038">
        <f>SUM(AQ75:AS75)</f>
        <v>1486</v>
      </c>
      <c r="AU75" s="1035">
        <f t="shared" si="93"/>
        <v>270</v>
      </c>
      <c r="AV75" s="1036">
        <f t="shared" si="93"/>
        <v>116</v>
      </c>
      <c r="AW75" s="1036">
        <f t="shared" si="93"/>
        <v>2184</v>
      </c>
      <c r="AX75" s="1038">
        <f>SUM(AU75:AW75)</f>
        <v>2570</v>
      </c>
      <c r="AY75" s="1035">
        <f t="shared" si="94"/>
        <v>187</v>
      </c>
      <c r="AZ75" s="1036">
        <f t="shared" si="94"/>
        <v>299</v>
      </c>
      <c r="BA75" s="1036">
        <f t="shared" si="94"/>
        <v>1125</v>
      </c>
      <c r="BB75" s="1038">
        <f>SUM(AY75:BA75)</f>
        <v>1611</v>
      </c>
      <c r="BC75" s="1035">
        <f t="shared" si="95"/>
        <v>205</v>
      </c>
      <c r="BD75" s="1036">
        <f t="shared" si="95"/>
        <v>96</v>
      </c>
      <c r="BE75" s="1036">
        <f t="shared" si="95"/>
        <v>1806</v>
      </c>
      <c r="BF75" s="1038">
        <f>SUM(BC75:BE75)</f>
        <v>2107</v>
      </c>
      <c r="BG75" s="1035">
        <f t="shared" ref="BG75:BI75" si="99">SUM(BG19,BG36,BG53,BG70)</f>
        <v>490</v>
      </c>
      <c r="BH75" s="1036">
        <f t="shared" si="99"/>
        <v>187</v>
      </c>
      <c r="BI75" s="1036">
        <f t="shared" si="99"/>
        <v>1303</v>
      </c>
      <c r="BJ75" s="1038">
        <f>SUM(BG75:BI75)</f>
        <v>1980</v>
      </c>
    </row>
    <row r="76" spans="1:62" ht="15" x14ac:dyDescent="0.2">
      <c r="A76" s="6215"/>
      <c r="B76" s="1040" t="s">
        <v>617</v>
      </c>
      <c r="C76" s="1041">
        <f t="shared" si="97"/>
        <v>8</v>
      </c>
      <c r="D76" s="1042">
        <f t="shared" si="97"/>
        <v>0</v>
      </c>
      <c r="E76" s="1042">
        <f t="shared" si="97"/>
        <v>54</v>
      </c>
      <c r="F76" s="1043">
        <f>SUM(C76:E76)</f>
        <v>62</v>
      </c>
      <c r="G76" s="1041">
        <v>22</v>
      </c>
      <c r="H76" s="1042">
        <v>0</v>
      </c>
      <c r="I76" s="1042">
        <v>40</v>
      </c>
      <c r="J76" s="1043">
        <v>62</v>
      </c>
      <c r="K76" s="1041">
        <v>152</v>
      </c>
      <c r="L76" s="1042">
        <v>18</v>
      </c>
      <c r="M76" s="1042">
        <v>64</v>
      </c>
      <c r="N76" s="1044">
        <v>234</v>
      </c>
      <c r="O76" s="1042">
        <v>40</v>
      </c>
      <c r="P76" s="1042">
        <v>22</v>
      </c>
      <c r="Q76" s="1042">
        <v>56</v>
      </c>
      <c r="R76" s="1044">
        <v>118</v>
      </c>
      <c r="S76" s="1042">
        <v>186</v>
      </c>
      <c r="T76" s="1042">
        <v>47</v>
      </c>
      <c r="U76" s="1042">
        <v>138</v>
      </c>
      <c r="V76" s="1044">
        <v>371</v>
      </c>
      <c r="W76" s="1042">
        <f t="shared" si="89"/>
        <v>68</v>
      </c>
      <c r="X76" s="1042">
        <f t="shared" si="89"/>
        <v>8</v>
      </c>
      <c r="Y76" s="1042">
        <f t="shared" si="89"/>
        <v>270</v>
      </c>
      <c r="Z76" s="1044">
        <f t="shared" si="89"/>
        <v>346</v>
      </c>
      <c r="AA76" s="1042">
        <f t="shared" si="89"/>
        <v>227</v>
      </c>
      <c r="AB76" s="1042">
        <f t="shared" si="89"/>
        <v>52</v>
      </c>
      <c r="AC76" s="1042">
        <f t="shared" si="89"/>
        <v>128</v>
      </c>
      <c r="AD76" s="1044">
        <f t="shared" si="89"/>
        <v>407</v>
      </c>
      <c r="AE76" s="1049">
        <f t="shared" si="98"/>
        <v>68</v>
      </c>
      <c r="AF76" s="1050">
        <f t="shared" si="98"/>
        <v>54</v>
      </c>
      <c r="AG76" s="1050">
        <f t="shared" si="98"/>
        <v>388</v>
      </c>
      <c r="AH76" s="1051">
        <f t="shared" si="98"/>
        <v>510</v>
      </c>
      <c r="AI76" s="1049">
        <f>SUM(AI20,AI54,AI71,AI25)</f>
        <v>253</v>
      </c>
      <c r="AJ76" s="1050">
        <f>SUM(AJ20,AJ54,AJ71)</f>
        <v>33</v>
      </c>
      <c r="AK76" s="1050">
        <f>SUM(AK20,AK54,AK71)</f>
        <v>395</v>
      </c>
      <c r="AL76" s="1051">
        <f>SUM(AL20,AL54,AL71,AL25)</f>
        <v>681</v>
      </c>
      <c r="AM76" s="1049">
        <f t="shared" si="91"/>
        <v>165</v>
      </c>
      <c r="AN76" s="1050">
        <f t="shared" si="91"/>
        <v>11</v>
      </c>
      <c r="AO76" s="1050">
        <f t="shared" si="91"/>
        <v>379</v>
      </c>
      <c r="AP76" s="1051">
        <f>SUM(AM76:AO76)</f>
        <v>555</v>
      </c>
      <c r="AQ76" s="1049">
        <f t="shared" si="92"/>
        <v>260</v>
      </c>
      <c r="AR76" s="1050">
        <f t="shared" si="92"/>
        <v>13</v>
      </c>
      <c r="AS76" s="1050">
        <f t="shared" si="92"/>
        <v>508</v>
      </c>
      <c r="AT76" s="1051">
        <f>SUM(AQ76:AS76)</f>
        <v>781</v>
      </c>
      <c r="AU76" s="1049">
        <f t="shared" si="93"/>
        <v>105</v>
      </c>
      <c r="AV76" s="1050">
        <f t="shared" si="93"/>
        <v>17</v>
      </c>
      <c r="AW76" s="1050">
        <f t="shared" si="93"/>
        <v>553</v>
      </c>
      <c r="AX76" s="1051">
        <f>SUM(AU76:AW76)</f>
        <v>675</v>
      </c>
      <c r="AY76" s="1049">
        <f t="shared" si="94"/>
        <v>290</v>
      </c>
      <c r="AZ76" s="1050">
        <f t="shared" si="94"/>
        <v>19</v>
      </c>
      <c r="BA76" s="1050">
        <f t="shared" si="94"/>
        <v>342</v>
      </c>
      <c r="BB76" s="1051">
        <f>SUM(AY76:BA76)</f>
        <v>651</v>
      </c>
      <c r="BC76" s="1049">
        <f t="shared" si="95"/>
        <v>146</v>
      </c>
      <c r="BD76" s="1050">
        <f t="shared" si="95"/>
        <v>20</v>
      </c>
      <c r="BE76" s="1050">
        <f t="shared" si="95"/>
        <v>406</v>
      </c>
      <c r="BF76" s="1051">
        <f>SUM(BC76:BE76)</f>
        <v>572</v>
      </c>
      <c r="BG76" s="1049">
        <f t="shared" ref="BG76:BI76" si="100">SUM(BG20,BG37,BG54,BG71)</f>
        <v>347</v>
      </c>
      <c r="BH76" s="1050">
        <f t="shared" si="100"/>
        <v>15</v>
      </c>
      <c r="BI76" s="1050">
        <f t="shared" si="100"/>
        <v>367</v>
      </c>
      <c r="BJ76" s="1051">
        <f>SUM(BG76:BI76)</f>
        <v>729</v>
      </c>
    </row>
    <row r="77" spans="1:62" ht="12.75" customHeight="1" x14ac:dyDescent="0.2">
      <c r="A77" s="6216"/>
      <c r="B77" s="564" t="s">
        <v>12</v>
      </c>
      <c r="C77" s="565">
        <f>SUM(C74:C76)</f>
        <v>71</v>
      </c>
      <c r="D77" s="566">
        <f>SUM(D74:D76)</f>
        <v>111</v>
      </c>
      <c r="E77" s="566">
        <f>SUM(E74:E76)</f>
        <v>727</v>
      </c>
      <c r="F77" s="566">
        <f>SUM(F74:F76)</f>
        <v>909</v>
      </c>
      <c r="G77" s="565">
        <v>228</v>
      </c>
      <c r="H77" s="566">
        <v>68</v>
      </c>
      <c r="I77" s="566">
        <v>1300</v>
      </c>
      <c r="J77" s="566">
        <v>1596</v>
      </c>
      <c r="K77" s="565">
        <v>464</v>
      </c>
      <c r="L77" s="566">
        <v>191</v>
      </c>
      <c r="M77" s="566">
        <v>890</v>
      </c>
      <c r="N77" s="567">
        <v>1533</v>
      </c>
      <c r="O77" s="565">
        <v>422</v>
      </c>
      <c r="P77" s="566">
        <v>199</v>
      </c>
      <c r="Q77" s="566">
        <v>1093</v>
      </c>
      <c r="R77" s="567">
        <v>1714</v>
      </c>
      <c r="S77" s="566">
        <v>565</v>
      </c>
      <c r="T77" s="566">
        <v>236</v>
      </c>
      <c r="U77" s="566">
        <v>1092</v>
      </c>
      <c r="V77" s="567">
        <v>1893</v>
      </c>
      <c r="W77" s="566">
        <f t="shared" ref="W77:AD77" si="101">SUM(W74:W76)</f>
        <v>401</v>
      </c>
      <c r="X77" s="566">
        <f t="shared" si="101"/>
        <v>86</v>
      </c>
      <c r="Y77" s="566">
        <f t="shared" si="101"/>
        <v>1644</v>
      </c>
      <c r="Z77" s="567">
        <f t="shared" si="101"/>
        <v>2131</v>
      </c>
      <c r="AA77" s="566">
        <f t="shared" si="101"/>
        <v>336</v>
      </c>
      <c r="AB77" s="566">
        <f t="shared" si="101"/>
        <v>317</v>
      </c>
      <c r="AC77" s="566">
        <f t="shared" si="101"/>
        <v>1530</v>
      </c>
      <c r="AD77" s="567">
        <f t="shared" si="101"/>
        <v>2183</v>
      </c>
      <c r="AE77" s="570">
        <f t="shared" ref="AE77:AL77" si="102">SUM(AE74:AE76)</f>
        <v>216</v>
      </c>
      <c r="AF77" s="570">
        <f t="shared" si="102"/>
        <v>194</v>
      </c>
      <c r="AG77" s="570">
        <f t="shared" si="102"/>
        <v>2164</v>
      </c>
      <c r="AH77" s="571">
        <f t="shared" si="102"/>
        <v>2574</v>
      </c>
      <c r="AI77" s="570">
        <f t="shared" si="102"/>
        <v>572</v>
      </c>
      <c r="AJ77" s="570">
        <f t="shared" si="102"/>
        <v>607</v>
      </c>
      <c r="AK77" s="570">
        <f t="shared" si="102"/>
        <v>1210</v>
      </c>
      <c r="AL77" s="571">
        <f t="shared" si="102"/>
        <v>2468</v>
      </c>
      <c r="AM77" s="570">
        <f t="shared" ref="AM77:AT77" si="103">SUM(AM74:AM76)</f>
        <v>444</v>
      </c>
      <c r="AN77" s="570">
        <f t="shared" si="103"/>
        <v>89</v>
      </c>
      <c r="AO77" s="570">
        <f t="shared" si="103"/>
        <v>2496</v>
      </c>
      <c r="AP77" s="571">
        <f t="shared" si="103"/>
        <v>3029</v>
      </c>
      <c r="AQ77" s="570">
        <f t="shared" si="103"/>
        <v>718</v>
      </c>
      <c r="AR77" s="570">
        <f t="shared" si="103"/>
        <v>487</v>
      </c>
      <c r="AS77" s="570">
        <f t="shared" si="103"/>
        <v>1288</v>
      </c>
      <c r="AT77" s="571">
        <f t="shared" si="103"/>
        <v>2493</v>
      </c>
      <c r="AU77" s="570">
        <f t="shared" ref="AU77:BB77" si="104">SUM(AU74:AU76)</f>
        <v>382</v>
      </c>
      <c r="AV77" s="570">
        <f t="shared" si="104"/>
        <v>142</v>
      </c>
      <c r="AW77" s="570">
        <f t="shared" si="104"/>
        <v>3039</v>
      </c>
      <c r="AX77" s="571">
        <f t="shared" si="104"/>
        <v>3563</v>
      </c>
      <c r="AY77" s="570">
        <f t="shared" si="104"/>
        <v>621</v>
      </c>
      <c r="AZ77" s="570">
        <f t="shared" si="104"/>
        <v>328</v>
      </c>
      <c r="BA77" s="570">
        <f t="shared" si="104"/>
        <v>1579</v>
      </c>
      <c r="BB77" s="571">
        <f t="shared" si="104"/>
        <v>2528</v>
      </c>
      <c r="BC77" s="570">
        <f t="shared" ref="BC77:BJ77" si="105">SUM(BC74:BC76)</f>
        <v>357</v>
      </c>
      <c r="BD77" s="570">
        <f t="shared" si="105"/>
        <v>124</v>
      </c>
      <c r="BE77" s="570">
        <f t="shared" si="105"/>
        <v>2329</v>
      </c>
      <c r="BF77" s="571">
        <f t="shared" si="105"/>
        <v>2810</v>
      </c>
      <c r="BG77" s="570">
        <f t="shared" si="105"/>
        <v>841</v>
      </c>
      <c r="BH77" s="570">
        <f t="shared" si="105"/>
        <v>299</v>
      </c>
      <c r="BI77" s="570">
        <f t="shared" si="105"/>
        <v>1772</v>
      </c>
      <c r="BJ77" s="571">
        <f t="shared" si="105"/>
        <v>2912</v>
      </c>
    </row>
    <row r="78" spans="1:62" x14ac:dyDescent="0.2">
      <c r="A78" s="543" t="s">
        <v>1242</v>
      </c>
    </row>
    <row r="79" spans="1:62" x14ac:dyDescent="0.2">
      <c r="A79" s="543"/>
      <c r="AM79" s="908"/>
      <c r="AN79" s="908"/>
      <c r="AO79" s="908"/>
      <c r="AP79" s="908"/>
    </row>
    <row r="80" spans="1:62" x14ac:dyDescent="0.2">
      <c r="A80" s="543"/>
    </row>
    <row r="81" spans="27:42" x14ac:dyDescent="0.2">
      <c r="AD81" s="3903"/>
      <c r="AM81" s="211"/>
      <c r="AN81" s="211"/>
      <c r="AO81" s="211"/>
      <c r="AP81" s="211"/>
    </row>
    <row r="82" spans="27:42" x14ac:dyDescent="0.2">
      <c r="AA82" s="3911">
        <v>2003</v>
      </c>
      <c r="AD82" s="3903"/>
    </row>
    <row r="83" spans="27:42" x14ac:dyDescent="0.2">
      <c r="AA83" s="3911">
        <v>2004</v>
      </c>
      <c r="AD83" s="3903"/>
    </row>
    <row r="84" spans="27:42" x14ac:dyDescent="0.2">
      <c r="AA84" s="3911">
        <v>2005</v>
      </c>
      <c r="AD84" s="3903"/>
    </row>
    <row r="85" spans="27:42" x14ac:dyDescent="0.2">
      <c r="AA85" s="3911">
        <v>2006</v>
      </c>
      <c r="AD85" s="3903"/>
    </row>
    <row r="86" spans="27:42" x14ac:dyDescent="0.2">
      <c r="AA86" s="3911">
        <v>2007</v>
      </c>
    </row>
    <row r="87" spans="27:42" x14ac:dyDescent="0.2">
      <c r="AA87" s="3911">
        <v>2008</v>
      </c>
    </row>
    <row r="88" spans="27:42" x14ac:dyDescent="0.2">
      <c r="AA88" s="3911">
        <v>2009</v>
      </c>
    </row>
    <row r="89" spans="27:42" x14ac:dyDescent="0.2">
      <c r="AA89" s="3911">
        <v>2010</v>
      </c>
    </row>
    <row r="90" spans="27:42" x14ac:dyDescent="0.2">
      <c r="AA90" s="3911">
        <v>2011</v>
      </c>
    </row>
    <row r="91" spans="27:42" x14ac:dyDescent="0.2">
      <c r="AA91" s="3911">
        <v>2012</v>
      </c>
    </row>
    <row r="92" spans="27:42" x14ac:dyDescent="0.2">
      <c r="AA92" s="3911">
        <v>2013</v>
      </c>
    </row>
    <row r="93" spans="27:42" x14ac:dyDescent="0.2">
      <c r="AA93" s="3911">
        <v>2014</v>
      </c>
    </row>
    <row r="94" spans="27:42" x14ac:dyDescent="0.2">
      <c r="AA94" s="3911">
        <v>2015</v>
      </c>
    </row>
    <row r="95" spans="27:42" x14ac:dyDescent="0.2">
      <c r="AA95" s="3911">
        <v>2016</v>
      </c>
    </row>
    <row r="96" spans="27:42" x14ac:dyDescent="0.2">
      <c r="AA96" s="3911">
        <v>2017</v>
      </c>
    </row>
  </sheetData>
  <sheetProtection algorithmName="SHA-512" hashValue="EB7MAg8KJSvLZ93sAPE2D/+E79emOiML/gQq8pMr7mseoW/llsbyyHDBOMPrK81YQpxVFVBXsA3Pa8ErZRd7aw==" saltValue="IWe6FFILvLOS2ThzGLWJXw==" spinCount="100000" sheet="1" objects="1" scenarios="1"/>
  <mergeCells count="35">
    <mergeCell ref="BC3:BF3"/>
    <mergeCell ref="AU3:AX3"/>
    <mergeCell ref="AA3:AD3"/>
    <mergeCell ref="AY3:BB3"/>
    <mergeCell ref="A74:A77"/>
    <mergeCell ref="A14:A17"/>
    <mergeCell ref="A18:A21"/>
    <mergeCell ref="A40:A43"/>
    <mergeCell ref="A44:A47"/>
    <mergeCell ref="A48:A51"/>
    <mergeCell ref="A52:A55"/>
    <mergeCell ref="A57:A60"/>
    <mergeCell ref="A61:A64"/>
    <mergeCell ref="A65:A68"/>
    <mergeCell ref="A69:A72"/>
    <mergeCell ref="A23:A26"/>
    <mergeCell ref="A35:A38"/>
    <mergeCell ref="A31:A34"/>
    <mergeCell ref="A27:A30"/>
    <mergeCell ref="BG3:BJ3"/>
    <mergeCell ref="A1:B1"/>
    <mergeCell ref="AQ3:AT3"/>
    <mergeCell ref="A10:A13"/>
    <mergeCell ref="A6:A9"/>
    <mergeCell ref="A3:A4"/>
    <mergeCell ref="AM3:AP3"/>
    <mergeCell ref="C3:F3"/>
    <mergeCell ref="G3:J3"/>
    <mergeCell ref="K3:N3"/>
    <mergeCell ref="O3:R3"/>
    <mergeCell ref="S3:V3"/>
    <mergeCell ref="W3:Z3"/>
    <mergeCell ref="AE3:AH3"/>
    <mergeCell ref="AI3:AL3"/>
    <mergeCell ref="B3:B4"/>
  </mergeCells>
  <printOptions horizontalCentered="1" verticalCentered="1"/>
  <pageMargins left="0.31496062992125984" right="0.27559055118110237" top="0.27559055118110237" bottom="0.39370078740157483" header="0" footer="0.31496062992125984"/>
  <pageSetup scale="45" pageOrder="overThenDown" orientation="landscape" horizontalDpi="1200" verticalDpi="1200" r:id="rId1"/>
  <headerFooter alignWithMargins="0"/>
  <rowBreaks count="1" manualBreakCount="1">
    <brk id="78" max="53" man="1"/>
  </rowBreaks>
  <colBreaks count="2" manualBreakCount="2">
    <brk id="26" max="120" man="1"/>
    <brk id="54" max="1048575" man="1"/>
  </colBreaks>
  <ignoredErrors>
    <ignoredError sqref="AI9:AI12 AI57:AI61 AI40 Z7:AH8 AL7:AL8 AI20:AI21 AI14:AI18 AI54:AI55 AI43:AI52 N18:N19 AR61:AS63 AQ7:AS8 AQ41:AS42 AQ43:AS43 AU45:AW46 AU62:AW62 AW57 AV63 AU7:AX8 AY7:BA8 AY61:BA63 AY41:BB42 AY43:BA47 AM7:AO7 AY15:BA16 BC7:BE8 BC18:BE20 BD9:BE17 BC21 BE21 BE33 BC41:BE42 BC54:BE54 BD53:BE53 BC49:BE50 BC43:BE47 BC52:BE52 BC51:BE51 BC57:BE64 BC48:BE48 BG7:BI9 BG12:BH12 BI10 BG41:BJ42 BG43:BI44 BI33 BI15:BI16 BI12 BI17 BI11 BI13:BI14 BG47:BI51 BH45:BI46 BG58:BI59" formulaRange="1"/>
    <ignoredError sqref="Z41:AH46 AD62:AD67 AI53 AI19 AL10 Z9:AH16 Z40:AG40 Z57:AH61 Z47:AD47 AG47:AH47 Z18:AH21 Z17 AC17:AD17 AG17:AH17 Z48:AH55 AT41:AT43 AU41:AW43 BB43:BB47 BC9:BC17 BD21 BC53 BF48 BF49:BF50 BF41:BF42 BF51 BF43:BF47 BG61:BI63 BJ43:BJ51 BI18:BI20" formula="1" formulaRange="1"/>
    <ignoredError sqref="Z68:AH68 Z62:AC67 AE62:AH64 AI70 AJ20 AI75:AI76 AE70 AM70 AL9 AL40 AL11:AL21 AM60:AO60 AL68:AO68 AL66 AL64:AO65 AL60:AL63 AL25:AL38 AE66:AH67 AE65:AG65 AM53:AO55 AL42:AL43 AL44:AL55 AM61 AL67 F51 AP67 AP62:AP63 AP47 AP43 AP60 AP64:AP65 AP66 AP68 AP9:AP42 AP69:AP77 AP61 AP44:AP46 AP48:AP59 AT47 AT6:AT40 AT44:AT46 AT48:AT76 AU48:AX53 AX41:AX46 AW47:AX47 AV21 AX9:AX17 AX30:AX38 AY53 AX60:AX76 AZ21 BB9:BB17 BB30:BB38 BB60:BB76 BF7:BF40 BF52:BF76 BH21 BG55:BI57 BG60 BJ60" formula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B155"/>
  <sheetViews>
    <sheetView showGridLines="0" zoomScaleNormal="100" workbookViewId="0">
      <pane xSplit="4" ySplit="4" topLeftCell="BX5" activePane="bottomRight" state="frozen"/>
      <selection sqref="A1:E1"/>
      <selection pane="topRight" sqref="A1:E1"/>
      <selection pane="bottomLeft" sqref="A1:E1"/>
      <selection pane="bottomRight" activeCell="CD1" sqref="CD1:CG1048576"/>
    </sheetView>
  </sheetViews>
  <sheetFormatPr baseColWidth="10" defaultRowHeight="12.75" x14ac:dyDescent="0.2"/>
  <cols>
    <col min="1" max="1" width="9.140625" style="209" customWidth="1"/>
    <col min="2" max="3" width="9.42578125" style="228" customWidth="1"/>
    <col min="4" max="4" width="69.42578125" style="209" bestFit="1" customWidth="1"/>
    <col min="5" max="11" width="7.7109375" style="209" customWidth="1"/>
    <col min="12" max="12" width="10.42578125" style="209" customWidth="1"/>
    <col min="13" max="19" width="7.7109375" style="209" customWidth="1"/>
    <col min="20" max="20" width="10.42578125" style="209" customWidth="1"/>
    <col min="21" max="23" width="7.7109375" style="209" customWidth="1"/>
    <col min="24" max="24" width="7.7109375" style="222" customWidth="1"/>
    <col min="25" max="27" width="7.7109375" style="209" customWidth="1"/>
    <col min="28" max="28" width="7.7109375" style="222" customWidth="1"/>
    <col min="29" max="31" width="7.7109375" style="209" customWidth="1"/>
    <col min="32" max="32" width="7.7109375" style="222" customWidth="1"/>
    <col min="33" max="35" width="7.7109375" style="209" customWidth="1"/>
    <col min="36" max="36" width="7.7109375" style="222" customWidth="1"/>
    <col min="37" max="39" width="7.7109375" style="209" customWidth="1"/>
    <col min="40" max="40" width="7.7109375" style="222" customWidth="1"/>
    <col min="41" max="43" width="7.7109375" style="209" customWidth="1"/>
    <col min="44" max="44" width="7.7109375" style="222" customWidth="1"/>
    <col min="45" max="47" width="7.7109375" style="209" customWidth="1"/>
    <col min="48" max="48" width="7.7109375" style="222" customWidth="1"/>
    <col min="49" max="59" width="7.7109375" style="209" customWidth="1"/>
    <col min="60" max="60" width="9.42578125" style="209" customWidth="1"/>
    <col min="61" max="67" width="7.7109375" style="209" customWidth="1"/>
    <col min="68" max="68" width="9" style="209" customWidth="1"/>
    <col min="69" max="80" width="7.7109375" style="209" customWidth="1"/>
    <col min="81" max="267" width="11.42578125" style="209"/>
    <col min="268" max="268" width="2" style="209" customWidth="1"/>
    <col min="269" max="269" width="18.140625" style="209" customWidth="1"/>
    <col min="270" max="270" width="13.5703125" style="209" customWidth="1"/>
    <col min="271" max="271" width="52" style="209" customWidth="1"/>
    <col min="272" max="273" width="6.5703125" style="209" customWidth="1"/>
    <col min="274" max="274" width="7.5703125" style="209" customWidth="1"/>
    <col min="275" max="275" width="7.42578125" style="209" customWidth="1"/>
    <col min="276" max="276" width="8.42578125" style="209" customWidth="1"/>
    <col min="277" max="277" width="7.28515625" style="209" customWidth="1"/>
    <col min="278" max="278" width="7.5703125" style="209" customWidth="1"/>
    <col min="279" max="279" width="7.7109375" style="209" customWidth="1"/>
    <col min="280" max="281" width="6.42578125" style="209" customWidth="1"/>
    <col min="282" max="282" width="7.28515625" style="209" customWidth="1"/>
    <col min="283" max="283" width="7.85546875" style="209" customWidth="1"/>
    <col min="284" max="284" width="6.42578125" style="209" customWidth="1"/>
    <col min="285" max="285" width="7.28515625" style="209" customWidth="1"/>
    <col min="286" max="286" width="7.5703125" style="209" customWidth="1"/>
    <col min="287" max="287" width="8" style="209" customWidth="1"/>
    <col min="288" max="289" width="6.42578125" style="209" customWidth="1"/>
    <col min="290" max="290" width="7.28515625" style="209" customWidth="1"/>
    <col min="291" max="291" width="8.28515625" style="209" customWidth="1"/>
    <col min="292" max="293" width="10.42578125" style="209" customWidth="1"/>
    <col min="294" max="294" width="7.28515625" style="209" customWidth="1"/>
    <col min="295" max="295" width="8.28515625" style="209" customWidth="1"/>
    <col min="296" max="297" width="10.42578125" style="209" customWidth="1"/>
    <col min="298" max="298" width="7.28515625" style="209" customWidth="1"/>
    <col min="299" max="299" width="8.28515625" style="209" customWidth="1"/>
    <col min="300" max="300" width="11.5703125" style="209" customWidth="1"/>
    <col min="301" max="523" width="11.42578125" style="209"/>
    <col min="524" max="524" width="2" style="209" customWidth="1"/>
    <col min="525" max="525" width="18.140625" style="209" customWidth="1"/>
    <col min="526" max="526" width="13.5703125" style="209" customWidth="1"/>
    <col min="527" max="527" width="52" style="209" customWidth="1"/>
    <col min="528" max="529" width="6.5703125" style="209" customWidth="1"/>
    <col min="530" max="530" width="7.5703125" style="209" customWidth="1"/>
    <col min="531" max="531" width="7.42578125" style="209" customWidth="1"/>
    <col min="532" max="532" width="8.42578125" style="209" customWidth="1"/>
    <col min="533" max="533" width="7.28515625" style="209" customWidth="1"/>
    <col min="534" max="534" width="7.5703125" style="209" customWidth="1"/>
    <col min="535" max="535" width="7.7109375" style="209" customWidth="1"/>
    <col min="536" max="537" width="6.42578125" style="209" customWidth="1"/>
    <col min="538" max="538" width="7.28515625" style="209" customWidth="1"/>
    <col min="539" max="539" width="7.85546875" style="209" customWidth="1"/>
    <col min="540" max="540" width="6.42578125" style="209" customWidth="1"/>
    <col min="541" max="541" width="7.28515625" style="209" customWidth="1"/>
    <col min="542" max="542" width="7.5703125" style="209" customWidth="1"/>
    <col min="543" max="543" width="8" style="209" customWidth="1"/>
    <col min="544" max="545" width="6.42578125" style="209" customWidth="1"/>
    <col min="546" max="546" width="7.28515625" style="209" customWidth="1"/>
    <col min="547" max="547" width="8.28515625" style="209" customWidth="1"/>
    <col min="548" max="549" width="10.42578125" style="209" customWidth="1"/>
    <col min="550" max="550" width="7.28515625" style="209" customWidth="1"/>
    <col min="551" max="551" width="8.28515625" style="209" customWidth="1"/>
    <col min="552" max="553" width="10.42578125" style="209" customWidth="1"/>
    <col min="554" max="554" width="7.28515625" style="209" customWidth="1"/>
    <col min="555" max="555" width="8.28515625" style="209" customWidth="1"/>
    <col min="556" max="556" width="11.5703125" style="209" customWidth="1"/>
    <col min="557" max="779" width="11.42578125" style="209"/>
    <col min="780" max="780" width="2" style="209" customWidth="1"/>
    <col min="781" max="781" width="18.140625" style="209" customWidth="1"/>
    <col min="782" max="782" width="13.5703125" style="209" customWidth="1"/>
    <col min="783" max="783" width="52" style="209" customWidth="1"/>
    <col min="784" max="785" width="6.5703125" style="209" customWidth="1"/>
    <col min="786" max="786" width="7.5703125" style="209" customWidth="1"/>
    <col min="787" max="787" width="7.42578125" style="209" customWidth="1"/>
    <col min="788" max="788" width="8.42578125" style="209" customWidth="1"/>
    <col min="789" max="789" width="7.28515625" style="209" customWidth="1"/>
    <col min="790" max="790" width="7.5703125" style="209" customWidth="1"/>
    <col min="791" max="791" width="7.7109375" style="209" customWidth="1"/>
    <col min="792" max="793" width="6.42578125" style="209" customWidth="1"/>
    <col min="794" max="794" width="7.28515625" style="209" customWidth="1"/>
    <col min="795" max="795" width="7.85546875" style="209" customWidth="1"/>
    <col min="796" max="796" width="6.42578125" style="209" customWidth="1"/>
    <col min="797" max="797" width="7.28515625" style="209" customWidth="1"/>
    <col min="798" max="798" width="7.5703125" style="209" customWidth="1"/>
    <col min="799" max="799" width="8" style="209" customWidth="1"/>
    <col min="800" max="801" width="6.42578125" style="209" customWidth="1"/>
    <col min="802" max="802" width="7.28515625" style="209" customWidth="1"/>
    <col min="803" max="803" width="8.28515625" style="209" customWidth="1"/>
    <col min="804" max="805" width="10.42578125" style="209" customWidth="1"/>
    <col min="806" max="806" width="7.28515625" style="209" customWidth="1"/>
    <col min="807" max="807" width="8.28515625" style="209" customWidth="1"/>
    <col min="808" max="809" width="10.42578125" style="209" customWidth="1"/>
    <col min="810" max="810" width="7.28515625" style="209" customWidth="1"/>
    <col min="811" max="811" width="8.28515625" style="209" customWidth="1"/>
    <col min="812" max="812" width="11.5703125" style="209" customWidth="1"/>
    <col min="813" max="1035" width="11.42578125" style="209"/>
    <col min="1036" max="1036" width="2" style="209" customWidth="1"/>
    <col min="1037" max="1037" width="18.140625" style="209" customWidth="1"/>
    <col min="1038" max="1038" width="13.5703125" style="209" customWidth="1"/>
    <col min="1039" max="1039" width="52" style="209" customWidth="1"/>
    <col min="1040" max="1041" width="6.5703125" style="209" customWidth="1"/>
    <col min="1042" max="1042" width="7.5703125" style="209" customWidth="1"/>
    <col min="1043" max="1043" width="7.42578125" style="209" customWidth="1"/>
    <col min="1044" max="1044" width="8.42578125" style="209" customWidth="1"/>
    <col min="1045" max="1045" width="7.28515625" style="209" customWidth="1"/>
    <col min="1046" max="1046" width="7.5703125" style="209" customWidth="1"/>
    <col min="1047" max="1047" width="7.7109375" style="209" customWidth="1"/>
    <col min="1048" max="1049" width="6.42578125" style="209" customWidth="1"/>
    <col min="1050" max="1050" width="7.28515625" style="209" customWidth="1"/>
    <col min="1051" max="1051" width="7.85546875" style="209" customWidth="1"/>
    <col min="1052" max="1052" width="6.42578125" style="209" customWidth="1"/>
    <col min="1053" max="1053" width="7.28515625" style="209" customWidth="1"/>
    <col min="1054" max="1054" width="7.5703125" style="209" customWidth="1"/>
    <col min="1055" max="1055" width="8" style="209" customWidth="1"/>
    <col min="1056" max="1057" width="6.42578125" style="209" customWidth="1"/>
    <col min="1058" max="1058" width="7.28515625" style="209" customWidth="1"/>
    <col min="1059" max="1059" width="8.28515625" style="209" customWidth="1"/>
    <col min="1060" max="1061" width="10.42578125" style="209" customWidth="1"/>
    <col min="1062" max="1062" width="7.28515625" style="209" customWidth="1"/>
    <col min="1063" max="1063" width="8.28515625" style="209" customWidth="1"/>
    <col min="1064" max="1065" width="10.42578125" style="209" customWidth="1"/>
    <col min="1066" max="1066" width="7.28515625" style="209" customWidth="1"/>
    <col min="1067" max="1067" width="8.28515625" style="209" customWidth="1"/>
    <col min="1068" max="1068" width="11.5703125" style="209" customWidth="1"/>
    <col min="1069" max="1291" width="11.42578125" style="209"/>
    <col min="1292" max="1292" width="2" style="209" customWidth="1"/>
    <col min="1293" max="1293" width="18.140625" style="209" customWidth="1"/>
    <col min="1294" max="1294" width="13.5703125" style="209" customWidth="1"/>
    <col min="1295" max="1295" width="52" style="209" customWidth="1"/>
    <col min="1296" max="1297" width="6.5703125" style="209" customWidth="1"/>
    <col min="1298" max="1298" width="7.5703125" style="209" customWidth="1"/>
    <col min="1299" max="1299" width="7.42578125" style="209" customWidth="1"/>
    <col min="1300" max="1300" width="8.42578125" style="209" customWidth="1"/>
    <col min="1301" max="1301" width="7.28515625" style="209" customWidth="1"/>
    <col min="1302" max="1302" width="7.5703125" style="209" customWidth="1"/>
    <col min="1303" max="1303" width="7.7109375" style="209" customWidth="1"/>
    <col min="1304" max="1305" width="6.42578125" style="209" customWidth="1"/>
    <col min="1306" max="1306" width="7.28515625" style="209" customWidth="1"/>
    <col min="1307" max="1307" width="7.85546875" style="209" customWidth="1"/>
    <col min="1308" max="1308" width="6.42578125" style="209" customWidth="1"/>
    <col min="1309" max="1309" width="7.28515625" style="209" customWidth="1"/>
    <col min="1310" max="1310" width="7.5703125" style="209" customWidth="1"/>
    <col min="1311" max="1311" width="8" style="209" customWidth="1"/>
    <col min="1312" max="1313" width="6.42578125" style="209" customWidth="1"/>
    <col min="1314" max="1314" width="7.28515625" style="209" customWidth="1"/>
    <col min="1315" max="1315" width="8.28515625" style="209" customWidth="1"/>
    <col min="1316" max="1317" width="10.42578125" style="209" customWidth="1"/>
    <col min="1318" max="1318" width="7.28515625" style="209" customWidth="1"/>
    <col min="1319" max="1319" width="8.28515625" style="209" customWidth="1"/>
    <col min="1320" max="1321" width="10.42578125" style="209" customWidth="1"/>
    <col min="1322" max="1322" width="7.28515625" style="209" customWidth="1"/>
    <col min="1323" max="1323" width="8.28515625" style="209" customWidth="1"/>
    <col min="1324" max="1324" width="11.5703125" style="209" customWidth="1"/>
    <col min="1325" max="1547" width="11.42578125" style="209"/>
    <col min="1548" max="1548" width="2" style="209" customWidth="1"/>
    <col min="1549" max="1549" width="18.140625" style="209" customWidth="1"/>
    <col min="1550" max="1550" width="13.5703125" style="209" customWidth="1"/>
    <col min="1551" max="1551" width="52" style="209" customWidth="1"/>
    <col min="1552" max="1553" width="6.5703125" style="209" customWidth="1"/>
    <col min="1554" max="1554" width="7.5703125" style="209" customWidth="1"/>
    <col min="1555" max="1555" width="7.42578125" style="209" customWidth="1"/>
    <col min="1556" max="1556" width="8.42578125" style="209" customWidth="1"/>
    <col min="1557" max="1557" width="7.28515625" style="209" customWidth="1"/>
    <col min="1558" max="1558" width="7.5703125" style="209" customWidth="1"/>
    <col min="1559" max="1559" width="7.7109375" style="209" customWidth="1"/>
    <col min="1560" max="1561" width="6.42578125" style="209" customWidth="1"/>
    <col min="1562" max="1562" width="7.28515625" style="209" customWidth="1"/>
    <col min="1563" max="1563" width="7.85546875" style="209" customWidth="1"/>
    <col min="1564" max="1564" width="6.42578125" style="209" customWidth="1"/>
    <col min="1565" max="1565" width="7.28515625" style="209" customWidth="1"/>
    <col min="1566" max="1566" width="7.5703125" style="209" customWidth="1"/>
    <col min="1567" max="1567" width="8" style="209" customWidth="1"/>
    <col min="1568" max="1569" width="6.42578125" style="209" customWidth="1"/>
    <col min="1570" max="1570" width="7.28515625" style="209" customWidth="1"/>
    <col min="1571" max="1571" width="8.28515625" style="209" customWidth="1"/>
    <col min="1572" max="1573" width="10.42578125" style="209" customWidth="1"/>
    <col min="1574" max="1574" width="7.28515625" style="209" customWidth="1"/>
    <col min="1575" max="1575" width="8.28515625" style="209" customWidth="1"/>
    <col min="1576" max="1577" width="10.42578125" style="209" customWidth="1"/>
    <col min="1578" max="1578" width="7.28515625" style="209" customWidth="1"/>
    <col min="1579" max="1579" width="8.28515625" style="209" customWidth="1"/>
    <col min="1580" max="1580" width="11.5703125" style="209" customWidth="1"/>
    <col min="1581" max="1803" width="11.42578125" style="209"/>
    <col min="1804" max="1804" width="2" style="209" customWidth="1"/>
    <col min="1805" max="1805" width="18.140625" style="209" customWidth="1"/>
    <col min="1806" max="1806" width="13.5703125" style="209" customWidth="1"/>
    <col min="1807" max="1807" width="52" style="209" customWidth="1"/>
    <col min="1808" max="1809" width="6.5703125" style="209" customWidth="1"/>
    <col min="1810" max="1810" width="7.5703125" style="209" customWidth="1"/>
    <col min="1811" max="1811" width="7.42578125" style="209" customWidth="1"/>
    <col min="1812" max="1812" width="8.42578125" style="209" customWidth="1"/>
    <col min="1813" max="1813" width="7.28515625" style="209" customWidth="1"/>
    <col min="1814" max="1814" width="7.5703125" style="209" customWidth="1"/>
    <col min="1815" max="1815" width="7.7109375" style="209" customWidth="1"/>
    <col min="1816" max="1817" width="6.42578125" style="209" customWidth="1"/>
    <col min="1818" max="1818" width="7.28515625" style="209" customWidth="1"/>
    <col min="1819" max="1819" width="7.85546875" style="209" customWidth="1"/>
    <col min="1820" max="1820" width="6.42578125" style="209" customWidth="1"/>
    <col min="1821" max="1821" width="7.28515625" style="209" customWidth="1"/>
    <col min="1822" max="1822" width="7.5703125" style="209" customWidth="1"/>
    <col min="1823" max="1823" width="8" style="209" customWidth="1"/>
    <col min="1824" max="1825" width="6.42578125" style="209" customWidth="1"/>
    <col min="1826" max="1826" width="7.28515625" style="209" customWidth="1"/>
    <col min="1827" max="1827" width="8.28515625" style="209" customWidth="1"/>
    <col min="1828" max="1829" width="10.42578125" style="209" customWidth="1"/>
    <col min="1830" max="1830" width="7.28515625" style="209" customWidth="1"/>
    <col min="1831" max="1831" width="8.28515625" style="209" customWidth="1"/>
    <col min="1832" max="1833" width="10.42578125" style="209" customWidth="1"/>
    <col min="1834" max="1834" width="7.28515625" style="209" customWidth="1"/>
    <col min="1835" max="1835" width="8.28515625" style="209" customWidth="1"/>
    <col min="1836" max="1836" width="11.5703125" style="209" customWidth="1"/>
    <col min="1837" max="2059" width="11.42578125" style="209"/>
    <col min="2060" max="2060" width="2" style="209" customWidth="1"/>
    <col min="2061" max="2061" width="18.140625" style="209" customWidth="1"/>
    <col min="2062" max="2062" width="13.5703125" style="209" customWidth="1"/>
    <col min="2063" max="2063" width="52" style="209" customWidth="1"/>
    <col min="2064" max="2065" width="6.5703125" style="209" customWidth="1"/>
    <col min="2066" max="2066" width="7.5703125" style="209" customWidth="1"/>
    <col min="2067" max="2067" width="7.42578125" style="209" customWidth="1"/>
    <col min="2068" max="2068" width="8.42578125" style="209" customWidth="1"/>
    <col min="2069" max="2069" width="7.28515625" style="209" customWidth="1"/>
    <col min="2070" max="2070" width="7.5703125" style="209" customWidth="1"/>
    <col min="2071" max="2071" width="7.7109375" style="209" customWidth="1"/>
    <col min="2072" max="2073" width="6.42578125" style="209" customWidth="1"/>
    <col min="2074" max="2074" width="7.28515625" style="209" customWidth="1"/>
    <col min="2075" max="2075" width="7.85546875" style="209" customWidth="1"/>
    <col min="2076" max="2076" width="6.42578125" style="209" customWidth="1"/>
    <col min="2077" max="2077" width="7.28515625" style="209" customWidth="1"/>
    <col min="2078" max="2078" width="7.5703125" style="209" customWidth="1"/>
    <col min="2079" max="2079" width="8" style="209" customWidth="1"/>
    <col min="2080" max="2081" width="6.42578125" style="209" customWidth="1"/>
    <col min="2082" max="2082" width="7.28515625" style="209" customWidth="1"/>
    <col min="2083" max="2083" width="8.28515625" style="209" customWidth="1"/>
    <col min="2084" max="2085" width="10.42578125" style="209" customWidth="1"/>
    <col min="2086" max="2086" width="7.28515625" style="209" customWidth="1"/>
    <col min="2087" max="2087" width="8.28515625" style="209" customWidth="1"/>
    <col min="2088" max="2089" width="10.42578125" style="209" customWidth="1"/>
    <col min="2090" max="2090" width="7.28515625" style="209" customWidth="1"/>
    <col min="2091" max="2091" width="8.28515625" style="209" customWidth="1"/>
    <col min="2092" max="2092" width="11.5703125" style="209" customWidth="1"/>
    <col min="2093" max="2315" width="11.42578125" style="209"/>
    <col min="2316" max="2316" width="2" style="209" customWidth="1"/>
    <col min="2317" max="2317" width="18.140625" style="209" customWidth="1"/>
    <col min="2318" max="2318" width="13.5703125" style="209" customWidth="1"/>
    <col min="2319" max="2319" width="52" style="209" customWidth="1"/>
    <col min="2320" max="2321" width="6.5703125" style="209" customWidth="1"/>
    <col min="2322" max="2322" width="7.5703125" style="209" customWidth="1"/>
    <col min="2323" max="2323" width="7.42578125" style="209" customWidth="1"/>
    <col min="2324" max="2324" width="8.42578125" style="209" customWidth="1"/>
    <col min="2325" max="2325" width="7.28515625" style="209" customWidth="1"/>
    <col min="2326" max="2326" width="7.5703125" style="209" customWidth="1"/>
    <col min="2327" max="2327" width="7.7109375" style="209" customWidth="1"/>
    <col min="2328" max="2329" width="6.42578125" style="209" customWidth="1"/>
    <col min="2330" max="2330" width="7.28515625" style="209" customWidth="1"/>
    <col min="2331" max="2331" width="7.85546875" style="209" customWidth="1"/>
    <col min="2332" max="2332" width="6.42578125" style="209" customWidth="1"/>
    <col min="2333" max="2333" width="7.28515625" style="209" customWidth="1"/>
    <col min="2334" max="2334" width="7.5703125" style="209" customWidth="1"/>
    <col min="2335" max="2335" width="8" style="209" customWidth="1"/>
    <col min="2336" max="2337" width="6.42578125" style="209" customWidth="1"/>
    <col min="2338" max="2338" width="7.28515625" style="209" customWidth="1"/>
    <col min="2339" max="2339" width="8.28515625" style="209" customWidth="1"/>
    <col min="2340" max="2341" width="10.42578125" style="209" customWidth="1"/>
    <col min="2342" max="2342" width="7.28515625" style="209" customWidth="1"/>
    <col min="2343" max="2343" width="8.28515625" style="209" customWidth="1"/>
    <col min="2344" max="2345" width="10.42578125" style="209" customWidth="1"/>
    <col min="2346" max="2346" width="7.28515625" style="209" customWidth="1"/>
    <col min="2347" max="2347" width="8.28515625" style="209" customWidth="1"/>
    <col min="2348" max="2348" width="11.5703125" style="209" customWidth="1"/>
    <col min="2349" max="2571" width="11.42578125" style="209"/>
    <col min="2572" max="2572" width="2" style="209" customWidth="1"/>
    <col min="2573" max="2573" width="18.140625" style="209" customWidth="1"/>
    <col min="2574" max="2574" width="13.5703125" style="209" customWidth="1"/>
    <col min="2575" max="2575" width="52" style="209" customWidth="1"/>
    <col min="2576" max="2577" width="6.5703125" style="209" customWidth="1"/>
    <col min="2578" max="2578" width="7.5703125" style="209" customWidth="1"/>
    <col min="2579" max="2579" width="7.42578125" style="209" customWidth="1"/>
    <col min="2580" max="2580" width="8.42578125" style="209" customWidth="1"/>
    <col min="2581" max="2581" width="7.28515625" style="209" customWidth="1"/>
    <col min="2582" max="2582" width="7.5703125" style="209" customWidth="1"/>
    <col min="2583" max="2583" width="7.7109375" style="209" customWidth="1"/>
    <col min="2584" max="2585" width="6.42578125" style="209" customWidth="1"/>
    <col min="2586" max="2586" width="7.28515625" style="209" customWidth="1"/>
    <col min="2587" max="2587" width="7.85546875" style="209" customWidth="1"/>
    <col min="2588" max="2588" width="6.42578125" style="209" customWidth="1"/>
    <col min="2589" max="2589" width="7.28515625" style="209" customWidth="1"/>
    <col min="2590" max="2590" width="7.5703125" style="209" customWidth="1"/>
    <col min="2591" max="2591" width="8" style="209" customWidth="1"/>
    <col min="2592" max="2593" width="6.42578125" style="209" customWidth="1"/>
    <col min="2594" max="2594" width="7.28515625" style="209" customWidth="1"/>
    <col min="2595" max="2595" width="8.28515625" style="209" customWidth="1"/>
    <col min="2596" max="2597" width="10.42578125" style="209" customWidth="1"/>
    <col min="2598" max="2598" width="7.28515625" style="209" customWidth="1"/>
    <col min="2599" max="2599" width="8.28515625" style="209" customWidth="1"/>
    <col min="2600" max="2601" width="10.42578125" style="209" customWidth="1"/>
    <col min="2602" max="2602" width="7.28515625" style="209" customWidth="1"/>
    <col min="2603" max="2603" width="8.28515625" style="209" customWidth="1"/>
    <col min="2604" max="2604" width="11.5703125" style="209" customWidth="1"/>
    <col min="2605" max="2827" width="11.42578125" style="209"/>
    <col min="2828" max="2828" width="2" style="209" customWidth="1"/>
    <col min="2829" max="2829" width="18.140625" style="209" customWidth="1"/>
    <col min="2830" max="2830" width="13.5703125" style="209" customWidth="1"/>
    <col min="2831" max="2831" width="52" style="209" customWidth="1"/>
    <col min="2832" max="2833" width="6.5703125" style="209" customWidth="1"/>
    <col min="2834" max="2834" width="7.5703125" style="209" customWidth="1"/>
    <col min="2835" max="2835" width="7.42578125" style="209" customWidth="1"/>
    <col min="2836" max="2836" width="8.42578125" style="209" customWidth="1"/>
    <col min="2837" max="2837" width="7.28515625" style="209" customWidth="1"/>
    <col min="2838" max="2838" width="7.5703125" style="209" customWidth="1"/>
    <col min="2839" max="2839" width="7.7109375" style="209" customWidth="1"/>
    <col min="2840" max="2841" width="6.42578125" style="209" customWidth="1"/>
    <col min="2842" max="2842" width="7.28515625" style="209" customWidth="1"/>
    <col min="2843" max="2843" width="7.85546875" style="209" customWidth="1"/>
    <col min="2844" max="2844" width="6.42578125" style="209" customWidth="1"/>
    <col min="2845" max="2845" width="7.28515625" style="209" customWidth="1"/>
    <col min="2846" max="2846" width="7.5703125" style="209" customWidth="1"/>
    <col min="2847" max="2847" width="8" style="209" customWidth="1"/>
    <col min="2848" max="2849" width="6.42578125" style="209" customWidth="1"/>
    <col min="2850" max="2850" width="7.28515625" style="209" customWidth="1"/>
    <col min="2851" max="2851" width="8.28515625" style="209" customWidth="1"/>
    <col min="2852" max="2853" width="10.42578125" style="209" customWidth="1"/>
    <col min="2854" max="2854" width="7.28515625" style="209" customWidth="1"/>
    <col min="2855" max="2855" width="8.28515625" style="209" customWidth="1"/>
    <col min="2856" max="2857" width="10.42578125" style="209" customWidth="1"/>
    <col min="2858" max="2858" width="7.28515625" style="209" customWidth="1"/>
    <col min="2859" max="2859" width="8.28515625" style="209" customWidth="1"/>
    <col min="2860" max="2860" width="11.5703125" style="209" customWidth="1"/>
    <col min="2861" max="3083" width="11.42578125" style="209"/>
    <col min="3084" max="3084" width="2" style="209" customWidth="1"/>
    <col min="3085" max="3085" width="18.140625" style="209" customWidth="1"/>
    <col min="3086" max="3086" width="13.5703125" style="209" customWidth="1"/>
    <col min="3087" max="3087" width="52" style="209" customWidth="1"/>
    <col min="3088" max="3089" width="6.5703125" style="209" customWidth="1"/>
    <col min="3090" max="3090" width="7.5703125" style="209" customWidth="1"/>
    <col min="3091" max="3091" width="7.42578125" style="209" customWidth="1"/>
    <col min="3092" max="3092" width="8.42578125" style="209" customWidth="1"/>
    <col min="3093" max="3093" width="7.28515625" style="209" customWidth="1"/>
    <col min="3094" max="3094" width="7.5703125" style="209" customWidth="1"/>
    <col min="3095" max="3095" width="7.7109375" style="209" customWidth="1"/>
    <col min="3096" max="3097" width="6.42578125" style="209" customWidth="1"/>
    <col min="3098" max="3098" width="7.28515625" style="209" customWidth="1"/>
    <col min="3099" max="3099" width="7.85546875" style="209" customWidth="1"/>
    <col min="3100" max="3100" width="6.42578125" style="209" customWidth="1"/>
    <col min="3101" max="3101" width="7.28515625" style="209" customWidth="1"/>
    <col min="3102" max="3102" width="7.5703125" style="209" customWidth="1"/>
    <col min="3103" max="3103" width="8" style="209" customWidth="1"/>
    <col min="3104" max="3105" width="6.42578125" style="209" customWidth="1"/>
    <col min="3106" max="3106" width="7.28515625" style="209" customWidth="1"/>
    <col min="3107" max="3107" width="8.28515625" style="209" customWidth="1"/>
    <col min="3108" max="3109" width="10.42578125" style="209" customWidth="1"/>
    <col min="3110" max="3110" width="7.28515625" style="209" customWidth="1"/>
    <col min="3111" max="3111" width="8.28515625" style="209" customWidth="1"/>
    <col min="3112" max="3113" width="10.42578125" style="209" customWidth="1"/>
    <col min="3114" max="3114" width="7.28515625" style="209" customWidth="1"/>
    <col min="3115" max="3115" width="8.28515625" style="209" customWidth="1"/>
    <col min="3116" max="3116" width="11.5703125" style="209" customWidth="1"/>
    <col min="3117" max="3339" width="11.42578125" style="209"/>
    <col min="3340" max="3340" width="2" style="209" customWidth="1"/>
    <col min="3341" max="3341" width="18.140625" style="209" customWidth="1"/>
    <col min="3342" max="3342" width="13.5703125" style="209" customWidth="1"/>
    <col min="3343" max="3343" width="52" style="209" customWidth="1"/>
    <col min="3344" max="3345" width="6.5703125" style="209" customWidth="1"/>
    <col min="3346" max="3346" width="7.5703125" style="209" customWidth="1"/>
    <col min="3347" max="3347" width="7.42578125" style="209" customWidth="1"/>
    <col min="3348" max="3348" width="8.42578125" style="209" customWidth="1"/>
    <col min="3349" max="3349" width="7.28515625" style="209" customWidth="1"/>
    <col min="3350" max="3350" width="7.5703125" style="209" customWidth="1"/>
    <col min="3351" max="3351" width="7.7109375" style="209" customWidth="1"/>
    <col min="3352" max="3353" width="6.42578125" style="209" customWidth="1"/>
    <col min="3354" max="3354" width="7.28515625" style="209" customWidth="1"/>
    <col min="3355" max="3355" width="7.85546875" style="209" customWidth="1"/>
    <col min="3356" max="3356" width="6.42578125" style="209" customWidth="1"/>
    <col min="3357" max="3357" width="7.28515625" style="209" customWidth="1"/>
    <col min="3358" max="3358" width="7.5703125" style="209" customWidth="1"/>
    <col min="3359" max="3359" width="8" style="209" customWidth="1"/>
    <col min="3360" max="3361" width="6.42578125" style="209" customWidth="1"/>
    <col min="3362" max="3362" width="7.28515625" style="209" customWidth="1"/>
    <col min="3363" max="3363" width="8.28515625" style="209" customWidth="1"/>
    <col min="3364" max="3365" width="10.42578125" style="209" customWidth="1"/>
    <col min="3366" max="3366" width="7.28515625" style="209" customWidth="1"/>
    <col min="3367" max="3367" width="8.28515625" style="209" customWidth="1"/>
    <col min="3368" max="3369" width="10.42578125" style="209" customWidth="1"/>
    <col min="3370" max="3370" width="7.28515625" style="209" customWidth="1"/>
    <col min="3371" max="3371" width="8.28515625" style="209" customWidth="1"/>
    <col min="3372" max="3372" width="11.5703125" style="209" customWidth="1"/>
    <col min="3373" max="3595" width="11.42578125" style="209"/>
    <col min="3596" max="3596" width="2" style="209" customWidth="1"/>
    <col min="3597" max="3597" width="18.140625" style="209" customWidth="1"/>
    <col min="3598" max="3598" width="13.5703125" style="209" customWidth="1"/>
    <col min="3599" max="3599" width="52" style="209" customWidth="1"/>
    <col min="3600" max="3601" width="6.5703125" style="209" customWidth="1"/>
    <col min="3602" max="3602" width="7.5703125" style="209" customWidth="1"/>
    <col min="3603" max="3603" width="7.42578125" style="209" customWidth="1"/>
    <col min="3604" max="3604" width="8.42578125" style="209" customWidth="1"/>
    <col min="3605" max="3605" width="7.28515625" style="209" customWidth="1"/>
    <col min="3606" max="3606" width="7.5703125" style="209" customWidth="1"/>
    <col min="3607" max="3607" width="7.7109375" style="209" customWidth="1"/>
    <col min="3608" max="3609" width="6.42578125" style="209" customWidth="1"/>
    <col min="3610" max="3610" width="7.28515625" style="209" customWidth="1"/>
    <col min="3611" max="3611" width="7.85546875" style="209" customWidth="1"/>
    <col min="3612" max="3612" width="6.42578125" style="209" customWidth="1"/>
    <col min="3613" max="3613" width="7.28515625" style="209" customWidth="1"/>
    <col min="3614" max="3614" width="7.5703125" style="209" customWidth="1"/>
    <col min="3615" max="3615" width="8" style="209" customWidth="1"/>
    <col min="3616" max="3617" width="6.42578125" style="209" customWidth="1"/>
    <col min="3618" max="3618" width="7.28515625" style="209" customWidth="1"/>
    <col min="3619" max="3619" width="8.28515625" style="209" customWidth="1"/>
    <col min="3620" max="3621" width="10.42578125" style="209" customWidth="1"/>
    <col min="3622" max="3622" width="7.28515625" style="209" customWidth="1"/>
    <col min="3623" max="3623" width="8.28515625" style="209" customWidth="1"/>
    <col min="3624" max="3625" width="10.42578125" style="209" customWidth="1"/>
    <col min="3626" max="3626" width="7.28515625" style="209" customWidth="1"/>
    <col min="3627" max="3627" width="8.28515625" style="209" customWidth="1"/>
    <col min="3628" max="3628" width="11.5703125" style="209" customWidth="1"/>
    <col min="3629" max="3851" width="11.42578125" style="209"/>
    <col min="3852" max="3852" width="2" style="209" customWidth="1"/>
    <col min="3853" max="3853" width="18.140625" style="209" customWidth="1"/>
    <col min="3854" max="3854" width="13.5703125" style="209" customWidth="1"/>
    <col min="3855" max="3855" width="52" style="209" customWidth="1"/>
    <col min="3856" max="3857" width="6.5703125" style="209" customWidth="1"/>
    <col min="3858" max="3858" width="7.5703125" style="209" customWidth="1"/>
    <col min="3859" max="3859" width="7.42578125" style="209" customWidth="1"/>
    <col min="3860" max="3860" width="8.42578125" style="209" customWidth="1"/>
    <col min="3861" max="3861" width="7.28515625" style="209" customWidth="1"/>
    <col min="3862" max="3862" width="7.5703125" style="209" customWidth="1"/>
    <col min="3863" max="3863" width="7.7109375" style="209" customWidth="1"/>
    <col min="3864" max="3865" width="6.42578125" style="209" customWidth="1"/>
    <col min="3866" max="3866" width="7.28515625" style="209" customWidth="1"/>
    <col min="3867" max="3867" width="7.85546875" style="209" customWidth="1"/>
    <col min="3868" max="3868" width="6.42578125" style="209" customWidth="1"/>
    <col min="3869" max="3869" width="7.28515625" style="209" customWidth="1"/>
    <col min="3870" max="3870" width="7.5703125" style="209" customWidth="1"/>
    <col min="3871" max="3871" width="8" style="209" customWidth="1"/>
    <col min="3872" max="3873" width="6.42578125" style="209" customWidth="1"/>
    <col min="3874" max="3874" width="7.28515625" style="209" customWidth="1"/>
    <col min="3875" max="3875" width="8.28515625" style="209" customWidth="1"/>
    <col min="3876" max="3877" width="10.42578125" style="209" customWidth="1"/>
    <col min="3878" max="3878" width="7.28515625" style="209" customWidth="1"/>
    <col min="3879" max="3879" width="8.28515625" style="209" customWidth="1"/>
    <col min="3880" max="3881" width="10.42578125" style="209" customWidth="1"/>
    <col min="3882" max="3882" width="7.28515625" style="209" customWidth="1"/>
    <col min="3883" max="3883" width="8.28515625" style="209" customWidth="1"/>
    <col min="3884" max="3884" width="11.5703125" style="209" customWidth="1"/>
    <col min="3885" max="4107" width="11.42578125" style="209"/>
    <col min="4108" max="4108" width="2" style="209" customWidth="1"/>
    <col min="4109" max="4109" width="18.140625" style="209" customWidth="1"/>
    <col min="4110" max="4110" width="13.5703125" style="209" customWidth="1"/>
    <col min="4111" max="4111" width="52" style="209" customWidth="1"/>
    <col min="4112" max="4113" width="6.5703125" style="209" customWidth="1"/>
    <col min="4114" max="4114" width="7.5703125" style="209" customWidth="1"/>
    <col min="4115" max="4115" width="7.42578125" style="209" customWidth="1"/>
    <col min="4116" max="4116" width="8.42578125" style="209" customWidth="1"/>
    <col min="4117" max="4117" width="7.28515625" style="209" customWidth="1"/>
    <col min="4118" max="4118" width="7.5703125" style="209" customWidth="1"/>
    <col min="4119" max="4119" width="7.7109375" style="209" customWidth="1"/>
    <col min="4120" max="4121" width="6.42578125" style="209" customWidth="1"/>
    <col min="4122" max="4122" width="7.28515625" style="209" customWidth="1"/>
    <col min="4123" max="4123" width="7.85546875" style="209" customWidth="1"/>
    <col min="4124" max="4124" width="6.42578125" style="209" customWidth="1"/>
    <col min="4125" max="4125" width="7.28515625" style="209" customWidth="1"/>
    <col min="4126" max="4126" width="7.5703125" style="209" customWidth="1"/>
    <col min="4127" max="4127" width="8" style="209" customWidth="1"/>
    <col min="4128" max="4129" width="6.42578125" style="209" customWidth="1"/>
    <col min="4130" max="4130" width="7.28515625" style="209" customWidth="1"/>
    <col min="4131" max="4131" width="8.28515625" style="209" customWidth="1"/>
    <col min="4132" max="4133" width="10.42578125" style="209" customWidth="1"/>
    <col min="4134" max="4134" width="7.28515625" style="209" customWidth="1"/>
    <col min="4135" max="4135" width="8.28515625" style="209" customWidth="1"/>
    <col min="4136" max="4137" width="10.42578125" style="209" customWidth="1"/>
    <col min="4138" max="4138" width="7.28515625" style="209" customWidth="1"/>
    <col min="4139" max="4139" width="8.28515625" style="209" customWidth="1"/>
    <col min="4140" max="4140" width="11.5703125" style="209" customWidth="1"/>
    <col min="4141" max="4363" width="11.42578125" style="209"/>
    <col min="4364" max="4364" width="2" style="209" customWidth="1"/>
    <col min="4365" max="4365" width="18.140625" style="209" customWidth="1"/>
    <col min="4366" max="4366" width="13.5703125" style="209" customWidth="1"/>
    <col min="4367" max="4367" width="52" style="209" customWidth="1"/>
    <col min="4368" max="4369" width="6.5703125" style="209" customWidth="1"/>
    <col min="4370" max="4370" width="7.5703125" style="209" customWidth="1"/>
    <col min="4371" max="4371" width="7.42578125" style="209" customWidth="1"/>
    <col min="4372" max="4372" width="8.42578125" style="209" customWidth="1"/>
    <col min="4373" max="4373" width="7.28515625" style="209" customWidth="1"/>
    <col min="4374" max="4374" width="7.5703125" style="209" customWidth="1"/>
    <col min="4375" max="4375" width="7.7109375" style="209" customWidth="1"/>
    <col min="4376" max="4377" width="6.42578125" style="209" customWidth="1"/>
    <col min="4378" max="4378" width="7.28515625" style="209" customWidth="1"/>
    <col min="4379" max="4379" width="7.85546875" style="209" customWidth="1"/>
    <col min="4380" max="4380" width="6.42578125" style="209" customWidth="1"/>
    <col min="4381" max="4381" width="7.28515625" style="209" customWidth="1"/>
    <col min="4382" max="4382" width="7.5703125" style="209" customWidth="1"/>
    <col min="4383" max="4383" width="8" style="209" customWidth="1"/>
    <col min="4384" max="4385" width="6.42578125" style="209" customWidth="1"/>
    <col min="4386" max="4386" width="7.28515625" style="209" customWidth="1"/>
    <col min="4387" max="4387" width="8.28515625" style="209" customWidth="1"/>
    <col min="4388" max="4389" width="10.42578125" style="209" customWidth="1"/>
    <col min="4390" max="4390" width="7.28515625" style="209" customWidth="1"/>
    <col min="4391" max="4391" width="8.28515625" style="209" customWidth="1"/>
    <col min="4392" max="4393" width="10.42578125" style="209" customWidth="1"/>
    <col min="4394" max="4394" width="7.28515625" style="209" customWidth="1"/>
    <col min="4395" max="4395" width="8.28515625" style="209" customWidth="1"/>
    <col min="4396" max="4396" width="11.5703125" style="209" customWidth="1"/>
    <col min="4397" max="4619" width="11.42578125" style="209"/>
    <col min="4620" max="4620" width="2" style="209" customWidth="1"/>
    <col min="4621" max="4621" width="18.140625" style="209" customWidth="1"/>
    <col min="4622" max="4622" width="13.5703125" style="209" customWidth="1"/>
    <col min="4623" max="4623" width="52" style="209" customWidth="1"/>
    <col min="4624" max="4625" width="6.5703125" style="209" customWidth="1"/>
    <col min="4626" max="4626" width="7.5703125" style="209" customWidth="1"/>
    <col min="4627" max="4627" width="7.42578125" style="209" customWidth="1"/>
    <col min="4628" max="4628" width="8.42578125" style="209" customWidth="1"/>
    <col min="4629" max="4629" width="7.28515625" style="209" customWidth="1"/>
    <col min="4630" max="4630" width="7.5703125" style="209" customWidth="1"/>
    <col min="4631" max="4631" width="7.7109375" style="209" customWidth="1"/>
    <col min="4632" max="4633" width="6.42578125" style="209" customWidth="1"/>
    <col min="4634" max="4634" width="7.28515625" style="209" customWidth="1"/>
    <col min="4635" max="4635" width="7.85546875" style="209" customWidth="1"/>
    <col min="4636" max="4636" width="6.42578125" style="209" customWidth="1"/>
    <col min="4637" max="4637" width="7.28515625" style="209" customWidth="1"/>
    <col min="4638" max="4638" width="7.5703125" style="209" customWidth="1"/>
    <col min="4639" max="4639" width="8" style="209" customWidth="1"/>
    <col min="4640" max="4641" width="6.42578125" style="209" customWidth="1"/>
    <col min="4642" max="4642" width="7.28515625" style="209" customWidth="1"/>
    <col min="4643" max="4643" width="8.28515625" style="209" customWidth="1"/>
    <col min="4644" max="4645" width="10.42578125" style="209" customWidth="1"/>
    <col min="4646" max="4646" width="7.28515625" style="209" customWidth="1"/>
    <col min="4647" max="4647" width="8.28515625" style="209" customWidth="1"/>
    <col min="4648" max="4649" width="10.42578125" style="209" customWidth="1"/>
    <col min="4650" max="4650" width="7.28515625" style="209" customWidth="1"/>
    <col min="4651" max="4651" width="8.28515625" style="209" customWidth="1"/>
    <col min="4652" max="4652" width="11.5703125" style="209" customWidth="1"/>
    <col min="4653" max="4875" width="11.42578125" style="209"/>
    <col min="4876" max="4876" width="2" style="209" customWidth="1"/>
    <col min="4877" max="4877" width="18.140625" style="209" customWidth="1"/>
    <col min="4878" max="4878" width="13.5703125" style="209" customWidth="1"/>
    <col min="4879" max="4879" width="52" style="209" customWidth="1"/>
    <col min="4880" max="4881" width="6.5703125" style="209" customWidth="1"/>
    <col min="4882" max="4882" width="7.5703125" style="209" customWidth="1"/>
    <col min="4883" max="4883" width="7.42578125" style="209" customWidth="1"/>
    <col min="4884" max="4884" width="8.42578125" style="209" customWidth="1"/>
    <col min="4885" max="4885" width="7.28515625" style="209" customWidth="1"/>
    <col min="4886" max="4886" width="7.5703125" style="209" customWidth="1"/>
    <col min="4887" max="4887" width="7.7109375" style="209" customWidth="1"/>
    <col min="4888" max="4889" width="6.42578125" style="209" customWidth="1"/>
    <col min="4890" max="4890" width="7.28515625" style="209" customWidth="1"/>
    <col min="4891" max="4891" width="7.85546875" style="209" customWidth="1"/>
    <col min="4892" max="4892" width="6.42578125" style="209" customWidth="1"/>
    <col min="4893" max="4893" width="7.28515625" style="209" customWidth="1"/>
    <col min="4894" max="4894" width="7.5703125" style="209" customWidth="1"/>
    <col min="4895" max="4895" width="8" style="209" customWidth="1"/>
    <col min="4896" max="4897" width="6.42578125" style="209" customWidth="1"/>
    <col min="4898" max="4898" width="7.28515625" style="209" customWidth="1"/>
    <col min="4899" max="4899" width="8.28515625" style="209" customWidth="1"/>
    <col min="4900" max="4901" width="10.42578125" style="209" customWidth="1"/>
    <col min="4902" max="4902" width="7.28515625" style="209" customWidth="1"/>
    <col min="4903" max="4903" width="8.28515625" style="209" customWidth="1"/>
    <col min="4904" max="4905" width="10.42578125" style="209" customWidth="1"/>
    <col min="4906" max="4906" width="7.28515625" style="209" customWidth="1"/>
    <col min="4907" max="4907" width="8.28515625" style="209" customWidth="1"/>
    <col min="4908" max="4908" width="11.5703125" style="209" customWidth="1"/>
    <col min="4909" max="5131" width="11.42578125" style="209"/>
    <col min="5132" max="5132" width="2" style="209" customWidth="1"/>
    <col min="5133" max="5133" width="18.140625" style="209" customWidth="1"/>
    <col min="5134" max="5134" width="13.5703125" style="209" customWidth="1"/>
    <col min="5135" max="5135" width="52" style="209" customWidth="1"/>
    <col min="5136" max="5137" width="6.5703125" style="209" customWidth="1"/>
    <col min="5138" max="5138" width="7.5703125" style="209" customWidth="1"/>
    <col min="5139" max="5139" width="7.42578125" style="209" customWidth="1"/>
    <col min="5140" max="5140" width="8.42578125" style="209" customWidth="1"/>
    <col min="5141" max="5141" width="7.28515625" style="209" customWidth="1"/>
    <col min="5142" max="5142" width="7.5703125" style="209" customWidth="1"/>
    <col min="5143" max="5143" width="7.7109375" style="209" customWidth="1"/>
    <col min="5144" max="5145" width="6.42578125" style="209" customWidth="1"/>
    <col min="5146" max="5146" width="7.28515625" style="209" customWidth="1"/>
    <col min="5147" max="5147" width="7.85546875" style="209" customWidth="1"/>
    <col min="5148" max="5148" width="6.42578125" style="209" customWidth="1"/>
    <col min="5149" max="5149" width="7.28515625" style="209" customWidth="1"/>
    <col min="5150" max="5150" width="7.5703125" style="209" customWidth="1"/>
    <col min="5151" max="5151" width="8" style="209" customWidth="1"/>
    <col min="5152" max="5153" width="6.42578125" style="209" customWidth="1"/>
    <col min="5154" max="5154" width="7.28515625" style="209" customWidth="1"/>
    <col min="5155" max="5155" width="8.28515625" style="209" customWidth="1"/>
    <col min="5156" max="5157" width="10.42578125" style="209" customWidth="1"/>
    <col min="5158" max="5158" width="7.28515625" style="209" customWidth="1"/>
    <col min="5159" max="5159" width="8.28515625" style="209" customWidth="1"/>
    <col min="5160" max="5161" width="10.42578125" style="209" customWidth="1"/>
    <col min="5162" max="5162" width="7.28515625" style="209" customWidth="1"/>
    <col min="5163" max="5163" width="8.28515625" style="209" customWidth="1"/>
    <col min="5164" max="5164" width="11.5703125" style="209" customWidth="1"/>
    <col min="5165" max="5387" width="11.42578125" style="209"/>
    <col min="5388" max="5388" width="2" style="209" customWidth="1"/>
    <col min="5389" max="5389" width="18.140625" style="209" customWidth="1"/>
    <col min="5390" max="5390" width="13.5703125" style="209" customWidth="1"/>
    <col min="5391" max="5391" width="52" style="209" customWidth="1"/>
    <col min="5392" max="5393" width="6.5703125" style="209" customWidth="1"/>
    <col min="5394" max="5394" width="7.5703125" style="209" customWidth="1"/>
    <col min="5395" max="5395" width="7.42578125" style="209" customWidth="1"/>
    <col min="5396" max="5396" width="8.42578125" style="209" customWidth="1"/>
    <col min="5397" max="5397" width="7.28515625" style="209" customWidth="1"/>
    <col min="5398" max="5398" width="7.5703125" style="209" customWidth="1"/>
    <col min="5399" max="5399" width="7.7109375" style="209" customWidth="1"/>
    <col min="5400" max="5401" width="6.42578125" style="209" customWidth="1"/>
    <col min="5402" max="5402" width="7.28515625" style="209" customWidth="1"/>
    <col min="5403" max="5403" width="7.85546875" style="209" customWidth="1"/>
    <col min="5404" max="5404" width="6.42578125" style="209" customWidth="1"/>
    <col min="5405" max="5405" width="7.28515625" style="209" customWidth="1"/>
    <col min="5406" max="5406" width="7.5703125" style="209" customWidth="1"/>
    <col min="5407" max="5407" width="8" style="209" customWidth="1"/>
    <col min="5408" max="5409" width="6.42578125" style="209" customWidth="1"/>
    <col min="5410" max="5410" width="7.28515625" style="209" customWidth="1"/>
    <col min="5411" max="5411" width="8.28515625" style="209" customWidth="1"/>
    <col min="5412" max="5413" width="10.42578125" style="209" customWidth="1"/>
    <col min="5414" max="5414" width="7.28515625" style="209" customWidth="1"/>
    <col min="5415" max="5415" width="8.28515625" style="209" customWidth="1"/>
    <col min="5416" max="5417" width="10.42578125" style="209" customWidth="1"/>
    <col min="5418" max="5418" width="7.28515625" style="209" customWidth="1"/>
    <col min="5419" max="5419" width="8.28515625" style="209" customWidth="1"/>
    <col min="5420" max="5420" width="11.5703125" style="209" customWidth="1"/>
    <col min="5421" max="5643" width="11.42578125" style="209"/>
    <col min="5644" max="5644" width="2" style="209" customWidth="1"/>
    <col min="5645" max="5645" width="18.140625" style="209" customWidth="1"/>
    <col min="5646" max="5646" width="13.5703125" style="209" customWidth="1"/>
    <col min="5647" max="5647" width="52" style="209" customWidth="1"/>
    <col min="5648" max="5649" width="6.5703125" style="209" customWidth="1"/>
    <col min="5650" max="5650" width="7.5703125" style="209" customWidth="1"/>
    <col min="5651" max="5651" width="7.42578125" style="209" customWidth="1"/>
    <col min="5652" max="5652" width="8.42578125" style="209" customWidth="1"/>
    <col min="5653" max="5653" width="7.28515625" style="209" customWidth="1"/>
    <col min="5654" max="5654" width="7.5703125" style="209" customWidth="1"/>
    <col min="5655" max="5655" width="7.7109375" style="209" customWidth="1"/>
    <col min="5656" max="5657" width="6.42578125" style="209" customWidth="1"/>
    <col min="5658" max="5658" width="7.28515625" style="209" customWidth="1"/>
    <col min="5659" max="5659" width="7.85546875" style="209" customWidth="1"/>
    <col min="5660" max="5660" width="6.42578125" style="209" customWidth="1"/>
    <col min="5661" max="5661" width="7.28515625" style="209" customWidth="1"/>
    <col min="5662" max="5662" width="7.5703125" style="209" customWidth="1"/>
    <col min="5663" max="5663" width="8" style="209" customWidth="1"/>
    <col min="5664" max="5665" width="6.42578125" style="209" customWidth="1"/>
    <col min="5666" max="5666" width="7.28515625" style="209" customWidth="1"/>
    <col min="5667" max="5667" width="8.28515625" style="209" customWidth="1"/>
    <col min="5668" max="5669" width="10.42578125" style="209" customWidth="1"/>
    <col min="5670" max="5670" width="7.28515625" style="209" customWidth="1"/>
    <col min="5671" max="5671" width="8.28515625" style="209" customWidth="1"/>
    <col min="5672" max="5673" width="10.42578125" style="209" customWidth="1"/>
    <col min="5674" max="5674" width="7.28515625" style="209" customWidth="1"/>
    <col min="5675" max="5675" width="8.28515625" style="209" customWidth="1"/>
    <col min="5676" max="5676" width="11.5703125" style="209" customWidth="1"/>
    <col min="5677" max="5899" width="11.42578125" style="209"/>
    <col min="5900" max="5900" width="2" style="209" customWidth="1"/>
    <col min="5901" max="5901" width="18.140625" style="209" customWidth="1"/>
    <col min="5902" max="5902" width="13.5703125" style="209" customWidth="1"/>
    <col min="5903" max="5903" width="52" style="209" customWidth="1"/>
    <col min="5904" max="5905" width="6.5703125" style="209" customWidth="1"/>
    <col min="5906" max="5906" width="7.5703125" style="209" customWidth="1"/>
    <col min="5907" max="5907" width="7.42578125" style="209" customWidth="1"/>
    <col min="5908" max="5908" width="8.42578125" style="209" customWidth="1"/>
    <col min="5909" max="5909" width="7.28515625" style="209" customWidth="1"/>
    <col min="5910" max="5910" width="7.5703125" style="209" customWidth="1"/>
    <col min="5911" max="5911" width="7.7109375" style="209" customWidth="1"/>
    <col min="5912" max="5913" width="6.42578125" style="209" customWidth="1"/>
    <col min="5914" max="5914" width="7.28515625" style="209" customWidth="1"/>
    <col min="5915" max="5915" width="7.85546875" style="209" customWidth="1"/>
    <col min="5916" max="5916" width="6.42578125" style="209" customWidth="1"/>
    <col min="5917" max="5917" width="7.28515625" style="209" customWidth="1"/>
    <col min="5918" max="5918" width="7.5703125" style="209" customWidth="1"/>
    <col min="5919" max="5919" width="8" style="209" customWidth="1"/>
    <col min="5920" max="5921" width="6.42578125" style="209" customWidth="1"/>
    <col min="5922" max="5922" width="7.28515625" style="209" customWidth="1"/>
    <col min="5923" max="5923" width="8.28515625" style="209" customWidth="1"/>
    <col min="5924" max="5925" width="10.42578125" style="209" customWidth="1"/>
    <col min="5926" max="5926" width="7.28515625" style="209" customWidth="1"/>
    <col min="5927" max="5927" width="8.28515625" style="209" customWidth="1"/>
    <col min="5928" max="5929" width="10.42578125" style="209" customWidth="1"/>
    <col min="5930" max="5930" width="7.28515625" style="209" customWidth="1"/>
    <col min="5931" max="5931" width="8.28515625" style="209" customWidth="1"/>
    <col min="5932" max="5932" width="11.5703125" style="209" customWidth="1"/>
    <col min="5933" max="6155" width="11.42578125" style="209"/>
    <col min="6156" max="6156" width="2" style="209" customWidth="1"/>
    <col min="6157" max="6157" width="18.140625" style="209" customWidth="1"/>
    <col min="6158" max="6158" width="13.5703125" style="209" customWidth="1"/>
    <col min="6159" max="6159" width="52" style="209" customWidth="1"/>
    <col min="6160" max="6161" width="6.5703125" style="209" customWidth="1"/>
    <col min="6162" max="6162" width="7.5703125" style="209" customWidth="1"/>
    <col min="6163" max="6163" width="7.42578125" style="209" customWidth="1"/>
    <col min="6164" max="6164" width="8.42578125" style="209" customWidth="1"/>
    <col min="6165" max="6165" width="7.28515625" style="209" customWidth="1"/>
    <col min="6166" max="6166" width="7.5703125" style="209" customWidth="1"/>
    <col min="6167" max="6167" width="7.7109375" style="209" customWidth="1"/>
    <col min="6168" max="6169" width="6.42578125" style="209" customWidth="1"/>
    <col min="6170" max="6170" width="7.28515625" style="209" customWidth="1"/>
    <col min="6171" max="6171" width="7.85546875" style="209" customWidth="1"/>
    <col min="6172" max="6172" width="6.42578125" style="209" customWidth="1"/>
    <col min="6173" max="6173" width="7.28515625" style="209" customWidth="1"/>
    <col min="6174" max="6174" width="7.5703125" style="209" customWidth="1"/>
    <col min="6175" max="6175" width="8" style="209" customWidth="1"/>
    <col min="6176" max="6177" width="6.42578125" style="209" customWidth="1"/>
    <col min="6178" max="6178" width="7.28515625" style="209" customWidth="1"/>
    <col min="6179" max="6179" width="8.28515625" style="209" customWidth="1"/>
    <col min="6180" max="6181" width="10.42578125" style="209" customWidth="1"/>
    <col min="6182" max="6182" width="7.28515625" style="209" customWidth="1"/>
    <col min="6183" max="6183" width="8.28515625" style="209" customWidth="1"/>
    <col min="6184" max="6185" width="10.42578125" style="209" customWidth="1"/>
    <col min="6186" max="6186" width="7.28515625" style="209" customWidth="1"/>
    <col min="6187" max="6187" width="8.28515625" style="209" customWidth="1"/>
    <col min="6188" max="6188" width="11.5703125" style="209" customWidth="1"/>
    <col min="6189" max="6411" width="11.42578125" style="209"/>
    <col min="6412" max="6412" width="2" style="209" customWidth="1"/>
    <col min="6413" max="6413" width="18.140625" style="209" customWidth="1"/>
    <col min="6414" max="6414" width="13.5703125" style="209" customWidth="1"/>
    <col min="6415" max="6415" width="52" style="209" customWidth="1"/>
    <col min="6416" max="6417" width="6.5703125" style="209" customWidth="1"/>
    <col min="6418" max="6418" width="7.5703125" style="209" customWidth="1"/>
    <col min="6419" max="6419" width="7.42578125" style="209" customWidth="1"/>
    <col min="6420" max="6420" width="8.42578125" style="209" customWidth="1"/>
    <col min="6421" max="6421" width="7.28515625" style="209" customWidth="1"/>
    <col min="6422" max="6422" width="7.5703125" style="209" customWidth="1"/>
    <col min="6423" max="6423" width="7.7109375" style="209" customWidth="1"/>
    <col min="6424" max="6425" width="6.42578125" style="209" customWidth="1"/>
    <col min="6426" max="6426" width="7.28515625" style="209" customWidth="1"/>
    <col min="6427" max="6427" width="7.85546875" style="209" customWidth="1"/>
    <col min="6428" max="6428" width="6.42578125" style="209" customWidth="1"/>
    <col min="6429" max="6429" width="7.28515625" style="209" customWidth="1"/>
    <col min="6430" max="6430" width="7.5703125" style="209" customWidth="1"/>
    <col min="6431" max="6431" width="8" style="209" customWidth="1"/>
    <col min="6432" max="6433" width="6.42578125" style="209" customWidth="1"/>
    <col min="6434" max="6434" width="7.28515625" style="209" customWidth="1"/>
    <col min="6435" max="6435" width="8.28515625" style="209" customWidth="1"/>
    <col min="6436" max="6437" width="10.42578125" style="209" customWidth="1"/>
    <col min="6438" max="6438" width="7.28515625" style="209" customWidth="1"/>
    <col min="6439" max="6439" width="8.28515625" style="209" customWidth="1"/>
    <col min="6440" max="6441" width="10.42578125" style="209" customWidth="1"/>
    <col min="6442" max="6442" width="7.28515625" style="209" customWidth="1"/>
    <col min="6443" max="6443" width="8.28515625" style="209" customWidth="1"/>
    <col min="6444" max="6444" width="11.5703125" style="209" customWidth="1"/>
    <col min="6445" max="6667" width="11.42578125" style="209"/>
    <col min="6668" max="6668" width="2" style="209" customWidth="1"/>
    <col min="6669" max="6669" width="18.140625" style="209" customWidth="1"/>
    <col min="6670" max="6670" width="13.5703125" style="209" customWidth="1"/>
    <col min="6671" max="6671" width="52" style="209" customWidth="1"/>
    <col min="6672" max="6673" width="6.5703125" style="209" customWidth="1"/>
    <col min="6674" max="6674" width="7.5703125" style="209" customWidth="1"/>
    <col min="6675" max="6675" width="7.42578125" style="209" customWidth="1"/>
    <col min="6676" max="6676" width="8.42578125" style="209" customWidth="1"/>
    <col min="6677" max="6677" width="7.28515625" style="209" customWidth="1"/>
    <col min="6678" max="6678" width="7.5703125" style="209" customWidth="1"/>
    <col min="6679" max="6679" width="7.7109375" style="209" customWidth="1"/>
    <col min="6680" max="6681" width="6.42578125" style="209" customWidth="1"/>
    <col min="6682" max="6682" width="7.28515625" style="209" customWidth="1"/>
    <col min="6683" max="6683" width="7.85546875" style="209" customWidth="1"/>
    <col min="6684" max="6684" width="6.42578125" style="209" customWidth="1"/>
    <col min="6685" max="6685" width="7.28515625" style="209" customWidth="1"/>
    <col min="6686" max="6686" width="7.5703125" style="209" customWidth="1"/>
    <col min="6687" max="6687" width="8" style="209" customWidth="1"/>
    <col min="6688" max="6689" width="6.42578125" style="209" customWidth="1"/>
    <col min="6690" max="6690" width="7.28515625" style="209" customWidth="1"/>
    <col min="6691" max="6691" width="8.28515625" style="209" customWidth="1"/>
    <col min="6692" max="6693" width="10.42578125" style="209" customWidth="1"/>
    <col min="6694" max="6694" width="7.28515625" style="209" customWidth="1"/>
    <col min="6695" max="6695" width="8.28515625" style="209" customWidth="1"/>
    <col min="6696" max="6697" width="10.42578125" style="209" customWidth="1"/>
    <col min="6698" max="6698" width="7.28515625" style="209" customWidth="1"/>
    <col min="6699" max="6699" width="8.28515625" style="209" customWidth="1"/>
    <col min="6700" max="6700" width="11.5703125" style="209" customWidth="1"/>
    <col min="6701" max="6923" width="11.42578125" style="209"/>
    <col min="6924" max="6924" width="2" style="209" customWidth="1"/>
    <col min="6925" max="6925" width="18.140625" style="209" customWidth="1"/>
    <col min="6926" max="6926" width="13.5703125" style="209" customWidth="1"/>
    <col min="6927" max="6927" width="52" style="209" customWidth="1"/>
    <col min="6928" max="6929" width="6.5703125" style="209" customWidth="1"/>
    <col min="6930" max="6930" width="7.5703125" style="209" customWidth="1"/>
    <col min="6931" max="6931" width="7.42578125" style="209" customWidth="1"/>
    <col min="6932" max="6932" width="8.42578125" style="209" customWidth="1"/>
    <col min="6933" max="6933" width="7.28515625" style="209" customWidth="1"/>
    <col min="6934" max="6934" width="7.5703125" style="209" customWidth="1"/>
    <col min="6935" max="6935" width="7.7109375" style="209" customWidth="1"/>
    <col min="6936" max="6937" width="6.42578125" style="209" customWidth="1"/>
    <col min="6938" max="6938" width="7.28515625" style="209" customWidth="1"/>
    <col min="6939" max="6939" width="7.85546875" style="209" customWidth="1"/>
    <col min="6940" max="6940" width="6.42578125" style="209" customWidth="1"/>
    <col min="6941" max="6941" width="7.28515625" style="209" customWidth="1"/>
    <col min="6942" max="6942" width="7.5703125" style="209" customWidth="1"/>
    <col min="6943" max="6943" width="8" style="209" customWidth="1"/>
    <col min="6944" max="6945" width="6.42578125" style="209" customWidth="1"/>
    <col min="6946" max="6946" width="7.28515625" style="209" customWidth="1"/>
    <col min="6947" max="6947" width="8.28515625" style="209" customWidth="1"/>
    <col min="6948" max="6949" width="10.42578125" style="209" customWidth="1"/>
    <col min="6950" max="6950" width="7.28515625" style="209" customWidth="1"/>
    <col min="6951" max="6951" width="8.28515625" style="209" customWidth="1"/>
    <col min="6952" max="6953" width="10.42578125" style="209" customWidth="1"/>
    <col min="6954" max="6954" width="7.28515625" style="209" customWidth="1"/>
    <col min="6955" max="6955" width="8.28515625" style="209" customWidth="1"/>
    <col min="6956" max="6956" width="11.5703125" style="209" customWidth="1"/>
    <col min="6957" max="7179" width="11.42578125" style="209"/>
    <col min="7180" max="7180" width="2" style="209" customWidth="1"/>
    <col min="7181" max="7181" width="18.140625" style="209" customWidth="1"/>
    <col min="7182" max="7182" width="13.5703125" style="209" customWidth="1"/>
    <col min="7183" max="7183" width="52" style="209" customWidth="1"/>
    <col min="7184" max="7185" width="6.5703125" style="209" customWidth="1"/>
    <col min="7186" max="7186" width="7.5703125" style="209" customWidth="1"/>
    <col min="7187" max="7187" width="7.42578125" style="209" customWidth="1"/>
    <col min="7188" max="7188" width="8.42578125" style="209" customWidth="1"/>
    <col min="7189" max="7189" width="7.28515625" style="209" customWidth="1"/>
    <col min="7190" max="7190" width="7.5703125" style="209" customWidth="1"/>
    <col min="7191" max="7191" width="7.7109375" style="209" customWidth="1"/>
    <col min="7192" max="7193" width="6.42578125" style="209" customWidth="1"/>
    <col min="7194" max="7194" width="7.28515625" style="209" customWidth="1"/>
    <col min="7195" max="7195" width="7.85546875" style="209" customWidth="1"/>
    <col min="7196" max="7196" width="6.42578125" style="209" customWidth="1"/>
    <col min="7197" max="7197" width="7.28515625" style="209" customWidth="1"/>
    <col min="7198" max="7198" width="7.5703125" style="209" customWidth="1"/>
    <col min="7199" max="7199" width="8" style="209" customWidth="1"/>
    <col min="7200" max="7201" width="6.42578125" style="209" customWidth="1"/>
    <col min="7202" max="7202" width="7.28515625" style="209" customWidth="1"/>
    <col min="7203" max="7203" width="8.28515625" style="209" customWidth="1"/>
    <col min="7204" max="7205" width="10.42578125" style="209" customWidth="1"/>
    <col min="7206" max="7206" width="7.28515625" style="209" customWidth="1"/>
    <col min="7207" max="7207" width="8.28515625" style="209" customWidth="1"/>
    <col min="7208" max="7209" width="10.42578125" style="209" customWidth="1"/>
    <col min="7210" max="7210" width="7.28515625" style="209" customWidth="1"/>
    <col min="7211" max="7211" width="8.28515625" style="209" customWidth="1"/>
    <col min="7212" max="7212" width="11.5703125" style="209" customWidth="1"/>
    <col min="7213" max="7435" width="11.42578125" style="209"/>
    <col min="7436" max="7436" width="2" style="209" customWidth="1"/>
    <col min="7437" max="7437" width="18.140625" style="209" customWidth="1"/>
    <col min="7438" max="7438" width="13.5703125" style="209" customWidth="1"/>
    <col min="7439" max="7439" width="52" style="209" customWidth="1"/>
    <col min="7440" max="7441" width="6.5703125" style="209" customWidth="1"/>
    <col min="7442" max="7442" width="7.5703125" style="209" customWidth="1"/>
    <col min="7443" max="7443" width="7.42578125" style="209" customWidth="1"/>
    <col min="7444" max="7444" width="8.42578125" style="209" customWidth="1"/>
    <col min="7445" max="7445" width="7.28515625" style="209" customWidth="1"/>
    <col min="7446" max="7446" width="7.5703125" style="209" customWidth="1"/>
    <col min="7447" max="7447" width="7.7109375" style="209" customWidth="1"/>
    <col min="7448" max="7449" width="6.42578125" style="209" customWidth="1"/>
    <col min="7450" max="7450" width="7.28515625" style="209" customWidth="1"/>
    <col min="7451" max="7451" width="7.85546875" style="209" customWidth="1"/>
    <col min="7452" max="7452" width="6.42578125" style="209" customWidth="1"/>
    <col min="7453" max="7453" width="7.28515625" style="209" customWidth="1"/>
    <col min="7454" max="7454" width="7.5703125" style="209" customWidth="1"/>
    <col min="7455" max="7455" width="8" style="209" customWidth="1"/>
    <col min="7456" max="7457" width="6.42578125" style="209" customWidth="1"/>
    <col min="7458" max="7458" width="7.28515625" style="209" customWidth="1"/>
    <col min="7459" max="7459" width="8.28515625" style="209" customWidth="1"/>
    <col min="7460" max="7461" width="10.42578125" style="209" customWidth="1"/>
    <col min="7462" max="7462" width="7.28515625" style="209" customWidth="1"/>
    <col min="7463" max="7463" width="8.28515625" style="209" customWidth="1"/>
    <col min="7464" max="7465" width="10.42578125" style="209" customWidth="1"/>
    <col min="7466" max="7466" width="7.28515625" style="209" customWidth="1"/>
    <col min="7467" max="7467" width="8.28515625" style="209" customWidth="1"/>
    <col min="7468" max="7468" width="11.5703125" style="209" customWidth="1"/>
    <col min="7469" max="7691" width="11.42578125" style="209"/>
    <col min="7692" max="7692" width="2" style="209" customWidth="1"/>
    <col min="7693" max="7693" width="18.140625" style="209" customWidth="1"/>
    <col min="7694" max="7694" width="13.5703125" style="209" customWidth="1"/>
    <col min="7695" max="7695" width="52" style="209" customWidth="1"/>
    <col min="7696" max="7697" width="6.5703125" style="209" customWidth="1"/>
    <col min="7698" max="7698" width="7.5703125" style="209" customWidth="1"/>
    <col min="7699" max="7699" width="7.42578125" style="209" customWidth="1"/>
    <col min="7700" max="7700" width="8.42578125" style="209" customWidth="1"/>
    <col min="7701" max="7701" width="7.28515625" style="209" customWidth="1"/>
    <col min="7702" max="7702" width="7.5703125" style="209" customWidth="1"/>
    <col min="7703" max="7703" width="7.7109375" style="209" customWidth="1"/>
    <col min="7704" max="7705" width="6.42578125" style="209" customWidth="1"/>
    <col min="7706" max="7706" width="7.28515625" style="209" customWidth="1"/>
    <col min="7707" max="7707" width="7.85546875" style="209" customWidth="1"/>
    <col min="7708" max="7708" width="6.42578125" style="209" customWidth="1"/>
    <col min="7709" max="7709" width="7.28515625" style="209" customWidth="1"/>
    <col min="7710" max="7710" width="7.5703125" style="209" customWidth="1"/>
    <col min="7711" max="7711" width="8" style="209" customWidth="1"/>
    <col min="7712" max="7713" width="6.42578125" style="209" customWidth="1"/>
    <col min="7714" max="7714" width="7.28515625" style="209" customWidth="1"/>
    <col min="7715" max="7715" width="8.28515625" style="209" customWidth="1"/>
    <col min="7716" max="7717" width="10.42578125" style="209" customWidth="1"/>
    <col min="7718" max="7718" width="7.28515625" style="209" customWidth="1"/>
    <col min="7719" max="7719" width="8.28515625" style="209" customWidth="1"/>
    <col min="7720" max="7721" width="10.42578125" style="209" customWidth="1"/>
    <col min="7722" max="7722" width="7.28515625" style="209" customWidth="1"/>
    <col min="7723" max="7723" width="8.28515625" style="209" customWidth="1"/>
    <col min="7724" max="7724" width="11.5703125" style="209" customWidth="1"/>
    <col min="7725" max="7947" width="11.42578125" style="209"/>
    <col min="7948" max="7948" width="2" style="209" customWidth="1"/>
    <col min="7949" max="7949" width="18.140625" style="209" customWidth="1"/>
    <col min="7950" max="7950" width="13.5703125" style="209" customWidth="1"/>
    <col min="7951" max="7951" width="52" style="209" customWidth="1"/>
    <col min="7952" max="7953" width="6.5703125" style="209" customWidth="1"/>
    <col min="7954" max="7954" width="7.5703125" style="209" customWidth="1"/>
    <col min="7955" max="7955" width="7.42578125" style="209" customWidth="1"/>
    <col min="7956" max="7956" width="8.42578125" style="209" customWidth="1"/>
    <col min="7957" max="7957" width="7.28515625" style="209" customWidth="1"/>
    <col min="7958" max="7958" width="7.5703125" style="209" customWidth="1"/>
    <col min="7959" max="7959" width="7.7109375" style="209" customWidth="1"/>
    <col min="7960" max="7961" width="6.42578125" style="209" customWidth="1"/>
    <col min="7962" max="7962" width="7.28515625" style="209" customWidth="1"/>
    <col min="7963" max="7963" width="7.85546875" style="209" customWidth="1"/>
    <col min="7964" max="7964" width="6.42578125" style="209" customWidth="1"/>
    <col min="7965" max="7965" width="7.28515625" style="209" customWidth="1"/>
    <col min="7966" max="7966" width="7.5703125" style="209" customWidth="1"/>
    <col min="7967" max="7967" width="8" style="209" customWidth="1"/>
    <col min="7968" max="7969" width="6.42578125" style="209" customWidth="1"/>
    <col min="7970" max="7970" width="7.28515625" style="209" customWidth="1"/>
    <col min="7971" max="7971" width="8.28515625" style="209" customWidth="1"/>
    <col min="7972" max="7973" width="10.42578125" style="209" customWidth="1"/>
    <col min="7974" max="7974" width="7.28515625" style="209" customWidth="1"/>
    <col min="7975" max="7975" width="8.28515625" style="209" customWidth="1"/>
    <col min="7976" max="7977" width="10.42578125" style="209" customWidth="1"/>
    <col min="7978" max="7978" width="7.28515625" style="209" customWidth="1"/>
    <col min="7979" max="7979" width="8.28515625" style="209" customWidth="1"/>
    <col min="7980" max="7980" width="11.5703125" style="209" customWidth="1"/>
    <col min="7981" max="8203" width="11.42578125" style="209"/>
    <col min="8204" max="8204" width="2" style="209" customWidth="1"/>
    <col min="8205" max="8205" width="18.140625" style="209" customWidth="1"/>
    <col min="8206" max="8206" width="13.5703125" style="209" customWidth="1"/>
    <col min="8207" max="8207" width="52" style="209" customWidth="1"/>
    <col min="8208" max="8209" width="6.5703125" style="209" customWidth="1"/>
    <col min="8210" max="8210" width="7.5703125" style="209" customWidth="1"/>
    <col min="8211" max="8211" width="7.42578125" style="209" customWidth="1"/>
    <col min="8212" max="8212" width="8.42578125" style="209" customWidth="1"/>
    <col min="8213" max="8213" width="7.28515625" style="209" customWidth="1"/>
    <col min="8214" max="8214" width="7.5703125" style="209" customWidth="1"/>
    <col min="8215" max="8215" width="7.7109375" style="209" customWidth="1"/>
    <col min="8216" max="8217" width="6.42578125" style="209" customWidth="1"/>
    <col min="8218" max="8218" width="7.28515625" style="209" customWidth="1"/>
    <col min="8219" max="8219" width="7.85546875" style="209" customWidth="1"/>
    <col min="8220" max="8220" width="6.42578125" style="209" customWidth="1"/>
    <col min="8221" max="8221" width="7.28515625" style="209" customWidth="1"/>
    <col min="8222" max="8222" width="7.5703125" style="209" customWidth="1"/>
    <col min="8223" max="8223" width="8" style="209" customWidth="1"/>
    <col min="8224" max="8225" width="6.42578125" style="209" customWidth="1"/>
    <col min="8226" max="8226" width="7.28515625" style="209" customWidth="1"/>
    <col min="8227" max="8227" width="8.28515625" style="209" customWidth="1"/>
    <col min="8228" max="8229" width="10.42578125" style="209" customWidth="1"/>
    <col min="8230" max="8230" width="7.28515625" style="209" customWidth="1"/>
    <col min="8231" max="8231" width="8.28515625" style="209" customWidth="1"/>
    <col min="8232" max="8233" width="10.42578125" style="209" customWidth="1"/>
    <col min="8234" max="8234" width="7.28515625" style="209" customWidth="1"/>
    <col min="8235" max="8235" width="8.28515625" style="209" customWidth="1"/>
    <col min="8236" max="8236" width="11.5703125" style="209" customWidth="1"/>
    <col min="8237" max="8459" width="11.42578125" style="209"/>
    <col min="8460" max="8460" width="2" style="209" customWidth="1"/>
    <col min="8461" max="8461" width="18.140625" style="209" customWidth="1"/>
    <col min="8462" max="8462" width="13.5703125" style="209" customWidth="1"/>
    <col min="8463" max="8463" width="52" style="209" customWidth="1"/>
    <col min="8464" max="8465" width="6.5703125" style="209" customWidth="1"/>
    <col min="8466" max="8466" width="7.5703125" style="209" customWidth="1"/>
    <col min="8467" max="8467" width="7.42578125" style="209" customWidth="1"/>
    <col min="8468" max="8468" width="8.42578125" style="209" customWidth="1"/>
    <col min="8469" max="8469" width="7.28515625" style="209" customWidth="1"/>
    <col min="8470" max="8470" width="7.5703125" style="209" customWidth="1"/>
    <col min="8471" max="8471" width="7.7109375" style="209" customWidth="1"/>
    <col min="8472" max="8473" width="6.42578125" style="209" customWidth="1"/>
    <col min="8474" max="8474" width="7.28515625" style="209" customWidth="1"/>
    <col min="8475" max="8475" width="7.85546875" style="209" customWidth="1"/>
    <col min="8476" max="8476" width="6.42578125" style="209" customWidth="1"/>
    <col min="8477" max="8477" width="7.28515625" style="209" customWidth="1"/>
    <col min="8478" max="8478" width="7.5703125" style="209" customWidth="1"/>
    <col min="8479" max="8479" width="8" style="209" customWidth="1"/>
    <col min="8480" max="8481" width="6.42578125" style="209" customWidth="1"/>
    <col min="8482" max="8482" width="7.28515625" style="209" customWidth="1"/>
    <col min="8483" max="8483" width="8.28515625" style="209" customWidth="1"/>
    <col min="8484" max="8485" width="10.42578125" style="209" customWidth="1"/>
    <col min="8486" max="8486" width="7.28515625" style="209" customWidth="1"/>
    <col min="8487" max="8487" width="8.28515625" style="209" customWidth="1"/>
    <col min="8488" max="8489" width="10.42578125" style="209" customWidth="1"/>
    <col min="8490" max="8490" width="7.28515625" style="209" customWidth="1"/>
    <col min="8491" max="8491" width="8.28515625" style="209" customWidth="1"/>
    <col min="8492" max="8492" width="11.5703125" style="209" customWidth="1"/>
    <col min="8493" max="8715" width="11.42578125" style="209"/>
    <col min="8716" max="8716" width="2" style="209" customWidth="1"/>
    <col min="8717" max="8717" width="18.140625" style="209" customWidth="1"/>
    <col min="8718" max="8718" width="13.5703125" style="209" customWidth="1"/>
    <col min="8719" max="8719" width="52" style="209" customWidth="1"/>
    <col min="8720" max="8721" width="6.5703125" style="209" customWidth="1"/>
    <col min="8722" max="8722" width="7.5703125" style="209" customWidth="1"/>
    <col min="8723" max="8723" width="7.42578125" style="209" customWidth="1"/>
    <col min="8724" max="8724" width="8.42578125" style="209" customWidth="1"/>
    <col min="8725" max="8725" width="7.28515625" style="209" customWidth="1"/>
    <col min="8726" max="8726" width="7.5703125" style="209" customWidth="1"/>
    <col min="8727" max="8727" width="7.7109375" style="209" customWidth="1"/>
    <col min="8728" max="8729" width="6.42578125" style="209" customWidth="1"/>
    <col min="8730" max="8730" width="7.28515625" style="209" customWidth="1"/>
    <col min="8731" max="8731" width="7.85546875" style="209" customWidth="1"/>
    <col min="8732" max="8732" width="6.42578125" style="209" customWidth="1"/>
    <col min="8733" max="8733" width="7.28515625" style="209" customWidth="1"/>
    <col min="8734" max="8734" width="7.5703125" style="209" customWidth="1"/>
    <col min="8735" max="8735" width="8" style="209" customWidth="1"/>
    <col min="8736" max="8737" width="6.42578125" style="209" customWidth="1"/>
    <col min="8738" max="8738" width="7.28515625" style="209" customWidth="1"/>
    <col min="8739" max="8739" width="8.28515625" style="209" customWidth="1"/>
    <col min="8740" max="8741" width="10.42578125" style="209" customWidth="1"/>
    <col min="8742" max="8742" width="7.28515625" style="209" customWidth="1"/>
    <col min="8743" max="8743" width="8.28515625" style="209" customWidth="1"/>
    <col min="8744" max="8745" width="10.42578125" style="209" customWidth="1"/>
    <col min="8746" max="8746" width="7.28515625" style="209" customWidth="1"/>
    <col min="8747" max="8747" width="8.28515625" style="209" customWidth="1"/>
    <col min="8748" max="8748" width="11.5703125" style="209" customWidth="1"/>
    <col min="8749" max="8971" width="11.42578125" style="209"/>
    <col min="8972" max="8972" width="2" style="209" customWidth="1"/>
    <col min="8973" max="8973" width="18.140625" style="209" customWidth="1"/>
    <col min="8974" max="8974" width="13.5703125" style="209" customWidth="1"/>
    <col min="8975" max="8975" width="52" style="209" customWidth="1"/>
    <col min="8976" max="8977" width="6.5703125" style="209" customWidth="1"/>
    <col min="8978" max="8978" width="7.5703125" style="209" customWidth="1"/>
    <col min="8979" max="8979" width="7.42578125" style="209" customWidth="1"/>
    <col min="8980" max="8980" width="8.42578125" style="209" customWidth="1"/>
    <col min="8981" max="8981" width="7.28515625" style="209" customWidth="1"/>
    <col min="8982" max="8982" width="7.5703125" style="209" customWidth="1"/>
    <col min="8983" max="8983" width="7.7109375" style="209" customWidth="1"/>
    <col min="8984" max="8985" width="6.42578125" style="209" customWidth="1"/>
    <col min="8986" max="8986" width="7.28515625" style="209" customWidth="1"/>
    <col min="8987" max="8987" width="7.85546875" style="209" customWidth="1"/>
    <col min="8988" max="8988" width="6.42578125" style="209" customWidth="1"/>
    <col min="8989" max="8989" width="7.28515625" style="209" customWidth="1"/>
    <col min="8990" max="8990" width="7.5703125" style="209" customWidth="1"/>
    <col min="8991" max="8991" width="8" style="209" customWidth="1"/>
    <col min="8992" max="8993" width="6.42578125" style="209" customWidth="1"/>
    <col min="8994" max="8994" width="7.28515625" style="209" customWidth="1"/>
    <col min="8995" max="8995" width="8.28515625" style="209" customWidth="1"/>
    <col min="8996" max="8997" width="10.42578125" style="209" customWidth="1"/>
    <col min="8998" max="8998" width="7.28515625" style="209" customWidth="1"/>
    <col min="8999" max="8999" width="8.28515625" style="209" customWidth="1"/>
    <col min="9000" max="9001" width="10.42578125" style="209" customWidth="1"/>
    <col min="9002" max="9002" width="7.28515625" style="209" customWidth="1"/>
    <col min="9003" max="9003" width="8.28515625" style="209" customWidth="1"/>
    <col min="9004" max="9004" width="11.5703125" style="209" customWidth="1"/>
    <col min="9005" max="9227" width="11.42578125" style="209"/>
    <col min="9228" max="9228" width="2" style="209" customWidth="1"/>
    <col min="9229" max="9229" width="18.140625" style="209" customWidth="1"/>
    <col min="9230" max="9230" width="13.5703125" style="209" customWidth="1"/>
    <col min="9231" max="9231" width="52" style="209" customWidth="1"/>
    <col min="9232" max="9233" width="6.5703125" style="209" customWidth="1"/>
    <col min="9234" max="9234" width="7.5703125" style="209" customWidth="1"/>
    <col min="9235" max="9235" width="7.42578125" style="209" customWidth="1"/>
    <col min="9236" max="9236" width="8.42578125" style="209" customWidth="1"/>
    <col min="9237" max="9237" width="7.28515625" style="209" customWidth="1"/>
    <col min="9238" max="9238" width="7.5703125" style="209" customWidth="1"/>
    <col min="9239" max="9239" width="7.7109375" style="209" customWidth="1"/>
    <col min="9240" max="9241" width="6.42578125" style="209" customWidth="1"/>
    <col min="9242" max="9242" width="7.28515625" style="209" customWidth="1"/>
    <col min="9243" max="9243" width="7.85546875" style="209" customWidth="1"/>
    <col min="9244" max="9244" width="6.42578125" style="209" customWidth="1"/>
    <col min="9245" max="9245" width="7.28515625" style="209" customWidth="1"/>
    <col min="9246" max="9246" width="7.5703125" style="209" customWidth="1"/>
    <col min="9247" max="9247" width="8" style="209" customWidth="1"/>
    <col min="9248" max="9249" width="6.42578125" style="209" customWidth="1"/>
    <col min="9250" max="9250" width="7.28515625" style="209" customWidth="1"/>
    <col min="9251" max="9251" width="8.28515625" style="209" customWidth="1"/>
    <col min="9252" max="9253" width="10.42578125" style="209" customWidth="1"/>
    <col min="9254" max="9254" width="7.28515625" style="209" customWidth="1"/>
    <col min="9255" max="9255" width="8.28515625" style="209" customWidth="1"/>
    <col min="9256" max="9257" width="10.42578125" style="209" customWidth="1"/>
    <col min="9258" max="9258" width="7.28515625" style="209" customWidth="1"/>
    <col min="9259" max="9259" width="8.28515625" style="209" customWidth="1"/>
    <col min="9260" max="9260" width="11.5703125" style="209" customWidth="1"/>
    <col min="9261" max="9483" width="11.42578125" style="209"/>
    <col min="9484" max="9484" width="2" style="209" customWidth="1"/>
    <col min="9485" max="9485" width="18.140625" style="209" customWidth="1"/>
    <col min="9486" max="9486" width="13.5703125" style="209" customWidth="1"/>
    <col min="9487" max="9487" width="52" style="209" customWidth="1"/>
    <col min="9488" max="9489" width="6.5703125" style="209" customWidth="1"/>
    <col min="9490" max="9490" width="7.5703125" style="209" customWidth="1"/>
    <col min="9491" max="9491" width="7.42578125" style="209" customWidth="1"/>
    <col min="9492" max="9492" width="8.42578125" style="209" customWidth="1"/>
    <col min="9493" max="9493" width="7.28515625" style="209" customWidth="1"/>
    <col min="9494" max="9494" width="7.5703125" style="209" customWidth="1"/>
    <col min="9495" max="9495" width="7.7109375" style="209" customWidth="1"/>
    <col min="9496" max="9497" width="6.42578125" style="209" customWidth="1"/>
    <col min="9498" max="9498" width="7.28515625" style="209" customWidth="1"/>
    <col min="9499" max="9499" width="7.85546875" style="209" customWidth="1"/>
    <col min="9500" max="9500" width="6.42578125" style="209" customWidth="1"/>
    <col min="9501" max="9501" width="7.28515625" style="209" customWidth="1"/>
    <col min="9502" max="9502" width="7.5703125" style="209" customWidth="1"/>
    <col min="9503" max="9503" width="8" style="209" customWidth="1"/>
    <col min="9504" max="9505" width="6.42578125" style="209" customWidth="1"/>
    <col min="9506" max="9506" width="7.28515625" style="209" customWidth="1"/>
    <col min="9507" max="9507" width="8.28515625" style="209" customWidth="1"/>
    <col min="9508" max="9509" width="10.42578125" style="209" customWidth="1"/>
    <col min="9510" max="9510" width="7.28515625" style="209" customWidth="1"/>
    <col min="9511" max="9511" width="8.28515625" style="209" customWidth="1"/>
    <col min="9512" max="9513" width="10.42578125" style="209" customWidth="1"/>
    <col min="9514" max="9514" width="7.28515625" style="209" customWidth="1"/>
    <col min="9515" max="9515" width="8.28515625" style="209" customWidth="1"/>
    <col min="9516" max="9516" width="11.5703125" style="209" customWidth="1"/>
    <col min="9517" max="9739" width="11.42578125" style="209"/>
    <col min="9740" max="9740" width="2" style="209" customWidth="1"/>
    <col min="9741" max="9741" width="18.140625" style="209" customWidth="1"/>
    <col min="9742" max="9742" width="13.5703125" style="209" customWidth="1"/>
    <col min="9743" max="9743" width="52" style="209" customWidth="1"/>
    <col min="9744" max="9745" width="6.5703125" style="209" customWidth="1"/>
    <col min="9746" max="9746" width="7.5703125" style="209" customWidth="1"/>
    <col min="9747" max="9747" width="7.42578125" style="209" customWidth="1"/>
    <col min="9748" max="9748" width="8.42578125" style="209" customWidth="1"/>
    <col min="9749" max="9749" width="7.28515625" style="209" customWidth="1"/>
    <col min="9750" max="9750" width="7.5703125" style="209" customWidth="1"/>
    <col min="9751" max="9751" width="7.7109375" style="209" customWidth="1"/>
    <col min="9752" max="9753" width="6.42578125" style="209" customWidth="1"/>
    <col min="9754" max="9754" width="7.28515625" style="209" customWidth="1"/>
    <col min="9755" max="9755" width="7.85546875" style="209" customWidth="1"/>
    <col min="9756" max="9756" width="6.42578125" style="209" customWidth="1"/>
    <col min="9757" max="9757" width="7.28515625" style="209" customWidth="1"/>
    <col min="9758" max="9758" width="7.5703125" style="209" customWidth="1"/>
    <col min="9759" max="9759" width="8" style="209" customWidth="1"/>
    <col min="9760" max="9761" width="6.42578125" style="209" customWidth="1"/>
    <col min="9762" max="9762" width="7.28515625" style="209" customWidth="1"/>
    <col min="9763" max="9763" width="8.28515625" style="209" customWidth="1"/>
    <col min="9764" max="9765" width="10.42578125" style="209" customWidth="1"/>
    <col min="9766" max="9766" width="7.28515625" style="209" customWidth="1"/>
    <col min="9767" max="9767" width="8.28515625" style="209" customWidth="1"/>
    <col min="9768" max="9769" width="10.42578125" style="209" customWidth="1"/>
    <col min="9770" max="9770" width="7.28515625" style="209" customWidth="1"/>
    <col min="9771" max="9771" width="8.28515625" style="209" customWidth="1"/>
    <col min="9772" max="9772" width="11.5703125" style="209" customWidth="1"/>
    <col min="9773" max="9995" width="11.42578125" style="209"/>
    <col min="9996" max="9996" width="2" style="209" customWidth="1"/>
    <col min="9997" max="9997" width="18.140625" style="209" customWidth="1"/>
    <col min="9998" max="9998" width="13.5703125" style="209" customWidth="1"/>
    <col min="9999" max="9999" width="52" style="209" customWidth="1"/>
    <col min="10000" max="10001" width="6.5703125" style="209" customWidth="1"/>
    <col min="10002" max="10002" width="7.5703125" style="209" customWidth="1"/>
    <col min="10003" max="10003" width="7.42578125" style="209" customWidth="1"/>
    <col min="10004" max="10004" width="8.42578125" style="209" customWidth="1"/>
    <col min="10005" max="10005" width="7.28515625" style="209" customWidth="1"/>
    <col min="10006" max="10006" width="7.5703125" style="209" customWidth="1"/>
    <col min="10007" max="10007" width="7.7109375" style="209" customWidth="1"/>
    <col min="10008" max="10009" width="6.42578125" style="209" customWidth="1"/>
    <col min="10010" max="10010" width="7.28515625" style="209" customWidth="1"/>
    <col min="10011" max="10011" width="7.85546875" style="209" customWidth="1"/>
    <col min="10012" max="10012" width="6.42578125" style="209" customWidth="1"/>
    <col min="10013" max="10013" width="7.28515625" style="209" customWidth="1"/>
    <col min="10014" max="10014" width="7.5703125" style="209" customWidth="1"/>
    <col min="10015" max="10015" width="8" style="209" customWidth="1"/>
    <col min="10016" max="10017" width="6.42578125" style="209" customWidth="1"/>
    <col min="10018" max="10018" width="7.28515625" style="209" customWidth="1"/>
    <col min="10019" max="10019" width="8.28515625" style="209" customWidth="1"/>
    <col min="10020" max="10021" width="10.42578125" style="209" customWidth="1"/>
    <col min="10022" max="10022" width="7.28515625" style="209" customWidth="1"/>
    <col min="10023" max="10023" width="8.28515625" style="209" customWidth="1"/>
    <col min="10024" max="10025" width="10.42578125" style="209" customWidth="1"/>
    <col min="10026" max="10026" width="7.28515625" style="209" customWidth="1"/>
    <col min="10027" max="10027" width="8.28515625" style="209" customWidth="1"/>
    <col min="10028" max="10028" width="11.5703125" style="209" customWidth="1"/>
    <col min="10029" max="10251" width="11.42578125" style="209"/>
    <col min="10252" max="10252" width="2" style="209" customWidth="1"/>
    <col min="10253" max="10253" width="18.140625" style="209" customWidth="1"/>
    <col min="10254" max="10254" width="13.5703125" style="209" customWidth="1"/>
    <col min="10255" max="10255" width="52" style="209" customWidth="1"/>
    <col min="10256" max="10257" width="6.5703125" style="209" customWidth="1"/>
    <col min="10258" max="10258" width="7.5703125" style="209" customWidth="1"/>
    <col min="10259" max="10259" width="7.42578125" style="209" customWidth="1"/>
    <col min="10260" max="10260" width="8.42578125" style="209" customWidth="1"/>
    <col min="10261" max="10261" width="7.28515625" style="209" customWidth="1"/>
    <col min="10262" max="10262" width="7.5703125" style="209" customWidth="1"/>
    <col min="10263" max="10263" width="7.7109375" style="209" customWidth="1"/>
    <col min="10264" max="10265" width="6.42578125" style="209" customWidth="1"/>
    <col min="10266" max="10266" width="7.28515625" style="209" customWidth="1"/>
    <col min="10267" max="10267" width="7.85546875" style="209" customWidth="1"/>
    <col min="10268" max="10268" width="6.42578125" style="209" customWidth="1"/>
    <col min="10269" max="10269" width="7.28515625" style="209" customWidth="1"/>
    <col min="10270" max="10270" width="7.5703125" style="209" customWidth="1"/>
    <col min="10271" max="10271" width="8" style="209" customWidth="1"/>
    <col min="10272" max="10273" width="6.42578125" style="209" customWidth="1"/>
    <col min="10274" max="10274" width="7.28515625" style="209" customWidth="1"/>
    <col min="10275" max="10275" width="8.28515625" style="209" customWidth="1"/>
    <col min="10276" max="10277" width="10.42578125" style="209" customWidth="1"/>
    <col min="10278" max="10278" width="7.28515625" style="209" customWidth="1"/>
    <col min="10279" max="10279" width="8.28515625" style="209" customWidth="1"/>
    <col min="10280" max="10281" width="10.42578125" style="209" customWidth="1"/>
    <col min="10282" max="10282" width="7.28515625" style="209" customWidth="1"/>
    <col min="10283" max="10283" width="8.28515625" style="209" customWidth="1"/>
    <col min="10284" max="10284" width="11.5703125" style="209" customWidth="1"/>
    <col min="10285" max="10507" width="11.42578125" style="209"/>
    <col min="10508" max="10508" width="2" style="209" customWidth="1"/>
    <col min="10509" max="10509" width="18.140625" style="209" customWidth="1"/>
    <col min="10510" max="10510" width="13.5703125" style="209" customWidth="1"/>
    <col min="10511" max="10511" width="52" style="209" customWidth="1"/>
    <col min="10512" max="10513" width="6.5703125" style="209" customWidth="1"/>
    <col min="10514" max="10514" width="7.5703125" style="209" customWidth="1"/>
    <col min="10515" max="10515" width="7.42578125" style="209" customWidth="1"/>
    <col min="10516" max="10516" width="8.42578125" style="209" customWidth="1"/>
    <col min="10517" max="10517" width="7.28515625" style="209" customWidth="1"/>
    <col min="10518" max="10518" width="7.5703125" style="209" customWidth="1"/>
    <col min="10519" max="10519" width="7.7109375" style="209" customWidth="1"/>
    <col min="10520" max="10521" width="6.42578125" style="209" customWidth="1"/>
    <col min="10522" max="10522" width="7.28515625" style="209" customWidth="1"/>
    <col min="10523" max="10523" width="7.85546875" style="209" customWidth="1"/>
    <col min="10524" max="10524" width="6.42578125" style="209" customWidth="1"/>
    <col min="10525" max="10525" width="7.28515625" style="209" customWidth="1"/>
    <col min="10526" max="10526" width="7.5703125" style="209" customWidth="1"/>
    <col min="10527" max="10527" width="8" style="209" customWidth="1"/>
    <col min="10528" max="10529" width="6.42578125" style="209" customWidth="1"/>
    <col min="10530" max="10530" width="7.28515625" style="209" customWidth="1"/>
    <col min="10531" max="10531" width="8.28515625" style="209" customWidth="1"/>
    <col min="10532" max="10533" width="10.42578125" style="209" customWidth="1"/>
    <col min="10534" max="10534" width="7.28515625" style="209" customWidth="1"/>
    <col min="10535" max="10535" width="8.28515625" style="209" customWidth="1"/>
    <col min="10536" max="10537" width="10.42578125" style="209" customWidth="1"/>
    <col min="10538" max="10538" width="7.28515625" style="209" customWidth="1"/>
    <col min="10539" max="10539" width="8.28515625" style="209" customWidth="1"/>
    <col min="10540" max="10540" width="11.5703125" style="209" customWidth="1"/>
    <col min="10541" max="10763" width="11.42578125" style="209"/>
    <col min="10764" max="10764" width="2" style="209" customWidth="1"/>
    <col min="10765" max="10765" width="18.140625" style="209" customWidth="1"/>
    <col min="10766" max="10766" width="13.5703125" style="209" customWidth="1"/>
    <col min="10767" max="10767" width="52" style="209" customWidth="1"/>
    <col min="10768" max="10769" width="6.5703125" style="209" customWidth="1"/>
    <col min="10770" max="10770" width="7.5703125" style="209" customWidth="1"/>
    <col min="10771" max="10771" width="7.42578125" style="209" customWidth="1"/>
    <col min="10772" max="10772" width="8.42578125" style="209" customWidth="1"/>
    <col min="10773" max="10773" width="7.28515625" style="209" customWidth="1"/>
    <col min="10774" max="10774" width="7.5703125" style="209" customWidth="1"/>
    <col min="10775" max="10775" width="7.7109375" style="209" customWidth="1"/>
    <col min="10776" max="10777" width="6.42578125" style="209" customWidth="1"/>
    <col min="10778" max="10778" width="7.28515625" style="209" customWidth="1"/>
    <col min="10779" max="10779" width="7.85546875" style="209" customWidth="1"/>
    <col min="10780" max="10780" width="6.42578125" style="209" customWidth="1"/>
    <col min="10781" max="10781" width="7.28515625" style="209" customWidth="1"/>
    <col min="10782" max="10782" width="7.5703125" style="209" customWidth="1"/>
    <col min="10783" max="10783" width="8" style="209" customWidth="1"/>
    <col min="10784" max="10785" width="6.42578125" style="209" customWidth="1"/>
    <col min="10786" max="10786" width="7.28515625" style="209" customWidth="1"/>
    <col min="10787" max="10787" width="8.28515625" style="209" customWidth="1"/>
    <col min="10788" max="10789" width="10.42578125" style="209" customWidth="1"/>
    <col min="10790" max="10790" width="7.28515625" style="209" customWidth="1"/>
    <col min="10791" max="10791" width="8.28515625" style="209" customWidth="1"/>
    <col min="10792" max="10793" width="10.42578125" style="209" customWidth="1"/>
    <col min="10794" max="10794" width="7.28515625" style="209" customWidth="1"/>
    <col min="10795" max="10795" width="8.28515625" style="209" customWidth="1"/>
    <col min="10796" max="10796" width="11.5703125" style="209" customWidth="1"/>
    <col min="10797" max="11019" width="11.42578125" style="209"/>
    <col min="11020" max="11020" width="2" style="209" customWidth="1"/>
    <col min="11021" max="11021" width="18.140625" style="209" customWidth="1"/>
    <col min="11022" max="11022" width="13.5703125" style="209" customWidth="1"/>
    <col min="11023" max="11023" width="52" style="209" customWidth="1"/>
    <col min="11024" max="11025" width="6.5703125" style="209" customWidth="1"/>
    <col min="11026" max="11026" width="7.5703125" style="209" customWidth="1"/>
    <col min="11027" max="11027" width="7.42578125" style="209" customWidth="1"/>
    <col min="11028" max="11028" width="8.42578125" style="209" customWidth="1"/>
    <col min="11029" max="11029" width="7.28515625" style="209" customWidth="1"/>
    <col min="11030" max="11030" width="7.5703125" style="209" customWidth="1"/>
    <col min="11031" max="11031" width="7.7109375" style="209" customWidth="1"/>
    <col min="11032" max="11033" width="6.42578125" style="209" customWidth="1"/>
    <col min="11034" max="11034" width="7.28515625" style="209" customWidth="1"/>
    <col min="11035" max="11035" width="7.85546875" style="209" customWidth="1"/>
    <col min="11036" max="11036" width="6.42578125" style="209" customWidth="1"/>
    <col min="11037" max="11037" width="7.28515625" style="209" customWidth="1"/>
    <col min="11038" max="11038" width="7.5703125" style="209" customWidth="1"/>
    <col min="11039" max="11039" width="8" style="209" customWidth="1"/>
    <col min="11040" max="11041" width="6.42578125" style="209" customWidth="1"/>
    <col min="11042" max="11042" width="7.28515625" style="209" customWidth="1"/>
    <col min="11043" max="11043" width="8.28515625" style="209" customWidth="1"/>
    <col min="11044" max="11045" width="10.42578125" style="209" customWidth="1"/>
    <col min="11046" max="11046" width="7.28515625" style="209" customWidth="1"/>
    <col min="11047" max="11047" width="8.28515625" style="209" customWidth="1"/>
    <col min="11048" max="11049" width="10.42578125" style="209" customWidth="1"/>
    <col min="11050" max="11050" width="7.28515625" style="209" customWidth="1"/>
    <col min="11051" max="11051" width="8.28515625" style="209" customWidth="1"/>
    <col min="11052" max="11052" width="11.5703125" style="209" customWidth="1"/>
    <col min="11053" max="11275" width="11.42578125" style="209"/>
    <col min="11276" max="11276" width="2" style="209" customWidth="1"/>
    <col min="11277" max="11277" width="18.140625" style="209" customWidth="1"/>
    <col min="11278" max="11278" width="13.5703125" style="209" customWidth="1"/>
    <col min="11279" max="11279" width="52" style="209" customWidth="1"/>
    <col min="11280" max="11281" width="6.5703125" style="209" customWidth="1"/>
    <col min="11282" max="11282" width="7.5703125" style="209" customWidth="1"/>
    <col min="11283" max="11283" width="7.42578125" style="209" customWidth="1"/>
    <col min="11284" max="11284" width="8.42578125" style="209" customWidth="1"/>
    <col min="11285" max="11285" width="7.28515625" style="209" customWidth="1"/>
    <col min="11286" max="11286" width="7.5703125" style="209" customWidth="1"/>
    <col min="11287" max="11287" width="7.7109375" style="209" customWidth="1"/>
    <col min="11288" max="11289" width="6.42578125" style="209" customWidth="1"/>
    <col min="11290" max="11290" width="7.28515625" style="209" customWidth="1"/>
    <col min="11291" max="11291" width="7.85546875" style="209" customWidth="1"/>
    <col min="11292" max="11292" width="6.42578125" style="209" customWidth="1"/>
    <col min="11293" max="11293" width="7.28515625" style="209" customWidth="1"/>
    <col min="11294" max="11294" width="7.5703125" style="209" customWidth="1"/>
    <col min="11295" max="11295" width="8" style="209" customWidth="1"/>
    <col min="11296" max="11297" width="6.42578125" style="209" customWidth="1"/>
    <col min="11298" max="11298" width="7.28515625" style="209" customWidth="1"/>
    <col min="11299" max="11299" width="8.28515625" style="209" customWidth="1"/>
    <col min="11300" max="11301" width="10.42578125" style="209" customWidth="1"/>
    <col min="11302" max="11302" width="7.28515625" style="209" customWidth="1"/>
    <col min="11303" max="11303" width="8.28515625" style="209" customWidth="1"/>
    <col min="11304" max="11305" width="10.42578125" style="209" customWidth="1"/>
    <col min="11306" max="11306" width="7.28515625" style="209" customWidth="1"/>
    <col min="11307" max="11307" width="8.28515625" style="209" customWidth="1"/>
    <col min="11308" max="11308" width="11.5703125" style="209" customWidth="1"/>
    <col min="11309" max="11531" width="11.42578125" style="209"/>
    <col min="11532" max="11532" width="2" style="209" customWidth="1"/>
    <col min="11533" max="11533" width="18.140625" style="209" customWidth="1"/>
    <col min="11534" max="11534" width="13.5703125" style="209" customWidth="1"/>
    <col min="11535" max="11535" width="52" style="209" customWidth="1"/>
    <col min="11536" max="11537" width="6.5703125" style="209" customWidth="1"/>
    <col min="11538" max="11538" width="7.5703125" style="209" customWidth="1"/>
    <col min="11539" max="11539" width="7.42578125" style="209" customWidth="1"/>
    <col min="11540" max="11540" width="8.42578125" style="209" customWidth="1"/>
    <col min="11541" max="11541" width="7.28515625" style="209" customWidth="1"/>
    <col min="11542" max="11542" width="7.5703125" style="209" customWidth="1"/>
    <col min="11543" max="11543" width="7.7109375" style="209" customWidth="1"/>
    <col min="11544" max="11545" width="6.42578125" style="209" customWidth="1"/>
    <col min="11546" max="11546" width="7.28515625" style="209" customWidth="1"/>
    <col min="11547" max="11547" width="7.85546875" style="209" customWidth="1"/>
    <col min="11548" max="11548" width="6.42578125" style="209" customWidth="1"/>
    <col min="11549" max="11549" width="7.28515625" style="209" customWidth="1"/>
    <col min="11550" max="11550" width="7.5703125" style="209" customWidth="1"/>
    <col min="11551" max="11551" width="8" style="209" customWidth="1"/>
    <col min="11552" max="11553" width="6.42578125" style="209" customWidth="1"/>
    <col min="11554" max="11554" width="7.28515625" style="209" customWidth="1"/>
    <col min="11555" max="11555" width="8.28515625" style="209" customWidth="1"/>
    <col min="11556" max="11557" width="10.42578125" style="209" customWidth="1"/>
    <col min="11558" max="11558" width="7.28515625" style="209" customWidth="1"/>
    <col min="11559" max="11559" width="8.28515625" style="209" customWidth="1"/>
    <col min="11560" max="11561" width="10.42578125" style="209" customWidth="1"/>
    <col min="11562" max="11562" width="7.28515625" style="209" customWidth="1"/>
    <col min="11563" max="11563" width="8.28515625" style="209" customWidth="1"/>
    <col min="11564" max="11564" width="11.5703125" style="209" customWidth="1"/>
    <col min="11565" max="11787" width="11.42578125" style="209"/>
    <col min="11788" max="11788" width="2" style="209" customWidth="1"/>
    <col min="11789" max="11789" width="18.140625" style="209" customWidth="1"/>
    <col min="11790" max="11790" width="13.5703125" style="209" customWidth="1"/>
    <col min="11791" max="11791" width="52" style="209" customWidth="1"/>
    <col min="11792" max="11793" width="6.5703125" style="209" customWidth="1"/>
    <col min="11794" max="11794" width="7.5703125" style="209" customWidth="1"/>
    <col min="11795" max="11795" width="7.42578125" style="209" customWidth="1"/>
    <col min="11796" max="11796" width="8.42578125" style="209" customWidth="1"/>
    <col min="11797" max="11797" width="7.28515625" style="209" customWidth="1"/>
    <col min="11798" max="11798" width="7.5703125" style="209" customWidth="1"/>
    <col min="11799" max="11799" width="7.7109375" style="209" customWidth="1"/>
    <col min="11800" max="11801" width="6.42578125" style="209" customWidth="1"/>
    <col min="11802" max="11802" width="7.28515625" style="209" customWidth="1"/>
    <col min="11803" max="11803" width="7.85546875" style="209" customWidth="1"/>
    <col min="11804" max="11804" width="6.42578125" style="209" customWidth="1"/>
    <col min="11805" max="11805" width="7.28515625" style="209" customWidth="1"/>
    <col min="11806" max="11806" width="7.5703125" style="209" customWidth="1"/>
    <col min="11807" max="11807" width="8" style="209" customWidth="1"/>
    <col min="11808" max="11809" width="6.42578125" style="209" customWidth="1"/>
    <col min="11810" max="11810" width="7.28515625" style="209" customWidth="1"/>
    <col min="11811" max="11811" width="8.28515625" style="209" customWidth="1"/>
    <col min="11812" max="11813" width="10.42578125" style="209" customWidth="1"/>
    <col min="11814" max="11814" width="7.28515625" style="209" customWidth="1"/>
    <col min="11815" max="11815" width="8.28515625" style="209" customWidth="1"/>
    <col min="11816" max="11817" width="10.42578125" style="209" customWidth="1"/>
    <col min="11818" max="11818" width="7.28515625" style="209" customWidth="1"/>
    <col min="11819" max="11819" width="8.28515625" style="209" customWidth="1"/>
    <col min="11820" max="11820" width="11.5703125" style="209" customWidth="1"/>
    <col min="11821" max="12043" width="11.42578125" style="209"/>
    <col min="12044" max="12044" width="2" style="209" customWidth="1"/>
    <col min="12045" max="12045" width="18.140625" style="209" customWidth="1"/>
    <col min="12046" max="12046" width="13.5703125" style="209" customWidth="1"/>
    <col min="12047" max="12047" width="52" style="209" customWidth="1"/>
    <col min="12048" max="12049" width="6.5703125" style="209" customWidth="1"/>
    <col min="12050" max="12050" width="7.5703125" style="209" customWidth="1"/>
    <col min="12051" max="12051" width="7.42578125" style="209" customWidth="1"/>
    <col min="12052" max="12052" width="8.42578125" style="209" customWidth="1"/>
    <col min="12053" max="12053" width="7.28515625" style="209" customWidth="1"/>
    <col min="12054" max="12054" width="7.5703125" style="209" customWidth="1"/>
    <col min="12055" max="12055" width="7.7109375" style="209" customWidth="1"/>
    <col min="12056" max="12057" width="6.42578125" style="209" customWidth="1"/>
    <col min="12058" max="12058" width="7.28515625" style="209" customWidth="1"/>
    <col min="12059" max="12059" width="7.85546875" style="209" customWidth="1"/>
    <col min="12060" max="12060" width="6.42578125" style="209" customWidth="1"/>
    <col min="12061" max="12061" width="7.28515625" style="209" customWidth="1"/>
    <col min="12062" max="12062" width="7.5703125" style="209" customWidth="1"/>
    <col min="12063" max="12063" width="8" style="209" customWidth="1"/>
    <col min="12064" max="12065" width="6.42578125" style="209" customWidth="1"/>
    <col min="12066" max="12066" width="7.28515625" style="209" customWidth="1"/>
    <col min="12067" max="12067" width="8.28515625" style="209" customWidth="1"/>
    <col min="12068" max="12069" width="10.42578125" style="209" customWidth="1"/>
    <col min="12070" max="12070" width="7.28515625" style="209" customWidth="1"/>
    <col min="12071" max="12071" width="8.28515625" style="209" customWidth="1"/>
    <col min="12072" max="12073" width="10.42578125" style="209" customWidth="1"/>
    <col min="12074" max="12074" width="7.28515625" style="209" customWidth="1"/>
    <col min="12075" max="12075" width="8.28515625" style="209" customWidth="1"/>
    <col min="12076" max="12076" width="11.5703125" style="209" customWidth="1"/>
    <col min="12077" max="12299" width="11.42578125" style="209"/>
    <col min="12300" max="12300" width="2" style="209" customWidth="1"/>
    <col min="12301" max="12301" width="18.140625" style="209" customWidth="1"/>
    <col min="12302" max="12302" width="13.5703125" style="209" customWidth="1"/>
    <col min="12303" max="12303" width="52" style="209" customWidth="1"/>
    <col min="12304" max="12305" width="6.5703125" style="209" customWidth="1"/>
    <col min="12306" max="12306" width="7.5703125" style="209" customWidth="1"/>
    <col min="12307" max="12307" width="7.42578125" style="209" customWidth="1"/>
    <col min="12308" max="12308" width="8.42578125" style="209" customWidth="1"/>
    <col min="12309" max="12309" width="7.28515625" style="209" customWidth="1"/>
    <col min="12310" max="12310" width="7.5703125" style="209" customWidth="1"/>
    <col min="12311" max="12311" width="7.7109375" style="209" customWidth="1"/>
    <col min="12312" max="12313" width="6.42578125" style="209" customWidth="1"/>
    <col min="12314" max="12314" width="7.28515625" style="209" customWidth="1"/>
    <col min="12315" max="12315" width="7.85546875" style="209" customWidth="1"/>
    <col min="12316" max="12316" width="6.42578125" style="209" customWidth="1"/>
    <col min="12317" max="12317" width="7.28515625" style="209" customWidth="1"/>
    <col min="12318" max="12318" width="7.5703125" style="209" customWidth="1"/>
    <col min="12319" max="12319" width="8" style="209" customWidth="1"/>
    <col min="12320" max="12321" width="6.42578125" style="209" customWidth="1"/>
    <col min="12322" max="12322" width="7.28515625" style="209" customWidth="1"/>
    <col min="12323" max="12323" width="8.28515625" style="209" customWidth="1"/>
    <col min="12324" max="12325" width="10.42578125" style="209" customWidth="1"/>
    <col min="12326" max="12326" width="7.28515625" style="209" customWidth="1"/>
    <col min="12327" max="12327" width="8.28515625" style="209" customWidth="1"/>
    <col min="12328" max="12329" width="10.42578125" style="209" customWidth="1"/>
    <col min="12330" max="12330" width="7.28515625" style="209" customWidth="1"/>
    <col min="12331" max="12331" width="8.28515625" style="209" customWidth="1"/>
    <col min="12332" max="12332" width="11.5703125" style="209" customWidth="1"/>
    <col min="12333" max="12555" width="11.42578125" style="209"/>
    <col min="12556" max="12556" width="2" style="209" customWidth="1"/>
    <col min="12557" max="12557" width="18.140625" style="209" customWidth="1"/>
    <col min="12558" max="12558" width="13.5703125" style="209" customWidth="1"/>
    <col min="12559" max="12559" width="52" style="209" customWidth="1"/>
    <col min="12560" max="12561" width="6.5703125" style="209" customWidth="1"/>
    <col min="12562" max="12562" width="7.5703125" style="209" customWidth="1"/>
    <col min="12563" max="12563" width="7.42578125" style="209" customWidth="1"/>
    <col min="12564" max="12564" width="8.42578125" style="209" customWidth="1"/>
    <col min="12565" max="12565" width="7.28515625" style="209" customWidth="1"/>
    <col min="12566" max="12566" width="7.5703125" style="209" customWidth="1"/>
    <col min="12567" max="12567" width="7.7109375" style="209" customWidth="1"/>
    <col min="12568" max="12569" width="6.42578125" style="209" customWidth="1"/>
    <col min="12570" max="12570" width="7.28515625" style="209" customWidth="1"/>
    <col min="12571" max="12571" width="7.85546875" style="209" customWidth="1"/>
    <col min="12572" max="12572" width="6.42578125" style="209" customWidth="1"/>
    <col min="12573" max="12573" width="7.28515625" style="209" customWidth="1"/>
    <col min="12574" max="12574" width="7.5703125" style="209" customWidth="1"/>
    <col min="12575" max="12575" width="8" style="209" customWidth="1"/>
    <col min="12576" max="12577" width="6.42578125" style="209" customWidth="1"/>
    <col min="12578" max="12578" width="7.28515625" style="209" customWidth="1"/>
    <col min="12579" max="12579" width="8.28515625" style="209" customWidth="1"/>
    <col min="12580" max="12581" width="10.42578125" style="209" customWidth="1"/>
    <col min="12582" max="12582" width="7.28515625" style="209" customWidth="1"/>
    <col min="12583" max="12583" width="8.28515625" style="209" customWidth="1"/>
    <col min="12584" max="12585" width="10.42578125" style="209" customWidth="1"/>
    <col min="12586" max="12586" width="7.28515625" style="209" customWidth="1"/>
    <col min="12587" max="12587" width="8.28515625" style="209" customWidth="1"/>
    <col min="12588" max="12588" width="11.5703125" style="209" customWidth="1"/>
    <col min="12589" max="12811" width="11.42578125" style="209"/>
    <col min="12812" max="12812" width="2" style="209" customWidth="1"/>
    <col min="12813" max="12813" width="18.140625" style="209" customWidth="1"/>
    <col min="12814" max="12814" width="13.5703125" style="209" customWidth="1"/>
    <col min="12815" max="12815" width="52" style="209" customWidth="1"/>
    <col min="12816" max="12817" width="6.5703125" style="209" customWidth="1"/>
    <col min="12818" max="12818" width="7.5703125" style="209" customWidth="1"/>
    <col min="12819" max="12819" width="7.42578125" style="209" customWidth="1"/>
    <col min="12820" max="12820" width="8.42578125" style="209" customWidth="1"/>
    <col min="12821" max="12821" width="7.28515625" style="209" customWidth="1"/>
    <col min="12822" max="12822" width="7.5703125" style="209" customWidth="1"/>
    <col min="12823" max="12823" width="7.7109375" style="209" customWidth="1"/>
    <col min="12824" max="12825" width="6.42578125" style="209" customWidth="1"/>
    <col min="12826" max="12826" width="7.28515625" style="209" customWidth="1"/>
    <col min="12827" max="12827" width="7.85546875" style="209" customWidth="1"/>
    <col min="12828" max="12828" width="6.42578125" style="209" customWidth="1"/>
    <col min="12829" max="12829" width="7.28515625" style="209" customWidth="1"/>
    <col min="12830" max="12830" width="7.5703125" style="209" customWidth="1"/>
    <col min="12831" max="12831" width="8" style="209" customWidth="1"/>
    <col min="12832" max="12833" width="6.42578125" style="209" customWidth="1"/>
    <col min="12834" max="12834" width="7.28515625" style="209" customWidth="1"/>
    <col min="12835" max="12835" width="8.28515625" style="209" customWidth="1"/>
    <col min="12836" max="12837" width="10.42578125" style="209" customWidth="1"/>
    <col min="12838" max="12838" width="7.28515625" style="209" customWidth="1"/>
    <col min="12839" max="12839" width="8.28515625" style="209" customWidth="1"/>
    <col min="12840" max="12841" width="10.42578125" style="209" customWidth="1"/>
    <col min="12842" max="12842" width="7.28515625" style="209" customWidth="1"/>
    <col min="12843" max="12843" width="8.28515625" style="209" customWidth="1"/>
    <col min="12844" max="12844" width="11.5703125" style="209" customWidth="1"/>
    <col min="12845" max="13067" width="11.42578125" style="209"/>
    <col min="13068" max="13068" width="2" style="209" customWidth="1"/>
    <col min="13069" max="13069" width="18.140625" style="209" customWidth="1"/>
    <col min="13070" max="13070" width="13.5703125" style="209" customWidth="1"/>
    <col min="13071" max="13071" width="52" style="209" customWidth="1"/>
    <col min="13072" max="13073" width="6.5703125" style="209" customWidth="1"/>
    <col min="13074" max="13074" width="7.5703125" style="209" customWidth="1"/>
    <col min="13075" max="13075" width="7.42578125" style="209" customWidth="1"/>
    <col min="13076" max="13076" width="8.42578125" style="209" customWidth="1"/>
    <col min="13077" max="13077" width="7.28515625" style="209" customWidth="1"/>
    <col min="13078" max="13078" width="7.5703125" style="209" customWidth="1"/>
    <col min="13079" max="13079" width="7.7109375" style="209" customWidth="1"/>
    <col min="13080" max="13081" width="6.42578125" style="209" customWidth="1"/>
    <col min="13082" max="13082" width="7.28515625" style="209" customWidth="1"/>
    <col min="13083" max="13083" width="7.85546875" style="209" customWidth="1"/>
    <col min="13084" max="13084" width="6.42578125" style="209" customWidth="1"/>
    <col min="13085" max="13085" width="7.28515625" style="209" customWidth="1"/>
    <col min="13086" max="13086" width="7.5703125" style="209" customWidth="1"/>
    <col min="13087" max="13087" width="8" style="209" customWidth="1"/>
    <col min="13088" max="13089" width="6.42578125" style="209" customWidth="1"/>
    <col min="13090" max="13090" width="7.28515625" style="209" customWidth="1"/>
    <col min="13091" max="13091" width="8.28515625" style="209" customWidth="1"/>
    <col min="13092" max="13093" width="10.42578125" style="209" customWidth="1"/>
    <col min="13094" max="13094" width="7.28515625" style="209" customWidth="1"/>
    <col min="13095" max="13095" width="8.28515625" style="209" customWidth="1"/>
    <col min="13096" max="13097" width="10.42578125" style="209" customWidth="1"/>
    <col min="13098" max="13098" width="7.28515625" style="209" customWidth="1"/>
    <col min="13099" max="13099" width="8.28515625" style="209" customWidth="1"/>
    <col min="13100" max="13100" width="11.5703125" style="209" customWidth="1"/>
    <col min="13101" max="13323" width="11.42578125" style="209"/>
    <col min="13324" max="13324" width="2" style="209" customWidth="1"/>
    <col min="13325" max="13325" width="18.140625" style="209" customWidth="1"/>
    <col min="13326" max="13326" width="13.5703125" style="209" customWidth="1"/>
    <col min="13327" max="13327" width="52" style="209" customWidth="1"/>
    <col min="13328" max="13329" width="6.5703125" style="209" customWidth="1"/>
    <col min="13330" max="13330" width="7.5703125" style="209" customWidth="1"/>
    <col min="13331" max="13331" width="7.42578125" style="209" customWidth="1"/>
    <col min="13332" max="13332" width="8.42578125" style="209" customWidth="1"/>
    <col min="13333" max="13333" width="7.28515625" style="209" customWidth="1"/>
    <col min="13334" max="13334" width="7.5703125" style="209" customWidth="1"/>
    <col min="13335" max="13335" width="7.7109375" style="209" customWidth="1"/>
    <col min="13336" max="13337" width="6.42578125" style="209" customWidth="1"/>
    <col min="13338" max="13338" width="7.28515625" style="209" customWidth="1"/>
    <col min="13339" max="13339" width="7.85546875" style="209" customWidth="1"/>
    <col min="13340" max="13340" width="6.42578125" style="209" customWidth="1"/>
    <col min="13341" max="13341" width="7.28515625" style="209" customWidth="1"/>
    <col min="13342" max="13342" width="7.5703125" style="209" customWidth="1"/>
    <col min="13343" max="13343" width="8" style="209" customWidth="1"/>
    <col min="13344" max="13345" width="6.42578125" style="209" customWidth="1"/>
    <col min="13346" max="13346" width="7.28515625" style="209" customWidth="1"/>
    <col min="13347" max="13347" width="8.28515625" style="209" customWidth="1"/>
    <col min="13348" max="13349" width="10.42578125" style="209" customWidth="1"/>
    <col min="13350" max="13350" width="7.28515625" style="209" customWidth="1"/>
    <col min="13351" max="13351" width="8.28515625" style="209" customWidth="1"/>
    <col min="13352" max="13353" width="10.42578125" style="209" customWidth="1"/>
    <col min="13354" max="13354" width="7.28515625" style="209" customWidth="1"/>
    <col min="13355" max="13355" width="8.28515625" style="209" customWidth="1"/>
    <col min="13356" max="13356" width="11.5703125" style="209" customWidth="1"/>
    <col min="13357" max="13579" width="11.42578125" style="209"/>
    <col min="13580" max="13580" width="2" style="209" customWidth="1"/>
    <col min="13581" max="13581" width="18.140625" style="209" customWidth="1"/>
    <col min="13582" max="13582" width="13.5703125" style="209" customWidth="1"/>
    <col min="13583" max="13583" width="52" style="209" customWidth="1"/>
    <col min="13584" max="13585" width="6.5703125" style="209" customWidth="1"/>
    <col min="13586" max="13586" width="7.5703125" style="209" customWidth="1"/>
    <col min="13587" max="13587" width="7.42578125" style="209" customWidth="1"/>
    <col min="13588" max="13588" width="8.42578125" style="209" customWidth="1"/>
    <col min="13589" max="13589" width="7.28515625" style="209" customWidth="1"/>
    <col min="13590" max="13590" width="7.5703125" style="209" customWidth="1"/>
    <col min="13591" max="13591" width="7.7109375" style="209" customWidth="1"/>
    <col min="13592" max="13593" width="6.42578125" style="209" customWidth="1"/>
    <col min="13594" max="13594" width="7.28515625" style="209" customWidth="1"/>
    <col min="13595" max="13595" width="7.85546875" style="209" customWidth="1"/>
    <col min="13596" max="13596" width="6.42578125" style="209" customWidth="1"/>
    <col min="13597" max="13597" width="7.28515625" style="209" customWidth="1"/>
    <col min="13598" max="13598" width="7.5703125" style="209" customWidth="1"/>
    <col min="13599" max="13599" width="8" style="209" customWidth="1"/>
    <col min="13600" max="13601" width="6.42578125" style="209" customWidth="1"/>
    <col min="13602" max="13602" width="7.28515625" style="209" customWidth="1"/>
    <col min="13603" max="13603" width="8.28515625" style="209" customWidth="1"/>
    <col min="13604" max="13605" width="10.42578125" style="209" customWidth="1"/>
    <col min="13606" max="13606" width="7.28515625" style="209" customWidth="1"/>
    <col min="13607" max="13607" width="8.28515625" style="209" customWidth="1"/>
    <col min="13608" max="13609" width="10.42578125" style="209" customWidth="1"/>
    <col min="13610" max="13610" width="7.28515625" style="209" customWidth="1"/>
    <col min="13611" max="13611" width="8.28515625" style="209" customWidth="1"/>
    <col min="13612" max="13612" width="11.5703125" style="209" customWidth="1"/>
    <col min="13613" max="13835" width="11.42578125" style="209"/>
    <col min="13836" max="13836" width="2" style="209" customWidth="1"/>
    <col min="13837" max="13837" width="18.140625" style="209" customWidth="1"/>
    <col min="13838" max="13838" width="13.5703125" style="209" customWidth="1"/>
    <col min="13839" max="13839" width="52" style="209" customWidth="1"/>
    <col min="13840" max="13841" width="6.5703125" style="209" customWidth="1"/>
    <col min="13842" max="13842" width="7.5703125" style="209" customWidth="1"/>
    <col min="13843" max="13843" width="7.42578125" style="209" customWidth="1"/>
    <col min="13844" max="13844" width="8.42578125" style="209" customWidth="1"/>
    <col min="13845" max="13845" width="7.28515625" style="209" customWidth="1"/>
    <col min="13846" max="13846" width="7.5703125" style="209" customWidth="1"/>
    <col min="13847" max="13847" width="7.7109375" style="209" customWidth="1"/>
    <col min="13848" max="13849" width="6.42578125" style="209" customWidth="1"/>
    <col min="13850" max="13850" width="7.28515625" style="209" customWidth="1"/>
    <col min="13851" max="13851" width="7.85546875" style="209" customWidth="1"/>
    <col min="13852" max="13852" width="6.42578125" style="209" customWidth="1"/>
    <col min="13853" max="13853" width="7.28515625" style="209" customWidth="1"/>
    <col min="13854" max="13854" width="7.5703125" style="209" customWidth="1"/>
    <col min="13855" max="13855" width="8" style="209" customWidth="1"/>
    <col min="13856" max="13857" width="6.42578125" style="209" customWidth="1"/>
    <col min="13858" max="13858" width="7.28515625" style="209" customWidth="1"/>
    <col min="13859" max="13859" width="8.28515625" style="209" customWidth="1"/>
    <col min="13860" max="13861" width="10.42578125" style="209" customWidth="1"/>
    <col min="13862" max="13862" width="7.28515625" style="209" customWidth="1"/>
    <col min="13863" max="13863" width="8.28515625" style="209" customWidth="1"/>
    <col min="13864" max="13865" width="10.42578125" style="209" customWidth="1"/>
    <col min="13866" max="13866" width="7.28515625" style="209" customWidth="1"/>
    <col min="13867" max="13867" width="8.28515625" style="209" customWidth="1"/>
    <col min="13868" max="13868" width="11.5703125" style="209" customWidth="1"/>
    <col min="13869" max="14091" width="11.42578125" style="209"/>
    <col min="14092" max="14092" width="2" style="209" customWidth="1"/>
    <col min="14093" max="14093" width="18.140625" style="209" customWidth="1"/>
    <col min="14094" max="14094" width="13.5703125" style="209" customWidth="1"/>
    <col min="14095" max="14095" width="52" style="209" customWidth="1"/>
    <col min="14096" max="14097" width="6.5703125" style="209" customWidth="1"/>
    <col min="14098" max="14098" width="7.5703125" style="209" customWidth="1"/>
    <col min="14099" max="14099" width="7.42578125" style="209" customWidth="1"/>
    <col min="14100" max="14100" width="8.42578125" style="209" customWidth="1"/>
    <col min="14101" max="14101" width="7.28515625" style="209" customWidth="1"/>
    <col min="14102" max="14102" width="7.5703125" style="209" customWidth="1"/>
    <col min="14103" max="14103" width="7.7109375" style="209" customWidth="1"/>
    <col min="14104" max="14105" width="6.42578125" style="209" customWidth="1"/>
    <col min="14106" max="14106" width="7.28515625" style="209" customWidth="1"/>
    <col min="14107" max="14107" width="7.85546875" style="209" customWidth="1"/>
    <col min="14108" max="14108" width="6.42578125" style="209" customWidth="1"/>
    <col min="14109" max="14109" width="7.28515625" style="209" customWidth="1"/>
    <col min="14110" max="14110" width="7.5703125" style="209" customWidth="1"/>
    <col min="14111" max="14111" width="8" style="209" customWidth="1"/>
    <col min="14112" max="14113" width="6.42578125" style="209" customWidth="1"/>
    <col min="14114" max="14114" width="7.28515625" style="209" customWidth="1"/>
    <col min="14115" max="14115" width="8.28515625" style="209" customWidth="1"/>
    <col min="14116" max="14117" width="10.42578125" style="209" customWidth="1"/>
    <col min="14118" max="14118" width="7.28515625" style="209" customWidth="1"/>
    <col min="14119" max="14119" width="8.28515625" style="209" customWidth="1"/>
    <col min="14120" max="14121" width="10.42578125" style="209" customWidth="1"/>
    <col min="14122" max="14122" width="7.28515625" style="209" customWidth="1"/>
    <col min="14123" max="14123" width="8.28515625" style="209" customWidth="1"/>
    <col min="14124" max="14124" width="11.5703125" style="209" customWidth="1"/>
    <col min="14125" max="14347" width="11.42578125" style="209"/>
    <col min="14348" max="14348" width="2" style="209" customWidth="1"/>
    <col min="14349" max="14349" width="18.140625" style="209" customWidth="1"/>
    <col min="14350" max="14350" width="13.5703125" style="209" customWidth="1"/>
    <col min="14351" max="14351" width="52" style="209" customWidth="1"/>
    <col min="14352" max="14353" width="6.5703125" style="209" customWidth="1"/>
    <col min="14354" max="14354" width="7.5703125" style="209" customWidth="1"/>
    <col min="14355" max="14355" width="7.42578125" style="209" customWidth="1"/>
    <col min="14356" max="14356" width="8.42578125" style="209" customWidth="1"/>
    <col min="14357" max="14357" width="7.28515625" style="209" customWidth="1"/>
    <col min="14358" max="14358" width="7.5703125" style="209" customWidth="1"/>
    <col min="14359" max="14359" width="7.7109375" style="209" customWidth="1"/>
    <col min="14360" max="14361" width="6.42578125" style="209" customWidth="1"/>
    <col min="14362" max="14362" width="7.28515625" style="209" customWidth="1"/>
    <col min="14363" max="14363" width="7.85546875" style="209" customWidth="1"/>
    <col min="14364" max="14364" width="6.42578125" style="209" customWidth="1"/>
    <col min="14365" max="14365" width="7.28515625" style="209" customWidth="1"/>
    <col min="14366" max="14366" width="7.5703125" style="209" customWidth="1"/>
    <col min="14367" max="14367" width="8" style="209" customWidth="1"/>
    <col min="14368" max="14369" width="6.42578125" style="209" customWidth="1"/>
    <col min="14370" max="14370" width="7.28515625" style="209" customWidth="1"/>
    <col min="14371" max="14371" width="8.28515625" style="209" customWidth="1"/>
    <col min="14372" max="14373" width="10.42578125" style="209" customWidth="1"/>
    <col min="14374" max="14374" width="7.28515625" style="209" customWidth="1"/>
    <col min="14375" max="14375" width="8.28515625" style="209" customWidth="1"/>
    <col min="14376" max="14377" width="10.42578125" style="209" customWidth="1"/>
    <col min="14378" max="14378" width="7.28515625" style="209" customWidth="1"/>
    <col min="14379" max="14379" width="8.28515625" style="209" customWidth="1"/>
    <col min="14380" max="14380" width="11.5703125" style="209" customWidth="1"/>
    <col min="14381" max="14603" width="11.42578125" style="209"/>
    <col min="14604" max="14604" width="2" style="209" customWidth="1"/>
    <col min="14605" max="14605" width="18.140625" style="209" customWidth="1"/>
    <col min="14606" max="14606" width="13.5703125" style="209" customWidth="1"/>
    <col min="14607" max="14607" width="52" style="209" customWidth="1"/>
    <col min="14608" max="14609" width="6.5703125" style="209" customWidth="1"/>
    <col min="14610" max="14610" width="7.5703125" style="209" customWidth="1"/>
    <col min="14611" max="14611" width="7.42578125" style="209" customWidth="1"/>
    <col min="14612" max="14612" width="8.42578125" style="209" customWidth="1"/>
    <col min="14613" max="14613" width="7.28515625" style="209" customWidth="1"/>
    <col min="14614" max="14614" width="7.5703125" style="209" customWidth="1"/>
    <col min="14615" max="14615" width="7.7109375" style="209" customWidth="1"/>
    <col min="14616" max="14617" width="6.42578125" style="209" customWidth="1"/>
    <col min="14618" max="14618" width="7.28515625" style="209" customWidth="1"/>
    <col min="14619" max="14619" width="7.85546875" style="209" customWidth="1"/>
    <col min="14620" max="14620" width="6.42578125" style="209" customWidth="1"/>
    <col min="14621" max="14621" width="7.28515625" style="209" customWidth="1"/>
    <col min="14622" max="14622" width="7.5703125" style="209" customWidth="1"/>
    <col min="14623" max="14623" width="8" style="209" customWidth="1"/>
    <col min="14624" max="14625" width="6.42578125" style="209" customWidth="1"/>
    <col min="14626" max="14626" width="7.28515625" style="209" customWidth="1"/>
    <col min="14627" max="14627" width="8.28515625" style="209" customWidth="1"/>
    <col min="14628" max="14629" width="10.42578125" style="209" customWidth="1"/>
    <col min="14630" max="14630" width="7.28515625" style="209" customWidth="1"/>
    <col min="14631" max="14631" width="8.28515625" style="209" customWidth="1"/>
    <col min="14632" max="14633" width="10.42578125" style="209" customWidth="1"/>
    <col min="14634" max="14634" width="7.28515625" style="209" customWidth="1"/>
    <col min="14635" max="14635" width="8.28515625" style="209" customWidth="1"/>
    <col min="14636" max="14636" width="11.5703125" style="209" customWidth="1"/>
    <col min="14637" max="14859" width="11.42578125" style="209"/>
    <col min="14860" max="14860" width="2" style="209" customWidth="1"/>
    <col min="14861" max="14861" width="18.140625" style="209" customWidth="1"/>
    <col min="14862" max="14862" width="13.5703125" style="209" customWidth="1"/>
    <col min="14863" max="14863" width="52" style="209" customWidth="1"/>
    <col min="14864" max="14865" width="6.5703125" style="209" customWidth="1"/>
    <col min="14866" max="14866" width="7.5703125" style="209" customWidth="1"/>
    <col min="14867" max="14867" width="7.42578125" style="209" customWidth="1"/>
    <col min="14868" max="14868" width="8.42578125" style="209" customWidth="1"/>
    <col min="14869" max="14869" width="7.28515625" style="209" customWidth="1"/>
    <col min="14870" max="14870" width="7.5703125" style="209" customWidth="1"/>
    <col min="14871" max="14871" width="7.7109375" style="209" customWidth="1"/>
    <col min="14872" max="14873" width="6.42578125" style="209" customWidth="1"/>
    <col min="14874" max="14874" width="7.28515625" style="209" customWidth="1"/>
    <col min="14875" max="14875" width="7.85546875" style="209" customWidth="1"/>
    <col min="14876" max="14876" width="6.42578125" style="209" customWidth="1"/>
    <col min="14877" max="14877" width="7.28515625" style="209" customWidth="1"/>
    <col min="14878" max="14878" width="7.5703125" style="209" customWidth="1"/>
    <col min="14879" max="14879" width="8" style="209" customWidth="1"/>
    <col min="14880" max="14881" width="6.42578125" style="209" customWidth="1"/>
    <col min="14882" max="14882" width="7.28515625" style="209" customWidth="1"/>
    <col min="14883" max="14883" width="8.28515625" style="209" customWidth="1"/>
    <col min="14884" max="14885" width="10.42578125" style="209" customWidth="1"/>
    <col min="14886" max="14886" width="7.28515625" style="209" customWidth="1"/>
    <col min="14887" max="14887" width="8.28515625" style="209" customWidth="1"/>
    <col min="14888" max="14889" width="10.42578125" style="209" customWidth="1"/>
    <col min="14890" max="14890" width="7.28515625" style="209" customWidth="1"/>
    <col min="14891" max="14891" width="8.28515625" style="209" customWidth="1"/>
    <col min="14892" max="14892" width="11.5703125" style="209" customWidth="1"/>
    <col min="14893" max="15115" width="11.42578125" style="209"/>
    <col min="15116" max="15116" width="2" style="209" customWidth="1"/>
    <col min="15117" max="15117" width="18.140625" style="209" customWidth="1"/>
    <col min="15118" max="15118" width="13.5703125" style="209" customWidth="1"/>
    <col min="15119" max="15119" width="52" style="209" customWidth="1"/>
    <col min="15120" max="15121" width="6.5703125" style="209" customWidth="1"/>
    <col min="15122" max="15122" width="7.5703125" style="209" customWidth="1"/>
    <col min="15123" max="15123" width="7.42578125" style="209" customWidth="1"/>
    <col min="15124" max="15124" width="8.42578125" style="209" customWidth="1"/>
    <col min="15125" max="15125" width="7.28515625" style="209" customWidth="1"/>
    <col min="15126" max="15126" width="7.5703125" style="209" customWidth="1"/>
    <col min="15127" max="15127" width="7.7109375" style="209" customWidth="1"/>
    <col min="15128" max="15129" width="6.42578125" style="209" customWidth="1"/>
    <col min="15130" max="15130" width="7.28515625" style="209" customWidth="1"/>
    <col min="15131" max="15131" width="7.85546875" style="209" customWidth="1"/>
    <col min="15132" max="15132" width="6.42578125" style="209" customWidth="1"/>
    <col min="15133" max="15133" width="7.28515625" style="209" customWidth="1"/>
    <col min="15134" max="15134" width="7.5703125" style="209" customWidth="1"/>
    <col min="15135" max="15135" width="8" style="209" customWidth="1"/>
    <col min="15136" max="15137" width="6.42578125" style="209" customWidth="1"/>
    <col min="15138" max="15138" width="7.28515625" style="209" customWidth="1"/>
    <col min="15139" max="15139" width="8.28515625" style="209" customWidth="1"/>
    <col min="15140" max="15141" width="10.42578125" style="209" customWidth="1"/>
    <col min="15142" max="15142" width="7.28515625" style="209" customWidth="1"/>
    <col min="15143" max="15143" width="8.28515625" style="209" customWidth="1"/>
    <col min="15144" max="15145" width="10.42578125" style="209" customWidth="1"/>
    <col min="15146" max="15146" width="7.28515625" style="209" customWidth="1"/>
    <col min="15147" max="15147" width="8.28515625" style="209" customWidth="1"/>
    <col min="15148" max="15148" width="11.5703125" style="209" customWidth="1"/>
    <col min="15149" max="15371" width="11.42578125" style="209"/>
    <col min="15372" max="15372" width="2" style="209" customWidth="1"/>
    <col min="15373" max="15373" width="18.140625" style="209" customWidth="1"/>
    <col min="15374" max="15374" width="13.5703125" style="209" customWidth="1"/>
    <col min="15375" max="15375" width="52" style="209" customWidth="1"/>
    <col min="15376" max="15377" width="6.5703125" style="209" customWidth="1"/>
    <col min="15378" max="15378" width="7.5703125" style="209" customWidth="1"/>
    <col min="15379" max="15379" width="7.42578125" style="209" customWidth="1"/>
    <col min="15380" max="15380" width="8.42578125" style="209" customWidth="1"/>
    <col min="15381" max="15381" width="7.28515625" style="209" customWidth="1"/>
    <col min="15382" max="15382" width="7.5703125" style="209" customWidth="1"/>
    <col min="15383" max="15383" width="7.7109375" style="209" customWidth="1"/>
    <col min="15384" max="15385" width="6.42578125" style="209" customWidth="1"/>
    <col min="15386" max="15386" width="7.28515625" style="209" customWidth="1"/>
    <col min="15387" max="15387" width="7.85546875" style="209" customWidth="1"/>
    <col min="15388" max="15388" width="6.42578125" style="209" customWidth="1"/>
    <col min="15389" max="15389" width="7.28515625" style="209" customWidth="1"/>
    <col min="15390" max="15390" width="7.5703125" style="209" customWidth="1"/>
    <col min="15391" max="15391" width="8" style="209" customWidth="1"/>
    <col min="15392" max="15393" width="6.42578125" style="209" customWidth="1"/>
    <col min="15394" max="15394" width="7.28515625" style="209" customWidth="1"/>
    <col min="15395" max="15395" width="8.28515625" style="209" customWidth="1"/>
    <col min="15396" max="15397" width="10.42578125" style="209" customWidth="1"/>
    <col min="15398" max="15398" width="7.28515625" style="209" customWidth="1"/>
    <col min="15399" max="15399" width="8.28515625" style="209" customWidth="1"/>
    <col min="15400" max="15401" width="10.42578125" style="209" customWidth="1"/>
    <col min="15402" max="15402" width="7.28515625" style="209" customWidth="1"/>
    <col min="15403" max="15403" width="8.28515625" style="209" customWidth="1"/>
    <col min="15404" max="15404" width="11.5703125" style="209" customWidth="1"/>
    <col min="15405" max="15627" width="11.42578125" style="209"/>
    <col min="15628" max="15628" width="2" style="209" customWidth="1"/>
    <col min="15629" max="15629" width="18.140625" style="209" customWidth="1"/>
    <col min="15630" max="15630" width="13.5703125" style="209" customWidth="1"/>
    <col min="15631" max="15631" width="52" style="209" customWidth="1"/>
    <col min="15632" max="15633" width="6.5703125" style="209" customWidth="1"/>
    <col min="15634" max="15634" width="7.5703125" style="209" customWidth="1"/>
    <col min="15635" max="15635" width="7.42578125" style="209" customWidth="1"/>
    <col min="15636" max="15636" width="8.42578125" style="209" customWidth="1"/>
    <col min="15637" max="15637" width="7.28515625" style="209" customWidth="1"/>
    <col min="15638" max="15638" width="7.5703125" style="209" customWidth="1"/>
    <col min="15639" max="15639" width="7.7109375" style="209" customWidth="1"/>
    <col min="15640" max="15641" width="6.42578125" style="209" customWidth="1"/>
    <col min="15642" max="15642" width="7.28515625" style="209" customWidth="1"/>
    <col min="15643" max="15643" width="7.85546875" style="209" customWidth="1"/>
    <col min="15644" max="15644" width="6.42578125" style="209" customWidth="1"/>
    <col min="15645" max="15645" width="7.28515625" style="209" customWidth="1"/>
    <col min="15646" max="15646" width="7.5703125" style="209" customWidth="1"/>
    <col min="15647" max="15647" width="8" style="209" customWidth="1"/>
    <col min="15648" max="15649" width="6.42578125" style="209" customWidth="1"/>
    <col min="15650" max="15650" width="7.28515625" style="209" customWidth="1"/>
    <col min="15651" max="15651" width="8.28515625" style="209" customWidth="1"/>
    <col min="15652" max="15653" width="10.42578125" style="209" customWidth="1"/>
    <col min="15654" max="15654" width="7.28515625" style="209" customWidth="1"/>
    <col min="15655" max="15655" width="8.28515625" style="209" customWidth="1"/>
    <col min="15656" max="15657" width="10.42578125" style="209" customWidth="1"/>
    <col min="15658" max="15658" width="7.28515625" style="209" customWidth="1"/>
    <col min="15659" max="15659" width="8.28515625" style="209" customWidth="1"/>
    <col min="15660" max="15660" width="11.5703125" style="209" customWidth="1"/>
    <col min="15661" max="15883" width="11.42578125" style="209"/>
    <col min="15884" max="15884" width="2" style="209" customWidth="1"/>
    <col min="15885" max="15885" width="18.140625" style="209" customWidth="1"/>
    <col min="15886" max="15886" width="13.5703125" style="209" customWidth="1"/>
    <col min="15887" max="15887" width="52" style="209" customWidth="1"/>
    <col min="15888" max="15889" width="6.5703125" style="209" customWidth="1"/>
    <col min="15890" max="15890" width="7.5703125" style="209" customWidth="1"/>
    <col min="15891" max="15891" width="7.42578125" style="209" customWidth="1"/>
    <col min="15892" max="15892" width="8.42578125" style="209" customWidth="1"/>
    <col min="15893" max="15893" width="7.28515625" style="209" customWidth="1"/>
    <col min="15894" max="15894" width="7.5703125" style="209" customWidth="1"/>
    <col min="15895" max="15895" width="7.7109375" style="209" customWidth="1"/>
    <col min="15896" max="15897" width="6.42578125" style="209" customWidth="1"/>
    <col min="15898" max="15898" width="7.28515625" style="209" customWidth="1"/>
    <col min="15899" max="15899" width="7.85546875" style="209" customWidth="1"/>
    <col min="15900" max="15900" width="6.42578125" style="209" customWidth="1"/>
    <col min="15901" max="15901" width="7.28515625" style="209" customWidth="1"/>
    <col min="15902" max="15902" width="7.5703125" style="209" customWidth="1"/>
    <col min="15903" max="15903" width="8" style="209" customWidth="1"/>
    <col min="15904" max="15905" width="6.42578125" style="209" customWidth="1"/>
    <col min="15906" max="15906" width="7.28515625" style="209" customWidth="1"/>
    <col min="15907" max="15907" width="8.28515625" style="209" customWidth="1"/>
    <col min="15908" max="15909" width="10.42578125" style="209" customWidth="1"/>
    <col min="15910" max="15910" width="7.28515625" style="209" customWidth="1"/>
    <col min="15911" max="15911" width="8.28515625" style="209" customWidth="1"/>
    <col min="15912" max="15913" width="10.42578125" style="209" customWidth="1"/>
    <col min="15914" max="15914" width="7.28515625" style="209" customWidth="1"/>
    <col min="15915" max="15915" width="8.28515625" style="209" customWidth="1"/>
    <col min="15916" max="15916" width="11.5703125" style="209" customWidth="1"/>
    <col min="15917" max="16139" width="11.42578125" style="209"/>
    <col min="16140" max="16140" width="2" style="209" customWidth="1"/>
    <col min="16141" max="16141" width="18.140625" style="209" customWidth="1"/>
    <col min="16142" max="16142" width="13.5703125" style="209" customWidth="1"/>
    <col min="16143" max="16143" width="52" style="209" customWidth="1"/>
    <col min="16144" max="16145" width="6.5703125" style="209" customWidth="1"/>
    <col min="16146" max="16146" width="7.5703125" style="209" customWidth="1"/>
    <col min="16147" max="16147" width="7.42578125" style="209" customWidth="1"/>
    <col min="16148" max="16148" width="8.42578125" style="209" customWidth="1"/>
    <col min="16149" max="16149" width="7.28515625" style="209" customWidth="1"/>
    <col min="16150" max="16150" width="7.5703125" style="209" customWidth="1"/>
    <col min="16151" max="16151" width="7.7109375" style="209" customWidth="1"/>
    <col min="16152" max="16153" width="6.42578125" style="209" customWidth="1"/>
    <col min="16154" max="16154" width="7.28515625" style="209" customWidth="1"/>
    <col min="16155" max="16155" width="7.85546875" style="209" customWidth="1"/>
    <col min="16156" max="16156" width="6.42578125" style="209" customWidth="1"/>
    <col min="16157" max="16157" width="7.28515625" style="209" customWidth="1"/>
    <col min="16158" max="16158" width="7.5703125" style="209" customWidth="1"/>
    <col min="16159" max="16159" width="8" style="209" customWidth="1"/>
    <col min="16160" max="16161" width="6.42578125" style="209" customWidth="1"/>
    <col min="16162" max="16162" width="7.28515625" style="209" customWidth="1"/>
    <col min="16163" max="16163" width="8.28515625" style="209" customWidth="1"/>
    <col min="16164" max="16165" width="10.42578125" style="209" customWidth="1"/>
    <col min="16166" max="16166" width="7.28515625" style="209" customWidth="1"/>
    <col min="16167" max="16167" width="8.28515625" style="209" customWidth="1"/>
    <col min="16168" max="16169" width="10.42578125" style="209" customWidth="1"/>
    <col min="16170" max="16170" width="7.28515625" style="209" customWidth="1"/>
    <col min="16171" max="16171" width="8.28515625" style="209" customWidth="1"/>
    <col min="16172" max="16172" width="11.5703125" style="209" customWidth="1"/>
    <col min="16173" max="16384" width="11.42578125" style="209"/>
  </cols>
  <sheetData>
    <row r="1" spans="1:80" ht="20.25" x14ac:dyDescent="0.2">
      <c r="A1" s="224" t="s">
        <v>1225</v>
      </c>
      <c r="B1" s="191"/>
      <c r="C1" s="191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  <c r="Y1" s="629"/>
      <c r="Z1" s="629"/>
      <c r="AA1" s="629"/>
      <c r="AB1" s="629"/>
      <c r="AC1" s="629"/>
      <c r="AD1" s="629"/>
      <c r="AE1" s="629"/>
      <c r="AF1" s="629"/>
      <c r="AG1" s="629"/>
      <c r="AH1" s="629"/>
      <c r="AI1" s="629"/>
      <c r="AJ1" s="629"/>
      <c r="AK1" s="629"/>
      <c r="AL1" s="629"/>
      <c r="AM1" s="629"/>
      <c r="AN1" s="629"/>
      <c r="AO1" s="629"/>
      <c r="AP1" s="629"/>
      <c r="AQ1" s="629"/>
      <c r="AR1" s="629"/>
      <c r="AS1" s="629"/>
      <c r="AT1" s="629"/>
      <c r="AU1" s="629"/>
      <c r="AV1" s="629"/>
    </row>
    <row r="2" spans="1:80" ht="15.75" customHeight="1" x14ac:dyDescent="0.2">
      <c r="B2" s="580"/>
      <c r="C2" s="580"/>
      <c r="D2" s="580"/>
      <c r="E2" s="580"/>
      <c r="F2" s="580"/>
      <c r="G2" s="580"/>
      <c r="H2" s="580"/>
      <c r="I2" s="580"/>
      <c r="J2" s="580"/>
      <c r="K2" s="580"/>
      <c r="L2" s="580"/>
      <c r="M2" s="580"/>
      <c r="N2" s="580"/>
      <c r="O2" s="580"/>
      <c r="P2" s="580"/>
      <c r="Q2" s="580"/>
      <c r="R2" s="580"/>
      <c r="S2" s="580"/>
      <c r="T2" s="580"/>
      <c r="U2" s="580"/>
      <c r="V2" s="580"/>
      <c r="W2" s="580"/>
      <c r="X2" s="581"/>
      <c r="Y2" s="580"/>
      <c r="Z2" s="580"/>
      <c r="AA2" s="580"/>
      <c r="AB2" s="581"/>
      <c r="AC2" s="580"/>
      <c r="AD2" s="580"/>
      <c r="AE2" s="580"/>
      <c r="AF2" s="581"/>
      <c r="AG2" s="580"/>
      <c r="AH2" s="580"/>
      <c r="AI2" s="580"/>
      <c r="AJ2" s="581"/>
      <c r="AK2" s="580"/>
      <c r="AL2" s="580"/>
      <c r="AM2" s="580"/>
      <c r="AN2" s="581"/>
      <c r="AO2" s="580"/>
      <c r="AP2" s="580"/>
      <c r="AQ2" s="580"/>
      <c r="AR2" s="581"/>
      <c r="AS2" s="580"/>
      <c r="AT2" s="580"/>
      <c r="AU2" s="580"/>
      <c r="AV2" s="581"/>
    </row>
    <row r="3" spans="1:80" ht="12.75" customHeight="1" x14ac:dyDescent="0.2">
      <c r="A3" s="5723" t="s">
        <v>16</v>
      </c>
      <c r="B3" s="5723" t="s">
        <v>4</v>
      </c>
      <c r="C3" s="5653" t="s">
        <v>144</v>
      </c>
      <c r="D3" s="5723" t="s">
        <v>77</v>
      </c>
      <c r="E3" s="6234">
        <v>1999</v>
      </c>
      <c r="F3" s="6235"/>
      <c r="G3" s="6235"/>
      <c r="H3" s="6236"/>
      <c r="I3" s="6234">
        <v>2000</v>
      </c>
      <c r="J3" s="6235"/>
      <c r="K3" s="6235"/>
      <c r="L3" s="6236"/>
      <c r="M3" s="6234">
        <v>2001</v>
      </c>
      <c r="N3" s="6235"/>
      <c r="O3" s="6235"/>
      <c r="P3" s="6236"/>
      <c r="Q3" s="6234">
        <v>2002</v>
      </c>
      <c r="R3" s="6235"/>
      <c r="S3" s="6235"/>
      <c r="T3" s="6236"/>
      <c r="U3" s="6234">
        <v>2003</v>
      </c>
      <c r="V3" s="6235"/>
      <c r="W3" s="6235"/>
      <c r="X3" s="6236"/>
      <c r="Y3" s="6234">
        <v>2004</v>
      </c>
      <c r="Z3" s="6235"/>
      <c r="AA3" s="6235"/>
      <c r="AB3" s="6236"/>
      <c r="AC3" s="6234">
        <v>2005</v>
      </c>
      <c r="AD3" s="6235"/>
      <c r="AE3" s="6235"/>
      <c r="AF3" s="6236"/>
      <c r="AG3" s="6234">
        <v>2006</v>
      </c>
      <c r="AH3" s="6235"/>
      <c r="AI3" s="6235"/>
      <c r="AJ3" s="6236"/>
      <c r="AK3" s="6234">
        <v>2007</v>
      </c>
      <c r="AL3" s="6235"/>
      <c r="AM3" s="6235"/>
      <c r="AN3" s="6236"/>
      <c r="AO3" s="6234">
        <v>2008</v>
      </c>
      <c r="AP3" s="6235"/>
      <c r="AQ3" s="6235"/>
      <c r="AR3" s="6236"/>
      <c r="AS3" s="6234">
        <v>2009</v>
      </c>
      <c r="AT3" s="6235"/>
      <c r="AU3" s="6235"/>
      <c r="AV3" s="6236"/>
      <c r="AW3" s="6234">
        <v>2010</v>
      </c>
      <c r="AX3" s="6235"/>
      <c r="AY3" s="6235"/>
      <c r="AZ3" s="6236"/>
      <c r="BA3" s="6234">
        <v>2011</v>
      </c>
      <c r="BB3" s="6235"/>
      <c r="BC3" s="6235"/>
      <c r="BD3" s="6236"/>
      <c r="BE3" s="6234">
        <v>2012</v>
      </c>
      <c r="BF3" s="6235"/>
      <c r="BG3" s="6235"/>
      <c r="BH3" s="6236"/>
      <c r="BI3" s="6234">
        <v>2013</v>
      </c>
      <c r="BJ3" s="6235"/>
      <c r="BK3" s="6235"/>
      <c r="BL3" s="6236"/>
      <c r="BM3" s="6234">
        <v>2014</v>
      </c>
      <c r="BN3" s="6235"/>
      <c r="BO3" s="6235"/>
      <c r="BP3" s="6236"/>
      <c r="BQ3" s="6234">
        <v>2015</v>
      </c>
      <c r="BR3" s="6235"/>
      <c r="BS3" s="6235"/>
      <c r="BT3" s="6236"/>
      <c r="BU3" s="6234">
        <v>2016</v>
      </c>
      <c r="BV3" s="6235"/>
      <c r="BW3" s="6235"/>
      <c r="BX3" s="6236"/>
      <c r="BY3" s="6234">
        <v>2017</v>
      </c>
      <c r="BZ3" s="6235"/>
      <c r="CA3" s="6235"/>
      <c r="CB3" s="6236"/>
    </row>
    <row r="4" spans="1:80" ht="15" x14ac:dyDescent="0.2">
      <c r="A4" s="5723"/>
      <c r="B4" s="5723"/>
      <c r="C4" s="5654"/>
      <c r="D4" s="5653"/>
      <c r="E4" s="1054" t="s">
        <v>517</v>
      </c>
      <c r="F4" s="1055" t="s">
        <v>518</v>
      </c>
      <c r="G4" s="1056" t="s">
        <v>519</v>
      </c>
      <c r="H4" s="1052" t="s">
        <v>160</v>
      </c>
      <c r="I4" s="1054" t="s">
        <v>517</v>
      </c>
      <c r="J4" s="1055" t="s">
        <v>518</v>
      </c>
      <c r="K4" s="1056" t="s">
        <v>519</v>
      </c>
      <c r="L4" s="1052" t="s">
        <v>160</v>
      </c>
      <c r="M4" s="1054" t="s">
        <v>517</v>
      </c>
      <c r="N4" s="1055" t="s">
        <v>518</v>
      </c>
      <c r="O4" s="1056" t="s">
        <v>519</v>
      </c>
      <c r="P4" s="1052" t="s">
        <v>160</v>
      </c>
      <c r="Q4" s="1054" t="s">
        <v>517</v>
      </c>
      <c r="R4" s="1055" t="s">
        <v>518</v>
      </c>
      <c r="S4" s="1056" t="s">
        <v>519</v>
      </c>
      <c r="T4" s="1052" t="s">
        <v>160</v>
      </c>
      <c r="U4" s="1054" t="s">
        <v>517</v>
      </c>
      <c r="V4" s="1055" t="s">
        <v>518</v>
      </c>
      <c r="W4" s="1056" t="s">
        <v>519</v>
      </c>
      <c r="X4" s="1052" t="s">
        <v>160</v>
      </c>
      <c r="Y4" s="1054" t="s">
        <v>517</v>
      </c>
      <c r="Z4" s="1055" t="s">
        <v>518</v>
      </c>
      <c r="AA4" s="1056" t="s">
        <v>519</v>
      </c>
      <c r="AB4" s="1052" t="s">
        <v>160</v>
      </c>
      <c r="AC4" s="1054" t="s">
        <v>517</v>
      </c>
      <c r="AD4" s="1055" t="s">
        <v>518</v>
      </c>
      <c r="AE4" s="1056" t="s">
        <v>519</v>
      </c>
      <c r="AF4" s="1052" t="s">
        <v>160</v>
      </c>
      <c r="AG4" s="1054" t="s">
        <v>517</v>
      </c>
      <c r="AH4" s="1055" t="s">
        <v>518</v>
      </c>
      <c r="AI4" s="1056" t="s">
        <v>519</v>
      </c>
      <c r="AJ4" s="1052" t="s">
        <v>160</v>
      </c>
      <c r="AK4" s="1054" t="s">
        <v>517</v>
      </c>
      <c r="AL4" s="1055" t="s">
        <v>518</v>
      </c>
      <c r="AM4" s="1056" t="s">
        <v>519</v>
      </c>
      <c r="AN4" s="1052" t="s">
        <v>160</v>
      </c>
      <c r="AO4" s="1054" t="s">
        <v>517</v>
      </c>
      <c r="AP4" s="1055" t="s">
        <v>518</v>
      </c>
      <c r="AQ4" s="1056" t="s">
        <v>519</v>
      </c>
      <c r="AR4" s="1052" t="s">
        <v>160</v>
      </c>
      <c r="AS4" s="1054" t="s">
        <v>517</v>
      </c>
      <c r="AT4" s="1055" t="s">
        <v>518</v>
      </c>
      <c r="AU4" s="1056" t="s">
        <v>519</v>
      </c>
      <c r="AV4" s="1052" t="s">
        <v>160</v>
      </c>
      <c r="AW4" s="1054" t="s">
        <v>517</v>
      </c>
      <c r="AX4" s="1055" t="s">
        <v>518</v>
      </c>
      <c r="AY4" s="1056" t="s">
        <v>519</v>
      </c>
      <c r="AZ4" s="1052" t="s">
        <v>160</v>
      </c>
      <c r="BA4" s="1054" t="s">
        <v>517</v>
      </c>
      <c r="BB4" s="1055" t="s">
        <v>518</v>
      </c>
      <c r="BC4" s="1056" t="s">
        <v>519</v>
      </c>
      <c r="BD4" s="1052" t="s">
        <v>160</v>
      </c>
      <c r="BE4" s="1054" t="s">
        <v>517</v>
      </c>
      <c r="BF4" s="1055" t="s">
        <v>518</v>
      </c>
      <c r="BG4" s="1056" t="s">
        <v>519</v>
      </c>
      <c r="BH4" s="1052" t="s">
        <v>160</v>
      </c>
      <c r="BI4" s="1390" t="s">
        <v>517</v>
      </c>
      <c r="BJ4" s="1391" t="s">
        <v>518</v>
      </c>
      <c r="BK4" s="1392" t="s">
        <v>519</v>
      </c>
      <c r="BL4" s="1052" t="s">
        <v>160</v>
      </c>
      <c r="BM4" s="2003" t="s">
        <v>517</v>
      </c>
      <c r="BN4" s="2004" t="s">
        <v>518</v>
      </c>
      <c r="BO4" s="2005" t="s">
        <v>519</v>
      </c>
      <c r="BP4" s="1052" t="s">
        <v>160</v>
      </c>
      <c r="BQ4" s="3908" t="s">
        <v>517</v>
      </c>
      <c r="BR4" s="3909" t="s">
        <v>518</v>
      </c>
      <c r="BS4" s="3910" t="s">
        <v>519</v>
      </c>
      <c r="BT4" s="1052" t="s">
        <v>160</v>
      </c>
      <c r="BU4" s="4508" t="s">
        <v>517</v>
      </c>
      <c r="BV4" s="4509" t="s">
        <v>518</v>
      </c>
      <c r="BW4" s="4510" t="s">
        <v>519</v>
      </c>
      <c r="BX4" s="1052" t="s">
        <v>160</v>
      </c>
      <c r="BY4" s="5126" t="s">
        <v>517</v>
      </c>
      <c r="BZ4" s="5127" t="s">
        <v>518</v>
      </c>
      <c r="CA4" s="5128" t="s">
        <v>519</v>
      </c>
      <c r="CB4" s="1052" t="s">
        <v>160</v>
      </c>
    </row>
    <row r="5" spans="1:80" s="212" customFormat="1" ht="15" x14ac:dyDescent="0.25">
      <c r="A5" s="6250" t="s">
        <v>3</v>
      </c>
      <c r="B5" s="6200" t="s">
        <v>5</v>
      </c>
      <c r="C5" s="1463" t="s">
        <v>522</v>
      </c>
      <c r="D5" s="3916" t="s">
        <v>1625</v>
      </c>
      <c r="E5" s="1100">
        <v>22</v>
      </c>
      <c r="F5" s="1101"/>
      <c r="G5" s="1101">
        <v>12</v>
      </c>
      <c r="H5" s="1102">
        <v>34</v>
      </c>
      <c r="I5" s="1100">
        <v>26</v>
      </c>
      <c r="J5" s="1101"/>
      <c r="K5" s="1101">
        <v>19</v>
      </c>
      <c r="L5" s="1102">
        <v>45</v>
      </c>
      <c r="M5" s="1100"/>
      <c r="N5" s="1101">
        <v>5</v>
      </c>
      <c r="O5" s="1101">
        <v>10</v>
      </c>
      <c r="P5" s="1102">
        <v>15</v>
      </c>
      <c r="Q5" s="1100">
        <v>3</v>
      </c>
      <c r="R5" s="1101"/>
      <c r="S5" s="1101"/>
      <c r="T5" s="1102">
        <v>3</v>
      </c>
      <c r="U5" s="1100"/>
      <c r="V5" s="1101"/>
      <c r="W5" s="1101"/>
      <c r="X5" s="1102"/>
      <c r="Y5" s="1101"/>
      <c r="Z5" s="1101"/>
      <c r="AA5" s="1101"/>
      <c r="AB5" s="1102"/>
      <c r="AC5" s="1101"/>
      <c r="AD5" s="1101"/>
      <c r="AE5" s="1101"/>
      <c r="AF5" s="1102"/>
      <c r="AG5" s="1101"/>
      <c r="AH5" s="1101"/>
      <c r="AI5" s="1101"/>
      <c r="AJ5" s="1102"/>
      <c r="AK5" s="1101"/>
      <c r="AL5" s="1101"/>
      <c r="AM5" s="1101"/>
      <c r="AN5" s="1102"/>
      <c r="AO5" s="1101"/>
      <c r="AP5" s="1101"/>
      <c r="AQ5" s="1101"/>
      <c r="AR5" s="1102"/>
      <c r="AS5" s="1101"/>
      <c r="AT5" s="1101"/>
      <c r="AU5" s="1101"/>
      <c r="AV5" s="1102"/>
      <c r="AW5" s="1101"/>
      <c r="AX5" s="1101"/>
      <c r="AY5" s="1101"/>
      <c r="AZ5" s="1102"/>
      <c r="BA5" s="1101"/>
      <c r="BB5" s="1101"/>
      <c r="BC5" s="1101"/>
      <c r="BD5" s="1102"/>
      <c r="BE5" s="1101"/>
      <c r="BF5" s="1101"/>
      <c r="BG5" s="1101"/>
      <c r="BH5" s="1102"/>
      <c r="BI5" s="1101"/>
      <c r="BJ5" s="1101"/>
      <c r="BK5" s="1101"/>
      <c r="BL5" s="1102"/>
      <c r="BM5" s="1101"/>
      <c r="BN5" s="1101"/>
      <c r="BO5" s="1101"/>
      <c r="BP5" s="1102">
        <f>SUM(BM5:BO5)</f>
        <v>0</v>
      </c>
      <c r="BQ5" s="1101"/>
      <c r="BR5" s="1101"/>
      <c r="BS5" s="1101"/>
      <c r="BT5" s="1102">
        <f>SUM(BQ5:BS5)</f>
        <v>0</v>
      </c>
      <c r="BU5" s="1101"/>
      <c r="BV5" s="1101"/>
      <c r="BW5" s="1101"/>
      <c r="BX5" s="1102">
        <f>SUM(BU5:BW5)</f>
        <v>0</v>
      </c>
      <c r="BY5" s="1101"/>
      <c r="BZ5" s="1101"/>
      <c r="CA5" s="1101"/>
      <c r="CB5" s="1102">
        <f>SUM(BY5:CA5)</f>
        <v>0</v>
      </c>
    </row>
    <row r="6" spans="1:80" s="212" customFormat="1" ht="15" x14ac:dyDescent="0.25">
      <c r="A6" s="6251"/>
      <c r="B6" s="6201"/>
      <c r="C6" s="6244" t="s">
        <v>521</v>
      </c>
      <c r="D6" s="1103" t="s">
        <v>1626</v>
      </c>
      <c r="E6" s="1104">
        <v>19</v>
      </c>
      <c r="F6" s="1105"/>
      <c r="G6" s="1105">
        <v>6</v>
      </c>
      <c r="H6" s="1106">
        <v>25</v>
      </c>
      <c r="I6" s="1104">
        <v>24</v>
      </c>
      <c r="J6" s="1105"/>
      <c r="K6" s="1105">
        <v>23</v>
      </c>
      <c r="L6" s="1106">
        <v>47</v>
      </c>
      <c r="M6" s="1104">
        <v>1</v>
      </c>
      <c r="N6" s="1105">
        <v>5</v>
      </c>
      <c r="O6" s="1105">
        <v>14</v>
      </c>
      <c r="P6" s="1106">
        <v>20</v>
      </c>
      <c r="Q6" s="1104">
        <v>5</v>
      </c>
      <c r="R6" s="1105"/>
      <c r="S6" s="1105">
        <v>8</v>
      </c>
      <c r="T6" s="1106">
        <v>13</v>
      </c>
      <c r="U6" s="1104">
        <v>15</v>
      </c>
      <c r="V6" s="1105"/>
      <c r="W6" s="1105">
        <v>7</v>
      </c>
      <c r="X6" s="1106">
        <f>SUM(U6:W6)</f>
        <v>22</v>
      </c>
      <c r="Y6" s="1105">
        <v>7</v>
      </c>
      <c r="Z6" s="1105">
        <v>5</v>
      </c>
      <c r="AA6" s="1105">
        <v>15</v>
      </c>
      <c r="AB6" s="1106">
        <f>SUM(Y6:AA6)</f>
        <v>27</v>
      </c>
      <c r="AC6" s="1105">
        <v>9</v>
      </c>
      <c r="AD6" s="1105"/>
      <c r="AE6" s="1105">
        <v>15</v>
      </c>
      <c r="AF6" s="1106">
        <f>SUM(AC6:AE6)</f>
        <v>24</v>
      </c>
      <c r="AG6" s="1105">
        <v>14</v>
      </c>
      <c r="AH6" s="1105"/>
      <c r="AI6" s="1105">
        <v>12</v>
      </c>
      <c r="AJ6" s="1106">
        <f>SUM(AG6:AI6)</f>
        <v>26</v>
      </c>
      <c r="AK6" s="1105">
        <v>2</v>
      </c>
      <c r="AL6" s="1105">
        <v>6</v>
      </c>
      <c r="AM6" s="1105">
        <v>1</v>
      </c>
      <c r="AN6" s="1106">
        <f>SUM(AK6:AM6)</f>
        <v>9</v>
      </c>
      <c r="AO6" s="1105">
        <v>2</v>
      </c>
      <c r="AP6" s="1105"/>
      <c r="AQ6" s="1105">
        <v>21</v>
      </c>
      <c r="AR6" s="1106">
        <f>SUM(AO6:AQ6)</f>
        <v>23</v>
      </c>
      <c r="AS6" s="1105">
        <v>9</v>
      </c>
      <c r="AT6" s="1105" t="s">
        <v>227</v>
      </c>
      <c r="AU6" s="1105">
        <v>19</v>
      </c>
      <c r="AV6" s="1106">
        <f>SUM(AS6:AU6)</f>
        <v>28</v>
      </c>
      <c r="AW6" s="1105">
        <v>9</v>
      </c>
      <c r="AX6" s="1105"/>
      <c r="AY6" s="1105">
        <v>7</v>
      </c>
      <c r="AZ6" s="1106">
        <f>AW6+AX6+AY6</f>
        <v>16</v>
      </c>
      <c r="BA6" s="1105">
        <v>3</v>
      </c>
      <c r="BB6" s="1105"/>
      <c r="BC6" s="1105">
        <v>10</v>
      </c>
      <c r="BD6" s="1106">
        <f>BA6+BB6+BC6</f>
        <v>13</v>
      </c>
      <c r="BE6" s="1105">
        <v>8</v>
      </c>
      <c r="BF6" s="1105"/>
      <c r="BG6" s="1105">
        <v>11</v>
      </c>
      <c r="BH6" s="1106">
        <f>BE6+BF6+BG6</f>
        <v>19</v>
      </c>
      <c r="BI6" s="1105">
        <v>11</v>
      </c>
      <c r="BJ6" s="1105"/>
      <c r="BK6" s="1105">
        <v>22</v>
      </c>
      <c r="BL6" s="1106">
        <f>BI6+BJ6+BK6</f>
        <v>33</v>
      </c>
      <c r="BM6" s="1105">
        <v>15</v>
      </c>
      <c r="BN6" s="1105"/>
      <c r="BO6" s="1105">
        <v>27</v>
      </c>
      <c r="BP6" s="1106">
        <f>BM6+BN6+BO6</f>
        <v>42</v>
      </c>
      <c r="BQ6" s="1105">
        <v>7</v>
      </c>
      <c r="BR6" s="1105"/>
      <c r="BS6" s="1105">
        <v>18</v>
      </c>
      <c r="BT6" s="1106">
        <f>BQ6+BR6+BS6</f>
        <v>25</v>
      </c>
      <c r="BU6" s="1105">
        <v>9</v>
      </c>
      <c r="BV6" s="1105"/>
      <c r="BW6" s="1105">
        <v>23</v>
      </c>
      <c r="BX6" s="1106">
        <f>BU6+BV6+BW6</f>
        <v>32</v>
      </c>
      <c r="BY6" s="1105">
        <v>5</v>
      </c>
      <c r="BZ6" s="1105"/>
      <c r="CA6" s="1105">
        <v>23</v>
      </c>
      <c r="CB6" s="1106">
        <f>BY6+BZ6+CA6</f>
        <v>28</v>
      </c>
    </row>
    <row r="7" spans="1:80" s="212" customFormat="1" ht="15" x14ac:dyDescent="0.25">
      <c r="A7" s="6251"/>
      <c r="B7" s="6201"/>
      <c r="C7" s="6245"/>
      <c r="D7" s="1107" t="s">
        <v>136</v>
      </c>
      <c r="E7" s="1104"/>
      <c r="F7" s="1105"/>
      <c r="G7" s="1105"/>
      <c r="H7" s="1106"/>
      <c r="I7" s="1104"/>
      <c r="J7" s="1105"/>
      <c r="K7" s="1105"/>
      <c r="L7" s="1106"/>
      <c r="M7" s="1104"/>
      <c r="N7" s="1105"/>
      <c r="O7" s="1105">
        <v>8</v>
      </c>
      <c r="P7" s="1106">
        <v>8</v>
      </c>
      <c r="Q7" s="1104"/>
      <c r="R7" s="1105"/>
      <c r="S7" s="1105">
        <v>7</v>
      </c>
      <c r="T7" s="1106">
        <v>7</v>
      </c>
      <c r="U7" s="1104"/>
      <c r="V7" s="1105"/>
      <c r="W7" s="1105">
        <v>4</v>
      </c>
      <c r="X7" s="1106">
        <f>SUM(U7:W7)</f>
        <v>4</v>
      </c>
      <c r="Y7" s="1105"/>
      <c r="Z7" s="1105"/>
      <c r="AA7" s="1105">
        <v>9</v>
      </c>
      <c r="AB7" s="1106">
        <f>SUM(Y7:AA7)</f>
        <v>9</v>
      </c>
      <c r="AC7" s="1105"/>
      <c r="AD7" s="1105"/>
      <c r="AE7" s="1105">
        <v>10</v>
      </c>
      <c r="AF7" s="1106">
        <f>SUM(AC7:AE7)</f>
        <v>10</v>
      </c>
      <c r="AG7" s="1105"/>
      <c r="AH7" s="1105"/>
      <c r="AI7" s="1105">
        <v>3</v>
      </c>
      <c r="AJ7" s="1106">
        <f>SUM(AG7:AI7)</f>
        <v>3</v>
      </c>
      <c r="AK7" s="1105">
        <v>2</v>
      </c>
      <c r="AL7" s="1105"/>
      <c r="AM7" s="1105">
        <v>9</v>
      </c>
      <c r="AN7" s="1106">
        <f>SUM(AK7:AM7)</f>
        <v>11</v>
      </c>
      <c r="AO7" s="1108"/>
      <c r="AP7" s="1108"/>
      <c r="AQ7" s="1108">
        <v>5</v>
      </c>
      <c r="AR7" s="1106">
        <f>SUM(AO7:AQ7)</f>
        <v>5</v>
      </c>
      <c r="AS7" s="1108" t="s">
        <v>227</v>
      </c>
      <c r="AT7" s="1108" t="s">
        <v>227</v>
      </c>
      <c r="AU7" s="1108">
        <v>6</v>
      </c>
      <c r="AV7" s="1106">
        <f>SUM(AS7:AU7)</f>
        <v>6</v>
      </c>
      <c r="AW7" s="1108">
        <v>2</v>
      </c>
      <c r="AX7" s="1108"/>
      <c r="AY7" s="1108">
        <v>13</v>
      </c>
      <c r="AZ7" s="1106">
        <f>AW7+AX7+AY7</f>
        <v>15</v>
      </c>
      <c r="BA7" s="1108"/>
      <c r="BB7" s="1108"/>
      <c r="BC7" s="1108">
        <v>16</v>
      </c>
      <c r="BD7" s="1106">
        <f>BA7+BB7+BC7</f>
        <v>16</v>
      </c>
      <c r="BE7" s="1108"/>
      <c r="BF7" s="1108"/>
      <c r="BG7" s="1108">
        <v>10</v>
      </c>
      <c r="BH7" s="1106">
        <f>BE7+BF7+BG7</f>
        <v>10</v>
      </c>
      <c r="BI7" s="1108"/>
      <c r="BJ7" s="1108"/>
      <c r="BK7" s="1108">
        <v>14</v>
      </c>
      <c r="BL7" s="1106">
        <f>BI7+BJ7+BK7</f>
        <v>14</v>
      </c>
      <c r="BM7" s="1108"/>
      <c r="BN7" s="1108"/>
      <c r="BO7" s="1108">
        <v>18</v>
      </c>
      <c r="BP7" s="1106">
        <f>BM7+BN7+BO7</f>
        <v>18</v>
      </c>
      <c r="BQ7" s="1108"/>
      <c r="BR7" s="1108"/>
      <c r="BS7" s="1108">
        <v>16</v>
      </c>
      <c r="BT7" s="1106">
        <f>BQ7+BR7+BS7</f>
        <v>16</v>
      </c>
      <c r="BU7" s="1108"/>
      <c r="BV7" s="1108"/>
      <c r="BW7" s="1108">
        <v>18</v>
      </c>
      <c r="BX7" s="1106">
        <f>BU7+BV7+BW7</f>
        <v>18</v>
      </c>
      <c r="BY7" s="1108">
        <v>4</v>
      </c>
      <c r="BZ7" s="1108"/>
      <c r="CA7" s="1108">
        <v>21</v>
      </c>
      <c r="CB7" s="1106">
        <f>BY7+BZ7+CA7</f>
        <v>25</v>
      </c>
    </row>
    <row r="8" spans="1:80" s="212" customFormat="1" ht="15" x14ac:dyDescent="0.25">
      <c r="A8" s="6251"/>
      <c r="B8" s="6201"/>
      <c r="C8" s="6245"/>
      <c r="D8" s="1107" t="s">
        <v>135</v>
      </c>
      <c r="E8" s="1104"/>
      <c r="F8" s="1105">
        <v>14</v>
      </c>
      <c r="G8" s="1105">
        <v>12</v>
      </c>
      <c r="H8" s="1106">
        <v>26</v>
      </c>
      <c r="I8" s="1104">
        <v>7</v>
      </c>
      <c r="J8" s="1105">
        <v>10</v>
      </c>
      <c r="K8" s="1105">
        <v>9</v>
      </c>
      <c r="L8" s="1106">
        <v>26</v>
      </c>
      <c r="M8" s="1104">
        <v>1</v>
      </c>
      <c r="N8" s="1105">
        <v>6</v>
      </c>
      <c r="O8" s="1105">
        <v>17</v>
      </c>
      <c r="P8" s="1106">
        <v>24</v>
      </c>
      <c r="Q8" s="1104"/>
      <c r="R8" s="1105">
        <v>4</v>
      </c>
      <c r="S8" s="1105">
        <v>8</v>
      </c>
      <c r="T8" s="1106">
        <v>12</v>
      </c>
      <c r="U8" s="1104"/>
      <c r="V8" s="1105">
        <v>4</v>
      </c>
      <c r="W8" s="1105">
        <v>6</v>
      </c>
      <c r="X8" s="1106">
        <f>SUM(U8:W8)</f>
        <v>10</v>
      </c>
      <c r="Y8" s="1105"/>
      <c r="Z8" s="1105"/>
      <c r="AA8" s="1105"/>
      <c r="AB8" s="1106"/>
      <c r="AC8" s="1105"/>
      <c r="AD8" s="1105"/>
      <c r="AE8" s="1105">
        <v>4</v>
      </c>
      <c r="AF8" s="1106">
        <f>SUM(AC8:AE8)</f>
        <v>4</v>
      </c>
      <c r="AG8" s="1105">
        <v>3</v>
      </c>
      <c r="AH8" s="1105"/>
      <c r="AI8" s="1105"/>
      <c r="AJ8" s="1106">
        <f>SUM(AG8:AI8)</f>
        <v>3</v>
      </c>
      <c r="AK8" s="1105"/>
      <c r="AL8" s="1105"/>
      <c r="AM8" s="1105"/>
      <c r="AN8" s="1106"/>
      <c r="AO8" s="1105"/>
      <c r="AP8" s="1105"/>
      <c r="AQ8" s="1105">
        <v>6</v>
      </c>
      <c r="AR8" s="1106">
        <f>SUM(AO8:AQ8)</f>
        <v>6</v>
      </c>
      <c r="AS8" s="1105">
        <v>3</v>
      </c>
      <c r="AT8" s="1105" t="s">
        <v>227</v>
      </c>
      <c r="AU8" s="1105">
        <v>7</v>
      </c>
      <c r="AV8" s="1106">
        <f>SUM(AS8:AU8)</f>
        <v>10</v>
      </c>
      <c r="AW8" s="1105">
        <v>7</v>
      </c>
      <c r="AX8" s="1105"/>
      <c r="AY8" s="1105">
        <v>5</v>
      </c>
      <c r="AZ8" s="1106">
        <f>AW8+AX8+AY8</f>
        <v>12</v>
      </c>
      <c r="BA8" s="1105">
        <v>3</v>
      </c>
      <c r="BB8" s="1105"/>
      <c r="BC8" s="1105"/>
      <c r="BD8" s="1106">
        <f>BA8+BB8+BC8</f>
        <v>3</v>
      </c>
      <c r="BE8" s="1105"/>
      <c r="BF8" s="1105"/>
      <c r="BG8" s="1105"/>
      <c r="BH8" s="1106"/>
      <c r="BI8" s="1105"/>
      <c r="BJ8" s="1105"/>
      <c r="BK8" s="1105"/>
      <c r="BL8" s="1106">
        <f>BI8+BJ8+BK8</f>
        <v>0</v>
      </c>
      <c r="BM8" s="1105"/>
      <c r="BN8" s="1105"/>
      <c r="BO8" s="1105"/>
      <c r="BP8" s="1106">
        <f>BM8+BN8+BO8</f>
        <v>0</v>
      </c>
      <c r="BQ8" s="1105">
        <v>2</v>
      </c>
      <c r="BR8" s="1105"/>
      <c r="BS8" s="1105">
        <v>4</v>
      </c>
      <c r="BT8" s="1106">
        <f>BQ8+BR8+BS8</f>
        <v>6</v>
      </c>
      <c r="BU8" s="1105">
        <v>5</v>
      </c>
      <c r="BV8" s="1105"/>
      <c r="BW8" s="1105">
        <v>2</v>
      </c>
      <c r="BX8" s="1106">
        <f>BU8+BV8+BW8</f>
        <v>7</v>
      </c>
      <c r="BY8" s="1105"/>
      <c r="BZ8" s="1105"/>
      <c r="CA8" s="1105">
        <v>2</v>
      </c>
      <c r="CB8" s="1106">
        <f>BY8+BZ8+CA8</f>
        <v>2</v>
      </c>
    </row>
    <row r="9" spans="1:80" s="212" customFormat="1" ht="15" x14ac:dyDescent="0.25">
      <c r="A9" s="6251"/>
      <c r="B9" s="6201"/>
      <c r="C9" s="6245"/>
      <c r="D9" s="1107" t="s">
        <v>409</v>
      </c>
      <c r="E9" s="1104"/>
      <c r="F9" s="1105"/>
      <c r="G9" s="1105"/>
      <c r="H9" s="1106"/>
      <c r="I9" s="1104"/>
      <c r="J9" s="1105"/>
      <c r="K9" s="1105"/>
      <c r="L9" s="1106"/>
      <c r="M9" s="1104"/>
      <c r="N9" s="1105"/>
      <c r="O9" s="1105"/>
      <c r="P9" s="1106"/>
      <c r="Q9" s="1104"/>
      <c r="R9" s="1105"/>
      <c r="S9" s="1105"/>
      <c r="T9" s="1106"/>
      <c r="U9" s="1104"/>
      <c r="V9" s="1105"/>
      <c r="W9" s="1105"/>
      <c r="X9" s="1106"/>
      <c r="Y9" s="1105"/>
      <c r="Z9" s="1105"/>
      <c r="AA9" s="1105"/>
      <c r="AB9" s="1106"/>
      <c r="AC9" s="1105"/>
      <c r="AD9" s="1105"/>
      <c r="AE9" s="1105"/>
      <c r="AF9" s="1106"/>
      <c r="AG9" s="1105"/>
      <c r="AH9" s="1105"/>
      <c r="AI9" s="1105"/>
      <c r="AJ9" s="1106"/>
      <c r="AK9" s="1105"/>
      <c r="AL9" s="1105"/>
      <c r="AM9" s="1105"/>
      <c r="AN9" s="1106"/>
      <c r="AO9" s="1105"/>
      <c r="AP9" s="1105"/>
      <c r="AQ9" s="1105"/>
      <c r="AR9" s="1106"/>
      <c r="AS9" s="1105"/>
      <c r="AT9" s="1105"/>
      <c r="AU9" s="1105"/>
      <c r="AV9" s="1106"/>
      <c r="AW9" s="1105"/>
      <c r="AX9" s="1105"/>
      <c r="AY9" s="1105"/>
      <c r="AZ9" s="1106"/>
      <c r="BA9" s="1105"/>
      <c r="BB9" s="1105"/>
      <c r="BC9" s="1105"/>
      <c r="BD9" s="1106"/>
      <c r="BE9" s="1105"/>
      <c r="BF9" s="1105">
        <v>7</v>
      </c>
      <c r="BG9" s="1105">
        <v>5</v>
      </c>
      <c r="BH9" s="1106">
        <f>SUM(BE9:BG9)</f>
        <v>12</v>
      </c>
      <c r="BI9" s="1105">
        <v>6</v>
      </c>
      <c r="BJ9" s="1105"/>
      <c r="BK9" s="1105">
        <v>6</v>
      </c>
      <c r="BL9" s="1106">
        <f>SUM(BI9:BK9)</f>
        <v>12</v>
      </c>
      <c r="BM9" s="1105">
        <v>8</v>
      </c>
      <c r="BN9" s="1105"/>
      <c r="BO9" s="1105">
        <v>7</v>
      </c>
      <c r="BP9" s="1106">
        <f>SUM(BM9:BO9)</f>
        <v>15</v>
      </c>
      <c r="BQ9" s="1105">
        <v>8</v>
      </c>
      <c r="BR9" s="1105"/>
      <c r="BS9" s="1105">
        <v>8</v>
      </c>
      <c r="BT9" s="1106">
        <f>SUM(BQ9:BS9)</f>
        <v>16</v>
      </c>
      <c r="BU9" s="1105">
        <v>6</v>
      </c>
      <c r="BV9" s="1105"/>
      <c r="BW9" s="1105">
        <v>8</v>
      </c>
      <c r="BX9" s="1106">
        <f>SUM(BU9:BW9)</f>
        <v>14</v>
      </c>
      <c r="BY9" s="1105">
        <v>7</v>
      </c>
      <c r="BZ9" s="1105"/>
      <c r="CA9" s="1105">
        <v>6</v>
      </c>
      <c r="CB9" s="1106">
        <f>SUM(BY9:CA9)</f>
        <v>13</v>
      </c>
    </row>
    <row r="10" spans="1:80" s="212" customFormat="1" ht="15" x14ac:dyDescent="0.25">
      <c r="A10" s="6251"/>
      <c r="B10" s="6201"/>
      <c r="C10" s="6246"/>
      <c r="D10" s="1107" t="s">
        <v>410</v>
      </c>
      <c r="E10" s="1104"/>
      <c r="F10" s="1105"/>
      <c r="G10" s="1105"/>
      <c r="H10" s="1106"/>
      <c r="I10" s="1104"/>
      <c r="J10" s="1105"/>
      <c r="K10" s="1105"/>
      <c r="L10" s="1106"/>
      <c r="M10" s="1104"/>
      <c r="N10" s="1105"/>
      <c r="O10" s="1105"/>
      <c r="P10" s="1106"/>
      <c r="Q10" s="1104"/>
      <c r="R10" s="1105"/>
      <c r="S10" s="1105"/>
      <c r="T10" s="1106"/>
      <c r="U10" s="1104"/>
      <c r="V10" s="1105"/>
      <c r="W10" s="1105"/>
      <c r="X10" s="1106"/>
      <c r="Y10" s="1105"/>
      <c r="Z10" s="1105"/>
      <c r="AA10" s="1105"/>
      <c r="AB10" s="1106"/>
      <c r="AC10" s="1105"/>
      <c r="AD10" s="1105"/>
      <c r="AE10" s="1105"/>
      <c r="AF10" s="1106"/>
      <c r="AG10" s="1105"/>
      <c r="AH10" s="1105"/>
      <c r="AI10" s="1105"/>
      <c r="AJ10" s="1106"/>
      <c r="AK10" s="1105"/>
      <c r="AL10" s="1105"/>
      <c r="AM10" s="1105"/>
      <c r="AN10" s="1106"/>
      <c r="AO10" s="1105"/>
      <c r="AP10" s="1105"/>
      <c r="AQ10" s="1105"/>
      <c r="AR10" s="1106"/>
      <c r="AS10" s="1105"/>
      <c r="AT10" s="1105"/>
      <c r="AU10" s="1105"/>
      <c r="AV10" s="1106"/>
      <c r="AW10" s="1105"/>
      <c r="AX10" s="1105"/>
      <c r="AY10" s="1105"/>
      <c r="AZ10" s="1106"/>
      <c r="BA10" s="1105"/>
      <c r="BB10" s="1105"/>
      <c r="BC10" s="1105"/>
      <c r="BD10" s="1106"/>
      <c r="BE10" s="1105"/>
      <c r="BF10" s="1105">
        <v>1</v>
      </c>
      <c r="BG10" s="1105">
        <v>3</v>
      </c>
      <c r="BH10" s="1106">
        <f>SUM(BE10:BG10)</f>
        <v>4</v>
      </c>
      <c r="BI10" s="1105"/>
      <c r="BJ10" s="1105"/>
      <c r="BK10" s="1105">
        <v>4</v>
      </c>
      <c r="BL10" s="1106">
        <f>SUM(BI10:BK10)</f>
        <v>4</v>
      </c>
      <c r="BM10" s="1105"/>
      <c r="BN10" s="1105"/>
      <c r="BO10" s="1105">
        <v>3</v>
      </c>
      <c r="BP10" s="1106">
        <f>SUM(BM10:BO10)</f>
        <v>3</v>
      </c>
      <c r="BQ10" s="1105">
        <v>2</v>
      </c>
      <c r="BR10" s="1105"/>
      <c r="BS10" s="1105">
        <v>3</v>
      </c>
      <c r="BT10" s="1106">
        <f>SUM(BQ10:BS10)</f>
        <v>5</v>
      </c>
      <c r="BU10" s="1105">
        <v>3</v>
      </c>
      <c r="BV10" s="1105"/>
      <c r="BW10" s="1105">
        <v>4</v>
      </c>
      <c r="BX10" s="1106">
        <f>SUM(BU10:BW10)</f>
        <v>7</v>
      </c>
      <c r="BY10" s="1105"/>
      <c r="BZ10" s="1105"/>
      <c r="CA10" s="1105">
        <v>4</v>
      </c>
      <c r="CB10" s="1106">
        <f>SUM(BY10:CA10)</f>
        <v>4</v>
      </c>
    </row>
    <row r="11" spans="1:80" s="212" customFormat="1" ht="13.5" customHeight="1" x14ac:dyDescent="0.25">
      <c r="A11" s="6251"/>
      <c r="B11" s="6201"/>
      <c r="C11" s="6270" t="s">
        <v>520</v>
      </c>
      <c r="D11" s="1103" t="s">
        <v>1627</v>
      </c>
      <c r="E11" s="1104"/>
      <c r="F11" s="1105">
        <v>1</v>
      </c>
      <c r="G11" s="1105">
        <v>1</v>
      </c>
      <c r="H11" s="1106">
        <v>2</v>
      </c>
      <c r="I11" s="1104">
        <v>4</v>
      </c>
      <c r="J11" s="1105">
        <v>3</v>
      </c>
      <c r="K11" s="1105">
        <v>2</v>
      </c>
      <c r="L11" s="1106">
        <v>9</v>
      </c>
      <c r="M11" s="1104">
        <v>3</v>
      </c>
      <c r="N11" s="1105"/>
      <c r="O11" s="1105">
        <v>4</v>
      </c>
      <c r="P11" s="1106">
        <v>7</v>
      </c>
      <c r="Q11" s="1104">
        <v>3</v>
      </c>
      <c r="R11" s="1105">
        <v>2</v>
      </c>
      <c r="S11" s="1105">
        <v>1</v>
      </c>
      <c r="T11" s="1106">
        <v>6</v>
      </c>
      <c r="U11" s="1104">
        <v>2</v>
      </c>
      <c r="V11" s="1105">
        <v>1</v>
      </c>
      <c r="W11" s="1105">
        <v>3</v>
      </c>
      <c r="X11" s="1106">
        <f>SUM(U11:W11)</f>
        <v>6</v>
      </c>
      <c r="Y11" s="1105">
        <v>1</v>
      </c>
      <c r="Z11" s="1105">
        <v>2</v>
      </c>
      <c r="AA11" s="1105">
        <v>1</v>
      </c>
      <c r="AB11" s="1106">
        <f>SUM(Y11:AA11)</f>
        <v>4</v>
      </c>
      <c r="AC11" s="1105">
        <v>1</v>
      </c>
      <c r="AD11" s="1105"/>
      <c r="AE11" s="1105">
        <v>3</v>
      </c>
      <c r="AF11" s="1106">
        <f>SUM(AC11:AE11)</f>
        <v>4</v>
      </c>
      <c r="AG11" s="1105"/>
      <c r="AH11" s="1105">
        <v>1</v>
      </c>
      <c r="AI11" s="1105">
        <v>2</v>
      </c>
      <c r="AJ11" s="1106">
        <f>SUM(AG11:AI11)</f>
        <v>3</v>
      </c>
      <c r="AK11" s="1105">
        <v>5</v>
      </c>
      <c r="AL11" s="1105">
        <v>4</v>
      </c>
      <c r="AM11" s="1105">
        <v>2</v>
      </c>
      <c r="AN11" s="1106">
        <f>SUM(AK11:AM11)</f>
        <v>11</v>
      </c>
      <c r="AO11" s="1105"/>
      <c r="AP11" s="1105">
        <v>2</v>
      </c>
      <c r="AQ11" s="1105">
        <v>1</v>
      </c>
      <c r="AR11" s="1106">
        <f>SUM(AO11:AQ11)</f>
        <v>3</v>
      </c>
      <c r="AS11" s="1105">
        <v>2</v>
      </c>
      <c r="AT11" s="1105" t="s">
        <v>227</v>
      </c>
      <c r="AU11" s="1105">
        <v>1</v>
      </c>
      <c r="AV11" s="1106">
        <f>SUM(AS11:AU11)</f>
        <v>3</v>
      </c>
      <c r="AW11" s="1105">
        <v>2</v>
      </c>
      <c r="AX11" s="1105">
        <v>1</v>
      </c>
      <c r="AY11" s="1105"/>
      <c r="AZ11" s="1106">
        <f>AW11+AX11+AY11</f>
        <v>3</v>
      </c>
      <c r="BA11" s="1105">
        <v>2</v>
      </c>
      <c r="BB11" s="1105">
        <v>4</v>
      </c>
      <c r="BC11" s="1105">
        <v>1</v>
      </c>
      <c r="BD11" s="1106">
        <f>BA11+BB11+BC11</f>
        <v>7</v>
      </c>
      <c r="BE11" s="1105">
        <v>1</v>
      </c>
      <c r="BF11" s="1105"/>
      <c r="BG11" s="1105">
        <v>4</v>
      </c>
      <c r="BH11" s="1106">
        <f>BE11+BF11+BG11</f>
        <v>5</v>
      </c>
      <c r="BI11" s="1105">
        <v>1</v>
      </c>
      <c r="BJ11" s="1105">
        <v>2</v>
      </c>
      <c r="BK11" s="1105">
        <v>2</v>
      </c>
      <c r="BL11" s="1106">
        <f>BI11+BJ11+BK11</f>
        <v>5</v>
      </c>
      <c r="BM11" s="1105"/>
      <c r="BN11" s="1105">
        <v>3</v>
      </c>
      <c r="BO11" s="1105">
        <v>6</v>
      </c>
      <c r="BP11" s="1106">
        <f>BM11+BN11+BO11</f>
        <v>9</v>
      </c>
      <c r="BQ11" s="1105">
        <v>4</v>
      </c>
      <c r="BR11" s="1105"/>
      <c r="BS11" s="1105">
        <v>2</v>
      </c>
      <c r="BT11" s="1106">
        <f>BQ11+BR11+BS11</f>
        <v>6</v>
      </c>
      <c r="BU11" s="1105">
        <v>3</v>
      </c>
      <c r="BV11" s="1105">
        <v>4</v>
      </c>
      <c r="BW11" s="1105">
        <v>4</v>
      </c>
      <c r="BX11" s="1106">
        <f>BU11+BV11+BW11</f>
        <v>11</v>
      </c>
      <c r="BY11" s="1105"/>
      <c r="BZ11" s="1105">
        <v>1</v>
      </c>
      <c r="CA11" s="1105">
        <v>3</v>
      </c>
      <c r="CB11" s="1106">
        <f>BY11+BZ11+CA11</f>
        <v>4</v>
      </c>
    </row>
    <row r="12" spans="1:80" s="212" customFormat="1" ht="15" x14ac:dyDescent="0.25">
      <c r="A12" s="6251"/>
      <c r="B12" s="6201"/>
      <c r="C12" s="6245"/>
      <c r="D12" s="1107" t="s">
        <v>137</v>
      </c>
      <c r="E12" s="1104"/>
      <c r="F12" s="1105"/>
      <c r="G12" s="1105"/>
      <c r="H12" s="1106"/>
      <c r="I12" s="1104"/>
      <c r="J12" s="1105"/>
      <c r="K12" s="1105"/>
      <c r="L12" s="1106"/>
      <c r="M12" s="1104"/>
      <c r="N12" s="1105"/>
      <c r="O12" s="1105"/>
      <c r="P12" s="1106"/>
      <c r="Q12" s="1104"/>
      <c r="R12" s="1105"/>
      <c r="S12" s="1105"/>
      <c r="T12" s="1106"/>
      <c r="U12" s="1104"/>
      <c r="V12" s="1105"/>
      <c r="W12" s="1105">
        <v>5</v>
      </c>
      <c r="X12" s="1106">
        <f>SUM(U12:W12)</f>
        <v>5</v>
      </c>
      <c r="Y12" s="1105"/>
      <c r="Z12" s="1105"/>
      <c r="AA12" s="1105">
        <v>1</v>
      </c>
      <c r="AB12" s="1106">
        <f>SUM(Y12:AA12)</f>
        <v>1</v>
      </c>
      <c r="AC12" s="1105"/>
      <c r="AD12" s="1105"/>
      <c r="AE12" s="1105">
        <v>2</v>
      </c>
      <c r="AF12" s="1106">
        <f>SUM(AC12:AE12)</f>
        <v>2</v>
      </c>
      <c r="AG12" s="1105"/>
      <c r="AH12" s="1105"/>
      <c r="AI12" s="1105">
        <v>2</v>
      </c>
      <c r="AJ12" s="1106">
        <f>SUM(AG12:AI12)</f>
        <v>2</v>
      </c>
      <c r="AK12" s="1105"/>
      <c r="AL12" s="1105"/>
      <c r="AM12" s="1105"/>
      <c r="AN12" s="1106"/>
      <c r="AO12" s="1105">
        <v>1</v>
      </c>
      <c r="AP12" s="1105"/>
      <c r="AQ12" s="1105">
        <v>1</v>
      </c>
      <c r="AR12" s="1106">
        <f>SUM(AO12:AQ12)</f>
        <v>2</v>
      </c>
      <c r="AS12" s="1105" t="s">
        <v>227</v>
      </c>
      <c r="AT12" s="1105">
        <v>1</v>
      </c>
      <c r="AU12" s="1105">
        <v>1</v>
      </c>
      <c r="AV12" s="1106">
        <f>SUM(AS12:AU12)</f>
        <v>2</v>
      </c>
      <c r="AW12" s="1105"/>
      <c r="AX12" s="1105"/>
      <c r="AY12" s="1105"/>
      <c r="AZ12" s="1106"/>
      <c r="BA12" s="1105"/>
      <c r="BB12" s="1105"/>
      <c r="BC12" s="1105"/>
      <c r="BD12" s="1106"/>
      <c r="BE12" s="1105"/>
      <c r="BF12" s="1105"/>
      <c r="BG12" s="1105"/>
      <c r="BH12" s="1106"/>
      <c r="BI12" s="1105"/>
      <c r="BJ12" s="1105"/>
      <c r="BK12" s="1105">
        <v>1</v>
      </c>
      <c r="BL12" s="1106">
        <f>BI12+BJ12+BK12</f>
        <v>1</v>
      </c>
      <c r="BM12" s="1105">
        <v>1</v>
      </c>
      <c r="BN12" s="1105"/>
      <c r="BO12" s="1105">
        <v>1</v>
      </c>
      <c r="BP12" s="1106">
        <f>BM12+BN12+BO12</f>
        <v>2</v>
      </c>
      <c r="BQ12" s="1105"/>
      <c r="BR12" s="1105"/>
      <c r="BS12" s="1105">
        <v>1</v>
      </c>
      <c r="BT12" s="1106">
        <f>BQ12+BR12+BS12</f>
        <v>1</v>
      </c>
      <c r="BU12" s="1105">
        <v>2</v>
      </c>
      <c r="BV12" s="1105"/>
      <c r="BW12" s="1105"/>
      <c r="BX12" s="1106">
        <f>BU12+BV12+BW12</f>
        <v>2</v>
      </c>
      <c r="BY12" s="1105">
        <v>3</v>
      </c>
      <c r="BZ12" s="1105"/>
      <c r="CA12" s="1105">
        <v>3</v>
      </c>
      <c r="CB12" s="1106">
        <f>BY12+BZ12+CA12</f>
        <v>6</v>
      </c>
    </row>
    <row r="13" spans="1:80" s="212" customFormat="1" ht="15" x14ac:dyDescent="0.25">
      <c r="A13" s="6251"/>
      <c r="B13" s="6201"/>
      <c r="C13" s="6245"/>
      <c r="D13" s="1107" t="s">
        <v>613</v>
      </c>
      <c r="E13" s="1458"/>
      <c r="F13" s="1459"/>
      <c r="G13" s="1459"/>
      <c r="H13" s="1128"/>
      <c r="I13" s="1458"/>
      <c r="J13" s="1459"/>
      <c r="K13" s="1459"/>
      <c r="L13" s="1128"/>
      <c r="M13" s="1458"/>
      <c r="N13" s="1459"/>
      <c r="O13" s="1459"/>
      <c r="P13" s="1128"/>
      <c r="Q13" s="1458"/>
      <c r="R13" s="1459"/>
      <c r="S13" s="1459"/>
      <c r="T13" s="1128"/>
      <c r="U13" s="1458"/>
      <c r="V13" s="1459"/>
      <c r="W13" s="1459"/>
      <c r="X13" s="1128"/>
      <c r="Y13" s="1459"/>
      <c r="Z13" s="1459"/>
      <c r="AA13" s="1459"/>
      <c r="AB13" s="1128"/>
      <c r="AC13" s="1459"/>
      <c r="AD13" s="1459"/>
      <c r="AE13" s="1459"/>
      <c r="AF13" s="1128"/>
      <c r="AG13" s="1459"/>
      <c r="AH13" s="1459"/>
      <c r="AI13" s="1459"/>
      <c r="AJ13" s="1128"/>
      <c r="AK13" s="1459"/>
      <c r="AL13" s="1459"/>
      <c r="AM13" s="1459"/>
      <c r="AN13" s="1128"/>
      <c r="AO13" s="1459"/>
      <c r="AP13" s="1459"/>
      <c r="AQ13" s="1459"/>
      <c r="AR13" s="1128"/>
      <c r="AS13" s="1459"/>
      <c r="AT13" s="1459"/>
      <c r="AU13" s="1459"/>
      <c r="AV13" s="1128"/>
      <c r="AW13" s="1459"/>
      <c r="AX13" s="1459"/>
      <c r="AY13" s="1459"/>
      <c r="AZ13" s="1128"/>
      <c r="BA13" s="1459"/>
      <c r="BB13" s="1459"/>
      <c r="BC13" s="1459"/>
      <c r="BD13" s="1128"/>
      <c r="BE13" s="1459"/>
      <c r="BF13" s="1459"/>
      <c r="BG13" s="1459"/>
      <c r="BH13" s="1128"/>
      <c r="BI13" s="1459"/>
      <c r="BJ13" s="1459"/>
      <c r="BK13" s="1459">
        <v>3</v>
      </c>
      <c r="BL13" s="1106">
        <f>BI13+BJ13+BK13</f>
        <v>3</v>
      </c>
      <c r="BM13" s="1459"/>
      <c r="BN13" s="1459"/>
      <c r="BO13" s="1459"/>
      <c r="BP13" s="1106">
        <f>BM13+BN13+BO13</f>
        <v>0</v>
      </c>
      <c r="BQ13" s="1459">
        <v>2</v>
      </c>
      <c r="BR13" s="1459"/>
      <c r="BS13" s="1459">
        <v>4</v>
      </c>
      <c r="BT13" s="1106">
        <f>BQ13+BR13+BS13</f>
        <v>6</v>
      </c>
      <c r="BU13" s="1459"/>
      <c r="BV13" s="1459"/>
      <c r="BW13" s="1459"/>
      <c r="BX13" s="1106">
        <f>BU13+BV13+BW13</f>
        <v>0</v>
      </c>
      <c r="BY13" s="1459"/>
      <c r="BZ13" s="1459">
        <v>2</v>
      </c>
      <c r="CA13" s="1459"/>
      <c r="CB13" s="1106">
        <f>BY13+BZ13+CA13</f>
        <v>2</v>
      </c>
    </row>
    <row r="14" spans="1:80" s="212" customFormat="1" ht="15" x14ac:dyDescent="0.25">
      <c r="A14" s="6251"/>
      <c r="B14" s="6201"/>
      <c r="C14" s="6246"/>
      <c r="D14" s="1107" t="s">
        <v>614</v>
      </c>
      <c r="E14" s="1458"/>
      <c r="F14" s="1459"/>
      <c r="G14" s="1459"/>
      <c r="H14" s="1128"/>
      <c r="I14" s="1458"/>
      <c r="J14" s="1459"/>
      <c r="K14" s="1459"/>
      <c r="L14" s="1128"/>
      <c r="M14" s="1458"/>
      <c r="N14" s="1459"/>
      <c r="O14" s="1459"/>
      <c r="P14" s="1128"/>
      <c r="Q14" s="1458"/>
      <c r="R14" s="1459"/>
      <c r="S14" s="1459"/>
      <c r="T14" s="1128"/>
      <c r="U14" s="1458"/>
      <c r="V14" s="1459"/>
      <c r="W14" s="1459"/>
      <c r="X14" s="1128"/>
      <c r="Y14" s="1459"/>
      <c r="Z14" s="1459"/>
      <c r="AA14" s="1459"/>
      <c r="AB14" s="1128"/>
      <c r="AC14" s="1459"/>
      <c r="AD14" s="1459"/>
      <c r="AE14" s="1459"/>
      <c r="AF14" s="1128"/>
      <c r="AG14" s="1459"/>
      <c r="AH14" s="1459"/>
      <c r="AI14" s="1459"/>
      <c r="AJ14" s="1128"/>
      <c r="AK14" s="1459"/>
      <c r="AL14" s="1459"/>
      <c r="AM14" s="1459"/>
      <c r="AN14" s="1128"/>
      <c r="AO14" s="1459"/>
      <c r="AP14" s="1459"/>
      <c r="AQ14" s="1459"/>
      <c r="AR14" s="1128"/>
      <c r="AS14" s="1459"/>
      <c r="AT14" s="1459"/>
      <c r="AU14" s="1459"/>
      <c r="AV14" s="1128"/>
      <c r="AW14" s="1459"/>
      <c r="AX14" s="1459"/>
      <c r="AY14" s="1459"/>
      <c r="AZ14" s="1128"/>
      <c r="BA14" s="1459"/>
      <c r="BB14" s="1459"/>
      <c r="BC14" s="1459"/>
      <c r="BD14" s="1128"/>
      <c r="BE14" s="1459"/>
      <c r="BF14" s="1459"/>
      <c r="BG14" s="1459"/>
      <c r="BH14" s="1128"/>
      <c r="BI14" s="1459"/>
      <c r="BJ14" s="1459"/>
      <c r="BK14" s="1459">
        <v>2</v>
      </c>
      <c r="BL14" s="1106">
        <f>BI14+BJ14+BK14</f>
        <v>2</v>
      </c>
      <c r="BM14" s="1459"/>
      <c r="BN14" s="1459"/>
      <c r="BO14" s="1459"/>
      <c r="BP14" s="1106">
        <f>BM14+BN14+BO14</f>
        <v>0</v>
      </c>
      <c r="BQ14" s="1459">
        <v>1</v>
      </c>
      <c r="BR14" s="1459"/>
      <c r="BS14" s="1459"/>
      <c r="BT14" s="1106">
        <f>BQ14+BR14+BS14</f>
        <v>1</v>
      </c>
      <c r="BU14" s="1459"/>
      <c r="BV14" s="1459">
        <v>1</v>
      </c>
      <c r="BW14" s="1459">
        <v>2</v>
      </c>
      <c r="BX14" s="1106">
        <f>BU14+BV14+BW14</f>
        <v>3</v>
      </c>
      <c r="BY14" s="1459"/>
      <c r="BZ14" s="1459"/>
      <c r="CA14" s="1459"/>
      <c r="CB14" s="1106">
        <f>BY14+BZ14+CA14</f>
        <v>0</v>
      </c>
    </row>
    <row r="15" spans="1:80" s="212" customFormat="1" ht="15" x14ac:dyDescent="0.25">
      <c r="A15" s="6251"/>
      <c r="B15" s="6202"/>
      <c r="C15" s="5161"/>
      <c r="D15" s="5160" t="s">
        <v>445</v>
      </c>
      <c r="E15" s="1110">
        <f t="shared" ref="E15:AJ15" si="0">SUM(E5:E12)</f>
        <v>41</v>
      </c>
      <c r="F15" s="1111">
        <f t="shared" si="0"/>
        <v>15</v>
      </c>
      <c r="G15" s="1111">
        <f t="shared" si="0"/>
        <v>31</v>
      </c>
      <c r="H15" s="1112">
        <f t="shared" si="0"/>
        <v>87</v>
      </c>
      <c r="I15" s="1110">
        <f t="shared" si="0"/>
        <v>61</v>
      </c>
      <c r="J15" s="1111">
        <f t="shared" si="0"/>
        <v>13</v>
      </c>
      <c r="K15" s="1111">
        <f t="shared" si="0"/>
        <v>53</v>
      </c>
      <c r="L15" s="1112">
        <f t="shared" si="0"/>
        <v>127</v>
      </c>
      <c r="M15" s="1110">
        <f t="shared" si="0"/>
        <v>5</v>
      </c>
      <c r="N15" s="1111">
        <f t="shared" si="0"/>
        <v>16</v>
      </c>
      <c r="O15" s="1111">
        <f t="shared" si="0"/>
        <v>53</v>
      </c>
      <c r="P15" s="1112">
        <f t="shared" si="0"/>
        <v>74</v>
      </c>
      <c r="Q15" s="1110">
        <f t="shared" si="0"/>
        <v>11</v>
      </c>
      <c r="R15" s="1111">
        <f t="shared" si="0"/>
        <v>6</v>
      </c>
      <c r="S15" s="1111">
        <f t="shared" si="0"/>
        <v>24</v>
      </c>
      <c r="T15" s="1112">
        <f t="shared" si="0"/>
        <v>41</v>
      </c>
      <c r="U15" s="1110">
        <f t="shared" si="0"/>
        <v>17</v>
      </c>
      <c r="V15" s="1111">
        <f t="shared" si="0"/>
        <v>5</v>
      </c>
      <c r="W15" s="1111">
        <f t="shared" si="0"/>
        <v>25</v>
      </c>
      <c r="X15" s="1112">
        <f t="shared" si="0"/>
        <v>47</v>
      </c>
      <c r="Y15" s="1111">
        <f t="shared" si="0"/>
        <v>8</v>
      </c>
      <c r="Z15" s="1111">
        <f t="shared" si="0"/>
        <v>7</v>
      </c>
      <c r="AA15" s="1111">
        <f t="shared" si="0"/>
        <v>26</v>
      </c>
      <c r="AB15" s="1112">
        <f t="shared" si="0"/>
        <v>41</v>
      </c>
      <c r="AC15" s="1111">
        <f t="shared" si="0"/>
        <v>10</v>
      </c>
      <c r="AD15" s="1111">
        <f t="shared" si="0"/>
        <v>0</v>
      </c>
      <c r="AE15" s="1111">
        <f t="shared" si="0"/>
        <v>34</v>
      </c>
      <c r="AF15" s="1112">
        <f t="shared" si="0"/>
        <v>44</v>
      </c>
      <c r="AG15" s="1111">
        <f t="shared" si="0"/>
        <v>17</v>
      </c>
      <c r="AH15" s="1111">
        <f t="shared" si="0"/>
        <v>1</v>
      </c>
      <c r="AI15" s="1111">
        <f t="shared" si="0"/>
        <v>19</v>
      </c>
      <c r="AJ15" s="1112">
        <f t="shared" si="0"/>
        <v>37</v>
      </c>
      <c r="AK15" s="1111">
        <f t="shared" ref="AK15:BJ15" si="1">SUM(AK5:AK12)</f>
        <v>9</v>
      </c>
      <c r="AL15" s="1111">
        <f t="shared" si="1"/>
        <v>10</v>
      </c>
      <c r="AM15" s="1111">
        <f t="shared" si="1"/>
        <v>12</v>
      </c>
      <c r="AN15" s="1112">
        <f t="shared" si="1"/>
        <v>31</v>
      </c>
      <c r="AO15" s="1111">
        <f t="shared" si="1"/>
        <v>3</v>
      </c>
      <c r="AP15" s="1111">
        <f t="shared" si="1"/>
        <v>2</v>
      </c>
      <c r="AQ15" s="1111">
        <f t="shared" si="1"/>
        <v>34</v>
      </c>
      <c r="AR15" s="1112">
        <f t="shared" si="1"/>
        <v>39</v>
      </c>
      <c r="AS15" s="1111">
        <f t="shared" si="1"/>
        <v>14</v>
      </c>
      <c r="AT15" s="1111">
        <f t="shared" si="1"/>
        <v>1</v>
      </c>
      <c r="AU15" s="1111">
        <f t="shared" si="1"/>
        <v>34</v>
      </c>
      <c r="AV15" s="1112">
        <f t="shared" si="1"/>
        <v>49</v>
      </c>
      <c r="AW15" s="1111">
        <f t="shared" si="1"/>
        <v>20</v>
      </c>
      <c r="AX15" s="1111">
        <f t="shared" si="1"/>
        <v>1</v>
      </c>
      <c r="AY15" s="1111">
        <f t="shared" si="1"/>
        <v>25</v>
      </c>
      <c r="AZ15" s="1112">
        <f t="shared" si="1"/>
        <v>46</v>
      </c>
      <c r="BA15" s="1111">
        <f t="shared" si="1"/>
        <v>8</v>
      </c>
      <c r="BB15" s="1111">
        <f t="shared" si="1"/>
        <v>4</v>
      </c>
      <c r="BC15" s="1111">
        <f t="shared" si="1"/>
        <v>27</v>
      </c>
      <c r="BD15" s="1112">
        <f t="shared" si="1"/>
        <v>39</v>
      </c>
      <c r="BE15" s="1111">
        <f t="shared" si="1"/>
        <v>9</v>
      </c>
      <c r="BF15" s="1111">
        <f t="shared" si="1"/>
        <v>8</v>
      </c>
      <c r="BG15" s="1111">
        <f t="shared" si="1"/>
        <v>33</v>
      </c>
      <c r="BH15" s="1112">
        <f t="shared" si="1"/>
        <v>50</v>
      </c>
      <c r="BI15" s="1111">
        <f t="shared" si="1"/>
        <v>18</v>
      </c>
      <c r="BJ15" s="1111">
        <f t="shared" si="1"/>
        <v>2</v>
      </c>
      <c r="BK15" s="1111">
        <f t="shared" ref="BK15:BQ15" si="2">SUM(BK5:BK14)</f>
        <v>54</v>
      </c>
      <c r="BL15" s="1112">
        <f t="shared" si="2"/>
        <v>74</v>
      </c>
      <c r="BM15" s="1110">
        <f t="shared" si="2"/>
        <v>24</v>
      </c>
      <c r="BN15" s="1111">
        <f t="shared" si="2"/>
        <v>3</v>
      </c>
      <c r="BO15" s="1111">
        <f t="shared" si="2"/>
        <v>62</v>
      </c>
      <c r="BP15" s="1112">
        <f t="shared" si="2"/>
        <v>89</v>
      </c>
      <c r="BQ15" s="1110">
        <f t="shared" si="2"/>
        <v>26</v>
      </c>
      <c r="BR15" s="1111">
        <f>SUM(BR6:BR14)</f>
        <v>0</v>
      </c>
      <c r="BS15" s="1111">
        <f>SUM(BS6:BS14)</f>
        <v>56</v>
      </c>
      <c r="BT15" s="1112">
        <f>SUM(BT6:BT14)</f>
        <v>82</v>
      </c>
      <c r="BU15" s="1110">
        <f>SUM(BU5:BU14)</f>
        <v>28</v>
      </c>
      <c r="BV15" s="1111">
        <f>SUM(BV6:BV14)</f>
        <v>5</v>
      </c>
      <c r="BW15" s="1111">
        <f>SUM(BW6:BW14)</f>
        <v>61</v>
      </c>
      <c r="BX15" s="1112">
        <f>SUM(BX6:BX14)</f>
        <v>94</v>
      </c>
      <c r="BY15" s="1110">
        <f>SUM(BY5:BY14)</f>
        <v>19</v>
      </c>
      <c r="BZ15" s="1111">
        <f>SUM(BZ6:BZ14)</f>
        <v>3</v>
      </c>
      <c r="CA15" s="1111">
        <f>SUM(CA6:CA14)</f>
        <v>62</v>
      </c>
      <c r="CB15" s="1112">
        <f>SUM(CB6:CB14)</f>
        <v>84</v>
      </c>
    </row>
    <row r="16" spans="1:80" s="212" customFormat="1" ht="15" x14ac:dyDescent="0.25">
      <c r="A16" s="6251"/>
      <c r="B16" s="6201" t="s">
        <v>6</v>
      </c>
      <c r="C16" s="6244" t="s">
        <v>522</v>
      </c>
      <c r="D16" s="1113" t="s">
        <v>138</v>
      </c>
      <c r="E16" s="1114"/>
      <c r="F16" s="1115"/>
      <c r="G16" s="1115">
        <v>25</v>
      </c>
      <c r="H16" s="1116">
        <v>25</v>
      </c>
      <c r="I16" s="1114"/>
      <c r="J16" s="1115"/>
      <c r="K16" s="1115">
        <v>15</v>
      </c>
      <c r="L16" s="1116">
        <v>15</v>
      </c>
      <c r="M16" s="1114"/>
      <c r="N16" s="1115"/>
      <c r="O16" s="1115">
        <v>20</v>
      </c>
      <c r="P16" s="1116">
        <v>20</v>
      </c>
      <c r="Q16" s="1114"/>
      <c r="R16" s="1115"/>
      <c r="S16" s="1115">
        <v>23</v>
      </c>
      <c r="T16" s="1116">
        <v>23</v>
      </c>
      <c r="U16" s="1114"/>
      <c r="V16" s="1115"/>
      <c r="W16" s="1115">
        <v>27</v>
      </c>
      <c r="X16" s="1116">
        <f>SUM(U16:W16)</f>
        <v>27</v>
      </c>
      <c r="Y16" s="1117"/>
      <c r="Z16" s="1117"/>
      <c r="AA16" s="1117">
        <v>18</v>
      </c>
      <c r="AB16" s="1116">
        <f>SUM(Y16:AA16)</f>
        <v>18</v>
      </c>
      <c r="AC16" s="1117"/>
      <c r="AD16" s="1117"/>
      <c r="AE16" s="1117">
        <v>23</v>
      </c>
      <c r="AF16" s="1116">
        <f>SUM(AC16:AE16)</f>
        <v>23</v>
      </c>
      <c r="AG16" s="1117"/>
      <c r="AH16" s="1117"/>
      <c r="AI16" s="1117">
        <v>13</v>
      </c>
      <c r="AJ16" s="1116">
        <f>SUM(AG16:AI16)</f>
        <v>13</v>
      </c>
      <c r="AK16" s="1117"/>
      <c r="AL16" s="1117"/>
      <c r="AM16" s="1117">
        <v>21</v>
      </c>
      <c r="AN16" s="1116">
        <f>SUM(AK16:AM16)</f>
        <v>21</v>
      </c>
      <c r="AO16" s="1117"/>
      <c r="AP16" s="1117"/>
      <c r="AQ16" s="1117">
        <v>17</v>
      </c>
      <c r="AR16" s="1118">
        <f>SUM(AO16:AQ16)</f>
        <v>17</v>
      </c>
      <c r="AS16" s="1117"/>
      <c r="AT16" s="1117"/>
      <c r="AU16" s="1117">
        <v>18</v>
      </c>
      <c r="AV16" s="1118">
        <f>SUM(AS16:AU16)</f>
        <v>18</v>
      </c>
      <c r="AW16" s="1117"/>
      <c r="AX16" s="1117"/>
      <c r="AY16" s="1117">
        <v>14</v>
      </c>
      <c r="AZ16" s="1118">
        <f>AW16+AX16+AY16</f>
        <v>14</v>
      </c>
      <c r="BA16" s="1117"/>
      <c r="BB16" s="1117"/>
      <c r="BC16" s="1117">
        <v>16</v>
      </c>
      <c r="BD16" s="1118">
        <f>BA16+BB16+BC16</f>
        <v>16</v>
      </c>
      <c r="BE16" s="1117"/>
      <c r="BF16" s="1117"/>
      <c r="BG16" s="1117">
        <v>16</v>
      </c>
      <c r="BH16" s="1118">
        <f>BE16+BF16+BG16</f>
        <v>16</v>
      </c>
      <c r="BI16" s="1117"/>
      <c r="BJ16" s="1117"/>
      <c r="BK16" s="1117">
        <v>19</v>
      </c>
      <c r="BL16" s="1118">
        <f>BI16+BJ16+BK16</f>
        <v>19</v>
      </c>
      <c r="BM16" s="1117"/>
      <c r="BN16" s="1117"/>
      <c r="BO16" s="1117">
        <v>18</v>
      </c>
      <c r="BP16" s="1118">
        <f>BM16+BN16+BO16</f>
        <v>18</v>
      </c>
      <c r="BQ16" s="1117"/>
      <c r="BR16" s="1117"/>
      <c r="BS16" s="1117">
        <v>21</v>
      </c>
      <c r="BT16" s="1118">
        <f>BQ16+BR16+BS16</f>
        <v>21</v>
      </c>
      <c r="BU16" s="1117"/>
      <c r="BV16" s="1117"/>
      <c r="BW16" s="1117">
        <v>20</v>
      </c>
      <c r="BX16" s="1118">
        <f>BU16+BV16+BW16</f>
        <v>20</v>
      </c>
      <c r="BY16" s="1117"/>
      <c r="BZ16" s="1117"/>
      <c r="CA16" s="1117">
        <v>20</v>
      </c>
      <c r="CB16" s="1118">
        <f>BY16+BZ16+CA16</f>
        <v>20</v>
      </c>
    </row>
    <row r="17" spans="1:80" s="212" customFormat="1" ht="15" x14ac:dyDescent="0.25">
      <c r="A17" s="6251"/>
      <c r="B17" s="6201"/>
      <c r="C17" s="6245"/>
      <c r="D17" s="1103" t="s">
        <v>358</v>
      </c>
      <c r="E17" s="1104"/>
      <c r="F17" s="1119"/>
      <c r="G17" s="1119"/>
      <c r="H17" s="1120"/>
      <c r="I17" s="1104"/>
      <c r="J17" s="1119"/>
      <c r="K17" s="1119"/>
      <c r="L17" s="1120"/>
      <c r="M17" s="1104"/>
      <c r="N17" s="1119"/>
      <c r="O17" s="1119"/>
      <c r="P17" s="1120"/>
      <c r="Q17" s="1104"/>
      <c r="R17" s="1119"/>
      <c r="S17" s="1119"/>
      <c r="T17" s="1120"/>
      <c r="U17" s="1104"/>
      <c r="V17" s="1119"/>
      <c r="W17" s="1119"/>
      <c r="X17" s="1120"/>
      <c r="Y17" s="1121"/>
      <c r="Z17" s="1121"/>
      <c r="AA17" s="1121">
        <v>18</v>
      </c>
      <c r="AB17" s="1120">
        <f>SUM(Y17:AA17)</f>
        <v>18</v>
      </c>
      <c r="AC17" s="1121"/>
      <c r="AD17" s="1121"/>
      <c r="AE17" s="1121">
        <v>9</v>
      </c>
      <c r="AF17" s="1120">
        <f>SUM(AC17:AE17)</f>
        <v>9</v>
      </c>
      <c r="AG17" s="1121"/>
      <c r="AH17" s="1121"/>
      <c r="AI17" s="1121">
        <v>20</v>
      </c>
      <c r="AJ17" s="1120">
        <f>SUM(AG17:AI17)</f>
        <v>20</v>
      </c>
      <c r="AK17" s="1121"/>
      <c r="AL17" s="1121"/>
      <c r="AM17" s="1121">
        <v>13</v>
      </c>
      <c r="AN17" s="1120">
        <f>SUM(AK17:AM17)</f>
        <v>13</v>
      </c>
      <c r="AO17" s="1121"/>
      <c r="AP17" s="1121"/>
      <c r="AQ17" s="1121">
        <v>11</v>
      </c>
      <c r="AR17" s="1106">
        <f>SUM(AO17:AQ17)</f>
        <v>11</v>
      </c>
      <c r="AS17" s="1121"/>
      <c r="AT17" s="1121"/>
      <c r="AU17" s="1121"/>
      <c r="AV17" s="1106"/>
      <c r="AW17" s="1121"/>
      <c r="AX17" s="1121"/>
      <c r="AY17" s="1121">
        <v>12</v>
      </c>
      <c r="AZ17" s="1106">
        <f>AW17+AX17+AY17</f>
        <v>12</v>
      </c>
      <c r="BA17" s="1121"/>
      <c r="BB17" s="1121"/>
      <c r="BC17" s="1121">
        <v>10</v>
      </c>
      <c r="BD17" s="1106">
        <f>BA17+BB17+BC17</f>
        <v>10</v>
      </c>
      <c r="BE17" s="1121"/>
      <c r="BF17" s="1121"/>
      <c r="BG17" s="1121"/>
      <c r="BH17" s="1106"/>
      <c r="BI17" s="1121"/>
      <c r="BJ17" s="1121"/>
      <c r="BK17" s="1121">
        <v>10</v>
      </c>
      <c r="BL17" s="1106">
        <f>BI17+BJ17+BK17</f>
        <v>10</v>
      </c>
      <c r="BM17" s="1121"/>
      <c r="BN17" s="1121"/>
      <c r="BO17" s="1121"/>
      <c r="BP17" s="1106">
        <f>BM17+BN17+BO17</f>
        <v>0</v>
      </c>
      <c r="BQ17" s="1121"/>
      <c r="BR17" s="1121"/>
      <c r="BS17" s="1121">
        <v>9</v>
      </c>
      <c r="BT17" s="1106">
        <f>BQ17+BR17+BS17</f>
        <v>9</v>
      </c>
      <c r="BU17" s="1121"/>
      <c r="BV17" s="1121"/>
      <c r="BW17" s="1121"/>
      <c r="BX17" s="1106">
        <f>BU17+BV17+BW17</f>
        <v>0</v>
      </c>
      <c r="BY17" s="1121"/>
      <c r="BZ17" s="1121"/>
      <c r="CA17" s="1121"/>
      <c r="CB17" s="1106">
        <f>BY17+BZ17+CA17</f>
        <v>0</v>
      </c>
    </row>
    <row r="18" spans="1:80" s="212" customFormat="1" ht="15" x14ac:dyDescent="0.25">
      <c r="A18" s="6251"/>
      <c r="B18" s="6201"/>
      <c r="C18" s="6246"/>
      <c r="D18" s="1103" t="s">
        <v>1628</v>
      </c>
      <c r="E18" s="1104"/>
      <c r="F18" s="1119"/>
      <c r="G18" s="1119"/>
      <c r="H18" s="1120"/>
      <c r="I18" s="1104"/>
      <c r="J18" s="1119"/>
      <c r="K18" s="1119"/>
      <c r="L18" s="1120"/>
      <c r="M18" s="1104"/>
      <c r="N18" s="1119"/>
      <c r="O18" s="1119"/>
      <c r="P18" s="1120"/>
      <c r="Q18" s="1104"/>
      <c r="R18" s="1119"/>
      <c r="S18" s="1119"/>
      <c r="T18" s="1120"/>
      <c r="U18" s="1104"/>
      <c r="V18" s="1119"/>
      <c r="W18" s="1119"/>
      <c r="X18" s="1120"/>
      <c r="Y18" s="1121"/>
      <c r="Z18" s="1121"/>
      <c r="AA18" s="1121"/>
      <c r="AB18" s="1120"/>
      <c r="AC18" s="1121"/>
      <c r="AD18" s="1121"/>
      <c r="AE18" s="1121"/>
      <c r="AF18" s="1120"/>
      <c r="AG18" s="1121"/>
      <c r="AH18" s="1121"/>
      <c r="AI18" s="1121"/>
      <c r="AJ18" s="1120"/>
      <c r="AK18" s="1121"/>
      <c r="AL18" s="1121"/>
      <c r="AM18" s="1121">
        <v>5</v>
      </c>
      <c r="AN18" s="1120">
        <f>SUM(AK18:AM18)</f>
        <v>5</v>
      </c>
      <c r="AO18" s="1121"/>
      <c r="AP18" s="1121"/>
      <c r="AQ18" s="1121"/>
      <c r="AR18" s="1106"/>
      <c r="AS18" s="1121"/>
      <c r="AT18" s="1121"/>
      <c r="AU18" s="1121"/>
      <c r="AV18" s="1106"/>
      <c r="AW18" s="1121"/>
      <c r="AX18" s="1121"/>
      <c r="AY18" s="1121"/>
      <c r="AZ18" s="1106"/>
      <c r="BA18" s="1121"/>
      <c r="BB18" s="1121"/>
      <c r="BC18" s="1121"/>
      <c r="BD18" s="1106"/>
      <c r="BE18" s="1121"/>
      <c r="BF18" s="1121">
        <v>1</v>
      </c>
      <c r="BG18" s="1121"/>
      <c r="BH18" s="1106">
        <f>SUM(BE18:BG18)</f>
        <v>1</v>
      </c>
      <c r="BI18" s="1121"/>
      <c r="BJ18" s="1121"/>
      <c r="BK18" s="1121"/>
      <c r="BL18" s="1106">
        <f t="shared" ref="BL18:BL29" si="3">BI18+BJ18+BK18</f>
        <v>0</v>
      </c>
      <c r="BM18" s="1121"/>
      <c r="BN18" s="1121"/>
      <c r="BO18" s="1121"/>
      <c r="BP18" s="1106">
        <f t="shared" ref="BP18:BP29" si="4">BM18+BN18+BO18</f>
        <v>0</v>
      </c>
      <c r="BQ18" s="1121"/>
      <c r="BR18" s="1121"/>
      <c r="BS18" s="1121"/>
      <c r="BT18" s="1106">
        <f t="shared" ref="BT18:BT29" si="5">BQ18+BR18+BS18</f>
        <v>0</v>
      </c>
      <c r="BU18" s="1121"/>
      <c r="BV18" s="1121"/>
      <c r="BW18" s="1121"/>
      <c r="BX18" s="1106">
        <f t="shared" ref="BX18:BX29" si="6">BU18+BV18+BW18</f>
        <v>0</v>
      </c>
      <c r="BY18" s="1121"/>
      <c r="BZ18" s="1121"/>
      <c r="CA18" s="1121"/>
      <c r="CB18" s="1106">
        <f t="shared" ref="CB18:CB31" si="7">BY18+BZ18+CA18</f>
        <v>0</v>
      </c>
    </row>
    <row r="19" spans="1:80" s="212" customFormat="1" ht="15" x14ac:dyDescent="0.25">
      <c r="A19" s="6251"/>
      <c r="B19" s="6201"/>
      <c r="C19" s="6270" t="s">
        <v>521</v>
      </c>
      <c r="D19" s="1103" t="s">
        <v>533</v>
      </c>
      <c r="E19" s="1104"/>
      <c r="F19" s="1119"/>
      <c r="G19" s="1119"/>
      <c r="H19" s="1120"/>
      <c r="I19" s="1104"/>
      <c r="J19" s="1119"/>
      <c r="K19" s="1119"/>
      <c r="L19" s="1120"/>
      <c r="M19" s="1104"/>
      <c r="N19" s="1119"/>
      <c r="O19" s="1119"/>
      <c r="P19" s="1120"/>
      <c r="Q19" s="1104"/>
      <c r="R19" s="1119"/>
      <c r="S19" s="1119"/>
      <c r="T19" s="1120"/>
      <c r="U19" s="1104"/>
      <c r="V19" s="1119"/>
      <c r="W19" s="1119"/>
      <c r="X19" s="1120"/>
      <c r="Y19" s="1121"/>
      <c r="Z19" s="1121"/>
      <c r="AA19" s="1121"/>
      <c r="AB19" s="1120"/>
      <c r="AC19" s="1121"/>
      <c r="AD19" s="1121"/>
      <c r="AE19" s="1121"/>
      <c r="AF19" s="1120"/>
      <c r="AG19" s="1121"/>
      <c r="AH19" s="1121"/>
      <c r="AI19" s="1121"/>
      <c r="AJ19" s="1120"/>
      <c r="AK19" s="1121"/>
      <c r="AL19" s="1121"/>
      <c r="AM19" s="1121">
        <v>10</v>
      </c>
      <c r="AN19" s="1120">
        <f>SUM(AK19:AM19)</f>
        <v>10</v>
      </c>
      <c r="AO19" s="1121"/>
      <c r="AP19" s="1121"/>
      <c r="AQ19" s="1121"/>
      <c r="AR19" s="1106"/>
      <c r="AS19" s="1121"/>
      <c r="AT19" s="1121"/>
      <c r="AU19" s="1121">
        <v>14</v>
      </c>
      <c r="AV19" s="1106">
        <f>SUM(AS19:AU19)</f>
        <v>14</v>
      </c>
      <c r="AW19" s="1121"/>
      <c r="AX19" s="1121"/>
      <c r="AY19" s="1121"/>
      <c r="AZ19" s="1106"/>
      <c r="BA19" s="1121"/>
      <c r="BB19" s="1121"/>
      <c r="BC19" s="1121">
        <v>10</v>
      </c>
      <c r="BD19" s="1106">
        <f>BA19+BB19+BC19</f>
        <v>10</v>
      </c>
      <c r="BE19" s="1121"/>
      <c r="BF19" s="1121"/>
      <c r="BG19" s="1121"/>
      <c r="BH19" s="1106"/>
      <c r="BI19" s="1121"/>
      <c r="BJ19" s="1121"/>
      <c r="BK19" s="1121">
        <v>12</v>
      </c>
      <c r="BL19" s="1106">
        <f t="shared" si="3"/>
        <v>12</v>
      </c>
      <c r="BM19" s="1121"/>
      <c r="BN19" s="1121"/>
      <c r="BO19" s="1121"/>
      <c r="BP19" s="1106">
        <f t="shared" si="4"/>
        <v>0</v>
      </c>
      <c r="BQ19" s="1121"/>
      <c r="BR19" s="1121"/>
      <c r="BS19" s="1121">
        <v>6</v>
      </c>
      <c r="BT19" s="1106">
        <f t="shared" si="5"/>
        <v>6</v>
      </c>
      <c r="BU19" s="1121"/>
      <c r="BV19" s="1121"/>
      <c r="BW19" s="1121"/>
      <c r="BX19" s="1106">
        <f t="shared" si="6"/>
        <v>0</v>
      </c>
      <c r="BY19" s="1121"/>
      <c r="BZ19" s="1121"/>
      <c r="CA19" s="1121">
        <v>7</v>
      </c>
      <c r="CB19" s="1106">
        <f t="shared" si="7"/>
        <v>7</v>
      </c>
    </row>
    <row r="20" spans="1:80" s="212" customFormat="1" ht="15" x14ac:dyDescent="0.25">
      <c r="A20" s="6251"/>
      <c r="B20" s="6201"/>
      <c r="C20" s="6245"/>
      <c r="D20" s="1103" t="s">
        <v>366</v>
      </c>
      <c r="E20" s="1104"/>
      <c r="F20" s="1119"/>
      <c r="G20" s="1119">
        <v>7</v>
      </c>
      <c r="H20" s="1120">
        <v>7</v>
      </c>
      <c r="I20" s="1104"/>
      <c r="J20" s="1119"/>
      <c r="K20" s="1119">
        <v>26</v>
      </c>
      <c r="L20" s="1120">
        <v>26</v>
      </c>
      <c r="M20" s="1104"/>
      <c r="N20" s="1119"/>
      <c r="O20" s="1119"/>
      <c r="P20" s="1120"/>
      <c r="Q20" s="1104"/>
      <c r="R20" s="1119"/>
      <c r="S20" s="1119">
        <v>14</v>
      </c>
      <c r="T20" s="1120">
        <v>14</v>
      </c>
      <c r="U20" s="1104"/>
      <c r="V20" s="1119"/>
      <c r="W20" s="1119"/>
      <c r="X20" s="1120"/>
      <c r="Y20" s="1121"/>
      <c r="Z20" s="1121"/>
      <c r="AA20" s="1121">
        <v>26</v>
      </c>
      <c r="AB20" s="1120">
        <f>SUM(Y20:AA20)</f>
        <v>26</v>
      </c>
      <c r="AC20" s="1121"/>
      <c r="AD20" s="1121"/>
      <c r="AE20" s="1121"/>
      <c r="AF20" s="1120"/>
      <c r="AG20" s="1121"/>
      <c r="AH20" s="1121"/>
      <c r="AI20" s="1121"/>
      <c r="AJ20" s="1120"/>
      <c r="AK20" s="1121"/>
      <c r="AL20" s="1121"/>
      <c r="AM20" s="1121"/>
      <c r="AN20" s="1120"/>
      <c r="AO20" s="1121"/>
      <c r="AP20" s="1121"/>
      <c r="AQ20" s="1121"/>
      <c r="AR20" s="1106"/>
      <c r="AS20" s="1121"/>
      <c r="AT20" s="1121"/>
      <c r="AU20" s="1121"/>
      <c r="AV20" s="1106"/>
      <c r="AW20" s="1121"/>
      <c r="AX20" s="1121"/>
      <c r="AY20" s="1121"/>
      <c r="AZ20" s="1106"/>
      <c r="BA20" s="1121"/>
      <c r="BB20" s="1121"/>
      <c r="BC20" s="1121"/>
      <c r="BD20" s="1106"/>
      <c r="BE20" s="1121"/>
      <c r="BF20" s="1121"/>
      <c r="BG20" s="1121"/>
      <c r="BH20" s="1106"/>
      <c r="BI20" s="1121"/>
      <c r="BJ20" s="1121"/>
      <c r="BK20" s="1121"/>
      <c r="BL20" s="1106">
        <f t="shared" si="3"/>
        <v>0</v>
      </c>
      <c r="BM20" s="1121"/>
      <c r="BN20" s="1121"/>
      <c r="BO20" s="1121"/>
      <c r="BP20" s="1106">
        <f t="shared" si="4"/>
        <v>0</v>
      </c>
      <c r="BQ20" s="1121"/>
      <c r="BR20" s="1121"/>
      <c r="BS20" s="1121"/>
      <c r="BT20" s="1106">
        <f t="shared" si="5"/>
        <v>0</v>
      </c>
      <c r="BU20" s="1121"/>
      <c r="BV20" s="1121"/>
      <c r="BW20" s="1121"/>
      <c r="BX20" s="1106">
        <f t="shared" si="6"/>
        <v>0</v>
      </c>
      <c r="BY20" s="1121"/>
      <c r="BZ20" s="1121"/>
      <c r="CA20" s="1121"/>
      <c r="CB20" s="1106">
        <f t="shared" si="7"/>
        <v>0</v>
      </c>
    </row>
    <row r="21" spans="1:80" s="212" customFormat="1" ht="15" x14ac:dyDescent="0.25">
      <c r="A21" s="6251"/>
      <c r="B21" s="6201"/>
      <c r="C21" s="6245"/>
      <c r="D21" s="1107" t="s">
        <v>139</v>
      </c>
      <c r="E21" s="1104"/>
      <c r="F21" s="1119"/>
      <c r="G21" s="1119"/>
      <c r="H21" s="1120"/>
      <c r="I21" s="1104"/>
      <c r="J21" s="1119"/>
      <c r="K21" s="1119"/>
      <c r="L21" s="1120"/>
      <c r="M21" s="1104"/>
      <c r="N21" s="1119"/>
      <c r="O21" s="1119"/>
      <c r="P21" s="1120"/>
      <c r="Q21" s="1104"/>
      <c r="R21" s="1119"/>
      <c r="S21" s="1119"/>
      <c r="T21" s="1120"/>
      <c r="U21" s="1104"/>
      <c r="V21" s="1119"/>
      <c r="W21" s="1119"/>
      <c r="X21" s="1120"/>
      <c r="Y21" s="1121"/>
      <c r="Z21" s="1121"/>
      <c r="AA21" s="1121"/>
      <c r="AB21" s="1120"/>
      <c r="AC21" s="1121"/>
      <c r="AD21" s="1121"/>
      <c r="AE21" s="1121"/>
      <c r="AF21" s="1120"/>
      <c r="AG21" s="1121">
        <v>2</v>
      </c>
      <c r="AH21" s="1121"/>
      <c r="AI21" s="1121"/>
      <c r="AJ21" s="1120">
        <f>SUM(AG21:AI21)</f>
        <v>2</v>
      </c>
      <c r="AK21" s="1121"/>
      <c r="AL21" s="1121"/>
      <c r="AM21" s="1121"/>
      <c r="AN21" s="1120"/>
      <c r="AO21" s="1121"/>
      <c r="AP21" s="1121"/>
      <c r="AQ21" s="1121"/>
      <c r="AR21" s="1106"/>
      <c r="AS21" s="1121"/>
      <c r="AT21" s="1121"/>
      <c r="AU21" s="1121"/>
      <c r="AV21" s="1106"/>
      <c r="AW21" s="1121"/>
      <c r="AX21" s="1121"/>
      <c r="AY21" s="1121"/>
      <c r="AZ21" s="1106"/>
      <c r="BA21" s="1121"/>
      <c r="BB21" s="1121"/>
      <c r="BC21" s="1121"/>
      <c r="BD21" s="1106"/>
      <c r="BE21" s="1121"/>
      <c r="BF21" s="1121"/>
      <c r="BG21" s="1121"/>
      <c r="BH21" s="1106"/>
      <c r="BI21" s="1121"/>
      <c r="BJ21" s="1121"/>
      <c r="BK21" s="1121"/>
      <c r="BL21" s="1106">
        <f t="shared" si="3"/>
        <v>0</v>
      </c>
      <c r="BM21" s="1121"/>
      <c r="BN21" s="1121"/>
      <c r="BO21" s="1121"/>
      <c r="BP21" s="1106">
        <f t="shared" si="4"/>
        <v>0</v>
      </c>
      <c r="BQ21" s="1121"/>
      <c r="BR21" s="1121"/>
      <c r="BS21" s="1121"/>
      <c r="BT21" s="1106">
        <f t="shared" si="5"/>
        <v>0</v>
      </c>
      <c r="BU21" s="1121"/>
      <c r="BV21" s="1121"/>
      <c r="BW21" s="1121"/>
      <c r="BX21" s="1106">
        <f t="shared" si="6"/>
        <v>0</v>
      </c>
      <c r="BY21" s="1121"/>
      <c r="BZ21" s="1121"/>
      <c r="CA21" s="1121"/>
      <c r="CB21" s="1106">
        <f t="shared" si="7"/>
        <v>0</v>
      </c>
    </row>
    <row r="22" spans="1:80" s="212" customFormat="1" ht="15" x14ac:dyDescent="0.25">
      <c r="A22" s="6251"/>
      <c r="B22" s="6201"/>
      <c r="C22" s="6245"/>
      <c r="D22" s="1103" t="s">
        <v>367</v>
      </c>
      <c r="E22" s="1122"/>
      <c r="F22" s="1119"/>
      <c r="G22" s="1119"/>
      <c r="H22" s="1120"/>
      <c r="I22" s="1122"/>
      <c r="J22" s="1119"/>
      <c r="K22" s="1119"/>
      <c r="L22" s="1120"/>
      <c r="M22" s="1122"/>
      <c r="N22" s="1119"/>
      <c r="O22" s="1119"/>
      <c r="P22" s="1120"/>
      <c r="Q22" s="1122"/>
      <c r="R22" s="1119"/>
      <c r="S22" s="1119"/>
      <c r="T22" s="1120"/>
      <c r="U22" s="1122"/>
      <c r="V22" s="1119"/>
      <c r="W22" s="1119"/>
      <c r="X22" s="1120"/>
      <c r="Y22" s="1121"/>
      <c r="Z22" s="1121"/>
      <c r="AA22" s="1121"/>
      <c r="AB22" s="1120"/>
      <c r="AC22" s="1121"/>
      <c r="AD22" s="1121"/>
      <c r="AE22" s="1121">
        <v>20</v>
      </c>
      <c r="AF22" s="1120">
        <f>SUM(AC22:AE22)</f>
        <v>20</v>
      </c>
      <c r="AG22" s="1121"/>
      <c r="AH22" s="1121"/>
      <c r="AI22" s="1121"/>
      <c r="AJ22" s="1120"/>
      <c r="AK22" s="1121"/>
      <c r="AL22" s="1121"/>
      <c r="AM22" s="1121">
        <v>22</v>
      </c>
      <c r="AN22" s="1120">
        <f>SUM(AK22:AM22)</f>
        <v>22</v>
      </c>
      <c r="AO22" s="1121"/>
      <c r="AP22" s="1121"/>
      <c r="AQ22" s="1121"/>
      <c r="AR22" s="1106"/>
      <c r="AS22" s="1121"/>
      <c r="AT22" s="1121"/>
      <c r="AU22" s="1121">
        <v>15</v>
      </c>
      <c r="AV22" s="1106">
        <f>SUM(AS22:AU22)</f>
        <v>15</v>
      </c>
      <c r="AW22" s="1121"/>
      <c r="AX22" s="1121"/>
      <c r="AY22" s="1121"/>
      <c r="AZ22" s="1106"/>
      <c r="BA22" s="1121"/>
      <c r="BB22" s="1121"/>
      <c r="BC22" s="1121"/>
      <c r="BD22" s="1106"/>
      <c r="BE22" s="1121">
        <v>15</v>
      </c>
      <c r="BF22" s="1121"/>
      <c r="BG22" s="1121"/>
      <c r="BH22" s="1106">
        <f>BE22+BF22+BG22</f>
        <v>15</v>
      </c>
      <c r="BI22" s="1121"/>
      <c r="BJ22" s="1121"/>
      <c r="BK22" s="1121"/>
      <c r="BL22" s="1106">
        <f t="shared" si="3"/>
        <v>0</v>
      </c>
      <c r="BM22" s="1121">
        <v>24</v>
      </c>
      <c r="BN22" s="1121"/>
      <c r="BO22" s="1121"/>
      <c r="BP22" s="1106">
        <f t="shared" si="4"/>
        <v>24</v>
      </c>
      <c r="BQ22" s="1121"/>
      <c r="BR22" s="1121"/>
      <c r="BS22" s="1121">
        <v>17</v>
      </c>
      <c r="BT22" s="1106">
        <f t="shared" si="5"/>
        <v>17</v>
      </c>
      <c r="BU22" s="1121"/>
      <c r="BV22" s="1121"/>
      <c r="BW22" s="1121"/>
      <c r="BX22" s="1106">
        <f t="shared" si="6"/>
        <v>0</v>
      </c>
      <c r="BY22" s="1121"/>
      <c r="BZ22" s="1121"/>
      <c r="CA22" s="1121">
        <v>21</v>
      </c>
      <c r="CB22" s="1106">
        <f t="shared" si="7"/>
        <v>21</v>
      </c>
    </row>
    <row r="23" spans="1:80" s="212" customFormat="1" ht="15" x14ac:dyDescent="0.25">
      <c r="A23" s="6251"/>
      <c r="B23" s="6201"/>
      <c r="C23" s="6245"/>
      <c r="D23" s="1103" t="s">
        <v>141</v>
      </c>
      <c r="E23" s="1122"/>
      <c r="F23" s="1119"/>
      <c r="G23" s="1119">
        <v>16</v>
      </c>
      <c r="H23" s="1120">
        <v>16</v>
      </c>
      <c r="I23" s="1122"/>
      <c r="J23" s="1119"/>
      <c r="K23" s="1119"/>
      <c r="L23" s="1120"/>
      <c r="M23" s="1122"/>
      <c r="N23" s="1119"/>
      <c r="O23" s="1119"/>
      <c r="P23" s="1120"/>
      <c r="Q23" s="1122">
        <v>16</v>
      </c>
      <c r="R23" s="1119"/>
      <c r="S23" s="1119">
        <v>0</v>
      </c>
      <c r="T23" s="1120">
        <v>16</v>
      </c>
      <c r="U23" s="1122"/>
      <c r="V23" s="1119"/>
      <c r="W23" s="1119"/>
      <c r="X23" s="1120"/>
      <c r="Y23" s="1121">
        <v>9</v>
      </c>
      <c r="Z23" s="1121"/>
      <c r="AA23" s="1121"/>
      <c r="AB23" s="1120">
        <f>SUM(Y23:AA23)</f>
        <v>9</v>
      </c>
      <c r="AC23" s="1121">
        <v>8</v>
      </c>
      <c r="AD23" s="1121"/>
      <c r="AE23" s="1121"/>
      <c r="AF23" s="1120">
        <f>SUM(AC23:AE23)</f>
        <v>8</v>
      </c>
      <c r="AG23" s="1121"/>
      <c r="AH23" s="1121"/>
      <c r="AI23" s="1121"/>
      <c r="AJ23" s="1120"/>
      <c r="AK23" s="1121">
        <v>15</v>
      </c>
      <c r="AL23" s="1121"/>
      <c r="AM23" s="1121"/>
      <c r="AN23" s="1120">
        <f>SUM(AK23:AM23)</f>
        <v>15</v>
      </c>
      <c r="AO23" s="1121">
        <v>9</v>
      </c>
      <c r="AP23" s="1121"/>
      <c r="AQ23" s="1121"/>
      <c r="AR23" s="1106">
        <f>SUM(AO23:AQ23)</f>
        <v>9</v>
      </c>
      <c r="AS23" s="1121"/>
      <c r="AT23" s="1121"/>
      <c r="AU23" s="1121">
        <v>18</v>
      </c>
      <c r="AV23" s="1106">
        <f>SUM(AS23:AU23)</f>
        <v>18</v>
      </c>
      <c r="AW23" s="1121"/>
      <c r="AX23" s="1121"/>
      <c r="AY23" s="1121">
        <v>8</v>
      </c>
      <c r="AZ23" s="1106">
        <f>AW23+AX23+AY23</f>
        <v>8</v>
      </c>
      <c r="BA23" s="1121"/>
      <c r="BB23" s="1121"/>
      <c r="BC23" s="1121">
        <v>13</v>
      </c>
      <c r="BD23" s="1106">
        <f>BA23+BB23+BC23</f>
        <v>13</v>
      </c>
      <c r="BE23" s="1121"/>
      <c r="BF23" s="1121"/>
      <c r="BG23" s="1121">
        <v>12</v>
      </c>
      <c r="BH23" s="1106">
        <f>BE23+BF23+BG23</f>
        <v>12</v>
      </c>
      <c r="BI23" s="1121"/>
      <c r="BJ23" s="1121"/>
      <c r="BK23" s="1121">
        <v>18</v>
      </c>
      <c r="BL23" s="1106">
        <f t="shared" si="3"/>
        <v>18</v>
      </c>
      <c r="BM23" s="1121"/>
      <c r="BN23" s="1121"/>
      <c r="BO23" s="1121">
        <v>10</v>
      </c>
      <c r="BP23" s="1106">
        <f t="shared" si="4"/>
        <v>10</v>
      </c>
      <c r="BQ23" s="1121"/>
      <c r="BR23" s="1121"/>
      <c r="BS23" s="1121"/>
      <c r="BT23" s="1106">
        <f t="shared" si="5"/>
        <v>0</v>
      </c>
      <c r="BU23" s="1121"/>
      <c r="BV23" s="1121"/>
      <c r="BW23" s="1121">
        <v>13</v>
      </c>
      <c r="BX23" s="1106">
        <f t="shared" si="6"/>
        <v>13</v>
      </c>
      <c r="BY23" s="1121"/>
      <c r="BZ23" s="1121"/>
      <c r="CA23" s="1121">
        <v>11</v>
      </c>
      <c r="CB23" s="1106">
        <f t="shared" si="7"/>
        <v>11</v>
      </c>
    </row>
    <row r="24" spans="1:80" s="212" customFormat="1" ht="15" x14ac:dyDescent="0.25">
      <c r="A24" s="6251"/>
      <c r="B24" s="6201"/>
      <c r="C24" s="6245"/>
      <c r="D24" s="1123" t="s">
        <v>411</v>
      </c>
      <c r="E24" s="1124"/>
      <c r="F24" s="1125"/>
      <c r="G24" s="1125"/>
      <c r="H24" s="1126"/>
      <c r="I24" s="1124"/>
      <c r="J24" s="1125"/>
      <c r="K24" s="1125"/>
      <c r="L24" s="1126"/>
      <c r="M24" s="1124"/>
      <c r="N24" s="1125"/>
      <c r="O24" s="1125"/>
      <c r="P24" s="1126"/>
      <c r="Q24" s="1124"/>
      <c r="R24" s="1125"/>
      <c r="S24" s="1125"/>
      <c r="T24" s="1126"/>
      <c r="U24" s="1124"/>
      <c r="V24" s="1125"/>
      <c r="W24" s="1125"/>
      <c r="X24" s="1126"/>
      <c r="Y24" s="1127"/>
      <c r="Z24" s="1127"/>
      <c r="AA24" s="1127"/>
      <c r="AB24" s="1126"/>
      <c r="AC24" s="1127"/>
      <c r="AD24" s="1127"/>
      <c r="AE24" s="1127"/>
      <c r="AF24" s="1126"/>
      <c r="AG24" s="1127"/>
      <c r="AH24" s="1127"/>
      <c r="AI24" s="1127"/>
      <c r="AJ24" s="1126"/>
      <c r="AK24" s="1127"/>
      <c r="AL24" s="1127"/>
      <c r="AM24" s="1127"/>
      <c r="AN24" s="1126"/>
      <c r="AO24" s="1127"/>
      <c r="AP24" s="1127"/>
      <c r="AQ24" s="1127"/>
      <c r="AR24" s="1128"/>
      <c r="AS24" s="1127"/>
      <c r="AT24" s="1127"/>
      <c r="AU24" s="1127"/>
      <c r="AV24" s="1128"/>
      <c r="AW24" s="1127"/>
      <c r="AX24" s="1127"/>
      <c r="AY24" s="1127"/>
      <c r="AZ24" s="1106"/>
      <c r="BA24" s="1127"/>
      <c r="BB24" s="1127"/>
      <c r="BC24" s="1127"/>
      <c r="BD24" s="1106"/>
      <c r="BE24" s="1127"/>
      <c r="BF24" s="1127"/>
      <c r="BG24" s="1127">
        <v>8</v>
      </c>
      <c r="BH24" s="1106">
        <f>BE24+BF24+BG24</f>
        <v>8</v>
      </c>
      <c r="BI24" s="1127"/>
      <c r="BJ24" s="1127"/>
      <c r="BK24" s="1127"/>
      <c r="BL24" s="1106">
        <f t="shared" si="3"/>
        <v>0</v>
      </c>
      <c r="BM24" s="1127"/>
      <c r="BN24" s="1127"/>
      <c r="BO24" s="1127">
        <v>17</v>
      </c>
      <c r="BP24" s="1106">
        <f t="shared" si="4"/>
        <v>17</v>
      </c>
      <c r="BQ24" s="1127"/>
      <c r="BR24" s="1127"/>
      <c r="BS24" s="1127"/>
      <c r="BT24" s="1106">
        <f t="shared" si="5"/>
        <v>0</v>
      </c>
      <c r="BU24" s="1127"/>
      <c r="BV24" s="1127"/>
      <c r="BW24" s="1127">
        <v>14</v>
      </c>
      <c r="BX24" s="1106">
        <f t="shared" si="6"/>
        <v>14</v>
      </c>
      <c r="BY24" s="1127"/>
      <c r="BZ24" s="1127"/>
      <c r="CA24" s="1127"/>
      <c r="CB24" s="1106">
        <f t="shared" si="7"/>
        <v>0</v>
      </c>
    </row>
    <row r="25" spans="1:80" s="212" customFormat="1" ht="15" x14ac:dyDescent="0.2">
      <c r="A25" s="6251"/>
      <c r="B25" s="6201"/>
      <c r="C25" s="6245"/>
      <c r="D25" s="1146" t="s">
        <v>140</v>
      </c>
      <c r="E25" s="1104"/>
      <c r="F25" s="1105"/>
      <c r="G25" s="1105"/>
      <c r="H25" s="1106"/>
      <c r="I25" s="1104">
        <v>20</v>
      </c>
      <c r="J25" s="1105"/>
      <c r="K25" s="1105"/>
      <c r="L25" s="1106">
        <v>20</v>
      </c>
      <c r="M25" s="1104"/>
      <c r="N25" s="1105"/>
      <c r="O25" s="1105">
        <v>22</v>
      </c>
      <c r="P25" s="1106">
        <v>22</v>
      </c>
      <c r="Q25" s="1104"/>
      <c r="R25" s="1105"/>
      <c r="S25" s="1105"/>
      <c r="T25" s="1106"/>
      <c r="U25" s="1104"/>
      <c r="V25" s="1105"/>
      <c r="W25" s="1105"/>
      <c r="X25" s="1106"/>
      <c r="Y25" s="1105">
        <v>11</v>
      </c>
      <c r="Z25" s="1105"/>
      <c r="AA25" s="1105"/>
      <c r="AB25" s="1106">
        <f>SUM(Y25:AA25)</f>
        <v>11</v>
      </c>
      <c r="AC25" s="1105"/>
      <c r="AD25" s="1105"/>
      <c r="AE25" s="1105"/>
      <c r="AF25" s="1106"/>
      <c r="AG25" s="1105">
        <v>15</v>
      </c>
      <c r="AH25" s="1105"/>
      <c r="AI25" s="1105"/>
      <c r="AJ25" s="1106">
        <f>SUM(AG25:AI25)</f>
        <v>15</v>
      </c>
      <c r="AK25" s="1105"/>
      <c r="AL25" s="1105"/>
      <c r="AM25" s="1105"/>
      <c r="AN25" s="1106"/>
      <c r="AO25" s="1105">
        <v>18</v>
      </c>
      <c r="AP25" s="1105"/>
      <c r="AQ25" s="1105"/>
      <c r="AR25" s="1106">
        <f>SUM(AO25:AQ25)</f>
        <v>18</v>
      </c>
      <c r="AS25" s="1105"/>
      <c r="AT25" s="1105"/>
      <c r="AU25" s="1105">
        <v>18</v>
      </c>
      <c r="AV25" s="1106">
        <f>SUM(AS25:AU25)</f>
        <v>18</v>
      </c>
      <c r="AW25" s="1105"/>
      <c r="AX25" s="1105"/>
      <c r="AY25" s="1105"/>
      <c r="AZ25" s="1106"/>
      <c r="BA25" s="1105"/>
      <c r="BB25" s="1105"/>
      <c r="BC25" s="1105">
        <v>25</v>
      </c>
      <c r="BD25" s="1106">
        <f>BA25+BB25+BC25</f>
        <v>25</v>
      </c>
      <c r="BE25" s="1105"/>
      <c r="BF25" s="1105"/>
      <c r="BG25" s="1105"/>
      <c r="BH25" s="1106"/>
      <c r="BI25" s="1105"/>
      <c r="BJ25" s="1105"/>
      <c r="BK25" s="1105">
        <v>25</v>
      </c>
      <c r="BL25" s="1106">
        <f t="shared" si="3"/>
        <v>25</v>
      </c>
      <c r="BM25" s="1105"/>
      <c r="BN25" s="1105"/>
      <c r="BO25" s="1105"/>
      <c r="BP25" s="1106">
        <f t="shared" si="4"/>
        <v>0</v>
      </c>
      <c r="BQ25" s="1105"/>
      <c r="BR25" s="1105"/>
      <c r="BS25" s="1105">
        <v>11</v>
      </c>
      <c r="BT25" s="1106">
        <f t="shared" si="5"/>
        <v>11</v>
      </c>
      <c r="BU25" s="1105"/>
      <c r="BV25" s="1105"/>
      <c r="BW25" s="1105"/>
      <c r="BX25" s="1106">
        <f t="shared" si="6"/>
        <v>0</v>
      </c>
      <c r="BY25" s="1105"/>
      <c r="BZ25" s="1105"/>
      <c r="CA25" s="1105">
        <v>12</v>
      </c>
      <c r="CB25" s="1106">
        <f t="shared" si="7"/>
        <v>12</v>
      </c>
    </row>
    <row r="26" spans="1:80" s="212" customFormat="1" ht="15" x14ac:dyDescent="0.2">
      <c r="A26" s="6251"/>
      <c r="B26" s="6201"/>
      <c r="C26" s="6245"/>
      <c r="D26" s="1146" t="s">
        <v>1594</v>
      </c>
      <c r="E26" s="1104"/>
      <c r="F26" s="1105"/>
      <c r="G26" s="1105"/>
      <c r="H26" s="1106"/>
      <c r="I26" s="1104"/>
      <c r="J26" s="1105"/>
      <c r="K26" s="1105"/>
      <c r="L26" s="1106"/>
      <c r="M26" s="1104"/>
      <c r="N26" s="1105"/>
      <c r="O26" s="1105"/>
      <c r="P26" s="1106"/>
      <c r="Q26" s="1104"/>
      <c r="R26" s="1105"/>
      <c r="S26" s="1105"/>
      <c r="T26" s="1106"/>
      <c r="U26" s="1104"/>
      <c r="V26" s="1105"/>
      <c r="W26" s="1105"/>
      <c r="X26" s="1106"/>
      <c r="Y26" s="1105"/>
      <c r="Z26" s="1105"/>
      <c r="AA26" s="1105"/>
      <c r="AB26" s="1106"/>
      <c r="AC26" s="1105"/>
      <c r="AD26" s="1105"/>
      <c r="AE26" s="1105"/>
      <c r="AF26" s="1106"/>
      <c r="AG26" s="1105"/>
      <c r="AH26" s="1105"/>
      <c r="AI26" s="1105"/>
      <c r="AJ26" s="1106"/>
      <c r="AK26" s="1105"/>
      <c r="AL26" s="1105"/>
      <c r="AM26" s="1105"/>
      <c r="AN26" s="1106"/>
      <c r="AO26" s="1105"/>
      <c r="AP26" s="1105"/>
      <c r="AQ26" s="1105"/>
      <c r="AR26" s="1106"/>
      <c r="AS26" s="1105"/>
      <c r="AT26" s="1105"/>
      <c r="AU26" s="1105"/>
      <c r="AV26" s="1106"/>
      <c r="AW26" s="1105"/>
      <c r="AX26" s="1105"/>
      <c r="AY26" s="1105"/>
      <c r="AZ26" s="1106"/>
      <c r="BA26" s="1105"/>
      <c r="BB26" s="1105"/>
      <c r="BC26" s="1105"/>
      <c r="BD26" s="1106"/>
      <c r="BE26" s="1105"/>
      <c r="BF26" s="1105"/>
      <c r="BG26" s="1105"/>
      <c r="BH26" s="1106"/>
      <c r="BI26" s="1105"/>
      <c r="BJ26" s="1105"/>
      <c r="BK26" s="1105"/>
      <c r="BL26" s="1106"/>
      <c r="BM26" s="1105"/>
      <c r="BN26" s="1105"/>
      <c r="BO26" s="1105"/>
      <c r="BP26" s="1106"/>
      <c r="BQ26" s="1105"/>
      <c r="BR26" s="1105"/>
      <c r="BS26" s="1105"/>
      <c r="BT26" s="1106"/>
      <c r="BU26" s="1105"/>
      <c r="BV26" s="1105"/>
      <c r="BW26" s="1105"/>
      <c r="BX26" s="1106"/>
      <c r="BY26" s="1105">
        <v>52</v>
      </c>
      <c r="BZ26" s="1105"/>
      <c r="CA26" s="1105"/>
      <c r="CB26" s="1106">
        <f t="shared" si="7"/>
        <v>52</v>
      </c>
    </row>
    <row r="27" spans="1:80" s="212" customFormat="1" ht="15" x14ac:dyDescent="0.2">
      <c r="A27" s="6251"/>
      <c r="B27" s="6201"/>
      <c r="C27" s="6246"/>
      <c r="D27" s="1146" t="s">
        <v>1580</v>
      </c>
      <c r="E27" s="1104"/>
      <c r="F27" s="1105"/>
      <c r="G27" s="1105"/>
      <c r="H27" s="1106"/>
      <c r="I27" s="1104"/>
      <c r="J27" s="1105"/>
      <c r="K27" s="1105"/>
      <c r="L27" s="1106"/>
      <c r="M27" s="1104"/>
      <c r="N27" s="1105"/>
      <c r="O27" s="1105"/>
      <c r="P27" s="1106"/>
      <c r="Q27" s="1104"/>
      <c r="R27" s="1105"/>
      <c r="S27" s="1105"/>
      <c r="T27" s="1106"/>
      <c r="U27" s="1104"/>
      <c r="V27" s="1105"/>
      <c r="W27" s="1105"/>
      <c r="X27" s="1106"/>
      <c r="Y27" s="1105"/>
      <c r="Z27" s="1105"/>
      <c r="AA27" s="1105"/>
      <c r="AB27" s="1106"/>
      <c r="AC27" s="1105"/>
      <c r="AD27" s="1105"/>
      <c r="AE27" s="1105"/>
      <c r="AF27" s="1106"/>
      <c r="AG27" s="1105"/>
      <c r="AH27" s="1105"/>
      <c r="AI27" s="1105"/>
      <c r="AJ27" s="1106"/>
      <c r="AK27" s="1105"/>
      <c r="AL27" s="1105"/>
      <c r="AM27" s="1105"/>
      <c r="AN27" s="1106"/>
      <c r="AO27" s="1105"/>
      <c r="AP27" s="1105"/>
      <c r="AQ27" s="1105"/>
      <c r="AR27" s="1106"/>
      <c r="AS27" s="1105"/>
      <c r="AT27" s="1105"/>
      <c r="AU27" s="1105"/>
      <c r="AV27" s="1106"/>
      <c r="AW27" s="1105"/>
      <c r="AX27" s="1105"/>
      <c r="AY27" s="1105"/>
      <c r="AZ27" s="1106"/>
      <c r="BA27" s="1105"/>
      <c r="BB27" s="1105"/>
      <c r="BC27" s="1105"/>
      <c r="BD27" s="1106"/>
      <c r="BE27" s="1105"/>
      <c r="BF27" s="1105"/>
      <c r="BG27" s="1105"/>
      <c r="BH27" s="1106"/>
      <c r="BI27" s="1105"/>
      <c r="BJ27" s="1105"/>
      <c r="BK27" s="1105"/>
      <c r="BL27" s="1106"/>
      <c r="BM27" s="1105"/>
      <c r="BN27" s="1105"/>
      <c r="BO27" s="1105"/>
      <c r="BP27" s="1106"/>
      <c r="BQ27" s="1105"/>
      <c r="BR27" s="1105"/>
      <c r="BS27" s="1105"/>
      <c r="BT27" s="1106"/>
      <c r="BU27" s="1105"/>
      <c r="BV27" s="1105"/>
      <c r="BW27" s="1105"/>
      <c r="BX27" s="1106"/>
      <c r="BY27" s="1105">
        <v>13</v>
      </c>
      <c r="BZ27" s="1105"/>
      <c r="CA27" s="1105"/>
      <c r="CB27" s="1106">
        <f t="shared" si="7"/>
        <v>13</v>
      </c>
    </row>
    <row r="28" spans="1:80" s="212" customFormat="1" ht="15" x14ac:dyDescent="0.25">
      <c r="A28" s="6251"/>
      <c r="B28" s="6201"/>
      <c r="C28" s="6270" t="s">
        <v>520</v>
      </c>
      <c r="D28" s="1103" t="s">
        <v>1628</v>
      </c>
      <c r="E28" s="1104"/>
      <c r="F28" s="1119"/>
      <c r="G28" s="1119"/>
      <c r="H28" s="1120"/>
      <c r="I28" s="1104"/>
      <c r="J28" s="1119"/>
      <c r="K28" s="1119"/>
      <c r="L28" s="1120"/>
      <c r="M28" s="1104"/>
      <c r="N28" s="1119"/>
      <c r="O28" s="1119"/>
      <c r="P28" s="1120"/>
      <c r="Q28" s="1104"/>
      <c r="R28" s="1119"/>
      <c r="S28" s="1119"/>
      <c r="T28" s="1120"/>
      <c r="U28" s="1104"/>
      <c r="V28" s="1119"/>
      <c r="W28" s="1119"/>
      <c r="X28" s="1120"/>
      <c r="Y28" s="1121"/>
      <c r="Z28" s="1121"/>
      <c r="AA28" s="1121"/>
      <c r="AB28" s="1120"/>
      <c r="AC28" s="1121"/>
      <c r="AD28" s="1121"/>
      <c r="AE28" s="1121"/>
      <c r="AF28" s="1120"/>
      <c r="AG28" s="1121"/>
      <c r="AH28" s="1121"/>
      <c r="AI28" s="1121"/>
      <c r="AJ28" s="1120"/>
      <c r="AK28" s="1121"/>
      <c r="AL28" s="1121"/>
      <c r="AM28" s="1121">
        <v>16</v>
      </c>
      <c r="AN28" s="1120">
        <f>SUM(AK28:AM28)</f>
        <v>16</v>
      </c>
      <c r="AO28" s="1121"/>
      <c r="AP28" s="1121"/>
      <c r="AQ28" s="1121"/>
      <c r="AR28" s="1106"/>
      <c r="AS28" s="1121"/>
      <c r="AT28" s="1121"/>
      <c r="AU28" s="1121">
        <v>6</v>
      </c>
      <c r="AV28" s="1106">
        <f>SUM(AS28:AU28)</f>
        <v>6</v>
      </c>
      <c r="AW28" s="1121"/>
      <c r="AX28" s="1121">
        <v>16</v>
      </c>
      <c r="AY28" s="1121"/>
      <c r="AZ28" s="1106">
        <f>AW28+AX28+AY28</f>
        <v>16</v>
      </c>
      <c r="BA28" s="1121"/>
      <c r="BB28" s="1121"/>
      <c r="BC28" s="1121">
        <v>11</v>
      </c>
      <c r="BD28" s="1106">
        <f>BA28+BB28+BC28</f>
        <v>11</v>
      </c>
      <c r="BE28" s="1121"/>
      <c r="BF28" s="1121"/>
      <c r="BG28" s="1121"/>
      <c r="BH28" s="1106"/>
      <c r="BI28" s="1121"/>
      <c r="BJ28" s="1121"/>
      <c r="BK28" s="1121">
        <v>9</v>
      </c>
      <c r="BL28" s="1106">
        <f t="shared" si="3"/>
        <v>9</v>
      </c>
      <c r="BM28" s="1121"/>
      <c r="BN28" s="1121"/>
      <c r="BO28" s="1121"/>
      <c r="BP28" s="1106">
        <f t="shared" si="4"/>
        <v>0</v>
      </c>
      <c r="BQ28" s="1121"/>
      <c r="BR28" s="1121"/>
      <c r="BS28" s="1121">
        <v>5</v>
      </c>
      <c r="BT28" s="1106">
        <f t="shared" si="5"/>
        <v>5</v>
      </c>
      <c r="BU28" s="1121"/>
      <c r="BV28" s="1121"/>
      <c r="BW28" s="1121"/>
      <c r="BX28" s="1106">
        <f t="shared" si="6"/>
        <v>0</v>
      </c>
      <c r="BY28" s="1121"/>
      <c r="BZ28" s="1121"/>
      <c r="CA28" s="1121">
        <v>4</v>
      </c>
      <c r="CB28" s="1106">
        <f t="shared" si="7"/>
        <v>4</v>
      </c>
    </row>
    <row r="29" spans="1:80" s="212" customFormat="1" ht="15" x14ac:dyDescent="0.25">
      <c r="A29" s="6251"/>
      <c r="B29" s="6201"/>
      <c r="C29" s="6245"/>
      <c r="D29" s="1107" t="s">
        <v>143</v>
      </c>
      <c r="E29" s="1122"/>
      <c r="F29" s="1119"/>
      <c r="G29" s="1119"/>
      <c r="H29" s="1120"/>
      <c r="I29" s="1122">
        <v>2</v>
      </c>
      <c r="J29" s="1119"/>
      <c r="K29" s="1119"/>
      <c r="L29" s="1120">
        <v>2</v>
      </c>
      <c r="M29" s="1122"/>
      <c r="N29" s="1119"/>
      <c r="O29" s="1119"/>
      <c r="P29" s="1120"/>
      <c r="Q29" s="1122"/>
      <c r="R29" s="1119"/>
      <c r="S29" s="1119"/>
      <c r="T29" s="1120"/>
      <c r="U29" s="1122">
        <v>1</v>
      </c>
      <c r="V29" s="1119"/>
      <c r="W29" s="1119"/>
      <c r="X29" s="1120">
        <f>SUM(U29:W29)</f>
        <v>1</v>
      </c>
      <c r="Y29" s="1121">
        <v>3</v>
      </c>
      <c r="Z29" s="1121"/>
      <c r="AA29" s="1121"/>
      <c r="AB29" s="1120">
        <f>SUM(Y29:AA29)</f>
        <v>3</v>
      </c>
      <c r="AC29" s="1121"/>
      <c r="AD29" s="1121"/>
      <c r="AE29" s="1121"/>
      <c r="AF29" s="1120"/>
      <c r="AG29" s="1121">
        <v>1</v>
      </c>
      <c r="AH29" s="1121"/>
      <c r="AI29" s="1121"/>
      <c r="AJ29" s="1120">
        <f>SUM(AG29:AI29)</f>
        <v>1</v>
      </c>
      <c r="AK29" s="1121"/>
      <c r="AL29" s="1121"/>
      <c r="AM29" s="1121"/>
      <c r="AN29" s="1120"/>
      <c r="AO29" s="1121"/>
      <c r="AP29" s="1121"/>
      <c r="AQ29" s="1121"/>
      <c r="AR29" s="1106"/>
      <c r="AS29" s="1121"/>
      <c r="AT29" s="1121"/>
      <c r="AU29" s="1121"/>
      <c r="AV29" s="1106"/>
      <c r="AW29" s="1121"/>
      <c r="AX29" s="1121"/>
      <c r="AY29" s="1121"/>
      <c r="AZ29" s="1106"/>
      <c r="BA29" s="1121"/>
      <c r="BB29" s="1121"/>
      <c r="BC29" s="1121"/>
      <c r="BD29" s="1106"/>
      <c r="BE29" s="1121"/>
      <c r="BF29" s="1121"/>
      <c r="BG29" s="1121"/>
      <c r="BH29" s="1106"/>
      <c r="BI29" s="1121"/>
      <c r="BJ29" s="1121"/>
      <c r="BK29" s="1121"/>
      <c r="BL29" s="1106">
        <f t="shared" si="3"/>
        <v>0</v>
      </c>
      <c r="BM29" s="1121"/>
      <c r="BN29" s="1121"/>
      <c r="BO29" s="1121"/>
      <c r="BP29" s="1106">
        <f t="shared" si="4"/>
        <v>0</v>
      </c>
      <c r="BQ29" s="1121"/>
      <c r="BR29" s="1121"/>
      <c r="BS29" s="1121"/>
      <c r="BT29" s="1106">
        <f t="shared" si="5"/>
        <v>0</v>
      </c>
      <c r="BU29" s="1121"/>
      <c r="BV29" s="1121"/>
      <c r="BW29" s="1121"/>
      <c r="BX29" s="1106">
        <f t="shared" si="6"/>
        <v>0</v>
      </c>
      <c r="BY29" s="1121"/>
      <c r="BZ29" s="1121"/>
      <c r="CA29" s="1121"/>
      <c r="CB29" s="1106">
        <f t="shared" si="7"/>
        <v>0</v>
      </c>
    </row>
    <row r="30" spans="1:80" s="212" customFormat="1" ht="15" x14ac:dyDescent="0.25">
      <c r="A30" s="6251"/>
      <c r="B30" s="6201"/>
      <c r="C30" s="6245"/>
      <c r="D30" s="1103" t="s">
        <v>142</v>
      </c>
      <c r="E30" s="1122"/>
      <c r="F30" s="1119"/>
      <c r="G30" s="1119"/>
      <c r="H30" s="1120"/>
      <c r="I30" s="1122"/>
      <c r="J30" s="1119"/>
      <c r="K30" s="1119"/>
      <c r="L30" s="1120"/>
      <c r="M30" s="1122"/>
      <c r="N30" s="1119"/>
      <c r="O30" s="1119"/>
      <c r="P30" s="1120"/>
      <c r="Q30" s="1122"/>
      <c r="R30" s="1119"/>
      <c r="S30" s="1119"/>
      <c r="T30" s="1120"/>
      <c r="U30" s="1122"/>
      <c r="V30" s="1119"/>
      <c r="W30" s="1119"/>
      <c r="X30" s="1120"/>
      <c r="Y30" s="1121"/>
      <c r="Z30" s="1121"/>
      <c r="AA30" s="1121"/>
      <c r="AB30" s="1120"/>
      <c r="AC30" s="1121"/>
      <c r="AD30" s="1121"/>
      <c r="AE30" s="1121">
        <v>12</v>
      </c>
      <c r="AF30" s="1120">
        <f>SUM(AC30:AE30)</f>
        <v>12</v>
      </c>
      <c r="AG30" s="1121"/>
      <c r="AH30" s="1121"/>
      <c r="AI30" s="1121"/>
      <c r="AJ30" s="1120"/>
      <c r="AK30" s="1121"/>
      <c r="AL30" s="1121"/>
      <c r="AM30" s="1121">
        <v>13</v>
      </c>
      <c r="AN30" s="1120">
        <f>SUM(AK30:AM30)</f>
        <v>13</v>
      </c>
      <c r="AO30" s="1121"/>
      <c r="AP30" s="1121"/>
      <c r="AQ30" s="1121"/>
      <c r="AR30" s="1106"/>
      <c r="AS30" s="1121"/>
      <c r="AT30" s="1121"/>
      <c r="AU30" s="1121"/>
      <c r="AV30" s="1106"/>
      <c r="AW30" s="1121"/>
      <c r="AX30" s="1121"/>
      <c r="AY30" s="1121"/>
      <c r="AZ30" s="1106"/>
      <c r="BA30" s="1121"/>
      <c r="BB30" s="1121"/>
      <c r="BC30" s="1121"/>
      <c r="BD30" s="1106"/>
      <c r="BE30" s="1121"/>
      <c r="BF30" s="1121"/>
      <c r="BG30" s="1121">
        <v>11</v>
      </c>
      <c r="BH30" s="1106">
        <f>BE30+BF30+BG30</f>
        <v>11</v>
      </c>
      <c r="BI30" s="1121"/>
      <c r="BJ30" s="1121"/>
      <c r="BK30" s="1121"/>
      <c r="BL30" s="1106">
        <f>BI30+BJ30+BK30</f>
        <v>0</v>
      </c>
      <c r="BM30" s="1121"/>
      <c r="BN30" s="1121"/>
      <c r="BO30" s="1121">
        <v>11</v>
      </c>
      <c r="BP30" s="1106">
        <f>BM30+BN30+BO30</f>
        <v>11</v>
      </c>
      <c r="BQ30" s="1121"/>
      <c r="BR30" s="1121"/>
      <c r="BS30" s="1121"/>
      <c r="BT30" s="1106">
        <f>BQ30+BR30+BS30</f>
        <v>0</v>
      </c>
      <c r="BU30" s="1121"/>
      <c r="BV30" s="1121"/>
      <c r="BW30" s="1121">
        <v>28</v>
      </c>
      <c r="BX30" s="1106">
        <f>BU30+BV30+BW30</f>
        <v>28</v>
      </c>
      <c r="BY30" s="1121"/>
      <c r="BZ30" s="1121"/>
      <c r="CA30" s="1121"/>
      <c r="CB30" s="1106">
        <f t="shared" si="7"/>
        <v>0</v>
      </c>
    </row>
    <row r="31" spans="1:80" s="212" customFormat="1" ht="15" x14ac:dyDescent="0.25">
      <c r="A31" s="6251"/>
      <c r="B31" s="6201"/>
      <c r="C31" s="6246"/>
      <c r="D31" s="1123" t="s">
        <v>1580</v>
      </c>
      <c r="E31" s="1124"/>
      <c r="F31" s="1125"/>
      <c r="G31" s="1125"/>
      <c r="H31" s="1126"/>
      <c r="I31" s="1124"/>
      <c r="J31" s="1125"/>
      <c r="K31" s="1125"/>
      <c r="L31" s="1126"/>
      <c r="M31" s="1124"/>
      <c r="N31" s="1125"/>
      <c r="O31" s="1125"/>
      <c r="P31" s="1126"/>
      <c r="Q31" s="1124"/>
      <c r="R31" s="1125"/>
      <c r="S31" s="1125"/>
      <c r="T31" s="1126"/>
      <c r="U31" s="1124"/>
      <c r="V31" s="1125"/>
      <c r="W31" s="1125"/>
      <c r="X31" s="1126"/>
      <c r="Y31" s="1127"/>
      <c r="Z31" s="1127"/>
      <c r="AA31" s="1127"/>
      <c r="AB31" s="1126"/>
      <c r="AC31" s="1127"/>
      <c r="AD31" s="1127"/>
      <c r="AE31" s="1127"/>
      <c r="AF31" s="1126"/>
      <c r="AG31" s="1127"/>
      <c r="AH31" s="1127"/>
      <c r="AI31" s="1127"/>
      <c r="AJ31" s="1126"/>
      <c r="AK31" s="1127"/>
      <c r="AL31" s="1127"/>
      <c r="AM31" s="1127"/>
      <c r="AN31" s="1126"/>
      <c r="AO31" s="1127"/>
      <c r="AP31" s="1127"/>
      <c r="AQ31" s="1127"/>
      <c r="AR31" s="1128"/>
      <c r="AS31" s="1127"/>
      <c r="AT31" s="1127"/>
      <c r="AU31" s="1127"/>
      <c r="AV31" s="1128"/>
      <c r="AW31" s="1127"/>
      <c r="AX31" s="1127"/>
      <c r="AY31" s="1127"/>
      <c r="AZ31" s="1128"/>
      <c r="BA31" s="1127"/>
      <c r="BB31" s="1127"/>
      <c r="BC31" s="1127"/>
      <c r="BD31" s="1128"/>
      <c r="BE31" s="1127"/>
      <c r="BF31" s="1127"/>
      <c r="BG31" s="1127"/>
      <c r="BH31" s="1128"/>
      <c r="BI31" s="1127"/>
      <c r="BJ31" s="1127"/>
      <c r="BK31" s="1127"/>
      <c r="BL31" s="1128"/>
      <c r="BM31" s="1127"/>
      <c r="BN31" s="1127"/>
      <c r="BO31" s="1127"/>
      <c r="BP31" s="1128"/>
      <c r="BQ31" s="1127"/>
      <c r="BR31" s="1127"/>
      <c r="BS31" s="1127"/>
      <c r="BT31" s="1128"/>
      <c r="BU31" s="1127"/>
      <c r="BV31" s="1127"/>
      <c r="BW31" s="1127"/>
      <c r="BX31" s="1128"/>
      <c r="BY31" s="1127">
        <v>3</v>
      </c>
      <c r="BZ31" s="1127"/>
      <c r="CA31" s="1127"/>
      <c r="CB31" s="1106">
        <f t="shared" si="7"/>
        <v>3</v>
      </c>
    </row>
    <row r="32" spans="1:80" s="212" customFormat="1" ht="15" x14ac:dyDescent="0.25">
      <c r="A32" s="6251"/>
      <c r="B32" s="6202"/>
      <c r="C32" s="5161"/>
      <c r="D32" s="5160" t="s">
        <v>445</v>
      </c>
      <c r="E32" s="1110"/>
      <c r="F32" s="1111"/>
      <c r="G32" s="1111">
        <f>SUM(G16:G30)</f>
        <v>48</v>
      </c>
      <c r="H32" s="1112">
        <f>SUM(H16:H30)</f>
        <v>48</v>
      </c>
      <c r="I32" s="1110">
        <f>SUM(I16:I30)</f>
        <v>22</v>
      </c>
      <c r="J32" s="1111"/>
      <c r="K32" s="1111">
        <f>SUM(K16:K30)</f>
        <v>41</v>
      </c>
      <c r="L32" s="1112">
        <f>SUM(L16:L30)</f>
        <v>63</v>
      </c>
      <c r="M32" s="1110"/>
      <c r="N32" s="1111"/>
      <c r="O32" s="1111">
        <f>SUM(O16:O30)</f>
        <v>42</v>
      </c>
      <c r="P32" s="1112">
        <f>SUM(P16:P30)</f>
        <v>42</v>
      </c>
      <c r="Q32" s="1110">
        <f>SUM(Q16:Q30)</f>
        <v>16</v>
      </c>
      <c r="R32" s="1111"/>
      <c r="S32" s="1111">
        <f>SUM(S16:S30)</f>
        <v>37</v>
      </c>
      <c r="T32" s="1112">
        <f>SUM(T16:T30)</f>
        <v>53</v>
      </c>
      <c r="U32" s="1110">
        <f>SUM(U16:U30)</f>
        <v>1</v>
      </c>
      <c r="V32" s="1111"/>
      <c r="W32" s="1111">
        <f>SUM(W16:W30)</f>
        <v>27</v>
      </c>
      <c r="X32" s="1112">
        <f>SUM(X16:X30)</f>
        <v>28</v>
      </c>
      <c r="Y32" s="1111">
        <f>SUM(Y16:Y30)</f>
        <v>23</v>
      </c>
      <c r="Z32" s="1111"/>
      <c r="AA32" s="1111">
        <f>SUM(AA16:AA30)</f>
        <v>62</v>
      </c>
      <c r="AB32" s="1112">
        <f>SUM(AB16:AB30)</f>
        <v>85</v>
      </c>
      <c r="AC32" s="1111">
        <f>SUM(AC16:AC30)</f>
        <v>8</v>
      </c>
      <c r="AD32" s="1111"/>
      <c r="AE32" s="1111">
        <f>SUM(AE16:AE30)</f>
        <v>64</v>
      </c>
      <c r="AF32" s="1112">
        <f>SUM(AF16:AF30)</f>
        <v>72</v>
      </c>
      <c r="AG32" s="1111">
        <f>SUM(AG16:AG30)</f>
        <v>18</v>
      </c>
      <c r="AH32" s="1111"/>
      <c r="AI32" s="1111">
        <f>SUM(AI16:AI30)</f>
        <v>33</v>
      </c>
      <c r="AJ32" s="1112">
        <f>SUM(AJ16:AJ30)</f>
        <v>51</v>
      </c>
      <c r="AK32" s="1111">
        <f>SUM(AK16:AK30)</f>
        <v>15</v>
      </c>
      <c r="AL32" s="1111"/>
      <c r="AM32" s="1111">
        <f>SUM(AM16:AM30)</f>
        <v>100</v>
      </c>
      <c r="AN32" s="1112">
        <f>SUM(AN16:AN30)</f>
        <v>115</v>
      </c>
      <c r="AO32" s="1111">
        <f>SUM(AO16:AO30)</f>
        <v>27</v>
      </c>
      <c r="AP32" s="1111"/>
      <c r="AQ32" s="1111">
        <f>SUM(AQ16:AQ30)</f>
        <v>28</v>
      </c>
      <c r="AR32" s="1112">
        <f>SUM(AR16:AR30)</f>
        <v>55</v>
      </c>
      <c r="AS32" s="1111"/>
      <c r="AT32" s="1111"/>
      <c r="AU32" s="1111">
        <f>SUM(AU16:AU30)</f>
        <v>89</v>
      </c>
      <c r="AV32" s="1112">
        <f>SUM(AV16:AV30)</f>
        <v>89</v>
      </c>
      <c r="AW32" s="1111"/>
      <c r="AX32" s="1111">
        <f>SUM(AX16:AX30)</f>
        <v>16</v>
      </c>
      <c r="AY32" s="1111">
        <f>SUM(AY16:AY30)</f>
        <v>34</v>
      </c>
      <c r="AZ32" s="1112">
        <f>SUM(AZ16:AZ30)</f>
        <v>50</v>
      </c>
      <c r="BA32" s="1111"/>
      <c r="BB32" s="1111"/>
      <c r="BC32" s="1111">
        <f t="shared" ref="BC32:BH32" si="8">SUM(BC16:BC30)</f>
        <v>85</v>
      </c>
      <c r="BD32" s="1112">
        <f t="shared" si="8"/>
        <v>85</v>
      </c>
      <c r="BE32" s="1111">
        <f t="shared" si="8"/>
        <v>15</v>
      </c>
      <c r="BF32" s="1111">
        <f t="shared" si="8"/>
        <v>1</v>
      </c>
      <c r="BG32" s="1111">
        <f t="shared" si="8"/>
        <v>47</v>
      </c>
      <c r="BH32" s="1112">
        <f t="shared" si="8"/>
        <v>63</v>
      </c>
      <c r="BI32" s="1111"/>
      <c r="BJ32" s="1111"/>
      <c r="BK32" s="1111">
        <f t="shared" ref="BK32:BP32" si="9">SUM(BK16:BK30)</f>
        <v>93</v>
      </c>
      <c r="BL32" s="1112">
        <f t="shared" si="9"/>
        <v>93</v>
      </c>
      <c r="BM32" s="1111">
        <f t="shared" si="9"/>
        <v>24</v>
      </c>
      <c r="BN32" s="1111">
        <f t="shared" si="9"/>
        <v>0</v>
      </c>
      <c r="BO32" s="1111">
        <f t="shared" si="9"/>
        <v>56</v>
      </c>
      <c r="BP32" s="1112">
        <f t="shared" si="9"/>
        <v>80</v>
      </c>
      <c r="BQ32" s="1111">
        <f t="shared" ref="BQ32:BX32" si="10">SUM(BQ16:BQ30)</f>
        <v>0</v>
      </c>
      <c r="BR32" s="1111">
        <f t="shared" si="10"/>
        <v>0</v>
      </c>
      <c r="BS32" s="1111">
        <f t="shared" si="10"/>
        <v>69</v>
      </c>
      <c r="BT32" s="1112">
        <f t="shared" si="10"/>
        <v>69</v>
      </c>
      <c r="BU32" s="1111">
        <f t="shared" si="10"/>
        <v>0</v>
      </c>
      <c r="BV32" s="1111">
        <f t="shared" si="10"/>
        <v>0</v>
      </c>
      <c r="BW32" s="1111">
        <f t="shared" si="10"/>
        <v>75</v>
      </c>
      <c r="BX32" s="1112">
        <f t="shared" si="10"/>
        <v>75</v>
      </c>
      <c r="BY32" s="1110">
        <f>SUM(BY16:BY31)</f>
        <v>68</v>
      </c>
      <c r="BZ32" s="1111">
        <f>SUM(BZ16:BZ31)</f>
        <v>0</v>
      </c>
      <c r="CA32" s="1111">
        <f>SUM(CA16:CA31)</f>
        <v>75</v>
      </c>
      <c r="CB32" s="1112">
        <f>SUM(CB16:CB31)</f>
        <v>143</v>
      </c>
    </row>
    <row r="33" spans="1:80" s="212" customFormat="1" ht="15" x14ac:dyDescent="0.25">
      <c r="A33" s="6251"/>
      <c r="B33" s="6201"/>
      <c r="C33" s="6245"/>
      <c r="D33" s="5250" t="s">
        <v>400</v>
      </c>
      <c r="E33" s="1104">
        <v>38</v>
      </c>
      <c r="F33" s="1119"/>
      <c r="G33" s="1119">
        <v>17</v>
      </c>
      <c r="H33" s="1120">
        <v>55</v>
      </c>
      <c r="I33" s="1104">
        <v>21</v>
      </c>
      <c r="J33" s="1119"/>
      <c r="K33" s="1119">
        <v>30</v>
      </c>
      <c r="L33" s="1120">
        <v>51</v>
      </c>
      <c r="M33" s="1104"/>
      <c r="N33" s="1119"/>
      <c r="O33" s="1119">
        <v>46</v>
      </c>
      <c r="P33" s="1120">
        <v>46</v>
      </c>
      <c r="Q33" s="1104"/>
      <c r="R33" s="1119"/>
      <c r="S33" s="1119">
        <v>40</v>
      </c>
      <c r="T33" s="1120">
        <v>40</v>
      </c>
      <c r="U33" s="1104"/>
      <c r="V33" s="1119"/>
      <c r="W33" s="1119">
        <v>10</v>
      </c>
      <c r="X33" s="1120">
        <f>SUM(U33:W33)</f>
        <v>10</v>
      </c>
      <c r="Y33" s="1121"/>
      <c r="Z33" s="1121"/>
      <c r="AA33" s="1121">
        <v>21</v>
      </c>
      <c r="AB33" s="1120">
        <f>SUM(Y33:AA33)</f>
        <v>21</v>
      </c>
      <c r="AC33" s="1121"/>
      <c r="AD33" s="1121"/>
      <c r="AE33" s="1121">
        <v>12</v>
      </c>
      <c r="AF33" s="1120">
        <f>SUM(AC33:AE33)</f>
        <v>12</v>
      </c>
      <c r="AG33" s="1121"/>
      <c r="AH33" s="1121"/>
      <c r="AI33" s="1121">
        <v>23</v>
      </c>
      <c r="AJ33" s="1120">
        <f>SUM(AG33:AI33)</f>
        <v>23</v>
      </c>
      <c r="AK33" s="1121"/>
      <c r="AL33" s="1121"/>
      <c r="AM33" s="1121">
        <v>42</v>
      </c>
      <c r="AN33" s="1120">
        <f>SUM(AK33:AM33)</f>
        <v>42</v>
      </c>
      <c r="AO33" s="1121"/>
      <c r="AP33" s="1121"/>
      <c r="AQ33" s="1121">
        <v>47</v>
      </c>
      <c r="AR33" s="1106">
        <f>SUM(AO33:AQ33)</f>
        <v>47</v>
      </c>
      <c r="AS33" s="1121"/>
      <c r="AT33" s="1121"/>
      <c r="AU33" s="1121">
        <v>53</v>
      </c>
      <c r="AV33" s="1106">
        <f>SUM(AS33:AU33)</f>
        <v>53</v>
      </c>
      <c r="AW33" s="1121"/>
      <c r="AX33" s="1121"/>
      <c r="AY33" s="1121">
        <v>82</v>
      </c>
      <c r="AZ33" s="1106">
        <f>AW33+AX33+AY33</f>
        <v>82</v>
      </c>
      <c r="BA33" s="1121"/>
      <c r="BB33" s="1121"/>
      <c r="BC33" s="1121"/>
      <c r="BD33" s="1106"/>
      <c r="BE33" s="1121"/>
      <c r="BF33" s="1121"/>
      <c r="BG33" s="1121">
        <v>73</v>
      </c>
      <c r="BH33" s="1106">
        <f>BE33+BF33+BG33</f>
        <v>73</v>
      </c>
      <c r="BI33" s="1121"/>
      <c r="BJ33" s="1121"/>
      <c r="BK33" s="1121"/>
      <c r="BL33" s="1106">
        <f>BI33+BJ33+BK33</f>
        <v>0</v>
      </c>
      <c r="BM33" s="1121"/>
      <c r="BN33" s="1121"/>
      <c r="BO33" s="1121">
        <v>65</v>
      </c>
      <c r="BP33" s="1106">
        <f>BM33+BN33+BO33</f>
        <v>65</v>
      </c>
      <c r="BQ33" s="1121"/>
      <c r="BR33" s="1121"/>
      <c r="BS33" s="1121"/>
      <c r="BT33" s="1106">
        <f>BQ33+BR33+BS33</f>
        <v>0</v>
      </c>
      <c r="BU33" s="1121"/>
      <c r="BV33" s="1121"/>
      <c r="BW33" s="1121"/>
      <c r="BX33" s="1106">
        <f>BU33+BV33+BW33</f>
        <v>0</v>
      </c>
      <c r="BY33" s="1121"/>
      <c r="BZ33" s="1121"/>
      <c r="CA33" s="1121"/>
      <c r="CB33" s="1106">
        <f>BY33+BZ33+CA33</f>
        <v>0</v>
      </c>
    </row>
    <row r="34" spans="1:80" s="212" customFormat="1" ht="15" x14ac:dyDescent="0.25">
      <c r="A34" s="6251"/>
      <c r="B34" s="6201"/>
      <c r="C34" s="6245"/>
      <c r="D34" s="1113" t="s">
        <v>535</v>
      </c>
      <c r="E34" s="1114"/>
      <c r="F34" s="1115"/>
      <c r="G34" s="1115"/>
      <c r="H34" s="1116"/>
      <c r="I34" s="1114"/>
      <c r="J34" s="1115"/>
      <c r="K34" s="1115"/>
      <c r="L34" s="1116"/>
      <c r="M34" s="1114"/>
      <c r="N34" s="1115"/>
      <c r="O34" s="1115"/>
      <c r="P34" s="1116"/>
      <c r="Q34" s="1114"/>
      <c r="R34" s="1115"/>
      <c r="S34" s="1115"/>
      <c r="T34" s="1116"/>
      <c r="U34" s="1114"/>
      <c r="V34" s="1115"/>
      <c r="W34" s="1115"/>
      <c r="X34" s="1116"/>
      <c r="Y34" s="1117"/>
      <c r="Z34" s="1117"/>
      <c r="AA34" s="1117"/>
      <c r="AB34" s="1116"/>
      <c r="AC34" s="1117"/>
      <c r="AD34" s="1117"/>
      <c r="AE34" s="1117"/>
      <c r="AF34" s="1116"/>
      <c r="AG34" s="1117"/>
      <c r="AH34" s="1117"/>
      <c r="AI34" s="1117"/>
      <c r="AJ34" s="1116"/>
      <c r="AK34" s="1117"/>
      <c r="AL34" s="1117"/>
      <c r="AM34" s="1117"/>
      <c r="AN34" s="1116"/>
      <c r="AO34" s="1117"/>
      <c r="AP34" s="1117"/>
      <c r="AQ34" s="1117"/>
      <c r="AR34" s="1118"/>
      <c r="AS34" s="1117"/>
      <c r="AT34" s="1117"/>
      <c r="AU34" s="1117"/>
      <c r="AV34" s="1118"/>
      <c r="AW34" s="1117"/>
      <c r="AX34" s="1117"/>
      <c r="AY34" s="1117"/>
      <c r="AZ34" s="1118"/>
      <c r="BA34" s="1117"/>
      <c r="BB34" s="1117"/>
      <c r="BC34" s="1117"/>
      <c r="BD34" s="1118"/>
      <c r="BE34" s="1117"/>
      <c r="BF34" s="1117"/>
      <c r="BG34" s="1117"/>
      <c r="BH34" s="1118"/>
      <c r="BI34" s="1117"/>
      <c r="BJ34" s="1117"/>
      <c r="BK34" s="1117"/>
      <c r="BL34" s="1118"/>
      <c r="BM34" s="1117"/>
      <c r="BN34" s="1117"/>
      <c r="BO34" s="1117"/>
      <c r="BP34" s="1118"/>
      <c r="BQ34" s="1117"/>
      <c r="BR34" s="1117"/>
      <c r="BS34" s="1117"/>
      <c r="BT34" s="1106"/>
      <c r="BU34" s="1117"/>
      <c r="BV34" s="1117"/>
      <c r="BW34" s="1117"/>
      <c r="BX34" s="1106"/>
      <c r="BY34" s="1117"/>
      <c r="BZ34" s="1117"/>
      <c r="CA34" s="1117">
        <v>5</v>
      </c>
      <c r="CB34" s="1106">
        <f>BY34+BZ34+CA34</f>
        <v>5</v>
      </c>
    </row>
    <row r="35" spans="1:80" s="212" customFormat="1" ht="15" x14ac:dyDescent="0.25">
      <c r="A35" s="6251"/>
      <c r="B35" s="6201"/>
      <c r="C35" s="6246"/>
      <c r="D35" s="1141" t="s">
        <v>1303</v>
      </c>
      <c r="E35" s="1138"/>
      <c r="F35" s="1115"/>
      <c r="G35" s="1115"/>
      <c r="H35" s="1116"/>
      <c r="I35" s="1138"/>
      <c r="J35" s="1115"/>
      <c r="K35" s="1115"/>
      <c r="L35" s="1116"/>
      <c r="M35" s="1138"/>
      <c r="N35" s="1115"/>
      <c r="O35" s="1115"/>
      <c r="P35" s="1116"/>
      <c r="Q35" s="1138"/>
      <c r="R35" s="1115"/>
      <c r="S35" s="1115"/>
      <c r="T35" s="1116"/>
      <c r="U35" s="1138"/>
      <c r="V35" s="1115"/>
      <c r="W35" s="1115"/>
      <c r="X35" s="1116"/>
      <c r="Y35" s="1117"/>
      <c r="Z35" s="1117"/>
      <c r="AA35" s="1117"/>
      <c r="AB35" s="1116"/>
      <c r="AC35" s="1117"/>
      <c r="AD35" s="1117"/>
      <c r="AE35" s="1117"/>
      <c r="AF35" s="1116"/>
      <c r="AG35" s="1117"/>
      <c r="AH35" s="1117"/>
      <c r="AI35" s="1117"/>
      <c r="AJ35" s="1116"/>
      <c r="AK35" s="1117"/>
      <c r="AL35" s="1117"/>
      <c r="AM35" s="1117"/>
      <c r="AN35" s="1116"/>
      <c r="AO35" s="1117"/>
      <c r="AP35" s="1117"/>
      <c r="AQ35" s="1117"/>
      <c r="AR35" s="1118"/>
      <c r="AS35" s="1117"/>
      <c r="AT35" s="1117"/>
      <c r="AU35" s="1117"/>
      <c r="AV35" s="1118"/>
      <c r="AW35" s="1117"/>
      <c r="AX35" s="1117"/>
      <c r="AY35" s="1117"/>
      <c r="AZ35" s="1118"/>
      <c r="BA35" s="1117"/>
      <c r="BB35" s="1117"/>
      <c r="BC35" s="1117"/>
      <c r="BD35" s="1118"/>
      <c r="BE35" s="1117"/>
      <c r="BF35" s="1117"/>
      <c r="BG35" s="1117"/>
      <c r="BH35" s="1118"/>
      <c r="BI35" s="1117"/>
      <c r="BJ35" s="1117"/>
      <c r="BK35" s="1117"/>
      <c r="BL35" s="1118"/>
      <c r="BM35" s="1117"/>
      <c r="BN35" s="1117"/>
      <c r="BO35" s="1117"/>
      <c r="BP35" s="1118"/>
      <c r="BQ35" s="1117"/>
      <c r="BR35" s="1117"/>
      <c r="BS35" s="1117"/>
      <c r="BT35" s="1106">
        <f>BQ35+BR35+BS35</f>
        <v>0</v>
      </c>
      <c r="BU35" s="1117"/>
      <c r="BV35" s="1117"/>
      <c r="BW35" s="1117">
        <v>9</v>
      </c>
      <c r="BX35" s="1106">
        <f>BU35+BV35+BW35</f>
        <v>9</v>
      </c>
      <c r="BY35" s="1117"/>
      <c r="BZ35" s="1117"/>
      <c r="CA35" s="1117">
        <v>7</v>
      </c>
      <c r="CB35" s="1106">
        <f>BY35+BZ35+CA35</f>
        <v>7</v>
      </c>
    </row>
    <row r="36" spans="1:80" s="212" customFormat="1" ht="15" x14ac:dyDescent="0.25">
      <c r="A36" s="6251"/>
      <c r="B36" s="6201"/>
      <c r="C36" s="6247" t="s">
        <v>521</v>
      </c>
      <c r="D36" s="5250" t="s">
        <v>401</v>
      </c>
      <c r="E36" s="1122">
        <v>15</v>
      </c>
      <c r="F36" s="1119"/>
      <c r="G36" s="1119"/>
      <c r="H36" s="1120">
        <v>15</v>
      </c>
      <c r="I36" s="1122">
        <v>12</v>
      </c>
      <c r="J36" s="1119"/>
      <c r="K36" s="1119">
        <v>16</v>
      </c>
      <c r="L36" s="1120">
        <v>28</v>
      </c>
      <c r="M36" s="1122">
        <v>4</v>
      </c>
      <c r="N36" s="1119">
        <v>17</v>
      </c>
      <c r="O36" s="1119">
        <v>1</v>
      </c>
      <c r="P36" s="1120">
        <v>22</v>
      </c>
      <c r="Q36" s="1122"/>
      <c r="R36" s="1119"/>
      <c r="S36" s="1119">
        <v>25</v>
      </c>
      <c r="T36" s="1120">
        <v>25</v>
      </c>
      <c r="U36" s="1122"/>
      <c r="V36" s="1119"/>
      <c r="W36" s="1119">
        <v>19</v>
      </c>
      <c r="X36" s="1120">
        <f>SUM(U36:W36)</f>
        <v>19</v>
      </c>
      <c r="Y36" s="1121"/>
      <c r="Z36" s="1121"/>
      <c r="AA36" s="1121">
        <v>11</v>
      </c>
      <c r="AB36" s="1120">
        <f>SUM(Y36:AA36)</f>
        <v>11</v>
      </c>
      <c r="AC36" s="1121"/>
      <c r="AD36" s="1121"/>
      <c r="AE36" s="1121">
        <v>20</v>
      </c>
      <c r="AF36" s="1120">
        <f>SUM(AC36:AE36)</f>
        <v>20</v>
      </c>
      <c r="AG36" s="1121"/>
      <c r="AH36" s="1121"/>
      <c r="AI36" s="1121">
        <v>21</v>
      </c>
      <c r="AJ36" s="1120">
        <f>SUM(AG36:AI36)</f>
        <v>21</v>
      </c>
      <c r="AK36" s="1121"/>
      <c r="AL36" s="1121"/>
      <c r="AM36" s="1121">
        <v>5</v>
      </c>
      <c r="AN36" s="1120">
        <f>SUM(AK36:AM36)</f>
        <v>5</v>
      </c>
      <c r="AO36" s="1121"/>
      <c r="AP36" s="1121"/>
      <c r="AQ36" s="1121">
        <v>6</v>
      </c>
      <c r="AR36" s="1106">
        <f>SUM(AO36:AQ36)</f>
        <v>6</v>
      </c>
      <c r="AS36" s="1121"/>
      <c r="AT36" s="1121"/>
      <c r="AU36" s="1121">
        <v>7</v>
      </c>
      <c r="AV36" s="1106">
        <f>SUM(AS36:AU36)</f>
        <v>7</v>
      </c>
      <c r="AW36" s="1121"/>
      <c r="AX36" s="1121"/>
      <c r="AY36" s="1121">
        <v>3</v>
      </c>
      <c r="AZ36" s="1106">
        <f>AW36+AX36+AY36</f>
        <v>3</v>
      </c>
      <c r="BA36" s="1121"/>
      <c r="BB36" s="1121"/>
      <c r="BC36" s="1121">
        <v>59</v>
      </c>
      <c r="BD36" s="1106">
        <f>BA36+BB36+BC36</f>
        <v>59</v>
      </c>
      <c r="BE36" s="1121"/>
      <c r="BF36" s="1121"/>
      <c r="BG36" s="1121">
        <v>7</v>
      </c>
      <c r="BH36" s="1106">
        <f>BE36+BF36+BG36</f>
        <v>7</v>
      </c>
      <c r="BI36" s="1121"/>
      <c r="BJ36" s="1121"/>
      <c r="BK36" s="1121">
        <v>47</v>
      </c>
      <c r="BL36" s="1106">
        <f>BI36+BJ36+BK36</f>
        <v>47</v>
      </c>
      <c r="BM36" s="1121"/>
      <c r="BN36" s="1121"/>
      <c r="BO36" s="1121">
        <v>7</v>
      </c>
      <c r="BP36" s="1106">
        <f>BM36+BN36+BO36</f>
        <v>7</v>
      </c>
      <c r="BQ36" s="1121"/>
      <c r="BR36" s="1121"/>
      <c r="BS36" s="1121"/>
      <c r="BT36" s="1106">
        <f>BQ36+BR36+BS36</f>
        <v>0</v>
      </c>
      <c r="BU36" s="1121"/>
      <c r="BV36" s="1121"/>
      <c r="BW36" s="1121"/>
      <c r="BX36" s="1106">
        <f>BU36+BV36+BW36</f>
        <v>0</v>
      </c>
      <c r="BY36" s="1121"/>
      <c r="BZ36" s="1121"/>
      <c r="CA36" s="1121"/>
      <c r="CB36" s="1106">
        <f>BY36+BZ36+CA36</f>
        <v>0</v>
      </c>
    </row>
    <row r="37" spans="1:80" s="212" customFormat="1" ht="15" x14ac:dyDescent="0.25">
      <c r="A37" s="6251"/>
      <c r="B37" s="6201"/>
      <c r="C37" s="6248"/>
      <c r="D37" s="1107" t="s">
        <v>1306</v>
      </c>
      <c r="E37" s="1122"/>
      <c r="F37" s="1119"/>
      <c r="G37" s="1119"/>
      <c r="H37" s="1120"/>
      <c r="I37" s="1122"/>
      <c r="J37" s="1119"/>
      <c r="K37" s="1119"/>
      <c r="L37" s="1120"/>
      <c r="M37" s="1122"/>
      <c r="N37" s="1119"/>
      <c r="O37" s="1119"/>
      <c r="P37" s="1120"/>
      <c r="Q37" s="1122"/>
      <c r="R37" s="1119"/>
      <c r="S37" s="1119"/>
      <c r="T37" s="1120"/>
      <c r="U37" s="1122"/>
      <c r="V37" s="1119"/>
      <c r="W37" s="1119"/>
      <c r="X37" s="1120"/>
      <c r="Y37" s="1121"/>
      <c r="Z37" s="1121"/>
      <c r="AA37" s="1121"/>
      <c r="AB37" s="1120"/>
      <c r="AC37" s="1121"/>
      <c r="AD37" s="1121"/>
      <c r="AE37" s="1121"/>
      <c r="AF37" s="1120"/>
      <c r="AG37" s="1121"/>
      <c r="AH37" s="1121"/>
      <c r="AI37" s="1121"/>
      <c r="AJ37" s="1120"/>
      <c r="AK37" s="1121"/>
      <c r="AL37" s="1121"/>
      <c r="AM37" s="1121"/>
      <c r="AN37" s="1120"/>
      <c r="AO37" s="1121"/>
      <c r="AP37" s="1121"/>
      <c r="AQ37" s="1121"/>
      <c r="AR37" s="1106"/>
      <c r="AS37" s="1121"/>
      <c r="AT37" s="1121"/>
      <c r="AU37" s="1121"/>
      <c r="AV37" s="1106"/>
      <c r="AW37" s="1121"/>
      <c r="AX37" s="1121"/>
      <c r="AY37" s="1121"/>
      <c r="AZ37" s="1106"/>
      <c r="BA37" s="1121"/>
      <c r="BB37" s="1121"/>
      <c r="BC37" s="1121"/>
      <c r="BD37" s="1106"/>
      <c r="BE37" s="1121"/>
      <c r="BF37" s="1121"/>
      <c r="BG37" s="1121"/>
      <c r="BH37" s="1106"/>
      <c r="BI37" s="1121"/>
      <c r="BJ37" s="1121"/>
      <c r="BK37" s="1121"/>
      <c r="BL37" s="1106"/>
      <c r="BM37" s="1121"/>
      <c r="BN37" s="1121"/>
      <c r="BO37" s="1121"/>
      <c r="BP37" s="1106"/>
      <c r="BQ37" s="1121"/>
      <c r="BR37" s="1121">
        <v>6</v>
      </c>
      <c r="BS37" s="1121">
        <v>5</v>
      </c>
      <c r="BT37" s="1106">
        <f t="shared" ref="BT37:BT42" si="11">BQ37+BR37+BS37</f>
        <v>11</v>
      </c>
      <c r="BU37" s="1121"/>
      <c r="BV37" s="1121"/>
      <c r="BW37" s="1121">
        <v>2</v>
      </c>
      <c r="BX37" s="1106">
        <f t="shared" ref="BX37:BX42" si="12">BU37+BV37+BW37</f>
        <v>2</v>
      </c>
      <c r="BY37" s="1121"/>
      <c r="BZ37" s="1121"/>
      <c r="CA37" s="1121"/>
      <c r="CB37" s="1106">
        <f t="shared" ref="CB37:CB42" si="13">BY37+BZ37+CA37</f>
        <v>0</v>
      </c>
    </row>
    <row r="38" spans="1:80" s="212" customFormat="1" ht="15" x14ac:dyDescent="0.25">
      <c r="A38" s="6251"/>
      <c r="B38" s="6201"/>
      <c r="C38" s="6248"/>
      <c r="D38" s="1107" t="s">
        <v>1301</v>
      </c>
      <c r="E38" s="1122"/>
      <c r="F38" s="1119"/>
      <c r="G38" s="1119"/>
      <c r="H38" s="1120"/>
      <c r="I38" s="1122"/>
      <c r="J38" s="1119"/>
      <c r="K38" s="1119"/>
      <c r="L38" s="1120"/>
      <c r="M38" s="1122"/>
      <c r="N38" s="1119"/>
      <c r="O38" s="1119"/>
      <c r="P38" s="1120"/>
      <c r="Q38" s="1122"/>
      <c r="R38" s="1119"/>
      <c r="S38" s="1119"/>
      <c r="T38" s="1120"/>
      <c r="U38" s="1122"/>
      <c r="V38" s="1119"/>
      <c r="W38" s="1119"/>
      <c r="X38" s="1120"/>
      <c r="Y38" s="1121"/>
      <c r="Z38" s="1121"/>
      <c r="AA38" s="1121"/>
      <c r="AB38" s="1120"/>
      <c r="AC38" s="1121"/>
      <c r="AD38" s="1121"/>
      <c r="AE38" s="1121"/>
      <c r="AF38" s="1120"/>
      <c r="AG38" s="1121"/>
      <c r="AH38" s="1121"/>
      <c r="AI38" s="1121"/>
      <c r="AJ38" s="1120"/>
      <c r="AK38" s="1121"/>
      <c r="AL38" s="1121"/>
      <c r="AM38" s="1121"/>
      <c r="AN38" s="1120"/>
      <c r="AO38" s="1121"/>
      <c r="AP38" s="1121"/>
      <c r="AQ38" s="1121"/>
      <c r="AR38" s="1106"/>
      <c r="AS38" s="1121"/>
      <c r="AT38" s="1121"/>
      <c r="AU38" s="1121"/>
      <c r="AV38" s="1106"/>
      <c r="AW38" s="1121"/>
      <c r="AX38" s="1121"/>
      <c r="AY38" s="1121"/>
      <c r="AZ38" s="1106"/>
      <c r="BA38" s="1121"/>
      <c r="BB38" s="1121"/>
      <c r="BC38" s="1121"/>
      <c r="BD38" s="1106"/>
      <c r="BE38" s="1121"/>
      <c r="BF38" s="1121"/>
      <c r="BG38" s="1121"/>
      <c r="BH38" s="1106"/>
      <c r="BI38" s="1121"/>
      <c r="BJ38" s="1121"/>
      <c r="BK38" s="1121"/>
      <c r="BL38" s="1106"/>
      <c r="BM38" s="1121"/>
      <c r="BN38" s="1121"/>
      <c r="BO38" s="1121"/>
      <c r="BP38" s="1106"/>
      <c r="BQ38" s="1121"/>
      <c r="BR38" s="1121">
        <v>3</v>
      </c>
      <c r="BS38" s="1121">
        <v>5</v>
      </c>
      <c r="BT38" s="1106">
        <f t="shared" si="11"/>
        <v>8</v>
      </c>
      <c r="BU38" s="1121"/>
      <c r="BV38" s="1121"/>
      <c r="BW38" s="1121">
        <v>2</v>
      </c>
      <c r="BX38" s="1106">
        <f t="shared" si="12"/>
        <v>2</v>
      </c>
      <c r="BY38" s="1121"/>
      <c r="BZ38" s="1121"/>
      <c r="CA38" s="1121">
        <v>4</v>
      </c>
      <c r="CB38" s="1106">
        <f t="shared" si="13"/>
        <v>4</v>
      </c>
    </row>
    <row r="39" spans="1:80" s="212" customFormat="1" ht="15" x14ac:dyDescent="0.25">
      <c r="A39" s="6251"/>
      <c r="B39" s="6201"/>
      <c r="C39" s="6248"/>
      <c r="D39" s="1107" t="s">
        <v>1302</v>
      </c>
      <c r="E39" s="1122"/>
      <c r="F39" s="1119"/>
      <c r="G39" s="1119"/>
      <c r="H39" s="1120"/>
      <c r="I39" s="1122"/>
      <c r="J39" s="1119"/>
      <c r="K39" s="1119"/>
      <c r="L39" s="1120"/>
      <c r="M39" s="1122"/>
      <c r="N39" s="1119"/>
      <c r="O39" s="1119"/>
      <c r="P39" s="1120"/>
      <c r="Q39" s="1122"/>
      <c r="R39" s="1119"/>
      <c r="S39" s="1119"/>
      <c r="T39" s="1120"/>
      <c r="U39" s="1122"/>
      <c r="V39" s="1119"/>
      <c r="W39" s="1119"/>
      <c r="X39" s="1120"/>
      <c r="Y39" s="1121"/>
      <c r="Z39" s="1121"/>
      <c r="AA39" s="1121"/>
      <c r="AB39" s="1120"/>
      <c r="AC39" s="1121"/>
      <c r="AD39" s="1121"/>
      <c r="AE39" s="1121"/>
      <c r="AF39" s="1120"/>
      <c r="AG39" s="1121"/>
      <c r="AH39" s="1121"/>
      <c r="AI39" s="1121"/>
      <c r="AJ39" s="1120"/>
      <c r="AK39" s="1121"/>
      <c r="AL39" s="1121"/>
      <c r="AM39" s="1121"/>
      <c r="AN39" s="1120"/>
      <c r="AO39" s="1121"/>
      <c r="AP39" s="1121"/>
      <c r="AQ39" s="1121"/>
      <c r="AR39" s="1106"/>
      <c r="AS39" s="1121"/>
      <c r="AT39" s="1121"/>
      <c r="AU39" s="1121"/>
      <c r="AV39" s="1106"/>
      <c r="AW39" s="1121"/>
      <c r="AX39" s="1121"/>
      <c r="AY39" s="1121"/>
      <c r="AZ39" s="1106"/>
      <c r="BA39" s="1121"/>
      <c r="BB39" s="1121"/>
      <c r="BC39" s="1121"/>
      <c r="BD39" s="1106"/>
      <c r="BE39" s="1121"/>
      <c r="BF39" s="1121"/>
      <c r="BG39" s="1121"/>
      <c r="BH39" s="1106"/>
      <c r="BI39" s="1121"/>
      <c r="BJ39" s="1121"/>
      <c r="BK39" s="1121"/>
      <c r="BL39" s="1106"/>
      <c r="BM39" s="1121"/>
      <c r="BN39" s="1121"/>
      <c r="BO39" s="1121"/>
      <c r="BP39" s="1106"/>
      <c r="BQ39" s="1121"/>
      <c r="BR39" s="1121">
        <v>20</v>
      </c>
      <c r="BS39" s="1121"/>
      <c r="BT39" s="1106">
        <f t="shared" si="11"/>
        <v>20</v>
      </c>
      <c r="BU39" s="1121"/>
      <c r="BV39" s="1121"/>
      <c r="BW39" s="1121">
        <v>5</v>
      </c>
      <c r="BX39" s="1106">
        <f t="shared" si="12"/>
        <v>5</v>
      </c>
      <c r="BY39" s="1121"/>
      <c r="BZ39" s="1121"/>
      <c r="CA39" s="1121">
        <v>5</v>
      </c>
      <c r="CB39" s="1106">
        <f t="shared" si="13"/>
        <v>5</v>
      </c>
    </row>
    <row r="40" spans="1:80" s="212" customFormat="1" ht="15" x14ac:dyDescent="0.25">
      <c r="A40" s="6251"/>
      <c r="B40" s="6201"/>
      <c r="C40" s="6248"/>
      <c r="D40" s="1107" t="s">
        <v>1303</v>
      </c>
      <c r="E40" s="1122"/>
      <c r="F40" s="1119"/>
      <c r="G40" s="1119"/>
      <c r="H40" s="1120"/>
      <c r="I40" s="1122"/>
      <c r="J40" s="1119"/>
      <c r="K40" s="1119"/>
      <c r="L40" s="1120"/>
      <c r="M40" s="1122"/>
      <c r="N40" s="1119"/>
      <c r="O40" s="1119"/>
      <c r="P40" s="1120"/>
      <c r="Q40" s="1122"/>
      <c r="R40" s="1119"/>
      <c r="S40" s="1119"/>
      <c r="T40" s="1120"/>
      <c r="U40" s="1122"/>
      <c r="V40" s="1119"/>
      <c r="W40" s="1119"/>
      <c r="X40" s="1120"/>
      <c r="Y40" s="1121"/>
      <c r="Z40" s="1121"/>
      <c r="AA40" s="1121"/>
      <c r="AB40" s="1120"/>
      <c r="AC40" s="1121"/>
      <c r="AD40" s="1121"/>
      <c r="AE40" s="1121"/>
      <c r="AF40" s="1120"/>
      <c r="AG40" s="1121"/>
      <c r="AH40" s="1121"/>
      <c r="AI40" s="1121"/>
      <c r="AJ40" s="1120"/>
      <c r="AK40" s="1121"/>
      <c r="AL40" s="1121"/>
      <c r="AM40" s="1121"/>
      <c r="AN40" s="1120"/>
      <c r="AO40" s="1121"/>
      <c r="AP40" s="1121"/>
      <c r="AQ40" s="1121"/>
      <c r="AR40" s="1106"/>
      <c r="AS40" s="1121"/>
      <c r="AT40" s="1121"/>
      <c r="AU40" s="1121"/>
      <c r="AV40" s="1106"/>
      <c r="AW40" s="1121"/>
      <c r="AX40" s="1121"/>
      <c r="AY40" s="1121"/>
      <c r="AZ40" s="1106"/>
      <c r="BA40" s="1121"/>
      <c r="BB40" s="1121"/>
      <c r="BC40" s="1121"/>
      <c r="BD40" s="1106"/>
      <c r="BE40" s="1121"/>
      <c r="BF40" s="1121"/>
      <c r="BG40" s="1121"/>
      <c r="BH40" s="1106"/>
      <c r="BI40" s="1121"/>
      <c r="BJ40" s="1121"/>
      <c r="BK40" s="1121"/>
      <c r="BL40" s="1106"/>
      <c r="BM40" s="1121"/>
      <c r="BN40" s="1121"/>
      <c r="BO40" s="1121"/>
      <c r="BP40" s="1106"/>
      <c r="BQ40" s="1121">
        <v>2</v>
      </c>
      <c r="BR40" s="1121"/>
      <c r="BS40" s="1121">
        <v>5</v>
      </c>
      <c r="BT40" s="1106">
        <f t="shared" si="11"/>
        <v>7</v>
      </c>
      <c r="BU40" s="1121"/>
      <c r="BV40" s="1121"/>
      <c r="BW40" s="1121"/>
      <c r="BX40" s="1106">
        <f t="shared" si="12"/>
        <v>0</v>
      </c>
      <c r="BY40" s="1121"/>
      <c r="BZ40" s="1121"/>
      <c r="CA40" s="1121">
        <v>2</v>
      </c>
      <c r="CB40" s="1106">
        <f t="shared" si="13"/>
        <v>2</v>
      </c>
    </row>
    <row r="41" spans="1:80" s="212" customFormat="1" ht="15" x14ac:dyDescent="0.25">
      <c r="A41" s="6251"/>
      <c r="B41" s="6201"/>
      <c r="C41" s="6248"/>
      <c r="D41" s="1107" t="s">
        <v>1304</v>
      </c>
      <c r="E41" s="1122"/>
      <c r="F41" s="1119"/>
      <c r="G41" s="1119"/>
      <c r="H41" s="1120"/>
      <c r="I41" s="1122"/>
      <c r="J41" s="1119"/>
      <c r="K41" s="1119"/>
      <c r="L41" s="1120"/>
      <c r="M41" s="1122"/>
      <c r="N41" s="1119"/>
      <c r="O41" s="1119"/>
      <c r="P41" s="1120"/>
      <c r="Q41" s="1122"/>
      <c r="R41" s="1119"/>
      <c r="S41" s="1119"/>
      <c r="T41" s="1120"/>
      <c r="U41" s="1122"/>
      <c r="V41" s="1119"/>
      <c r="W41" s="1119"/>
      <c r="X41" s="1120"/>
      <c r="Y41" s="1121"/>
      <c r="Z41" s="1121"/>
      <c r="AA41" s="1121"/>
      <c r="AB41" s="1120"/>
      <c r="AC41" s="1121"/>
      <c r="AD41" s="1121"/>
      <c r="AE41" s="1121"/>
      <c r="AF41" s="1120"/>
      <c r="AG41" s="1121"/>
      <c r="AH41" s="1121"/>
      <c r="AI41" s="1121"/>
      <c r="AJ41" s="1120"/>
      <c r="AK41" s="1121"/>
      <c r="AL41" s="1121"/>
      <c r="AM41" s="1121"/>
      <c r="AN41" s="1120"/>
      <c r="AO41" s="1121"/>
      <c r="AP41" s="1121"/>
      <c r="AQ41" s="1121"/>
      <c r="AR41" s="1106"/>
      <c r="AS41" s="1121"/>
      <c r="AT41" s="1121"/>
      <c r="AU41" s="1121"/>
      <c r="AV41" s="1106"/>
      <c r="AW41" s="1121"/>
      <c r="AX41" s="1121"/>
      <c r="AY41" s="1121"/>
      <c r="AZ41" s="1106"/>
      <c r="BA41" s="1121"/>
      <c r="BB41" s="1121"/>
      <c r="BC41" s="1121"/>
      <c r="BD41" s="1106"/>
      <c r="BE41" s="1121"/>
      <c r="BF41" s="1121"/>
      <c r="BG41" s="1121"/>
      <c r="BH41" s="1106"/>
      <c r="BI41" s="1121"/>
      <c r="BJ41" s="1121"/>
      <c r="BK41" s="1121"/>
      <c r="BL41" s="1106"/>
      <c r="BM41" s="1121"/>
      <c r="BN41" s="1121"/>
      <c r="BO41" s="1121"/>
      <c r="BP41" s="1106"/>
      <c r="BQ41" s="1121"/>
      <c r="BR41" s="1121">
        <v>6</v>
      </c>
      <c r="BS41" s="1121">
        <v>5</v>
      </c>
      <c r="BT41" s="1106">
        <f t="shared" si="11"/>
        <v>11</v>
      </c>
      <c r="BU41" s="1121"/>
      <c r="BV41" s="1121">
        <v>1</v>
      </c>
      <c r="BW41" s="1121">
        <v>4</v>
      </c>
      <c r="BX41" s="1106">
        <f t="shared" si="12"/>
        <v>5</v>
      </c>
      <c r="BY41" s="1121"/>
      <c r="BZ41" s="1121"/>
      <c r="CA41" s="1121">
        <v>5</v>
      </c>
      <c r="CB41" s="1106">
        <f t="shared" si="13"/>
        <v>5</v>
      </c>
    </row>
    <row r="42" spans="1:80" s="212" customFormat="1" ht="30" x14ac:dyDescent="0.25">
      <c r="A42" s="6251"/>
      <c r="B42" s="6201"/>
      <c r="C42" s="6249"/>
      <c r="D42" s="1107" t="s">
        <v>1305</v>
      </c>
      <c r="E42" s="1122"/>
      <c r="F42" s="1119"/>
      <c r="G42" s="1119"/>
      <c r="H42" s="1120"/>
      <c r="I42" s="1122"/>
      <c r="J42" s="1119"/>
      <c r="K42" s="1119"/>
      <c r="L42" s="1120"/>
      <c r="M42" s="1122"/>
      <c r="N42" s="1119"/>
      <c r="O42" s="1119"/>
      <c r="P42" s="1120"/>
      <c r="Q42" s="1122"/>
      <c r="R42" s="1119"/>
      <c r="S42" s="1119"/>
      <c r="T42" s="1120"/>
      <c r="U42" s="1122"/>
      <c r="V42" s="1119"/>
      <c r="W42" s="1119"/>
      <c r="X42" s="1120"/>
      <c r="Y42" s="1121"/>
      <c r="Z42" s="1121"/>
      <c r="AA42" s="1121"/>
      <c r="AB42" s="1120"/>
      <c r="AC42" s="1121"/>
      <c r="AD42" s="1121"/>
      <c r="AE42" s="1121"/>
      <c r="AF42" s="1120"/>
      <c r="AG42" s="1121"/>
      <c r="AH42" s="1121"/>
      <c r="AI42" s="1121"/>
      <c r="AJ42" s="1120"/>
      <c r="AK42" s="1121"/>
      <c r="AL42" s="1121"/>
      <c r="AM42" s="1121"/>
      <c r="AN42" s="1120"/>
      <c r="AO42" s="1121"/>
      <c r="AP42" s="1121"/>
      <c r="AQ42" s="1121"/>
      <c r="AR42" s="1106"/>
      <c r="AS42" s="1121"/>
      <c r="AT42" s="1121"/>
      <c r="AU42" s="1121"/>
      <c r="AV42" s="1106"/>
      <c r="AW42" s="1121"/>
      <c r="AX42" s="1121"/>
      <c r="AY42" s="1121"/>
      <c r="AZ42" s="1106"/>
      <c r="BA42" s="1121"/>
      <c r="BB42" s="1121"/>
      <c r="BC42" s="1121"/>
      <c r="BD42" s="1106"/>
      <c r="BE42" s="1121"/>
      <c r="BF42" s="1121"/>
      <c r="BG42" s="1121"/>
      <c r="BH42" s="1106"/>
      <c r="BI42" s="1121"/>
      <c r="BJ42" s="1121"/>
      <c r="BK42" s="1121"/>
      <c r="BL42" s="1106"/>
      <c r="BM42" s="1121"/>
      <c r="BN42" s="1121"/>
      <c r="BO42" s="1121"/>
      <c r="BP42" s="1106"/>
      <c r="BQ42" s="1121"/>
      <c r="BR42" s="1121">
        <v>3</v>
      </c>
      <c r="BS42" s="1121">
        <v>4</v>
      </c>
      <c r="BT42" s="1106">
        <f t="shared" si="11"/>
        <v>7</v>
      </c>
      <c r="BU42" s="1121"/>
      <c r="BV42" s="1121"/>
      <c r="BW42" s="1121">
        <v>2</v>
      </c>
      <c r="BX42" s="1106">
        <f t="shared" si="12"/>
        <v>2</v>
      </c>
      <c r="BY42" s="1121"/>
      <c r="BZ42" s="1121"/>
      <c r="CA42" s="1121"/>
      <c r="CB42" s="1106">
        <f t="shared" si="13"/>
        <v>0</v>
      </c>
    </row>
    <row r="43" spans="1:80" s="212" customFormat="1" ht="15" x14ac:dyDescent="0.25">
      <c r="A43" s="6251"/>
      <c r="B43" s="6201"/>
      <c r="C43" s="6247" t="s">
        <v>520</v>
      </c>
      <c r="D43" s="5251" t="s">
        <v>402</v>
      </c>
      <c r="E43" s="1104">
        <v>4</v>
      </c>
      <c r="F43" s="1105"/>
      <c r="G43" s="1105">
        <v>14</v>
      </c>
      <c r="H43" s="1106">
        <v>18</v>
      </c>
      <c r="I43" s="1104">
        <v>2</v>
      </c>
      <c r="J43" s="1105">
        <v>1</v>
      </c>
      <c r="K43" s="1105"/>
      <c r="L43" s="1106">
        <v>3</v>
      </c>
      <c r="M43" s="1104"/>
      <c r="N43" s="1105"/>
      <c r="O43" s="1105">
        <v>12</v>
      </c>
      <c r="P43" s="1106">
        <v>12</v>
      </c>
      <c r="Q43" s="1104">
        <v>1</v>
      </c>
      <c r="R43" s="1105"/>
      <c r="S43" s="1105">
        <v>5</v>
      </c>
      <c r="T43" s="1106">
        <v>6</v>
      </c>
      <c r="U43" s="1104"/>
      <c r="V43" s="1105"/>
      <c r="W43" s="1105"/>
      <c r="X43" s="1106"/>
      <c r="Y43" s="1105"/>
      <c r="Z43" s="1105"/>
      <c r="AA43" s="1105"/>
      <c r="AB43" s="1106"/>
      <c r="AC43" s="1105"/>
      <c r="AD43" s="1105"/>
      <c r="AE43" s="1105">
        <v>6</v>
      </c>
      <c r="AF43" s="1106">
        <f>SUM(AC43:AE43)</f>
        <v>6</v>
      </c>
      <c r="AG43" s="1105"/>
      <c r="AH43" s="1105"/>
      <c r="AI43" s="1105">
        <v>4</v>
      </c>
      <c r="AJ43" s="1106">
        <f>SUM(AG43:AI43)</f>
        <v>4</v>
      </c>
      <c r="AK43" s="1105"/>
      <c r="AL43" s="1105"/>
      <c r="AM43" s="1105">
        <v>8</v>
      </c>
      <c r="AN43" s="1106">
        <f>SUM(AK43:AM43)</f>
        <v>8</v>
      </c>
      <c r="AO43" s="1105"/>
      <c r="AP43" s="1105"/>
      <c r="AQ43" s="1105">
        <v>11</v>
      </c>
      <c r="AR43" s="1106">
        <f>SUM(AO43:AQ43)</f>
        <v>11</v>
      </c>
      <c r="AS43" s="1105"/>
      <c r="AT43" s="1105"/>
      <c r="AU43" s="1105">
        <v>12</v>
      </c>
      <c r="AV43" s="1106">
        <f>SUM(AS43:AU43)</f>
        <v>12</v>
      </c>
      <c r="AW43" s="1105"/>
      <c r="AX43" s="1105"/>
      <c r="AY43" s="1105">
        <v>15</v>
      </c>
      <c r="AZ43" s="1106">
        <f>AW43+AX43+AY43</f>
        <v>15</v>
      </c>
      <c r="BA43" s="1105"/>
      <c r="BB43" s="1105"/>
      <c r="BC43" s="1105">
        <v>3</v>
      </c>
      <c r="BD43" s="1106">
        <f>BA43+BB43+BC43</f>
        <v>3</v>
      </c>
      <c r="BE43" s="1105"/>
      <c r="BF43" s="1105"/>
      <c r="BG43" s="1105">
        <v>24</v>
      </c>
      <c r="BH43" s="1106">
        <f>BE43+BF43+BG43</f>
        <v>24</v>
      </c>
      <c r="BI43" s="1105"/>
      <c r="BJ43" s="1105"/>
      <c r="BK43" s="1105">
        <v>3</v>
      </c>
      <c r="BL43" s="1106">
        <f>BI43+BJ43+BK43</f>
        <v>3</v>
      </c>
      <c r="BM43" s="1105"/>
      <c r="BN43" s="1105"/>
      <c r="BO43" s="1105">
        <v>39</v>
      </c>
      <c r="BP43" s="1106">
        <f>BM43+BN43+BO43</f>
        <v>39</v>
      </c>
      <c r="BQ43" s="1105"/>
      <c r="BR43" s="1105"/>
      <c r="BS43" s="1105"/>
      <c r="BT43" s="1106">
        <f>BQ43+BR43+BS43</f>
        <v>0</v>
      </c>
      <c r="BU43" s="1105"/>
      <c r="BV43" s="1105"/>
      <c r="BW43" s="1105"/>
      <c r="BX43" s="1106">
        <f>BU43+BV43+BW43</f>
        <v>0</v>
      </c>
      <c r="BY43" s="1105"/>
      <c r="BZ43" s="1105"/>
      <c r="CA43" s="1105"/>
      <c r="CB43" s="1106">
        <f>BY43+BZ43+CA43</f>
        <v>0</v>
      </c>
    </row>
    <row r="44" spans="1:80" s="212" customFormat="1" ht="15" x14ac:dyDescent="0.25">
      <c r="A44" s="6251"/>
      <c r="B44" s="6201"/>
      <c r="C44" s="6248"/>
      <c r="D44" s="1107" t="s">
        <v>1306</v>
      </c>
      <c r="E44" s="1458"/>
      <c r="F44" s="1459"/>
      <c r="G44" s="1459"/>
      <c r="H44" s="1128"/>
      <c r="I44" s="1458"/>
      <c r="J44" s="1459"/>
      <c r="K44" s="1459"/>
      <c r="L44" s="1128"/>
      <c r="M44" s="1458"/>
      <c r="N44" s="1459"/>
      <c r="O44" s="1459"/>
      <c r="P44" s="1128"/>
      <c r="Q44" s="1458"/>
      <c r="R44" s="1459"/>
      <c r="S44" s="1459"/>
      <c r="T44" s="1128"/>
      <c r="U44" s="1458"/>
      <c r="V44" s="1459"/>
      <c r="W44" s="1459"/>
      <c r="X44" s="1128"/>
      <c r="Y44" s="1459"/>
      <c r="Z44" s="1459"/>
      <c r="AA44" s="1459"/>
      <c r="AB44" s="1128"/>
      <c r="AC44" s="1459"/>
      <c r="AD44" s="1459"/>
      <c r="AE44" s="1459"/>
      <c r="AF44" s="1128"/>
      <c r="AG44" s="1459"/>
      <c r="AH44" s="1459"/>
      <c r="AI44" s="1459"/>
      <c r="AJ44" s="1128"/>
      <c r="AK44" s="1459"/>
      <c r="AL44" s="1459"/>
      <c r="AM44" s="1459"/>
      <c r="AN44" s="1128"/>
      <c r="AO44" s="1459"/>
      <c r="AP44" s="1459"/>
      <c r="AQ44" s="1459"/>
      <c r="AR44" s="1128"/>
      <c r="AS44" s="1459"/>
      <c r="AT44" s="1459"/>
      <c r="AU44" s="1459"/>
      <c r="AV44" s="1128"/>
      <c r="AW44" s="1459"/>
      <c r="AX44" s="1459"/>
      <c r="AY44" s="1459"/>
      <c r="AZ44" s="1128"/>
      <c r="BA44" s="1459"/>
      <c r="BB44" s="1459"/>
      <c r="BC44" s="1459"/>
      <c r="BD44" s="1128"/>
      <c r="BE44" s="1459"/>
      <c r="BF44" s="1459"/>
      <c r="BG44" s="1459"/>
      <c r="BH44" s="1128"/>
      <c r="BI44" s="1459"/>
      <c r="BJ44" s="1459"/>
      <c r="BK44" s="1459"/>
      <c r="BL44" s="1128"/>
      <c r="BM44" s="1459"/>
      <c r="BN44" s="1459"/>
      <c r="BO44" s="1459"/>
      <c r="BP44" s="1128"/>
      <c r="BQ44" s="1459"/>
      <c r="BR44" s="1459"/>
      <c r="BS44" s="1459"/>
      <c r="BT44" s="1106">
        <f t="shared" ref="BT44:BT49" si="14">BQ44+BR44+BS44</f>
        <v>0</v>
      </c>
      <c r="BU44" s="1459"/>
      <c r="BV44" s="1459"/>
      <c r="BW44" s="1459"/>
      <c r="BX44" s="1106">
        <f t="shared" ref="BX44:BX49" si="15">BU44+BV44+BW44</f>
        <v>0</v>
      </c>
      <c r="BY44" s="1459"/>
      <c r="BZ44" s="1459"/>
      <c r="CA44" s="1459">
        <v>3</v>
      </c>
      <c r="CB44" s="1106">
        <f t="shared" ref="CB44:CB49" si="16">BY44+BZ44+CA44</f>
        <v>3</v>
      </c>
    </row>
    <row r="45" spans="1:80" s="212" customFormat="1" ht="15" x14ac:dyDescent="0.25">
      <c r="A45" s="6251"/>
      <c r="B45" s="6201"/>
      <c r="C45" s="6248"/>
      <c r="D45" s="1107" t="s">
        <v>1301</v>
      </c>
      <c r="E45" s="1458"/>
      <c r="F45" s="1459"/>
      <c r="G45" s="1459"/>
      <c r="H45" s="1128"/>
      <c r="I45" s="1458"/>
      <c r="J45" s="1459"/>
      <c r="K45" s="1459"/>
      <c r="L45" s="1128"/>
      <c r="M45" s="1458"/>
      <c r="N45" s="1459"/>
      <c r="O45" s="1459"/>
      <c r="P45" s="1128"/>
      <c r="Q45" s="1458"/>
      <c r="R45" s="1459"/>
      <c r="S45" s="1459"/>
      <c r="T45" s="1128"/>
      <c r="U45" s="1458"/>
      <c r="V45" s="1459"/>
      <c r="W45" s="1459"/>
      <c r="X45" s="1128"/>
      <c r="Y45" s="1459"/>
      <c r="Z45" s="1459"/>
      <c r="AA45" s="1459"/>
      <c r="AB45" s="1128"/>
      <c r="AC45" s="1459"/>
      <c r="AD45" s="1459"/>
      <c r="AE45" s="1459"/>
      <c r="AF45" s="1128"/>
      <c r="AG45" s="1459"/>
      <c r="AH45" s="1459"/>
      <c r="AI45" s="1459"/>
      <c r="AJ45" s="1128"/>
      <c r="AK45" s="1459"/>
      <c r="AL45" s="1459"/>
      <c r="AM45" s="1459"/>
      <c r="AN45" s="1128"/>
      <c r="AO45" s="1459"/>
      <c r="AP45" s="1459"/>
      <c r="AQ45" s="1459"/>
      <c r="AR45" s="1128"/>
      <c r="AS45" s="1459"/>
      <c r="AT45" s="1459"/>
      <c r="AU45" s="1459"/>
      <c r="AV45" s="1128"/>
      <c r="AW45" s="1459"/>
      <c r="AX45" s="1459"/>
      <c r="AY45" s="1459"/>
      <c r="AZ45" s="1128"/>
      <c r="BA45" s="1459"/>
      <c r="BB45" s="1459"/>
      <c r="BC45" s="1459"/>
      <c r="BD45" s="1128"/>
      <c r="BE45" s="1459"/>
      <c r="BF45" s="1459"/>
      <c r="BG45" s="1459"/>
      <c r="BH45" s="1128"/>
      <c r="BI45" s="1459"/>
      <c r="BJ45" s="1459"/>
      <c r="BK45" s="1459"/>
      <c r="BL45" s="1128"/>
      <c r="BM45" s="1459"/>
      <c r="BN45" s="1459"/>
      <c r="BO45" s="1459"/>
      <c r="BP45" s="1128"/>
      <c r="BQ45" s="1459">
        <v>2</v>
      </c>
      <c r="BR45" s="1459"/>
      <c r="BS45" s="1459"/>
      <c r="BT45" s="1106">
        <f t="shared" si="14"/>
        <v>2</v>
      </c>
      <c r="BU45" s="1459"/>
      <c r="BV45" s="1459"/>
      <c r="BW45" s="1459"/>
      <c r="BX45" s="1106">
        <f t="shared" si="15"/>
        <v>0</v>
      </c>
      <c r="BY45" s="1459"/>
      <c r="BZ45" s="1459"/>
      <c r="CA45" s="1459">
        <v>3</v>
      </c>
      <c r="CB45" s="1106">
        <f t="shared" si="16"/>
        <v>3</v>
      </c>
    </row>
    <row r="46" spans="1:80" s="212" customFormat="1" ht="15" x14ac:dyDescent="0.25">
      <c r="A46" s="6251"/>
      <c r="B46" s="6201"/>
      <c r="C46" s="6248"/>
      <c r="D46" s="1107" t="s">
        <v>1302</v>
      </c>
      <c r="E46" s="1458"/>
      <c r="F46" s="1459"/>
      <c r="G46" s="1459"/>
      <c r="H46" s="1128"/>
      <c r="I46" s="1458"/>
      <c r="J46" s="1459"/>
      <c r="K46" s="1459"/>
      <c r="L46" s="1128"/>
      <c r="M46" s="1458"/>
      <c r="N46" s="1459"/>
      <c r="O46" s="1459"/>
      <c r="P46" s="1128"/>
      <c r="Q46" s="1458"/>
      <c r="R46" s="1459"/>
      <c r="S46" s="1459"/>
      <c r="T46" s="1128"/>
      <c r="U46" s="1458"/>
      <c r="V46" s="1459"/>
      <c r="W46" s="1459"/>
      <c r="X46" s="1128"/>
      <c r="Y46" s="1459"/>
      <c r="Z46" s="1459"/>
      <c r="AA46" s="1459"/>
      <c r="AB46" s="1128"/>
      <c r="AC46" s="1459"/>
      <c r="AD46" s="1459"/>
      <c r="AE46" s="1459"/>
      <c r="AF46" s="1128"/>
      <c r="AG46" s="1459"/>
      <c r="AH46" s="1459"/>
      <c r="AI46" s="1459"/>
      <c r="AJ46" s="1128"/>
      <c r="AK46" s="1459"/>
      <c r="AL46" s="1459"/>
      <c r="AM46" s="1459"/>
      <c r="AN46" s="1128"/>
      <c r="AO46" s="1459"/>
      <c r="AP46" s="1459"/>
      <c r="AQ46" s="1459"/>
      <c r="AR46" s="1128"/>
      <c r="AS46" s="1459"/>
      <c r="AT46" s="1459"/>
      <c r="AU46" s="1459"/>
      <c r="AV46" s="1128"/>
      <c r="AW46" s="1459"/>
      <c r="AX46" s="1459"/>
      <c r="AY46" s="1459"/>
      <c r="AZ46" s="1128"/>
      <c r="BA46" s="1459"/>
      <c r="BB46" s="1459"/>
      <c r="BC46" s="1459"/>
      <c r="BD46" s="1128"/>
      <c r="BE46" s="1459"/>
      <c r="BF46" s="1459"/>
      <c r="BG46" s="1459"/>
      <c r="BH46" s="1128"/>
      <c r="BI46" s="1459"/>
      <c r="BJ46" s="1459"/>
      <c r="BK46" s="1459"/>
      <c r="BL46" s="1128"/>
      <c r="BM46" s="1459"/>
      <c r="BN46" s="1459"/>
      <c r="BO46" s="1459"/>
      <c r="BP46" s="1128"/>
      <c r="BQ46" s="1459">
        <v>4</v>
      </c>
      <c r="BR46" s="1459"/>
      <c r="BS46" s="1459"/>
      <c r="BT46" s="1106">
        <f t="shared" si="14"/>
        <v>4</v>
      </c>
      <c r="BU46" s="1459"/>
      <c r="BV46" s="1459"/>
      <c r="BW46" s="1459">
        <v>3</v>
      </c>
      <c r="BX46" s="1106">
        <f t="shared" si="15"/>
        <v>3</v>
      </c>
      <c r="BY46" s="1459"/>
      <c r="BZ46" s="1459"/>
      <c r="CA46" s="1459">
        <v>4</v>
      </c>
      <c r="CB46" s="1106">
        <f t="shared" si="16"/>
        <v>4</v>
      </c>
    </row>
    <row r="47" spans="1:80" s="212" customFormat="1" ht="15" x14ac:dyDescent="0.25">
      <c r="A47" s="6251"/>
      <c r="B47" s="6201"/>
      <c r="C47" s="6248"/>
      <c r="D47" s="1107" t="s">
        <v>1303</v>
      </c>
      <c r="E47" s="1458"/>
      <c r="F47" s="1459"/>
      <c r="G47" s="1459"/>
      <c r="H47" s="1128"/>
      <c r="I47" s="1458"/>
      <c r="J47" s="1459"/>
      <c r="K47" s="1459"/>
      <c r="L47" s="1128"/>
      <c r="M47" s="1458"/>
      <c r="N47" s="1459"/>
      <c r="O47" s="1459"/>
      <c r="P47" s="1128"/>
      <c r="Q47" s="1458"/>
      <c r="R47" s="1459"/>
      <c r="S47" s="1459"/>
      <c r="T47" s="1128"/>
      <c r="U47" s="1458"/>
      <c r="V47" s="1459"/>
      <c r="W47" s="1459"/>
      <c r="X47" s="1128"/>
      <c r="Y47" s="1459"/>
      <c r="Z47" s="1459"/>
      <c r="AA47" s="1459"/>
      <c r="AB47" s="1128"/>
      <c r="AC47" s="1459"/>
      <c r="AD47" s="1459"/>
      <c r="AE47" s="1459"/>
      <c r="AF47" s="1128"/>
      <c r="AG47" s="1459"/>
      <c r="AH47" s="1459"/>
      <c r="AI47" s="1459"/>
      <c r="AJ47" s="1128"/>
      <c r="AK47" s="1459"/>
      <c r="AL47" s="1459"/>
      <c r="AM47" s="1459"/>
      <c r="AN47" s="1128"/>
      <c r="AO47" s="1459"/>
      <c r="AP47" s="1459"/>
      <c r="AQ47" s="1459"/>
      <c r="AR47" s="1128"/>
      <c r="AS47" s="1459"/>
      <c r="AT47" s="1459"/>
      <c r="AU47" s="1459"/>
      <c r="AV47" s="1128"/>
      <c r="AW47" s="1459"/>
      <c r="AX47" s="1459"/>
      <c r="AY47" s="1459"/>
      <c r="AZ47" s="1128"/>
      <c r="BA47" s="1459"/>
      <c r="BB47" s="1459"/>
      <c r="BC47" s="1459"/>
      <c r="BD47" s="1128"/>
      <c r="BE47" s="1459"/>
      <c r="BF47" s="1459"/>
      <c r="BG47" s="1459"/>
      <c r="BH47" s="1128"/>
      <c r="BI47" s="1459"/>
      <c r="BJ47" s="1459"/>
      <c r="BK47" s="1459"/>
      <c r="BL47" s="1128"/>
      <c r="BM47" s="1459"/>
      <c r="BN47" s="1459"/>
      <c r="BO47" s="1459"/>
      <c r="BP47" s="1128"/>
      <c r="BQ47" s="1459"/>
      <c r="BR47" s="1459"/>
      <c r="BS47" s="1459"/>
      <c r="BT47" s="1106">
        <f t="shared" si="14"/>
        <v>0</v>
      </c>
      <c r="BU47" s="1459"/>
      <c r="BV47" s="1459"/>
      <c r="BW47" s="1459"/>
      <c r="BX47" s="1106">
        <f t="shared" si="15"/>
        <v>0</v>
      </c>
      <c r="BY47" s="1459"/>
      <c r="BZ47" s="1459"/>
      <c r="CA47" s="1459">
        <v>3</v>
      </c>
      <c r="CB47" s="1106">
        <f t="shared" si="16"/>
        <v>3</v>
      </c>
    </row>
    <row r="48" spans="1:80" s="212" customFormat="1" ht="15" x14ac:dyDescent="0.25">
      <c r="A48" s="6251"/>
      <c r="B48" s="6201"/>
      <c r="C48" s="6248"/>
      <c r="D48" s="1107" t="s">
        <v>1304</v>
      </c>
      <c r="E48" s="1458"/>
      <c r="F48" s="1459"/>
      <c r="G48" s="1459"/>
      <c r="H48" s="1128"/>
      <c r="I48" s="1458"/>
      <c r="J48" s="1459"/>
      <c r="K48" s="1459"/>
      <c r="L48" s="1128"/>
      <c r="M48" s="1458"/>
      <c r="N48" s="1459"/>
      <c r="O48" s="1459"/>
      <c r="P48" s="1128"/>
      <c r="Q48" s="1458"/>
      <c r="R48" s="1459"/>
      <c r="S48" s="1459"/>
      <c r="T48" s="1128"/>
      <c r="U48" s="1458"/>
      <c r="V48" s="1459"/>
      <c r="W48" s="1459"/>
      <c r="X48" s="1128"/>
      <c r="Y48" s="1459"/>
      <c r="Z48" s="1459"/>
      <c r="AA48" s="1459"/>
      <c r="AB48" s="1128"/>
      <c r="AC48" s="1459"/>
      <c r="AD48" s="1459"/>
      <c r="AE48" s="1459"/>
      <c r="AF48" s="1128"/>
      <c r="AG48" s="1459"/>
      <c r="AH48" s="1459"/>
      <c r="AI48" s="1459"/>
      <c r="AJ48" s="1128"/>
      <c r="AK48" s="1459"/>
      <c r="AL48" s="1459"/>
      <c r="AM48" s="1459"/>
      <c r="AN48" s="1128"/>
      <c r="AO48" s="1459"/>
      <c r="AP48" s="1459"/>
      <c r="AQ48" s="1459"/>
      <c r="AR48" s="1128"/>
      <c r="AS48" s="1459"/>
      <c r="AT48" s="1459"/>
      <c r="AU48" s="1459"/>
      <c r="AV48" s="1128"/>
      <c r="AW48" s="1459"/>
      <c r="AX48" s="1459"/>
      <c r="AY48" s="1459"/>
      <c r="AZ48" s="1128"/>
      <c r="BA48" s="1459"/>
      <c r="BB48" s="1459"/>
      <c r="BC48" s="1459"/>
      <c r="BD48" s="1128"/>
      <c r="BE48" s="1459"/>
      <c r="BF48" s="1459"/>
      <c r="BG48" s="1459"/>
      <c r="BH48" s="1128"/>
      <c r="BI48" s="1459"/>
      <c r="BJ48" s="1459"/>
      <c r="BK48" s="1459"/>
      <c r="BL48" s="1128"/>
      <c r="BM48" s="1459"/>
      <c r="BN48" s="1459"/>
      <c r="BO48" s="1459"/>
      <c r="BP48" s="1128"/>
      <c r="BQ48" s="1459">
        <v>1</v>
      </c>
      <c r="BR48" s="1459"/>
      <c r="BS48" s="1459"/>
      <c r="BT48" s="1106">
        <f t="shared" si="14"/>
        <v>1</v>
      </c>
      <c r="BU48" s="1459"/>
      <c r="BV48" s="1459"/>
      <c r="BW48" s="1459">
        <v>4</v>
      </c>
      <c r="BX48" s="1106">
        <f t="shared" si="15"/>
        <v>4</v>
      </c>
      <c r="BY48" s="1459"/>
      <c r="BZ48" s="1459"/>
      <c r="CA48" s="1459">
        <v>5</v>
      </c>
      <c r="CB48" s="1106">
        <f t="shared" si="16"/>
        <v>5</v>
      </c>
    </row>
    <row r="49" spans="1:80" s="212" customFormat="1" ht="30" x14ac:dyDescent="0.25">
      <c r="A49" s="6251"/>
      <c r="B49" s="6201"/>
      <c r="C49" s="6249"/>
      <c r="D49" s="1107" t="s">
        <v>1305</v>
      </c>
      <c r="E49" s="1458"/>
      <c r="F49" s="1459"/>
      <c r="G49" s="1459"/>
      <c r="H49" s="1128"/>
      <c r="I49" s="1458"/>
      <c r="J49" s="1459"/>
      <c r="K49" s="1459"/>
      <c r="L49" s="1128"/>
      <c r="M49" s="1458"/>
      <c r="N49" s="1459"/>
      <c r="O49" s="1459"/>
      <c r="P49" s="1128"/>
      <c r="Q49" s="1458"/>
      <c r="R49" s="1459"/>
      <c r="S49" s="1459"/>
      <c r="T49" s="1128"/>
      <c r="U49" s="1458"/>
      <c r="V49" s="1459"/>
      <c r="W49" s="1459"/>
      <c r="X49" s="1128"/>
      <c r="Y49" s="1459"/>
      <c r="Z49" s="1459"/>
      <c r="AA49" s="1459"/>
      <c r="AB49" s="1128"/>
      <c r="AC49" s="1459"/>
      <c r="AD49" s="1459"/>
      <c r="AE49" s="1459"/>
      <c r="AF49" s="1128"/>
      <c r="AG49" s="1459"/>
      <c r="AH49" s="1459"/>
      <c r="AI49" s="1459"/>
      <c r="AJ49" s="1128"/>
      <c r="AK49" s="1459"/>
      <c r="AL49" s="1459"/>
      <c r="AM49" s="1459"/>
      <c r="AN49" s="1128"/>
      <c r="AO49" s="1459"/>
      <c r="AP49" s="1459"/>
      <c r="AQ49" s="1459"/>
      <c r="AR49" s="1128"/>
      <c r="AS49" s="1459"/>
      <c r="AT49" s="1459"/>
      <c r="AU49" s="1459"/>
      <c r="AV49" s="1128"/>
      <c r="AW49" s="1459"/>
      <c r="AX49" s="1459"/>
      <c r="AY49" s="1459"/>
      <c r="AZ49" s="1128"/>
      <c r="BA49" s="1459"/>
      <c r="BB49" s="1459"/>
      <c r="BC49" s="1459"/>
      <c r="BD49" s="1128"/>
      <c r="BE49" s="1459"/>
      <c r="BF49" s="1459"/>
      <c r="BG49" s="1459"/>
      <c r="BH49" s="1128"/>
      <c r="BI49" s="1459"/>
      <c r="BJ49" s="1459"/>
      <c r="BK49" s="1459"/>
      <c r="BL49" s="1128"/>
      <c r="BM49" s="1459"/>
      <c r="BN49" s="1459"/>
      <c r="BO49" s="1459"/>
      <c r="BP49" s="1128"/>
      <c r="BQ49" s="1459"/>
      <c r="BR49" s="1459"/>
      <c r="BS49" s="1459"/>
      <c r="BT49" s="1106">
        <f t="shared" si="14"/>
        <v>0</v>
      </c>
      <c r="BU49" s="1459"/>
      <c r="BV49" s="1459"/>
      <c r="BW49" s="1459"/>
      <c r="BX49" s="1106">
        <f t="shared" si="15"/>
        <v>0</v>
      </c>
      <c r="BY49" s="1459"/>
      <c r="BZ49" s="1459"/>
      <c r="CA49" s="1459">
        <v>1</v>
      </c>
      <c r="CB49" s="1106">
        <f t="shared" si="16"/>
        <v>1</v>
      </c>
    </row>
    <row r="50" spans="1:80" s="212" customFormat="1" ht="15" x14ac:dyDescent="0.25">
      <c r="A50" s="6251"/>
      <c r="B50" s="6253"/>
      <c r="C50" s="5153"/>
      <c r="D50" s="5160" t="s">
        <v>445</v>
      </c>
      <c r="E50" s="1110">
        <f>SUM(E33:E43)</f>
        <v>57</v>
      </c>
      <c r="F50" s="1111"/>
      <c r="G50" s="1111">
        <f t="shared" ref="G50:Q50" si="17">SUM(G33:G43)</f>
        <v>31</v>
      </c>
      <c r="H50" s="1112">
        <f t="shared" si="17"/>
        <v>88</v>
      </c>
      <c r="I50" s="1110">
        <f t="shared" si="17"/>
        <v>35</v>
      </c>
      <c r="J50" s="1111">
        <f t="shared" si="17"/>
        <v>1</v>
      </c>
      <c r="K50" s="1111">
        <f t="shared" si="17"/>
        <v>46</v>
      </c>
      <c r="L50" s="1112">
        <f t="shared" si="17"/>
        <v>82</v>
      </c>
      <c r="M50" s="1110">
        <f t="shared" si="17"/>
        <v>4</v>
      </c>
      <c r="N50" s="1111">
        <f t="shared" si="17"/>
        <v>17</v>
      </c>
      <c r="O50" s="1111">
        <f t="shared" si="17"/>
        <v>59</v>
      </c>
      <c r="P50" s="1112">
        <f t="shared" si="17"/>
        <v>80</v>
      </c>
      <c r="Q50" s="1110">
        <f t="shared" si="17"/>
        <v>1</v>
      </c>
      <c r="R50" s="1111"/>
      <c r="S50" s="1111">
        <f>SUM(S33:S43)</f>
        <v>70</v>
      </c>
      <c r="T50" s="1112">
        <f>SUM(T33:T43)</f>
        <v>71</v>
      </c>
      <c r="U50" s="1110"/>
      <c r="V50" s="1111"/>
      <c r="W50" s="1111">
        <f>SUM(W33:W43)</f>
        <v>29</v>
      </c>
      <c r="X50" s="1112">
        <f>SUM(X33:X43)</f>
        <v>29</v>
      </c>
      <c r="Y50" s="1111"/>
      <c r="Z50" s="1111"/>
      <c r="AA50" s="1111">
        <f>SUM(AA33:AA43)</f>
        <v>32</v>
      </c>
      <c r="AB50" s="1112">
        <f>SUM(AB33:AB43)</f>
        <v>32</v>
      </c>
      <c r="AC50" s="1111"/>
      <c r="AD50" s="1111"/>
      <c r="AE50" s="1111">
        <f>SUM(AE33:AE43)</f>
        <v>38</v>
      </c>
      <c r="AF50" s="1112">
        <f>SUM(AF33:AF43)</f>
        <v>38</v>
      </c>
      <c r="AG50" s="1111"/>
      <c r="AH50" s="1111"/>
      <c r="AI50" s="1111">
        <f>SUM(AI33:AI43)</f>
        <v>48</v>
      </c>
      <c r="AJ50" s="1112">
        <f>SUM(AJ33:AJ43)</f>
        <v>48</v>
      </c>
      <c r="AK50" s="1111"/>
      <c r="AL50" s="1111"/>
      <c r="AM50" s="1111">
        <f>SUM(AM33:AM43)</f>
        <v>55</v>
      </c>
      <c r="AN50" s="1112">
        <f>SUM(AN33:AN43)</f>
        <v>55</v>
      </c>
      <c r="AO50" s="1111"/>
      <c r="AP50" s="1111"/>
      <c r="AQ50" s="1111">
        <f>SUM(AQ33:AQ43)</f>
        <v>64</v>
      </c>
      <c r="AR50" s="1112">
        <f>SUM(AR33:AR43)</f>
        <v>64</v>
      </c>
      <c r="AS50" s="1111"/>
      <c r="AT50" s="1111"/>
      <c r="AU50" s="1111">
        <f>SUM(AU33:AU43)</f>
        <v>72</v>
      </c>
      <c r="AV50" s="1112">
        <f>SUM(AV33:AV43)</f>
        <v>72</v>
      </c>
      <c r="AW50" s="1111"/>
      <c r="AX50" s="1111"/>
      <c r="AY50" s="1111">
        <f>SUM(AY33:AY43)</f>
        <v>100</v>
      </c>
      <c r="AZ50" s="1112">
        <f>SUM(AZ33:AZ43)</f>
        <v>100</v>
      </c>
      <c r="BA50" s="1111"/>
      <c r="BB50" s="1111"/>
      <c r="BC50" s="1111">
        <f>SUM(BC33:BC43)</f>
        <v>62</v>
      </c>
      <c r="BD50" s="1112">
        <f>SUM(BD33:BD43)</f>
        <v>62</v>
      </c>
      <c r="BE50" s="1111"/>
      <c r="BF50" s="1111"/>
      <c r="BG50" s="1111">
        <f>SUM(BG33:BG43)</f>
        <v>104</v>
      </c>
      <c r="BH50" s="1112">
        <f>SUM(BH33:BH43)</f>
        <v>104</v>
      </c>
      <c r="BI50" s="1111"/>
      <c r="BJ50" s="1111"/>
      <c r="BK50" s="1111">
        <f>SUM(BK33:BK43)</f>
        <v>50</v>
      </c>
      <c r="BL50" s="1112">
        <f>SUM(BL33:BL43)</f>
        <v>50</v>
      </c>
      <c r="BM50" s="1111"/>
      <c r="BN50" s="1111"/>
      <c r="BO50" s="1111">
        <f>SUM(BO33:BO43)</f>
        <v>111</v>
      </c>
      <c r="BP50" s="1112">
        <f>SUM(BP33:BP43)</f>
        <v>111</v>
      </c>
      <c r="BQ50" s="1111">
        <f t="shared" ref="BQ50:BX50" si="18">SUM(BQ33:BQ49)</f>
        <v>9</v>
      </c>
      <c r="BR50" s="1111">
        <f t="shared" si="18"/>
        <v>38</v>
      </c>
      <c r="BS50" s="1111">
        <f t="shared" si="18"/>
        <v>24</v>
      </c>
      <c r="BT50" s="1112">
        <f t="shared" si="18"/>
        <v>71</v>
      </c>
      <c r="BU50" s="1111">
        <f t="shared" si="18"/>
        <v>0</v>
      </c>
      <c r="BV50" s="1111">
        <f t="shared" si="18"/>
        <v>1</v>
      </c>
      <c r="BW50" s="1111">
        <f t="shared" si="18"/>
        <v>31</v>
      </c>
      <c r="BX50" s="1112">
        <f t="shared" si="18"/>
        <v>32</v>
      </c>
      <c r="BY50" s="1111">
        <f>SUM(BY33:BY49)</f>
        <v>0</v>
      </c>
      <c r="BZ50" s="1111">
        <f>SUM(BZ33:BZ49)</f>
        <v>0</v>
      </c>
      <c r="CA50" s="1111">
        <f>SUM(CA33:CA49)</f>
        <v>47</v>
      </c>
      <c r="CB50" s="1112">
        <f>SUM(CB33:CB49)</f>
        <v>47</v>
      </c>
    </row>
    <row r="51" spans="1:80" s="212" customFormat="1" ht="15" x14ac:dyDescent="0.2">
      <c r="A51" s="6252"/>
      <c r="B51" s="4689"/>
      <c r="C51" s="4689"/>
      <c r="D51" s="4690" t="s">
        <v>523</v>
      </c>
      <c r="E51" s="4691">
        <f t="shared" ref="E51:AZ51" si="19">SUM(E50,E32,E15)</f>
        <v>98</v>
      </c>
      <c r="F51" s="4692">
        <f t="shared" si="19"/>
        <v>15</v>
      </c>
      <c r="G51" s="4692">
        <f t="shared" si="19"/>
        <v>110</v>
      </c>
      <c r="H51" s="4693">
        <f t="shared" si="19"/>
        <v>223</v>
      </c>
      <c r="I51" s="4691">
        <f t="shared" si="19"/>
        <v>118</v>
      </c>
      <c r="J51" s="4692">
        <f t="shared" si="19"/>
        <v>14</v>
      </c>
      <c r="K51" s="4692">
        <f t="shared" si="19"/>
        <v>140</v>
      </c>
      <c r="L51" s="4693">
        <f t="shared" si="19"/>
        <v>272</v>
      </c>
      <c r="M51" s="4691">
        <f t="shared" si="19"/>
        <v>9</v>
      </c>
      <c r="N51" s="4692">
        <f t="shared" si="19"/>
        <v>33</v>
      </c>
      <c r="O51" s="4692">
        <f t="shared" si="19"/>
        <v>154</v>
      </c>
      <c r="P51" s="4693">
        <f t="shared" si="19"/>
        <v>196</v>
      </c>
      <c r="Q51" s="4691">
        <f t="shared" si="19"/>
        <v>28</v>
      </c>
      <c r="R51" s="4692">
        <f t="shared" si="19"/>
        <v>6</v>
      </c>
      <c r="S51" s="4692">
        <f t="shared" si="19"/>
        <v>131</v>
      </c>
      <c r="T51" s="4693">
        <f t="shared" si="19"/>
        <v>165</v>
      </c>
      <c r="U51" s="4691">
        <f t="shared" si="19"/>
        <v>18</v>
      </c>
      <c r="V51" s="4692">
        <f t="shared" si="19"/>
        <v>5</v>
      </c>
      <c r="W51" s="4692">
        <f t="shared" si="19"/>
        <v>81</v>
      </c>
      <c r="X51" s="4693">
        <f t="shared" si="19"/>
        <v>104</v>
      </c>
      <c r="Y51" s="4692">
        <f t="shared" si="19"/>
        <v>31</v>
      </c>
      <c r="Z51" s="4692">
        <f t="shared" si="19"/>
        <v>7</v>
      </c>
      <c r="AA51" s="4692">
        <f t="shared" si="19"/>
        <v>120</v>
      </c>
      <c r="AB51" s="4693">
        <f t="shared" si="19"/>
        <v>158</v>
      </c>
      <c r="AC51" s="4692">
        <f t="shared" si="19"/>
        <v>18</v>
      </c>
      <c r="AD51" s="4692">
        <f t="shared" si="19"/>
        <v>0</v>
      </c>
      <c r="AE51" s="4692">
        <f t="shared" si="19"/>
        <v>136</v>
      </c>
      <c r="AF51" s="4693">
        <f t="shared" si="19"/>
        <v>154</v>
      </c>
      <c r="AG51" s="4692">
        <f t="shared" si="19"/>
        <v>35</v>
      </c>
      <c r="AH51" s="4692">
        <f t="shared" si="19"/>
        <v>1</v>
      </c>
      <c r="AI51" s="4692">
        <f t="shared" si="19"/>
        <v>100</v>
      </c>
      <c r="AJ51" s="4693">
        <f t="shared" si="19"/>
        <v>136</v>
      </c>
      <c r="AK51" s="4692">
        <f t="shared" si="19"/>
        <v>24</v>
      </c>
      <c r="AL51" s="4692">
        <f t="shared" si="19"/>
        <v>10</v>
      </c>
      <c r="AM51" s="4692">
        <f t="shared" si="19"/>
        <v>167</v>
      </c>
      <c r="AN51" s="4693">
        <f t="shared" si="19"/>
        <v>201</v>
      </c>
      <c r="AO51" s="4692">
        <f t="shared" si="19"/>
        <v>30</v>
      </c>
      <c r="AP51" s="4692">
        <f t="shared" si="19"/>
        <v>2</v>
      </c>
      <c r="AQ51" s="4692">
        <f t="shared" si="19"/>
        <v>126</v>
      </c>
      <c r="AR51" s="4693">
        <f t="shared" si="19"/>
        <v>158</v>
      </c>
      <c r="AS51" s="4692">
        <f t="shared" si="19"/>
        <v>14</v>
      </c>
      <c r="AT51" s="4692">
        <f t="shared" si="19"/>
        <v>1</v>
      </c>
      <c r="AU51" s="4692">
        <f t="shared" si="19"/>
        <v>195</v>
      </c>
      <c r="AV51" s="4693">
        <f t="shared" si="19"/>
        <v>210</v>
      </c>
      <c r="AW51" s="4692">
        <f t="shared" si="19"/>
        <v>20</v>
      </c>
      <c r="AX51" s="4692">
        <f t="shared" si="19"/>
        <v>17</v>
      </c>
      <c r="AY51" s="4692">
        <f t="shared" si="19"/>
        <v>159</v>
      </c>
      <c r="AZ51" s="4692">
        <f t="shared" si="19"/>
        <v>196</v>
      </c>
      <c r="BA51" s="4692">
        <f>SUM(BA15,BA32,BA50)</f>
        <v>8</v>
      </c>
      <c r="BB51" s="4692">
        <f t="shared" ref="BB51:CB51" si="20">SUM(BB50,BB32,BB15)</f>
        <v>4</v>
      </c>
      <c r="BC51" s="4692">
        <f t="shared" si="20"/>
        <v>174</v>
      </c>
      <c r="BD51" s="4693">
        <f t="shared" si="20"/>
        <v>186</v>
      </c>
      <c r="BE51" s="4692">
        <f t="shared" si="20"/>
        <v>24</v>
      </c>
      <c r="BF51" s="4692">
        <f t="shared" si="20"/>
        <v>9</v>
      </c>
      <c r="BG51" s="4692">
        <f t="shared" si="20"/>
        <v>184</v>
      </c>
      <c r="BH51" s="4693">
        <f t="shared" si="20"/>
        <v>217</v>
      </c>
      <c r="BI51" s="4692">
        <f t="shared" si="20"/>
        <v>18</v>
      </c>
      <c r="BJ51" s="4692">
        <f t="shared" si="20"/>
        <v>2</v>
      </c>
      <c r="BK51" s="4692">
        <f t="shared" si="20"/>
        <v>197</v>
      </c>
      <c r="BL51" s="4693">
        <f t="shared" si="20"/>
        <v>217</v>
      </c>
      <c r="BM51" s="4692">
        <f t="shared" si="20"/>
        <v>48</v>
      </c>
      <c r="BN51" s="4692">
        <f t="shared" si="20"/>
        <v>3</v>
      </c>
      <c r="BO51" s="4692">
        <f t="shared" si="20"/>
        <v>229</v>
      </c>
      <c r="BP51" s="4693">
        <f t="shared" si="20"/>
        <v>280</v>
      </c>
      <c r="BQ51" s="4692">
        <f t="shared" si="20"/>
        <v>35</v>
      </c>
      <c r="BR51" s="4692">
        <f t="shared" si="20"/>
        <v>38</v>
      </c>
      <c r="BS51" s="4692">
        <f t="shared" si="20"/>
        <v>149</v>
      </c>
      <c r="BT51" s="4693">
        <f t="shared" si="20"/>
        <v>222</v>
      </c>
      <c r="BU51" s="4692">
        <f t="shared" si="20"/>
        <v>28</v>
      </c>
      <c r="BV51" s="4692">
        <f t="shared" si="20"/>
        <v>6</v>
      </c>
      <c r="BW51" s="4692">
        <f t="shared" si="20"/>
        <v>167</v>
      </c>
      <c r="BX51" s="4693">
        <f t="shared" si="20"/>
        <v>201</v>
      </c>
      <c r="BY51" s="4692">
        <f t="shared" si="20"/>
        <v>87</v>
      </c>
      <c r="BZ51" s="4692">
        <f t="shared" si="20"/>
        <v>3</v>
      </c>
      <c r="CA51" s="4692">
        <f t="shared" si="20"/>
        <v>184</v>
      </c>
      <c r="CB51" s="4693">
        <f t="shared" si="20"/>
        <v>274</v>
      </c>
    </row>
    <row r="52" spans="1:80" s="212" customFormat="1" ht="15" x14ac:dyDescent="0.25">
      <c r="A52" s="6259" t="s">
        <v>8</v>
      </c>
      <c r="B52" s="6188" t="s">
        <v>6</v>
      </c>
      <c r="C52" s="1464" t="s">
        <v>521</v>
      </c>
      <c r="D52" s="1133" t="s">
        <v>406</v>
      </c>
      <c r="E52" s="1129"/>
      <c r="F52" s="1130"/>
      <c r="G52" s="1130"/>
      <c r="H52" s="1131"/>
      <c r="I52" s="1129"/>
      <c r="J52" s="1130"/>
      <c r="K52" s="1130"/>
      <c r="L52" s="1131"/>
      <c r="M52" s="1129"/>
      <c r="N52" s="1130"/>
      <c r="O52" s="1130"/>
      <c r="P52" s="1131"/>
      <c r="Q52" s="1129"/>
      <c r="R52" s="1130"/>
      <c r="S52" s="1130"/>
      <c r="T52" s="1131"/>
      <c r="U52" s="1129"/>
      <c r="V52" s="1130"/>
      <c r="W52" s="1130"/>
      <c r="X52" s="1131"/>
      <c r="Y52" s="1134"/>
      <c r="Z52" s="1132"/>
      <c r="AA52" s="1132"/>
      <c r="AB52" s="1131"/>
      <c r="AC52" s="1132"/>
      <c r="AD52" s="1132"/>
      <c r="AE52" s="1132"/>
      <c r="AF52" s="1135"/>
      <c r="AG52" s="1134"/>
      <c r="AH52" s="1132"/>
      <c r="AI52" s="1132"/>
      <c r="AJ52" s="1131"/>
      <c r="AK52" s="1132"/>
      <c r="AL52" s="1132"/>
      <c r="AM52" s="1132"/>
      <c r="AN52" s="1135"/>
      <c r="AO52" s="1134"/>
      <c r="AP52" s="1132"/>
      <c r="AQ52" s="1132"/>
      <c r="AR52" s="1102"/>
      <c r="AS52" s="1132"/>
      <c r="AT52" s="1132"/>
      <c r="AU52" s="1132"/>
      <c r="AV52" s="1136"/>
      <c r="AW52" s="1134"/>
      <c r="AX52" s="1132"/>
      <c r="AY52" s="1132"/>
      <c r="AZ52" s="1102"/>
      <c r="BA52" s="1132">
        <v>20</v>
      </c>
      <c r="BB52" s="1132"/>
      <c r="BC52" s="1132"/>
      <c r="BD52" s="1102">
        <f>BA52+BB52+BC52</f>
        <v>20</v>
      </c>
      <c r="BE52" s="1134">
        <v>13</v>
      </c>
      <c r="BF52" s="1132"/>
      <c r="BG52" s="1132"/>
      <c r="BH52" s="1102">
        <f>BE52+BF52+BG52</f>
        <v>13</v>
      </c>
      <c r="BI52" s="1134">
        <v>23</v>
      </c>
      <c r="BJ52" s="1132"/>
      <c r="BK52" s="1132"/>
      <c r="BL52" s="1102">
        <f>BI52+BJ52+BK52</f>
        <v>23</v>
      </c>
      <c r="BM52" s="1134"/>
      <c r="BN52" s="1132"/>
      <c r="BO52" s="1132">
        <v>13</v>
      </c>
      <c r="BP52" s="1102">
        <f>BM52+BN52+BO52</f>
        <v>13</v>
      </c>
      <c r="BQ52" s="1134"/>
      <c r="BR52" s="1132"/>
      <c r="BS52" s="1132">
        <v>21</v>
      </c>
      <c r="BT52" s="1102">
        <f>BQ52+BR52+BS52</f>
        <v>21</v>
      </c>
      <c r="BU52" s="1134"/>
      <c r="BV52" s="1132"/>
      <c r="BW52" s="1132">
        <v>8</v>
      </c>
      <c r="BX52" s="1102">
        <f>BU52+BV52+BW52</f>
        <v>8</v>
      </c>
      <c r="BY52" s="1134"/>
      <c r="BZ52" s="1132"/>
      <c r="CA52" s="1132">
        <v>12</v>
      </c>
      <c r="CB52" s="1102">
        <f>BY52+BZ52+CA52</f>
        <v>12</v>
      </c>
    </row>
    <row r="53" spans="1:80" s="212" customFormat="1" ht="15" x14ac:dyDescent="0.25">
      <c r="A53" s="6260"/>
      <c r="B53" s="6190"/>
      <c r="C53" s="5162" t="s">
        <v>520</v>
      </c>
      <c r="D53" s="1107" t="s">
        <v>399</v>
      </c>
      <c r="E53" s="1104"/>
      <c r="F53" s="1105"/>
      <c r="G53" s="1105"/>
      <c r="H53" s="1106"/>
      <c r="I53" s="1104"/>
      <c r="J53" s="1105"/>
      <c r="K53" s="1105"/>
      <c r="L53" s="1106"/>
      <c r="M53" s="1104"/>
      <c r="N53" s="1105"/>
      <c r="O53" s="1105"/>
      <c r="P53" s="1106"/>
      <c r="Q53" s="1104"/>
      <c r="R53" s="1105"/>
      <c r="S53" s="1105"/>
      <c r="T53" s="1106"/>
      <c r="U53" s="1104"/>
      <c r="V53" s="1105"/>
      <c r="W53" s="1105"/>
      <c r="X53" s="1106"/>
      <c r="Y53" s="1105"/>
      <c r="Z53" s="1105"/>
      <c r="AA53" s="1105"/>
      <c r="AB53" s="1106"/>
      <c r="AC53" s="1105"/>
      <c r="AD53" s="1105"/>
      <c r="AE53" s="1105"/>
      <c r="AF53" s="1106"/>
      <c r="AG53" s="1105"/>
      <c r="AH53" s="1105"/>
      <c r="AI53" s="1105"/>
      <c r="AJ53" s="1106"/>
      <c r="AK53" s="1105"/>
      <c r="AL53" s="1105"/>
      <c r="AM53" s="1105"/>
      <c r="AN53" s="1106"/>
      <c r="AO53" s="1105"/>
      <c r="AP53" s="1105"/>
      <c r="AQ53" s="1105"/>
      <c r="AR53" s="1106"/>
      <c r="AS53" s="1105"/>
      <c r="AT53" s="1105"/>
      <c r="AU53" s="1105"/>
      <c r="AV53" s="1106"/>
      <c r="AW53" s="1105"/>
      <c r="AX53" s="1105"/>
      <c r="AY53" s="1105"/>
      <c r="AZ53" s="1106"/>
      <c r="BA53" s="1105">
        <v>12</v>
      </c>
      <c r="BB53" s="1105"/>
      <c r="BC53" s="1105"/>
      <c r="BD53" s="1106">
        <f>BA53+BB53+BC53</f>
        <v>12</v>
      </c>
      <c r="BE53" s="1105">
        <v>10</v>
      </c>
      <c r="BF53" s="1105"/>
      <c r="BG53" s="1105"/>
      <c r="BH53" s="1106">
        <f>BE53+BF53+BG53</f>
        <v>10</v>
      </c>
      <c r="BI53" s="1105"/>
      <c r="BJ53" s="1105">
        <v>2</v>
      </c>
      <c r="BK53" s="1105">
        <v>15</v>
      </c>
      <c r="BL53" s="1106">
        <f>BI53+BJ53+BK53</f>
        <v>17</v>
      </c>
      <c r="BM53" s="1105"/>
      <c r="BN53" s="1105"/>
      <c r="BO53" s="1105">
        <v>17</v>
      </c>
      <c r="BP53" s="1106">
        <f>BM53+BN53+BO53</f>
        <v>17</v>
      </c>
      <c r="BQ53" s="1105"/>
      <c r="BR53" s="1105"/>
      <c r="BS53" s="1105">
        <v>19</v>
      </c>
      <c r="BT53" s="1106">
        <f>BQ53+BR53+BS53</f>
        <v>19</v>
      </c>
      <c r="BU53" s="1105"/>
      <c r="BV53" s="1105"/>
      <c r="BW53" s="1105">
        <v>10</v>
      </c>
      <c r="BX53" s="1106">
        <f>BU53+BV53+BW53</f>
        <v>10</v>
      </c>
      <c r="BY53" s="1105"/>
      <c r="BZ53" s="1105"/>
      <c r="CA53" s="1105">
        <v>10</v>
      </c>
      <c r="CB53" s="1106">
        <f>BY53+BZ53+CA53</f>
        <v>10</v>
      </c>
    </row>
    <row r="54" spans="1:80" s="212" customFormat="1" ht="15" x14ac:dyDescent="0.25">
      <c r="A54" s="6260"/>
      <c r="B54" s="6189"/>
      <c r="C54" s="5163"/>
      <c r="D54" s="5160" t="s">
        <v>445</v>
      </c>
      <c r="E54" s="1110"/>
      <c r="F54" s="1111"/>
      <c r="G54" s="1111"/>
      <c r="H54" s="1112"/>
      <c r="I54" s="1110"/>
      <c r="J54" s="1111"/>
      <c r="K54" s="1111"/>
      <c r="L54" s="1112"/>
      <c r="M54" s="1110"/>
      <c r="N54" s="1111"/>
      <c r="O54" s="1111"/>
      <c r="P54" s="1112"/>
      <c r="Q54" s="1110"/>
      <c r="R54" s="1111"/>
      <c r="S54" s="1111"/>
      <c r="T54" s="1112"/>
      <c r="U54" s="1110"/>
      <c r="V54" s="1111"/>
      <c r="W54" s="1111"/>
      <c r="X54" s="1112"/>
      <c r="Y54" s="1111"/>
      <c r="Z54" s="1111"/>
      <c r="AA54" s="1111"/>
      <c r="AB54" s="1112"/>
      <c r="AC54" s="1111"/>
      <c r="AD54" s="1111"/>
      <c r="AE54" s="1111"/>
      <c r="AF54" s="1112"/>
      <c r="AG54" s="1111"/>
      <c r="AH54" s="1111"/>
      <c r="AI54" s="1111"/>
      <c r="AJ54" s="1112"/>
      <c r="AK54" s="1111"/>
      <c r="AL54" s="1111"/>
      <c r="AM54" s="1111"/>
      <c r="AN54" s="1112"/>
      <c r="AO54" s="1111"/>
      <c r="AP54" s="1111"/>
      <c r="AQ54" s="1111"/>
      <c r="AR54" s="1112"/>
      <c r="AS54" s="1111"/>
      <c r="AT54" s="1111"/>
      <c r="AU54" s="1111"/>
      <c r="AV54" s="1112"/>
      <c r="AW54" s="1111"/>
      <c r="AX54" s="1111"/>
      <c r="AY54" s="1111"/>
      <c r="AZ54" s="1112"/>
      <c r="BA54" s="1111">
        <f>SUM(BA52:BA53)</f>
        <v>32</v>
      </c>
      <c r="BB54" s="1111"/>
      <c r="BC54" s="1111"/>
      <c r="BD54" s="1112">
        <f>SUM(BD52:BD53)</f>
        <v>32</v>
      </c>
      <c r="BE54" s="1111">
        <f>SUM(BE52:BE53)</f>
        <v>23</v>
      </c>
      <c r="BF54" s="1111"/>
      <c r="BG54" s="1111"/>
      <c r="BH54" s="1112">
        <f t="shared" ref="BH54:BP54" si="21">SUM(BH52:BH53)</f>
        <v>23</v>
      </c>
      <c r="BI54" s="1111">
        <f t="shared" si="21"/>
        <v>23</v>
      </c>
      <c r="BJ54" s="1111">
        <f t="shared" si="21"/>
        <v>2</v>
      </c>
      <c r="BK54" s="1111">
        <f t="shared" si="21"/>
        <v>15</v>
      </c>
      <c r="BL54" s="1112">
        <f t="shared" si="21"/>
        <v>40</v>
      </c>
      <c r="BM54" s="1111"/>
      <c r="BN54" s="1111"/>
      <c r="BO54" s="1111">
        <f t="shared" si="21"/>
        <v>30</v>
      </c>
      <c r="BP54" s="1112">
        <f t="shared" si="21"/>
        <v>30</v>
      </c>
      <c r="BQ54" s="1111"/>
      <c r="BR54" s="1111"/>
      <c r="BS54" s="1111">
        <f>SUM(BS52:BS53)</f>
        <v>40</v>
      </c>
      <c r="BT54" s="1112">
        <f>SUM(BT52:BT53)</f>
        <v>40</v>
      </c>
      <c r="BU54" s="1111"/>
      <c r="BV54" s="1111"/>
      <c r="BW54" s="1111">
        <f>SUM(BW52:BW53)</f>
        <v>18</v>
      </c>
      <c r="BX54" s="1112">
        <f>SUM(BX52:BX53)</f>
        <v>18</v>
      </c>
      <c r="BY54" s="1111"/>
      <c r="BZ54" s="1111"/>
      <c r="CA54" s="1111">
        <f>SUM(CA52:CA53)</f>
        <v>22</v>
      </c>
      <c r="CB54" s="1112">
        <f>SUM(CB52:CB53)</f>
        <v>22</v>
      </c>
    </row>
    <row r="55" spans="1:80" s="212" customFormat="1" ht="15" x14ac:dyDescent="0.25">
      <c r="A55" s="6260"/>
      <c r="B55" s="6188" t="s">
        <v>9</v>
      </c>
      <c r="C55" s="5162" t="s">
        <v>521</v>
      </c>
      <c r="D55" s="1107" t="s">
        <v>412</v>
      </c>
      <c r="E55" s="1104"/>
      <c r="F55" s="1105"/>
      <c r="G55" s="1105"/>
      <c r="H55" s="1106"/>
      <c r="I55" s="1104"/>
      <c r="J55" s="1105"/>
      <c r="K55" s="1105"/>
      <c r="L55" s="1106"/>
      <c r="M55" s="1104"/>
      <c r="N55" s="1105"/>
      <c r="O55" s="1105"/>
      <c r="P55" s="1106"/>
      <c r="Q55" s="1104"/>
      <c r="R55" s="1105"/>
      <c r="S55" s="1105"/>
      <c r="T55" s="1106"/>
      <c r="U55" s="1104"/>
      <c r="V55" s="1105"/>
      <c r="W55" s="1105"/>
      <c r="X55" s="1106"/>
      <c r="Y55" s="1105"/>
      <c r="Z55" s="1105"/>
      <c r="AA55" s="1105"/>
      <c r="AB55" s="1106"/>
      <c r="AC55" s="1105"/>
      <c r="AD55" s="1105"/>
      <c r="AE55" s="1105"/>
      <c r="AF55" s="1106"/>
      <c r="AG55" s="1105"/>
      <c r="AH55" s="1105"/>
      <c r="AI55" s="1105"/>
      <c r="AJ55" s="1106"/>
      <c r="AK55" s="1105"/>
      <c r="AL55" s="1105"/>
      <c r="AM55" s="1105"/>
      <c r="AN55" s="1106"/>
      <c r="AO55" s="1105"/>
      <c r="AP55" s="1105"/>
      <c r="AQ55" s="1105"/>
      <c r="AR55" s="1106"/>
      <c r="AS55" s="1105"/>
      <c r="AT55" s="1105"/>
      <c r="AU55" s="1105"/>
      <c r="AV55" s="1106"/>
      <c r="AW55" s="1105"/>
      <c r="AX55" s="1105"/>
      <c r="AY55" s="1105"/>
      <c r="AZ55" s="1106"/>
      <c r="BA55" s="1105"/>
      <c r="BB55" s="1105"/>
      <c r="BC55" s="1105"/>
      <c r="BD55" s="1106"/>
      <c r="BE55" s="1105"/>
      <c r="BF55" s="1105"/>
      <c r="BG55" s="1105">
        <v>12</v>
      </c>
      <c r="BH55" s="1106">
        <f>SUM(BE55:BG55)</f>
        <v>12</v>
      </c>
      <c r="BI55" s="1105"/>
      <c r="BJ55" s="1105"/>
      <c r="BK55" s="1105">
        <v>12</v>
      </c>
      <c r="BL55" s="1106">
        <f>SUM(BI55:BK55)</f>
        <v>12</v>
      </c>
      <c r="BM55" s="1105"/>
      <c r="BN55" s="1105"/>
      <c r="BO55" s="1105">
        <v>20</v>
      </c>
      <c r="BP55" s="1106">
        <f>SUM(BM55:BO55)</f>
        <v>20</v>
      </c>
      <c r="BQ55" s="1105"/>
      <c r="BR55" s="1105"/>
      <c r="BS55" s="1105">
        <v>18</v>
      </c>
      <c r="BT55" s="1106">
        <f>SUM(BQ55:BS55)</f>
        <v>18</v>
      </c>
      <c r="BU55" s="1105"/>
      <c r="BV55" s="1105"/>
      <c r="BW55" s="1105">
        <v>22</v>
      </c>
      <c r="BX55" s="1106">
        <f>SUM(BU55:BW55)</f>
        <v>22</v>
      </c>
      <c r="BY55" s="1105"/>
      <c r="BZ55" s="1105"/>
      <c r="CA55" s="1105">
        <v>22</v>
      </c>
      <c r="CB55" s="1106">
        <f>SUM(BY55:CA55)</f>
        <v>22</v>
      </c>
    </row>
    <row r="56" spans="1:80" s="212" customFormat="1" ht="15" x14ac:dyDescent="0.25">
      <c r="A56" s="6260"/>
      <c r="B56" s="6189"/>
      <c r="C56" s="5163"/>
      <c r="D56" s="5160" t="s">
        <v>445</v>
      </c>
      <c r="E56" s="1110"/>
      <c r="F56" s="1111"/>
      <c r="G56" s="1111"/>
      <c r="H56" s="1112"/>
      <c r="I56" s="1110"/>
      <c r="J56" s="1111"/>
      <c r="K56" s="1111"/>
      <c r="L56" s="1112"/>
      <c r="M56" s="1110"/>
      <c r="N56" s="1111"/>
      <c r="O56" s="1111"/>
      <c r="P56" s="1112"/>
      <c r="Q56" s="1110"/>
      <c r="R56" s="1111"/>
      <c r="S56" s="1111"/>
      <c r="T56" s="1112"/>
      <c r="U56" s="1110"/>
      <c r="V56" s="1111"/>
      <c r="W56" s="1111"/>
      <c r="X56" s="1112"/>
      <c r="Y56" s="1111"/>
      <c r="Z56" s="1111"/>
      <c r="AA56" s="1111"/>
      <c r="AB56" s="1112"/>
      <c r="AC56" s="1111"/>
      <c r="AD56" s="1111"/>
      <c r="AE56" s="1111"/>
      <c r="AF56" s="1112"/>
      <c r="AG56" s="1111"/>
      <c r="AH56" s="1111"/>
      <c r="AI56" s="1111"/>
      <c r="AJ56" s="1112"/>
      <c r="AK56" s="1111"/>
      <c r="AL56" s="1111"/>
      <c r="AM56" s="1111"/>
      <c r="AN56" s="1112"/>
      <c r="AO56" s="1111"/>
      <c r="AP56" s="1111"/>
      <c r="AQ56" s="1111"/>
      <c r="AR56" s="1112"/>
      <c r="AS56" s="1111"/>
      <c r="AT56" s="1111"/>
      <c r="AU56" s="1111"/>
      <c r="AV56" s="1112"/>
      <c r="AW56" s="1111"/>
      <c r="AX56" s="1111"/>
      <c r="AY56" s="1111"/>
      <c r="AZ56" s="1112"/>
      <c r="BA56" s="1111"/>
      <c r="BB56" s="1111"/>
      <c r="BC56" s="1111"/>
      <c r="BD56" s="1112"/>
      <c r="BE56" s="1111"/>
      <c r="BF56" s="1111"/>
      <c r="BG56" s="1111">
        <f>SUM(BG55)</f>
        <v>12</v>
      </c>
      <c r="BH56" s="1112">
        <f>SUM(BH55)</f>
        <v>12</v>
      </c>
      <c r="BI56" s="1111"/>
      <c r="BJ56" s="1111"/>
      <c r="BK56" s="1111">
        <f>SUM(BK55)</f>
        <v>12</v>
      </c>
      <c r="BL56" s="1112">
        <f>SUM(BL55)</f>
        <v>12</v>
      </c>
      <c r="BM56" s="1111"/>
      <c r="BN56" s="1111"/>
      <c r="BO56" s="1111">
        <f>SUM(BO55)</f>
        <v>20</v>
      </c>
      <c r="BP56" s="1112">
        <f>SUM(BP55)</f>
        <v>20</v>
      </c>
      <c r="BQ56" s="1111"/>
      <c r="BR56" s="1111"/>
      <c r="BS56" s="1111">
        <f>SUM(BS55)</f>
        <v>18</v>
      </c>
      <c r="BT56" s="1112">
        <f>SUM(BT55)</f>
        <v>18</v>
      </c>
      <c r="BU56" s="1111"/>
      <c r="BV56" s="1111"/>
      <c r="BW56" s="1111">
        <f>SUM(BW55)</f>
        <v>22</v>
      </c>
      <c r="BX56" s="1112">
        <f>SUM(BX55)</f>
        <v>22</v>
      </c>
      <c r="BY56" s="1111"/>
      <c r="BZ56" s="1111"/>
      <c r="CA56" s="1111">
        <f>SUM(CA55)</f>
        <v>22</v>
      </c>
      <c r="CB56" s="1112">
        <f>SUM(CB55)</f>
        <v>22</v>
      </c>
    </row>
    <row r="57" spans="1:80" s="212" customFormat="1" ht="15" x14ac:dyDescent="0.25">
      <c r="A57" s="6260"/>
      <c r="B57" s="6188" t="s">
        <v>74</v>
      </c>
      <c r="C57" s="1464" t="s">
        <v>522</v>
      </c>
      <c r="D57" s="1113" t="s">
        <v>413</v>
      </c>
      <c r="E57" s="1129"/>
      <c r="F57" s="1130"/>
      <c r="G57" s="1130"/>
      <c r="H57" s="1131"/>
      <c r="I57" s="1129"/>
      <c r="J57" s="1130"/>
      <c r="K57" s="1130"/>
      <c r="L57" s="1131"/>
      <c r="M57" s="1129"/>
      <c r="N57" s="1130"/>
      <c r="O57" s="1130"/>
      <c r="P57" s="1131"/>
      <c r="Q57" s="1129"/>
      <c r="R57" s="1130"/>
      <c r="S57" s="1130"/>
      <c r="T57" s="1131"/>
      <c r="U57" s="1129"/>
      <c r="V57" s="1130"/>
      <c r="W57" s="1130"/>
      <c r="X57" s="1131"/>
      <c r="Y57" s="1132"/>
      <c r="Z57" s="1132"/>
      <c r="AA57" s="1132"/>
      <c r="AB57" s="1131"/>
      <c r="AC57" s="1132"/>
      <c r="AD57" s="1132"/>
      <c r="AE57" s="1132"/>
      <c r="AF57" s="1131"/>
      <c r="AG57" s="1132"/>
      <c r="AH57" s="1132"/>
      <c r="AI57" s="1132"/>
      <c r="AJ57" s="1131"/>
      <c r="AK57" s="1132"/>
      <c r="AL57" s="1132"/>
      <c r="AM57" s="1132"/>
      <c r="AN57" s="1131"/>
      <c r="AO57" s="1132"/>
      <c r="AP57" s="1132"/>
      <c r="AQ57" s="1132"/>
      <c r="AR57" s="1102"/>
      <c r="AS57" s="1132"/>
      <c r="AT57" s="1132"/>
      <c r="AU57" s="1132"/>
      <c r="AV57" s="1102"/>
      <c r="AW57" s="1132"/>
      <c r="AX57" s="1132"/>
      <c r="AY57" s="1132"/>
      <c r="AZ57" s="1102"/>
      <c r="BA57" s="1132"/>
      <c r="BB57" s="1132"/>
      <c r="BC57" s="1132"/>
      <c r="BD57" s="1102"/>
      <c r="BE57" s="1132"/>
      <c r="BF57" s="1132">
        <v>2</v>
      </c>
      <c r="BG57" s="1132">
        <v>1</v>
      </c>
      <c r="BH57" s="1118">
        <f>SUM(BE57:BG57)</f>
        <v>3</v>
      </c>
      <c r="BI57" s="1132">
        <v>1</v>
      </c>
      <c r="BJ57" s="1132"/>
      <c r="BK57" s="1132">
        <v>1</v>
      </c>
      <c r="BL57" s="1118">
        <f>SUM(BI57:BK57)</f>
        <v>2</v>
      </c>
      <c r="BM57" s="1132">
        <v>2</v>
      </c>
      <c r="BN57" s="1132"/>
      <c r="BO57" s="1132">
        <v>1</v>
      </c>
      <c r="BP57" s="1118">
        <f>SUM(BM57:BO57)</f>
        <v>3</v>
      </c>
      <c r="BQ57" s="1132">
        <v>2</v>
      </c>
      <c r="BR57" s="1132">
        <v>1</v>
      </c>
      <c r="BS57" s="1132">
        <v>4</v>
      </c>
      <c r="BT57" s="1118">
        <f>SUM(BQ57:BS57)</f>
        <v>7</v>
      </c>
      <c r="BU57" s="1132">
        <v>2</v>
      </c>
      <c r="BV57" s="1132">
        <v>1</v>
      </c>
      <c r="BW57" s="1132">
        <v>2</v>
      </c>
      <c r="BX57" s="1118">
        <f>SUM(BU57:BW57)</f>
        <v>5</v>
      </c>
      <c r="BY57" s="1132">
        <v>2</v>
      </c>
      <c r="BZ57" s="1132"/>
      <c r="CA57" s="1132">
        <v>1</v>
      </c>
      <c r="CB57" s="1118">
        <f>SUM(BY57:CA57)</f>
        <v>3</v>
      </c>
    </row>
    <row r="58" spans="1:80" s="212" customFormat="1" ht="15" x14ac:dyDescent="0.25">
      <c r="A58" s="6260"/>
      <c r="B58" s="6190"/>
      <c r="C58" s="1464" t="s">
        <v>521</v>
      </c>
      <c r="D58" s="1113" t="s">
        <v>414</v>
      </c>
      <c r="E58" s="1122"/>
      <c r="F58" s="1119"/>
      <c r="G58" s="1119"/>
      <c r="H58" s="1120"/>
      <c r="I58" s="1122"/>
      <c r="J58" s="1119"/>
      <c r="K58" s="1119"/>
      <c r="L58" s="1120"/>
      <c r="M58" s="1122"/>
      <c r="N58" s="1119"/>
      <c r="O58" s="1119"/>
      <c r="P58" s="1120"/>
      <c r="Q58" s="1122"/>
      <c r="R58" s="1119"/>
      <c r="S58" s="1119"/>
      <c r="T58" s="1120"/>
      <c r="U58" s="1122"/>
      <c r="V58" s="1119"/>
      <c r="W58" s="1119"/>
      <c r="X58" s="1120"/>
      <c r="Y58" s="1121"/>
      <c r="Z58" s="1121"/>
      <c r="AA58" s="1121"/>
      <c r="AB58" s="1120"/>
      <c r="AC58" s="1121"/>
      <c r="AD58" s="1121"/>
      <c r="AE58" s="1121"/>
      <c r="AF58" s="1120"/>
      <c r="AG58" s="1121"/>
      <c r="AH58" s="1121"/>
      <c r="AI58" s="1121"/>
      <c r="AJ58" s="1120"/>
      <c r="AK58" s="1121"/>
      <c r="AL58" s="1121"/>
      <c r="AM58" s="1121"/>
      <c r="AN58" s="1120"/>
      <c r="AO58" s="1121"/>
      <c r="AP58" s="1121"/>
      <c r="AQ58" s="1121"/>
      <c r="AR58" s="1106"/>
      <c r="AS58" s="1121"/>
      <c r="AT58" s="1121"/>
      <c r="AU58" s="1121"/>
      <c r="AV58" s="1106"/>
      <c r="AW58" s="1121"/>
      <c r="AX58" s="1121"/>
      <c r="AY58" s="1121"/>
      <c r="AZ58" s="1106"/>
      <c r="BA58" s="1121"/>
      <c r="BB58" s="1121"/>
      <c r="BC58" s="1121"/>
      <c r="BD58" s="1106"/>
      <c r="BE58" s="1121"/>
      <c r="BF58" s="1121"/>
      <c r="BG58" s="1121">
        <v>9</v>
      </c>
      <c r="BH58" s="1106">
        <f>SUM(BE58:BG58)</f>
        <v>9</v>
      </c>
      <c r="BI58" s="1121"/>
      <c r="BJ58" s="1121"/>
      <c r="BK58" s="1121">
        <v>13</v>
      </c>
      <c r="BL58" s="1106">
        <f>SUM(BI58:BK58)</f>
        <v>13</v>
      </c>
      <c r="BM58" s="1121"/>
      <c r="BN58" s="1121"/>
      <c r="BO58" s="1121">
        <v>12</v>
      </c>
      <c r="BP58" s="1106">
        <f>SUM(BM58:BO58)</f>
        <v>12</v>
      </c>
      <c r="BQ58" s="1121"/>
      <c r="BR58" s="1121"/>
      <c r="BS58" s="1121">
        <v>13</v>
      </c>
      <c r="BT58" s="1106">
        <f>SUM(BQ58:BS58)</f>
        <v>13</v>
      </c>
      <c r="BU58" s="1121"/>
      <c r="BV58" s="1121"/>
      <c r="BW58" s="1121">
        <v>12</v>
      </c>
      <c r="BX58" s="1106">
        <f>SUM(BU58:BW58)</f>
        <v>12</v>
      </c>
      <c r="BY58" s="1121"/>
      <c r="BZ58" s="1121"/>
      <c r="CA58" s="1121">
        <v>10</v>
      </c>
      <c r="CB58" s="1106">
        <f>SUM(BY58:CA58)</f>
        <v>10</v>
      </c>
    </row>
    <row r="59" spans="1:80" s="212" customFormat="1" ht="15" x14ac:dyDescent="0.25">
      <c r="A59" s="6260"/>
      <c r="B59" s="6190"/>
      <c r="C59" s="6268" t="s">
        <v>520</v>
      </c>
      <c r="D59" s="1107" t="s">
        <v>415</v>
      </c>
      <c r="E59" s="1104"/>
      <c r="F59" s="1105"/>
      <c r="G59" s="1105"/>
      <c r="H59" s="1106"/>
      <c r="I59" s="1104"/>
      <c r="J59" s="1105"/>
      <c r="K59" s="1105"/>
      <c r="L59" s="1106"/>
      <c r="M59" s="1104"/>
      <c r="N59" s="1105"/>
      <c r="O59" s="1105"/>
      <c r="P59" s="1106"/>
      <c r="Q59" s="1104"/>
      <c r="R59" s="1105"/>
      <c r="S59" s="1105"/>
      <c r="T59" s="1106"/>
      <c r="U59" s="1104"/>
      <c r="V59" s="1105"/>
      <c r="W59" s="1105"/>
      <c r="X59" s="1106"/>
      <c r="Y59" s="1105"/>
      <c r="Z59" s="1105"/>
      <c r="AA59" s="1105"/>
      <c r="AB59" s="1106"/>
      <c r="AC59" s="1105"/>
      <c r="AD59" s="1105"/>
      <c r="AE59" s="1105"/>
      <c r="AF59" s="1106"/>
      <c r="AG59" s="1105"/>
      <c r="AH59" s="1105"/>
      <c r="AI59" s="1105"/>
      <c r="AJ59" s="1106"/>
      <c r="AK59" s="1105"/>
      <c r="AL59" s="1105"/>
      <c r="AM59" s="1105"/>
      <c r="AN59" s="1106"/>
      <c r="AO59" s="1105"/>
      <c r="AP59" s="1105"/>
      <c r="AQ59" s="1105"/>
      <c r="AR59" s="1106"/>
      <c r="AS59" s="1105"/>
      <c r="AT59" s="1105"/>
      <c r="AU59" s="1105"/>
      <c r="AV59" s="1106"/>
      <c r="AW59" s="1105"/>
      <c r="AX59" s="1105"/>
      <c r="AY59" s="1105"/>
      <c r="AZ59" s="1106"/>
      <c r="BA59" s="1105"/>
      <c r="BB59" s="1105"/>
      <c r="BC59" s="1105"/>
      <c r="BD59" s="1106"/>
      <c r="BE59" s="1105"/>
      <c r="BF59" s="1105">
        <v>2</v>
      </c>
      <c r="BG59" s="1105">
        <v>5</v>
      </c>
      <c r="BH59" s="1106">
        <f>SUM(BE59:BG59)</f>
        <v>7</v>
      </c>
      <c r="BI59" s="1105">
        <v>2</v>
      </c>
      <c r="BJ59" s="1105">
        <v>2</v>
      </c>
      <c r="BK59" s="1105">
        <v>2</v>
      </c>
      <c r="BL59" s="1106">
        <f>SUM(BI59:BK59)</f>
        <v>6</v>
      </c>
      <c r="BM59" s="1105">
        <v>2</v>
      </c>
      <c r="BN59" s="1105">
        <v>4</v>
      </c>
      <c r="BO59" s="1105">
        <v>2</v>
      </c>
      <c r="BP59" s="1106">
        <f>SUM(BM59:BO59)</f>
        <v>8</v>
      </c>
      <c r="BQ59" s="1105">
        <v>3</v>
      </c>
      <c r="BR59" s="1105">
        <v>3</v>
      </c>
      <c r="BS59" s="1105">
        <v>6</v>
      </c>
      <c r="BT59" s="1106">
        <f>SUM(BQ59:BS59)</f>
        <v>12</v>
      </c>
      <c r="BU59" s="1105">
        <v>2</v>
      </c>
      <c r="BV59" s="1105">
        <v>1</v>
      </c>
      <c r="BW59" s="1105">
        <v>1</v>
      </c>
      <c r="BX59" s="1106">
        <f>SUM(BU59:BW59)</f>
        <v>4</v>
      </c>
      <c r="BY59" s="1105"/>
      <c r="BZ59" s="1105">
        <v>1</v>
      </c>
      <c r="CA59" s="1105">
        <v>2</v>
      </c>
      <c r="CB59" s="1106">
        <f>SUM(BY59:CA59)</f>
        <v>3</v>
      </c>
    </row>
    <row r="60" spans="1:80" s="212" customFormat="1" ht="15" x14ac:dyDescent="0.25">
      <c r="A60" s="6260"/>
      <c r="B60" s="6190"/>
      <c r="C60" s="6269"/>
      <c r="D60" s="1107" t="s">
        <v>359</v>
      </c>
      <c r="E60" s="1458"/>
      <c r="F60" s="1459"/>
      <c r="G60" s="1459"/>
      <c r="H60" s="1128"/>
      <c r="I60" s="1458"/>
      <c r="J60" s="1459"/>
      <c r="K60" s="1459"/>
      <c r="L60" s="1128"/>
      <c r="M60" s="1458"/>
      <c r="N60" s="1459"/>
      <c r="O60" s="1459"/>
      <c r="P60" s="1128"/>
      <c r="Q60" s="1458"/>
      <c r="R60" s="1459"/>
      <c r="S60" s="1459"/>
      <c r="T60" s="1128"/>
      <c r="U60" s="1458"/>
      <c r="V60" s="1459"/>
      <c r="W60" s="1459"/>
      <c r="X60" s="1128"/>
      <c r="Y60" s="1459"/>
      <c r="Z60" s="1459"/>
      <c r="AA60" s="1459"/>
      <c r="AB60" s="1128"/>
      <c r="AC60" s="1459"/>
      <c r="AD60" s="1459"/>
      <c r="AE60" s="1459"/>
      <c r="AF60" s="1128"/>
      <c r="AG60" s="1459"/>
      <c r="AH60" s="1459"/>
      <c r="AI60" s="1459"/>
      <c r="AJ60" s="1128"/>
      <c r="AK60" s="1459"/>
      <c r="AL60" s="1459"/>
      <c r="AM60" s="1459"/>
      <c r="AN60" s="1128"/>
      <c r="AO60" s="1459"/>
      <c r="AP60" s="1459"/>
      <c r="AQ60" s="1459"/>
      <c r="AR60" s="1128"/>
      <c r="AS60" s="1459"/>
      <c r="AT60" s="1459"/>
      <c r="AU60" s="1459"/>
      <c r="AV60" s="1128"/>
      <c r="AW60" s="1459"/>
      <c r="AX60" s="1459"/>
      <c r="AY60" s="1459"/>
      <c r="AZ60" s="1128"/>
      <c r="BA60" s="1459"/>
      <c r="BB60" s="1459"/>
      <c r="BC60" s="1459"/>
      <c r="BD60" s="1128"/>
      <c r="BE60" s="1459"/>
      <c r="BF60" s="1459"/>
      <c r="BG60" s="1459"/>
      <c r="BH60" s="1128"/>
      <c r="BI60" s="1459"/>
      <c r="BJ60" s="1459"/>
      <c r="BK60" s="1459"/>
      <c r="BL60" s="1128"/>
      <c r="BM60" s="1459"/>
      <c r="BN60" s="1459"/>
      <c r="BO60" s="1459"/>
      <c r="BP60" s="1128"/>
      <c r="BQ60" s="1459"/>
      <c r="BR60" s="1459"/>
      <c r="BS60" s="1459"/>
      <c r="BT60" s="1128"/>
      <c r="BU60" s="1459"/>
      <c r="BV60" s="1459"/>
      <c r="BW60" s="1459">
        <v>2</v>
      </c>
      <c r="BX60" s="1128">
        <f>SUM(BU60:BW60)</f>
        <v>2</v>
      </c>
      <c r="BY60" s="1459"/>
      <c r="BZ60" s="1459"/>
      <c r="CA60" s="1459"/>
      <c r="CB60" s="1128">
        <f>SUM(BY60:CA60)</f>
        <v>0</v>
      </c>
    </row>
    <row r="61" spans="1:80" s="212" customFormat="1" ht="15" x14ac:dyDescent="0.25">
      <c r="A61" s="6260"/>
      <c r="B61" s="6189"/>
      <c r="C61" s="5153"/>
      <c r="D61" s="5160" t="s">
        <v>445</v>
      </c>
      <c r="E61" s="1110"/>
      <c r="F61" s="1111"/>
      <c r="G61" s="1111"/>
      <c r="H61" s="1112"/>
      <c r="I61" s="1110"/>
      <c r="J61" s="1111"/>
      <c r="K61" s="1111"/>
      <c r="L61" s="1112"/>
      <c r="M61" s="1110"/>
      <c r="N61" s="1111"/>
      <c r="O61" s="1111"/>
      <c r="P61" s="1112"/>
      <c r="Q61" s="1110"/>
      <c r="R61" s="1111"/>
      <c r="S61" s="1111"/>
      <c r="T61" s="1112"/>
      <c r="U61" s="1110"/>
      <c r="V61" s="1111"/>
      <c r="W61" s="1111"/>
      <c r="X61" s="1112"/>
      <c r="Y61" s="1111"/>
      <c r="Z61" s="1111"/>
      <c r="AA61" s="1111"/>
      <c r="AB61" s="1112"/>
      <c r="AC61" s="1111"/>
      <c r="AD61" s="1111"/>
      <c r="AE61" s="1111"/>
      <c r="AF61" s="1112"/>
      <c r="AG61" s="1111"/>
      <c r="AH61" s="1111"/>
      <c r="AI61" s="1111"/>
      <c r="AJ61" s="1112"/>
      <c r="AK61" s="1111"/>
      <c r="AL61" s="1111"/>
      <c r="AM61" s="1111"/>
      <c r="AN61" s="1112"/>
      <c r="AO61" s="1111"/>
      <c r="AP61" s="1111"/>
      <c r="AQ61" s="1111"/>
      <c r="AR61" s="1112"/>
      <c r="AS61" s="1111"/>
      <c r="AT61" s="1111"/>
      <c r="AU61" s="1111"/>
      <c r="AV61" s="1112"/>
      <c r="AW61" s="1111"/>
      <c r="AX61" s="1111"/>
      <c r="AY61" s="1111"/>
      <c r="AZ61" s="1112"/>
      <c r="BA61" s="1111"/>
      <c r="BB61" s="1111"/>
      <c r="BC61" s="1111"/>
      <c r="BD61" s="1112"/>
      <c r="BE61" s="1111"/>
      <c r="BF61" s="1111">
        <f t="shared" ref="BF61:BL61" si="22">SUM(BF57:BF59)</f>
        <v>4</v>
      </c>
      <c r="BG61" s="1111">
        <f t="shared" si="22"/>
        <v>15</v>
      </c>
      <c r="BH61" s="1112">
        <f t="shared" si="22"/>
        <v>19</v>
      </c>
      <c r="BI61" s="1111">
        <f t="shared" si="22"/>
        <v>3</v>
      </c>
      <c r="BJ61" s="1111">
        <f t="shared" si="22"/>
        <v>2</v>
      </c>
      <c r="BK61" s="1111">
        <f t="shared" si="22"/>
        <v>16</v>
      </c>
      <c r="BL61" s="1112">
        <f t="shared" si="22"/>
        <v>21</v>
      </c>
      <c r="BM61" s="1111">
        <f t="shared" ref="BM61:BT61" si="23">SUM(BM57:BM59)</f>
        <v>4</v>
      </c>
      <c r="BN61" s="1111">
        <f t="shared" si="23"/>
        <v>4</v>
      </c>
      <c r="BO61" s="1111">
        <f t="shared" si="23"/>
        <v>15</v>
      </c>
      <c r="BP61" s="1112">
        <f t="shared" si="23"/>
        <v>23</v>
      </c>
      <c r="BQ61" s="1111">
        <f t="shared" si="23"/>
        <v>5</v>
      </c>
      <c r="BR61" s="1111">
        <f t="shared" si="23"/>
        <v>4</v>
      </c>
      <c r="BS61" s="1111">
        <f t="shared" si="23"/>
        <v>23</v>
      </c>
      <c r="BT61" s="1112">
        <f t="shared" si="23"/>
        <v>32</v>
      </c>
      <c r="BU61" s="1111">
        <f>SUM(BU57:BU59)</f>
        <v>4</v>
      </c>
      <c r="BV61" s="1111">
        <f>SUM(BV57:BV59)</f>
        <v>2</v>
      </c>
      <c r="BW61" s="1111">
        <f>SUM(BW57:BW60)</f>
        <v>17</v>
      </c>
      <c r="BX61" s="1112">
        <f>SUM(BX57:BX60)</f>
        <v>23</v>
      </c>
      <c r="BY61" s="1111">
        <f>SUM(BY57:BY59)</f>
        <v>2</v>
      </c>
      <c r="BZ61" s="1111">
        <f>SUM(BZ57:BZ59)</f>
        <v>1</v>
      </c>
      <c r="CA61" s="1111">
        <f>SUM(CA57:CA60)</f>
        <v>13</v>
      </c>
      <c r="CB61" s="1112">
        <f>SUM(CB57:CB60)</f>
        <v>16</v>
      </c>
    </row>
    <row r="62" spans="1:80" s="212" customFormat="1" ht="15" x14ac:dyDescent="0.2">
      <c r="A62" s="6261"/>
      <c r="B62" s="4694"/>
      <c r="C62" s="4694"/>
      <c r="D62" s="4695" t="s">
        <v>526</v>
      </c>
      <c r="E62" s="4696"/>
      <c r="F62" s="4697"/>
      <c r="G62" s="4697"/>
      <c r="H62" s="4698"/>
      <c r="I62" s="4696"/>
      <c r="J62" s="4697"/>
      <c r="K62" s="4697"/>
      <c r="L62" s="4698"/>
      <c r="M62" s="4696"/>
      <c r="N62" s="4697"/>
      <c r="O62" s="4697"/>
      <c r="P62" s="4698"/>
      <c r="Q62" s="4696"/>
      <c r="R62" s="4697"/>
      <c r="S62" s="4697"/>
      <c r="T62" s="4698"/>
      <c r="U62" s="4696"/>
      <c r="V62" s="4697"/>
      <c r="W62" s="4697"/>
      <c r="X62" s="4698"/>
      <c r="Y62" s="4697"/>
      <c r="Z62" s="4697"/>
      <c r="AA62" s="4697"/>
      <c r="AB62" s="4698"/>
      <c r="AC62" s="4697"/>
      <c r="AD62" s="4697"/>
      <c r="AE62" s="4697"/>
      <c r="AF62" s="4698"/>
      <c r="AG62" s="4697"/>
      <c r="AH62" s="4697"/>
      <c r="AI62" s="4697"/>
      <c r="AJ62" s="4698"/>
      <c r="AK62" s="4697"/>
      <c r="AL62" s="4697"/>
      <c r="AM62" s="4697"/>
      <c r="AN62" s="4698"/>
      <c r="AO62" s="4697"/>
      <c r="AP62" s="4697"/>
      <c r="AQ62" s="4697"/>
      <c r="AR62" s="4698"/>
      <c r="AS62" s="4697"/>
      <c r="AT62" s="4697"/>
      <c r="AU62" s="4697"/>
      <c r="AV62" s="4698"/>
      <c r="AW62" s="4697"/>
      <c r="AX62" s="4697"/>
      <c r="AY62" s="4697"/>
      <c r="AZ62" s="4698"/>
      <c r="BA62" s="4697">
        <f>SUM(BA54,BA56,BA61)</f>
        <v>32</v>
      </c>
      <c r="BB62" s="4697"/>
      <c r="BC62" s="4697"/>
      <c r="BD62" s="4698">
        <f t="shared" ref="BD62:BL62" si="24">SUM(BD54,BD56,BD61)</f>
        <v>32</v>
      </c>
      <c r="BE62" s="4697">
        <f t="shared" si="24"/>
        <v>23</v>
      </c>
      <c r="BF62" s="4697">
        <f t="shared" si="24"/>
        <v>4</v>
      </c>
      <c r="BG62" s="4697">
        <f t="shared" si="24"/>
        <v>27</v>
      </c>
      <c r="BH62" s="4698">
        <f t="shared" si="24"/>
        <v>54</v>
      </c>
      <c r="BI62" s="4697">
        <f t="shared" si="24"/>
        <v>26</v>
      </c>
      <c r="BJ62" s="4697">
        <f t="shared" si="24"/>
        <v>4</v>
      </c>
      <c r="BK62" s="4697">
        <f t="shared" si="24"/>
        <v>43</v>
      </c>
      <c r="BL62" s="4698">
        <f t="shared" si="24"/>
        <v>73</v>
      </c>
      <c r="BM62" s="4697">
        <f t="shared" ref="BM62:BT62" si="25">SUM(BM54,BM56,BM61)</f>
        <v>4</v>
      </c>
      <c r="BN62" s="4697">
        <f t="shared" si="25"/>
        <v>4</v>
      </c>
      <c r="BO62" s="4697">
        <f t="shared" si="25"/>
        <v>65</v>
      </c>
      <c r="BP62" s="4698">
        <f t="shared" si="25"/>
        <v>73</v>
      </c>
      <c r="BQ62" s="4697">
        <f t="shared" si="25"/>
        <v>5</v>
      </c>
      <c r="BR62" s="4697">
        <f t="shared" si="25"/>
        <v>4</v>
      </c>
      <c r="BS62" s="4697">
        <f t="shared" si="25"/>
        <v>81</v>
      </c>
      <c r="BT62" s="4698">
        <f t="shared" si="25"/>
        <v>90</v>
      </c>
      <c r="BU62" s="4697">
        <f t="shared" ref="BU62:CB62" si="26">SUM(BU54,BU56,BU61)</f>
        <v>4</v>
      </c>
      <c r="BV62" s="4697">
        <f t="shared" si="26"/>
        <v>2</v>
      </c>
      <c r="BW62" s="4697">
        <f t="shared" si="26"/>
        <v>57</v>
      </c>
      <c r="BX62" s="4698">
        <f t="shared" si="26"/>
        <v>63</v>
      </c>
      <c r="BY62" s="4697">
        <f t="shared" si="26"/>
        <v>2</v>
      </c>
      <c r="BZ62" s="4697">
        <f t="shared" si="26"/>
        <v>1</v>
      </c>
      <c r="CA62" s="4697">
        <f t="shared" si="26"/>
        <v>57</v>
      </c>
      <c r="CB62" s="4698">
        <f t="shared" si="26"/>
        <v>60</v>
      </c>
    </row>
    <row r="63" spans="1:80" s="212" customFormat="1" ht="15" x14ac:dyDescent="0.25">
      <c r="A63" s="6237" t="s">
        <v>75</v>
      </c>
      <c r="B63" s="6262" t="s">
        <v>5</v>
      </c>
      <c r="C63" s="1466" t="s">
        <v>522</v>
      </c>
      <c r="D63" s="1113" t="s">
        <v>1466</v>
      </c>
      <c r="E63" s="1129"/>
      <c r="F63" s="1130"/>
      <c r="G63" s="1130"/>
      <c r="H63" s="1131"/>
      <c r="I63" s="1129"/>
      <c r="J63" s="1130"/>
      <c r="K63" s="1130"/>
      <c r="L63" s="1131"/>
      <c r="M63" s="1129"/>
      <c r="N63" s="1130"/>
      <c r="O63" s="1130"/>
      <c r="P63" s="1131"/>
      <c r="Q63" s="1129"/>
      <c r="R63" s="1130"/>
      <c r="S63" s="1130"/>
      <c r="T63" s="1131"/>
      <c r="U63" s="1129"/>
      <c r="V63" s="1130"/>
      <c r="W63" s="1130"/>
      <c r="X63" s="1131"/>
      <c r="Y63" s="1132"/>
      <c r="Z63" s="1132"/>
      <c r="AA63" s="1132"/>
      <c r="AB63" s="1131"/>
      <c r="AC63" s="1132"/>
      <c r="AD63" s="1132"/>
      <c r="AE63" s="1132"/>
      <c r="AF63" s="1131"/>
      <c r="AG63" s="1132"/>
      <c r="AH63" s="1132"/>
      <c r="AI63" s="1132"/>
      <c r="AJ63" s="1131"/>
      <c r="AK63" s="1132"/>
      <c r="AL63" s="1132"/>
      <c r="AM63" s="1132"/>
      <c r="AN63" s="1131"/>
      <c r="AO63" s="1132"/>
      <c r="AP63" s="1132"/>
      <c r="AQ63" s="1132"/>
      <c r="AR63" s="1102"/>
      <c r="AS63" s="1132"/>
      <c r="AT63" s="1132"/>
      <c r="AU63" s="1132"/>
      <c r="AV63" s="1102"/>
      <c r="AW63" s="1132"/>
      <c r="AX63" s="1132"/>
      <c r="AY63" s="1132"/>
      <c r="AZ63" s="1102"/>
      <c r="BA63" s="1132"/>
      <c r="BB63" s="1132"/>
      <c r="BC63" s="1132"/>
      <c r="BD63" s="1102"/>
      <c r="BE63" s="1132"/>
      <c r="BF63" s="1132"/>
      <c r="BG63" s="1132"/>
      <c r="BH63" s="1118"/>
      <c r="BI63" s="1132"/>
      <c r="BJ63" s="1132"/>
      <c r="BK63" s="1132"/>
      <c r="BL63" s="1118"/>
      <c r="BM63" s="1132"/>
      <c r="BN63" s="1132"/>
      <c r="BO63" s="1132"/>
      <c r="BP63" s="1118"/>
      <c r="BQ63" s="1132"/>
      <c r="BR63" s="1132"/>
      <c r="BS63" s="1132"/>
      <c r="BT63" s="1118"/>
      <c r="BU63" s="1134"/>
      <c r="BV63" s="1132">
        <v>2</v>
      </c>
      <c r="BW63" s="1132"/>
      <c r="BX63" s="1118">
        <f>BU63+BV63+BW63</f>
        <v>2</v>
      </c>
      <c r="BY63" s="1134"/>
      <c r="BZ63" s="1132">
        <v>2</v>
      </c>
      <c r="CA63" s="1132"/>
      <c r="CB63" s="1118">
        <f>BY63+BZ63+CA63</f>
        <v>2</v>
      </c>
    </row>
    <row r="64" spans="1:80" s="212" customFormat="1" ht="15" customHeight="1" x14ac:dyDescent="0.25">
      <c r="A64" s="6238"/>
      <c r="B64" s="6195"/>
      <c r="C64" s="6243" t="s">
        <v>521</v>
      </c>
      <c r="D64" s="1137" t="s">
        <v>1623</v>
      </c>
      <c r="E64" s="1138">
        <v>2</v>
      </c>
      <c r="F64" s="1115">
        <v>3</v>
      </c>
      <c r="G64" s="1115">
        <v>5</v>
      </c>
      <c r="H64" s="1116">
        <v>10</v>
      </c>
      <c r="I64" s="1138">
        <v>6</v>
      </c>
      <c r="J64" s="1115">
        <v>3</v>
      </c>
      <c r="K64" s="1115">
        <v>6</v>
      </c>
      <c r="L64" s="1116">
        <v>15</v>
      </c>
      <c r="M64" s="1138">
        <v>3</v>
      </c>
      <c r="N64" s="1115">
        <v>4</v>
      </c>
      <c r="O64" s="1115">
        <v>2</v>
      </c>
      <c r="P64" s="1116">
        <v>9</v>
      </c>
      <c r="Q64" s="1138">
        <v>6</v>
      </c>
      <c r="R64" s="1115">
        <v>2</v>
      </c>
      <c r="S64" s="1115">
        <v>6</v>
      </c>
      <c r="T64" s="1116">
        <v>14</v>
      </c>
      <c r="U64" s="1138"/>
      <c r="V64" s="1115"/>
      <c r="W64" s="1115"/>
      <c r="X64" s="1116"/>
      <c r="Y64" s="1117"/>
      <c r="Z64" s="1117"/>
      <c r="AA64" s="1117"/>
      <c r="AB64" s="1116"/>
      <c r="AC64" s="1117">
        <v>1</v>
      </c>
      <c r="AD64" s="1117"/>
      <c r="AE64" s="1117">
        <v>1</v>
      </c>
      <c r="AF64" s="1116">
        <f t="shared" ref="AF64:AF69" si="27">SUM(AC64:AE64)</f>
        <v>2</v>
      </c>
      <c r="AG64" s="1117"/>
      <c r="AH64" s="1117">
        <v>2</v>
      </c>
      <c r="AI64" s="1117">
        <v>5</v>
      </c>
      <c r="AJ64" s="1116">
        <f t="shared" ref="AJ64:AJ69" si="28">SUM(AG64:AI64)</f>
        <v>7</v>
      </c>
      <c r="AK64" s="1117">
        <v>1</v>
      </c>
      <c r="AL64" s="1117">
        <v>1</v>
      </c>
      <c r="AM64" s="1117">
        <v>3</v>
      </c>
      <c r="AN64" s="1116">
        <f t="shared" ref="AN64:AN69" si="29">SUM(AK64:AM64)</f>
        <v>5</v>
      </c>
      <c r="AO64" s="1117"/>
      <c r="AP64" s="1117">
        <v>3</v>
      </c>
      <c r="AQ64" s="1117"/>
      <c r="AR64" s="1118">
        <f t="shared" ref="AR64:AR69" si="30">SUM(AO64:AQ64)</f>
        <v>3</v>
      </c>
      <c r="AS64" s="1117"/>
      <c r="AT64" s="1117"/>
      <c r="AU64" s="1117"/>
      <c r="AV64" s="1118"/>
      <c r="AW64" s="1117"/>
      <c r="AX64" s="1117">
        <v>2</v>
      </c>
      <c r="AY64" s="1117">
        <v>3</v>
      </c>
      <c r="AZ64" s="1118">
        <f t="shared" ref="AZ64:AZ69" si="31">AW64+AX64+AY64</f>
        <v>5</v>
      </c>
      <c r="BA64" s="1117"/>
      <c r="BB64" s="1117">
        <v>3</v>
      </c>
      <c r="BC64" s="1117">
        <v>2</v>
      </c>
      <c r="BD64" s="1118">
        <f t="shared" ref="BD64:BD69" si="32">SUM(BA64:BC64)</f>
        <v>5</v>
      </c>
      <c r="BE64" s="1117">
        <v>4</v>
      </c>
      <c r="BF64" s="1117">
        <v>3</v>
      </c>
      <c r="BG64" s="1117">
        <v>7</v>
      </c>
      <c r="BH64" s="1118">
        <f t="shared" ref="BH64:BH76" si="33">BE64+BF64+BG64</f>
        <v>14</v>
      </c>
      <c r="BI64" s="1117">
        <v>3</v>
      </c>
      <c r="BJ64" s="1117">
        <v>1</v>
      </c>
      <c r="BK64" s="1117">
        <v>4</v>
      </c>
      <c r="BL64" s="1118">
        <f>BI64+BJ64+BK64</f>
        <v>8</v>
      </c>
      <c r="BM64" s="1117">
        <v>5</v>
      </c>
      <c r="BN64" s="1117">
        <v>1</v>
      </c>
      <c r="BO64" s="1117">
        <v>6</v>
      </c>
      <c r="BP64" s="1118">
        <f>BM64+BN64+BO64</f>
        <v>12</v>
      </c>
      <c r="BQ64" s="1117">
        <v>7</v>
      </c>
      <c r="BR64" s="1117">
        <v>6</v>
      </c>
      <c r="BS64" s="1117">
        <v>3</v>
      </c>
      <c r="BT64" s="1118">
        <f>BQ64+BR64+BS64</f>
        <v>16</v>
      </c>
      <c r="BU64" s="4573">
        <v>4</v>
      </c>
      <c r="BV64" s="1117">
        <v>6</v>
      </c>
      <c r="BW64" s="1117">
        <v>11</v>
      </c>
      <c r="BX64" s="1118">
        <f>BU64+BV64+BW64</f>
        <v>21</v>
      </c>
      <c r="BY64" s="4573">
        <v>5</v>
      </c>
      <c r="BZ64" s="1117">
        <v>9</v>
      </c>
      <c r="CA64" s="1117">
        <v>7</v>
      </c>
      <c r="CB64" s="1118">
        <f>BY64+BZ64+CA64</f>
        <v>21</v>
      </c>
    </row>
    <row r="65" spans="1:80" s="212" customFormat="1" ht="15" x14ac:dyDescent="0.25">
      <c r="A65" s="6238"/>
      <c r="B65" s="6195"/>
      <c r="C65" s="6241"/>
      <c r="D65" s="1107" t="s">
        <v>1624</v>
      </c>
      <c r="E65" s="1122">
        <v>2</v>
      </c>
      <c r="F65" s="1119">
        <v>2</v>
      </c>
      <c r="G65" s="1119">
        <v>4</v>
      </c>
      <c r="H65" s="1120">
        <v>8</v>
      </c>
      <c r="I65" s="1122">
        <v>7</v>
      </c>
      <c r="J65" s="1119">
        <v>3</v>
      </c>
      <c r="K65" s="1119">
        <v>7</v>
      </c>
      <c r="L65" s="1120">
        <v>17</v>
      </c>
      <c r="M65" s="1122">
        <v>6</v>
      </c>
      <c r="N65" s="1119">
        <v>5</v>
      </c>
      <c r="O65" s="1119">
        <v>4</v>
      </c>
      <c r="P65" s="1120">
        <v>15</v>
      </c>
      <c r="Q65" s="1122">
        <v>3</v>
      </c>
      <c r="R65" s="1119"/>
      <c r="S65" s="1119">
        <v>10</v>
      </c>
      <c r="T65" s="1120">
        <v>13</v>
      </c>
      <c r="U65" s="1122">
        <v>1</v>
      </c>
      <c r="V65" s="1119"/>
      <c r="W65" s="1119">
        <v>2</v>
      </c>
      <c r="X65" s="1120">
        <f>SUM(U65:W65)</f>
        <v>3</v>
      </c>
      <c r="Y65" s="1121"/>
      <c r="Z65" s="1121">
        <v>3</v>
      </c>
      <c r="AA65" s="1121">
        <v>11</v>
      </c>
      <c r="AB65" s="1120">
        <f>SUM(Y65:AA65)</f>
        <v>14</v>
      </c>
      <c r="AC65" s="1121">
        <v>6</v>
      </c>
      <c r="AD65" s="1121">
        <v>10</v>
      </c>
      <c r="AE65" s="1121">
        <v>12</v>
      </c>
      <c r="AF65" s="1120">
        <f t="shared" si="27"/>
        <v>28</v>
      </c>
      <c r="AG65" s="1121"/>
      <c r="AH65" s="1121">
        <v>5</v>
      </c>
      <c r="AI65" s="1121">
        <v>10</v>
      </c>
      <c r="AJ65" s="1120">
        <f t="shared" si="28"/>
        <v>15</v>
      </c>
      <c r="AK65" s="1121"/>
      <c r="AL65" s="1121">
        <v>2</v>
      </c>
      <c r="AM65" s="1121">
        <v>5</v>
      </c>
      <c r="AN65" s="1120">
        <f t="shared" si="29"/>
        <v>7</v>
      </c>
      <c r="AO65" s="1121">
        <v>4</v>
      </c>
      <c r="AP65" s="1121">
        <v>4</v>
      </c>
      <c r="AQ65" s="1121">
        <v>15</v>
      </c>
      <c r="AR65" s="1106">
        <f t="shared" si="30"/>
        <v>23</v>
      </c>
      <c r="AS65" s="1121">
        <v>1</v>
      </c>
      <c r="AT65" s="1121">
        <v>2</v>
      </c>
      <c r="AU65" s="1121">
        <v>13</v>
      </c>
      <c r="AV65" s="1106">
        <f>SUM(AS65:AU65)</f>
        <v>16</v>
      </c>
      <c r="AW65" s="1121">
        <v>1</v>
      </c>
      <c r="AX65" s="1121">
        <v>2</v>
      </c>
      <c r="AY65" s="1121">
        <v>11</v>
      </c>
      <c r="AZ65" s="1106">
        <f t="shared" si="31"/>
        <v>14</v>
      </c>
      <c r="BA65" s="1121">
        <v>4</v>
      </c>
      <c r="BB65" s="1121">
        <v>7</v>
      </c>
      <c r="BC65" s="1121">
        <v>20</v>
      </c>
      <c r="BD65" s="1118">
        <f t="shared" si="32"/>
        <v>31</v>
      </c>
      <c r="BE65" s="1121">
        <v>2</v>
      </c>
      <c r="BF65" s="1121"/>
      <c r="BG65" s="1121">
        <v>16</v>
      </c>
      <c r="BH65" s="1106">
        <f>BE65+BF65+BG65</f>
        <v>18</v>
      </c>
      <c r="BI65" s="1121"/>
      <c r="BJ65" s="1121">
        <v>1</v>
      </c>
      <c r="BK65" s="1121">
        <v>19</v>
      </c>
      <c r="BL65" s="1106">
        <f t="shared" ref="BL65:BL70" si="34">BI65+BJ65+BK65</f>
        <v>20</v>
      </c>
      <c r="BM65" s="1121"/>
      <c r="BN65" s="1121">
        <v>4</v>
      </c>
      <c r="BO65" s="1121">
        <v>16</v>
      </c>
      <c r="BP65" s="1106">
        <f t="shared" ref="BP65:BP77" si="35">BM65+BN65+BO65</f>
        <v>20</v>
      </c>
      <c r="BQ65" s="1121"/>
      <c r="BR65" s="1121">
        <v>4</v>
      </c>
      <c r="BS65" s="1121">
        <v>15</v>
      </c>
      <c r="BT65" s="1106">
        <f t="shared" ref="BT65:BT77" si="36">BQ65+BR65+BS65</f>
        <v>19</v>
      </c>
      <c r="BU65" s="4574"/>
      <c r="BV65" s="1121">
        <v>2</v>
      </c>
      <c r="BW65" s="1121">
        <v>11</v>
      </c>
      <c r="BX65" s="1106">
        <f t="shared" ref="BX65:BX78" si="37">BU65+BV65+BW65</f>
        <v>13</v>
      </c>
      <c r="BY65" s="4574"/>
      <c r="BZ65" s="1121"/>
      <c r="CA65" s="1121">
        <v>18</v>
      </c>
      <c r="CB65" s="1106">
        <f t="shared" ref="CB65:CB78" si="38">BY65+BZ65+CA65</f>
        <v>18</v>
      </c>
    </row>
    <row r="66" spans="1:80" s="212" customFormat="1" ht="15" x14ac:dyDescent="0.25">
      <c r="A66" s="6238"/>
      <c r="B66" s="6195"/>
      <c r="C66" s="6241"/>
      <c r="D66" s="1107" t="s">
        <v>544</v>
      </c>
      <c r="E66" s="1122">
        <v>12</v>
      </c>
      <c r="F66" s="1119">
        <v>3</v>
      </c>
      <c r="G66" s="1119">
        <v>10</v>
      </c>
      <c r="H66" s="1120">
        <v>25</v>
      </c>
      <c r="I66" s="1122">
        <v>6</v>
      </c>
      <c r="J66" s="1119">
        <v>1</v>
      </c>
      <c r="K66" s="1119">
        <v>7</v>
      </c>
      <c r="L66" s="1120">
        <v>14</v>
      </c>
      <c r="M66" s="1122">
        <v>10</v>
      </c>
      <c r="N66" s="1119">
        <v>2</v>
      </c>
      <c r="O66" s="1119">
        <v>15</v>
      </c>
      <c r="P66" s="1120">
        <v>27</v>
      </c>
      <c r="Q66" s="1122">
        <v>6</v>
      </c>
      <c r="R66" s="1119">
        <v>4</v>
      </c>
      <c r="S66" s="1119">
        <v>5</v>
      </c>
      <c r="T66" s="1120">
        <v>15</v>
      </c>
      <c r="U66" s="1122"/>
      <c r="V66" s="1119">
        <v>2</v>
      </c>
      <c r="W66" s="1119">
        <v>4</v>
      </c>
      <c r="X66" s="1120">
        <f>SUM(U66:W66)</f>
        <v>6</v>
      </c>
      <c r="Y66" s="1121">
        <v>2</v>
      </c>
      <c r="Z66" s="1121">
        <v>1</v>
      </c>
      <c r="AA66" s="1121">
        <v>5</v>
      </c>
      <c r="AB66" s="1120">
        <f>SUM(Y66:AA66)</f>
        <v>8</v>
      </c>
      <c r="AC66" s="1121">
        <v>1</v>
      </c>
      <c r="AD66" s="1121"/>
      <c r="AE66" s="1121">
        <v>4</v>
      </c>
      <c r="AF66" s="1120">
        <f t="shared" si="27"/>
        <v>5</v>
      </c>
      <c r="AG66" s="1121"/>
      <c r="AH66" s="1121">
        <v>1</v>
      </c>
      <c r="AI66" s="1121">
        <v>4</v>
      </c>
      <c r="AJ66" s="1120">
        <f t="shared" si="28"/>
        <v>5</v>
      </c>
      <c r="AK66" s="1121">
        <v>7</v>
      </c>
      <c r="AL66" s="1121"/>
      <c r="AM66" s="1121">
        <v>2</v>
      </c>
      <c r="AN66" s="1120">
        <f t="shared" si="29"/>
        <v>9</v>
      </c>
      <c r="AO66" s="1121">
        <v>2</v>
      </c>
      <c r="AP66" s="1121"/>
      <c r="AQ66" s="1121">
        <v>4</v>
      </c>
      <c r="AR66" s="1106">
        <f t="shared" si="30"/>
        <v>6</v>
      </c>
      <c r="AS66" s="1121">
        <v>2</v>
      </c>
      <c r="AT66" s="1121" t="s">
        <v>227</v>
      </c>
      <c r="AU66" s="1121">
        <v>6</v>
      </c>
      <c r="AV66" s="1106">
        <f>SUM(AS66:AU66)</f>
        <v>8</v>
      </c>
      <c r="AW66" s="1121">
        <v>3</v>
      </c>
      <c r="AX66" s="1121"/>
      <c r="AY66" s="1121">
        <v>5</v>
      </c>
      <c r="AZ66" s="1106">
        <f t="shared" si="31"/>
        <v>8</v>
      </c>
      <c r="BA66" s="1121">
        <v>3</v>
      </c>
      <c r="BB66" s="1121"/>
      <c r="BC66" s="1121">
        <v>6</v>
      </c>
      <c r="BD66" s="1118">
        <f t="shared" si="32"/>
        <v>9</v>
      </c>
      <c r="BE66" s="1121">
        <v>6</v>
      </c>
      <c r="BF66" s="1121"/>
      <c r="BG66" s="1121">
        <v>11</v>
      </c>
      <c r="BH66" s="1106">
        <f>BE66+BF66+BG66</f>
        <v>17</v>
      </c>
      <c r="BI66" s="1121">
        <v>6</v>
      </c>
      <c r="BJ66" s="1121"/>
      <c r="BK66" s="1121">
        <v>2</v>
      </c>
      <c r="BL66" s="1106">
        <f t="shared" si="34"/>
        <v>8</v>
      </c>
      <c r="BM66" s="1121">
        <v>5</v>
      </c>
      <c r="BN66" s="1121"/>
      <c r="BO66" s="1121">
        <v>3</v>
      </c>
      <c r="BP66" s="1106">
        <f t="shared" si="35"/>
        <v>8</v>
      </c>
      <c r="BQ66" s="1121">
        <v>3</v>
      </c>
      <c r="BR66" s="1121"/>
      <c r="BS66" s="1121">
        <v>7</v>
      </c>
      <c r="BT66" s="1106">
        <f t="shared" si="36"/>
        <v>10</v>
      </c>
      <c r="BU66" s="4574">
        <v>9</v>
      </c>
      <c r="BV66" s="1121"/>
      <c r="BW66" s="1121">
        <v>9</v>
      </c>
      <c r="BX66" s="1106">
        <f t="shared" si="37"/>
        <v>18</v>
      </c>
      <c r="BY66" s="4574">
        <v>6</v>
      </c>
      <c r="BZ66" s="1121"/>
      <c r="CA66" s="1121">
        <v>6</v>
      </c>
      <c r="CB66" s="1106">
        <f t="shared" si="38"/>
        <v>12</v>
      </c>
    </row>
    <row r="67" spans="1:80" s="212" customFormat="1" ht="15" x14ac:dyDescent="0.25">
      <c r="A67" s="6238"/>
      <c r="B67" s="6195"/>
      <c r="C67" s="6241"/>
      <c r="D67" s="1107" t="s">
        <v>545</v>
      </c>
      <c r="E67" s="1122"/>
      <c r="F67" s="1119"/>
      <c r="G67" s="1119">
        <v>20</v>
      </c>
      <c r="H67" s="1120">
        <v>20</v>
      </c>
      <c r="I67" s="1122"/>
      <c r="J67" s="1119">
        <v>1</v>
      </c>
      <c r="K67" s="1119">
        <v>13</v>
      </c>
      <c r="L67" s="1120">
        <v>14</v>
      </c>
      <c r="M67" s="1122">
        <v>3</v>
      </c>
      <c r="N67" s="1119">
        <v>1</v>
      </c>
      <c r="O67" s="1119">
        <v>23</v>
      </c>
      <c r="P67" s="1120">
        <v>27</v>
      </c>
      <c r="Q67" s="1122">
        <v>5</v>
      </c>
      <c r="R67" s="1119"/>
      <c r="S67" s="1119">
        <v>18</v>
      </c>
      <c r="T67" s="1120">
        <f>SUM(Q67:S67)</f>
        <v>23</v>
      </c>
      <c r="U67" s="1122"/>
      <c r="V67" s="1119"/>
      <c r="W67" s="1119">
        <v>8</v>
      </c>
      <c r="X67" s="1120">
        <f>SUM(U67:W67)</f>
        <v>8</v>
      </c>
      <c r="Y67" s="1121"/>
      <c r="Z67" s="1121"/>
      <c r="AA67" s="1121">
        <v>4</v>
      </c>
      <c r="AB67" s="1120">
        <f>SUM(Y67:AA67)</f>
        <v>4</v>
      </c>
      <c r="AC67" s="1121"/>
      <c r="AD67" s="1121"/>
      <c r="AE67" s="1121">
        <v>6</v>
      </c>
      <c r="AF67" s="1120">
        <f t="shared" si="27"/>
        <v>6</v>
      </c>
      <c r="AG67" s="1121"/>
      <c r="AH67" s="1121"/>
      <c r="AI67" s="1121">
        <v>9</v>
      </c>
      <c r="AJ67" s="1120">
        <f t="shared" si="28"/>
        <v>9</v>
      </c>
      <c r="AK67" s="1121"/>
      <c r="AL67" s="1121"/>
      <c r="AM67" s="1121">
        <v>4</v>
      </c>
      <c r="AN67" s="1120">
        <f t="shared" si="29"/>
        <v>4</v>
      </c>
      <c r="AO67" s="1121"/>
      <c r="AP67" s="1121"/>
      <c r="AQ67" s="1121">
        <v>9</v>
      </c>
      <c r="AR67" s="1106">
        <f t="shared" si="30"/>
        <v>9</v>
      </c>
      <c r="AS67" s="1121" t="s">
        <v>227</v>
      </c>
      <c r="AT67" s="1121" t="s">
        <v>227</v>
      </c>
      <c r="AU67" s="1121">
        <v>13</v>
      </c>
      <c r="AV67" s="1106">
        <f>SUM(AS67:AU67)</f>
        <v>13</v>
      </c>
      <c r="AW67" s="1121">
        <v>1</v>
      </c>
      <c r="AX67" s="1121"/>
      <c r="AY67" s="1121">
        <v>9</v>
      </c>
      <c r="AZ67" s="1106">
        <f t="shared" si="31"/>
        <v>10</v>
      </c>
      <c r="BA67" s="1121"/>
      <c r="BB67" s="1121"/>
      <c r="BC67" s="1121">
        <v>6</v>
      </c>
      <c r="BD67" s="1118">
        <f t="shared" si="32"/>
        <v>6</v>
      </c>
      <c r="BE67" s="1121"/>
      <c r="BF67" s="1121"/>
      <c r="BG67" s="1121">
        <v>9</v>
      </c>
      <c r="BH67" s="1106">
        <f>BE67+BF67+BG67</f>
        <v>9</v>
      </c>
      <c r="BI67" s="1121"/>
      <c r="BJ67" s="1121"/>
      <c r="BK67" s="1121">
        <v>13</v>
      </c>
      <c r="BL67" s="1106">
        <f t="shared" si="34"/>
        <v>13</v>
      </c>
      <c r="BM67" s="1121"/>
      <c r="BN67" s="1121"/>
      <c r="BO67" s="1121">
        <v>9</v>
      </c>
      <c r="BP67" s="1106">
        <f t="shared" si="35"/>
        <v>9</v>
      </c>
      <c r="BQ67" s="1121">
        <v>1</v>
      </c>
      <c r="BR67" s="1121"/>
      <c r="BS67" s="1121">
        <v>13</v>
      </c>
      <c r="BT67" s="1106">
        <f t="shared" si="36"/>
        <v>14</v>
      </c>
      <c r="BU67" s="4574"/>
      <c r="BV67" s="1121">
        <v>2</v>
      </c>
      <c r="BW67" s="1121">
        <v>8</v>
      </c>
      <c r="BX67" s="1106">
        <f t="shared" si="37"/>
        <v>10</v>
      </c>
      <c r="BY67" s="4574"/>
      <c r="BZ67" s="1121"/>
      <c r="CA67" s="1121">
        <v>9</v>
      </c>
      <c r="CB67" s="1106">
        <f t="shared" si="38"/>
        <v>9</v>
      </c>
    </row>
    <row r="68" spans="1:80" s="212" customFormat="1" ht="15" x14ac:dyDescent="0.25">
      <c r="A68" s="6238"/>
      <c r="B68" s="6195"/>
      <c r="C68" s="6241"/>
      <c r="D68" s="1107" t="s">
        <v>546</v>
      </c>
      <c r="E68" s="1122">
        <v>2</v>
      </c>
      <c r="F68" s="1119">
        <v>1</v>
      </c>
      <c r="G68" s="1119">
        <v>7</v>
      </c>
      <c r="H68" s="1120">
        <v>10</v>
      </c>
      <c r="I68" s="1122">
        <v>8</v>
      </c>
      <c r="J68" s="1119">
        <v>4</v>
      </c>
      <c r="K68" s="1119">
        <v>3</v>
      </c>
      <c r="L68" s="1120">
        <v>15</v>
      </c>
      <c r="M68" s="1122">
        <v>7</v>
      </c>
      <c r="N68" s="1119">
        <v>3</v>
      </c>
      <c r="O68" s="1119">
        <v>4</v>
      </c>
      <c r="P68" s="1120">
        <v>14</v>
      </c>
      <c r="Q68" s="1122">
        <v>5</v>
      </c>
      <c r="R68" s="1119">
        <v>4</v>
      </c>
      <c r="S68" s="1119">
        <v>5</v>
      </c>
      <c r="T68" s="1120">
        <v>14</v>
      </c>
      <c r="U68" s="1122">
        <v>1</v>
      </c>
      <c r="V68" s="1119">
        <v>3</v>
      </c>
      <c r="W68" s="1119">
        <v>9</v>
      </c>
      <c r="X68" s="1120">
        <f>SUM(U68:W68)</f>
        <v>13</v>
      </c>
      <c r="Y68" s="1121">
        <v>4</v>
      </c>
      <c r="Z68" s="1121">
        <v>4</v>
      </c>
      <c r="AA68" s="1121">
        <v>2</v>
      </c>
      <c r="AB68" s="1120">
        <f>SUM(Y68:AA68)</f>
        <v>10</v>
      </c>
      <c r="AC68" s="1121">
        <v>6</v>
      </c>
      <c r="AD68" s="1121">
        <v>3</v>
      </c>
      <c r="AE68" s="1121">
        <v>8</v>
      </c>
      <c r="AF68" s="1120">
        <f t="shared" si="27"/>
        <v>17</v>
      </c>
      <c r="AG68" s="1121">
        <v>7</v>
      </c>
      <c r="AH68" s="1121">
        <v>4</v>
      </c>
      <c r="AI68" s="1121">
        <v>3</v>
      </c>
      <c r="AJ68" s="1120">
        <f t="shared" si="28"/>
        <v>14</v>
      </c>
      <c r="AK68" s="1121">
        <v>6</v>
      </c>
      <c r="AL68" s="1121">
        <v>5</v>
      </c>
      <c r="AM68" s="1121">
        <v>6</v>
      </c>
      <c r="AN68" s="1120">
        <f t="shared" si="29"/>
        <v>17</v>
      </c>
      <c r="AO68" s="1121">
        <v>10</v>
      </c>
      <c r="AP68" s="1121">
        <v>1</v>
      </c>
      <c r="AQ68" s="1121">
        <v>4</v>
      </c>
      <c r="AR68" s="1106">
        <f t="shared" si="30"/>
        <v>15</v>
      </c>
      <c r="AS68" s="1121">
        <v>4</v>
      </c>
      <c r="AT68" s="1121">
        <v>2</v>
      </c>
      <c r="AU68" s="1121">
        <v>10</v>
      </c>
      <c r="AV68" s="1106">
        <f>SUM(AS68:AU68)</f>
        <v>16</v>
      </c>
      <c r="AW68" s="1121">
        <v>7</v>
      </c>
      <c r="AX68" s="1121">
        <v>3</v>
      </c>
      <c r="AY68" s="1121">
        <v>4</v>
      </c>
      <c r="AZ68" s="1106">
        <f t="shared" si="31"/>
        <v>14</v>
      </c>
      <c r="BA68" s="1121">
        <v>8</v>
      </c>
      <c r="BB68" s="1121">
        <v>6</v>
      </c>
      <c r="BC68" s="1121">
        <v>6</v>
      </c>
      <c r="BD68" s="1118">
        <f t="shared" si="32"/>
        <v>20</v>
      </c>
      <c r="BE68" s="1121">
        <v>4</v>
      </c>
      <c r="BF68" s="1121">
        <v>4</v>
      </c>
      <c r="BG68" s="1121">
        <v>6</v>
      </c>
      <c r="BH68" s="1106">
        <f>BE68+BF68+BG68</f>
        <v>14</v>
      </c>
      <c r="BI68" s="1121">
        <v>1</v>
      </c>
      <c r="BJ68" s="1121">
        <v>3</v>
      </c>
      <c r="BK68" s="1121">
        <v>4</v>
      </c>
      <c r="BL68" s="1106">
        <f t="shared" si="34"/>
        <v>8</v>
      </c>
      <c r="BM68" s="1121">
        <v>2</v>
      </c>
      <c r="BN68" s="1121"/>
      <c r="BO68" s="1121">
        <v>4</v>
      </c>
      <c r="BP68" s="1106">
        <f t="shared" si="35"/>
        <v>6</v>
      </c>
      <c r="BQ68" s="1121">
        <v>2</v>
      </c>
      <c r="BR68" s="1121">
        <v>3</v>
      </c>
      <c r="BS68" s="1121">
        <v>3</v>
      </c>
      <c r="BT68" s="1106">
        <f t="shared" si="36"/>
        <v>8</v>
      </c>
      <c r="BU68" s="4574">
        <v>4</v>
      </c>
      <c r="BV68" s="1121"/>
      <c r="BW68" s="1121">
        <v>5</v>
      </c>
      <c r="BX68" s="1106">
        <f t="shared" si="37"/>
        <v>9</v>
      </c>
      <c r="BY68" s="4574">
        <v>1</v>
      </c>
      <c r="BZ68" s="1121">
        <v>5</v>
      </c>
      <c r="CA68" s="1121">
        <v>4</v>
      </c>
      <c r="CB68" s="1106">
        <f t="shared" si="38"/>
        <v>10</v>
      </c>
    </row>
    <row r="69" spans="1:80" s="212" customFormat="1" ht="15" x14ac:dyDescent="0.25">
      <c r="A69" s="6238"/>
      <c r="B69" s="6195"/>
      <c r="C69" s="6241"/>
      <c r="D69" s="1107" t="s">
        <v>68</v>
      </c>
      <c r="E69" s="1122"/>
      <c r="F69" s="1119"/>
      <c r="G69" s="1119"/>
      <c r="H69" s="1120"/>
      <c r="I69" s="1122"/>
      <c r="J69" s="1119"/>
      <c r="K69" s="1119"/>
      <c r="L69" s="1120"/>
      <c r="M69" s="1122"/>
      <c r="N69" s="1119"/>
      <c r="O69" s="1119"/>
      <c r="P69" s="1120"/>
      <c r="Q69" s="1122"/>
      <c r="R69" s="1119"/>
      <c r="S69" s="1119"/>
      <c r="T69" s="1120"/>
      <c r="U69" s="1122"/>
      <c r="V69" s="1119"/>
      <c r="W69" s="1119"/>
      <c r="X69" s="1120"/>
      <c r="Y69" s="1121"/>
      <c r="Z69" s="1121"/>
      <c r="AA69" s="1121"/>
      <c r="AB69" s="1120"/>
      <c r="AC69" s="1121"/>
      <c r="AD69" s="1121"/>
      <c r="AE69" s="1121">
        <v>11</v>
      </c>
      <c r="AF69" s="1120">
        <f t="shared" si="27"/>
        <v>11</v>
      </c>
      <c r="AG69" s="1121"/>
      <c r="AH69" s="1121"/>
      <c r="AI69" s="1121">
        <v>12</v>
      </c>
      <c r="AJ69" s="1120">
        <f t="shared" si="28"/>
        <v>12</v>
      </c>
      <c r="AK69" s="1121"/>
      <c r="AL69" s="1121"/>
      <c r="AM69" s="1121">
        <v>8</v>
      </c>
      <c r="AN69" s="1120">
        <f t="shared" si="29"/>
        <v>8</v>
      </c>
      <c r="AO69" s="1121"/>
      <c r="AP69" s="1121"/>
      <c r="AQ69" s="1121">
        <v>14</v>
      </c>
      <c r="AR69" s="1106">
        <f t="shared" si="30"/>
        <v>14</v>
      </c>
      <c r="AS69" s="1121" t="s">
        <v>227</v>
      </c>
      <c r="AT69" s="1121" t="s">
        <v>227</v>
      </c>
      <c r="AU69" s="1121">
        <v>16</v>
      </c>
      <c r="AV69" s="1106">
        <f>SUM(AS69:AU69)</f>
        <v>16</v>
      </c>
      <c r="AW69" s="1121"/>
      <c r="AX69" s="1121"/>
      <c r="AY69" s="1121">
        <v>15</v>
      </c>
      <c r="AZ69" s="1106">
        <f t="shared" si="31"/>
        <v>15</v>
      </c>
      <c r="BA69" s="1121"/>
      <c r="BB69" s="1121"/>
      <c r="BC69" s="1121">
        <v>17</v>
      </c>
      <c r="BD69" s="1118">
        <f t="shared" si="32"/>
        <v>17</v>
      </c>
      <c r="BE69" s="1121"/>
      <c r="BF69" s="1121"/>
      <c r="BG69" s="1121">
        <v>12</v>
      </c>
      <c r="BH69" s="1106">
        <f>BE69+BF69+BG69</f>
        <v>12</v>
      </c>
      <c r="BI69" s="1121"/>
      <c r="BJ69" s="1121"/>
      <c r="BK69" s="1121">
        <v>12</v>
      </c>
      <c r="BL69" s="1106">
        <f t="shared" si="34"/>
        <v>12</v>
      </c>
      <c r="BM69" s="1121"/>
      <c r="BN69" s="1121"/>
      <c r="BO69" s="1121">
        <v>11</v>
      </c>
      <c r="BP69" s="1106">
        <f t="shared" si="35"/>
        <v>11</v>
      </c>
      <c r="BQ69" s="1121"/>
      <c r="BR69" s="1121"/>
      <c r="BS69" s="1121">
        <v>13</v>
      </c>
      <c r="BT69" s="1106">
        <f t="shared" si="36"/>
        <v>13</v>
      </c>
      <c r="BU69" s="4574"/>
      <c r="BV69" s="1121"/>
      <c r="BW69" s="1121">
        <v>6</v>
      </c>
      <c r="BX69" s="1106">
        <f t="shared" si="37"/>
        <v>6</v>
      </c>
      <c r="BY69" s="4574"/>
      <c r="BZ69" s="1121"/>
      <c r="CA69" s="1121">
        <v>10</v>
      </c>
      <c r="CB69" s="1106">
        <f t="shared" si="38"/>
        <v>10</v>
      </c>
    </row>
    <row r="70" spans="1:80" s="212" customFormat="1" ht="15" x14ac:dyDescent="0.25">
      <c r="A70" s="6238"/>
      <c r="B70" s="6195"/>
      <c r="C70" s="6242"/>
      <c r="D70" s="1107" t="s">
        <v>761</v>
      </c>
      <c r="E70" s="1122"/>
      <c r="F70" s="1119"/>
      <c r="G70" s="1119"/>
      <c r="H70" s="1120"/>
      <c r="I70" s="1122"/>
      <c r="J70" s="1119"/>
      <c r="K70" s="1119"/>
      <c r="L70" s="1120"/>
      <c r="M70" s="1122"/>
      <c r="N70" s="1119"/>
      <c r="O70" s="1119"/>
      <c r="P70" s="1120"/>
      <c r="Q70" s="1122"/>
      <c r="R70" s="1119"/>
      <c r="S70" s="1119"/>
      <c r="T70" s="1120"/>
      <c r="U70" s="1122"/>
      <c r="V70" s="1119"/>
      <c r="W70" s="1119"/>
      <c r="X70" s="1120"/>
      <c r="Y70" s="1121"/>
      <c r="Z70" s="1121"/>
      <c r="AA70" s="1121"/>
      <c r="AB70" s="1120"/>
      <c r="AC70" s="1121"/>
      <c r="AD70" s="1121"/>
      <c r="AE70" s="1121"/>
      <c r="AF70" s="1120"/>
      <c r="AG70" s="1121"/>
      <c r="AH70" s="1121"/>
      <c r="AI70" s="1121"/>
      <c r="AJ70" s="1120"/>
      <c r="AK70" s="1121"/>
      <c r="AL70" s="1121"/>
      <c r="AM70" s="1121"/>
      <c r="AN70" s="1120"/>
      <c r="AO70" s="1121"/>
      <c r="AP70" s="1121"/>
      <c r="AQ70" s="1121"/>
      <c r="AR70" s="1106"/>
      <c r="AS70" s="1121"/>
      <c r="AT70" s="1121"/>
      <c r="AU70" s="1121"/>
      <c r="AV70" s="1106"/>
      <c r="AW70" s="1121"/>
      <c r="AX70" s="1121"/>
      <c r="AY70" s="1121"/>
      <c r="AZ70" s="1106"/>
      <c r="BA70" s="1121"/>
      <c r="BB70" s="1121"/>
      <c r="BC70" s="1121"/>
      <c r="BD70" s="1118"/>
      <c r="BE70" s="1121"/>
      <c r="BF70" s="1121"/>
      <c r="BG70" s="1121"/>
      <c r="BH70" s="1106"/>
      <c r="BI70" s="1121">
        <v>25</v>
      </c>
      <c r="BJ70" s="1121"/>
      <c r="BK70" s="1121"/>
      <c r="BL70" s="1106">
        <f t="shared" si="34"/>
        <v>25</v>
      </c>
      <c r="BM70" s="1121">
        <v>12</v>
      </c>
      <c r="BN70" s="1121"/>
      <c r="BO70" s="1121"/>
      <c r="BP70" s="1106">
        <f t="shared" si="35"/>
        <v>12</v>
      </c>
      <c r="BQ70" s="1121">
        <v>15</v>
      </c>
      <c r="BR70" s="1121"/>
      <c r="BS70" s="1121"/>
      <c r="BT70" s="1106">
        <f t="shared" si="36"/>
        <v>15</v>
      </c>
      <c r="BU70" s="4574">
        <v>28</v>
      </c>
      <c r="BV70" s="1121"/>
      <c r="BW70" s="1121"/>
      <c r="BX70" s="1106">
        <f t="shared" si="37"/>
        <v>28</v>
      </c>
      <c r="BY70" s="4574">
        <v>14</v>
      </c>
      <c r="BZ70" s="1121"/>
      <c r="CA70" s="1121"/>
      <c r="CB70" s="1106">
        <f t="shared" si="38"/>
        <v>14</v>
      </c>
    </row>
    <row r="71" spans="1:80" s="212" customFormat="1" ht="15" x14ac:dyDescent="0.25">
      <c r="A71" s="6238"/>
      <c r="B71" s="6195"/>
      <c r="C71" s="6243" t="s">
        <v>520</v>
      </c>
      <c r="D71" s="1107" t="s">
        <v>542</v>
      </c>
      <c r="E71" s="1122"/>
      <c r="F71" s="1119"/>
      <c r="G71" s="1119"/>
      <c r="H71" s="1120"/>
      <c r="I71" s="1122"/>
      <c r="J71" s="1119"/>
      <c r="K71" s="1119">
        <v>3</v>
      </c>
      <c r="L71" s="1120">
        <v>3</v>
      </c>
      <c r="M71" s="1122">
        <v>5</v>
      </c>
      <c r="N71" s="1119">
        <v>2</v>
      </c>
      <c r="O71" s="1119">
        <v>2</v>
      </c>
      <c r="P71" s="1120">
        <v>9</v>
      </c>
      <c r="Q71" s="1122">
        <v>5</v>
      </c>
      <c r="R71" s="1119">
        <v>3</v>
      </c>
      <c r="S71" s="1119">
        <v>3</v>
      </c>
      <c r="T71" s="1120">
        <v>11</v>
      </c>
      <c r="U71" s="1122">
        <v>4</v>
      </c>
      <c r="V71" s="1119"/>
      <c r="W71" s="1119">
        <v>1</v>
      </c>
      <c r="X71" s="1120">
        <f>SUM(U71:W71)</f>
        <v>5</v>
      </c>
      <c r="Y71" s="1121"/>
      <c r="Z71" s="1121"/>
      <c r="AA71" s="1121">
        <v>4</v>
      </c>
      <c r="AB71" s="1120">
        <f>SUM(Y71:AA71)</f>
        <v>4</v>
      </c>
      <c r="AC71" s="1121">
        <v>2</v>
      </c>
      <c r="AD71" s="1121">
        <v>2</v>
      </c>
      <c r="AE71" s="1121">
        <v>3</v>
      </c>
      <c r="AF71" s="1120">
        <f>SUM(AC71:AE71)</f>
        <v>7</v>
      </c>
      <c r="AG71" s="1121">
        <v>2</v>
      </c>
      <c r="AH71" s="1121">
        <v>1</v>
      </c>
      <c r="AI71" s="1121"/>
      <c r="AJ71" s="1120">
        <f>SUM(AG71:AI71)</f>
        <v>3</v>
      </c>
      <c r="AK71" s="1121"/>
      <c r="AL71" s="1121">
        <v>1</v>
      </c>
      <c r="AM71" s="1121">
        <v>2</v>
      </c>
      <c r="AN71" s="1120">
        <f>SUM(AK71:AM71)</f>
        <v>3</v>
      </c>
      <c r="AO71" s="1121"/>
      <c r="AP71" s="1121"/>
      <c r="AQ71" s="1121">
        <v>2</v>
      </c>
      <c r="AR71" s="1106">
        <f>SUM(AO71:AQ71)</f>
        <v>2</v>
      </c>
      <c r="AS71" s="1121">
        <v>1</v>
      </c>
      <c r="AT71" s="1121" t="s">
        <v>227</v>
      </c>
      <c r="AU71" s="1121">
        <v>2</v>
      </c>
      <c r="AV71" s="1106">
        <f>SUM(AS71:AU71)</f>
        <v>3</v>
      </c>
      <c r="AW71" s="1121"/>
      <c r="AX71" s="1121">
        <v>1</v>
      </c>
      <c r="AY71" s="1121"/>
      <c r="AZ71" s="1106">
        <f>AW71+AX71+AY71</f>
        <v>1</v>
      </c>
      <c r="BA71" s="1121"/>
      <c r="BB71" s="1121"/>
      <c r="BC71" s="1121">
        <v>1</v>
      </c>
      <c r="BD71" s="1118">
        <f t="shared" ref="BD71:BD76" si="39">SUM(BA71:BC71)</f>
        <v>1</v>
      </c>
      <c r="BE71" s="1121"/>
      <c r="BF71" s="1121">
        <v>2</v>
      </c>
      <c r="BG71" s="1121"/>
      <c r="BH71" s="1106">
        <f t="shared" si="33"/>
        <v>2</v>
      </c>
      <c r="BI71" s="1121"/>
      <c r="BJ71" s="1121"/>
      <c r="BK71" s="1121">
        <v>2</v>
      </c>
      <c r="BL71" s="1106">
        <f t="shared" ref="BL71:BL77" si="40">BI71+BJ71+BK71</f>
        <v>2</v>
      </c>
      <c r="BM71" s="1121">
        <v>2</v>
      </c>
      <c r="BN71" s="1121">
        <v>1</v>
      </c>
      <c r="BO71" s="1121">
        <v>4</v>
      </c>
      <c r="BP71" s="1106">
        <f t="shared" si="35"/>
        <v>7</v>
      </c>
      <c r="BQ71" s="1121">
        <v>6</v>
      </c>
      <c r="BR71" s="1121"/>
      <c r="BS71" s="1121">
        <v>4</v>
      </c>
      <c r="BT71" s="1106">
        <f t="shared" si="36"/>
        <v>10</v>
      </c>
      <c r="BU71" s="4574">
        <v>2</v>
      </c>
      <c r="BV71" s="1121"/>
      <c r="BW71" s="1121">
        <v>1</v>
      </c>
      <c r="BX71" s="1106">
        <f t="shared" si="37"/>
        <v>3</v>
      </c>
      <c r="BY71" s="4574">
        <v>1</v>
      </c>
      <c r="BZ71" s="1121">
        <v>1</v>
      </c>
      <c r="CA71" s="1121">
        <v>1</v>
      </c>
      <c r="CB71" s="1106">
        <f t="shared" si="38"/>
        <v>3</v>
      </c>
    </row>
    <row r="72" spans="1:80" s="212" customFormat="1" ht="15" x14ac:dyDescent="0.25">
      <c r="A72" s="6238"/>
      <c r="B72" s="6195"/>
      <c r="C72" s="6241"/>
      <c r="D72" s="1107" t="s">
        <v>1629</v>
      </c>
      <c r="E72" s="1122"/>
      <c r="F72" s="1119"/>
      <c r="G72" s="1119">
        <v>1</v>
      </c>
      <c r="H72" s="1120">
        <v>1</v>
      </c>
      <c r="I72" s="1122"/>
      <c r="J72" s="1119"/>
      <c r="K72" s="1119">
        <v>1</v>
      </c>
      <c r="L72" s="1120">
        <v>1</v>
      </c>
      <c r="M72" s="1122">
        <v>3</v>
      </c>
      <c r="N72" s="1119">
        <v>1</v>
      </c>
      <c r="O72" s="1119"/>
      <c r="P72" s="1120">
        <v>4</v>
      </c>
      <c r="Q72" s="1122">
        <v>3</v>
      </c>
      <c r="R72" s="1119">
        <v>1</v>
      </c>
      <c r="S72" s="1119">
        <v>3</v>
      </c>
      <c r="T72" s="1120">
        <v>7</v>
      </c>
      <c r="U72" s="1122">
        <v>1</v>
      </c>
      <c r="V72" s="1119">
        <v>2</v>
      </c>
      <c r="W72" s="1119">
        <v>2</v>
      </c>
      <c r="X72" s="1120">
        <f>SUM(U72:W72)</f>
        <v>5</v>
      </c>
      <c r="Y72" s="1121">
        <v>2</v>
      </c>
      <c r="Z72" s="1121">
        <v>2</v>
      </c>
      <c r="AA72" s="1121">
        <v>2</v>
      </c>
      <c r="AB72" s="1120">
        <f>SUM(Y72:AA72)</f>
        <v>6</v>
      </c>
      <c r="AC72" s="1121">
        <v>2</v>
      </c>
      <c r="AD72" s="1121">
        <v>3</v>
      </c>
      <c r="AE72" s="1121">
        <v>2</v>
      </c>
      <c r="AF72" s="1120">
        <f>SUM(AC72:AE72)</f>
        <v>7</v>
      </c>
      <c r="AG72" s="1121">
        <v>2</v>
      </c>
      <c r="AH72" s="1121">
        <v>1</v>
      </c>
      <c r="AI72" s="1121">
        <v>2</v>
      </c>
      <c r="AJ72" s="1120">
        <f>SUM(AG72:AI72)</f>
        <v>5</v>
      </c>
      <c r="AK72" s="1121"/>
      <c r="AL72" s="1121">
        <v>1</v>
      </c>
      <c r="AM72" s="1121">
        <v>2</v>
      </c>
      <c r="AN72" s="1120">
        <f>SUM(AK72:AM72)</f>
        <v>3</v>
      </c>
      <c r="AO72" s="1121">
        <v>1</v>
      </c>
      <c r="AP72" s="1121">
        <v>2</v>
      </c>
      <c r="AQ72" s="1121">
        <v>2</v>
      </c>
      <c r="AR72" s="1106">
        <f>SUM(AO72:AQ72)</f>
        <v>5</v>
      </c>
      <c r="AS72" s="1121" t="s">
        <v>227</v>
      </c>
      <c r="AT72" s="1121">
        <v>4</v>
      </c>
      <c r="AU72" s="1121">
        <v>2</v>
      </c>
      <c r="AV72" s="1106">
        <f>SUM(AS72:AU72)</f>
        <v>6</v>
      </c>
      <c r="AW72" s="1121">
        <v>3</v>
      </c>
      <c r="AX72" s="1121">
        <v>1</v>
      </c>
      <c r="AY72" s="1121">
        <v>3</v>
      </c>
      <c r="AZ72" s="1106">
        <f>AW72+AX72+AY72</f>
        <v>7</v>
      </c>
      <c r="BA72" s="1121">
        <v>5</v>
      </c>
      <c r="BB72" s="1121">
        <v>3</v>
      </c>
      <c r="BC72" s="1121">
        <v>5</v>
      </c>
      <c r="BD72" s="1118">
        <f t="shared" si="39"/>
        <v>13</v>
      </c>
      <c r="BE72" s="1121">
        <v>6</v>
      </c>
      <c r="BF72" s="1121"/>
      <c r="BG72" s="1121">
        <v>5</v>
      </c>
      <c r="BH72" s="1106">
        <f t="shared" si="33"/>
        <v>11</v>
      </c>
      <c r="BI72" s="1121">
        <v>3</v>
      </c>
      <c r="BJ72" s="1121">
        <v>4</v>
      </c>
      <c r="BK72" s="1121">
        <v>2</v>
      </c>
      <c r="BL72" s="1106">
        <f t="shared" si="40"/>
        <v>9</v>
      </c>
      <c r="BM72" s="1121">
        <v>2</v>
      </c>
      <c r="BN72" s="1121">
        <v>3</v>
      </c>
      <c r="BO72" s="1121">
        <v>5</v>
      </c>
      <c r="BP72" s="1106">
        <f t="shared" si="35"/>
        <v>10</v>
      </c>
      <c r="BQ72" s="1121">
        <v>2</v>
      </c>
      <c r="BR72" s="1121">
        <v>3</v>
      </c>
      <c r="BS72" s="1121">
        <v>6</v>
      </c>
      <c r="BT72" s="1106">
        <f t="shared" si="36"/>
        <v>11</v>
      </c>
      <c r="BU72" s="4574">
        <v>1</v>
      </c>
      <c r="BV72" s="1121">
        <v>2</v>
      </c>
      <c r="BW72" s="1121">
        <v>3</v>
      </c>
      <c r="BX72" s="1106">
        <f t="shared" si="37"/>
        <v>6</v>
      </c>
      <c r="BY72" s="4574">
        <v>4</v>
      </c>
      <c r="BZ72" s="1121">
        <v>2</v>
      </c>
      <c r="CA72" s="1121"/>
      <c r="CB72" s="1106">
        <f t="shared" si="38"/>
        <v>6</v>
      </c>
    </row>
    <row r="73" spans="1:80" s="212" customFormat="1" ht="15" x14ac:dyDescent="0.25">
      <c r="A73" s="6238"/>
      <c r="B73" s="6195"/>
      <c r="C73" s="6241"/>
      <c r="D73" s="1107" t="s">
        <v>1630</v>
      </c>
      <c r="E73" s="1122"/>
      <c r="F73" s="1119"/>
      <c r="G73" s="1119">
        <v>6</v>
      </c>
      <c r="H73" s="1120">
        <v>6</v>
      </c>
      <c r="I73" s="1122">
        <v>9</v>
      </c>
      <c r="J73" s="1119">
        <v>2</v>
      </c>
      <c r="K73" s="1119">
        <v>13</v>
      </c>
      <c r="L73" s="1120">
        <v>24</v>
      </c>
      <c r="M73" s="1122">
        <v>10</v>
      </c>
      <c r="N73" s="1119">
        <v>7</v>
      </c>
      <c r="O73" s="1119">
        <v>1</v>
      </c>
      <c r="P73" s="1120">
        <v>18</v>
      </c>
      <c r="Q73" s="1122">
        <v>5</v>
      </c>
      <c r="R73" s="1119">
        <v>1</v>
      </c>
      <c r="S73" s="1119">
        <v>3</v>
      </c>
      <c r="T73" s="1120">
        <v>9</v>
      </c>
      <c r="U73" s="1122">
        <v>4</v>
      </c>
      <c r="V73" s="1119">
        <v>6</v>
      </c>
      <c r="W73" s="1119">
        <v>6</v>
      </c>
      <c r="X73" s="1120">
        <f>SUM(U73:W73)</f>
        <v>16</v>
      </c>
      <c r="Y73" s="1121">
        <v>9</v>
      </c>
      <c r="Z73" s="1121">
        <v>7</v>
      </c>
      <c r="AA73" s="1121">
        <v>5</v>
      </c>
      <c r="AB73" s="1120">
        <f>SUM(Y73:AA73)</f>
        <v>21</v>
      </c>
      <c r="AC73" s="1121">
        <v>10</v>
      </c>
      <c r="AD73" s="1121">
        <v>6</v>
      </c>
      <c r="AE73" s="1121">
        <v>4</v>
      </c>
      <c r="AF73" s="1120">
        <f>SUM(AC73:AE73)</f>
        <v>20</v>
      </c>
      <c r="AG73" s="1121">
        <v>3</v>
      </c>
      <c r="AH73" s="1121"/>
      <c r="AI73" s="1121">
        <v>2</v>
      </c>
      <c r="AJ73" s="1120">
        <f>SUM(AG73:AI73)</f>
        <v>5</v>
      </c>
      <c r="AK73" s="1121">
        <v>1</v>
      </c>
      <c r="AL73" s="1121"/>
      <c r="AM73" s="1121">
        <v>2</v>
      </c>
      <c r="AN73" s="1120">
        <f>SUM(AK73:AM73)</f>
        <v>3</v>
      </c>
      <c r="AO73" s="1121">
        <v>1</v>
      </c>
      <c r="AP73" s="1121"/>
      <c r="AQ73" s="1121">
        <v>8</v>
      </c>
      <c r="AR73" s="1106">
        <f>SUM(AO73:AQ73)</f>
        <v>9</v>
      </c>
      <c r="AS73" s="1121">
        <v>3</v>
      </c>
      <c r="AT73" s="1121" t="s">
        <v>227</v>
      </c>
      <c r="AU73" s="1121">
        <v>6</v>
      </c>
      <c r="AV73" s="1106">
        <f>SUM(AS73:AU73)</f>
        <v>9</v>
      </c>
      <c r="AW73" s="1121">
        <v>9</v>
      </c>
      <c r="AX73" s="1121"/>
      <c r="AY73" s="1121">
        <v>5</v>
      </c>
      <c r="AZ73" s="1106">
        <f>AW73+AX73+AY73</f>
        <v>14</v>
      </c>
      <c r="BA73" s="1121">
        <v>6</v>
      </c>
      <c r="BB73" s="1121">
        <v>1</v>
      </c>
      <c r="BC73" s="1121"/>
      <c r="BD73" s="1118">
        <f t="shared" si="39"/>
        <v>7</v>
      </c>
      <c r="BE73" s="1121">
        <v>5</v>
      </c>
      <c r="BF73" s="1121">
        <v>1</v>
      </c>
      <c r="BG73" s="1121">
        <v>5</v>
      </c>
      <c r="BH73" s="1106">
        <f t="shared" si="33"/>
        <v>11</v>
      </c>
      <c r="BI73" s="1121">
        <v>12</v>
      </c>
      <c r="BJ73" s="1121">
        <v>2</v>
      </c>
      <c r="BK73" s="1121">
        <v>4</v>
      </c>
      <c r="BL73" s="1106">
        <f t="shared" si="40"/>
        <v>18</v>
      </c>
      <c r="BM73" s="1121">
        <v>1</v>
      </c>
      <c r="BN73" s="1121">
        <v>1</v>
      </c>
      <c r="BO73" s="1121">
        <v>8</v>
      </c>
      <c r="BP73" s="1106">
        <f t="shared" si="35"/>
        <v>10</v>
      </c>
      <c r="BQ73" s="1121">
        <v>1</v>
      </c>
      <c r="BR73" s="1121"/>
      <c r="BS73" s="1121">
        <v>2</v>
      </c>
      <c r="BT73" s="1106">
        <f t="shared" si="36"/>
        <v>3</v>
      </c>
      <c r="BU73" s="4574">
        <v>1</v>
      </c>
      <c r="BV73" s="1121">
        <v>1</v>
      </c>
      <c r="BW73" s="1121">
        <v>1</v>
      </c>
      <c r="BX73" s="1106">
        <f t="shared" si="37"/>
        <v>3</v>
      </c>
      <c r="BY73" s="4574">
        <v>1</v>
      </c>
      <c r="BZ73" s="1121">
        <v>1</v>
      </c>
      <c r="CA73" s="1121">
        <v>5</v>
      </c>
      <c r="CB73" s="1106">
        <f t="shared" si="38"/>
        <v>7</v>
      </c>
    </row>
    <row r="74" spans="1:80" s="212" customFormat="1" ht="15" x14ac:dyDescent="0.25">
      <c r="A74" s="6238"/>
      <c r="B74" s="6195"/>
      <c r="C74" s="6241"/>
      <c r="D74" s="1107" t="s">
        <v>545</v>
      </c>
      <c r="E74" s="1122"/>
      <c r="F74" s="1119"/>
      <c r="G74" s="1119">
        <v>2</v>
      </c>
      <c r="H74" s="1120">
        <v>2</v>
      </c>
      <c r="I74" s="1122">
        <v>2</v>
      </c>
      <c r="J74" s="1119">
        <v>1</v>
      </c>
      <c r="K74" s="1119">
        <v>9</v>
      </c>
      <c r="L74" s="1120">
        <v>12</v>
      </c>
      <c r="M74" s="1122">
        <v>6</v>
      </c>
      <c r="N74" s="1119">
        <v>1</v>
      </c>
      <c r="O74" s="1119">
        <v>6</v>
      </c>
      <c r="P74" s="1120">
        <v>13</v>
      </c>
      <c r="Q74" s="1122">
        <v>4</v>
      </c>
      <c r="R74" s="1119">
        <v>3</v>
      </c>
      <c r="S74" s="1119">
        <v>4</v>
      </c>
      <c r="T74" s="1120">
        <v>11</v>
      </c>
      <c r="U74" s="1122">
        <v>1</v>
      </c>
      <c r="V74" s="1119"/>
      <c r="W74" s="1119">
        <v>8</v>
      </c>
      <c r="X74" s="1120">
        <f>SUM(U74:W74)</f>
        <v>9</v>
      </c>
      <c r="Y74" s="1121">
        <v>2</v>
      </c>
      <c r="Z74" s="1121"/>
      <c r="AA74" s="1121">
        <v>6</v>
      </c>
      <c r="AB74" s="1120">
        <f>SUM(Y74:AA74)</f>
        <v>8</v>
      </c>
      <c r="AC74" s="1121">
        <v>2</v>
      </c>
      <c r="AD74" s="1121"/>
      <c r="AE74" s="1121">
        <v>2</v>
      </c>
      <c r="AF74" s="1120">
        <f>SUM(AC74:AE74)</f>
        <v>4</v>
      </c>
      <c r="AG74" s="1121"/>
      <c r="AH74" s="1121"/>
      <c r="AI74" s="1121">
        <v>2</v>
      </c>
      <c r="AJ74" s="1120">
        <f>SUM(AG74:AI74)</f>
        <v>2</v>
      </c>
      <c r="AK74" s="1121"/>
      <c r="AL74" s="1121"/>
      <c r="AM74" s="1121"/>
      <c r="AN74" s="1120"/>
      <c r="AO74" s="1121">
        <v>2</v>
      </c>
      <c r="AP74" s="1121"/>
      <c r="AQ74" s="1121">
        <v>1</v>
      </c>
      <c r="AR74" s="1106">
        <f>SUM(AO74:AQ74)</f>
        <v>3</v>
      </c>
      <c r="AS74" s="1121" t="s">
        <v>227</v>
      </c>
      <c r="AT74" s="1121" t="s">
        <v>227</v>
      </c>
      <c r="AU74" s="1121">
        <v>2</v>
      </c>
      <c r="AV74" s="1106">
        <f>SUM(AS74:AU74)</f>
        <v>2</v>
      </c>
      <c r="AW74" s="1121"/>
      <c r="AX74" s="1121"/>
      <c r="AY74" s="1121">
        <v>1</v>
      </c>
      <c r="AZ74" s="1106">
        <f>AW74+AX74+AY74</f>
        <v>1</v>
      </c>
      <c r="BA74" s="1121">
        <v>4</v>
      </c>
      <c r="BB74" s="1121">
        <v>1</v>
      </c>
      <c r="BC74" s="1121">
        <v>11</v>
      </c>
      <c r="BD74" s="1118">
        <f t="shared" si="39"/>
        <v>16</v>
      </c>
      <c r="BE74" s="1121"/>
      <c r="BF74" s="1121">
        <v>2</v>
      </c>
      <c r="BG74" s="1121">
        <v>3</v>
      </c>
      <c r="BH74" s="1106">
        <f t="shared" si="33"/>
        <v>5</v>
      </c>
      <c r="BI74" s="1121">
        <v>2</v>
      </c>
      <c r="BJ74" s="1121">
        <v>3</v>
      </c>
      <c r="BK74" s="1121">
        <v>1</v>
      </c>
      <c r="BL74" s="1106">
        <f t="shared" si="40"/>
        <v>6</v>
      </c>
      <c r="BM74" s="1121"/>
      <c r="BN74" s="1121">
        <v>1</v>
      </c>
      <c r="BO74" s="1121">
        <v>3</v>
      </c>
      <c r="BP74" s="1106">
        <f t="shared" si="35"/>
        <v>4</v>
      </c>
      <c r="BQ74" s="1121"/>
      <c r="BR74" s="1121">
        <v>3</v>
      </c>
      <c r="BS74" s="1121">
        <v>3</v>
      </c>
      <c r="BT74" s="1106">
        <f t="shared" si="36"/>
        <v>6</v>
      </c>
      <c r="BU74" s="4574">
        <v>4</v>
      </c>
      <c r="BV74" s="1121">
        <v>1</v>
      </c>
      <c r="BW74" s="1121"/>
      <c r="BX74" s="1106">
        <f t="shared" si="37"/>
        <v>5</v>
      </c>
      <c r="BY74" s="4574">
        <v>1</v>
      </c>
      <c r="BZ74" s="1121">
        <v>2</v>
      </c>
      <c r="CA74" s="1121">
        <v>2</v>
      </c>
      <c r="CB74" s="1106">
        <f t="shared" si="38"/>
        <v>5</v>
      </c>
    </row>
    <row r="75" spans="1:80" s="212" customFormat="1" ht="15" x14ac:dyDescent="0.25">
      <c r="A75" s="6238"/>
      <c r="B75" s="6195"/>
      <c r="C75" s="6241"/>
      <c r="D75" s="1107" t="s">
        <v>546</v>
      </c>
      <c r="E75" s="1122">
        <v>1</v>
      </c>
      <c r="F75" s="1119"/>
      <c r="G75" s="1119">
        <v>1</v>
      </c>
      <c r="H75" s="1120">
        <v>2</v>
      </c>
      <c r="I75" s="1122">
        <v>2</v>
      </c>
      <c r="J75" s="1119"/>
      <c r="K75" s="1119">
        <v>3</v>
      </c>
      <c r="L75" s="1120">
        <v>5</v>
      </c>
      <c r="M75" s="1122">
        <v>1</v>
      </c>
      <c r="N75" s="1119">
        <v>1</v>
      </c>
      <c r="O75" s="1119"/>
      <c r="P75" s="1120">
        <v>2</v>
      </c>
      <c r="Q75" s="1122">
        <v>2</v>
      </c>
      <c r="R75" s="1119">
        <v>1</v>
      </c>
      <c r="S75" s="1119"/>
      <c r="T75" s="1120">
        <v>3</v>
      </c>
      <c r="U75" s="1122">
        <v>1</v>
      </c>
      <c r="V75" s="1119"/>
      <c r="W75" s="1119"/>
      <c r="X75" s="1120">
        <f>SUM(U75:W75)</f>
        <v>1</v>
      </c>
      <c r="Y75" s="1121"/>
      <c r="Z75" s="1121"/>
      <c r="AA75" s="1121">
        <v>1</v>
      </c>
      <c r="AB75" s="1120">
        <f>SUM(Y75:AA75)</f>
        <v>1</v>
      </c>
      <c r="AC75" s="1121">
        <v>1</v>
      </c>
      <c r="AD75" s="1121">
        <v>1</v>
      </c>
      <c r="AE75" s="1121">
        <v>1</v>
      </c>
      <c r="AF75" s="1120">
        <f>SUM(AC75:AE75)</f>
        <v>3</v>
      </c>
      <c r="AG75" s="1121"/>
      <c r="AH75" s="1121">
        <v>2</v>
      </c>
      <c r="AI75" s="1121"/>
      <c r="AJ75" s="1120">
        <f>SUM(AG75:AI75)</f>
        <v>2</v>
      </c>
      <c r="AK75" s="1121"/>
      <c r="AL75" s="1121"/>
      <c r="AM75" s="1121">
        <v>1</v>
      </c>
      <c r="AN75" s="1120">
        <f>SUM(AK75:AM75)</f>
        <v>1</v>
      </c>
      <c r="AO75" s="1121"/>
      <c r="AP75" s="1121"/>
      <c r="AQ75" s="1121">
        <v>1</v>
      </c>
      <c r="AR75" s="1106">
        <f>SUM(AO75:AQ75)</f>
        <v>1</v>
      </c>
      <c r="AS75" s="1121"/>
      <c r="AT75" s="1121"/>
      <c r="AU75" s="1121"/>
      <c r="AV75" s="1106"/>
      <c r="AW75" s="1121">
        <v>1</v>
      </c>
      <c r="AX75" s="1121"/>
      <c r="AY75" s="1121">
        <v>1</v>
      </c>
      <c r="AZ75" s="1106">
        <f>AW75+AX75+AY75</f>
        <v>2</v>
      </c>
      <c r="BA75" s="1121">
        <v>1</v>
      </c>
      <c r="BB75" s="1121"/>
      <c r="BC75" s="1121">
        <v>2</v>
      </c>
      <c r="BD75" s="1118">
        <f t="shared" si="39"/>
        <v>3</v>
      </c>
      <c r="BE75" s="1121"/>
      <c r="BF75" s="1121">
        <v>2</v>
      </c>
      <c r="BG75" s="1121"/>
      <c r="BH75" s="1106">
        <f t="shared" si="33"/>
        <v>2</v>
      </c>
      <c r="BI75" s="1121">
        <v>2</v>
      </c>
      <c r="BJ75" s="1121">
        <v>1</v>
      </c>
      <c r="BK75" s="1121">
        <v>3</v>
      </c>
      <c r="BL75" s="1106">
        <f t="shared" si="40"/>
        <v>6</v>
      </c>
      <c r="BM75" s="1121">
        <v>1</v>
      </c>
      <c r="BN75" s="1121">
        <v>2</v>
      </c>
      <c r="BO75" s="1121"/>
      <c r="BP75" s="1106">
        <f t="shared" si="35"/>
        <v>3</v>
      </c>
      <c r="BQ75" s="1121">
        <v>4</v>
      </c>
      <c r="BR75" s="1121">
        <v>1</v>
      </c>
      <c r="BS75" s="1121">
        <v>2</v>
      </c>
      <c r="BT75" s="1106">
        <f t="shared" si="36"/>
        <v>7</v>
      </c>
      <c r="BU75" s="4574">
        <v>1</v>
      </c>
      <c r="BV75" s="1121"/>
      <c r="BW75" s="1121"/>
      <c r="BX75" s="1106">
        <f t="shared" si="37"/>
        <v>1</v>
      </c>
      <c r="BY75" s="4574">
        <v>1</v>
      </c>
      <c r="BZ75" s="1121"/>
      <c r="CA75" s="1121">
        <v>1</v>
      </c>
      <c r="CB75" s="1106">
        <f t="shared" si="38"/>
        <v>2</v>
      </c>
    </row>
    <row r="76" spans="1:80" s="212" customFormat="1" ht="15" x14ac:dyDescent="0.25">
      <c r="A76" s="6238"/>
      <c r="B76" s="6195"/>
      <c r="C76" s="6241"/>
      <c r="D76" s="1107" t="s">
        <v>372</v>
      </c>
      <c r="E76" s="1124"/>
      <c r="F76" s="1125"/>
      <c r="G76" s="1125"/>
      <c r="H76" s="1126"/>
      <c r="I76" s="1124"/>
      <c r="J76" s="1125"/>
      <c r="K76" s="1125"/>
      <c r="L76" s="1126"/>
      <c r="M76" s="1124"/>
      <c r="N76" s="1125"/>
      <c r="O76" s="1125"/>
      <c r="P76" s="1126"/>
      <c r="Q76" s="1124"/>
      <c r="R76" s="1125"/>
      <c r="S76" s="1125"/>
      <c r="T76" s="1126"/>
      <c r="U76" s="1124"/>
      <c r="V76" s="1125"/>
      <c r="W76" s="1125"/>
      <c r="X76" s="1126"/>
      <c r="Y76" s="1127"/>
      <c r="Z76" s="1127"/>
      <c r="AA76" s="1127"/>
      <c r="AB76" s="1126"/>
      <c r="AC76" s="1127"/>
      <c r="AD76" s="1127"/>
      <c r="AE76" s="1127"/>
      <c r="AF76" s="1126"/>
      <c r="AG76" s="1127"/>
      <c r="AH76" s="1127"/>
      <c r="AI76" s="1127"/>
      <c r="AJ76" s="1126"/>
      <c r="AK76" s="1127"/>
      <c r="AL76" s="1127"/>
      <c r="AM76" s="1127"/>
      <c r="AN76" s="1126"/>
      <c r="AO76" s="1127"/>
      <c r="AP76" s="1127"/>
      <c r="AQ76" s="1127"/>
      <c r="AR76" s="1128"/>
      <c r="AS76" s="1127"/>
      <c r="AT76" s="1127"/>
      <c r="AU76" s="1127"/>
      <c r="AV76" s="1128"/>
      <c r="AW76" s="1127"/>
      <c r="AX76" s="1127"/>
      <c r="AY76" s="1127"/>
      <c r="AZ76" s="1128"/>
      <c r="BA76" s="1127">
        <v>2</v>
      </c>
      <c r="BB76" s="1127">
        <v>1</v>
      </c>
      <c r="BC76" s="1127">
        <v>3</v>
      </c>
      <c r="BD76" s="1118">
        <f t="shared" si="39"/>
        <v>6</v>
      </c>
      <c r="BE76" s="1127">
        <v>6</v>
      </c>
      <c r="BF76" s="1127">
        <v>2</v>
      </c>
      <c r="BG76" s="1127">
        <v>3</v>
      </c>
      <c r="BH76" s="1106">
        <f t="shared" si="33"/>
        <v>11</v>
      </c>
      <c r="BI76" s="1127">
        <v>2</v>
      </c>
      <c r="BJ76" s="1127">
        <v>1</v>
      </c>
      <c r="BK76" s="1127">
        <v>4</v>
      </c>
      <c r="BL76" s="1106">
        <f t="shared" si="40"/>
        <v>7</v>
      </c>
      <c r="BM76" s="1127">
        <v>2</v>
      </c>
      <c r="BN76" s="1127">
        <v>2</v>
      </c>
      <c r="BO76" s="1127">
        <v>3</v>
      </c>
      <c r="BP76" s="1106">
        <f t="shared" si="35"/>
        <v>7</v>
      </c>
      <c r="BQ76" s="1127"/>
      <c r="BR76" s="1127">
        <v>2</v>
      </c>
      <c r="BS76" s="1127">
        <v>1</v>
      </c>
      <c r="BT76" s="1106">
        <f t="shared" si="36"/>
        <v>3</v>
      </c>
      <c r="BU76" s="4575">
        <v>4</v>
      </c>
      <c r="BV76" s="1127"/>
      <c r="BW76" s="1127"/>
      <c r="BX76" s="1106">
        <f t="shared" si="37"/>
        <v>4</v>
      </c>
      <c r="BY76" s="4575"/>
      <c r="BZ76" s="1127"/>
      <c r="CA76" s="1127">
        <v>1</v>
      </c>
      <c r="CB76" s="1106">
        <f t="shared" si="38"/>
        <v>1</v>
      </c>
    </row>
    <row r="77" spans="1:80" s="212" customFormat="1" ht="15" x14ac:dyDescent="0.25">
      <c r="A77" s="6238"/>
      <c r="B77" s="6195"/>
      <c r="C77" s="6241"/>
      <c r="D77" s="1107" t="s">
        <v>1631</v>
      </c>
      <c r="E77" s="1124"/>
      <c r="F77" s="1125"/>
      <c r="G77" s="1125"/>
      <c r="H77" s="1126"/>
      <c r="I77" s="1124"/>
      <c r="J77" s="1125"/>
      <c r="K77" s="1125"/>
      <c r="L77" s="1126"/>
      <c r="M77" s="1124"/>
      <c r="N77" s="1125"/>
      <c r="O77" s="1125"/>
      <c r="P77" s="1126"/>
      <c r="Q77" s="1124"/>
      <c r="R77" s="1125"/>
      <c r="S77" s="1125"/>
      <c r="T77" s="1126"/>
      <c r="U77" s="1124"/>
      <c r="V77" s="1125"/>
      <c r="W77" s="1125"/>
      <c r="X77" s="1126"/>
      <c r="Y77" s="1127"/>
      <c r="Z77" s="1127"/>
      <c r="AA77" s="1127"/>
      <c r="AB77" s="1126"/>
      <c r="AC77" s="1127"/>
      <c r="AD77" s="1127"/>
      <c r="AE77" s="1127"/>
      <c r="AF77" s="1126"/>
      <c r="AG77" s="1127"/>
      <c r="AH77" s="1127"/>
      <c r="AI77" s="1127"/>
      <c r="AJ77" s="1126"/>
      <c r="AK77" s="1127"/>
      <c r="AL77" s="1127"/>
      <c r="AM77" s="1127"/>
      <c r="AN77" s="1126"/>
      <c r="AO77" s="1127"/>
      <c r="AP77" s="1127"/>
      <c r="AQ77" s="1127"/>
      <c r="AR77" s="1128"/>
      <c r="AS77" s="1127"/>
      <c r="AT77" s="1127"/>
      <c r="AU77" s="1127"/>
      <c r="AV77" s="1128"/>
      <c r="AW77" s="1127"/>
      <c r="AX77" s="1127"/>
      <c r="AY77" s="1127"/>
      <c r="AZ77" s="1128"/>
      <c r="BA77" s="1127"/>
      <c r="BB77" s="1127"/>
      <c r="BC77" s="1127"/>
      <c r="BD77" s="1118"/>
      <c r="BE77" s="1127"/>
      <c r="BF77" s="1127"/>
      <c r="BG77" s="1127"/>
      <c r="BH77" s="1106"/>
      <c r="BI77" s="1127">
        <v>5</v>
      </c>
      <c r="BJ77" s="1127"/>
      <c r="BK77" s="1127"/>
      <c r="BL77" s="1106">
        <f t="shared" si="40"/>
        <v>5</v>
      </c>
      <c r="BM77" s="1127">
        <v>3</v>
      </c>
      <c r="BN77" s="1127"/>
      <c r="BO77" s="1127"/>
      <c r="BP77" s="1106">
        <f t="shared" si="35"/>
        <v>3</v>
      </c>
      <c r="BQ77" s="1127">
        <v>1</v>
      </c>
      <c r="BR77" s="1127"/>
      <c r="BS77" s="1127">
        <v>2</v>
      </c>
      <c r="BT77" s="1106">
        <f t="shared" si="36"/>
        <v>3</v>
      </c>
      <c r="BU77" s="4575">
        <v>5</v>
      </c>
      <c r="BV77" s="1127"/>
      <c r="BW77" s="1127"/>
      <c r="BX77" s="1106">
        <f t="shared" si="37"/>
        <v>5</v>
      </c>
      <c r="BY77" s="4575"/>
      <c r="BZ77" s="1127">
        <v>1</v>
      </c>
      <c r="CA77" s="1127"/>
      <c r="CB77" s="1106">
        <f t="shared" si="38"/>
        <v>1</v>
      </c>
    </row>
    <row r="78" spans="1:80" s="212" customFormat="1" ht="15" x14ac:dyDescent="0.25">
      <c r="A78" s="6238"/>
      <c r="B78" s="6195"/>
      <c r="C78" s="6241"/>
      <c r="D78" s="1107" t="s">
        <v>404</v>
      </c>
      <c r="E78" s="1104">
        <v>9</v>
      </c>
      <c r="F78" s="1105">
        <v>10</v>
      </c>
      <c r="G78" s="1105"/>
      <c r="H78" s="1106">
        <v>19</v>
      </c>
      <c r="I78" s="1104"/>
      <c r="J78" s="1105"/>
      <c r="K78" s="1105"/>
      <c r="L78" s="1106"/>
      <c r="M78" s="1104"/>
      <c r="N78" s="1105"/>
      <c r="O78" s="1105"/>
      <c r="P78" s="1106"/>
      <c r="Q78" s="1104"/>
      <c r="R78" s="1105"/>
      <c r="S78" s="1105"/>
      <c r="T78" s="1106"/>
      <c r="U78" s="1104"/>
      <c r="V78" s="1105"/>
      <c r="W78" s="1105"/>
      <c r="X78" s="1106"/>
      <c r="Y78" s="1105"/>
      <c r="Z78" s="1105"/>
      <c r="AA78" s="1105"/>
      <c r="AB78" s="1106"/>
      <c r="AC78" s="1105"/>
      <c r="AD78" s="1105"/>
      <c r="AE78" s="1105"/>
      <c r="AF78" s="1106"/>
      <c r="AG78" s="1105"/>
      <c r="AH78" s="1105"/>
      <c r="AI78" s="1105"/>
      <c r="AJ78" s="1106">
        <v>0</v>
      </c>
      <c r="AK78" s="1105"/>
      <c r="AL78" s="1105"/>
      <c r="AM78" s="1105"/>
      <c r="AN78" s="1106"/>
      <c r="AO78" s="1105"/>
      <c r="AP78" s="1105"/>
      <c r="AQ78" s="1105"/>
      <c r="AR78" s="1106"/>
      <c r="AS78" s="1105"/>
      <c r="AT78" s="1105"/>
      <c r="AU78" s="1105"/>
      <c r="AV78" s="1106"/>
      <c r="AW78" s="1105"/>
      <c r="AX78" s="1105"/>
      <c r="AY78" s="1105"/>
      <c r="AZ78" s="1106"/>
      <c r="BA78" s="1105"/>
      <c r="BB78" s="1105"/>
      <c r="BC78" s="1105"/>
      <c r="BD78" s="1118"/>
      <c r="BE78" s="1105"/>
      <c r="BF78" s="1105"/>
      <c r="BG78" s="1105"/>
      <c r="BH78" s="1106"/>
      <c r="BI78" s="1105"/>
      <c r="BJ78" s="1105"/>
      <c r="BK78" s="1105"/>
      <c r="BL78" s="1106"/>
      <c r="BM78" s="1105"/>
      <c r="BN78" s="1105"/>
      <c r="BO78" s="1105"/>
      <c r="BP78" s="1106"/>
      <c r="BQ78" s="1105"/>
      <c r="BR78" s="1105"/>
      <c r="BS78" s="1105"/>
      <c r="BT78" s="1106"/>
      <c r="BU78" s="1104"/>
      <c r="BV78" s="1105"/>
      <c r="BW78" s="1105"/>
      <c r="BX78" s="1106">
        <f t="shared" si="37"/>
        <v>0</v>
      </c>
      <c r="BY78" s="1104"/>
      <c r="BZ78" s="1105"/>
      <c r="CA78" s="1105"/>
      <c r="CB78" s="1106">
        <f t="shared" si="38"/>
        <v>0</v>
      </c>
    </row>
    <row r="79" spans="1:80" s="212" customFormat="1" ht="15" x14ac:dyDescent="0.25">
      <c r="A79" s="6238"/>
      <c r="B79" s="6258"/>
      <c r="C79" s="1465"/>
      <c r="D79" s="1109" t="s">
        <v>445</v>
      </c>
      <c r="E79" s="1110">
        <f t="shared" ref="E79:AJ79" si="41">SUM(E64:E78)</f>
        <v>28</v>
      </c>
      <c r="F79" s="1111">
        <f t="shared" si="41"/>
        <v>19</v>
      </c>
      <c r="G79" s="1111">
        <f t="shared" si="41"/>
        <v>56</v>
      </c>
      <c r="H79" s="1112">
        <f t="shared" si="41"/>
        <v>103</v>
      </c>
      <c r="I79" s="1110">
        <f t="shared" si="41"/>
        <v>40</v>
      </c>
      <c r="J79" s="1111">
        <f t="shared" si="41"/>
        <v>15</v>
      </c>
      <c r="K79" s="1111">
        <f t="shared" si="41"/>
        <v>65</v>
      </c>
      <c r="L79" s="1112">
        <f t="shared" si="41"/>
        <v>120</v>
      </c>
      <c r="M79" s="1110">
        <f t="shared" si="41"/>
        <v>54</v>
      </c>
      <c r="N79" s="1111">
        <f t="shared" si="41"/>
        <v>27</v>
      </c>
      <c r="O79" s="1111">
        <f t="shared" si="41"/>
        <v>57</v>
      </c>
      <c r="P79" s="1112">
        <f t="shared" si="41"/>
        <v>138</v>
      </c>
      <c r="Q79" s="1110">
        <f t="shared" si="41"/>
        <v>44</v>
      </c>
      <c r="R79" s="1111">
        <f t="shared" si="41"/>
        <v>19</v>
      </c>
      <c r="S79" s="1111">
        <f t="shared" si="41"/>
        <v>57</v>
      </c>
      <c r="T79" s="1112">
        <f t="shared" si="41"/>
        <v>120</v>
      </c>
      <c r="U79" s="1110">
        <f t="shared" si="41"/>
        <v>13</v>
      </c>
      <c r="V79" s="1111">
        <f t="shared" si="41"/>
        <v>13</v>
      </c>
      <c r="W79" s="1111">
        <f t="shared" si="41"/>
        <v>40</v>
      </c>
      <c r="X79" s="1112">
        <f t="shared" si="41"/>
        <v>66</v>
      </c>
      <c r="Y79" s="1111">
        <f t="shared" si="41"/>
        <v>19</v>
      </c>
      <c r="Z79" s="1111">
        <f t="shared" si="41"/>
        <v>17</v>
      </c>
      <c r="AA79" s="1111">
        <f t="shared" si="41"/>
        <v>40</v>
      </c>
      <c r="AB79" s="1112">
        <f t="shared" si="41"/>
        <v>76</v>
      </c>
      <c r="AC79" s="1111">
        <f t="shared" si="41"/>
        <v>31</v>
      </c>
      <c r="AD79" s="1111">
        <f t="shared" si="41"/>
        <v>25</v>
      </c>
      <c r="AE79" s="1111">
        <f t="shared" si="41"/>
        <v>54</v>
      </c>
      <c r="AF79" s="1112">
        <f t="shared" si="41"/>
        <v>110</v>
      </c>
      <c r="AG79" s="1111">
        <f t="shared" si="41"/>
        <v>14</v>
      </c>
      <c r="AH79" s="1111">
        <f t="shared" si="41"/>
        <v>16</v>
      </c>
      <c r="AI79" s="1111">
        <f t="shared" si="41"/>
        <v>49</v>
      </c>
      <c r="AJ79" s="1112">
        <f t="shared" si="41"/>
        <v>79</v>
      </c>
      <c r="AK79" s="1111">
        <f t="shared" ref="AK79:BD79" si="42">SUM(AK64:AK78)</f>
        <v>15</v>
      </c>
      <c r="AL79" s="1111">
        <f t="shared" si="42"/>
        <v>10</v>
      </c>
      <c r="AM79" s="1111">
        <f t="shared" si="42"/>
        <v>35</v>
      </c>
      <c r="AN79" s="1112">
        <f t="shared" si="42"/>
        <v>60</v>
      </c>
      <c r="AO79" s="1111">
        <f t="shared" si="42"/>
        <v>20</v>
      </c>
      <c r="AP79" s="1111">
        <f t="shared" si="42"/>
        <v>10</v>
      </c>
      <c r="AQ79" s="1111">
        <f t="shared" si="42"/>
        <v>60</v>
      </c>
      <c r="AR79" s="1112">
        <f t="shared" si="42"/>
        <v>90</v>
      </c>
      <c r="AS79" s="1111">
        <f t="shared" si="42"/>
        <v>11</v>
      </c>
      <c r="AT79" s="1111">
        <f t="shared" si="42"/>
        <v>8</v>
      </c>
      <c r="AU79" s="1111">
        <f t="shared" si="42"/>
        <v>70</v>
      </c>
      <c r="AV79" s="1112">
        <f t="shared" si="42"/>
        <v>89</v>
      </c>
      <c r="AW79" s="1111">
        <f t="shared" si="42"/>
        <v>25</v>
      </c>
      <c r="AX79" s="1111">
        <f t="shared" si="42"/>
        <v>9</v>
      </c>
      <c r="AY79" s="1111">
        <f t="shared" si="42"/>
        <v>57</v>
      </c>
      <c r="AZ79" s="1112">
        <f t="shared" si="42"/>
        <v>91</v>
      </c>
      <c r="BA79" s="1111">
        <f t="shared" si="42"/>
        <v>33</v>
      </c>
      <c r="BB79" s="1111">
        <f t="shared" si="42"/>
        <v>22</v>
      </c>
      <c r="BC79" s="1111">
        <f t="shared" si="42"/>
        <v>79</v>
      </c>
      <c r="BD79" s="1112">
        <f t="shared" si="42"/>
        <v>134</v>
      </c>
      <c r="BE79" s="1111">
        <f>SUM(BE62:BE78)</f>
        <v>56</v>
      </c>
      <c r="BF79" s="1111">
        <f>SUM(BF62:BF78)</f>
        <v>20</v>
      </c>
      <c r="BG79" s="1111">
        <f>SUM(BG62:BG78)</f>
        <v>104</v>
      </c>
      <c r="BH79" s="1112">
        <f t="shared" ref="BH79:BP79" si="43">SUM(BH64:BH78)</f>
        <v>126</v>
      </c>
      <c r="BI79" s="1111">
        <f t="shared" si="43"/>
        <v>61</v>
      </c>
      <c r="BJ79" s="1111">
        <f t="shared" si="43"/>
        <v>16</v>
      </c>
      <c r="BK79" s="1111">
        <f t="shared" si="43"/>
        <v>70</v>
      </c>
      <c r="BL79" s="1112">
        <f t="shared" si="43"/>
        <v>147</v>
      </c>
      <c r="BM79" s="1111">
        <f t="shared" si="43"/>
        <v>35</v>
      </c>
      <c r="BN79" s="1111">
        <f t="shared" si="43"/>
        <v>15</v>
      </c>
      <c r="BO79" s="1111">
        <f t="shared" si="43"/>
        <v>72</v>
      </c>
      <c r="BP79" s="1112">
        <f t="shared" si="43"/>
        <v>122</v>
      </c>
      <c r="BQ79" s="1111">
        <f>SUM(BQ64:BQ78)</f>
        <v>42</v>
      </c>
      <c r="BR79" s="1111">
        <f>SUM(BR64:BR78)</f>
        <v>22</v>
      </c>
      <c r="BS79" s="1111">
        <f>SUM(BS64:BS78)</f>
        <v>74</v>
      </c>
      <c r="BT79" s="1112">
        <f>SUM(BT64:BT78)</f>
        <v>138</v>
      </c>
      <c r="BU79" s="1110">
        <f t="shared" ref="BU79:CB79" si="44">SUM(BU63:BU78)</f>
        <v>63</v>
      </c>
      <c r="BV79" s="1111">
        <f t="shared" si="44"/>
        <v>16</v>
      </c>
      <c r="BW79" s="1111">
        <f t="shared" si="44"/>
        <v>55</v>
      </c>
      <c r="BX79" s="1112">
        <f t="shared" si="44"/>
        <v>134</v>
      </c>
      <c r="BY79" s="1110">
        <f t="shared" si="44"/>
        <v>34</v>
      </c>
      <c r="BZ79" s="1111">
        <f t="shared" si="44"/>
        <v>23</v>
      </c>
      <c r="CA79" s="1111">
        <f t="shared" si="44"/>
        <v>64</v>
      </c>
      <c r="CB79" s="1112">
        <f t="shared" si="44"/>
        <v>121</v>
      </c>
    </row>
    <row r="80" spans="1:80" s="212" customFormat="1" ht="15" x14ac:dyDescent="0.25">
      <c r="A80" s="6238"/>
      <c r="B80" s="6257" t="s">
        <v>6</v>
      </c>
      <c r="C80" s="1466" t="s">
        <v>522</v>
      </c>
      <c r="D80" s="1137" t="s">
        <v>78</v>
      </c>
      <c r="E80" s="1129"/>
      <c r="F80" s="1130"/>
      <c r="G80" s="1130">
        <v>12</v>
      </c>
      <c r="H80" s="1131">
        <v>12</v>
      </c>
      <c r="I80" s="1129"/>
      <c r="J80" s="1130"/>
      <c r="K80" s="1130">
        <v>9</v>
      </c>
      <c r="L80" s="1131">
        <v>9</v>
      </c>
      <c r="M80" s="1129"/>
      <c r="N80" s="1130"/>
      <c r="O80" s="1130">
        <v>13</v>
      </c>
      <c r="P80" s="1131">
        <v>13</v>
      </c>
      <c r="Q80" s="1129"/>
      <c r="R80" s="1130"/>
      <c r="S80" s="1130">
        <v>25</v>
      </c>
      <c r="T80" s="1131">
        <v>25</v>
      </c>
      <c r="U80" s="1129"/>
      <c r="V80" s="1130"/>
      <c r="W80" s="1130">
        <v>41</v>
      </c>
      <c r="X80" s="1131">
        <f>SUM(U80:W80)</f>
        <v>41</v>
      </c>
      <c r="Y80" s="1132"/>
      <c r="Z80" s="1132"/>
      <c r="AA80" s="1132">
        <v>73</v>
      </c>
      <c r="AB80" s="1131">
        <f>SUM(Y80:AA80)</f>
        <v>73</v>
      </c>
      <c r="AC80" s="1132"/>
      <c r="AD80" s="1132"/>
      <c r="AE80" s="1132"/>
      <c r="AF80" s="1131"/>
      <c r="AG80" s="1132">
        <v>86</v>
      </c>
      <c r="AH80" s="1132"/>
      <c r="AI80" s="1132"/>
      <c r="AJ80" s="1131">
        <f>SUM(AG80:AI80)</f>
        <v>86</v>
      </c>
      <c r="AK80" s="1132">
        <v>90</v>
      </c>
      <c r="AL80" s="1132"/>
      <c r="AM80" s="1132">
        <v>19</v>
      </c>
      <c r="AN80" s="1131">
        <f t="shared" ref="AN80:AN85" si="45">SUM(AK80:AM80)</f>
        <v>109</v>
      </c>
      <c r="AO80" s="1132">
        <v>101</v>
      </c>
      <c r="AP80" s="1132"/>
      <c r="AQ80" s="1132"/>
      <c r="AR80" s="1102">
        <f>SUM(AO80:AQ80)</f>
        <v>101</v>
      </c>
      <c r="AS80" s="1132" t="s">
        <v>227</v>
      </c>
      <c r="AT80" s="1132">
        <v>99</v>
      </c>
      <c r="AU80" s="1132">
        <v>16</v>
      </c>
      <c r="AV80" s="1102">
        <f>SUM(AS80:AU80)</f>
        <v>115</v>
      </c>
      <c r="AW80" s="1132"/>
      <c r="AX80" s="1132"/>
      <c r="AY80" s="1132">
        <v>104</v>
      </c>
      <c r="AZ80" s="1102">
        <f>AW80+AX80+AY80</f>
        <v>104</v>
      </c>
      <c r="BA80" s="1132"/>
      <c r="BB80" s="1132"/>
      <c r="BC80" s="1132">
        <v>72</v>
      </c>
      <c r="BD80" s="1102">
        <f>BA80+BB80+BC80</f>
        <v>72</v>
      </c>
      <c r="BE80" s="1132"/>
      <c r="BF80" s="1132"/>
      <c r="BG80" s="1132"/>
      <c r="BH80" s="1102"/>
      <c r="BI80" s="1132"/>
      <c r="BJ80" s="1132"/>
      <c r="BK80" s="1132">
        <v>36</v>
      </c>
      <c r="BL80" s="1106">
        <f>BI80+BJ80+BK80</f>
        <v>36</v>
      </c>
      <c r="BM80" s="1132"/>
      <c r="BN80" s="1132"/>
      <c r="BO80" s="1132">
        <v>15</v>
      </c>
      <c r="BP80" s="1106">
        <f>BM80+BN80+BO80</f>
        <v>15</v>
      </c>
      <c r="BQ80" s="1132">
        <v>33</v>
      </c>
      <c r="BR80" s="1132">
        <v>1</v>
      </c>
      <c r="BS80" s="1132">
        <v>24</v>
      </c>
      <c r="BT80" s="1106">
        <f>BQ80+BR80+BS80</f>
        <v>58</v>
      </c>
      <c r="BU80" s="1132"/>
      <c r="BV80" s="1132"/>
      <c r="BW80" s="1132">
        <v>12</v>
      </c>
      <c r="BX80" s="1106">
        <f>BU80+BV80+BW80</f>
        <v>12</v>
      </c>
      <c r="BY80" s="1132"/>
      <c r="BZ80" s="1132">
        <v>61</v>
      </c>
      <c r="CA80" s="1132"/>
      <c r="CB80" s="1106">
        <f>BY80+BZ80+CA80</f>
        <v>61</v>
      </c>
    </row>
    <row r="81" spans="1:80" s="212" customFormat="1" ht="15" x14ac:dyDescent="0.25">
      <c r="A81" s="6238"/>
      <c r="B81" s="6195"/>
      <c r="C81" s="6267" t="s">
        <v>521</v>
      </c>
      <c r="D81" s="1107" t="s">
        <v>80</v>
      </c>
      <c r="E81" s="1122"/>
      <c r="F81" s="1119"/>
      <c r="G81" s="1119">
        <v>20</v>
      </c>
      <c r="H81" s="1120">
        <v>20</v>
      </c>
      <c r="I81" s="1122">
        <v>5</v>
      </c>
      <c r="J81" s="1119"/>
      <c r="K81" s="1119">
        <v>22</v>
      </c>
      <c r="L81" s="1120">
        <v>27</v>
      </c>
      <c r="M81" s="1122"/>
      <c r="N81" s="1119"/>
      <c r="O81" s="1119">
        <v>9</v>
      </c>
      <c r="P81" s="1120">
        <v>9</v>
      </c>
      <c r="Q81" s="1122"/>
      <c r="R81" s="1119"/>
      <c r="S81" s="1119">
        <v>17</v>
      </c>
      <c r="T81" s="1120">
        <v>17</v>
      </c>
      <c r="U81" s="1122"/>
      <c r="V81" s="1119"/>
      <c r="W81" s="1119">
        <v>1</v>
      </c>
      <c r="X81" s="1120">
        <f>SUM(U81:W81)</f>
        <v>1</v>
      </c>
      <c r="Y81" s="1121"/>
      <c r="Z81" s="1121"/>
      <c r="AA81" s="1121">
        <v>1</v>
      </c>
      <c r="AB81" s="1120">
        <f>SUM(Y81:AA81)</f>
        <v>1</v>
      </c>
      <c r="AC81" s="1121"/>
      <c r="AD81" s="1121"/>
      <c r="AE81" s="1121">
        <v>5</v>
      </c>
      <c r="AF81" s="1120">
        <f>SUM(AC81:AE81)</f>
        <v>5</v>
      </c>
      <c r="AG81" s="1121"/>
      <c r="AH81" s="1121"/>
      <c r="AI81" s="1121">
        <v>3</v>
      </c>
      <c r="AJ81" s="1120">
        <f>SUM(AG81:AI81)</f>
        <v>3</v>
      </c>
      <c r="AK81" s="1121">
        <v>3</v>
      </c>
      <c r="AL81" s="1121"/>
      <c r="AM81" s="1121"/>
      <c r="AN81" s="1120">
        <f t="shared" si="45"/>
        <v>3</v>
      </c>
      <c r="AO81" s="1121"/>
      <c r="AP81" s="1121"/>
      <c r="AQ81" s="1121"/>
      <c r="AR81" s="1106"/>
      <c r="AS81" s="1121"/>
      <c r="AT81" s="1121"/>
      <c r="AU81" s="1121"/>
      <c r="AV81" s="1106"/>
      <c r="AW81" s="1121"/>
      <c r="AX81" s="1121"/>
      <c r="AY81" s="1121"/>
      <c r="AZ81" s="1106"/>
      <c r="BA81" s="1121"/>
      <c r="BB81" s="1121"/>
      <c r="BC81" s="1121"/>
      <c r="BD81" s="1106"/>
      <c r="BE81" s="1121"/>
      <c r="BF81" s="1121"/>
      <c r="BG81" s="1121">
        <v>14</v>
      </c>
      <c r="BH81" s="1106">
        <f>BE81+BF81+BG81</f>
        <v>14</v>
      </c>
      <c r="BI81" s="1121"/>
      <c r="BJ81" s="1121"/>
      <c r="BK81" s="1121">
        <v>14</v>
      </c>
      <c r="BL81" s="1106">
        <f>BI81+BJ81+BK81</f>
        <v>14</v>
      </c>
      <c r="BM81" s="1121"/>
      <c r="BN81" s="1121"/>
      <c r="BO81" s="1121"/>
      <c r="BP81" s="1106">
        <f>BM81+BN81+BO81</f>
        <v>0</v>
      </c>
      <c r="BQ81" s="1121"/>
      <c r="BR81" s="1121"/>
      <c r="BS81" s="1121">
        <v>15</v>
      </c>
      <c r="BT81" s="1106">
        <f>BQ81+BR81+BS81</f>
        <v>15</v>
      </c>
      <c r="BU81" s="1121"/>
      <c r="BV81" s="1121"/>
      <c r="BW81" s="1121"/>
      <c r="BX81" s="1106">
        <f>BU81+BV81+BW81</f>
        <v>0</v>
      </c>
      <c r="BY81" s="1121"/>
      <c r="BZ81" s="1121"/>
      <c r="CA81" s="1121">
        <v>12</v>
      </c>
      <c r="CB81" s="1106">
        <f>BY81+BZ81+CA81</f>
        <v>12</v>
      </c>
    </row>
    <row r="82" spans="1:80" s="212" customFormat="1" ht="15" x14ac:dyDescent="0.25">
      <c r="A82" s="6238"/>
      <c r="B82" s="6195"/>
      <c r="C82" s="6241"/>
      <c r="D82" s="1107" t="s">
        <v>81</v>
      </c>
      <c r="E82" s="1122"/>
      <c r="F82" s="1119"/>
      <c r="G82" s="1119">
        <v>46</v>
      </c>
      <c r="H82" s="1120">
        <v>46</v>
      </c>
      <c r="I82" s="1122">
        <v>1</v>
      </c>
      <c r="J82" s="1119"/>
      <c r="K82" s="1119"/>
      <c r="L82" s="1120">
        <v>1</v>
      </c>
      <c r="M82" s="1122"/>
      <c r="N82" s="1119"/>
      <c r="O82" s="1119">
        <v>14</v>
      </c>
      <c r="P82" s="1120">
        <v>14</v>
      </c>
      <c r="Q82" s="1122"/>
      <c r="R82" s="1119"/>
      <c r="S82" s="1119"/>
      <c r="T82" s="1120"/>
      <c r="U82" s="1122"/>
      <c r="V82" s="1119"/>
      <c r="W82" s="1119">
        <v>13</v>
      </c>
      <c r="X82" s="1120">
        <f>SUM(U82:W82)</f>
        <v>13</v>
      </c>
      <c r="Y82" s="1121"/>
      <c r="Z82" s="1121"/>
      <c r="AA82" s="1121">
        <v>1</v>
      </c>
      <c r="AB82" s="1120">
        <f>SUM(Y82:AA82)</f>
        <v>1</v>
      </c>
      <c r="AC82" s="1121"/>
      <c r="AD82" s="1121"/>
      <c r="AE82" s="1121">
        <v>11</v>
      </c>
      <c r="AF82" s="1120">
        <f>SUM(AC82:AE82)</f>
        <v>11</v>
      </c>
      <c r="AG82" s="1121"/>
      <c r="AH82" s="1121"/>
      <c r="AI82" s="1121"/>
      <c r="AJ82" s="1120"/>
      <c r="AK82" s="1121"/>
      <c r="AL82" s="1121"/>
      <c r="AM82" s="1121">
        <v>14</v>
      </c>
      <c r="AN82" s="1120">
        <f t="shared" si="45"/>
        <v>14</v>
      </c>
      <c r="AO82" s="1121"/>
      <c r="AP82" s="1121"/>
      <c r="AQ82" s="1121">
        <v>21</v>
      </c>
      <c r="AR82" s="1106">
        <f t="shared" ref="AR82:AR92" si="46">SUM(AO82:AQ82)</f>
        <v>21</v>
      </c>
      <c r="AS82" s="1121" t="s">
        <v>227</v>
      </c>
      <c r="AT82" s="1121" t="s">
        <v>227</v>
      </c>
      <c r="AU82" s="1121">
        <v>14</v>
      </c>
      <c r="AV82" s="1106">
        <f>SUM(AS82:AU82)</f>
        <v>14</v>
      </c>
      <c r="AW82" s="1121"/>
      <c r="AX82" s="1121"/>
      <c r="AY82" s="1121"/>
      <c r="AZ82" s="1106"/>
      <c r="BA82" s="1121"/>
      <c r="BB82" s="1121"/>
      <c r="BC82" s="1121">
        <v>18</v>
      </c>
      <c r="BD82" s="1106">
        <f>BA82+BB82+BC82</f>
        <v>18</v>
      </c>
      <c r="BE82" s="1121"/>
      <c r="BF82" s="1121"/>
      <c r="BG82" s="1121"/>
      <c r="BH82" s="1106"/>
      <c r="BI82" s="1121"/>
      <c r="BJ82" s="1121"/>
      <c r="BK82" s="1121"/>
      <c r="BL82" s="1106">
        <f>BI82+BJ82+BK82</f>
        <v>0</v>
      </c>
      <c r="BM82" s="1121"/>
      <c r="BN82" s="1121">
        <v>15</v>
      </c>
      <c r="BO82" s="1121"/>
      <c r="BP82" s="1106">
        <f>BM82+BN82+BO82</f>
        <v>15</v>
      </c>
      <c r="BQ82" s="1121"/>
      <c r="BR82" s="1121"/>
      <c r="BS82" s="1121">
        <v>31</v>
      </c>
      <c r="BT82" s="1106">
        <f>BQ82+BR82+BS82</f>
        <v>31</v>
      </c>
      <c r="BU82" s="1121"/>
      <c r="BV82" s="1121"/>
      <c r="BW82" s="1121"/>
      <c r="BX82" s="1106">
        <f>BU82+BV82+BW82</f>
        <v>0</v>
      </c>
      <c r="BY82" s="1121"/>
      <c r="BZ82" s="1121"/>
      <c r="CA82" s="1121">
        <v>25</v>
      </c>
      <c r="CB82" s="1106">
        <f t="shared" ref="CB82:CB94" si="47">BY82+BZ82+CA82</f>
        <v>25</v>
      </c>
    </row>
    <row r="83" spans="1:80" s="212" customFormat="1" ht="15" x14ac:dyDescent="0.25">
      <c r="A83" s="6238"/>
      <c r="B83" s="6195"/>
      <c r="C83" s="6241"/>
      <c r="D83" s="1107" t="s">
        <v>79</v>
      </c>
      <c r="E83" s="1122"/>
      <c r="F83" s="1119"/>
      <c r="G83" s="1119">
        <v>13</v>
      </c>
      <c r="H83" s="1120">
        <v>13</v>
      </c>
      <c r="I83" s="1122">
        <v>2</v>
      </c>
      <c r="J83" s="1119"/>
      <c r="K83" s="1119">
        <v>62</v>
      </c>
      <c r="L83" s="1120">
        <v>64</v>
      </c>
      <c r="M83" s="1122"/>
      <c r="N83" s="1119"/>
      <c r="O83" s="1119">
        <v>3</v>
      </c>
      <c r="P83" s="1120">
        <v>3</v>
      </c>
      <c r="Q83" s="1122"/>
      <c r="R83" s="1119"/>
      <c r="S83" s="1119">
        <v>86</v>
      </c>
      <c r="T83" s="1120">
        <v>86</v>
      </c>
      <c r="U83" s="1122"/>
      <c r="V83" s="1119"/>
      <c r="W83" s="1119"/>
      <c r="X83" s="1120"/>
      <c r="Y83" s="1121"/>
      <c r="Z83" s="1121"/>
      <c r="AA83" s="1121"/>
      <c r="AB83" s="1120"/>
      <c r="AC83" s="1121">
        <v>55</v>
      </c>
      <c r="AD83" s="1121"/>
      <c r="AE83" s="1121"/>
      <c r="AF83" s="1120">
        <f>SUM(AC83:AE83)</f>
        <v>55</v>
      </c>
      <c r="AG83" s="1121">
        <v>1</v>
      </c>
      <c r="AH83" s="1121"/>
      <c r="AI83" s="1121"/>
      <c r="AJ83" s="1120">
        <f>SUM(AG83:AI83)</f>
        <v>1</v>
      </c>
      <c r="AK83" s="1121">
        <v>56</v>
      </c>
      <c r="AL83" s="1121"/>
      <c r="AM83" s="1121"/>
      <c r="AN83" s="1120">
        <f t="shared" si="45"/>
        <v>56</v>
      </c>
      <c r="AO83" s="1121"/>
      <c r="AP83" s="1121"/>
      <c r="AQ83" s="1121">
        <v>85</v>
      </c>
      <c r="AR83" s="1106">
        <f t="shared" si="46"/>
        <v>85</v>
      </c>
      <c r="AS83" s="1121" t="s">
        <v>227</v>
      </c>
      <c r="AT83" s="1121" t="s">
        <v>227</v>
      </c>
      <c r="AU83" s="1121">
        <v>6</v>
      </c>
      <c r="AV83" s="1106">
        <f>SUM(AS83:AU83)</f>
        <v>6</v>
      </c>
      <c r="AW83" s="1121"/>
      <c r="AX83" s="1121"/>
      <c r="AY83" s="1121">
        <v>66</v>
      </c>
      <c r="AZ83" s="1106">
        <f t="shared" ref="AZ83:AZ92" si="48">AW83+AX83+AY83</f>
        <v>66</v>
      </c>
      <c r="BA83" s="1121"/>
      <c r="BB83" s="1121"/>
      <c r="BC83" s="1121"/>
      <c r="BD83" s="1106"/>
      <c r="BE83" s="1121"/>
      <c r="BF83" s="1121"/>
      <c r="BG83" s="1121">
        <v>63</v>
      </c>
      <c r="BH83" s="1106">
        <f t="shared" ref="BH83:BH90" si="49">BE83+BF83+BG83</f>
        <v>63</v>
      </c>
      <c r="BI83" s="1121"/>
      <c r="BJ83" s="1121"/>
      <c r="BK83" s="1121"/>
      <c r="BL83" s="1106">
        <f t="shared" ref="BL83:BL92" si="50">BI83+BJ83+BK83</f>
        <v>0</v>
      </c>
      <c r="BM83" s="1121"/>
      <c r="BN83" s="1121"/>
      <c r="BO83" s="1121">
        <v>59</v>
      </c>
      <c r="BP83" s="1106">
        <f t="shared" ref="BP83:BP92" si="51">BM83+BN83+BO83</f>
        <v>59</v>
      </c>
      <c r="BQ83" s="1121"/>
      <c r="BR83" s="1121"/>
      <c r="BS83" s="1121"/>
      <c r="BT83" s="1106">
        <f t="shared" ref="BT83:BT92" si="52">BQ83+BR83+BS83</f>
        <v>0</v>
      </c>
      <c r="BU83" s="1121"/>
      <c r="BV83" s="1121"/>
      <c r="BW83" s="1121">
        <v>49</v>
      </c>
      <c r="BX83" s="1106">
        <f t="shared" ref="BX83:BX92" si="53">BU83+BV83+BW83</f>
        <v>49</v>
      </c>
      <c r="BY83" s="1121"/>
      <c r="BZ83" s="1121"/>
      <c r="CA83" s="1121"/>
      <c r="CB83" s="1106">
        <f t="shared" si="47"/>
        <v>0</v>
      </c>
    </row>
    <row r="84" spans="1:80" s="212" customFormat="1" ht="15" x14ac:dyDescent="0.25">
      <c r="A84" s="6238"/>
      <c r="B84" s="6195"/>
      <c r="C84" s="6241"/>
      <c r="D84" s="1107" t="s">
        <v>82</v>
      </c>
      <c r="E84" s="1122"/>
      <c r="F84" s="1119"/>
      <c r="G84" s="1119"/>
      <c r="H84" s="1120"/>
      <c r="I84" s="1122">
        <v>2</v>
      </c>
      <c r="J84" s="1119"/>
      <c r="K84" s="1119">
        <v>47</v>
      </c>
      <c r="L84" s="1120">
        <v>49</v>
      </c>
      <c r="M84" s="1122"/>
      <c r="N84" s="1119"/>
      <c r="O84" s="1119">
        <v>14</v>
      </c>
      <c r="P84" s="1120">
        <v>14</v>
      </c>
      <c r="Q84" s="1122"/>
      <c r="R84" s="1119"/>
      <c r="S84" s="1119">
        <v>96</v>
      </c>
      <c r="T84" s="1120">
        <v>96</v>
      </c>
      <c r="U84" s="1122"/>
      <c r="V84" s="1119"/>
      <c r="W84" s="1119">
        <v>6</v>
      </c>
      <c r="X84" s="1120">
        <f>SUM(U84:W84)</f>
        <v>6</v>
      </c>
      <c r="Y84" s="1121"/>
      <c r="Z84" s="1121"/>
      <c r="AA84" s="1121">
        <v>20</v>
      </c>
      <c r="AB84" s="1120">
        <f>SUM(Y84:AA84)</f>
        <v>20</v>
      </c>
      <c r="AC84" s="1121"/>
      <c r="AD84" s="1121"/>
      <c r="AE84" s="1121">
        <v>8</v>
      </c>
      <c r="AF84" s="1120">
        <f>SUM(AC84:AE84)</f>
        <v>8</v>
      </c>
      <c r="AG84" s="1121"/>
      <c r="AH84" s="1121"/>
      <c r="AI84" s="1121">
        <v>30</v>
      </c>
      <c r="AJ84" s="1120">
        <f>SUM(AG84:AI84)</f>
        <v>30</v>
      </c>
      <c r="AK84" s="1121"/>
      <c r="AL84" s="1121"/>
      <c r="AM84" s="1121">
        <v>8</v>
      </c>
      <c r="AN84" s="1120">
        <f t="shared" si="45"/>
        <v>8</v>
      </c>
      <c r="AO84" s="1121"/>
      <c r="AP84" s="1121"/>
      <c r="AQ84" s="1121">
        <v>31</v>
      </c>
      <c r="AR84" s="1106">
        <f t="shared" si="46"/>
        <v>31</v>
      </c>
      <c r="AS84" s="1121"/>
      <c r="AT84" s="1121"/>
      <c r="AU84" s="1121"/>
      <c r="AV84" s="1106"/>
      <c r="AW84" s="1121"/>
      <c r="AX84" s="1121"/>
      <c r="AY84" s="1121">
        <v>37</v>
      </c>
      <c r="AZ84" s="1106">
        <f t="shared" si="48"/>
        <v>37</v>
      </c>
      <c r="BA84" s="1121"/>
      <c r="BB84" s="1121"/>
      <c r="BC84" s="1121"/>
      <c r="BD84" s="1106"/>
      <c r="BE84" s="1121"/>
      <c r="BF84" s="1121"/>
      <c r="BG84" s="1121">
        <v>28</v>
      </c>
      <c r="BH84" s="1106">
        <f t="shared" si="49"/>
        <v>28</v>
      </c>
      <c r="BI84" s="1121"/>
      <c r="BJ84" s="1121"/>
      <c r="BK84" s="1121"/>
      <c r="BL84" s="1106">
        <f t="shared" si="50"/>
        <v>0</v>
      </c>
      <c r="BM84" s="1121"/>
      <c r="BN84" s="1121"/>
      <c r="BO84" s="1121">
        <v>28</v>
      </c>
      <c r="BP84" s="1106">
        <f t="shared" si="51"/>
        <v>28</v>
      </c>
      <c r="BQ84" s="1121"/>
      <c r="BR84" s="1121"/>
      <c r="BS84" s="1121"/>
      <c r="BT84" s="1106">
        <f t="shared" si="52"/>
        <v>0</v>
      </c>
      <c r="BU84" s="1121"/>
      <c r="BV84" s="1121"/>
      <c r="BW84" s="1121">
        <v>20</v>
      </c>
      <c r="BX84" s="1106">
        <f t="shared" si="53"/>
        <v>20</v>
      </c>
      <c r="BY84" s="1121"/>
      <c r="BZ84" s="1121"/>
      <c r="CA84" s="1121"/>
      <c r="CB84" s="1106">
        <f t="shared" si="47"/>
        <v>0</v>
      </c>
    </row>
    <row r="85" spans="1:80" s="212" customFormat="1" ht="15" x14ac:dyDescent="0.25">
      <c r="A85" s="6238"/>
      <c r="B85" s="6195"/>
      <c r="C85" s="6241"/>
      <c r="D85" s="1103" t="s">
        <v>139</v>
      </c>
      <c r="E85" s="1122"/>
      <c r="F85" s="1119"/>
      <c r="G85" s="1119"/>
      <c r="H85" s="1120"/>
      <c r="I85" s="1122">
        <v>19</v>
      </c>
      <c r="J85" s="1119"/>
      <c r="K85" s="1119"/>
      <c r="L85" s="1120">
        <v>19</v>
      </c>
      <c r="M85" s="1122"/>
      <c r="N85" s="1119"/>
      <c r="O85" s="1119"/>
      <c r="P85" s="1120"/>
      <c r="Q85" s="1122">
        <v>3</v>
      </c>
      <c r="R85" s="1119"/>
      <c r="S85" s="1119"/>
      <c r="T85" s="1120">
        <v>3</v>
      </c>
      <c r="U85" s="1122"/>
      <c r="V85" s="1119"/>
      <c r="W85" s="1119"/>
      <c r="X85" s="1120"/>
      <c r="Y85" s="1121">
        <v>1</v>
      </c>
      <c r="Z85" s="1121"/>
      <c r="AA85" s="1121"/>
      <c r="AB85" s="1120">
        <f>SUM(Y85:AA85)</f>
        <v>1</v>
      </c>
      <c r="AC85" s="1121">
        <v>6</v>
      </c>
      <c r="AD85" s="1121"/>
      <c r="AE85" s="1121"/>
      <c r="AF85" s="1120">
        <f>SUM(AC85:AE85)</f>
        <v>6</v>
      </c>
      <c r="AG85" s="1121">
        <v>4</v>
      </c>
      <c r="AH85" s="1121"/>
      <c r="AI85" s="1121"/>
      <c r="AJ85" s="1120">
        <f>SUM(AG85:AI85)</f>
        <v>4</v>
      </c>
      <c r="AK85" s="1121">
        <v>7</v>
      </c>
      <c r="AL85" s="1121"/>
      <c r="AM85" s="1121"/>
      <c r="AN85" s="1120">
        <f t="shared" si="45"/>
        <v>7</v>
      </c>
      <c r="AO85" s="1121">
        <v>10</v>
      </c>
      <c r="AP85" s="1121"/>
      <c r="AQ85" s="1121"/>
      <c r="AR85" s="1106">
        <f t="shared" si="46"/>
        <v>10</v>
      </c>
      <c r="AS85" s="1121">
        <v>13</v>
      </c>
      <c r="AT85" s="1121"/>
      <c r="AU85" s="1121"/>
      <c r="AV85" s="1106">
        <f>SUM(AS85:AU85)</f>
        <v>13</v>
      </c>
      <c r="AW85" s="1121">
        <v>14</v>
      </c>
      <c r="AX85" s="1121"/>
      <c r="AY85" s="1121"/>
      <c r="AZ85" s="1106">
        <f t="shared" si="48"/>
        <v>14</v>
      </c>
      <c r="BA85" s="1121">
        <v>14</v>
      </c>
      <c r="BB85" s="1121"/>
      <c r="BC85" s="1121"/>
      <c r="BD85" s="1106">
        <f>BA85+BB85+BC85</f>
        <v>14</v>
      </c>
      <c r="BE85" s="1121">
        <v>14</v>
      </c>
      <c r="BF85" s="1121"/>
      <c r="BG85" s="1121"/>
      <c r="BH85" s="1106">
        <f t="shared" si="49"/>
        <v>14</v>
      </c>
      <c r="BI85" s="1121">
        <v>26</v>
      </c>
      <c r="BJ85" s="1121"/>
      <c r="BK85" s="1121"/>
      <c r="BL85" s="1106">
        <f t="shared" si="50"/>
        <v>26</v>
      </c>
      <c r="BM85" s="1121">
        <v>13</v>
      </c>
      <c r="BN85" s="1121"/>
      <c r="BO85" s="1121"/>
      <c r="BP85" s="1106">
        <f t="shared" si="51"/>
        <v>13</v>
      </c>
      <c r="BQ85" s="1121">
        <v>10</v>
      </c>
      <c r="BR85" s="1121"/>
      <c r="BS85" s="1121"/>
      <c r="BT85" s="1106">
        <f t="shared" si="52"/>
        <v>10</v>
      </c>
      <c r="BU85" s="1121">
        <v>11</v>
      </c>
      <c r="BV85" s="1121"/>
      <c r="BW85" s="1121"/>
      <c r="BX85" s="1106">
        <f t="shared" si="53"/>
        <v>11</v>
      </c>
      <c r="BY85" s="1121">
        <v>14</v>
      </c>
      <c r="BZ85" s="1121"/>
      <c r="CA85" s="1121"/>
      <c r="CB85" s="1106">
        <f t="shared" si="47"/>
        <v>14</v>
      </c>
    </row>
    <row r="86" spans="1:80" s="212" customFormat="1" ht="15" x14ac:dyDescent="0.25">
      <c r="A86" s="6238"/>
      <c r="B86" s="6195"/>
      <c r="C86" s="6241"/>
      <c r="D86" s="5130" t="s">
        <v>1580</v>
      </c>
      <c r="E86" s="1122"/>
      <c r="F86" s="1119"/>
      <c r="G86" s="1119"/>
      <c r="H86" s="1120"/>
      <c r="I86" s="1122"/>
      <c r="J86" s="1119"/>
      <c r="K86" s="1119"/>
      <c r="L86" s="1120"/>
      <c r="M86" s="1122"/>
      <c r="N86" s="1119"/>
      <c r="O86" s="1119"/>
      <c r="P86" s="1120"/>
      <c r="Q86" s="1122"/>
      <c r="R86" s="1119"/>
      <c r="S86" s="1119"/>
      <c r="T86" s="1120"/>
      <c r="U86" s="1122"/>
      <c r="V86" s="1119"/>
      <c r="W86" s="1119"/>
      <c r="X86" s="1120"/>
      <c r="Y86" s="1121"/>
      <c r="Z86" s="1121"/>
      <c r="AA86" s="1121"/>
      <c r="AB86" s="1120"/>
      <c r="AC86" s="1121"/>
      <c r="AD86" s="1121"/>
      <c r="AE86" s="1121"/>
      <c r="AF86" s="1120"/>
      <c r="AG86" s="1121"/>
      <c r="AH86" s="1121"/>
      <c r="AI86" s="1121"/>
      <c r="AJ86" s="1120"/>
      <c r="AK86" s="1121"/>
      <c r="AL86" s="1121"/>
      <c r="AM86" s="1121"/>
      <c r="AN86" s="1120"/>
      <c r="AO86" s="1121"/>
      <c r="AP86" s="1121"/>
      <c r="AQ86" s="1121"/>
      <c r="AR86" s="1106"/>
      <c r="AS86" s="1121"/>
      <c r="AT86" s="1121"/>
      <c r="AU86" s="1121"/>
      <c r="AV86" s="1106"/>
      <c r="AW86" s="1121"/>
      <c r="AX86" s="1121"/>
      <c r="AY86" s="1121"/>
      <c r="AZ86" s="1106"/>
      <c r="BA86" s="1121"/>
      <c r="BB86" s="1121"/>
      <c r="BC86" s="1121"/>
      <c r="BD86" s="1106"/>
      <c r="BE86" s="1121"/>
      <c r="BF86" s="1121"/>
      <c r="BG86" s="1121"/>
      <c r="BH86" s="1106"/>
      <c r="BI86" s="1121"/>
      <c r="BJ86" s="1121"/>
      <c r="BK86" s="1121"/>
      <c r="BL86" s="1106"/>
      <c r="BM86" s="1121"/>
      <c r="BN86" s="1121"/>
      <c r="BO86" s="1121"/>
      <c r="BP86" s="1106"/>
      <c r="BQ86" s="1121"/>
      <c r="BR86" s="1121"/>
      <c r="BS86" s="1121"/>
      <c r="BT86" s="1106"/>
      <c r="BU86" s="1121"/>
      <c r="BV86" s="1121"/>
      <c r="BW86" s="1121"/>
      <c r="BX86" s="1106"/>
      <c r="BY86" s="1121">
        <v>10</v>
      </c>
      <c r="BZ86" s="1121"/>
      <c r="CA86" s="1121"/>
      <c r="CB86" s="1106">
        <f t="shared" si="47"/>
        <v>10</v>
      </c>
    </row>
    <row r="87" spans="1:80" s="212" customFormat="1" ht="15" x14ac:dyDescent="0.2">
      <c r="A87" s="6238"/>
      <c r="B87" s="6195"/>
      <c r="C87" s="6242"/>
      <c r="D87" s="1078" t="s">
        <v>1633</v>
      </c>
      <c r="E87" s="1122"/>
      <c r="F87" s="1119"/>
      <c r="G87" s="1119"/>
      <c r="H87" s="1120"/>
      <c r="I87" s="1122"/>
      <c r="J87" s="1119"/>
      <c r="K87" s="1119"/>
      <c r="L87" s="1120"/>
      <c r="M87" s="1122"/>
      <c r="N87" s="1119"/>
      <c r="O87" s="1119"/>
      <c r="P87" s="1120"/>
      <c r="Q87" s="1122"/>
      <c r="R87" s="1119"/>
      <c r="S87" s="1119"/>
      <c r="T87" s="1120"/>
      <c r="U87" s="1122"/>
      <c r="V87" s="1119"/>
      <c r="W87" s="1119"/>
      <c r="X87" s="1120"/>
      <c r="Y87" s="1121"/>
      <c r="Z87" s="1121"/>
      <c r="AA87" s="1121"/>
      <c r="AB87" s="1120"/>
      <c r="AC87" s="1121"/>
      <c r="AD87" s="1121"/>
      <c r="AE87" s="1121"/>
      <c r="AF87" s="1120"/>
      <c r="AG87" s="1121"/>
      <c r="AH87" s="1121"/>
      <c r="AI87" s="1121"/>
      <c r="AJ87" s="1120"/>
      <c r="AK87" s="1121"/>
      <c r="AL87" s="1121"/>
      <c r="AM87" s="1121"/>
      <c r="AN87" s="1120"/>
      <c r="AO87" s="1121"/>
      <c r="AP87" s="1121"/>
      <c r="AQ87" s="1121"/>
      <c r="AR87" s="1106"/>
      <c r="AS87" s="1121"/>
      <c r="AT87" s="1121"/>
      <c r="AU87" s="1121"/>
      <c r="AV87" s="1106"/>
      <c r="AW87" s="1121"/>
      <c r="AX87" s="1121"/>
      <c r="AY87" s="1121"/>
      <c r="AZ87" s="1106"/>
      <c r="BA87" s="1121"/>
      <c r="BB87" s="1121"/>
      <c r="BC87" s="1121"/>
      <c r="BD87" s="1106"/>
      <c r="BE87" s="1121"/>
      <c r="BF87" s="1121"/>
      <c r="BG87" s="1121"/>
      <c r="BH87" s="1106"/>
      <c r="BI87" s="1121"/>
      <c r="BJ87" s="1121"/>
      <c r="BK87" s="1121"/>
      <c r="BL87" s="1106"/>
      <c r="BM87" s="1121"/>
      <c r="BN87" s="1121"/>
      <c r="BO87" s="1121"/>
      <c r="BP87" s="1106"/>
      <c r="BQ87" s="1121"/>
      <c r="BR87" s="1121"/>
      <c r="BS87" s="1121"/>
      <c r="BT87" s="1106"/>
      <c r="BU87" s="1121"/>
      <c r="BV87" s="1121"/>
      <c r="BW87" s="1121"/>
      <c r="BX87" s="1106"/>
      <c r="BY87" s="1121"/>
      <c r="BZ87" s="1121"/>
      <c r="CA87" s="1121">
        <v>9</v>
      </c>
      <c r="CB87" s="1106">
        <f t="shared" si="47"/>
        <v>9</v>
      </c>
    </row>
    <row r="88" spans="1:80" s="212" customFormat="1" ht="15" x14ac:dyDescent="0.25">
      <c r="A88" s="6238"/>
      <c r="B88" s="6195"/>
      <c r="C88" s="6267" t="s">
        <v>520</v>
      </c>
      <c r="D88" s="1107" t="s">
        <v>84</v>
      </c>
      <c r="E88" s="1122">
        <v>6</v>
      </c>
      <c r="F88" s="1119"/>
      <c r="G88" s="1119">
        <v>16</v>
      </c>
      <c r="H88" s="1120">
        <v>22</v>
      </c>
      <c r="I88" s="1122">
        <v>1</v>
      </c>
      <c r="J88" s="1119"/>
      <c r="K88" s="1119">
        <v>5</v>
      </c>
      <c r="L88" s="1120">
        <v>6</v>
      </c>
      <c r="M88" s="1122">
        <v>3</v>
      </c>
      <c r="N88" s="1119"/>
      <c r="O88" s="1119">
        <v>15</v>
      </c>
      <c r="P88" s="1120">
        <v>18</v>
      </c>
      <c r="Q88" s="1122">
        <v>4</v>
      </c>
      <c r="R88" s="1119">
        <v>5</v>
      </c>
      <c r="S88" s="1119">
        <v>12</v>
      </c>
      <c r="T88" s="1120">
        <v>21</v>
      </c>
      <c r="U88" s="1122"/>
      <c r="V88" s="1119"/>
      <c r="W88" s="1119">
        <v>7</v>
      </c>
      <c r="X88" s="1120">
        <f>SUM(U88:W88)</f>
        <v>7</v>
      </c>
      <c r="Y88" s="1121"/>
      <c r="Z88" s="1121"/>
      <c r="AA88" s="1121">
        <v>11</v>
      </c>
      <c r="AB88" s="1120">
        <f>SUM(Y88:AA88)</f>
        <v>11</v>
      </c>
      <c r="AC88" s="1121"/>
      <c r="AD88" s="1121"/>
      <c r="AE88" s="1121">
        <v>12</v>
      </c>
      <c r="AF88" s="1120">
        <f>SUM(AC88:AE88)</f>
        <v>12</v>
      </c>
      <c r="AG88" s="1121"/>
      <c r="AH88" s="1121"/>
      <c r="AI88" s="1121">
        <v>3</v>
      </c>
      <c r="AJ88" s="1120">
        <f>SUM(AG88:AI88)</f>
        <v>3</v>
      </c>
      <c r="AK88" s="1121"/>
      <c r="AL88" s="1121"/>
      <c r="AM88" s="1121">
        <v>6</v>
      </c>
      <c r="AN88" s="1120">
        <f>SUM(AK88:AM88)</f>
        <v>6</v>
      </c>
      <c r="AO88" s="1121"/>
      <c r="AP88" s="1121"/>
      <c r="AQ88" s="1121">
        <v>6</v>
      </c>
      <c r="AR88" s="1106">
        <f t="shared" si="46"/>
        <v>6</v>
      </c>
      <c r="AS88" s="1121"/>
      <c r="AT88" s="1121" t="s">
        <v>227</v>
      </c>
      <c r="AU88" s="1121">
        <v>13</v>
      </c>
      <c r="AV88" s="1106">
        <f>SUM(AS88:AU88)</f>
        <v>13</v>
      </c>
      <c r="AW88" s="1121"/>
      <c r="AX88" s="1121"/>
      <c r="AY88" s="1121">
        <v>9</v>
      </c>
      <c r="AZ88" s="1106">
        <f t="shared" si="48"/>
        <v>9</v>
      </c>
      <c r="BA88" s="1121"/>
      <c r="BB88" s="1121"/>
      <c r="BC88" s="1121">
        <v>11</v>
      </c>
      <c r="BD88" s="1106">
        <f>BA88+BB88+BC88</f>
        <v>11</v>
      </c>
      <c r="BE88" s="1121"/>
      <c r="BF88" s="1121"/>
      <c r="BG88" s="1121">
        <v>11</v>
      </c>
      <c r="BH88" s="1106">
        <f t="shared" si="49"/>
        <v>11</v>
      </c>
      <c r="BI88" s="1121"/>
      <c r="BJ88" s="1121"/>
      <c r="BK88" s="1121"/>
      <c r="BL88" s="1106">
        <f t="shared" si="50"/>
        <v>0</v>
      </c>
      <c r="BM88" s="1121"/>
      <c r="BN88" s="1121"/>
      <c r="BO88" s="1121">
        <v>20</v>
      </c>
      <c r="BP88" s="1106">
        <f t="shared" si="51"/>
        <v>20</v>
      </c>
      <c r="BQ88" s="1121"/>
      <c r="BR88" s="1121"/>
      <c r="BS88" s="1121"/>
      <c r="BT88" s="1106">
        <f t="shared" si="52"/>
        <v>0</v>
      </c>
      <c r="BU88" s="1121"/>
      <c r="BV88" s="1121"/>
      <c r="BW88" s="1121">
        <v>22</v>
      </c>
      <c r="BX88" s="1106">
        <f t="shared" si="53"/>
        <v>22</v>
      </c>
      <c r="BY88" s="1121"/>
      <c r="BZ88" s="1121"/>
      <c r="CA88" s="1121"/>
      <c r="CB88" s="1106">
        <f t="shared" si="47"/>
        <v>0</v>
      </c>
    </row>
    <row r="89" spans="1:80" s="212" customFormat="1" ht="15" x14ac:dyDescent="0.25">
      <c r="A89" s="6238"/>
      <c r="B89" s="6195"/>
      <c r="C89" s="6241"/>
      <c r="D89" s="1107" t="s">
        <v>85</v>
      </c>
      <c r="E89" s="1122"/>
      <c r="F89" s="1119"/>
      <c r="G89" s="1119">
        <v>7</v>
      </c>
      <c r="H89" s="1120">
        <v>7</v>
      </c>
      <c r="I89" s="1122">
        <v>2</v>
      </c>
      <c r="J89" s="1119"/>
      <c r="K89" s="1119">
        <v>33</v>
      </c>
      <c r="L89" s="1120">
        <v>35</v>
      </c>
      <c r="M89" s="1122">
        <v>20</v>
      </c>
      <c r="N89" s="1119"/>
      <c r="O89" s="1119"/>
      <c r="P89" s="1120">
        <v>20</v>
      </c>
      <c r="Q89" s="1122"/>
      <c r="R89" s="1119">
        <v>1</v>
      </c>
      <c r="S89" s="1119">
        <v>36</v>
      </c>
      <c r="T89" s="1120">
        <v>37</v>
      </c>
      <c r="U89" s="1122"/>
      <c r="V89" s="1119"/>
      <c r="W89" s="1119">
        <v>21</v>
      </c>
      <c r="X89" s="1120">
        <f>SUM(U89:W89)</f>
        <v>21</v>
      </c>
      <c r="Y89" s="1121"/>
      <c r="Z89" s="1121">
        <v>33</v>
      </c>
      <c r="AA89" s="1121">
        <v>6</v>
      </c>
      <c r="AB89" s="1120">
        <f>SUM(Y89:AA89)</f>
        <v>39</v>
      </c>
      <c r="AC89" s="1121"/>
      <c r="AD89" s="1121"/>
      <c r="AE89" s="1121">
        <v>3</v>
      </c>
      <c r="AF89" s="1120">
        <f>SUM(AC89:AE89)</f>
        <v>3</v>
      </c>
      <c r="AG89" s="1121"/>
      <c r="AH89" s="1121"/>
      <c r="AI89" s="1121">
        <v>7</v>
      </c>
      <c r="AJ89" s="1120">
        <f>SUM(AG89:AI89)</f>
        <v>7</v>
      </c>
      <c r="AK89" s="1121"/>
      <c r="AL89" s="1121"/>
      <c r="AM89" s="1121">
        <v>12</v>
      </c>
      <c r="AN89" s="1120">
        <f>SUM(AK89:AM89)</f>
        <v>12</v>
      </c>
      <c r="AO89" s="1121"/>
      <c r="AP89" s="1121"/>
      <c r="AQ89" s="1121">
        <v>11</v>
      </c>
      <c r="AR89" s="1106">
        <f t="shared" si="46"/>
        <v>11</v>
      </c>
      <c r="AS89" s="1121" t="s">
        <v>227</v>
      </c>
      <c r="AT89" s="1121">
        <v>15</v>
      </c>
      <c r="AU89" s="1121" t="s">
        <v>227</v>
      </c>
      <c r="AV89" s="1106">
        <f>SUM(AS89:AU89)</f>
        <v>15</v>
      </c>
      <c r="AW89" s="1121"/>
      <c r="AX89" s="1121"/>
      <c r="AY89" s="1121">
        <v>21</v>
      </c>
      <c r="AZ89" s="1106">
        <f t="shared" si="48"/>
        <v>21</v>
      </c>
      <c r="BA89" s="1121">
        <v>15</v>
      </c>
      <c r="BB89" s="1121"/>
      <c r="BC89" s="1121"/>
      <c r="BD89" s="1106">
        <f t="shared" ref="BD89:BD103" si="54">BA89+BB89+BC89</f>
        <v>15</v>
      </c>
      <c r="BE89" s="1121"/>
      <c r="BF89" s="1121"/>
      <c r="BG89" s="1121">
        <v>7</v>
      </c>
      <c r="BH89" s="1106">
        <f t="shared" si="49"/>
        <v>7</v>
      </c>
      <c r="BI89" s="1121"/>
      <c r="BJ89" s="1121"/>
      <c r="BK89" s="1121"/>
      <c r="BL89" s="1106">
        <f t="shared" si="50"/>
        <v>0</v>
      </c>
      <c r="BM89" s="1121"/>
      <c r="BN89" s="1121"/>
      <c r="BO89" s="1121">
        <v>15</v>
      </c>
      <c r="BP89" s="1106">
        <f t="shared" si="51"/>
        <v>15</v>
      </c>
      <c r="BQ89" s="1121"/>
      <c r="BR89" s="1121"/>
      <c r="BS89" s="1121">
        <v>11</v>
      </c>
      <c r="BT89" s="1106">
        <f t="shared" si="52"/>
        <v>11</v>
      </c>
      <c r="BU89" s="1121"/>
      <c r="BV89" s="1121"/>
      <c r="BW89" s="1121">
        <v>14</v>
      </c>
      <c r="BX89" s="1106">
        <f t="shared" si="53"/>
        <v>14</v>
      </c>
      <c r="BY89" s="1121">
        <v>2</v>
      </c>
      <c r="BZ89" s="1121"/>
      <c r="CA89" s="1121"/>
      <c r="CB89" s="1106">
        <f t="shared" si="47"/>
        <v>2</v>
      </c>
    </row>
    <row r="90" spans="1:80" s="212" customFormat="1" ht="15" x14ac:dyDescent="0.25">
      <c r="A90" s="6238"/>
      <c r="B90" s="6195"/>
      <c r="C90" s="6241"/>
      <c r="D90" s="1107" t="s">
        <v>83</v>
      </c>
      <c r="E90" s="1122">
        <v>2</v>
      </c>
      <c r="F90" s="1119">
        <v>1</v>
      </c>
      <c r="G90" s="1119">
        <v>15</v>
      </c>
      <c r="H90" s="1120">
        <v>18</v>
      </c>
      <c r="I90" s="1122">
        <v>4</v>
      </c>
      <c r="J90" s="1119">
        <v>2</v>
      </c>
      <c r="K90" s="1119">
        <v>24</v>
      </c>
      <c r="L90" s="1120">
        <v>30</v>
      </c>
      <c r="M90" s="1122">
        <v>4</v>
      </c>
      <c r="N90" s="1119"/>
      <c r="O90" s="1119">
        <v>3</v>
      </c>
      <c r="P90" s="1120">
        <v>7</v>
      </c>
      <c r="Q90" s="1122">
        <v>2</v>
      </c>
      <c r="R90" s="1119"/>
      <c r="S90" s="1119">
        <v>22</v>
      </c>
      <c r="T90" s="1120">
        <v>24</v>
      </c>
      <c r="U90" s="1122"/>
      <c r="V90" s="1119"/>
      <c r="W90" s="1119">
        <v>1</v>
      </c>
      <c r="X90" s="1120">
        <f>SUM(U90:W90)</f>
        <v>1</v>
      </c>
      <c r="Y90" s="1121"/>
      <c r="Z90" s="1121"/>
      <c r="AA90" s="1121">
        <v>1</v>
      </c>
      <c r="AB90" s="1120">
        <f>SUM(Y90:AA90)</f>
        <v>1</v>
      </c>
      <c r="AC90" s="1121">
        <v>9</v>
      </c>
      <c r="AD90" s="1121"/>
      <c r="AE90" s="1121"/>
      <c r="AF90" s="1120">
        <f>SUM(AC90:AE90)</f>
        <v>9</v>
      </c>
      <c r="AG90" s="1121">
        <v>12</v>
      </c>
      <c r="AH90" s="1121"/>
      <c r="AI90" s="1121"/>
      <c r="AJ90" s="1120">
        <f>SUM(AG90:AI90)</f>
        <v>12</v>
      </c>
      <c r="AK90" s="1121">
        <v>19</v>
      </c>
      <c r="AL90" s="1121"/>
      <c r="AM90" s="1121"/>
      <c r="AN90" s="1120">
        <f>SUM(AK90:AM90)</f>
        <v>19</v>
      </c>
      <c r="AO90" s="1121"/>
      <c r="AP90" s="1121"/>
      <c r="AQ90" s="1121">
        <v>36</v>
      </c>
      <c r="AR90" s="1106">
        <f t="shared" si="46"/>
        <v>36</v>
      </c>
      <c r="AS90" s="1121" t="s">
        <v>227</v>
      </c>
      <c r="AT90" s="1121" t="s">
        <v>227</v>
      </c>
      <c r="AU90" s="1121">
        <v>23</v>
      </c>
      <c r="AV90" s="1106">
        <f>SUM(AS90:AU90)</f>
        <v>23</v>
      </c>
      <c r="AW90" s="1121"/>
      <c r="AX90" s="1121"/>
      <c r="AY90" s="1121">
        <v>38</v>
      </c>
      <c r="AZ90" s="1106">
        <f t="shared" si="48"/>
        <v>38</v>
      </c>
      <c r="BA90" s="1121"/>
      <c r="BB90" s="1121"/>
      <c r="BC90" s="1121">
        <v>38</v>
      </c>
      <c r="BD90" s="1106">
        <f t="shared" si="54"/>
        <v>38</v>
      </c>
      <c r="BE90" s="1121"/>
      <c r="BF90" s="1121"/>
      <c r="BG90" s="1121">
        <v>30</v>
      </c>
      <c r="BH90" s="1106">
        <f t="shared" si="49"/>
        <v>30</v>
      </c>
      <c r="BI90" s="1121"/>
      <c r="BJ90" s="1121"/>
      <c r="BK90" s="1121">
        <v>22</v>
      </c>
      <c r="BL90" s="1106">
        <f t="shared" si="50"/>
        <v>22</v>
      </c>
      <c r="BM90" s="1121"/>
      <c r="BN90" s="1121"/>
      <c r="BO90" s="1121">
        <v>28</v>
      </c>
      <c r="BP90" s="1106">
        <f t="shared" si="51"/>
        <v>28</v>
      </c>
      <c r="BQ90" s="1121"/>
      <c r="BR90" s="1121"/>
      <c r="BS90" s="1121">
        <v>27</v>
      </c>
      <c r="BT90" s="1106">
        <f t="shared" si="52"/>
        <v>27</v>
      </c>
      <c r="BU90" s="1121"/>
      <c r="BV90" s="1121"/>
      <c r="BW90" s="1121">
        <v>22</v>
      </c>
      <c r="BX90" s="1106">
        <f t="shared" si="53"/>
        <v>22</v>
      </c>
      <c r="BY90" s="1121"/>
      <c r="BZ90" s="1121"/>
      <c r="CA90" s="1121">
        <v>25</v>
      </c>
      <c r="CB90" s="1106">
        <f t="shared" si="47"/>
        <v>25</v>
      </c>
    </row>
    <row r="91" spans="1:80" s="212" customFormat="1" ht="15" x14ac:dyDescent="0.25">
      <c r="A91" s="6238"/>
      <c r="B91" s="6195"/>
      <c r="C91" s="6241"/>
      <c r="D91" s="1107" t="s">
        <v>86</v>
      </c>
      <c r="E91" s="1122">
        <v>1</v>
      </c>
      <c r="F91" s="1119"/>
      <c r="G91" s="1119"/>
      <c r="H91" s="1120">
        <v>1</v>
      </c>
      <c r="I91" s="1122">
        <v>1</v>
      </c>
      <c r="J91" s="1119">
        <v>3</v>
      </c>
      <c r="K91" s="1119">
        <v>27</v>
      </c>
      <c r="L91" s="1120">
        <v>31</v>
      </c>
      <c r="M91" s="1122"/>
      <c r="N91" s="1119">
        <v>2</v>
      </c>
      <c r="O91" s="1119">
        <v>4</v>
      </c>
      <c r="P91" s="1120">
        <v>6</v>
      </c>
      <c r="Q91" s="1122">
        <v>0</v>
      </c>
      <c r="R91" s="1119">
        <v>1</v>
      </c>
      <c r="S91" s="1119">
        <v>38</v>
      </c>
      <c r="T91" s="1120">
        <v>39</v>
      </c>
      <c r="U91" s="1122">
        <v>1</v>
      </c>
      <c r="V91" s="1119"/>
      <c r="W91" s="1119">
        <v>5</v>
      </c>
      <c r="X91" s="1120">
        <f>SUM(U91:W91)</f>
        <v>6</v>
      </c>
      <c r="Y91" s="1121"/>
      <c r="Z91" s="1121"/>
      <c r="AA91" s="1121">
        <v>16</v>
      </c>
      <c r="AB91" s="1120">
        <f>SUM(Y91:AA91)</f>
        <v>16</v>
      </c>
      <c r="AC91" s="1121">
        <v>4</v>
      </c>
      <c r="AD91" s="1121"/>
      <c r="AE91" s="1121">
        <v>4</v>
      </c>
      <c r="AF91" s="1120">
        <f>SUM(AC91:AE91)</f>
        <v>8</v>
      </c>
      <c r="AG91" s="1121"/>
      <c r="AH91" s="1121"/>
      <c r="AI91" s="1121">
        <v>13</v>
      </c>
      <c r="AJ91" s="1120">
        <f>SUM(AG91:AI91)</f>
        <v>13</v>
      </c>
      <c r="AK91" s="1121"/>
      <c r="AL91" s="1121"/>
      <c r="AM91" s="1121">
        <v>4</v>
      </c>
      <c r="AN91" s="1120">
        <f>SUM(AK91:AM91)</f>
        <v>4</v>
      </c>
      <c r="AO91" s="1121"/>
      <c r="AP91" s="1121"/>
      <c r="AQ91" s="1121">
        <v>19</v>
      </c>
      <c r="AR91" s="1106">
        <f t="shared" si="46"/>
        <v>19</v>
      </c>
      <c r="AS91" s="1121"/>
      <c r="AT91" s="1121"/>
      <c r="AU91" s="1121"/>
      <c r="AV91" s="1106"/>
      <c r="AW91" s="1121"/>
      <c r="AX91" s="1121"/>
      <c r="AY91" s="1121">
        <v>14</v>
      </c>
      <c r="AZ91" s="1106">
        <f t="shared" si="48"/>
        <v>14</v>
      </c>
      <c r="BA91" s="1121">
        <v>2</v>
      </c>
      <c r="BB91" s="1121"/>
      <c r="BC91" s="1121"/>
      <c r="BD91" s="1106">
        <f t="shared" si="54"/>
        <v>2</v>
      </c>
      <c r="BE91" s="1121"/>
      <c r="BF91" s="1121"/>
      <c r="BG91" s="1121">
        <v>28</v>
      </c>
      <c r="BH91" s="1106">
        <f>BE91+BF91+BG91</f>
        <v>28</v>
      </c>
      <c r="BI91" s="1121"/>
      <c r="BJ91" s="1121"/>
      <c r="BK91" s="1121"/>
      <c r="BL91" s="1106">
        <f t="shared" si="50"/>
        <v>0</v>
      </c>
      <c r="BM91" s="1121"/>
      <c r="BN91" s="1121"/>
      <c r="BO91" s="1121">
        <v>28</v>
      </c>
      <c r="BP91" s="1106">
        <f t="shared" si="51"/>
        <v>28</v>
      </c>
      <c r="BQ91" s="1121"/>
      <c r="BR91" s="1121"/>
      <c r="BS91" s="1121"/>
      <c r="BT91" s="1106">
        <f t="shared" si="52"/>
        <v>0</v>
      </c>
      <c r="BU91" s="1121"/>
      <c r="BV91" s="1121"/>
      <c r="BW91" s="1121">
        <v>19</v>
      </c>
      <c r="BX91" s="1106">
        <f t="shared" si="53"/>
        <v>19</v>
      </c>
      <c r="BY91" s="1121"/>
      <c r="BZ91" s="1121"/>
      <c r="CA91" s="1121"/>
      <c r="CB91" s="1106">
        <f t="shared" si="47"/>
        <v>0</v>
      </c>
    </row>
    <row r="92" spans="1:80" s="212" customFormat="1" ht="15" x14ac:dyDescent="0.25">
      <c r="A92" s="6238"/>
      <c r="B92" s="6195"/>
      <c r="C92" s="6241"/>
      <c r="D92" s="1107" t="s">
        <v>143</v>
      </c>
      <c r="E92" s="1104"/>
      <c r="F92" s="1105"/>
      <c r="G92" s="1105"/>
      <c r="H92" s="1106"/>
      <c r="I92" s="1104">
        <v>12</v>
      </c>
      <c r="J92" s="1105"/>
      <c r="K92" s="1105"/>
      <c r="L92" s="1106">
        <v>12</v>
      </c>
      <c r="M92" s="1104">
        <v>11</v>
      </c>
      <c r="N92" s="1105"/>
      <c r="O92" s="1105">
        <v>1</v>
      </c>
      <c r="P92" s="1106">
        <v>12</v>
      </c>
      <c r="Q92" s="1104">
        <v>5</v>
      </c>
      <c r="R92" s="1105"/>
      <c r="S92" s="1105"/>
      <c r="T92" s="1106">
        <v>5</v>
      </c>
      <c r="U92" s="1104">
        <v>2</v>
      </c>
      <c r="V92" s="1105"/>
      <c r="W92" s="1105"/>
      <c r="X92" s="1106">
        <f>SUM(U92:W92)</f>
        <v>2</v>
      </c>
      <c r="Y92" s="1105"/>
      <c r="Z92" s="1105"/>
      <c r="AA92" s="1105"/>
      <c r="AB92" s="1106"/>
      <c r="AC92" s="1105">
        <v>9</v>
      </c>
      <c r="AD92" s="1105"/>
      <c r="AE92" s="1105"/>
      <c r="AF92" s="1106">
        <f>SUM(AC92:AE92)</f>
        <v>9</v>
      </c>
      <c r="AG92" s="1105">
        <v>2</v>
      </c>
      <c r="AH92" s="1105"/>
      <c r="AI92" s="1105"/>
      <c r="AJ92" s="1106">
        <f>SUM(AG92:AI92)</f>
        <v>2</v>
      </c>
      <c r="AK92" s="1105">
        <v>6</v>
      </c>
      <c r="AL92" s="1105"/>
      <c r="AM92" s="1105"/>
      <c r="AN92" s="1106">
        <f>SUM(AK92:AM92)</f>
        <v>6</v>
      </c>
      <c r="AO92" s="1105">
        <v>2</v>
      </c>
      <c r="AP92" s="1105"/>
      <c r="AQ92" s="1105"/>
      <c r="AR92" s="1106">
        <f t="shared" si="46"/>
        <v>2</v>
      </c>
      <c r="AS92" s="1105">
        <v>7</v>
      </c>
      <c r="AT92" s="1105" t="s">
        <v>227</v>
      </c>
      <c r="AU92" s="1105" t="s">
        <v>227</v>
      </c>
      <c r="AV92" s="1106">
        <f>SUM(AS92:AU92)</f>
        <v>7</v>
      </c>
      <c r="AW92" s="1105">
        <v>6</v>
      </c>
      <c r="AX92" s="1105"/>
      <c r="AY92" s="1105"/>
      <c r="AZ92" s="1106">
        <f t="shared" si="48"/>
        <v>6</v>
      </c>
      <c r="BA92" s="1105">
        <v>14</v>
      </c>
      <c r="BB92" s="1105">
        <v>1</v>
      </c>
      <c r="BC92" s="1105"/>
      <c r="BD92" s="1106">
        <f t="shared" si="54"/>
        <v>15</v>
      </c>
      <c r="BE92" s="1105">
        <v>12</v>
      </c>
      <c r="BF92" s="1105">
        <v>3</v>
      </c>
      <c r="BG92" s="1105"/>
      <c r="BH92" s="1106">
        <f>BE92+BF92+BG92</f>
        <v>15</v>
      </c>
      <c r="BI92" s="1105">
        <v>12</v>
      </c>
      <c r="BJ92" s="1105">
        <v>2</v>
      </c>
      <c r="BK92" s="1105"/>
      <c r="BL92" s="1106">
        <f t="shared" si="50"/>
        <v>14</v>
      </c>
      <c r="BM92" s="1105">
        <v>17</v>
      </c>
      <c r="BN92" s="1105"/>
      <c r="BO92" s="1105"/>
      <c r="BP92" s="1106">
        <f t="shared" si="51"/>
        <v>17</v>
      </c>
      <c r="BQ92" s="1105">
        <v>15</v>
      </c>
      <c r="BR92" s="1105"/>
      <c r="BS92" s="1105"/>
      <c r="BT92" s="1106">
        <f t="shared" si="52"/>
        <v>15</v>
      </c>
      <c r="BU92" s="1105">
        <v>13</v>
      </c>
      <c r="BV92" s="1105"/>
      <c r="BW92" s="1105"/>
      <c r="BX92" s="1106">
        <f t="shared" si="53"/>
        <v>13</v>
      </c>
      <c r="BY92" s="1105">
        <v>15</v>
      </c>
      <c r="BZ92" s="1105"/>
      <c r="CA92" s="1105"/>
      <c r="CB92" s="1106">
        <f t="shared" si="47"/>
        <v>15</v>
      </c>
    </row>
    <row r="93" spans="1:80" s="212" customFormat="1" ht="15" x14ac:dyDescent="0.25">
      <c r="A93" s="6238"/>
      <c r="B93" s="6195"/>
      <c r="C93" s="6241"/>
      <c r="D93" s="1457" t="s">
        <v>1580</v>
      </c>
      <c r="E93" s="1458"/>
      <c r="F93" s="1459"/>
      <c r="G93" s="1459"/>
      <c r="H93" s="1128"/>
      <c r="I93" s="1458"/>
      <c r="J93" s="1459"/>
      <c r="K93" s="1459"/>
      <c r="L93" s="1128"/>
      <c r="M93" s="1458"/>
      <c r="N93" s="1459"/>
      <c r="O93" s="1459"/>
      <c r="P93" s="1128"/>
      <c r="Q93" s="1458"/>
      <c r="R93" s="1459"/>
      <c r="S93" s="1459"/>
      <c r="T93" s="1128"/>
      <c r="U93" s="1458"/>
      <c r="V93" s="1459"/>
      <c r="W93" s="1459"/>
      <c r="X93" s="1128"/>
      <c r="Y93" s="1459"/>
      <c r="Z93" s="1459"/>
      <c r="AA93" s="1459"/>
      <c r="AB93" s="1128"/>
      <c r="AC93" s="1459"/>
      <c r="AD93" s="1459"/>
      <c r="AE93" s="1459"/>
      <c r="AF93" s="1128"/>
      <c r="AG93" s="1459"/>
      <c r="AH93" s="1459"/>
      <c r="AI93" s="1459"/>
      <c r="AJ93" s="1128"/>
      <c r="AK93" s="1459"/>
      <c r="AL93" s="1459"/>
      <c r="AM93" s="1459"/>
      <c r="AN93" s="1128"/>
      <c r="AO93" s="1459"/>
      <c r="AP93" s="1459"/>
      <c r="AQ93" s="1459"/>
      <c r="AR93" s="1128"/>
      <c r="AS93" s="1459"/>
      <c r="AT93" s="1459"/>
      <c r="AU93" s="1459"/>
      <c r="AV93" s="1128"/>
      <c r="AW93" s="1459"/>
      <c r="AX93" s="1459"/>
      <c r="AY93" s="1459"/>
      <c r="AZ93" s="1128"/>
      <c r="BA93" s="1459"/>
      <c r="BB93" s="1459"/>
      <c r="BC93" s="1459"/>
      <c r="BD93" s="1128"/>
      <c r="BE93" s="1459"/>
      <c r="BF93" s="1459"/>
      <c r="BG93" s="1459"/>
      <c r="BH93" s="1128"/>
      <c r="BI93" s="1459"/>
      <c r="BJ93" s="1459"/>
      <c r="BK93" s="1459"/>
      <c r="BL93" s="1128"/>
      <c r="BM93" s="1459"/>
      <c r="BN93" s="1459"/>
      <c r="BO93" s="1459"/>
      <c r="BP93" s="1128"/>
      <c r="BQ93" s="1459"/>
      <c r="BR93" s="1459"/>
      <c r="BS93" s="1459"/>
      <c r="BT93" s="1128"/>
      <c r="BU93" s="1459"/>
      <c r="BV93" s="1459"/>
      <c r="BW93" s="1459"/>
      <c r="BX93" s="1128"/>
      <c r="BY93" s="1459">
        <v>7</v>
      </c>
      <c r="BZ93" s="1459"/>
      <c r="CA93" s="1459"/>
      <c r="CB93" s="1106">
        <f t="shared" si="47"/>
        <v>7</v>
      </c>
    </row>
    <row r="94" spans="1:80" s="212" customFormat="1" ht="15" x14ac:dyDescent="0.2">
      <c r="A94" s="6238"/>
      <c r="B94" s="6195"/>
      <c r="C94" s="6241"/>
      <c r="D94" s="1078" t="s">
        <v>1634</v>
      </c>
      <c r="E94" s="1458"/>
      <c r="F94" s="1459"/>
      <c r="G94" s="1459"/>
      <c r="H94" s="1128"/>
      <c r="I94" s="1458"/>
      <c r="J94" s="1459"/>
      <c r="K94" s="1459"/>
      <c r="L94" s="1128"/>
      <c r="M94" s="1458"/>
      <c r="N94" s="1459"/>
      <c r="O94" s="1459"/>
      <c r="P94" s="1128"/>
      <c r="Q94" s="1458"/>
      <c r="R94" s="1459"/>
      <c r="S94" s="1459"/>
      <c r="T94" s="1128"/>
      <c r="U94" s="1458"/>
      <c r="V94" s="1459"/>
      <c r="W94" s="1459"/>
      <c r="X94" s="1128"/>
      <c r="Y94" s="1459"/>
      <c r="Z94" s="1459"/>
      <c r="AA94" s="1459"/>
      <c r="AB94" s="1128"/>
      <c r="AC94" s="1459"/>
      <c r="AD94" s="1459"/>
      <c r="AE94" s="1459"/>
      <c r="AF94" s="1128"/>
      <c r="AG94" s="1459"/>
      <c r="AH94" s="1459"/>
      <c r="AI94" s="1459"/>
      <c r="AJ94" s="1128"/>
      <c r="AK94" s="1459"/>
      <c r="AL94" s="1459"/>
      <c r="AM94" s="1459"/>
      <c r="AN94" s="1128"/>
      <c r="AO94" s="1459"/>
      <c r="AP94" s="1459"/>
      <c r="AQ94" s="1459"/>
      <c r="AR94" s="1128"/>
      <c r="AS94" s="1459"/>
      <c r="AT94" s="1459"/>
      <c r="AU94" s="1459"/>
      <c r="AV94" s="1128"/>
      <c r="AW94" s="1459"/>
      <c r="AX94" s="1459"/>
      <c r="AY94" s="1459"/>
      <c r="AZ94" s="1128"/>
      <c r="BA94" s="1459"/>
      <c r="BB94" s="1459"/>
      <c r="BC94" s="1459"/>
      <c r="BD94" s="1128"/>
      <c r="BE94" s="1459"/>
      <c r="BF94" s="1459"/>
      <c r="BG94" s="1459"/>
      <c r="BH94" s="1128"/>
      <c r="BI94" s="1459"/>
      <c r="BJ94" s="1459"/>
      <c r="BK94" s="1459"/>
      <c r="BL94" s="1128"/>
      <c r="BM94" s="1459"/>
      <c r="BN94" s="1459"/>
      <c r="BO94" s="1459"/>
      <c r="BP94" s="1128"/>
      <c r="BQ94" s="1459"/>
      <c r="BR94" s="1459"/>
      <c r="BS94" s="1459"/>
      <c r="BT94" s="1128"/>
      <c r="BU94" s="1459"/>
      <c r="BV94" s="1459"/>
      <c r="BW94" s="1459"/>
      <c r="BX94" s="1128"/>
      <c r="BY94" s="1459"/>
      <c r="BZ94" s="1459"/>
      <c r="CA94" s="1459">
        <v>3</v>
      </c>
      <c r="CB94" s="1106">
        <f t="shared" si="47"/>
        <v>3</v>
      </c>
    </row>
    <row r="95" spans="1:80" s="212" customFormat="1" ht="15" x14ac:dyDescent="0.25">
      <c r="A95" s="6238"/>
      <c r="B95" s="6258"/>
      <c r="C95" s="1465"/>
      <c r="D95" s="1109" t="s">
        <v>445</v>
      </c>
      <c r="E95" s="1110">
        <f t="shared" ref="E95:AJ95" si="55">SUM(E80:E92)</f>
        <v>9</v>
      </c>
      <c r="F95" s="1111">
        <f t="shared" si="55"/>
        <v>1</v>
      </c>
      <c r="G95" s="1111">
        <f t="shared" si="55"/>
        <v>129</v>
      </c>
      <c r="H95" s="1139">
        <f t="shared" si="55"/>
        <v>139</v>
      </c>
      <c r="I95" s="1110">
        <f t="shared" si="55"/>
        <v>49</v>
      </c>
      <c r="J95" s="1111">
        <f t="shared" si="55"/>
        <v>5</v>
      </c>
      <c r="K95" s="1111">
        <f t="shared" si="55"/>
        <v>229</v>
      </c>
      <c r="L95" s="1139">
        <f t="shared" si="55"/>
        <v>283</v>
      </c>
      <c r="M95" s="1110">
        <f t="shared" si="55"/>
        <v>38</v>
      </c>
      <c r="N95" s="1111">
        <f t="shared" si="55"/>
        <v>2</v>
      </c>
      <c r="O95" s="1111">
        <f t="shared" si="55"/>
        <v>76</v>
      </c>
      <c r="P95" s="1139">
        <f t="shared" si="55"/>
        <v>116</v>
      </c>
      <c r="Q95" s="1110">
        <f t="shared" si="55"/>
        <v>14</v>
      </c>
      <c r="R95" s="1111">
        <f t="shared" si="55"/>
        <v>7</v>
      </c>
      <c r="S95" s="1111">
        <f t="shared" si="55"/>
        <v>332</v>
      </c>
      <c r="T95" s="1139">
        <f t="shared" si="55"/>
        <v>353</v>
      </c>
      <c r="U95" s="1110">
        <f t="shared" si="55"/>
        <v>3</v>
      </c>
      <c r="V95" s="1111">
        <f t="shared" si="55"/>
        <v>0</v>
      </c>
      <c r="W95" s="1111">
        <f t="shared" si="55"/>
        <v>95</v>
      </c>
      <c r="X95" s="1139">
        <f t="shared" si="55"/>
        <v>98</v>
      </c>
      <c r="Y95" s="1111">
        <f t="shared" si="55"/>
        <v>1</v>
      </c>
      <c r="Z95" s="1111">
        <f t="shared" si="55"/>
        <v>33</v>
      </c>
      <c r="AA95" s="1111">
        <f t="shared" si="55"/>
        <v>129</v>
      </c>
      <c r="AB95" s="1139">
        <f t="shared" si="55"/>
        <v>163</v>
      </c>
      <c r="AC95" s="1111">
        <f t="shared" si="55"/>
        <v>83</v>
      </c>
      <c r="AD95" s="1111">
        <f t="shared" si="55"/>
        <v>0</v>
      </c>
      <c r="AE95" s="1111">
        <f t="shared" si="55"/>
        <v>43</v>
      </c>
      <c r="AF95" s="1139">
        <f t="shared" si="55"/>
        <v>126</v>
      </c>
      <c r="AG95" s="1111">
        <f t="shared" si="55"/>
        <v>105</v>
      </c>
      <c r="AH95" s="1111">
        <f t="shared" si="55"/>
        <v>0</v>
      </c>
      <c r="AI95" s="1111">
        <f t="shared" si="55"/>
        <v>56</v>
      </c>
      <c r="AJ95" s="1139">
        <f t="shared" si="55"/>
        <v>161</v>
      </c>
      <c r="AK95" s="1111">
        <f t="shared" ref="AK95:BP95" si="56">SUM(AK80:AK92)</f>
        <v>181</v>
      </c>
      <c r="AL95" s="1111">
        <f t="shared" si="56"/>
        <v>0</v>
      </c>
      <c r="AM95" s="1111">
        <f t="shared" si="56"/>
        <v>63</v>
      </c>
      <c r="AN95" s="1139">
        <f t="shared" si="56"/>
        <v>244</v>
      </c>
      <c r="AO95" s="1111">
        <f t="shared" si="56"/>
        <v>113</v>
      </c>
      <c r="AP95" s="1111">
        <f t="shared" si="56"/>
        <v>0</v>
      </c>
      <c r="AQ95" s="1111">
        <f t="shared" si="56"/>
        <v>209</v>
      </c>
      <c r="AR95" s="1139">
        <f t="shared" si="56"/>
        <v>322</v>
      </c>
      <c r="AS95" s="1111">
        <f t="shared" si="56"/>
        <v>20</v>
      </c>
      <c r="AT95" s="1111">
        <f t="shared" si="56"/>
        <v>114</v>
      </c>
      <c r="AU95" s="1111">
        <f t="shared" si="56"/>
        <v>72</v>
      </c>
      <c r="AV95" s="1139">
        <f t="shared" si="56"/>
        <v>206</v>
      </c>
      <c r="AW95" s="1111">
        <f t="shared" si="56"/>
        <v>20</v>
      </c>
      <c r="AX95" s="1111">
        <f t="shared" si="56"/>
        <v>0</v>
      </c>
      <c r="AY95" s="1111">
        <f t="shared" si="56"/>
        <v>289</v>
      </c>
      <c r="AZ95" s="1139">
        <f t="shared" si="56"/>
        <v>309</v>
      </c>
      <c r="BA95" s="1111">
        <f t="shared" si="56"/>
        <v>45</v>
      </c>
      <c r="BB95" s="1111">
        <f t="shared" si="56"/>
        <v>1</v>
      </c>
      <c r="BC95" s="1111">
        <f t="shared" si="56"/>
        <v>139</v>
      </c>
      <c r="BD95" s="1139">
        <f t="shared" si="56"/>
        <v>185</v>
      </c>
      <c r="BE95" s="1111">
        <f t="shared" si="56"/>
        <v>26</v>
      </c>
      <c r="BF95" s="1111">
        <f t="shared" si="56"/>
        <v>3</v>
      </c>
      <c r="BG95" s="1111">
        <f t="shared" si="56"/>
        <v>181</v>
      </c>
      <c r="BH95" s="1139">
        <f t="shared" si="56"/>
        <v>210</v>
      </c>
      <c r="BI95" s="1111">
        <f t="shared" si="56"/>
        <v>38</v>
      </c>
      <c r="BJ95" s="1111">
        <f t="shared" si="56"/>
        <v>2</v>
      </c>
      <c r="BK95" s="1111">
        <f t="shared" si="56"/>
        <v>72</v>
      </c>
      <c r="BL95" s="1139">
        <f t="shared" si="56"/>
        <v>112</v>
      </c>
      <c r="BM95" s="1111">
        <f t="shared" si="56"/>
        <v>30</v>
      </c>
      <c r="BN95" s="1111">
        <f t="shared" si="56"/>
        <v>15</v>
      </c>
      <c r="BO95" s="1111">
        <f t="shared" si="56"/>
        <v>193</v>
      </c>
      <c r="BP95" s="1139">
        <f t="shared" si="56"/>
        <v>238</v>
      </c>
      <c r="BQ95" s="1111">
        <f t="shared" ref="BQ95:BX95" si="57">SUM(BQ80:BQ92)</f>
        <v>58</v>
      </c>
      <c r="BR95" s="1111">
        <f t="shared" si="57"/>
        <v>1</v>
      </c>
      <c r="BS95" s="1111">
        <f t="shared" si="57"/>
        <v>108</v>
      </c>
      <c r="BT95" s="1139">
        <f t="shared" si="57"/>
        <v>167</v>
      </c>
      <c r="BU95" s="1111">
        <f t="shared" si="57"/>
        <v>24</v>
      </c>
      <c r="BV95" s="1111">
        <f t="shared" si="57"/>
        <v>0</v>
      </c>
      <c r="BW95" s="1111">
        <f t="shared" si="57"/>
        <v>158</v>
      </c>
      <c r="BX95" s="1139">
        <f t="shared" si="57"/>
        <v>182</v>
      </c>
      <c r="BY95" s="1110">
        <f>SUM(BY80:BY94)</f>
        <v>48</v>
      </c>
      <c r="BZ95" s="1111">
        <f t="shared" ref="BZ95:CB95" si="58">SUM(BZ80:BZ94)</f>
        <v>61</v>
      </c>
      <c r="CA95" s="1111">
        <f t="shared" si="58"/>
        <v>74</v>
      </c>
      <c r="CB95" s="1112">
        <f t="shared" si="58"/>
        <v>183</v>
      </c>
    </row>
    <row r="96" spans="1:80" s="212" customFormat="1" ht="15" x14ac:dyDescent="0.25">
      <c r="A96" s="6238"/>
      <c r="B96" s="6257" t="s">
        <v>11</v>
      </c>
      <c r="C96" s="6240" t="s">
        <v>522</v>
      </c>
      <c r="D96" s="1113" t="s">
        <v>56</v>
      </c>
      <c r="E96" s="1138"/>
      <c r="F96" s="1115"/>
      <c r="G96" s="1115"/>
      <c r="H96" s="1116"/>
      <c r="I96" s="1138">
        <v>2</v>
      </c>
      <c r="J96" s="1115"/>
      <c r="K96" s="1115"/>
      <c r="L96" s="1120">
        <f>SUM(I96:K96)</f>
        <v>2</v>
      </c>
      <c r="M96" s="1138"/>
      <c r="N96" s="1115">
        <v>1</v>
      </c>
      <c r="O96" s="1115">
        <v>5</v>
      </c>
      <c r="P96" s="1116">
        <f>SUM(M96:O96)</f>
        <v>6</v>
      </c>
      <c r="Q96" s="1138"/>
      <c r="R96" s="1115"/>
      <c r="S96" s="1115">
        <v>9</v>
      </c>
      <c r="T96" s="1116">
        <f>SUM(Q96:S96)</f>
        <v>9</v>
      </c>
      <c r="U96" s="1138">
        <v>1</v>
      </c>
      <c r="V96" s="1115">
        <v>2</v>
      </c>
      <c r="W96" s="1115">
        <v>3</v>
      </c>
      <c r="X96" s="1116">
        <f t="shared" ref="X96:X103" si="59">SUM(U96:W96)</f>
        <v>6</v>
      </c>
      <c r="Y96" s="1117"/>
      <c r="Z96" s="1117">
        <v>2</v>
      </c>
      <c r="AA96" s="1117">
        <v>5</v>
      </c>
      <c r="AB96" s="1116">
        <f>SUM(Y96:AA96)</f>
        <v>7</v>
      </c>
      <c r="AC96" s="1117">
        <v>1</v>
      </c>
      <c r="AD96" s="1117">
        <v>4</v>
      </c>
      <c r="AE96" s="1117">
        <v>7</v>
      </c>
      <c r="AF96" s="1116">
        <f>SUM(AC96:AE96)</f>
        <v>12</v>
      </c>
      <c r="AG96" s="1117">
        <v>10</v>
      </c>
      <c r="AH96" s="1117">
        <v>7</v>
      </c>
      <c r="AI96" s="1117">
        <v>7</v>
      </c>
      <c r="AJ96" s="1116">
        <f>SUM(AG96:AI96)</f>
        <v>24</v>
      </c>
      <c r="AK96" s="1117">
        <v>6</v>
      </c>
      <c r="AL96" s="1117">
        <v>2</v>
      </c>
      <c r="AM96" s="1117">
        <v>14</v>
      </c>
      <c r="AN96" s="1116">
        <f>SUM(AK96:AM96)</f>
        <v>22</v>
      </c>
      <c r="AO96" s="1117">
        <v>1</v>
      </c>
      <c r="AP96" s="1117">
        <v>7</v>
      </c>
      <c r="AQ96" s="1117">
        <v>4</v>
      </c>
      <c r="AR96" s="1118">
        <f t="shared" ref="AR96:AR103" si="60">SUM(AO96:AQ96)</f>
        <v>12</v>
      </c>
      <c r="AS96" s="1117">
        <v>2</v>
      </c>
      <c r="AT96" s="1117">
        <v>6</v>
      </c>
      <c r="AU96" s="1117">
        <v>9</v>
      </c>
      <c r="AV96" s="1118">
        <f t="shared" ref="AV96:AV105" si="61">SUM(AS96:AU96)</f>
        <v>17</v>
      </c>
      <c r="AW96" s="1117">
        <v>6</v>
      </c>
      <c r="AX96" s="1117">
        <v>6</v>
      </c>
      <c r="AY96" s="1117">
        <v>10</v>
      </c>
      <c r="AZ96" s="1118">
        <f t="shared" ref="AZ96:AZ103" si="62">AW96+AX96+AY96</f>
        <v>22</v>
      </c>
      <c r="BA96" s="1117">
        <v>7</v>
      </c>
      <c r="BB96" s="1117">
        <v>5</v>
      </c>
      <c r="BC96" s="1117">
        <v>12</v>
      </c>
      <c r="BD96" s="1118">
        <f t="shared" si="54"/>
        <v>24</v>
      </c>
      <c r="BE96" s="1117">
        <v>9</v>
      </c>
      <c r="BF96" s="1117">
        <v>11</v>
      </c>
      <c r="BG96" s="1117">
        <v>5</v>
      </c>
      <c r="BH96" s="1118">
        <f>BE96+BF96+BG96</f>
        <v>25</v>
      </c>
      <c r="BI96" s="1117">
        <v>4</v>
      </c>
      <c r="BJ96" s="1117">
        <v>6</v>
      </c>
      <c r="BK96" s="1117">
        <v>3</v>
      </c>
      <c r="BL96" s="1118">
        <f t="shared" ref="BL96:BL105" si="63">BI96+BJ96+BK96</f>
        <v>13</v>
      </c>
      <c r="BM96" s="1117">
        <v>5</v>
      </c>
      <c r="BN96" s="1117">
        <v>6</v>
      </c>
      <c r="BO96" s="1117">
        <v>7</v>
      </c>
      <c r="BP96" s="1118">
        <f t="shared" ref="BP96:BP105" si="64">BM96+BN96+BO96</f>
        <v>18</v>
      </c>
      <c r="BQ96" s="1117">
        <v>6</v>
      </c>
      <c r="BR96" s="1117">
        <v>6</v>
      </c>
      <c r="BS96" s="1117">
        <v>6</v>
      </c>
      <c r="BT96" s="1118">
        <f>BQ96+BR96+BS96</f>
        <v>18</v>
      </c>
      <c r="BU96" s="1117">
        <v>4</v>
      </c>
      <c r="BV96" s="1117">
        <v>1</v>
      </c>
      <c r="BW96" s="1117">
        <v>6</v>
      </c>
      <c r="BX96" s="1118">
        <f t="shared" ref="BX96:BX105" si="65">BU96+BV96+BW96</f>
        <v>11</v>
      </c>
      <c r="BY96" s="1117"/>
      <c r="BZ96" s="1117">
        <v>6</v>
      </c>
      <c r="CA96" s="1117">
        <v>3</v>
      </c>
      <c r="CB96" s="1118">
        <f t="shared" ref="CB96:CB105" si="66">BY96+BZ96+CA96</f>
        <v>9</v>
      </c>
    </row>
    <row r="97" spans="1:80" s="212" customFormat="1" ht="15" x14ac:dyDescent="0.25">
      <c r="A97" s="6238"/>
      <c r="B97" s="6195"/>
      <c r="C97" s="6241"/>
      <c r="D97" s="1103" t="s">
        <v>57</v>
      </c>
      <c r="E97" s="1122"/>
      <c r="F97" s="1119"/>
      <c r="G97" s="1119">
        <v>17</v>
      </c>
      <c r="H97" s="1120">
        <v>17</v>
      </c>
      <c r="I97" s="1122"/>
      <c r="J97" s="1119"/>
      <c r="K97" s="1119">
        <v>22</v>
      </c>
      <c r="L97" s="1120">
        <v>22</v>
      </c>
      <c r="M97" s="1122"/>
      <c r="N97" s="1119"/>
      <c r="O97" s="1119">
        <v>15</v>
      </c>
      <c r="P97" s="1120">
        <v>15</v>
      </c>
      <c r="Q97" s="1122"/>
      <c r="R97" s="1119"/>
      <c r="S97" s="1119">
        <v>13</v>
      </c>
      <c r="T97" s="1120">
        <v>13</v>
      </c>
      <c r="U97" s="1122"/>
      <c r="V97" s="1119"/>
      <c r="W97" s="1119">
        <v>17</v>
      </c>
      <c r="X97" s="1120">
        <f t="shared" si="59"/>
        <v>17</v>
      </c>
      <c r="Y97" s="1121"/>
      <c r="Z97" s="1121"/>
      <c r="AA97" s="1121">
        <v>15</v>
      </c>
      <c r="AB97" s="1120">
        <f>SUM(Y97:AA97)</f>
        <v>15</v>
      </c>
      <c r="AC97" s="1121"/>
      <c r="AD97" s="1121"/>
      <c r="AE97" s="1121">
        <v>8</v>
      </c>
      <c r="AF97" s="1120">
        <f>SUM(AC97:AE97)</f>
        <v>8</v>
      </c>
      <c r="AG97" s="1121"/>
      <c r="AH97" s="1121"/>
      <c r="AI97" s="1121"/>
      <c r="AJ97" s="1120"/>
      <c r="AK97" s="1121"/>
      <c r="AL97" s="1121">
        <v>17</v>
      </c>
      <c r="AM97" s="1121"/>
      <c r="AN97" s="1120">
        <f>SUM(AK97:AM97)</f>
        <v>17</v>
      </c>
      <c r="AO97" s="1121"/>
      <c r="AP97" s="1121"/>
      <c r="AQ97" s="1121">
        <v>10</v>
      </c>
      <c r="AR97" s="1106">
        <f t="shared" si="60"/>
        <v>10</v>
      </c>
      <c r="AS97" s="1121" t="s">
        <v>227</v>
      </c>
      <c r="AT97" s="1121" t="s">
        <v>227</v>
      </c>
      <c r="AU97" s="1121">
        <v>6</v>
      </c>
      <c r="AV97" s="1106">
        <f t="shared" si="61"/>
        <v>6</v>
      </c>
      <c r="AW97" s="1121"/>
      <c r="AX97" s="1121"/>
      <c r="AY97" s="1121">
        <v>7</v>
      </c>
      <c r="AZ97" s="1106">
        <f t="shared" si="62"/>
        <v>7</v>
      </c>
      <c r="BA97" s="1121"/>
      <c r="BB97" s="1121"/>
      <c r="BC97" s="1121">
        <v>11</v>
      </c>
      <c r="BD97" s="1106">
        <f>BA97+BB97+BC97</f>
        <v>11</v>
      </c>
      <c r="BE97" s="1121"/>
      <c r="BF97" s="1121"/>
      <c r="BG97" s="1121">
        <v>11</v>
      </c>
      <c r="BH97" s="1106">
        <f>BE97+BF97+BG97</f>
        <v>11</v>
      </c>
      <c r="BI97" s="1121"/>
      <c r="BJ97" s="1121"/>
      <c r="BK97" s="1121">
        <v>8</v>
      </c>
      <c r="BL97" s="1106">
        <f t="shared" si="63"/>
        <v>8</v>
      </c>
      <c r="BM97" s="1121"/>
      <c r="BN97" s="1121"/>
      <c r="BO97" s="1121">
        <v>3</v>
      </c>
      <c r="BP97" s="1106">
        <f t="shared" si="64"/>
        <v>3</v>
      </c>
      <c r="BQ97" s="1121"/>
      <c r="BR97" s="1121"/>
      <c r="BS97" s="1121"/>
      <c r="BT97" s="1106">
        <f>BQ97+BR97+BS97</f>
        <v>0</v>
      </c>
      <c r="BU97" s="1121"/>
      <c r="BV97" s="1121"/>
      <c r="BW97" s="1121">
        <v>5</v>
      </c>
      <c r="BX97" s="1106">
        <f t="shared" si="65"/>
        <v>5</v>
      </c>
      <c r="BY97" s="1121"/>
      <c r="BZ97" s="1121"/>
      <c r="CA97" s="1121">
        <v>4</v>
      </c>
      <c r="CB97" s="1106">
        <f t="shared" si="66"/>
        <v>4</v>
      </c>
    </row>
    <row r="98" spans="1:80" s="212" customFormat="1" ht="15" x14ac:dyDescent="0.25">
      <c r="A98" s="6238"/>
      <c r="B98" s="6195"/>
      <c r="C98" s="6242"/>
      <c r="D98" s="1113" t="s">
        <v>1466</v>
      </c>
      <c r="E98" s="1122"/>
      <c r="F98" s="1119"/>
      <c r="G98" s="1119"/>
      <c r="H98" s="1120"/>
      <c r="I98" s="1122"/>
      <c r="J98" s="1119"/>
      <c r="K98" s="1119"/>
      <c r="L98" s="1120"/>
      <c r="M98" s="1122"/>
      <c r="N98" s="1119"/>
      <c r="O98" s="1119"/>
      <c r="P98" s="1120"/>
      <c r="Q98" s="1122"/>
      <c r="R98" s="1119"/>
      <c r="S98" s="1119"/>
      <c r="T98" s="1120"/>
      <c r="U98" s="1122"/>
      <c r="V98" s="1119"/>
      <c r="W98" s="1119"/>
      <c r="X98" s="1120"/>
      <c r="Y98" s="1121"/>
      <c r="Z98" s="1121"/>
      <c r="AA98" s="1121"/>
      <c r="AB98" s="1120"/>
      <c r="AC98" s="1121"/>
      <c r="AD98" s="1121"/>
      <c r="AE98" s="1121"/>
      <c r="AF98" s="1120"/>
      <c r="AG98" s="1121"/>
      <c r="AH98" s="1121"/>
      <c r="AI98" s="1121"/>
      <c r="AJ98" s="1120"/>
      <c r="AK98" s="1121"/>
      <c r="AL98" s="1121"/>
      <c r="AM98" s="1121"/>
      <c r="AN98" s="1120"/>
      <c r="AO98" s="1121"/>
      <c r="AP98" s="1121"/>
      <c r="AQ98" s="1121"/>
      <c r="AR98" s="1106"/>
      <c r="AS98" s="1121"/>
      <c r="AT98" s="1121"/>
      <c r="AU98" s="1121"/>
      <c r="AV98" s="1106"/>
      <c r="AW98" s="1121"/>
      <c r="AX98" s="1121"/>
      <c r="AY98" s="1121"/>
      <c r="AZ98" s="1106"/>
      <c r="BA98" s="1121"/>
      <c r="BB98" s="1121"/>
      <c r="BC98" s="1121"/>
      <c r="BD98" s="1106"/>
      <c r="BE98" s="1121"/>
      <c r="BF98" s="1121"/>
      <c r="BG98" s="1121"/>
      <c r="BH98" s="1106"/>
      <c r="BI98" s="1121"/>
      <c r="BJ98" s="1121"/>
      <c r="BK98" s="1121"/>
      <c r="BL98" s="1106"/>
      <c r="BM98" s="1121"/>
      <c r="BN98" s="1121"/>
      <c r="BO98" s="1121"/>
      <c r="BP98" s="1106"/>
      <c r="BQ98" s="1121"/>
      <c r="BR98" s="1121"/>
      <c r="BS98" s="1121"/>
      <c r="BT98" s="1106"/>
      <c r="BU98" s="1121"/>
      <c r="BV98" s="1121">
        <v>1</v>
      </c>
      <c r="BW98" s="1121"/>
      <c r="BX98" s="1106">
        <f t="shared" si="65"/>
        <v>1</v>
      </c>
      <c r="BY98" s="1121"/>
      <c r="BZ98" s="1121"/>
      <c r="CA98" s="1121"/>
      <c r="CB98" s="1106">
        <f t="shared" si="66"/>
        <v>0</v>
      </c>
    </row>
    <row r="99" spans="1:80" s="212" customFormat="1" ht="15" x14ac:dyDescent="0.25">
      <c r="A99" s="6238"/>
      <c r="B99" s="6195"/>
      <c r="C99" s="6243" t="s">
        <v>521</v>
      </c>
      <c r="D99" s="1107" t="s">
        <v>1632</v>
      </c>
      <c r="E99" s="1122"/>
      <c r="F99" s="1119"/>
      <c r="G99" s="1119">
        <v>20</v>
      </c>
      <c r="H99" s="1120">
        <v>20</v>
      </c>
      <c r="I99" s="1122"/>
      <c r="J99" s="1119"/>
      <c r="K99" s="1119">
        <v>20</v>
      </c>
      <c r="L99" s="1120">
        <v>20</v>
      </c>
      <c r="M99" s="1122"/>
      <c r="N99" s="1119"/>
      <c r="O99" s="1119">
        <v>28</v>
      </c>
      <c r="P99" s="1120">
        <v>28</v>
      </c>
      <c r="Q99" s="1122"/>
      <c r="R99" s="1119"/>
      <c r="S99" s="1119">
        <v>35</v>
      </c>
      <c r="T99" s="1120">
        <v>35</v>
      </c>
      <c r="U99" s="1122"/>
      <c r="V99" s="1119"/>
      <c r="W99" s="1119">
        <v>23</v>
      </c>
      <c r="X99" s="1120">
        <f t="shared" si="59"/>
        <v>23</v>
      </c>
      <c r="Y99" s="1121"/>
      <c r="Z99" s="1121"/>
      <c r="AA99" s="1121">
        <v>3</v>
      </c>
      <c r="AB99" s="1120">
        <f>SUM(Y99:AA99)</f>
        <v>3</v>
      </c>
      <c r="AC99" s="1121"/>
      <c r="AD99" s="1121"/>
      <c r="AE99" s="1121">
        <v>14</v>
      </c>
      <c r="AF99" s="1120">
        <f>SUM(AC99:AE99)</f>
        <v>14</v>
      </c>
      <c r="AG99" s="1121"/>
      <c r="AH99" s="1121"/>
      <c r="AI99" s="1121">
        <v>20</v>
      </c>
      <c r="AJ99" s="1120">
        <f>SUM(AG99:AI99)</f>
        <v>20</v>
      </c>
      <c r="AK99" s="1121"/>
      <c r="AL99" s="1121"/>
      <c r="AM99" s="1121">
        <v>27</v>
      </c>
      <c r="AN99" s="1120">
        <f>SUM(AK99:AM99)</f>
        <v>27</v>
      </c>
      <c r="AO99" s="1121"/>
      <c r="AP99" s="1121"/>
      <c r="AQ99" s="1121">
        <v>16</v>
      </c>
      <c r="AR99" s="1106">
        <f t="shared" si="60"/>
        <v>16</v>
      </c>
      <c r="AS99" s="1121" t="s">
        <v>227</v>
      </c>
      <c r="AT99" s="1121" t="s">
        <v>227</v>
      </c>
      <c r="AU99" s="1121">
        <v>22</v>
      </c>
      <c r="AV99" s="1106">
        <f t="shared" si="61"/>
        <v>22</v>
      </c>
      <c r="AW99" s="1121"/>
      <c r="AX99" s="1121"/>
      <c r="AY99" s="1121">
        <v>15</v>
      </c>
      <c r="AZ99" s="1106">
        <f t="shared" si="62"/>
        <v>15</v>
      </c>
      <c r="BA99" s="1121"/>
      <c r="BB99" s="1121"/>
      <c r="BC99" s="1121">
        <v>24</v>
      </c>
      <c r="BD99" s="1106">
        <f t="shared" si="54"/>
        <v>24</v>
      </c>
      <c r="BE99" s="1121"/>
      <c r="BF99" s="1121"/>
      <c r="BG99" s="1121">
        <v>16</v>
      </c>
      <c r="BH99" s="1106">
        <f t="shared" ref="BH99:BH105" si="67">BE99+BF99+BG99</f>
        <v>16</v>
      </c>
      <c r="BI99" s="1121"/>
      <c r="BJ99" s="1121"/>
      <c r="BK99" s="1121">
        <v>27</v>
      </c>
      <c r="BL99" s="1106">
        <f t="shared" si="63"/>
        <v>27</v>
      </c>
      <c r="BM99" s="1121"/>
      <c r="BN99" s="1121"/>
      <c r="BO99" s="1121">
        <v>19</v>
      </c>
      <c r="BP99" s="1106">
        <f t="shared" si="64"/>
        <v>19</v>
      </c>
      <c r="BQ99" s="1121"/>
      <c r="BR99" s="1121"/>
      <c r="BS99" s="1121">
        <v>15</v>
      </c>
      <c r="BT99" s="1106">
        <f t="shared" ref="BT99:BT105" si="68">BQ99+BR99+BS99</f>
        <v>15</v>
      </c>
      <c r="BU99" s="1121"/>
      <c r="BV99" s="1121"/>
      <c r="BW99" s="1121">
        <v>15</v>
      </c>
      <c r="BX99" s="1106">
        <f t="shared" si="65"/>
        <v>15</v>
      </c>
      <c r="BY99" s="1121"/>
      <c r="BZ99" s="1121"/>
      <c r="CA99" s="1121">
        <v>16</v>
      </c>
      <c r="CB99" s="1106">
        <f t="shared" si="66"/>
        <v>16</v>
      </c>
    </row>
    <row r="100" spans="1:80" s="212" customFormat="1" ht="15" x14ac:dyDescent="0.25">
      <c r="A100" s="6238"/>
      <c r="B100" s="6195"/>
      <c r="C100" s="6241"/>
      <c r="D100" s="1107" t="s">
        <v>552</v>
      </c>
      <c r="E100" s="1122">
        <v>14</v>
      </c>
      <c r="F100" s="1119"/>
      <c r="G100" s="1119"/>
      <c r="H100" s="1120">
        <v>14</v>
      </c>
      <c r="I100" s="1122">
        <v>20</v>
      </c>
      <c r="J100" s="1119"/>
      <c r="K100" s="1119"/>
      <c r="L100" s="1120">
        <v>20</v>
      </c>
      <c r="M100" s="1122">
        <v>15</v>
      </c>
      <c r="N100" s="1119"/>
      <c r="O100" s="1119"/>
      <c r="P100" s="1120">
        <v>15</v>
      </c>
      <c r="Q100" s="1122">
        <v>12</v>
      </c>
      <c r="R100" s="1119"/>
      <c r="S100" s="1119">
        <v>1</v>
      </c>
      <c r="T100" s="1120">
        <v>13</v>
      </c>
      <c r="U100" s="1122">
        <v>6</v>
      </c>
      <c r="V100" s="1119"/>
      <c r="W100" s="1119"/>
      <c r="X100" s="1120">
        <f t="shared" si="59"/>
        <v>6</v>
      </c>
      <c r="Y100" s="1121">
        <v>6</v>
      </c>
      <c r="Z100" s="1121"/>
      <c r="AA100" s="1121"/>
      <c r="AB100" s="1120">
        <f>SUM(Y100:AA100)</f>
        <v>6</v>
      </c>
      <c r="AC100" s="1121">
        <v>4</v>
      </c>
      <c r="AD100" s="1121"/>
      <c r="AE100" s="1121">
        <v>6</v>
      </c>
      <c r="AF100" s="1120">
        <f>SUM(AC100:AE100)</f>
        <v>10</v>
      </c>
      <c r="AG100" s="1121"/>
      <c r="AH100" s="1121"/>
      <c r="AI100" s="1121">
        <v>7</v>
      </c>
      <c r="AJ100" s="1120">
        <f>SUM(AG100:AI100)</f>
        <v>7</v>
      </c>
      <c r="AK100" s="1121"/>
      <c r="AL100" s="1121"/>
      <c r="AM100" s="1121">
        <v>17</v>
      </c>
      <c r="AN100" s="1120">
        <f>SUM(AK100:AM100)</f>
        <v>17</v>
      </c>
      <c r="AO100" s="1121"/>
      <c r="AP100" s="1121"/>
      <c r="AQ100" s="1121">
        <v>14</v>
      </c>
      <c r="AR100" s="1106">
        <f t="shared" si="60"/>
        <v>14</v>
      </c>
      <c r="AS100" s="1121" t="s">
        <v>227</v>
      </c>
      <c r="AT100" s="1121" t="s">
        <v>227</v>
      </c>
      <c r="AU100" s="1121">
        <v>23</v>
      </c>
      <c r="AV100" s="1106">
        <f t="shared" si="61"/>
        <v>23</v>
      </c>
      <c r="AW100" s="1121"/>
      <c r="AX100" s="1121"/>
      <c r="AY100" s="1121">
        <v>19</v>
      </c>
      <c r="AZ100" s="1106">
        <f t="shared" si="62"/>
        <v>19</v>
      </c>
      <c r="BA100" s="1121"/>
      <c r="BB100" s="1121"/>
      <c r="BC100" s="1121">
        <v>18</v>
      </c>
      <c r="BD100" s="1106">
        <f>BA100+BB100+BC100</f>
        <v>18</v>
      </c>
      <c r="BE100" s="1121"/>
      <c r="BF100" s="1121"/>
      <c r="BG100" s="1121">
        <v>19</v>
      </c>
      <c r="BH100" s="1106">
        <f t="shared" si="67"/>
        <v>19</v>
      </c>
      <c r="BI100" s="1121"/>
      <c r="BJ100" s="1121"/>
      <c r="BK100" s="1121">
        <v>17</v>
      </c>
      <c r="BL100" s="1106">
        <f t="shared" si="63"/>
        <v>17</v>
      </c>
      <c r="BM100" s="1121"/>
      <c r="BN100" s="1121"/>
      <c r="BO100" s="1121">
        <v>17</v>
      </c>
      <c r="BP100" s="1106">
        <f t="shared" si="64"/>
        <v>17</v>
      </c>
      <c r="BQ100" s="1121"/>
      <c r="BR100" s="1121"/>
      <c r="BS100" s="1121">
        <v>14</v>
      </c>
      <c r="BT100" s="1106">
        <f t="shared" si="68"/>
        <v>14</v>
      </c>
      <c r="BU100" s="1121"/>
      <c r="BV100" s="1121"/>
      <c r="BW100" s="1121">
        <v>14</v>
      </c>
      <c r="BX100" s="1106">
        <f t="shared" si="65"/>
        <v>14</v>
      </c>
      <c r="BY100" s="1121"/>
      <c r="BZ100" s="1121"/>
      <c r="CA100" s="1121">
        <v>9</v>
      </c>
      <c r="CB100" s="1106">
        <f t="shared" si="66"/>
        <v>9</v>
      </c>
    </row>
    <row r="101" spans="1:80" s="212" customFormat="1" ht="15" x14ac:dyDescent="0.25">
      <c r="A101" s="6238"/>
      <c r="B101" s="6195"/>
      <c r="C101" s="6241"/>
      <c r="D101" s="1103" t="s">
        <v>384</v>
      </c>
      <c r="E101" s="1122">
        <v>7</v>
      </c>
      <c r="F101" s="1119"/>
      <c r="G101" s="1119"/>
      <c r="H101" s="1120">
        <v>7</v>
      </c>
      <c r="I101" s="1122">
        <v>12</v>
      </c>
      <c r="J101" s="1119"/>
      <c r="K101" s="1119"/>
      <c r="L101" s="1120">
        <v>12</v>
      </c>
      <c r="M101" s="1122">
        <v>1</v>
      </c>
      <c r="N101" s="1119"/>
      <c r="O101" s="1119"/>
      <c r="P101" s="1120">
        <v>1</v>
      </c>
      <c r="Q101" s="1122"/>
      <c r="R101" s="1119"/>
      <c r="S101" s="1119"/>
      <c r="T101" s="1120"/>
      <c r="U101" s="1122"/>
      <c r="V101" s="1119"/>
      <c r="W101" s="1119"/>
      <c r="X101" s="1120"/>
      <c r="Y101" s="1121"/>
      <c r="Z101" s="1121"/>
      <c r="AA101" s="1121"/>
      <c r="AB101" s="1120"/>
      <c r="AC101" s="1121"/>
      <c r="AD101" s="1121"/>
      <c r="AE101" s="1121">
        <v>0</v>
      </c>
      <c r="AF101" s="1120"/>
      <c r="AG101" s="1121"/>
      <c r="AH101" s="1121"/>
      <c r="AI101" s="1121"/>
      <c r="AJ101" s="1120"/>
      <c r="AK101" s="1121"/>
      <c r="AL101" s="1121"/>
      <c r="AM101" s="1121"/>
      <c r="AN101" s="1120"/>
      <c r="AO101" s="1121"/>
      <c r="AP101" s="1121"/>
      <c r="AQ101" s="1121"/>
      <c r="AR101" s="1106"/>
      <c r="AS101" s="1121"/>
      <c r="AT101" s="1121"/>
      <c r="AU101" s="1121"/>
      <c r="AV101" s="1106">
        <f>SUM(AS101:AU101)</f>
        <v>0</v>
      </c>
      <c r="AW101" s="1121"/>
      <c r="AX101" s="1121"/>
      <c r="AY101" s="1121"/>
      <c r="AZ101" s="1106"/>
      <c r="BA101" s="1121"/>
      <c r="BB101" s="1121"/>
      <c r="BC101" s="1121"/>
      <c r="BD101" s="1106"/>
      <c r="BE101" s="1121">
        <v>8</v>
      </c>
      <c r="BF101" s="1121"/>
      <c r="BG101" s="1121">
        <v>8</v>
      </c>
      <c r="BH101" s="1106">
        <f t="shared" si="67"/>
        <v>16</v>
      </c>
      <c r="BI101" s="1121"/>
      <c r="BJ101" s="1121"/>
      <c r="BK101" s="1121">
        <v>10</v>
      </c>
      <c r="BL101" s="1106">
        <f>BI101+BJ101+BK101</f>
        <v>10</v>
      </c>
      <c r="BM101" s="1121"/>
      <c r="BN101" s="1121"/>
      <c r="BO101" s="1121">
        <v>15</v>
      </c>
      <c r="BP101" s="1106">
        <f>BM101+BN101+BO101</f>
        <v>15</v>
      </c>
      <c r="BQ101" s="1121"/>
      <c r="BR101" s="1121"/>
      <c r="BS101" s="1121">
        <v>14</v>
      </c>
      <c r="BT101" s="1106">
        <f t="shared" si="68"/>
        <v>14</v>
      </c>
      <c r="BU101" s="1121"/>
      <c r="BV101" s="1121"/>
      <c r="BW101" s="1121">
        <v>13</v>
      </c>
      <c r="BX101" s="1106">
        <f t="shared" si="65"/>
        <v>13</v>
      </c>
      <c r="BY101" s="1121"/>
      <c r="BZ101" s="1121"/>
      <c r="CA101" s="1121">
        <v>15</v>
      </c>
      <c r="CB101" s="1106">
        <f t="shared" si="66"/>
        <v>15</v>
      </c>
    </row>
    <row r="102" spans="1:80" s="212" customFormat="1" ht="15" x14ac:dyDescent="0.25">
      <c r="A102" s="6238"/>
      <c r="B102" s="6195"/>
      <c r="C102" s="6242"/>
      <c r="D102" s="1103" t="s">
        <v>87</v>
      </c>
      <c r="E102" s="1122"/>
      <c r="F102" s="1119"/>
      <c r="G102" s="1119"/>
      <c r="H102" s="1120"/>
      <c r="I102" s="1122"/>
      <c r="J102" s="1119"/>
      <c r="K102" s="1119"/>
      <c r="L102" s="1120"/>
      <c r="M102" s="1122"/>
      <c r="N102" s="1119"/>
      <c r="O102" s="1119">
        <v>23</v>
      </c>
      <c r="P102" s="1120">
        <v>23</v>
      </c>
      <c r="Q102" s="1122"/>
      <c r="R102" s="1119"/>
      <c r="S102" s="1119">
        <v>25</v>
      </c>
      <c r="T102" s="1120">
        <v>25</v>
      </c>
      <c r="U102" s="1122"/>
      <c r="V102" s="1119"/>
      <c r="W102" s="1119">
        <v>8</v>
      </c>
      <c r="X102" s="1120">
        <f t="shared" si="59"/>
        <v>8</v>
      </c>
      <c r="Y102" s="1121"/>
      <c r="Z102" s="1121"/>
      <c r="AA102" s="1121">
        <v>9</v>
      </c>
      <c r="AB102" s="1120">
        <f>SUM(Y102:AA102)</f>
        <v>9</v>
      </c>
      <c r="AC102" s="1121"/>
      <c r="AD102" s="1121"/>
      <c r="AE102" s="1121">
        <v>9</v>
      </c>
      <c r="AF102" s="1120">
        <f>SUM(AC102:AE102)</f>
        <v>9</v>
      </c>
      <c r="AG102" s="1121"/>
      <c r="AH102" s="1121"/>
      <c r="AI102" s="1121">
        <v>9</v>
      </c>
      <c r="AJ102" s="1120">
        <f>SUM(AG102:AI102)</f>
        <v>9</v>
      </c>
      <c r="AK102" s="1121"/>
      <c r="AL102" s="1121"/>
      <c r="AM102" s="1121">
        <v>12</v>
      </c>
      <c r="AN102" s="1120">
        <f>SUM(AK102:AM102)</f>
        <v>12</v>
      </c>
      <c r="AO102" s="1121"/>
      <c r="AP102" s="1121"/>
      <c r="AQ102" s="1121">
        <v>22</v>
      </c>
      <c r="AR102" s="1106">
        <f t="shared" si="60"/>
        <v>22</v>
      </c>
      <c r="AS102" s="1121" t="s">
        <v>227</v>
      </c>
      <c r="AT102" s="1121" t="s">
        <v>227</v>
      </c>
      <c r="AU102" s="1121">
        <v>12</v>
      </c>
      <c r="AV102" s="1106">
        <f t="shared" si="61"/>
        <v>12</v>
      </c>
      <c r="AW102" s="1121"/>
      <c r="AX102" s="1121"/>
      <c r="AY102" s="1121">
        <v>12</v>
      </c>
      <c r="AZ102" s="1106">
        <f t="shared" si="62"/>
        <v>12</v>
      </c>
      <c r="BA102" s="1121"/>
      <c r="BB102" s="1121"/>
      <c r="BC102" s="1121">
        <v>27</v>
      </c>
      <c r="BD102" s="1106">
        <f>BA102+BB102+BC102</f>
        <v>27</v>
      </c>
      <c r="BE102" s="1121"/>
      <c r="BF102" s="1121"/>
      <c r="BG102" s="1121">
        <v>11</v>
      </c>
      <c r="BH102" s="1106">
        <f t="shared" si="67"/>
        <v>11</v>
      </c>
      <c r="BI102" s="1121"/>
      <c r="BJ102" s="1121"/>
      <c r="BK102" s="1121">
        <v>24</v>
      </c>
      <c r="BL102" s="1106">
        <f t="shared" si="63"/>
        <v>24</v>
      </c>
      <c r="BM102" s="1121"/>
      <c r="BN102" s="1121"/>
      <c r="BO102" s="1121">
        <v>18</v>
      </c>
      <c r="BP102" s="1106">
        <f t="shared" si="64"/>
        <v>18</v>
      </c>
      <c r="BQ102" s="1121"/>
      <c r="BR102" s="1121"/>
      <c r="BS102" s="1121">
        <v>23</v>
      </c>
      <c r="BT102" s="1106">
        <f t="shared" si="68"/>
        <v>23</v>
      </c>
      <c r="BU102" s="1121"/>
      <c r="BV102" s="1121"/>
      <c r="BW102" s="1121">
        <v>14</v>
      </c>
      <c r="BX102" s="1106">
        <f t="shared" si="65"/>
        <v>14</v>
      </c>
      <c r="BY102" s="1121"/>
      <c r="BZ102" s="1121"/>
      <c r="CA102" s="1121">
        <v>12</v>
      </c>
      <c r="CB102" s="1106">
        <f t="shared" si="66"/>
        <v>12</v>
      </c>
    </row>
    <row r="103" spans="1:80" s="212" customFormat="1" ht="15" x14ac:dyDescent="0.25">
      <c r="A103" s="6238"/>
      <c r="B103" s="6195"/>
      <c r="C103" s="6243" t="s">
        <v>520</v>
      </c>
      <c r="D103" s="1107" t="s">
        <v>551</v>
      </c>
      <c r="E103" s="1122">
        <v>4</v>
      </c>
      <c r="F103" s="1119"/>
      <c r="G103" s="1119">
        <v>1</v>
      </c>
      <c r="H103" s="1120">
        <v>5</v>
      </c>
      <c r="I103" s="1122">
        <v>7</v>
      </c>
      <c r="J103" s="1119">
        <v>2</v>
      </c>
      <c r="K103" s="1119">
        <v>6</v>
      </c>
      <c r="L103" s="1120">
        <v>15</v>
      </c>
      <c r="M103" s="1122">
        <v>3</v>
      </c>
      <c r="N103" s="1119">
        <v>2</v>
      </c>
      <c r="O103" s="1119">
        <v>3</v>
      </c>
      <c r="P103" s="1120">
        <v>8</v>
      </c>
      <c r="Q103" s="1122">
        <v>5</v>
      </c>
      <c r="R103" s="1119">
        <v>1</v>
      </c>
      <c r="S103" s="1119">
        <v>8</v>
      </c>
      <c r="T103" s="1120">
        <v>14</v>
      </c>
      <c r="U103" s="1122">
        <v>1</v>
      </c>
      <c r="V103" s="1119"/>
      <c r="W103" s="1119">
        <v>3</v>
      </c>
      <c r="X103" s="1120">
        <f t="shared" si="59"/>
        <v>4</v>
      </c>
      <c r="Y103" s="1121">
        <v>4</v>
      </c>
      <c r="Z103" s="1121"/>
      <c r="AA103" s="1121">
        <v>17</v>
      </c>
      <c r="AB103" s="1120">
        <f>SUM(Y103:AA103)</f>
        <v>21</v>
      </c>
      <c r="AC103" s="1121">
        <v>11</v>
      </c>
      <c r="AD103" s="1121"/>
      <c r="AE103" s="1121">
        <v>8</v>
      </c>
      <c r="AF103" s="1120">
        <f>SUM(AC103:AE103)</f>
        <v>19</v>
      </c>
      <c r="AG103" s="1121">
        <v>9</v>
      </c>
      <c r="AH103" s="1121"/>
      <c r="AI103" s="1121">
        <v>6</v>
      </c>
      <c r="AJ103" s="1120">
        <f>SUM(AG103:AI103)</f>
        <v>15</v>
      </c>
      <c r="AK103" s="1121">
        <v>3</v>
      </c>
      <c r="AL103" s="1121"/>
      <c r="AM103" s="1121">
        <v>1</v>
      </c>
      <c r="AN103" s="1120">
        <f>SUM(AK103:AM103)</f>
        <v>4</v>
      </c>
      <c r="AO103" s="1121">
        <v>2</v>
      </c>
      <c r="AP103" s="1121"/>
      <c r="AQ103" s="1121">
        <v>7</v>
      </c>
      <c r="AR103" s="1106">
        <f t="shared" si="60"/>
        <v>9</v>
      </c>
      <c r="AS103" s="1121">
        <v>6</v>
      </c>
      <c r="AT103" s="1121" t="s">
        <v>227</v>
      </c>
      <c r="AU103" s="1121">
        <v>2</v>
      </c>
      <c r="AV103" s="1106">
        <f t="shared" si="61"/>
        <v>8</v>
      </c>
      <c r="AW103" s="1121">
        <v>17</v>
      </c>
      <c r="AX103" s="1121"/>
      <c r="AY103" s="1121">
        <v>9</v>
      </c>
      <c r="AZ103" s="1106">
        <f t="shared" si="62"/>
        <v>26</v>
      </c>
      <c r="BA103" s="1121">
        <v>3</v>
      </c>
      <c r="BB103" s="1121"/>
      <c r="BC103" s="1121">
        <v>21</v>
      </c>
      <c r="BD103" s="1106">
        <f t="shared" si="54"/>
        <v>24</v>
      </c>
      <c r="BE103" s="1121">
        <v>6</v>
      </c>
      <c r="BF103" s="1121"/>
      <c r="BG103" s="1121">
        <v>17</v>
      </c>
      <c r="BH103" s="1106">
        <f t="shared" si="67"/>
        <v>23</v>
      </c>
      <c r="BI103" s="1121">
        <v>6</v>
      </c>
      <c r="BJ103" s="1121"/>
      <c r="BK103" s="1121">
        <v>12</v>
      </c>
      <c r="BL103" s="1106">
        <f t="shared" si="63"/>
        <v>18</v>
      </c>
      <c r="BM103" s="1121">
        <v>11</v>
      </c>
      <c r="BN103" s="1121"/>
      <c r="BO103" s="1121">
        <v>9</v>
      </c>
      <c r="BP103" s="1106">
        <f t="shared" si="64"/>
        <v>20</v>
      </c>
      <c r="BQ103" s="1121">
        <v>7</v>
      </c>
      <c r="BR103" s="1121"/>
      <c r="BS103" s="1121">
        <v>19</v>
      </c>
      <c r="BT103" s="1106">
        <f t="shared" si="68"/>
        <v>26</v>
      </c>
      <c r="BU103" s="1121">
        <v>3</v>
      </c>
      <c r="BV103" s="1121"/>
      <c r="BW103" s="1121">
        <v>8</v>
      </c>
      <c r="BX103" s="1106">
        <f t="shared" si="65"/>
        <v>11</v>
      </c>
      <c r="BY103" s="1121">
        <v>11</v>
      </c>
      <c r="BZ103" s="1121"/>
      <c r="CA103" s="1121">
        <v>14</v>
      </c>
      <c r="CB103" s="1106">
        <f t="shared" si="66"/>
        <v>25</v>
      </c>
    </row>
    <row r="104" spans="1:80" s="212" customFormat="1" ht="15" x14ac:dyDescent="0.25">
      <c r="A104" s="6238"/>
      <c r="B104" s="6195"/>
      <c r="C104" s="6241"/>
      <c r="D104" s="1107" t="s">
        <v>552</v>
      </c>
      <c r="E104" s="1122"/>
      <c r="F104" s="1119"/>
      <c r="G104" s="1119"/>
      <c r="H104" s="1120"/>
      <c r="I104" s="1122"/>
      <c r="J104" s="1119"/>
      <c r="K104" s="1119"/>
      <c r="L104" s="1120"/>
      <c r="M104" s="1122"/>
      <c r="N104" s="1119"/>
      <c r="O104" s="1119">
        <v>4</v>
      </c>
      <c r="P104" s="1120">
        <v>4</v>
      </c>
      <c r="Q104" s="1122">
        <v>5</v>
      </c>
      <c r="R104" s="1119"/>
      <c r="S104" s="1119"/>
      <c r="T104" s="1120">
        <v>5</v>
      </c>
      <c r="U104" s="1122">
        <v>11</v>
      </c>
      <c r="V104" s="1119"/>
      <c r="W104" s="1119"/>
      <c r="X104" s="1120">
        <f>SUM(U104:W104)</f>
        <v>11</v>
      </c>
      <c r="Y104" s="1121">
        <v>5</v>
      </c>
      <c r="Z104" s="1121"/>
      <c r="AA104" s="1121"/>
      <c r="AB104" s="1120">
        <f>SUM(Y104:AA104)</f>
        <v>5</v>
      </c>
      <c r="AC104" s="1121">
        <v>9</v>
      </c>
      <c r="AD104" s="1121"/>
      <c r="AE104" s="1121">
        <v>3</v>
      </c>
      <c r="AF104" s="1120">
        <f>SUM(AC104:AE104)</f>
        <v>12</v>
      </c>
      <c r="AG104" s="1121"/>
      <c r="AH104" s="1121"/>
      <c r="AI104" s="1121">
        <v>1</v>
      </c>
      <c r="AJ104" s="1120">
        <f>SUM(AG104:AI104)</f>
        <v>1</v>
      </c>
      <c r="AK104" s="1121">
        <v>5</v>
      </c>
      <c r="AL104" s="1121"/>
      <c r="AM104" s="1121">
        <v>1</v>
      </c>
      <c r="AN104" s="1120">
        <f>SUM(AK104:AM104)</f>
        <v>6</v>
      </c>
      <c r="AO104" s="1121">
        <v>3</v>
      </c>
      <c r="AP104" s="1121"/>
      <c r="AQ104" s="1121">
        <v>3</v>
      </c>
      <c r="AR104" s="1106">
        <f>SUM(AO104:AQ104)</f>
        <v>6</v>
      </c>
      <c r="AS104" s="1121">
        <v>5</v>
      </c>
      <c r="AT104" s="1121" t="s">
        <v>227</v>
      </c>
      <c r="AU104" s="1121">
        <v>3</v>
      </c>
      <c r="AV104" s="1106">
        <f t="shared" si="61"/>
        <v>8</v>
      </c>
      <c r="AW104" s="1121">
        <v>2</v>
      </c>
      <c r="AX104" s="1121"/>
      <c r="AY104" s="1121">
        <v>6</v>
      </c>
      <c r="AZ104" s="1106">
        <f>AW104+AX104+AY104</f>
        <v>8</v>
      </c>
      <c r="BA104" s="1121">
        <v>4</v>
      </c>
      <c r="BB104" s="1121"/>
      <c r="BC104" s="1121">
        <v>8</v>
      </c>
      <c r="BD104" s="1106">
        <f>BA104+BB104+BC104</f>
        <v>12</v>
      </c>
      <c r="BE104" s="1121">
        <v>9</v>
      </c>
      <c r="BF104" s="1121"/>
      <c r="BG104" s="1121">
        <v>4</v>
      </c>
      <c r="BH104" s="1106">
        <f t="shared" si="67"/>
        <v>13</v>
      </c>
      <c r="BI104" s="1121">
        <v>10</v>
      </c>
      <c r="BJ104" s="1121"/>
      <c r="BK104" s="1121">
        <v>4</v>
      </c>
      <c r="BL104" s="1106">
        <f t="shared" si="63"/>
        <v>14</v>
      </c>
      <c r="BM104" s="1121">
        <v>6</v>
      </c>
      <c r="BN104" s="1121"/>
      <c r="BO104" s="1121">
        <v>7</v>
      </c>
      <c r="BP104" s="1106">
        <f t="shared" si="64"/>
        <v>13</v>
      </c>
      <c r="BQ104" s="1121">
        <v>4</v>
      </c>
      <c r="BR104" s="1121"/>
      <c r="BS104" s="1121">
        <v>5</v>
      </c>
      <c r="BT104" s="1106">
        <f t="shared" si="68"/>
        <v>9</v>
      </c>
      <c r="BU104" s="1121">
        <v>3</v>
      </c>
      <c r="BV104" s="1121"/>
      <c r="BW104" s="1121">
        <v>5</v>
      </c>
      <c r="BX104" s="1106">
        <f t="shared" si="65"/>
        <v>8</v>
      </c>
      <c r="BY104" s="1121">
        <v>9</v>
      </c>
      <c r="BZ104" s="1121"/>
      <c r="CA104" s="1121">
        <v>5</v>
      </c>
      <c r="CB104" s="1106">
        <f t="shared" si="66"/>
        <v>14</v>
      </c>
    </row>
    <row r="105" spans="1:80" s="212" customFormat="1" ht="15" x14ac:dyDescent="0.25">
      <c r="A105" s="6238"/>
      <c r="B105" s="6195"/>
      <c r="C105" s="6241"/>
      <c r="D105" s="1107" t="s">
        <v>359</v>
      </c>
      <c r="E105" s="1104"/>
      <c r="F105" s="1105"/>
      <c r="G105" s="1105">
        <v>22</v>
      </c>
      <c r="H105" s="1106">
        <v>22</v>
      </c>
      <c r="I105" s="1104"/>
      <c r="J105" s="1105"/>
      <c r="K105" s="1105">
        <v>10</v>
      </c>
      <c r="L105" s="1106">
        <v>10</v>
      </c>
      <c r="M105" s="1104"/>
      <c r="N105" s="1105"/>
      <c r="O105" s="1105">
        <v>13</v>
      </c>
      <c r="P105" s="1106">
        <v>13</v>
      </c>
      <c r="Q105" s="1104">
        <v>5</v>
      </c>
      <c r="R105" s="1105"/>
      <c r="S105" s="1105">
        <v>11</v>
      </c>
      <c r="T105" s="1106">
        <v>16</v>
      </c>
      <c r="U105" s="1104">
        <v>4</v>
      </c>
      <c r="V105" s="1105"/>
      <c r="W105" s="1105">
        <v>4</v>
      </c>
      <c r="X105" s="1106">
        <f>SUM(U105:W105)</f>
        <v>8</v>
      </c>
      <c r="Y105" s="1105">
        <v>7</v>
      </c>
      <c r="Z105" s="1105"/>
      <c r="AA105" s="1105">
        <v>5</v>
      </c>
      <c r="AB105" s="1106">
        <f>SUM(Y105:AA105)</f>
        <v>12</v>
      </c>
      <c r="AC105" s="1105">
        <v>11</v>
      </c>
      <c r="AD105" s="1105"/>
      <c r="AE105" s="1105">
        <v>2</v>
      </c>
      <c r="AF105" s="1106">
        <f>SUM(AC105:AE105)</f>
        <v>13</v>
      </c>
      <c r="AG105" s="1105">
        <v>3</v>
      </c>
      <c r="AH105" s="1105"/>
      <c r="AI105" s="1105">
        <v>1</v>
      </c>
      <c r="AJ105" s="1106">
        <f>SUM(AG105:AI105)</f>
        <v>4</v>
      </c>
      <c r="AK105" s="1105">
        <v>2</v>
      </c>
      <c r="AL105" s="1105"/>
      <c r="AM105" s="1105">
        <v>5</v>
      </c>
      <c r="AN105" s="1106">
        <f>SUM(AK105:AM105)</f>
        <v>7</v>
      </c>
      <c r="AO105" s="1105">
        <v>3</v>
      </c>
      <c r="AP105" s="1105"/>
      <c r="AQ105" s="1105">
        <v>10</v>
      </c>
      <c r="AR105" s="1106">
        <f>SUM(AO105:AQ105)</f>
        <v>13</v>
      </c>
      <c r="AS105" s="1105" t="s">
        <v>227</v>
      </c>
      <c r="AT105" s="1105" t="s">
        <v>227</v>
      </c>
      <c r="AU105" s="1105">
        <v>11</v>
      </c>
      <c r="AV105" s="1106">
        <f t="shared" si="61"/>
        <v>11</v>
      </c>
      <c r="AW105" s="1105">
        <v>8</v>
      </c>
      <c r="AX105" s="1105"/>
      <c r="AY105" s="1105">
        <v>12</v>
      </c>
      <c r="AZ105" s="1106">
        <f>AW105+AX105+AY105</f>
        <v>20</v>
      </c>
      <c r="BA105" s="1105">
        <v>6</v>
      </c>
      <c r="BB105" s="1105"/>
      <c r="BC105" s="1105">
        <v>7</v>
      </c>
      <c r="BD105" s="1106">
        <f>BA105+BB105+BC105</f>
        <v>13</v>
      </c>
      <c r="BE105" s="1105">
        <v>9</v>
      </c>
      <c r="BF105" s="1105"/>
      <c r="BG105" s="1105">
        <v>11</v>
      </c>
      <c r="BH105" s="1106">
        <f t="shared" si="67"/>
        <v>20</v>
      </c>
      <c r="BI105" s="1105">
        <v>5</v>
      </c>
      <c r="BJ105" s="1105"/>
      <c r="BK105" s="1105">
        <v>9</v>
      </c>
      <c r="BL105" s="1106">
        <f t="shared" si="63"/>
        <v>14</v>
      </c>
      <c r="BM105" s="1105">
        <v>11</v>
      </c>
      <c r="BN105" s="1105"/>
      <c r="BO105" s="1105">
        <v>14</v>
      </c>
      <c r="BP105" s="1106">
        <f t="shared" si="64"/>
        <v>25</v>
      </c>
      <c r="BQ105" s="1105">
        <v>11</v>
      </c>
      <c r="BR105" s="1105"/>
      <c r="BS105" s="1105">
        <v>10</v>
      </c>
      <c r="BT105" s="1106">
        <f t="shared" si="68"/>
        <v>21</v>
      </c>
      <c r="BU105" s="1105">
        <v>17</v>
      </c>
      <c r="BV105" s="1105"/>
      <c r="BW105" s="1105">
        <v>11</v>
      </c>
      <c r="BX105" s="1106">
        <f t="shared" si="65"/>
        <v>28</v>
      </c>
      <c r="BY105" s="1105">
        <v>9</v>
      </c>
      <c r="BZ105" s="1105"/>
      <c r="CA105" s="1105">
        <v>8</v>
      </c>
      <c r="CB105" s="1106">
        <f t="shared" si="66"/>
        <v>17</v>
      </c>
    </row>
    <row r="106" spans="1:80" s="212" customFormat="1" ht="15" x14ac:dyDescent="0.25">
      <c r="A106" s="6238"/>
      <c r="B106" s="6195"/>
      <c r="C106" s="1467"/>
      <c r="D106" s="1109" t="s">
        <v>445</v>
      </c>
      <c r="E106" s="1110">
        <f t="shared" ref="E106:AJ106" si="69">SUM(E96:E105)</f>
        <v>25</v>
      </c>
      <c r="F106" s="1111">
        <f t="shared" si="69"/>
        <v>0</v>
      </c>
      <c r="G106" s="1111">
        <f t="shared" si="69"/>
        <v>60</v>
      </c>
      <c r="H106" s="1139">
        <f t="shared" si="69"/>
        <v>85</v>
      </c>
      <c r="I106" s="1110">
        <f t="shared" si="69"/>
        <v>41</v>
      </c>
      <c r="J106" s="1111">
        <f t="shared" si="69"/>
        <v>2</v>
      </c>
      <c r="K106" s="1111">
        <f t="shared" si="69"/>
        <v>58</v>
      </c>
      <c r="L106" s="1139">
        <f t="shared" si="69"/>
        <v>101</v>
      </c>
      <c r="M106" s="1110">
        <f t="shared" si="69"/>
        <v>19</v>
      </c>
      <c r="N106" s="1111">
        <f t="shared" si="69"/>
        <v>3</v>
      </c>
      <c r="O106" s="1111">
        <f t="shared" si="69"/>
        <v>91</v>
      </c>
      <c r="P106" s="1139">
        <f t="shared" si="69"/>
        <v>113</v>
      </c>
      <c r="Q106" s="1110">
        <f t="shared" si="69"/>
        <v>27</v>
      </c>
      <c r="R106" s="1111">
        <f t="shared" si="69"/>
        <v>1</v>
      </c>
      <c r="S106" s="1111">
        <f t="shared" si="69"/>
        <v>102</v>
      </c>
      <c r="T106" s="1139">
        <f t="shared" si="69"/>
        <v>130</v>
      </c>
      <c r="U106" s="1110">
        <f t="shared" si="69"/>
        <v>23</v>
      </c>
      <c r="V106" s="1111">
        <f t="shared" si="69"/>
        <v>2</v>
      </c>
      <c r="W106" s="1111">
        <f t="shared" si="69"/>
        <v>58</v>
      </c>
      <c r="X106" s="1139">
        <f t="shared" si="69"/>
        <v>83</v>
      </c>
      <c r="Y106" s="1111">
        <f t="shared" si="69"/>
        <v>22</v>
      </c>
      <c r="Z106" s="1111">
        <f t="shared" si="69"/>
        <v>2</v>
      </c>
      <c r="AA106" s="1111">
        <f t="shared" si="69"/>
        <v>54</v>
      </c>
      <c r="AB106" s="1139">
        <f t="shared" si="69"/>
        <v>78</v>
      </c>
      <c r="AC106" s="1111">
        <f t="shared" si="69"/>
        <v>36</v>
      </c>
      <c r="AD106" s="1111">
        <f t="shared" si="69"/>
        <v>4</v>
      </c>
      <c r="AE106" s="1111">
        <f t="shared" si="69"/>
        <v>57</v>
      </c>
      <c r="AF106" s="1139">
        <f t="shared" si="69"/>
        <v>97</v>
      </c>
      <c r="AG106" s="1111">
        <f t="shared" si="69"/>
        <v>22</v>
      </c>
      <c r="AH106" s="1111">
        <f t="shared" si="69"/>
        <v>7</v>
      </c>
      <c r="AI106" s="1111">
        <f t="shared" si="69"/>
        <v>51</v>
      </c>
      <c r="AJ106" s="1139">
        <f t="shared" si="69"/>
        <v>80</v>
      </c>
      <c r="AK106" s="1111">
        <f t="shared" ref="AK106:BP106" si="70">SUM(AK96:AK105)</f>
        <v>16</v>
      </c>
      <c r="AL106" s="1111">
        <f t="shared" si="70"/>
        <v>19</v>
      </c>
      <c r="AM106" s="1111">
        <f t="shared" si="70"/>
        <v>77</v>
      </c>
      <c r="AN106" s="1139">
        <f t="shared" si="70"/>
        <v>112</v>
      </c>
      <c r="AO106" s="1111">
        <f t="shared" si="70"/>
        <v>9</v>
      </c>
      <c r="AP106" s="1111">
        <f t="shared" si="70"/>
        <v>7</v>
      </c>
      <c r="AQ106" s="1111">
        <f t="shared" si="70"/>
        <v>86</v>
      </c>
      <c r="AR106" s="1139">
        <f t="shared" si="70"/>
        <v>102</v>
      </c>
      <c r="AS106" s="1111">
        <f t="shared" si="70"/>
        <v>13</v>
      </c>
      <c r="AT106" s="1111">
        <f t="shared" si="70"/>
        <v>6</v>
      </c>
      <c r="AU106" s="1111">
        <f t="shared" si="70"/>
        <v>88</v>
      </c>
      <c r="AV106" s="1139">
        <f t="shared" si="70"/>
        <v>107</v>
      </c>
      <c r="AW106" s="1111">
        <f t="shared" si="70"/>
        <v>33</v>
      </c>
      <c r="AX106" s="1111">
        <f t="shared" si="70"/>
        <v>6</v>
      </c>
      <c r="AY106" s="1111">
        <f t="shared" si="70"/>
        <v>90</v>
      </c>
      <c r="AZ106" s="1139">
        <f t="shared" si="70"/>
        <v>129</v>
      </c>
      <c r="BA106" s="1111">
        <f t="shared" si="70"/>
        <v>20</v>
      </c>
      <c r="BB106" s="1111">
        <f t="shared" si="70"/>
        <v>5</v>
      </c>
      <c r="BC106" s="1111">
        <f t="shared" si="70"/>
        <v>128</v>
      </c>
      <c r="BD106" s="1139">
        <f t="shared" si="70"/>
        <v>153</v>
      </c>
      <c r="BE106" s="1111">
        <f t="shared" si="70"/>
        <v>41</v>
      </c>
      <c r="BF106" s="1111">
        <f t="shared" si="70"/>
        <v>11</v>
      </c>
      <c r="BG106" s="1111">
        <f t="shared" si="70"/>
        <v>102</v>
      </c>
      <c r="BH106" s="1139">
        <f t="shared" si="70"/>
        <v>154</v>
      </c>
      <c r="BI106" s="1111">
        <f t="shared" si="70"/>
        <v>25</v>
      </c>
      <c r="BJ106" s="1111">
        <f t="shared" si="70"/>
        <v>6</v>
      </c>
      <c r="BK106" s="1111">
        <f t="shared" si="70"/>
        <v>114</v>
      </c>
      <c r="BL106" s="1139">
        <f t="shared" si="70"/>
        <v>145</v>
      </c>
      <c r="BM106" s="1111">
        <f t="shared" si="70"/>
        <v>33</v>
      </c>
      <c r="BN106" s="1111">
        <f t="shared" si="70"/>
        <v>6</v>
      </c>
      <c r="BO106" s="1111">
        <f t="shared" si="70"/>
        <v>109</v>
      </c>
      <c r="BP106" s="1139">
        <f t="shared" si="70"/>
        <v>148</v>
      </c>
      <c r="BQ106" s="1111">
        <f t="shared" ref="BQ106:CB106" si="71">SUM(BQ96:BQ105)</f>
        <v>28</v>
      </c>
      <c r="BR106" s="1111">
        <f t="shared" si="71"/>
        <v>6</v>
      </c>
      <c r="BS106" s="1111">
        <f t="shared" si="71"/>
        <v>106</v>
      </c>
      <c r="BT106" s="1139">
        <f t="shared" si="71"/>
        <v>140</v>
      </c>
      <c r="BU106" s="1111">
        <f t="shared" si="71"/>
        <v>27</v>
      </c>
      <c r="BV106" s="1111">
        <f t="shared" si="71"/>
        <v>2</v>
      </c>
      <c r="BW106" s="1111">
        <f t="shared" si="71"/>
        <v>91</v>
      </c>
      <c r="BX106" s="1139">
        <f t="shared" si="71"/>
        <v>120</v>
      </c>
      <c r="BY106" s="1111">
        <f t="shared" si="71"/>
        <v>29</v>
      </c>
      <c r="BZ106" s="1111">
        <f t="shared" si="71"/>
        <v>6</v>
      </c>
      <c r="CA106" s="1111">
        <f t="shared" si="71"/>
        <v>86</v>
      </c>
      <c r="CB106" s="1139">
        <f t="shared" si="71"/>
        <v>121</v>
      </c>
    </row>
    <row r="107" spans="1:80" s="212" customFormat="1" ht="15" x14ac:dyDescent="0.2">
      <c r="A107" s="6239"/>
      <c r="B107" s="4699"/>
      <c r="C107" s="4699"/>
      <c r="D107" s="4700" t="s">
        <v>444</v>
      </c>
      <c r="E107" s="4701">
        <f t="shared" ref="E107:AJ107" si="72">SUM(E106,E95,E79)</f>
        <v>62</v>
      </c>
      <c r="F107" s="4702">
        <f t="shared" si="72"/>
        <v>20</v>
      </c>
      <c r="G107" s="4702">
        <f t="shared" si="72"/>
        <v>245</v>
      </c>
      <c r="H107" s="4703">
        <f t="shared" si="72"/>
        <v>327</v>
      </c>
      <c r="I107" s="4701">
        <f t="shared" si="72"/>
        <v>130</v>
      </c>
      <c r="J107" s="4702">
        <f t="shared" si="72"/>
        <v>22</v>
      </c>
      <c r="K107" s="4702">
        <f t="shared" si="72"/>
        <v>352</v>
      </c>
      <c r="L107" s="4703">
        <f t="shared" si="72"/>
        <v>504</v>
      </c>
      <c r="M107" s="4701">
        <f t="shared" si="72"/>
        <v>111</v>
      </c>
      <c r="N107" s="4702">
        <f t="shared" si="72"/>
        <v>32</v>
      </c>
      <c r="O107" s="4702">
        <f t="shared" si="72"/>
        <v>224</v>
      </c>
      <c r="P107" s="4703">
        <f t="shared" si="72"/>
        <v>367</v>
      </c>
      <c r="Q107" s="4701">
        <f t="shared" si="72"/>
        <v>85</v>
      </c>
      <c r="R107" s="4702">
        <f t="shared" si="72"/>
        <v>27</v>
      </c>
      <c r="S107" s="4702">
        <f t="shared" si="72"/>
        <v>491</v>
      </c>
      <c r="T107" s="4703">
        <f t="shared" si="72"/>
        <v>603</v>
      </c>
      <c r="U107" s="4701">
        <f t="shared" si="72"/>
        <v>39</v>
      </c>
      <c r="V107" s="4702">
        <f t="shared" si="72"/>
        <v>15</v>
      </c>
      <c r="W107" s="4702">
        <f t="shared" si="72"/>
        <v>193</v>
      </c>
      <c r="X107" s="4703">
        <f t="shared" si="72"/>
        <v>247</v>
      </c>
      <c r="Y107" s="4702">
        <f t="shared" si="72"/>
        <v>42</v>
      </c>
      <c r="Z107" s="4702">
        <f t="shared" si="72"/>
        <v>52</v>
      </c>
      <c r="AA107" s="4702">
        <f t="shared" si="72"/>
        <v>223</v>
      </c>
      <c r="AB107" s="4703">
        <f t="shared" si="72"/>
        <v>317</v>
      </c>
      <c r="AC107" s="4702">
        <f t="shared" si="72"/>
        <v>150</v>
      </c>
      <c r="AD107" s="4702">
        <f t="shared" si="72"/>
        <v>29</v>
      </c>
      <c r="AE107" s="4702">
        <f t="shared" si="72"/>
        <v>154</v>
      </c>
      <c r="AF107" s="4703">
        <f t="shared" si="72"/>
        <v>333</v>
      </c>
      <c r="AG107" s="4702">
        <f t="shared" si="72"/>
        <v>141</v>
      </c>
      <c r="AH107" s="4702">
        <f t="shared" si="72"/>
        <v>23</v>
      </c>
      <c r="AI107" s="4702">
        <f t="shared" si="72"/>
        <v>156</v>
      </c>
      <c r="AJ107" s="4703">
        <f t="shared" si="72"/>
        <v>320</v>
      </c>
      <c r="AK107" s="4702">
        <f t="shared" ref="AK107:BP107" si="73">SUM(AK106,AK95,AK79)</f>
        <v>212</v>
      </c>
      <c r="AL107" s="4702">
        <f t="shared" si="73"/>
        <v>29</v>
      </c>
      <c r="AM107" s="4702">
        <f t="shared" si="73"/>
        <v>175</v>
      </c>
      <c r="AN107" s="4703">
        <f t="shared" si="73"/>
        <v>416</v>
      </c>
      <c r="AO107" s="4702">
        <f t="shared" si="73"/>
        <v>142</v>
      </c>
      <c r="AP107" s="4702">
        <f t="shared" si="73"/>
        <v>17</v>
      </c>
      <c r="AQ107" s="4702">
        <f t="shared" si="73"/>
        <v>355</v>
      </c>
      <c r="AR107" s="4703">
        <f t="shared" si="73"/>
        <v>514</v>
      </c>
      <c r="AS107" s="4702">
        <f t="shared" si="73"/>
        <v>44</v>
      </c>
      <c r="AT107" s="4702">
        <f t="shared" si="73"/>
        <v>128</v>
      </c>
      <c r="AU107" s="4702">
        <f t="shared" si="73"/>
        <v>230</v>
      </c>
      <c r="AV107" s="4703">
        <f t="shared" si="73"/>
        <v>402</v>
      </c>
      <c r="AW107" s="4702">
        <f t="shared" si="73"/>
        <v>78</v>
      </c>
      <c r="AX107" s="4702">
        <f t="shared" si="73"/>
        <v>15</v>
      </c>
      <c r="AY107" s="4702">
        <f t="shared" si="73"/>
        <v>436</v>
      </c>
      <c r="AZ107" s="4703">
        <f t="shared" si="73"/>
        <v>529</v>
      </c>
      <c r="BA107" s="4702">
        <f t="shared" si="73"/>
        <v>98</v>
      </c>
      <c r="BB107" s="4702">
        <f t="shared" si="73"/>
        <v>28</v>
      </c>
      <c r="BC107" s="4702">
        <f t="shared" si="73"/>
        <v>346</v>
      </c>
      <c r="BD107" s="4703">
        <f t="shared" si="73"/>
        <v>472</v>
      </c>
      <c r="BE107" s="4702">
        <f t="shared" si="73"/>
        <v>123</v>
      </c>
      <c r="BF107" s="4702">
        <f t="shared" si="73"/>
        <v>34</v>
      </c>
      <c r="BG107" s="4702">
        <f t="shared" si="73"/>
        <v>387</v>
      </c>
      <c r="BH107" s="4703">
        <f t="shared" si="73"/>
        <v>490</v>
      </c>
      <c r="BI107" s="4702">
        <f t="shared" si="73"/>
        <v>124</v>
      </c>
      <c r="BJ107" s="4702">
        <f t="shared" si="73"/>
        <v>24</v>
      </c>
      <c r="BK107" s="4702">
        <f t="shared" si="73"/>
        <v>256</v>
      </c>
      <c r="BL107" s="4703">
        <f t="shared" si="73"/>
        <v>404</v>
      </c>
      <c r="BM107" s="4702">
        <f t="shared" si="73"/>
        <v>98</v>
      </c>
      <c r="BN107" s="4702">
        <f t="shared" si="73"/>
        <v>36</v>
      </c>
      <c r="BO107" s="4702">
        <f t="shared" si="73"/>
        <v>374</v>
      </c>
      <c r="BP107" s="4703">
        <f t="shared" si="73"/>
        <v>508</v>
      </c>
      <c r="BQ107" s="4702">
        <f t="shared" ref="BQ107:CB107" si="74">SUM(BQ106,BQ95,BQ79)</f>
        <v>128</v>
      </c>
      <c r="BR107" s="4702">
        <f t="shared" si="74"/>
        <v>29</v>
      </c>
      <c r="BS107" s="4702">
        <f t="shared" si="74"/>
        <v>288</v>
      </c>
      <c r="BT107" s="4703">
        <f t="shared" si="74"/>
        <v>445</v>
      </c>
      <c r="BU107" s="4702">
        <f t="shared" si="74"/>
        <v>114</v>
      </c>
      <c r="BV107" s="4702">
        <f t="shared" si="74"/>
        <v>18</v>
      </c>
      <c r="BW107" s="4702">
        <f t="shared" si="74"/>
        <v>304</v>
      </c>
      <c r="BX107" s="4703">
        <f t="shared" si="74"/>
        <v>436</v>
      </c>
      <c r="BY107" s="4702">
        <f t="shared" si="74"/>
        <v>111</v>
      </c>
      <c r="BZ107" s="4702">
        <f t="shared" si="74"/>
        <v>90</v>
      </c>
      <c r="CA107" s="4702">
        <f t="shared" si="74"/>
        <v>224</v>
      </c>
      <c r="CB107" s="4703">
        <f t="shared" si="74"/>
        <v>425</v>
      </c>
    </row>
    <row r="108" spans="1:80" s="212" customFormat="1" ht="15" x14ac:dyDescent="0.25">
      <c r="A108" s="6254" t="s">
        <v>10</v>
      </c>
      <c r="B108" s="6182" t="s">
        <v>6</v>
      </c>
      <c r="C108" s="6263" t="s">
        <v>522</v>
      </c>
      <c r="D108" s="1137" t="s">
        <v>58</v>
      </c>
      <c r="E108" s="1129"/>
      <c r="F108" s="1130"/>
      <c r="G108" s="1130"/>
      <c r="H108" s="1131"/>
      <c r="I108" s="1129"/>
      <c r="J108" s="1130"/>
      <c r="K108" s="1130">
        <v>36</v>
      </c>
      <c r="L108" s="1131">
        <v>36</v>
      </c>
      <c r="M108" s="1129">
        <v>5</v>
      </c>
      <c r="N108" s="1130"/>
      <c r="O108" s="1130"/>
      <c r="P108" s="1131">
        <v>5</v>
      </c>
      <c r="Q108" s="1129"/>
      <c r="R108" s="1130"/>
      <c r="S108" s="1130">
        <v>28</v>
      </c>
      <c r="T108" s="1131">
        <v>28</v>
      </c>
      <c r="U108" s="1129"/>
      <c r="V108" s="1130"/>
      <c r="W108" s="1130"/>
      <c r="X108" s="1131"/>
      <c r="Y108" s="1132"/>
      <c r="Z108" s="1132"/>
      <c r="AA108" s="1132">
        <v>5</v>
      </c>
      <c r="AB108" s="1131">
        <f>SUM(Y108:AA108)</f>
        <v>5</v>
      </c>
      <c r="AC108" s="1132"/>
      <c r="AD108" s="1132"/>
      <c r="AE108" s="1132"/>
      <c r="AF108" s="1131"/>
      <c r="AG108" s="1132"/>
      <c r="AH108" s="1132"/>
      <c r="AI108" s="1132">
        <v>5</v>
      </c>
      <c r="AJ108" s="1131">
        <f>SUM(AG108:AI108)</f>
        <v>5</v>
      </c>
      <c r="AK108" s="1132"/>
      <c r="AL108" s="1132"/>
      <c r="AM108" s="1132">
        <v>16</v>
      </c>
      <c r="AN108" s="1131">
        <f>SUM(AK108:AM108)</f>
        <v>16</v>
      </c>
      <c r="AO108" s="1132"/>
      <c r="AP108" s="1132"/>
      <c r="AQ108" s="1132">
        <v>21</v>
      </c>
      <c r="AR108" s="1102">
        <f>SUM(AO108:AQ108)</f>
        <v>21</v>
      </c>
      <c r="AS108" s="1132"/>
      <c r="AT108" s="1132"/>
      <c r="AU108" s="1132"/>
      <c r="AV108" s="1102"/>
      <c r="AW108" s="1132"/>
      <c r="AX108" s="1132"/>
      <c r="AY108" s="1132">
        <v>19</v>
      </c>
      <c r="AZ108" s="1102">
        <f>AW108+AX108+AY108</f>
        <v>19</v>
      </c>
      <c r="BA108" s="1132"/>
      <c r="BB108" s="1132"/>
      <c r="BC108" s="1132"/>
      <c r="BD108" s="1118"/>
      <c r="BE108" s="1132"/>
      <c r="BF108" s="1132"/>
      <c r="BG108" s="1132"/>
      <c r="BH108" s="1118"/>
      <c r="BI108" s="1132"/>
      <c r="BJ108" s="1132"/>
      <c r="BK108" s="1132"/>
      <c r="BL108" s="1118"/>
      <c r="BM108" s="1132"/>
      <c r="BN108" s="1132"/>
      <c r="BO108" s="1132"/>
      <c r="BP108" s="1118"/>
      <c r="BQ108" s="1132"/>
      <c r="BR108" s="1132"/>
      <c r="BS108" s="1132"/>
      <c r="BT108" s="1118"/>
      <c r="BU108" s="1134"/>
      <c r="BV108" s="1132"/>
      <c r="BW108" s="1132"/>
      <c r="BX108" s="1106">
        <f t="shared" ref="BX108:BX123" si="75">BU108+BV108+BW108</f>
        <v>0</v>
      </c>
      <c r="BY108" s="1134"/>
      <c r="BZ108" s="1132"/>
      <c r="CA108" s="1132"/>
      <c r="CB108" s="1106">
        <f t="shared" ref="CB108:CB125" si="76">BY108+BZ108+CA108</f>
        <v>0</v>
      </c>
    </row>
    <row r="109" spans="1:80" s="212" customFormat="1" ht="15" x14ac:dyDescent="0.25">
      <c r="A109" s="6255"/>
      <c r="B109" s="6183"/>
      <c r="C109" s="6264"/>
      <c r="D109" s="1107" t="s">
        <v>388</v>
      </c>
      <c r="E109" s="1122"/>
      <c r="F109" s="1119"/>
      <c r="G109" s="1119"/>
      <c r="H109" s="1120"/>
      <c r="I109" s="1122">
        <v>42</v>
      </c>
      <c r="J109" s="1119"/>
      <c r="K109" s="1119"/>
      <c r="L109" s="1120">
        <v>42</v>
      </c>
      <c r="M109" s="1122"/>
      <c r="N109" s="1119"/>
      <c r="O109" s="1119">
        <v>44</v>
      </c>
      <c r="P109" s="1120">
        <v>44</v>
      </c>
      <c r="Q109" s="1122">
        <v>5</v>
      </c>
      <c r="R109" s="1119">
        <v>3</v>
      </c>
      <c r="S109" s="1119">
        <v>4</v>
      </c>
      <c r="T109" s="1120">
        <v>12</v>
      </c>
      <c r="U109" s="1122"/>
      <c r="V109" s="1119"/>
      <c r="W109" s="1119"/>
      <c r="X109" s="1120"/>
      <c r="Y109" s="1121"/>
      <c r="Z109" s="1121"/>
      <c r="AA109" s="1121"/>
      <c r="AB109" s="1120"/>
      <c r="AC109" s="1121"/>
      <c r="AD109" s="1121"/>
      <c r="AE109" s="1121"/>
      <c r="AF109" s="1120"/>
      <c r="AG109" s="1121"/>
      <c r="AH109" s="1121"/>
      <c r="AI109" s="1121"/>
      <c r="AJ109" s="1120"/>
      <c r="AK109" s="1121"/>
      <c r="AL109" s="1121"/>
      <c r="AM109" s="1121">
        <v>1</v>
      </c>
      <c r="AN109" s="1120">
        <f>SUM(AK109:AM109)</f>
        <v>1</v>
      </c>
      <c r="AO109" s="1121"/>
      <c r="AP109" s="1121"/>
      <c r="AQ109" s="1121"/>
      <c r="AR109" s="1106"/>
      <c r="AS109" s="1121" t="s">
        <v>227</v>
      </c>
      <c r="AT109" s="1121" t="s">
        <v>227</v>
      </c>
      <c r="AU109" s="1121">
        <v>2</v>
      </c>
      <c r="AV109" s="1106">
        <f>SUM(AS109:AU109)</f>
        <v>2</v>
      </c>
      <c r="AW109" s="1121"/>
      <c r="AX109" s="1121"/>
      <c r="AY109" s="1121"/>
      <c r="AZ109" s="1106"/>
      <c r="BA109" s="1121"/>
      <c r="BB109" s="1121"/>
      <c r="BC109" s="1121">
        <v>35</v>
      </c>
      <c r="BD109" s="1106">
        <f>BA109+BB109+BC109</f>
        <v>35</v>
      </c>
      <c r="BE109" s="1121"/>
      <c r="BF109" s="1121"/>
      <c r="BG109" s="1121"/>
      <c r="BH109" s="1106"/>
      <c r="BI109" s="1121"/>
      <c r="BJ109" s="1121"/>
      <c r="BK109" s="1121">
        <v>34</v>
      </c>
      <c r="BL109" s="1106">
        <f t="shared" ref="BL109:BL123" si="77">BI109+BJ109+BK109</f>
        <v>34</v>
      </c>
      <c r="BM109" s="1121"/>
      <c r="BN109" s="1121"/>
      <c r="BO109" s="1121"/>
      <c r="BP109" s="1106">
        <f t="shared" ref="BP109:BP123" si="78">BM109+BN109+BO109</f>
        <v>0</v>
      </c>
      <c r="BQ109" s="1121"/>
      <c r="BR109" s="1121"/>
      <c r="BS109" s="1121"/>
      <c r="BT109" s="1106">
        <f t="shared" ref="BT109:BT123" si="79">BQ109+BR109+BS109</f>
        <v>0</v>
      </c>
      <c r="BU109" s="4574"/>
      <c r="BV109" s="1121"/>
      <c r="BW109" s="1121"/>
      <c r="BX109" s="1106">
        <f t="shared" si="75"/>
        <v>0</v>
      </c>
      <c r="BY109" s="4574"/>
      <c r="BZ109" s="1121"/>
      <c r="CA109" s="1121">
        <v>30</v>
      </c>
      <c r="CB109" s="1106">
        <f t="shared" si="76"/>
        <v>30</v>
      </c>
    </row>
    <row r="110" spans="1:80" s="212" customFormat="1" ht="15" x14ac:dyDescent="0.25">
      <c r="A110" s="6255"/>
      <c r="B110" s="6183"/>
      <c r="C110" s="6265" t="s">
        <v>521</v>
      </c>
      <c r="D110" s="1107" t="s">
        <v>89</v>
      </c>
      <c r="E110" s="1122"/>
      <c r="F110" s="1119"/>
      <c r="G110" s="1119">
        <v>18</v>
      </c>
      <c r="H110" s="1120">
        <v>18</v>
      </c>
      <c r="I110" s="1122"/>
      <c r="J110" s="1119"/>
      <c r="K110" s="1119">
        <v>3</v>
      </c>
      <c r="L110" s="1120">
        <v>3</v>
      </c>
      <c r="M110" s="1122"/>
      <c r="N110" s="1119">
        <v>20</v>
      </c>
      <c r="O110" s="1119">
        <v>5</v>
      </c>
      <c r="P110" s="1120">
        <v>25</v>
      </c>
      <c r="Q110" s="1122"/>
      <c r="R110" s="1119"/>
      <c r="S110" s="1119"/>
      <c r="T110" s="1120"/>
      <c r="U110" s="1122"/>
      <c r="V110" s="1119"/>
      <c r="W110" s="1119"/>
      <c r="X110" s="1120"/>
      <c r="Y110" s="1121"/>
      <c r="Z110" s="1121"/>
      <c r="AA110" s="1121">
        <v>20</v>
      </c>
      <c r="AB110" s="1120">
        <f>SUM(Y110:AA110)</f>
        <v>20</v>
      </c>
      <c r="AC110" s="1121"/>
      <c r="AD110" s="1121"/>
      <c r="AE110" s="1121"/>
      <c r="AF110" s="1120"/>
      <c r="AG110" s="1121"/>
      <c r="AH110" s="1121"/>
      <c r="AI110" s="1121">
        <v>12</v>
      </c>
      <c r="AJ110" s="1120">
        <f>SUM(AG110:AI110)</f>
        <v>12</v>
      </c>
      <c r="AK110" s="1121"/>
      <c r="AL110" s="1121"/>
      <c r="AM110" s="1121"/>
      <c r="AN110" s="1120">
        <f>SUM(AK110:AM110)</f>
        <v>0</v>
      </c>
      <c r="AO110" s="1121"/>
      <c r="AP110" s="1121"/>
      <c r="AQ110" s="1121"/>
      <c r="AR110" s="1106"/>
      <c r="AS110" s="1121"/>
      <c r="AT110" s="1121"/>
      <c r="AU110" s="1121"/>
      <c r="AV110" s="1106"/>
      <c r="AW110" s="1121"/>
      <c r="AX110" s="1121"/>
      <c r="AY110" s="1121"/>
      <c r="AZ110" s="1106"/>
      <c r="BA110" s="1121"/>
      <c r="BB110" s="1121"/>
      <c r="BC110" s="1121">
        <v>18</v>
      </c>
      <c r="BD110" s="1106">
        <f>BA110+BB110+BC110</f>
        <v>18</v>
      </c>
      <c r="BE110" s="1121"/>
      <c r="BF110" s="1121"/>
      <c r="BG110" s="1121">
        <v>23</v>
      </c>
      <c r="BH110" s="1106">
        <f>BE110+BF110+BG110</f>
        <v>23</v>
      </c>
      <c r="BI110" s="1121"/>
      <c r="BJ110" s="1121"/>
      <c r="BK110" s="1121"/>
      <c r="BL110" s="1106">
        <f t="shared" si="77"/>
        <v>0</v>
      </c>
      <c r="BM110" s="1121"/>
      <c r="BN110" s="1121"/>
      <c r="BO110" s="1121">
        <v>22</v>
      </c>
      <c r="BP110" s="1106">
        <f t="shared" si="78"/>
        <v>22</v>
      </c>
      <c r="BQ110" s="1121"/>
      <c r="BR110" s="1121"/>
      <c r="BS110" s="1121"/>
      <c r="BT110" s="1106">
        <f t="shared" si="79"/>
        <v>0</v>
      </c>
      <c r="BU110" s="4574"/>
      <c r="BV110" s="1121"/>
      <c r="BW110" s="1121">
        <v>23</v>
      </c>
      <c r="BX110" s="1106">
        <f t="shared" si="75"/>
        <v>23</v>
      </c>
      <c r="BY110" s="4574"/>
      <c r="BZ110" s="1121"/>
      <c r="CA110" s="1121"/>
      <c r="CB110" s="1106">
        <f t="shared" si="76"/>
        <v>0</v>
      </c>
    </row>
    <row r="111" spans="1:80" s="212" customFormat="1" ht="15" x14ac:dyDescent="0.25">
      <c r="A111" s="6255"/>
      <c r="B111" s="6183"/>
      <c r="C111" s="6266"/>
      <c r="D111" s="1107" t="s">
        <v>389</v>
      </c>
      <c r="E111" s="1122">
        <v>3</v>
      </c>
      <c r="F111" s="1119"/>
      <c r="G111" s="1119"/>
      <c r="H111" s="1120">
        <v>3</v>
      </c>
      <c r="I111" s="1122">
        <v>13</v>
      </c>
      <c r="J111" s="1119"/>
      <c r="K111" s="1119"/>
      <c r="L111" s="1120">
        <f>SUM(I111:K111)</f>
        <v>13</v>
      </c>
      <c r="M111" s="1122">
        <v>39</v>
      </c>
      <c r="N111" s="1119"/>
      <c r="O111" s="1119"/>
      <c r="P111" s="1120">
        <v>39</v>
      </c>
      <c r="Q111" s="1122">
        <v>2</v>
      </c>
      <c r="R111" s="1119">
        <v>31</v>
      </c>
      <c r="S111" s="1119"/>
      <c r="T111" s="1120">
        <v>33</v>
      </c>
      <c r="U111" s="1122"/>
      <c r="V111" s="1119"/>
      <c r="W111" s="1119">
        <v>29</v>
      </c>
      <c r="X111" s="1120">
        <f>SUM(U111:W111)</f>
        <v>29</v>
      </c>
      <c r="Y111" s="1121"/>
      <c r="Z111" s="1121"/>
      <c r="AA111" s="1121"/>
      <c r="AB111" s="1120"/>
      <c r="AC111" s="1121"/>
      <c r="AD111" s="1121"/>
      <c r="AE111" s="1121">
        <v>30</v>
      </c>
      <c r="AF111" s="1120">
        <f>SUM(AC111:AE111)</f>
        <v>30</v>
      </c>
      <c r="AG111" s="1121"/>
      <c r="AH111" s="1121"/>
      <c r="AI111" s="1121"/>
      <c r="AJ111" s="1120"/>
      <c r="AK111" s="1121"/>
      <c r="AL111" s="1121"/>
      <c r="AM111" s="1121">
        <v>38</v>
      </c>
      <c r="AN111" s="1120">
        <f>SUM(AK111:AM111)</f>
        <v>38</v>
      </c>
      <c r="AO111" s="1121"/>
      <c r="AP111" s="1121"/>
      <c r="AQ111" s="1121"/>
      <c r="AR111" s="1106"/>
      <c r="AS111" s="1121"/>
      <c r="AT111" s="1121" t="s">
        <v>227</v>
      </c>
      <c r="AU111" s="1121">
        <v>38</v>
      </c>
      <c r="AV111" s="1106">
        <f>SUM(AS111:AU111)</f>
        <v>38</v>
      </c>
      <c r="AW111" s="1121"/>
      <c r="AX111" s="1121"/>
      <c r="AY111" s="1121"/>
      <c r="AZ111" s="1106"/>
      <c r="BA111" s="1121"/>
      <c r="BB111" s="1121"/>
      <c r="BC111" s="1121">
        <v>3</v>
      </c>
      <c r="BD111" s="1106">
        <f>BA111+BB111+BC111</f>
        <v>3</v>
      </c>
      <c r="BE111" s="1121"/>
      <c r="BF111" s="1121"/>
      <c r="BG111" s="1121">
        <v>1</v>
      </c>
      <c r="BH111" s="1106">
        <f t="shared" ref="BH111:BH117" si="80">BE111+BF111+BG111</f>
        <v>1</v>
      </c>
      <c r="BI111" s="1121"/>
      <c r="BJ111" s="1121"/>
      <c r="BK111" s="1121"/>
      <c r="BL111" s="1106">
        <f t="shared" si="77"/>
        <v>0</v>
      </c>
      <c r="BM111" s="1121"/>
      <c r="BN111" s="1121"/>
      <c r="BO111" s="1121">
        <v>33</v>
      </c>
      <c r="BP111" s="1106">
        <f t="shared" si="78"/>
        <v>33</v>
      </c>
      <c r="BQ111" s="1121"/>
      <c r="BR111" s="1121"/>
      <c r="BS111" s="1121">
        <v>35</v>
      </c>
      <c r="BT111" s="1106">
        <f t="shared" si="79"/>
        <v>35</v>
      </c>
      <c r="BU111" s="4574"/>
      <c r="BV111" s="1121"/>
      <c r="BW111" s="1121"/>
      <c r="BX111" s="1106">
        <f t="shared" si="75"/>
        <v>0</v>
      </c>
      <c r="BY111" s="4574"/>
      <c r="BZ111" s="1121"/>
      <c r="CA111" s="1121">
        <v>2</v>
      </c>
      <c r="CB111" s="1106">
        <f t="shared" si="76"/>
        <v>2</v>
      </c>
    </row>
    <row r="112" spans="1:80" s="212" customFormat="1" ht="15" x14ac:dyDescent="0.25">
      <c r="A112" s="6255"/>
      <c r="B112" s="6183"/>
      <c r="C112" s="6266"/>
      <c r="D112" s="1103" t="s">
        <v>390</v>
      </c>
      <c r="E112" s="1122"/>
      <c r="F112" s="1119">
        <v>15</v>
      </c>
      <c r="G112" s="1119"/>
      <c r="H112" s="1120">
        <v>15</v>
      </c>
      <c r="I112" s="1122"/>
      <c r="J112" s="1119"/>
      <c r="K112" s="1119"/>
      <c r="L112" s="1120"/>
      <c r="M112" s="1122"/>
      <c r="N112" s="1119">
        <v>9</v>
      </c>
      <c r="O112" s="1119"/>
      <c r="P112" s="1120">
        <v>9</v>
      </c>
      <c r="Q112" s="1122"/>
      <c r="R112" s="1119"/>
      <c r="S112" s="1119"/>
      <c r="T112" s="1120"/>
      <c r="U112" s="1122"/>
      <c r="V112" s="1119">
        <v>13</v>
      </c>
      <c r="W112" s="1119"/>
      <c r="X112" s="1120">
        <f>SUM(U112:W112)</f>
        <v>13</v>
      </c>
      <c r="Y112" s="1121"/>
      <c r="Z112" s="1121"/>
      <c r="AA112" s="1121">
        <v>21</v>
      </c>
      <c r="AB112" s="1120">
        <f>SUM(Y112:AA112)</f>
        <v>21</v>
      </c>
      <c r="AC112" s="1121"/>
      <c r="AD112" s="1121"/>
      <c r="AE112" s="1121"/>
      <c r="AF112" s="1120"/>
      <c r="AG112" s="1121"/>
      <c r="AH112" s="1121"/>
      <c r="AI112" s="1121">
        <v>23</v>
      </c>
      <c r="AJ112" s="1120">
        <f>SUM(AG112:AI112)</f>
        <v>23</v>
      </c>
      <c r="AK112" s="1121"/>
      <c r="AL112" s="1121"/>
      <c r="AM112" s="1121"/>
      <c r="AN112" s="1120"/>
      <c r="AO112" s="1121"/>
      <c r="AP112" s="1121"/>
      <c r="AQ112" s="1121">
        <v>29</v>
      </c>
      <c r="AR112" s="1106">
        <f>SUM(AO112:AQ112)</f>
        <v>29</v>
      </c>
      <c r="AS112" s="1121"/>
      <c r="AT112" s="1121"/>
      <c r="AU112" s="1121"/>
      <c r="AV112" s="1106"/>
      <c r="AW112" s="1121"/>
      <c r="AX112" s="1121"/>
      <c r="AY112" s="1121">
        <v>27</v>
      </c>
      <c r="AZ112" s="1106">
        <f>AW112+AX112+AY112</f>
        <v>27</v>
      </c>
      <c r="BA112" s="1121"/>
      <c r="BB112" s="1121"/>
      <c r="BC112" s="1121"/>
      <c r="BD112" s="1106"/>
      <c r="BE112" s="1121"/>
      <c r="BF112" s="1121"/>
      <c r="BG112" s="1121">
        <v>39</v>
      </c>
      <c r="BH112" s="1106">
        <f t="shared" si="80"/>
        <v>39</v>
      </c>
      <c r="BI112" s="1121"/>
      <c r="BJ112" s="1121"/>
      <c r="BK112" s="1121"/>
      <c r="BL112" s="1106">
        <f t="shared" si="77"/>
        <v>0</v>
      </c>
      <c r="BM112" s="1121"/>
      <c r="BN112" s="1121"/>
      <c r="BO112" s="1121">
        <v>28</v>
      </c>
      <c r="BP112" s="1106">
        <f t="shared" si="78"/>
        <v>28</v>
      </c>
      <c r="BQ112" s="1121"/>
      <c r="BR112" s="1121"/>
      <c r="BS112" s="1121"/>
      <c r="BT112" s="1106">
        <f t="shared" si="79"/>
        <v>0</v>
      </c>
      <c r="BU112" s="4574"/>
      <c r="BV112" s="1121"/>
      <c r="BW112" s="1121">
        <v>23</v>
      </c>
      <c r="BX112" s="1106">
        <f t="shared" si="75"/>
        <v>23</v>
      </c>
      <c r="BY112" s="4574"/>
      <c r="BZ112" s="1121"/>
      <c r="CA112" s="1121"/>
      <c r="CB112" s="1106">
        <f t="shared" si="76"/>
        <v>0</v>
      </c>
    </row>
    <row r="113" spans="1:80" s="212" customFormat="1" ht="15" x14ac:dyDescent="0.25">
      <c r="A113" s="6255"/>
      <c r="B113" s="6183"/>
      <c r="C113" s="6266"/>
      <c r="D113" s="1103" t="s">
        <v>1484</v>
      </c>
      <c r="E113" s="1122"/>
      <c r="F113" s="1119"/>
      <c r="G113" s="1119"/>
      <c r="H113" s="1120"/>
      <c r="I113" s="1122"/>
      <c r="J113" s="1119"/>
      <c r="K113" s="1119">
        <v>29</v>
      </c>
      <c r="L113" s="1120">
        <v>29</v>
      </c>
      <c r="M113" s="1122"/>
      <c r="N113" s="1119"/>
      <c r="O113" s="1119"/>
      <c r="P113" s="1120"/>
      <c r="Q113" s="1122"/>
      <c r="R113" s="1119"/>
      <c r="S113" s="1119">
        <v>22</v>
      </c>
      <c r="T113" s="1120">
        <v>22</v>
      </c>
      <c r="U113" s="1122"/>
      <c r="V113" s="1119"/>
      <c r="W113" s="1119"/>
      <c r="X113" s="1120"/>
      <c r="Y113" s="1121"/>
      <c r="Z113" s="1121"/>
      <c r="AA113" s="1121">
        <v>17</v>
      </c>
      <c r="AB113" s="1120">
        <f>SUM(Y113:AA113)</f>
        <v>17</v>
      </c>
      <c r="AC113" s="1121"/>
      <c r="AD113" s="1121"/>
      <c r="AE113" s="1121"/>
      <c r="AF113" s="1120"/>
      <c r="AG113" s="1121"/>
      <c r="AH113" s="1121"/>
      <c r="AI113" s="1121">
        <v>12</v>
      </c>
      <c r="AJ113" s="1120">
        <f>SUM(AG113:AI113)</f>
        <v>12</v>
      </c>
      <c r="AK113" s="1121"/>
      <c r="AL113" s="1121"/>
      <c r="AM113" s="1121"/>
      <c r="AN113" s="1120"/>
      <c r="AO113" s="1121"/>
      <c r="AP113" s="1121"/>
      <c r="AQ113" s="1121">
        <v>24</v>
      </c>
      <c r="AR113" s="1106">
        <f>SUM(AO113:AQ113)</f>
        <v>24</v>
      </c>
      <c r="AS113" s="1121"/>
      <c r="AT113" s="1121"/>
      <c r="AU113" s="1121"/>
      <c r="AV113" s="1106"/>
      <c r="AW113" s="1121"/>
      <c r="AX113" s="1121"/>
      <c r="AY113" s="1121">
        <v>26</v>
      </c>
      <c r="AZ113" s="1106">
        <f>AW113+AX113+AY113</f>
        <v>26</v>
      </c>
      <c r="BA113" s="1121"/>
      <c r="BB113" s="1121"/>
      <c r="BC113" s="1121"/>
      <c r="BD113" s="1106"/>
      <c r="BE113" s="1121"/>
      <c r="BF113" s="1121"/>
      <c r="BG113" s="1121">
        <v>28</v>
      </c>
      <c r="BH113" s="1106">
        <f t="shared" si="80"/>
        <v>28</v>
      </c>
      <c r="BI113" s="1121"/>
      <c r="BJ113" s="1121"/>
      <c r="BK113" s="1121"/>
      <c r="BL113" s="1106">
        <f t="shared" si="77"/>
        <v>0</v>
      </c>
      <c r="BM113" s="1121"/>
      <c r="BN113" s="1121"/>
      <c r="BO113" s="1121">
        <v>14</v>
      </c>
      <c r="BP113" s="1106">
        <f t="shared" si="78"/>
        <v>14</v>
      </c>
      <c r="BQ113" s="1121"/>
      <c r="BR113" s="1121"/>
      <c r="BS113" s="1121"/>
      <c r="BT113" s="1106">
        <f t="shared" si="79"/>
        <v>0</v>
      </c>
      <c r="BU113" s="4574"/>
      <c r="BV113" s="1121"/>
      <c r="BW113" s="1121">
        <v>18</v>
      </c>
      <c r="BX113" s="1106">
        <f t="shared" si="75"/>
        <v>18</v>
      </c>
      <c r="BY113" s="4574"/>
      <c r="BZ113" s="1121"/>
      <c r="CA113" s="1121"/>
      <c r="CB113" s="1106">
        <f t="shared" si="76"/>
        <v>0</v>
      </c>
    </row>
    <row r="114" spans="1:80" s="212" customFormat="1" ht="15" x14ac:dyDescent="0.25">
      <c r="A114" s="6255"/>
      <c r="B114" s="6183"/>
      <c r="C114" s="6266"/>
      <c r="D114" s="1103" t="s">
        <v>19</v>
      </c>
      <c r="E114" s="1122"/>
      <c r="F114" s="1119"/>
      <c r="G114" s="1119"/>
      <c r="H114" s="1120"/>
      <c r="I114" s="1122"/>
      <c r="J114" s="1119"/>
      <c r="K114" s="1119">
        <v>28</v>
      </c>
      <c r="L114" s="1120">
        <v>28</v>
      </c>
      <c r="M114" s="1122"/>
      <c r="N114" s="1119"/>
      <c r="O114" s="1119"/>
      <c r="P114" s="1120"/>
      <c r="Q114" s="1122"/>
      <c r="R114" s="1119"/>
      <c r="S114" s="1119">
        <v>24</v>
      </c>
      <c r="T114" s="1120">
        <v>24</v>
      </c>
      <c r="U114" s="1122"/>
      <c r="V114" s="1119"/>
      <c r="W114" s="1119"/>
      <c r="X114" s="1120"/>
      <c r="Y114" s="1121"/>
      <c r="Z114" s="1121"/>
      <c r="AA114" s="1121">
        <v>20</v>
      </c>
      <c r="AB114" s="1120">
        <f>SUM(Y114:AA114)</f>
        <v>20</v>
      </c>
      <c r="AC114" s="1121"/>
      <c r="AD114" s="1121"/>
      <c r="AE114" s="1121"/>
      <c r="AF114" s="1120"/>
      <c r="AG114" s="1121"/>
      <c r="AH114" s="1121"/>
      <c r="AI114" s="1121">
        <v>25</v>
      </c>
      <c r="AJ114" s="1120">
        <f>SUM(AG114:AI114)</f>
        <v>25</v>
      </c>
      <c r="AK114" s="1121"/>
      <c r="AL114" s="1121"/>
      <c r="AM114" s="1121"/>
      <c r="AN114" s="1120"/>
      <c r="AO114" s="1121"/>
      <c r="AP114" s="1121"/>
      <c r="AQ114" s="1121">
        <v>26</v>
      </c>
      <c r="AR114" s="1106">
        <f>SUM(AO114:AQ114)</f>
        <v>26</v>
      </c>
      <c r="AS114" s="1121"/>
      <c r="AT114" s="1121"/>
      <c r="AU114" s="1121"/>
      <c r="AV114" s="1106"/>
      <c r="AW114" s="1121"/>
      <c r="AX114" s="1121"/>
      <c r="AY114" s="1121">
        <v>18</v>
      </c>
      <c r="AZ114" s="1106">
        <f>AW114+AX114+AY114</f>
        <v>18</v>
      </c>
      <c r="BA114" s="1121"/>
      <c r="BB114" s="1121"/>
      <c r="BC114" s="1121"/>
      <c r="BD114" s="1106"/>
      <c r="BE114" s="1121"/>
      <c r="BF114" s="1121"/>
      <c r="BG114" s="1121">
        <v>20</v>
      </c>
      <c r="BH114" s="1106">
        <f t="shared" si="80"/>
        <v>20</v>
      </c>
      <c r="BI114" s="1121"/>
      <c r="BJ114" s="1121"/>
      <c r="BK114" s="1121"/>
      <c r="BL114" s="1106">
        <f t="shared" si="77"/>
        <v>0</v>
      </c>
      <c r="BM114" s="1121"/>
      <c r="BN114" s="1121"/>
      <c r="BO114" s="1121">
        <v>19</v>
      </c>
      <c r="BP114" s="1106">
        <f t="shared" si="78"/>
        <v>19</v>
      </c>
      <c r="BQ114" s="1121"/>
      <c r="BR114" s="1121"/>
      <c r="BS114" s="1121"/>
      <c r="BT114" s="1106">
        <f t="shared" si="79"/>
        <v>0</v>
      </c>
      <c r="BU114" s="4574"/>
      <c r="BV114" s="1121"/>
      <c r="BW114" s="1121">
        <v>21</v>
      </c>
      <c r="BX114" s="1106">
        <f t="shared" si="75"/>
        <v>21</v>
      </c>
      <c r="BY114" s="4574"/>
      <c r="BZ114" s="1121"/>
      <c r="CA114" s="1121"/>
      <c r="CB114" s="1106">
        <f t="shared" si="76"/>
        <v>0</v>
      </c>
    </row>
    <row r="115" spans="1:80" s="212" customFormat="1" ht="15" x14ac:dyDescent="0.25">
      <c r="A115" s="6255"/>
      <c r="B115" s="6183"/>
      <c r="C115" s="6266"/>
      <c r="D115" s="1103" t="s">
        <v>88</v>
      </c>
      <c r="E115" s="1122"/>
      <c r="F115" s="1119"/>
      <c r="G115" s="1119"/>
      <c r="H115" s="1120"/>
      <c r="I115" s="1122"/>
      <c r="J115" s="1119"/>
      <c r="K115" s="1119">
        <v>18</v>
      </c>
      <c r="L115" s="1120">
        <v>18</v>
      </c>
      <c r="M115" s="1122"/>
      <c r="N115" s="1119"/>
      <c r="O115" s="1119"/>
      <c r="P115" s="1120"/>
      <c r="Q115" s="1122"/>
      <c r="R115" s="1119"/>
      <c r="S115" s="1119">
        <v>27</v>
      </c>
      <c r="T115" s="1120">
        <v>27</v>
      </c>
      <c r="U115" s="1122"/>
      <c r="V115" s="1119"/>
      <c r="W115" s="1119"/>
      <c r="X115" s="1120"/>
      <c r="Y115" s="1121"/>
      <c r="Z115" s="1121"/>
      <c r="AA115" s="1121">
        <v>18</v>
      </c>
      <c r="AB115" s="1120">
        <f>SUM(Y115:AA115)</f>
        <v>18</v>
      </c>
      <c r="AC115" s="1121"/>
      <c r="AD115" s="1121"/>
      <c r="AE115" s="1121"/>
      <c r="AF115" s="1120"/>
      <c r="AG115" s="1121"/>
      <c r="AH115" s="1121"/>
      <c r="AI115" s="1121">
        <v>24</v>
      </c>
      <c r="AJ115" s="1120">
        <f>SUM(AG115:AI115)</f>
        <v>24</v>
      </c>
      <c r="AK115" s="1121"/>
      <c r="AL115" s="1121"/>
      <c r="AM115" s="1121"/>
      <c r="AN115" s="1120"/>
      <c r="AO115" s="1121"/>
      <c r="AP115" s="1121"/>
      <c r="AQ115" s="1121">
        <v>18</v>
      </c>
      <c r="AR115" s="1106">
        <f>SUM(AO115:AQ115)</f>
        <v>18</v>
      </c>
      <c r="AS115" s="1121"/>
      <c r="AT115" s="1121"/>
      <c r="AU115" s="1121"/>
      <c r="AV115" s="1106"/>
      <c r="AW115" s="1121"/>
      <c r="AX115" s="1121"/>
      <c r="AY115" s="1121">
        <v>20</v>
      </c>
      <c r="AZ115" s="1106">
        <f>AW115+AX115+AY115</f>
        <v>20</v>
      </c>
      <c r="BA115" s="1121"/>
      <c r="BB115" s="1121"/>
      <c r="BC115" s="1121"/>
      <c r="BD115" s="1106"/>
      <c r="BE115" s="1121"/>
      <c r="BF115" s="1121"/>
      <c r="BG115" s="1121">
        <v>14</v>
      </c>
      <c r="BH115" s="1106">
        <f t="shared" si="80"/>
        <v>14</v>
      </c>
      <c r="BI115" s="1121"/>
      <c r="BJ115" s="1121"/>
      <c r="BK115" s="1121"/>
      <c r="BL115" s="1106">
        <f t="shared" si="77"/>
        <v>0</v>
      </c>
      <c r="BM115" s="1121"/>
      <c r="BN115" s="1121"/>
      <c r="BO115" s="1121">
        <v>18</v>
      </c>
      <c r="BP115" s="1106">
        <f t="shared" si="78"/>
        <v>18</v>
      </c>
      <c r="BQ115" s="1121"/>
      <c r="BR115" s="1121"/>
      <c r="BS115" s="1121"/>
      <c r="BT115" s="1106">
        <f t="shared" si="79"/>
        <v>0</v>
      </c>
      <c r="BU115" s="4574"/>
      <c r="BV115" s="1121"/>
      <c r="BW115" s="1121">
        <v>17</v>
      </c>
      <c r="BX115" s="1106">
        <f t="shared" si="75"/>
        <v>17</v>
      </c>
      <c r="BY115" s="4574"/>
      <c r="BZ115" s="1121"/>
      <c r="CA115" s="1121"/>
      <c r="CB115" s="1106">
        <f t="shared" si="76"/>
        <v>0</v>
      </c>
    </row>
    <row r="116" spans="1:80" s="212" customFormat="1" ht="15" x14ac:dyDescent="0.25">
      <c r="A116" s="6255"/>
      <c r="B116" s="6183"/>
      <c r="C116" s="6266"/>
      <c r="D116" s="1103" t="s">
        <v>391</v>
      </c>
      <c r="E116" s="1122"/>
      <c r="F116" s="1119"/>
      <c r="G116" s="1119"/>
      <c r="H116" s="1120"/>
      <c r="I116" s="1122"/>
      <c r="J116" s="1119">
        <v>25</v>
      </c>
      <c r="K116" s="1119"/>
      <c r="L116" s="1120">
        <v>25</v>
      </c>
      <c r="M116" s="1122"/>
      <c r="N116" s="1119"/>
      <c r="O116" s="1119"/>
      <c r="P116" s="1120"/>
      <c r="Q116" s="1122"/>
      <c r="R116" s="1119">
        <v>25</v>
      </c>
      <c r="S116" s="1119"/>
      <c r="T116" s="1120">
        <v>25</v>
      </c>
      <c r="U116" s="1122"/>
      <c r="V116" s="1119"/>
      <c r="W116" s="1119"/>
      <c r="X116" s="1120"/>
      <c r="Y116" s="1121"/>
      <c r="Z116" s="1121"/>
      <c r="AA116" s="1121">
        <v>25</v>
      </c>
      <c r="AB116" s="1120">
        <f>SUM(Y116:AA116)</f>
        <v>25</v>
      </c>
      <c r="AC116" s="1121"/>
      <c r="AD116" s="1121"/>
      <c r="AE116" s="1121"/>
      <c r="AF116" s="1120"/>
      <c r="AG116" s="1121"/>
      <c r="AH116" s="1121"/>
      <c r="AI116" s="1121">
        <v>19</v>
      </c>
      <c r="AJ116" s="1120">
        <f>SUM(AG116:AI116)</f>
        <v>19</v>
      </c>
      <c r="AK116" s="1121"/>
      <c r="AL116" s="1121"/>
      <c r="AM116" s="1121"/>
      <c r="AN116" s="1120"/>
      <c r="AO116" s="1121"/>
      <c r="AP116" s="1121"/>
      <c r="AQ116" s="1121">
        <v>18</v>
      </c>
      <c r="AR116" s="1106">
        <f>SUM(AO116:AQ116)</f>
        <v>18</v>
      </c>
      <c r="AS116" s="1121"/>
      <c r="AT116" s="1121"/>
      <c r="AU116" s="1121"/>
      <c r="AV116" s="1106"/>
      <c r="AW116" s="1121"/>
      <c r="AX116" s="1121"/>
      <c r="AY116" s="1121">
        <v>15</v>
      </c>
      <c r="AZ116" s="1106">
        <f>AW116+AX116+AY116</f>
        <v>15</v>
      </c>
      <c r="BA116" s="1121"/>
      <c r="BB116" s="1121"/>
      <c r="BC116" s="1121"/>
      <c r="BD116" s="1106"/>
      <c r="BE116" s="1121"/>
      <c r="BF116" s="1121"/>
      <c r="BG116" s="1121">
        <v>14</v>
      </c>
      <c r="BH116" s="1106">
        <f t="shared" si="80"/>
        <v>14</v>
      </c>
      <c r="BI116" s="1121"/>
      <c r="BJ116" s="1121"/>
      <c r="BK116" s="1121"/>
      <c r="BL116" s="1106">
        <f t="shared" si="77"/>
        <v>0</v>
      </c>
      <c r="BM116" s="1121"/>
      <c r="BN116" s="1121"/>
      <c r="BO116" s="1121">
        <v>17</v>
      </c>
      <c r="BP116" s="1106">
        <f t="shared" si="78"/>
        <v>17</v>
      </c>
      <c r="BQ116" s="1121"/>
      <c r="BR116" s="1121"/>
      <c r="BS116" s="1121"/>
      <c r="BT116" s="1106">
        <f t="shared" si="79"/>
        <v>0</v>
      </c>
      <c r="BU116" s="4574"/>
      <c r="BV116" s="1121"/>
      <c r="BW116" s="1121">
        <v>16</v>
      </c>
      <c r="BX116" s="1106">
        <f t="shared" si="75"/>
        <v>16</v>
      </c>
      <c r="BY116" s="4574"/>
      <c r="BZ116" s="1121"/>
      <c r="CA116" s="1121"/>
      <c r="CB116" s="1106">
        <f t="shared" si="76"/>
        <v>0</v>
      </c>
    </row>
    <row r="117" spans="1:80" s="212" customFormat="1" ht="15" x14ac:dyDescent="0.25">
      <c r="A117" s="6255"/>
      <c r="B117" s="6183"/>
      <c r="C117" s="6266"/>
      <c r="D117" s="1103" t="s">
        <v>416</v>
      </c>
      <c r="E117" s="1122"/>
      <c r="F117" s="1119"/>
      <c r="G117" s="1119"/>
      <c r="H117" s="1120"/>
      <c r="I117" s="1122"/>
      <c r="J117" s="1119"/>
      <c r="K117" s="1119"/>
      <c r="L117" s="1120"/>
      <c r="M117" s="1122"/>
      <c r="N117" s="1119"/>
      <c r="O117" s="1119"/>
      <c r="P117" s="1120"/>
      <c r="Q117" s="1122"/>
      <c r="R117" s="1119"/>
      <c r="S117" s="1119"/>
      <c r="T117" s="1120"/>
      <c r="U117" s="1122"/>
      <c r="V117" s="1119"/>
      <c r="W117" s="1119"/>
      <c r="X117" s="1120"/>
      <c r="Y117" s="1121"/>
      <c r="Z117" s="1121"/>
      <c r="AA117" s="1121"/>
      <c r="AB117" s="1120"/>
      <c r="AC117" s="1121"/>
      <c r="AD117" s="1121"/>
      <c r="AE117" s="1121"/>
      <c r="AF117" s="1120"/>
      <c r="AG117" s="1121"/>
      <c r="AH117" s="1121"/>
      <c r="AI117" s="1121"/>
      <c r="AJ117" s="1120"/>
      <c r="AK117" s="1121"/>
      <c r="AL117" s="1121"/>
      <c r="AM117" s="1121"/>
      <c r="AN117" s="1120"/>
      <c r="AO117" s="1121"/>
      <c r="AP117" s="1121"/>
      <c r="AQ117" s="1121"/>
      <c r="AR117" s="1106"/>
      <c r="AS117" s="1121"/>
      <c r="AT117" s="1121"/>
      <c r="AU117" s="1121"/>
      <c r="AV117" s="1106"/>
      <c r="AW117" s="1121"/>
      <c r="AX117" s="1121"/>
      <c r="AY117" s="1121"/>
      <c r="AZ117" s="1106"/>
      <c r="BA117" s="1121"/>
      <c r="BB117" s="1121"/>
      <c r="BC117" s="1121"/>
      <c r="BD117" s="1106"/>
      <c r="BE117" s="1121">
        <v>19</v>
      </c>
      <c r="BF117" s="1121"/>
      <c r="BG117" s="1121"/>
      <c r="BH117" s="1106">
        <f t="shared" si="80"/>
        <v>19</v>
      </c>
      <c r="BI117" s="1121"/>
      <c r="BJ117" s="1121"/>
      <c r="BK117" s="1121"/>
      <c r="BL117" s="1106">
        <f t="shared" si="77"/>
        <v>0</v>
      </c>
      <c r="BM117" s="1121">
        <v>21</v>
      </c>
      <c r="BN117" s="1121"/>
      <c r="BO117" s="1121"/>
      <c r="BP117" s="1106">
        <f t="shared" si="78"/>
        <v>21</v>
      </c>
      <c r="BQ117" s="1121"/>
      <c r="BR117" s="1121"/>
      <c r="BS117" s="1121"/>
      <c r="BT117" s="1106">
        <f t="shared" si="79"/>
        <v>0</v>
      </c>
      <c r="BU117" s="4574">
        <v>23</v>
      </c>
      <c r="BV117" s="1121"/>
      <c r="BW117" s="1121"/>
      <c r="BX117" s="1106">
        <f t="shared" si="75"/>
        <v>23</v>
      </c>
      <c r="BY117" s="4574"/>
      <c r="BZ117" s="1121"/>
      <c r="CA117" s="1121"/>
      <c r="CB117" s="1106">
        <f t="shared" si="76"/>
        <v>0</v>
      </c>
    </row>
    <row r="118" spans="1:80" s="212" customFormat="1" ht="15" x14ac:dyDescent="0.25">
      <c r="A118" s="6255"/>
      <c r="B118" s="6183"/>
      <c r="C118" s="6266"/>
      <c r="D118" s="1107" t="s">
        <v>139</v>
      </c>
      <c r="E118" s="1122"/>
      <c r="F118" s="1119"/>
      <c r="G118" s="1119"/>
      <c r="H118" s="1120"/>
      <c r="I118" s="1122"/>
      <c r="J118" s="1119"/>
      <c r="K118" s="1119"/>
      <c r="L118" s="1120"/>
      <c r="M118" s="1122"/>
      <c r="N118" s="1119"/>
      <c r="O118" s="1119"/>
      <c r="P118" s="1120"/>
      <c r="Q118" s="1122">
        <v>10</v>
      </c>
      <c r="R118" s="1119"/>
      <c r="S118" s="1119"/>
      <c r="T118" s="1120">
        <v>10</v>
      </c>
      <c r="U118" s="1122"/>
      <c r="V118" s="1119"/>
      <c r="W118" s="1119"/>
      <c r="X118" s="1120"/>
      <c r="Y118" s="1121">
        <v>4</v>
      </c>
      <c r="Z118" s="1121"/>
      <c r="AA118" s="1121"/>
      <c r="AB118" s="1120">
        <f>SUM(Y118:AA118)</f>
        <v>4</v>
      </c>
      <c r="AC118" s="1121">
        <v>2</v>
      </c>
      <c r="AD118" s="1121"/>
      <c r="AE118" s="1121"/>
      <c r="AF118" s="1120">
        <f>SUM(AC118:AE118)</f>
        <v>2</v>
      </c>
      <c r="AG118" s="1121">
        <v>10</v>
      </c>
      <c r="AH118" s="1121"/>
      <c r="AI118" s="1121"/>
      <c r="AJ118" s="1120">
        <f>SUM(AG118:AI118)</f>
        <v>10</v>
      </c>
      <c r="AK118" s="1121"/>
      <c r="AL118" s="1121"/>
      <c r="AM118" s="1121"/>
      <c r="AN118" s="1120"/>
      <c r="AO118" s="1121"/>
      <c r="AP118" s="1121"/>
      <c r="AQ118" s="1121"/>
      <c r="AR118" s="1106"/>
      <c r="AS118" s="1121"/>
      <c r="AT118" s="1121"/>
      <c r="AU118" s="1121"/>
      <c r="AV118" s="1106"/>
      <c r="AW118" s="1121"/>
      <c r="AX118" s="1121"/>
      <c r="AY118" s="1121"/>
      <c r="AZ118" s="1106"/>
      <c r="BA118" s="1121"/>
      <c r="BB118" s="1121"/>
      <c r="BC118" s="1121"/>
      <c r="BD118" s="1106"/>
      <c r="BE118" s="1121"/>
      <c r="BF118" s="1121"/>
      <c r="BG118" s="1121"/>
      <c r="BH118" s="1106"/>
      <c r="BI118" s="1121"/>
      <c r="BJ118" s="1121"/>
      <c r="BK118" s="1121"/>
      <c r="BL118" s="1106">
        <f t="shared" si="77"/>
        <v>0</v>
      </c>
      <c r="BM118" s="1121"/>
      <c r="BN118" s="1121"/>
      <c r="BO118" s="1121"/>
      <c r="BP118" s="1106">
        <f t="shared" si="78"/>
        <v>0</v>
      </c>
      <c r="BQ118" s="1121"/>
      <c r="BR118" s="1121"/>
      <c r="BS118" s="1121"/>
      <c r="BT118" s="1106">
        <f t="shared" si="79"/>
        <v>0</v>
      </c>
      <c r="BU118" s="4574"/>
      <c r="BV118" s="1121"/>
      <c r="BW118" s="1121"/>
      <c r="BX118" s="1106">
        <f t="shared" si="75"/>
        <v>0</v>
      </c>
      <c r="BY118" s="4574"/>
      <c r="BZ118" s="1121"/>
      <c r="CA118" s="1121"/>
      <c r="CB118" s="1106">
        <f t="shared" si="76"/>
        <v>0</v>
      </c>
    </row>
    <row r="119" spans="1:80" s="212" customFormat="1" ht="15" x14ac:dyDescent="0.25">
      <c r="A119" s="6255"/>
      <c r="B119" s="6183"/>
      <c r="C119" s="6266"/>
      <c r="D119" s="1107" t="s">
        <v>1581</v>
      </c>
      <c r="E119" s="1122"/>
      <c r="F119" s="1119"/>
      <c r="G119" s="1119"/>
      <c r="H119" s="1120"/>
      <c r="I119" s="1122"/>
      <c r="J119" s="1119"/>
      <c r="K119" s="1119"/>
      <c r="L119" s="1120"/>
      <c r="M119" s="1122"/>
      <c r="N119" s="1119"/>
      <c r="O119" s="1119"/>
      <c r="P119" s="1120"/>
      <c r="Q119" s="1122"/>
      <c r="R119" s="1119"/>
      <c r="S119" s="1119"/>
      <c r="T119" s="1120"/>
      <c r="U119" s="1122"/>
      <c r="V119" s="1119"/>
      <c r="W119" s="1119"/>
      <c r="X119" s="1120"/>
      <c r="Y119" s="1121"/>
      <c r="Z119" s="1121"/>
      <c r="AA119" s="1121"/>
      <c r="AB119" s="1120"/>
      <c r="AC119" s="1121"/>
      <c r="AD119" s="1121"/>
      <c r="AE119" s="1121"/>
      <c r="AF119" s="1120"/>
      <c r="AG119" s="1121"/>
      <c r="AH119" s="1121"/>
      <c r="AI119" s="1121"/>
      <c r="AJ119" s="1120"/>
      <c r="AK119" s="1121"/>
      <c r="AL119" s="1121"/>
      <c r="AM119" s="1121"/>
      <c r="AN119" s="1120"/>
      <c r="AO119" s="1121"/>
      <c r="AP119" s="1121"/>
      <c r="AQ119" s="1121"/>
      <c r="AR119" s="1106"/>
      <c r="AS119" s="1121"/>
      <c r="AT119" s="1121"/>
      <c r="AU119" s="1121"/>
      <c r="AV119" s="1106"/>
      <c r="AW119" s="1121"/>
      <c r="AX119" s="1121"/>
      <c r="AY119" s="1121"/>
      <c r="AZ119" s="1106"/>
      <c r="BA119" s="1121"/>
      <c r="BB119" s="1121"/>
      <c r="BC119" s="1121"/>
      <c r="BD119" s="1106"/>
      <c r="BE119" s="1121"/>
      <c r="BF119" s="1121"/>
      <c r="BG119" s="1121"/>
      <c r="BH119" s="1106"/>
      <c r="BI119" s="1121"/>
      <c r="BJ119" s="1121"/>
      <c r="BK119" s="1121"/>
      <c r="BL119" s="1106"/>
      <c r="BM119" s="1121"/>
      <c r="BN119" s="1121"/>
      <c r="BO119" s="1121"/>
      <c r="BP119" s="1106"/>
      <c r="BQ119" s="1121"/>
      <c r="BR119" s="1121"/>
      <c r="BS119" s="1121"/>
      <c r="BT119" s="1106"/>
      <c r="BU119" s="4574"/>
      <c r="BV119" s="1121"/>
      <c r="BW119" s="1121"/>
      <c r="BX119" s="1106"/>
      <c r="BY119" s="4574">
        <v>19</v>
      </c>
      <c r="BZ119" s="1121"/>
      <c r="CA119" s="1121"/>
      <c r="CB119" s="1106">
        <f t="shared" si="76"/>
        <v>19</v>
      </c>
    </row>
    <row r="120" spans="1:80" s="212" customFormat="1" ht="15" x14ac:dyDescent="0.25">
      <c r="A120" s="6255"/>
      <c r="B120" s="6183"/>
      <c r="C120" s="6264"/>
      <c r="D120" s="1107" t="s">
        <v>1580</v>
      </c>
      <c r="E120" s="1122"/>
      <c r="F120" s="1119"/>
      <c r="G120" s="1119"/>
      <c r="H120" s="1120"/>
      <c r="I120" s="1122"/>
      <c r="J120" s="1119"/>
      <c r="K120" s="1119"/>
      <c r="L120" s="1120"/>
      <c r="M120" s="1122"/>
      <c r="N120" s="1119"/>
      <c r="O120" s="1119"/>
      <c r="P120" s="1120"/>
      <c r="Q120" s="1122"/>
      <c r="R120" s="1119"/>
      <c r="S120" s="1119"/>
      <c r="T120" s="1120"/>
      <c r="U120" s="1122"/>
      <c r="V120" s="1119"/>
      <c r="W120" s="1119"/>
      <c r="X120" s="1120"/>
      <c r="Y120" s="1121"/>
      <c r="Z120" s="1121"/>
      <c r="AA120" s="1121"/>
      <c r="AB120" s="1120"/>
      <c r="AC120" s="1121"/>
      <c r="AD120" s="1121"/>
      <c r="AE120" s="1121"/>
      <c r="AF120" s="1120"/>
      <c r="AG120" s="1121"/>
      <c r="AH120" s="1121"/>
      <c r="AI120" s="1121"/>
      <c r="AJ120" s="1120"/>
      <c r="AK120" s="1121"/>
      <c r="AL120" s="1121"/>
      <c r="AM120" s="1121"/>
      <c r="AN120" s="1120"/>
      <c r="AO120" s="1121"/>
      <c r="AP120" s="1121"/>
      <c r="AQ120" s="1121"/>
      <c r="AR120" s="1106"/>
      <c r="AS120" s="1121"/>
      <c r="AT120" s="1121"/>
      <c r="AU120" s="1121"/>
      <c r="AV120" s="1106"/>
      <c r="AW120" s="1121"/>
      <c r="AX120" s="1121"/>
      <c r="AY120" s="1121"/>
      <c r="AZ120" s="1106"/>
      <c r="BA120" s="1121"/>
      <c r="BB120" s="1121"/>
      <c r="BC120" s="1121"/>
      <c r="BD120" s="1106"/>
      <c r="BE120" s="1121"/>
      <c r="BF120" s="1121"/>
      <c r="BG120" s="1121"/>
      <c r="BH120" s="1106"/>
      <c r="BI120" s="1121"/>
      <c r="BJ120" s="1121"/>
      <c r="BK120" s="1121"/>
      <c r="BL120" s="1106"/>
      <c r="BM120" s="1121"/>
      <c r="BN120" s="1121"/>
      <c r="BO120" s="1121"/>
      <c r="BP120" s="1106"/>
      <c r="BQ120" s="1121"/>
      <c r="BR120" s="1121"/>
      <c r="BS120" s="1121"/>
      <c r="BT120" s="1106"/>
      <c r="BU120" s="4574"/>
      <c r="BV120" s="1121"/>
      <c r="BW120" s="1121"/>
      <c r="BX120" s="1106"/>
      <c r="BY120" s="4574">
        <v>4</v>
      </c>
      <c r="BZ120" s="1121"/>
      <c r="CA120" s="1121"/>
      <c r="CB120" s="1106">
        <f t="shared" si="76"/>
        <v>4</v>
      </c>
    </row>
    <row r="121" spans="1:80" s="212" customFormat="1" ht="15" x14ac:dyDescent="0.25">
      <c r="A121" s="6255"/>
      <c r="B121" s="6183"/>
      <c r="C121" s="6265" t="s">
        <v>520</v>
      </c>
      <c r="D121" s="1107" t="s">
        <v>90</v>
      </c>
      <c r="E121" s="1122"/>
      <c r="F121" s="1119"/>
      <c r="G121" s="1119"/>
      <c r="H121" s="1120"/>
      <c r="I121" s="1122"/>
      <c r="J121" s="1119"/>
      <c r="K121" s="1119"/>
      <c r="L121" s="1120"/>
      <c r="M121" s="1122"/>
      <c r="N121" s="1119"/>
      <c r="O121" s="1119"/>
      <c r="P121" s="1120"/>
      <c r="Q121" s="1122">
        <v>9</v>
      </c>
      <c r="R121" s="1119"/>
      <c r="S121" s="1119"/>
      <c r="T121" s="1120">
        <v>9</v>
      </c>
      <c r="U121" s="1122"/>
      <c r="V121" s="1119"/>
      <c r="W121" s="1119">
        <v>14</v>
      </c>
      <c r="X121" s="1120">
        <f>SUM(U121:W121)</f>
        <v>14</v>
      </c>
      <c r="Y121" s="1121"/>
      <c r="Z121" s="1121"/>
      <c r="AA121" s="1121"/>
      <c r="AB121" s="1120"/>
      <c r="AC121" s="1121"/>
      <c r="AD121" s="1121"/>
      <c r="AE121" s="1121">
        <v>10</v>
      </c>
      <c r="AF121" s="1120">
        <f>SUM(AC121:AE121)</f>
        <v>10</v>
      </c>
      <c r="AG121" s="1121"/>
      <c r="AH121" s="1121"/>
      <c r="AI121" s="1121"/>
      <c r="AJ121" s="1120"/>
      <c r="AK121" s="1121"/>
      <c r="AL121" s="1121"/>
      <c r="AM121" s="1121">
        <v>11</v>
      </c>
      <c r="AN121" s="1120">
        <f>SUM(AK121:AM121)</f>
        <v>11</v>
      </c>
      <c r="AO121" s="1121"/>
      <c r="AP121" s="1121"/>
      <c r="AQ121" s="1121"/>
      <c r="AR121" s="1106"/>
      <c r="AS121" s="1121" t="s">
        <v>227</v>
      </c>
      <c r="AT121" s="1121" t="s">
        <v>227</v>
      </c>
      <c r="AU121" s="1121">
        <v>9</v>
      </c>
      <c r="AV121" s="1106">
        <f>SUM(AS121:AU121)</f>
        <v>9</v>
      </c>
      <c r="AW121" s="1121"/>
      <c r="AX121" s="1121"/>
      <c r="AY121" s="1121"/>
      <c r="AZ121" s="1106"/>
      <c r="BA121" s="1121"/>
      <c r="BB121" s="1121"/>
      <c r="BC121" s="1121">
        <v>22</v>
      </c>
      <c r="BD121" s="1106">
        <f>BA121+BB121+BC121</f>
        <v>22</v>
      </c>
      <c r="BE121" s="1121"/>
      <c r="BF121" s="1121"/>
      <c r="BG121" s="1121"/>
      <c r="BH121" s="1106"/>
      <c r="BI121" s="1121"/>
      <c r="BJ121" s="1121"/>
      <c r="BK121" s="1121">
        <v>17</v>
      </c>
      <c r="BL121" s="1106">
        <f t="shared" si="77"/>
        <v>17</v>
      </c>
      <c r="BM121" s="1121"/>
      <c r="BN121" s="1121"/>
      <c r="BO121" s="1121"/>
      <c r="BP121" s="1106">
        <f t="shared" si="78"/>
        <v>0</v>
      </c>
      <c r="BQ121" s="1121"/>
      <c r="BR121" s="1121">
        <v>1</v>
      </c>
      <c r="BS121" s="1121">
        <v>23</v>
      </c>
      <c r="BT121" s="1106">
        <f t="shared" si="79"/>
        <v>24</v>
      </c>
      <c r="BU121" s="4574"/>
      <c r="BV121" s="1121"/>
      <c r="BW121" s="1121"/>
      <c r="BX121" s="1106">
        <f t="shared" si="75"/>
        <v>0</v>
      </c>
      <c r="BY121" s="4574"/>
      <c r="BZ121" s="1121"/>
      <c r="CA121" s="1121">
        <v>22</v>
      </c>
      <c r="CB121" s="1106">
        <f t="shared" si="76"/>
        <v>22</v>
      </c>
    </row>
    <row r="122" spans="1:80" s="212" customFormat="1" ht="15" x14ac:dyDescent="0.25">
      <c r="A122" s="6255"/>
      <c r="B122" s="6183"/>
      <c r="C122" s="6266"/>
      <c r="D122" s="1107" t="s">
        <v>143</v>
      </c>
      <c r="E122" s="1122"/>
      <c r="F122" s="1119"/>
      <c r="G122" s="1119"/>
      <c r="H122" s="1120"/>
      <c r="I122" s="1122">
        <v>3</v>
      </c>
      <c r="J122" s="1119"/>
      <c r="K122" s="1119"/>
      <c r="L122" s="1120">
        <v>3</v>
      </c>
      <c r="M122" s="1122">
        <v>2</v>
      </c>
      <c r="N122" s="1119"/>
      <c r="O122" s="1119"/>
      <c r="P122" s="1120">
        <v>2</v>
      </c>
      <c r="Q122" s="1122">
        <v>4</v>
      </c>
      <c r="R122" s="1119"/>
      <c r="S122" s="1119"/>
      <c r="T122" s="1120">
        <v>4</v>
      </c>
      <c r="U122" s="1122">
        <v>3</v>
      </c>
      <c r="V122" s="1119"/>
      <c r="W122" s="1119"/>
      <c r="X122" s="1120">
        <f>SUM(U122:W122)</f>
        <v>3</v>
      </c>
      <c r="Y122" s="1121">
        <v>7</v>
      </c>
      <c r="Z122" s="1121"/>
      <c r="AA122" s="1121"/>
      <c r="AB122" s="1120">
        <f>SUM(Y122:AA122)</f>
        <v>7</v>
      </c>
      <c r="AC122" s="1121">
        <v>3</v>
      </c>
      <c r="AD122" s="1121"/>
      <c r="AE122" s="1121"/>
      <c r="AF122" s="1120">
        <f>SUM(AC122:AE122)</f>
        <v>3</v>
      </c>
      <c r="AG122" s="1121">
        <v>2</v>
      </c>
      <c r="AH122" s="1121"/>
      <c r="AI122" s="1121"/>
      <c r="AJ122" s="1120">
        <f>SUM(AG122:AI122)</f>
        <v>2</v>
      </c>
      <c r="AK122" s="1121"/>
      <c r="AL122" s="1121"/>
      <c r="AM122" s="1121"/>
      <c r="AN122" s="1120"/>
      <c r="AO122" s="1121"/>
      <c r="AP122" s="1121"/>
      <c r="AQ122" s="1121"/>
      <c r="AR122" s="1106"/>
      <c r="AS122" s="1121"/>
      <c r="AT122" s="1121"/>
      <c r="AU122" s="1121"/>
      <c r="AV122" s="1106"/>
      <c r="AW122" s="1121"/>
      <c r="AX122" s="1121"/>
      <c r="AY122" s="1121"/>
      <c r="AZ122" s="1106"/>
      <c r="BA122" s="1121"/>
      <c r="BB122" s="1121"/>
      <c r="BC122" s="1121"/>
      <c r="BD122" s="1106"/>
      <c r="BE122" s="1121"/>
      <c r="BF122" s="1121"/>
      <c r="BG122" s="1121"/>
      <c r="BH122" s="1106"/>
      <c r="BI122" s="1121"/>
      <c r="BJ122" s="1121"/>
      <c r="BK122" s="1121"/>
      <c r="BL122" s="1106">
        <f t="shared" si="77"/>
        <v>0</v>
      </c>
      <c r="BM122" s="1121"/>
      <c r="BN122" s="1121"/>
      <c r="BO122" s="1121"/>
      <c r="BP122" s="1106">
        <f t="shared" si="78"/>
        <v>0</v>
      </c>
      <c r="BQ122" s="1121"/>
      <c r="BR122" s="1121"/>
      <c r="BS122" s="1121"/>
      <c r="BT122" s="1106">
        <f t="shared" si="79"/>
        <v>0</v>
      </c>
      <c r="BU122" s="4574"/>
      <c r="BV122" s="1121"/>
      <c r="BW122" s="1121"/>
      <c r="BX122" s="1106">
        <f t="shared" si="75"/>
        <v>0</v>
      </c>
      <c r="BY122" s="4574"/>
      <c r="BZ122" s="1121"/>
      <c r="CA122" s="1121"/>
      <c r="CB122" s="1106">
        <f t="shared" si="76"/>
        <v>0</v>
      </c>
    </row>
    <row r="123" spans="1:80" s="212" customFormat="1" ht="15" x14ac:dyDescent="0.25">
      <c r="A123" s="6255"/>
      <c r="B123" s="6183"/>
      <c r="C123" s="6266"/>
      <c r="D123" s="1107" t="s">
        <v>20</v>
      </c>
      <c r="E123" s="1104">
        <v>50</v>
      </c>
      <c r="F123" s="1105"/>
      <c r="G123" s="1105"/>
      <c r="H123" s="1106">
        <v>50</v>
      </c>
      <c r="I123" s="1104"/>
      <c r="J123" s="1105">
        <v>14</v>
      </c>
      <c r="K123" s="1105"/>
      <c r="L123" s="1106">
        <v>14</v>
      </c>
      <c r="M123" s="1104">
        <v>33</v>
      </c>
      <c r="N123" s="1105"/>
      <c r="O123" s="1105"/>
      <c r="P123" s="1106">
        <v>33</v>
      </c>
      <c r="Q123" s="1104"/>
      <c r="R123" s="1105"/>
      <c r="S123" s="1105"/>
      <c r="T123" s="1106"/>
      <c r="U123" s="1104">
        <v>48</v>
      </c>
      <c r="V123" s="1105"/>
      <c r="W123" s="1105"/>
      <c r="X123" s="1106">
        <f>SUM(U123:W123)</f>
        <v>48</v>
      </c>
      <c r="Y123" s="1105"/>
      <c r="Z123" s="1105"/>
      <c r="AA123" s="1105"/>
      <c r="AB123" s="1106">
        <f>SUM(Y123:AA123)</f>
        <v>0</v>
      </c>
      <c r="AC123" s="1105">
        <v>44</v>
      </c>
      <c r="AD123" s="1105"/>
      <c r="AE123" s="1105"/>
      <c r="AF123" s="1106">
        <f>SUM(AC123:AE123)</f>
        <v>44</v>
      </c>
      <c r="AG123" s="1105"/>
      <c r="AH123" s="1105"/>
      <c r="AI123" s="1105"/>
      <c r="AJ123" s="1106"/>
      <c r="AK123" s="1105">
        <v>71</v>
      </c>
      <c r="AL123" s="1105">
        <v>11</v>
      </c>
      <c r="AM123" s="1105"/>
      <c r="AN123" s="1106">
        <f>SUM(AK123:AM123)</f>
        <v>82</v>
      </c>
      <c r="AO123" s="1105">
        <v>14</v>
      </c>
      <c r="AP123" s="1105"/>
      <c r="AQ123" s="1105"/>
      <c r="AR123" s="1106">
        <f>SUM(AO123:AQ123)</f>
        <v>14</v>
      </c>
      <c r="AS123" s="1105">
        <v>46</v>
      </c>
      <c r="AT123" s="1105" t="s">
        <v>227</v>
      </c>
      <c r="AU123" s="1105" t="s">
        <v>227</v>
      </c>
      <c r="AV123" s="1106">
        <f>SUM(AS123:AU123)</f>
        <v>46</v>
      </c>
      <c r="AW123" s="1105"/>
      <c r="AX123" s="1105"/>
      <c r="AY123" s="1105"/>
      <c r="AZ123" s="1106"/>
      <c r="BA123" s="1105">
        <v>49</v>
      </c>
      <c r="BB123" s="1105"/>
      <c r="BC123" s="1105"/>
      <c r="BD123" s="1106">
        <f>BA123+BB123+BC123</f>
        <v>49</v>
      </c>
      <c r="BE123" s="1105"/>
      <c r="BF123" s="1105"/>
      <c r="BG123" s="1105"/>
      <c r="BH123" s="1106"/>
      <c r="BI123" s="1105">
        <v>54</v>
      </c>
      <c r="BJ123" s="1105"/>
      <c r="BK123" s="1105"/>
      <c r="BL123" s="1106">
        <f t="shared" si="77"/>
        <v>54</v>
      </c>
      <c r="BM123" s="1105"/>
      <c r="BN123" s="1105"/>
      <c r="BO123" s="1105"/>
      <c r="BP123" s="1106">
        <f t="shared" si="78"/>
        <v>0</v>
      </c>
      <c r="BQ123" s="1105">
        <v>51</v>
      </c>
      <c r="BR123" s="1105"/>
      <c r="BS123" s="1105"/>
      <c r="BT123" s="1106">
        <f t="shared" si="79"/>
        <v>51</v>
      </c>
      <c r="BU123" s="1104"/>
      <c r="BV123" s="1105"/>
      <c r="BW123" s="1105"/>
      <c r="BX123" s="1106">
        <f t="shared" si="75"/>
        <v>0</v>
      </c>
      <c r="BY123" s="1104">
        <v>57</v>
      </c>
      <c r="BZ123" s="1105"/>
      <c r="CA123" s="1105"/>
      <c r="CB123" s="1106">
        <f t="shared" si="76"/>
        <v>57</v>
      </c>
    </row>
    <row r="124" spans="1:80" s="212" customFormat="1" ht="15" x14ac:dyDescent="0.25">
      <c r="A124" s="6255"/>
      <c r="B124" s="6183"/>
      <c r="C124" s="6266"/>
      <c r="D124" s="1457" t="s">
        <v>83</v>
      </c>
      <c r="E124" s="1458"/>
      <c r="F124" s="1459"/>
      <c r="G124" s="1459"/>
      <c r="H124" s="1128"/>
      <c r="I124" s="1458"/>
      <c r="J124" s="1459"/>
      <c r="K124" s="1459"/>
      <c r="L124" s="1128"/>
      <c r="M124" s="1458"/>
      <c r="N124" s="1459"/>
      <c r="O124" s="1459"/>
      <c r="P124" s="1128"/>
      <c r="Q124" s="1458"/>
      <c r="R124" s="1459"/>
      <c r="S124" s="1459"/>
      <c r="T124" s="1128"/>
      <c r="U124" s="1458"/>
      <c r="V124" s="1459"/>
      <c r="W124" s="1459"/>
      <c r="X124" s="1128"/>
      <c r="Y124" s="1459"/>
      <c r="Z124" s="1459"/>
      <c r="AA124" s="1459"/>
      <c r="AB124" s="1128"/>
      <c r="AC124" s="1459"/>
      <c r="AD124" s="1459"/>
      <c r="AE124" s="1459"/>
      <c r="AF124" s="1128"/>
      <c r="AG124" s="1459"/>
      <c r="AH124" s="1459"/>
      <c r="AI124" s="1459"/>
      <c r="AJ124" s="1128"/>
      <c r="AK124" s="1459"/>
      <c r="AL124" s="1459"/>
      <c r="AM124" s="1459"/>
      <c r="AN124" s="1128"/>
      <c r="AO124" s="1459"/>
      <c r="AP124" s="1459"/>
      <c r="AQ124" s="1459"/>
      <c r="AR124" s="1128"/>
      <c r="AS124" s="1459"/>
      <c r="AT124" s="1459"/>
      <c r="AU124" s="1459"/>
      <c r="AV124" s="1128"/>
      <c r="AW124" s="1459"/>
      <c r="AX124" s="1459"/>
      <c r="AY124" s="1459"/>
      <c r="AZ124" s="1128"/>
      <c r="BA124" s="1459"/>
      <c r="BB124" s="1459"/>
      <c r="BC124" s="1459"/>
      <c r="BD124" s="1128"/>
      <c r="BE124" s="1459"/>
      <c r="BF124" s="1459"/>
      <c r="BG124" s="1459"/>
      <c r="BH124" s="1128"/>
      <c r="BI124" s="1459"/>
      <c r="BJ124" s="1459"/>
      <c r="BK124" s="1459"/>
      <c r="BL124" s="1128"/>
      <c r="BM124" s="1459"/>
      <c r="BN124" s="1459"/>
      <c r="BO124" s="1459"/>
      <c r="BP124" s="1128"/>
      <c r="BQ124" s="1459"/>
      <c r="BR124" s="1459"/>
      <c r="BS124" s="1459"/>
      <c r="BT124" s="1128"/>
      <c r="BU124" s="1458"/>
      <c r="BV124" s="1459"/>
      <c r="BW124" s="1459"/>
      <c r="BX124" s="1128"/>
      <c r="BY124" s="1458"/>
      <c r="BZ124" s="1459"/>
      <c r="CA124" s="1459">
        <v>15</v>
      </c>
      <c r="CB124" s="1106">
        <f t="shared" si="76"/>
        <v>15</v>
      </c>
    </row>
    <row r="125" spans="1:80" s="212" customFormat="1" ht="15" x14ac:dyDescent="0.25">
      <c r="A125" s="6255"/>
      <c r="B125" s="6183"/>
      <c r="C125" s="6264"/>
      <c r="D125" s="1457" t="s">
        <v>1580</v>
      </c>
      <c r="E125" s="1458"/>
      <c r="F125" s="1459"/>
      <c r="G125" s="1459"/>
      <c r="H125" s="1128"/>
      <c r="I125" s="1458"/>
      <c r="J125" s="1459"/>
      <c r="K125" s="1459"/>
      <c r="L125" s="1128"/>
      <c r="M125" s="1458"/>
      <c r="N125" s="1459"/>
      <c r="O125" s="1459"/>
      <c r="P125" s="1128"/>
      <c r="Q125" s="1458"/>
      <c r="R125" s="1459"/>
      <c r="S125" s="1459"/>
      <c r="T125" s="1128"/>
      <c r="U125" s="1458"/>
      <c r="V125" s="1459"/>
      <c r="W125" s="1459"/>
      <c r="X125" s="1128"/>
      <c r="Y125" s="1459"/>
      <c r="Z125" s="1459"/>
      <c r="AA125" s="1459"/>
      <c r="AB125" s="1128"/>
      <c r="AC125" s="1459"/>
      <c r="AD125" s="1459"/>
      <c r="AE125" s="1459"/>
      <c r="AF125" s="1128"/>
      <c r="AG125" s="1459"/>
      <c r="AH125" s="1459"/>
      <c r="AI125" s="1459"/>
      <c r="AJ125" s="1128"/>
      <c r="AK125" s="1459"/>
      <c r="AL125" s="1459"/>
      <c r="AM125" s="1459"/>
      <c r="AN125" s="1128"/>
      <c r="AO125" s="1459"/>
      <c r="AP125" s="1459"/>
      <c r="AQ125" s="1459"/>
      <c r="AR125" s="1128"/>
      <c r="AS125" s="1459"/>
      <c r="AT125" s="1459"/>
      <c r="AU125" s="1459"/>
      <c r="AV125" s="1128"/>
      <c r="AW125" s="1459"/>
      <c r="AX125" s="1459"/>
      <c r="AY125" s="1459"/>
      <c r="AZ125" s="1128"/>
      <c r="BA125" s="1459"/>
      <c r="BB125" s="1459"/>
      <c r="BC125" s="1459"/>
      <c r="BD125" s="1128"/>
      <c r="BE125" s="1459"/>
      <c r="BF125" s="1459"/>
      <c r="BG125" s="1459"/>
      <c r="BH125" s="1128"/>
      <c r="BI125" s="1459"/>
      <c r="BJ125" s="1459"/>
      <c r="BK125" s="1459"/>
      <c r="BL125" s="1128"/>
      <c r="BM125" s="1459"/>
      <c r="BN125" s="1459"/>
      <c r="BO125" s="1459"/>
      <c r="BP125" s="1128"/>
      <c r="BQ125" s="1459"/>
      <c r="BR125" s="1459"/>
      <c r="BS125" s="1459"/>
      <c r="BT125" s="1128"/>
      <c r="BU125" s="1458"/>
      <c r="BV125" s="1459"/>
      <c r="BW125" s="1459"/>
      <c r="BX125" s="1128"/>
      <c r="BY125" s="1458">
        <v>1</v>
      </c>
      <c r="BZ125" s="1459"/>
      <c r="CA125" s="1459"/>
      <c r="CB125" s="1128">
        <f t="shared" si="76"/>
        <v>1</v>
      </c>
    </row>
    <row r="126" spans="1:80" s="212" customFormat="1" ht="15" x14ac:dyDescent="0.25">
      <c r="A126" s="6255"/>
      <c r="B126" s="6185"/>
      <c r="C126" s="5165"/>
      <c r="D126" s="5160" t="s">
        <v>445</v>
      </c>
      <c r="E126" s="1110">
        <f t="shared" ref="E126:AJ126" si="81">SUM(E108:E123)</f>
        <v>53</v>
      </c>
      <c r="F126" s="1111">
        <f t="shared" si="81"/>
        <v>15</v>
      </c>
      <c r="G126" s="1111">
        <f t="shared" si="81"/>
        <v>18</v>
      </c>
      <c r="H126" s="1139">
        <f t="shared" si="81"/>
        <v>86</v>
      </c>
      <c r="I126" s="1110">
        <f t="shared" si="81"/>
        <v>58</v>
      </c>
      <c r="J126" s="1111">
        <f t="shared" si="81"/>
        <v>39</v>
      </c>
      <c r="K126" s="1111">
        <f t="shared" si="81"/>
        <v>114</v>
      </c>
      <c r="L126" s="1139">
        <f t="shared" si="81"/>
        <v>211</v>
      </c>
      <c r="M126" s="1110">
        <f t="shared" si="81"/>
        <v>79</v>
      </c>
      <c r="N126" s="1111">
        <f t="shared" si="81"/>
        <v>29</v>
      </c>
      <c r="O126" s="1111">
        <f t="shared" si="81"/>
        <v>49</v>
      </c>
      <c r="P126" s="1139">
        <f t="shared" si="81"/>
        <v>157</v>
      </c>
      <c r="Q126" s="1110">
        <f t="shared" si="81"/>
        <v>30</v>
      </c>
      <c r="R126" s="1111">
        <f t="shared" si="81"/>
        <v>59</v>
      </c>
      <c r="S126" s="1111">
        <f t="shared" si="81"/>
        <v>105</v>
      </c>
      <c r="T126" s="1139">
        <f t="shared" si="81"/>
        <v>194</v>
      </c>
      <c r="U126" s="1110">
        <f t="shared" si="81"/>
        <v>51</v>
      </c>
      <c r="V126" s="1111">
        <f t="shared" si="81"/>
        <v>13</v>
      </c>
      <c r="W126" s="1111">
        <f t="shared" si="81"/>
        <v>43</v>
      </c>
      <c r="X126" s="1139">
        <f t="shared" si="81"/>
        <v>107</v>
      </c>
      <c r="Y126" s="1111">
        <f t="shared" si="81"/>
        <v>11</v>
      </c>
      <c r="Z126" s="1111">
        <f t="shared" si="81"/>
        <v>0</v>
      </c>
      <c r="AA126" s="1111">
        <f t="shared" si="81"/>
        <v>126</v>
      </c>
      <c r="AB126" s="1139">
        <f t="shared" si="81"/>
        <v>137</v>
      </c>
      <c r="AC126" s="1111">
        <f t="shared" si="81"/>
        <v>49</v>
      </c>
      <c r="AD126" s="1111">
        <f t="shared" si="81"/>
        <v>0</v>
      </c>
      <c r="AE126" s="1111">
        <f t="shared" si="81"/>
        <v>40</v>
      </c>
      <c r="AF126" s="1139">
        <f t="shared" si="81"/>
        <v>89</v>
      </c>
      <c r="AG126" s="1111">
        <f t="shared" si="81"/>
        <v>12</v>
      </c>
      <c r="AH126" s="1111">
        <f t="shared" si="81"/>
        <v>0</v>
      </c>
      <c r="AI126" s="1111">
        <f t="shared" si="81"/>
        <v>120</v>
      </c>
      <c r="AJ126" s="1139">
        <f t="shared" si="81"/>
        <v>132</v>
      </c>
      <c r="AK126" s="1111">
        <f t="shared" ref="AK126:BP126" si="82">SUM(AK108:AK123)</f>
        <v>71</v>
      </c>
      <c r="AL126" s="1111">
        <f t="shared" si="82"/>
        <v>11</v>
      </c>
      <c r="AM126" s="1111">
        <f t="shared" si="82"/>
        <v>66</v>
      </c>
      <c r="AN126" s="1139">
        <f t="shared" si="82"/>
        <v>148</v>
      </c>
      <c r="AO126" s="1111">
        <f t="shared" si="82"/>
        <v>14</v>
      </c>
      <c r="AP126" s="1111">
        <f t="shared" si="82"/>
        <v>0</v>
      </c>
      <c r="AQ126" s="1111">
        <f t="shared" si="82"/>
        <v>136</v>
      </c>
      <c r="AR126" s="1139">
        <f t="shared" si="82"/>
        <v>150</v>
      </c>
      <c r="AS126" s="1111">
        <f t="shared" si="82"/>
        <v>46</v>
      </c>
      <c r="AT126" s="1111">
        <f t="shared" si="82"/>
        <v>0</v>
      </c>
      <c r="AU126" s="1111">
        <f t="shared" si="82"/>
        <v>49</v>
      </c>
      <c r="AV126" s="1139">
        <f t="shared" si="82"/>
        <v>95</v>
      </c>
      <c r="AW126" s="1111">
        <f t="shared" si="82"/>
        <v>0</v>
      </c>
      <c r="AX126" s="1111">
        <f t="shared" si="82"/>
        <v>0</v>
      </c>
      <c r="AY126" s="1111">
        <f t="shared" si="82"/>
        <v>125</v>
      </c>
      <c r="AZ126" s="1139">
        <f t="shared" si="82"/>
        <v>125</v>
      </c>
      <c r="BA126" s="1111">
        <f t="shared" si="82"/>
        <v>49</v>
      </c>
      <c r="BB126" s="1111">
        <f t="shared" si="82"/>
        <v>0</v>
      </c>
      <c r="BC126" s="1111">
        <f t="shared" si="82"/>
        <v>78</v>
      </c>
      <c r="BD126" s="1139">
        <f t="shared" si="82"/>
        <v>127</v>
      </c>
      <c r="BE126" s="1111">
        <f t="shared" si="82"/>
        <v>19</v>
      </c>
      <c r="BF126" s="1111">
        <f t="shared" si="82"/>
        <v>0</v>
      </c>
      <c r="BG126" s="1111">
        <f t="shared" si="82"/>
        <v>139</v>
      </c>
      <c r="BH126" s="1139">
        <f t="shared" si="82"/>
        <v>158</v>
      </c>
      <c r="BI126" s="1111">
        <f t="shared" si="82"/>
        <v>54</v>
      </c>
      <c r="BJ126" s="1111">
        <f t="shared" si="82"/>
        <v>0</v>
      </c>
      <c r="BK126" s="1111">
        <f t="shared" si="82"/>
        <v>51</v>
      </c>
      <c r="BL126" s="1139">
        <f t="shared" si="82"/>
        <v>105</v>
      </c>
      <c r="BM126" s="1111">
        <f t="shared" si="82"/>
        <v>21</v>
      </c>
      <c r="BN126" s="1111">
        <f t="shared" si="82"/>
        <v>0</v>
      </c>
      <c r="BO126" s="1111">
        <f t="shared" si="82"/>
        <v>151</v>
      </c>
      <c r="BP126" s="1139">
        <f t="shared" si="82"/>
        <v>172</v>
      </c>
      <c r="BQ126" s="1111">
        <f t="shared" ref="BQ126:BX126" si="83">SUM(BQ108:BQ123)</f>
        <v>51</v>
      </c>
      <c r="BR126" s="1111">
        <f t="shared" si="83"/>
        <v>1</v>
      </c>
      <c r="BS126" s="1111">
        <f t="shared" si="83"/>
        <v>58</v>
      </c>
      <c r="BT126" s="1139">
        <f t="shared" si="83"/>
        <v>110</v>
      </c>
      <c r="BU126" s="1110">
        <f t="shared" si="83"/>
        <v>23</v>
      </c>
      <c r="BV126" s="1111">
        <f t="shared" si="83"/>
        <v>0</v>
      </c>
      <c r="BW126" s="1111">
        <f t="shared" si="83"/>
        <v>118</v>
      </c>
      <c r="BX126" s="1112">
        <f t="shared" si="83"/>
        <v>141</v>
      </c>
      <c r="BY126" s="1111">
        <f>SUM(BY108:BY125)</f>
        <v>81</v>
      </c>
      <c r="BZ126" s="1111">
        <f>SUM(BZ108:BZ125)</f>
        <v>0</v>
      </c>
      <c r="CA126" s="1111">
        <f>SUM(CA108:CA125)</f>
        <v>69</v>
      </c>
      <c r="CB126" s="1139">
        <f>SUM(CB108:CB125)</f>
        <v>150</v>
      </c>
    </row>
    <row r="127" spans="1:80" s="212" customFormat="1" ht="15" x14ac:dyDescent="0.25">
      <c r="A127" s="6255"/>
      <c r="B127" s="6182" t="s">
        <v>11</v>
      </c>
      <c r="C127" s="6263" t="s">
        <v>522</v>
      </c>
      <c r="D127" s="1113" t="s">
        <v>392</v>
      </c>
      <c r="E127" s="1138"/>
      <c r="F127" s="1115"/>
      <c r="G127" s="1115"/>
      <c r="H127" s="1116"/>
      <c r="I127" s="1138">
        <v>3</v>
      </c>
      <c r="J127" s="1115"/>
      <c r="K127" s="1115"/>
      <c r="L127" s="1116">
        <v>3</v>
      </c>
      <c r="M127" s="1138">
        <v>1</v>
      </c>
      <c r="N127" s="1115"/>
      <c r="O127" s="1115"/>
      <c r="P127" s="1116">
        <v>1</v>
      </c>
      <c r="Q127" s="1138">
        <v>10</v>
      </c>
      <c r="R127" s="1115"/>
      <c r="S127" s="1115"/>
      <c r="T127" s="1116">
        <v>10</v>
      </c>
      <c r="U127" s="1138">
        <v>8</v>
      </c>
      <c r="V127" s="1115"/>
      <c r="W127" s="1115"/>
      <c r="X127" s="1116">
        <f>SUM(U127:W127)</f>
        <v>8</v>
      </c>
      <c r="Y127" s="1117">
        <v>10</v>
      </c>
      <c r="Z127" s="1117"/>
      <c r="AA127" s="1117"/>
      <c r="AB127" s="1116">
        <f>SUM(Y127:AA127)</f>
        <v>10</v>
      </c>
      <c r="AC127" s="1117"/>
      <c r="AD127" s="1117"/>
      <c r="AE127" s="1117"/>
      <c r="AF127" s="1116"/>
      <c r="AG127" s="1117">
        <v>13</v>
      </c>
      <c r="AH127" s="1117"/>
      <c r="AI127" s="1117"/>
      <c r="AJ127" s="1116">
        <f>SUM(AG127:AI127)</f>
        <v>13</v>
      </c>
      <c r="AK127" s="1117">
        <v>8</v>
      </c>
      <c r="AL127" s="1117"/>
      <c r="AM127" s="1117"/>
      <c r="AN127" s="1116">
        <f>SUM(AK127:AM127)</f>
        <v>8</v>
      </c>
      <c r="AO127" s="1117">
        <v>12</v>
      </c>
      <c r="AP127" s="1117"/>
      <c r="AQ127" s="1117"/>
      <c r="AR127" s="1118">
        <f>SUM(AO127:AQ127)</f>
        <v>12</v>
      </c>
      <c r="AS127" s="1117"/>
      <c r="AT127" s="1117"/>
      <c r="AU127" s="1117"/>
      <c r="AV127" s="1118"/>
      <c r="AW127" s="1117"/>
      <c r="AX127" s="1117"/>
      <c r="AY127" s="1117"/>
      <c r="AZ127" s="1118"/>
      <c r="BA127" s="1117">
        <v>12</v>
      </c>
      <c r="BB127" s="1117"/>
      <c r="BC127" s="1117"/>
      <c r="BD127" s="1118">
        <f>BA127+BB127+BC127</f>
        <v>12</v>
      </c>
      <c r="BE127" s="1117"/>
      <c r="BF127" s="1117"/>
      <c r="BG127" s="1117"/>
      <c r="BH127" s="1118"/>
      <c r="BI127" s="1117">
        <v>12</v>
      </c>
      <c r="BJ127" s="1117"/>
      <c r="BK127" s="1117"/>
      <c r="BL127" s="1106">
        <f t="shared" ref="BL127:BL140" si="84">BI127+BJ127+BK127</f>
        <v>12</v>
      </c>
      <c r="BM127" s="1117"/>
      <c r="BN127" s="1117"/>
      <c r="BO127" s="1117"/>
      <c r="BP127" s="1106">
        <f t="shared" ref="BP127:BP140" si="85">BM127+BN127+BO127</f>
        <v>0</v>
      </c>
      <c r="BQ127" s="1117"/>
      <c r="BR127" s="1117"/>
      <c r="BS127" s="1117"/>
      <c r="BT127" s="1106">
        <f t="shared" ref="BT127:BT140" si="86">BQ127+BR127+BS127</f>
        <v>0</v>
      </c>
      <c r="BU127" s="1134"/>
      <c r="BV127" s="1132"/>
      <c r="BW127" s="1132"/>
      <c r="BX127" s="1102">
        <f t="shared" ref="BX127:BX140" si="87">BU127+BV127+BW127</f>
        <v>0</v>
      </c>
      <c r="BY127" s="1134"/>
      <c r="BZ127" s="1132"/>
      <c r="CA127" s="1132"/>
      <c r="CB127" s="1102">
        <f t="shared" ref="CB127:CB140" si="88">BY127+BZ127+CA127</f>
        <v>0</v>
      </c>
    </row>
    <row r="128" spans="1:80" s="212" customFormat="1" ht="15" x14ac:dyDescent="0.25">
      <c r="A128" s="6255"/>
      <c r="B128" s="6183"/>
      <c r="C128" s="6266"/>
      <c r="D128" s="1103" t="s">
        <v>394</v>
      </c>
      <c r="E128" s="1122">
        <v>11</v>
      </c>
      <c r="F128" s="1119"/>
      <c r="G128" s="1119"/>
      <c r="H128" s="1120">
        <v>11</v>
      </c>
      <c r="I128" s="1122">
        <v>9</v>
      </c>
      <c r="J128" s="1119"/>
      <c r="K128" s="1119"/>
      <c r="L128" s="1120">
        <v>9</v>
      </c>
      <c r="M128" s="1122">
        <v>9</v>
      </c>
      <c r="N128" s="1119"/>
      <c r="O128" s="1119"/>
      <c r="P128" s="1120">
        <v>9</v>
      </c>
      <c r="Q128" s="1122">
        <v>2</v>
      </c>
      <c r="R128" s="1119"/>
      <c r="S128" s="1119"/>
      <c r="T128" s="1120">
        <v>2</v>
      </c>
      <c r="U128" s="1122">
        <v>4</v>
      </c>
      <c r="V128" s="1119"/>
      <c r="W128" s="1119"/>
      <c r="X128" s="1120">
        <f>SUM(U128:W128)</f>
        <v>4</v>
      </c>
      <c r="Y128" s="1121"/>
      <c r="Z128" s="1121"/>
      <c r="AA128" s="1121"/>
      <c r="AB128" s="1120"/>
      <c r="AC128" s="1121"/>
      <c r="AD128" s="1121"/>
      <c r="AE128" s="1121"/>
      <c r="AF128" s="1120"/>
      <c r="AG128" s="1121"/>
      <c r="AH128" s="1121"/>
      <c r="AI128" s="1121"/>
      <c r="AJ128" s="1120"/>
      <c r="AK128" s="1121"/>
      <c r="AL128" s="1121"/>
      <c r="AM128" s="1121"/>
      <c r="AN128" s="1120"/>
      <c r="AO128" s="1121"/>
      <c r="AP128" s="1121"/>
      <c r="AQ128" s="1121"/>
      <c r="AR128" s="1106"/>
      <c r="AS128" s="1121">
        <v>10</v>
      </c>
      <c r="AT128" s="1121" t="s">
        <v>227</v>
      </c>
      <c r="AU128" s="1121" t="s">
        <v>227</v>
      </c>
      <c r="AV128" s="1106">
        <f t="shared" ref="AV128:AV145" si="89">SUM(AS128:AU128)</f>
        <v>10</v>
      </c>
      <c r="AW128" s="1121"/>
      <c r="AX128" s="1121"/>
      <c r="AY128" s="1121"/>
      <c r="AZ128" s="1106"/>
      <c r="BA128" s="1121"/>
      <c r="BB128" s="1121"/>
      <c r="BC128" s="1121"/>
      <c r="BD128" s="1106"/>
      <c r="BE128" s="1121"/>
      <c r="BF128" s="1121"/>
      <c r="BG128" s="1121"/>
      <c r="BH128" s="1106"/>
      <c r="BI128" s="1121"/>
      <c r="BJ128" s="1121"/>
      <c r="BK128" s="1121"/>
      <c r="BL128" s="1106">
        <f t="shared" si="84"/>
        <v>0</v>
      </c>
      <c r="BM128" s="1121"/>
      <c r="BN128" s="1121"/>
      <c r="BO128" s="1121"/>
      <c r="BP128" s="1106">
        <f t="shared" si="85"/>
        <v>0</v>
      </c>
      <c r="BQ128" s="1121"/>
      <c r="BR128" s="1121"/>
      <c r="BS128" s="1121"/>
      <c r="BT128" s="1106">
        <f t="shared" si="86"/>
        <v>0</v>
      </c>
      <c r="BU128" s="4574"/>
      <c r="BV128" s="1121"/>
      <c r="BW128" s="1121"/>
      <c r="BX128" s="1106">
        <f t="shared" si="87"/>
        <v>0</v>
      </c>
      <c r="BY128" s="4574"/>
      <c r="BZ128" s="1121"/>
      <c r="CA128" s="1121"/>
      <c r="CB128" s="1106">
        <f t="shared" si="88"/>
        <v>0</v>
      </c>
    </row>
    <row r="129" spans="1:80" s="212" customFormat="1" ht="15" x14ac:dyDescent="0.25">
      <c r="A129" s="6255"/>
      <c r="B129" s="6183"/>
      <c r="C129" s="6264"/>
      <c r="D129" s="1103" t="s">
        <v>91</v>
      </c>
      <c r="E129" s="1122"/>
      <c r="F129" s="1119"/>
      <c r="G129" s="1119">
        <v>11</v>
      </c>
      <c r="H129" s="1120">
        <v>11</v>
      </c>
      <c r="I129" s="1122"/>
      <c r="J129" s="1119"/>
      <c r="K129" s="1119"/>
      <c r="L129" s="1120"/>
      <c r="M129" s="1122">
        <v>4</v>
      </c>
      <c r="N129" s="1119">
        <v>1</v>
      </c>
      <c r="O129" s="1119">
        <v>15</v>
      </c>
      <c r="P129" s="1120">
        <v>20</v>
      </c>
      <c r="Q129" s="1122"/>
      <c r="R129" s="1119"/>
      <c r="S129" s="1119">
        <v>1</v>
      </c>
      <c r="T129" s="1120">
        <v>1</v>
      </c>
      <c r="U129" s="1122"/>
      <c r="V129" s="1119"/>
      <c r="W129" s="1119"/>
      <c r="X129" s="1120"/>
      <c r="Y129" s="1121"/>
      <c r="Z129" s="1121"/>
      <c r="AA129" s="1121"/>
      <c r="AB129" s="1120"/>
      <c r="AC129" s="1121"/>
      <c r="AD129" s="1121"/>
      <c r="AE129" s="1121"/>
      <c r="AF129" s="1120"/>
      <c r="AG129" s="1121"/>
      <c r="AH129" s="1121"/>
      <c r="AI129" s="1121"/>
      <c r="AJ129" s="1120"/>
      <c r="AK129" s="1121"/>
      <c r="AL129" s="1121"/>
      <c r="AM129" s="1121"/>
      <c r="AN129" s="1120"/>
      <c r="AO129" s="1121"/>
      <c r="AP129" s="1121"/>
      <c r="AQ129" s="1121"/>
      <c r="AR129" s="1106"/>
      <c r="AS129" s="1121"/>
      <c r="AT129" s="1121"/>
      <c r="AU129" s="1121"/>
      <c r="AV129" s="1106"/>
      <c r="AW129" s="1121"/>
      <c r="AX129" s="1121"/>
      <c r="AY129" s="1121"/>
      <c r="AZ129" s="1106"/>
      <c r="BA129" s="1121"/>
      <c r="BB129" s="1121"/>
      <c r="BC129" s="1121">
        <v>19</v>
      </c>
      <c r="BD129" s="1106">
        <f>BA129+BB129+BC129</f>
        <v>19</v>
      </c>
      <c r="BE129" s="1121"/>
      <c r="BF129" s="1121"/>
      <c r="BG129" s="1121"/>
      <c r="BH129" s="1106"/>
      <c r="BI129" s="1121"/>
      <c r="BJ129" s="1121"/>
      <c r="BK129" s="1121">
        <v>1</v>
      </c>
      <c r="BL129" s="1106">
        <f t="shared" si="84"/>
        <v>1</v>
      </c>
      <c r="BM129" s="1121"/>
      <c r="BN129" s="1121"/>
      <c r="BO129" s="1121"/>
      <c r="BP129" s="1106">
        <f t="shared" si="85"/>
        <v>0</v>
      </c>
      <c r="BQ129" s="1121"/>
      <c r="BR129" s="1121"/>
      <c r="BS129" s="1121"/>
      <c r="BT129" s="1106">
        <f t="shared" si="86"/>
        <v>0</v>
      </c>
      <c r="BU129" s="4574"/>
      <c r="BV129" s="1121"/>
      <c r="BW129" s="1121"/>
      <c r="BX129" s="1106">
        <f t="shared" si="87"/>
        <v>0</v>
      </c>
      <c r="BY129" s="4574"/>
      <c r="BZ129" s="1121"/>
      <c r="CA129" s="1121"/>
      <c r="CB129" s="1106">
        <f t="shared" si="88"/>
        <v>0</v>
      </c>
    </row>
    <row r="130" spans="1:80" s="212" customFormat="1" ht="15" x14ac:dyDescent="0.25">
      <c r="A130" s="6255"/>
      <c r="B130" s="6183"/>
      <c r="C130" s="6263" t="s">
        <v>521</v>
      </c>
      <c r="D130" s="1103" t="s">
        <v>393</v>
      </c>
      <c r="E130" s="1122"/>
      <c r="F130" s="1119"/>
      <c r="G130" s="1119"/>
      <c r="H130" s="1120"/>
      <c r="I130" s="1122"/>
      <c r="J130" s="1119"/>
      <c r="K130" s="1119"/>
      <c r="L130" s="1120"/>
      <c r="M130" s="1122"/>
      <c r="N130" s="1119"/>
      <c r="O130" s="1119"/>
      <c r="P130" s="1120"/>
      <c r="Q130" s="1122"/>
      <c r="R130" s="1119"/>
      <c r="S130" s="1119"/>
      <c r="T130" s="1120"/>
      <c r="U130" s="1122"/>
      <c r="V130" s="1119"/>
      <c r="W130" s="1119"/>
      <c r="X130" s="1120"/>
      <c r="Y130" s="1121"/>
      <c r="Z130" s="1121"/>
      <c r="AA130" s="1121"/>
      <c r="AB130" s="1120"/>
      <c r="AC130" s="1121"/>
      <c r="AD130" s="1121"/>
      <c r="AE130" s="1121"/>
      <c r="AF130" s="1120"/>
      <c r="AG130" s="1121"/>
      <c r="AH130" s="1121"/>
      <c r="AI130" s="1121"/>
      <c r="AJ130" s="1120"/>
      <c r="AK130" s="1121"/>
      <c r="AL130" s="1121"/>
      <c r="AM130" s="1121"/>
      <c r="AN130" s="1120"/>
      <c r="AO130" s="1121"/>
      <c r="AP130" s="1121"/>
      <c r="AQ130" s="1121"/>
      <c r="AR130" s="1106"/>
      <c r="AS130" s="1121"/>
      <c r="AT130" s="1121"/>
      <c r="AU130" s="1121"/>
      <c r="AV130" s="1106"/>
      <c r="AW130" s="1121">
        <v>5</v>
      </c>
      <c r="AX130" s="1121"/>
      <c r="AY130" s="1121"/>
      <c r="AZ130" s="1106">
        <f>AW130+AX130+AY130</f>
        <v>5</v>
      </c>
      <c r="BA130" s="1121"/>
      <c r="BB130" s="1121"/>
      <c r="BC130" s="1121"/>
      <c r="BD130" s="1106"/>
      <c r="BE130" s="1121">
        <v>10</v>
      </c>
      <c r="BF130" s="1121"/>
      <c r="BG130" s="1121"/>
      <c r="BH130" s="1106">
        <f>BE130+BF130+BG130</f>
        <v>10</v>
      </c>
      <c r="BI130" s="1121"/>
      <c r="BJ130" s="1121"/>
      <c r="BK130" s="1121"/>
      <c r="BL130" s="1106">
        <f t="shared" si="84"/>
        <v>0</v>
      </c>
      <c r="BM130" s="1121"/>
      <c r="BN130" s="1121"/>
      <c r="BO130" s="1121"/>
      <c r="BP130" s="1106">
        <f t="shared" si="85"/>
        <v>0</v>
      </c>
      <c r="BQ130" s="1121">
        <v>12</v>
      </c>
      <c r="BR130" s="1121"/>
      <c r="BS130" s="1121"/>
      <c r="BT130" s="1106">
        <f t="shared" si="86"/>
        <v>12</v>
      </c>
      <c r="BU130" s="4574"/>
      <c r="BV130" s="1121"/>
      <c r="BW130" s="1121"/>
      <c r="BX130" s="1106">
        <f t="shared" si="87"/>
        <v>0</v>
      </c>
      <c r="BY130" s="4574">
        <v>11</v>
      </c>
      <c r="BZ130" s="1121"/>
      <c r="CA130" s="1121"/>
      <c r="CB130" s="1106">
        <f t="shared" si="88"/>
        <v>11</v>
      </c>
    </row>
    <row r="131" spans="1:80" s="212" customFormat="1" ht="15" x14ac:dyDescent="0.25">
      <c r="A131" s="6255"/>
      <c r="B131" s="6183"/>
      <c r="C131" s="6266"/>
      <c r="D131" s="1103" t="s">
        <v>94</v>
      </c>
      <c r="E131" s="1122"/>
      <c r="F131" s="1119"/>
      <c r="G131" s="1119">
        <v>4</v>
      </c>
      <c r="H131" s="1120">
        <v>4</v>
      </c>
      <c r="I131" s="1122"/>
      <c r="J131" s="1119"/>
      <c r="K131" s="1119">
        <v>7</v>
      </c>
      <c r="L131" s="1120">
        <v>7</v>
      </c>
      <c r="M131" s="1122"/>
      <c r="N131" s="1119"/>
      <c r="O131" s="1119"/>
      <c r="P131" s="1120"/>
      <c r="Q131" s="1122"/>
      <c r="R131" s="1119"/>
      <c r="S131" s="1119">
        <v>15</v>
      </c>
      <c r="T131" s="1120">
        <v>15</v>
      </c>
      <c r="U131" s="1122"/>
      <c r="V131" s="1119"/>
      <c r="W131" s="1119">
        <v>15</v>
      </c>
      <c r="X131" s="1120">
        <f t="shared" ref="X131:X139" si="90">SUM(U131:W131)</f>
        <v>15</v>
      </c>
      <c r="Y131" s="1121"/>
      <c r="Z131" s="1121"/>
      <c r="AA131" s="1121"/>
      <c r="AB131" s="1120"/>
      <c r="AC131" s="1121"/>
      <c r="AD131" s="1121"/>
      <c r="AE131" s="1121">
        <v>13</v>
      </c>
      <c r="AF131" s="1120">
        <f t="shared" ref="AF131:AF142" si="91">SUM(AC131:AE131)</f>
        <v>13</v>
      </c>
      <c r="AG131" s="1121"/>
      <c r="AH131" s="1121"/>
      <c r="AI131" s="1121"/>
      <c r="AJ131" s="1120"/>
      <c r="AK131" s="1121"/>
      <c r="AL131" s="1121"/>
      <c r="AM131" s="1121">
        <v>15</v>
      </c>
      <c r="AN131" s="1120">
        <f t="shared" ref="AN131:AN145" si="92">SUM(AK131:AM131)</f>
        <v>15</v>
      </c>
      <c r="AO131" s="1121"/>
      <c r="AP131" s="1121"/>
      <c r="AQ131" s="1121"/>
      <c r="AR131" s="1106"/>
      <c r="AS131" s="1121" t="s">
        <v>227</v>
      </c>
      <c r="AT131" s="1121"/>
      <c r="AU131" s="1121">
        <v>14</v>
      </c>
      <c r="AV131" s="1106">
        <f t="shared" si="89"/>
        <v>14</v>
      </c>
      <c r="AW131" s="1121"/>
      <c r="AX131" s="1121"/>
      <c r="AY131" s="1121"/>
      <c r="AZ131" s="1106"/>
      <c r="BA131" s="1121"/>
      <c r="BB131" s="1121"/>
      <c r="BC131" s="1121"/>
      <c r="BD131" s="1106"/>
      <c r="BE131" s="1121"/>
      <c r="BF131" s="1121"/>
      <c r="BG131" s="1121">
        <v>4</v>
      </c>
      <c r="BH131" s="1106">
        <f>BE131+BF131+BG131</f>
        <v>4</v>
      </c>
      <c r="BI131" s="1121"/>
      <c r="BJ131" s="1121"/>
      <c r="BK131" s="1121">
        <v>10</v>
      </c>
      <c r="BL131" s="1106">
        <f t="shared" si="84"/>
        <v>10</v>
      </c>
      <c r="BM131" s="1121"/>
      <c r="BN131" s="1121"/>
      <c r="BO131" s="1121">
        <v>1</v>
      </c>
      <c r="BP131" s="1106">
        <f t="shared" si="85"/>
        <v>1</v>
      </c>
      <c r="BQ131" s="1121"/>
      <c r="BR131" s="1121"/>
      <c r="BS131" s="1121">
        <v>12</v>
      </c>
      <c r="BT131" s="1106">
        <f t="shared" si="86"/>
        <v>12</v>
      </c>
      <c r="BU131" s="4574"/>
      <c r="BV131" s="1121"/>
      <c r="BW131" s="1121"/>
      <c r="BX131" s="1106">
        <f t="shared" si="87"/>
        <v>0</v>
      </c>
      <c r="BY131" s="4574"/>
      <c r="BZ131" s="1121"/>
      <c r="CA131" s="1121">
        <v>6</v>
      </c>
      <c r="CB131" s="1106">
        <f t="shared" si="88"/>
        <v>6</v>
      </c>
    </row>
    <row r="132" spans="1:80" s="212" customFormat="1" ht="15" x14ac:dyDescent="0.25">
      <c r="A132" s="6255"/>
      <c r="B132" s="6183"/>
      <c r="C132" s="6266"/>
      <c r="D132" s="1103" t="s">
        <v>93</v>
      </c>
      <c r="E132" s="1122">
        <v>12</v>
      </c>
      <c r="F132" s="1119"/>
      <c r="G132" s="1119"/>
      <c r="H132" s="1120">
        <v>12</v>
      </c>
      <c r="I132" s="1122">
        <v>30</v>
      </c>
      <c r="J132" s="1119"/>
      <c r="K132" s="1119"/>
      <c r="L132" s="1120">
        <v>30</v>
      </c>
      <c r="M132" s="1122">
        <v>25</v>
      </c>
      <c r="N132" s="1119"/>
      <c r="O132" s="1119"/>
      <c r="P132" s="1120">
        <v>25</v>
      </c>
      <c r="Q132" s="1122">
        <v>15</v>
      </c>
      <c r="R132" s="1119"/>
      <c r="S132" s="1119"/>
      <c r="T132" s="1120">
        <v>15</v>
      </c>
      <c r="U132" s="1122">
        <v>10</v>
      </c>
      <c r="V132" s="1119"/>
      <c r="W132" s="1119"/>
      <c r="X132" s="1120">
        <f t="shared" si="90"/>
        <v>10</v>
      </c>
      <c r="Y132" s="1121">
        <v>12</v>
      </c>
      <c r="Z132" s="1121"/>
      <c r="AA132" s="1121"/>
      <c r="AB132" s="1120">
        <f t="shared" ref="AB132:AB145" si="93">SUM(Y132:AA132)</f>
        <v>12</v>
      </c>
      <c r="AC132" s="1121"/>
      <c r="AD132" s="1121"/>
      <c r="AE132" s="1121">
        <v>14</v>
      </c>
      <c r="AF132" s="1120">
        <f t="shared" si="91"/>
        <v>14</v>
      </c>
      <c r="AG132" s="1121"/>
      <c r="AH132" s="1121"/>
      <c r="AI132" s="1121">
        <v>13</v>
      </c>
      <c r="AJ132" s="1120">
        <f t="shared" ref="AJ132:AJ145" si="94">SUM(AG132:AI132)</f>
        <v>13</v>
      </c>
      <c r="AK132" s="1121"/>
      <c r="AL132" s="1121"/>
      <c r="AM132" s="1121">
        <v>12</v>
      </c>
      <c r="AN132" s="1120">
        <f t="shared" si="92"/>
        <v>12</v>
      </c>
      <c r="AO132" s="1121"/>
      <c r="AP132" s="1121"/>
      <c r="AQ132" s="1121">
        <v>14</v>
      </c>
      <c r="AR132" s="1106">
        <f>SUM(AO132:AQ132)</f>
        <v>14</v>
      </c>
      <c r="AS132" s="1121" t="s">
        <v>227</v>
      </c>
      <c r="AT132" s="1121"/>
      <c r="AU132" s="1121">
        <v>16</v>
      </c>
      <c r="AV132" s="1106">
        <f t="shared" si="89"/>
        <v>16</v>
      </c>
      <c r="AW132" s="1121"/>
      <c r="AX132" s="1121"/>
      <c r="AY132" s="1121">
        <v>15</v>
      </c>
      <c r="AZ132" s="1106">
        <f t="shared" ref="AZ132:AZ145" si="95">AW132+AX132+AY132</f>
        <v>15</v>
      </c>
      <c r="BA132" s="1121"/>
      <c r="BB132" s="1121"/>
      <c r="BC132" s="1121">
        <v>14</v>
      </c>
      <c r="BD132" s="1106">
        <f t="shared" ref="BD132:BD144" si="96">BA132+BB132+BC132</f>
        <v>14</v>
      </c>
      <c r="BE132" s="1121"/>
      <c r="BF132" s="1121"/>
      <c r="BG132" s="1121">
        <v>14</v>
      </c>
      <c r="BH132" s="1106">
        <f>BE132+BF132+BG132</f>
        <v>14</v>
      </c>
      <c r="BI132" s="1121"/>
      <c r="BJ132" s="1121"/>
      <c r="BK132" s="1121">
        <v>16</v>
      </c>
      <c r="BL132" s="1106">
        <f t="shared" si="84"/>
        <v>16</v>
      </c>
      <c r="BM132" s="1121"/>
      <c r="BN132" s="1121"/>
      <c r="BO132" s="1121">
        <v>16</v>
      </c>
      <c r="BP132" s="1106">
        <f t="shared" si="85"/>
        <v>16</v>
      </c>
      <c r="BQ132" s="1121"/>
      <c r="BR132" s="1121"/>
      <c r="BS132" s="1121">
        <v>13</v>
      </c>
      <c r="BT132" s="1106">
        <f t="shared" si="86"/>
        <v>13</v>
      </c>
      <c r="BU132" s="4574"/>
      <c r="BV132" s="1121"/>
      <c r="BW132" s="1121">
        <v>12</v>
      </c>
      <c r="BX132" s="1106">
        <f t="shared" si="87"/>
        <v>12</v>
      </c>
      <c r="BY132" s="4574"/>
      <c r="BZ132" s="1121"/>
      <c r="CA132" s="1121">
        <v>16</v>
      </c>
      <c r="CB132" s="1106">
        <f t="shared" si="88"/>
        <v>16</v>
      </c>
    </row>
    <row r="133" spans="1:80" s="212" customFormat="1" ht="15" x14ac:dyDescent="0.25">
      <c r="A133" s="6255"/>
      <c r="B133" s="6183"/>
      <c r="C133" s="6266"/>
      <c r="D133" s="1103" t="s">
        <v>395</v>
      </c>
      <c r="E133" s="1122"/>
      <c r="F133" s="1119"/>
      <c r="G133" s="1119"/>
      <c r="H133" s="1120"/>
      <c r="I133" s="1122">
        <v>15</v>
      </c>
      <c r="J133" s="1119"/>
      <c r="K133" s="1119"/>
      <c r="L133" s="1120">
        <v>15</v>
      </c>
      <c r="M133" s="1122"/>
      <c r="N133" s="1119"/>
      <c r="O133" s="1119">
        <v>10</v>
      </c>
      <c r="P133" s="1120">
        <v>10</v>
      </c>
      <c r="Q133" s="1122"/>
      <c r="R133" s="1119"/>
      <c r="S133" s="1119"/>
      <c r="T133" s="1120"/>
      <c r="U133" s="1122"/>
      <c r="V133" s="1119">
        <v>9</v>
      </c>
      <c r="W133" s="1119"/>
      <c r="X133" s="1120">
        <f t="shared" si="90"/>
        <v>9</v>
      </c>
      <c r="Y133" s="1121"/>
      <c r="Z133" s="1121"/>
      <c r="AA133" s="1121"/>
      <c r="AB133" s="1120"/>
      <c r="AC133" s="1121">
        <v>12</v>
      </c>
      <c r="AD133" s="1121"/>
      <c r="AE133" s="1121"/>
      <c r="AF133" s="1120">
        <f t="shared" si="91"/>
        <v>12</v>
      </c>
      <c r="AG133" s="1121"/>
      <c r="AH133" s="1121"/>
      <c r="AI133" s="1121">
        <v>10</v>
      </c>
      <c r="AJ133" s="1120">
        <f t="shared" si="94"/>
        <v>10</v>
      </c>
      <c r="AK133" s="1121"/>
      <c r="AL133" s="1121"/>
      <c r="AM133" s="1121"/>
      <c r="AN133" s="1120"/>
      <c r="AO133" s="1121"/>
      <c r="AP133" s="1121">
        <v>10</v>
      </c>
      <c r="AQ133" s="1121"/>
      <c r="AR133" s="1106">
        <f>SUM(AO133:AQ133)</f>
        <v>10</v>
      </c>
      <c r="AS133" s="1121"/>
      <c r="AT133" s="1121"/>
      <c r="AU133" s="1121"/>
      <c r="AV133" s="1106">
        <f t="shared" si="89"/>
        <v>0</v>
      </c>
      <c r="AW133" s="1121">
        <v>10</v>
      </c>
      <c r="AX133" s="1121"/>
      <c r="AY133" s="1121"/>
      <c r="AZ133" s="1106">
        <f t="shared" si="95"/>
        <v>10</v>
      </c>
      <c r="BA133" s="1121"/>
      <c r="BB133" s="1121"/>
      <c r="BC133" s="1121">
        <v>13</v>
      </c>
      <c r="BD133" s="1106">
        <f t="shared" si="96"/>
        <v>13</v>
      </c>
      <c r="BE133" s="1121"/>
      <c r="BF133" s="1121"/>
      <c r="BG133" s="1121"/>
      <c r="BH133" s="1106"/>
      <c r="BI133" s="1121"/>
      <c r="BJ133" s="1121">
        <v>14</v>
      </c>
      <c r="BK133" s="1121"/>
      <c r="BL133" s="1106">
        <f t="shared" si="84"/>
        <v>14</v>
      </c>
      <c r="BM133" s="1121"/>
      <c r="BN133" s="1121"/>
      <c r="BO133" s="1121"/>
      <c r="BP133" s="1106">
        <f t="shared" si="85"/>
        <v>0</v>
      </c>
      <c r="BQ133" s="1121">
        <v>15</v>
      </c>
      <c r="BR133" s="1121"/>
      <c r="BS133" s="1121"/>
      <c r="BT133" s="1106">
        <f t="shared" si="86"/>
        <v>15</v>
      </c>
      <c r="BU133" s="4574"/>
      <c r="BV133" s="1121"/>
      <c r="BW133" s="1121">
        <v>14</v>
      </c>
      <c r="BX133" s="1106">
        <f t="shared" si="87"/>
        <v>14</v>
      </c>
      <c r="BY133" s="4574"/>
      <c r="BZ133" s="1121"/>
      <c r="CA133" s="1121"/>
      <c r="CB133" s="1106">
        <f t="shared" si="88"/>
        <v>0</v>
      </c>
    </row>
    <row r="134" spans="1:80" s="212" customFormat="1" ht="15" x14ac:dyDescent="0.25">
      <c r="A134" s="6255"/>
      <c r="B134" s="6183"/>
      <c r="C134" s="6266"/>
      <c r="D134" s="1103" t="s">
        <v>563</v>
      </c>
      <c r="E134" s="1122"/>
      <c r="F134" s="1119"/>
      <c r="G134" s="1119">
        <v>15</v>
      </c>
      <c r="H134" s="1120">
        <v>15</v>
      </c>
      <c r="I134" s="1122"/>
      <c r="J134" s="1119"/>
      <c r="K134" s="1119"/>
      <c r="L134" s="1120"/>
      <c r="M134" s="1122"/>
      <c r="N134" s="1119"/>
      <c r="O134" s="1119">
        <v>13</v>
      </c>
      <c r="P134" s="1120">
        <v>13</v>
      </c>
      <c r="Q134" s="1122"/>
      <c r="R134" s="1119"/>
      <c r="S134" s="1119"/>
      <c r="T134" s="1120"/>
      <c r="U134" s="1122"/>
      <c r="V134" s="1119"/>
      <c r="W134" s="1119">
        <v>9</v>
      </c>
      <c r="X134" s="1120">
        <f t="shared" si="90"/>
        <v>9</v>
      </c>
      <c r="Y134" s="1121"/>
      <c r="Z134" s="1121"/>
      <c r="AA134" s="1121"/>
      <c r="AB134" s="1120"/>
      <c r="AC134" s="1121"/>
      <c r="AD134" s="1121"/>
      <c r="AE134" s="1121">
        <v>5</v>
      </c>
      <c r="AF134" s="1120">
        <f t="shared" si="91"/>
        <v>5</v>
      </c>
      <c r="AG134" s="1121"/>
      <c r="AH134" s="1121"/>
      <c r="AI134" s="1121"/>
      <c r="AJ134" s="1120"/>
      <c r="AK134" s="1121"/>
      <c r="AL134" s="1121"/>
      <c r="AM134" s="1121">
        <v>10</v>
      </c>
      <c r="AN134" s="1120">
        <f t="shared" si="92"/>
        <v>10</v>
      </c>
      <c r="AO134" s="1121"/>
      <c r="AP134" s="1121"/>
      <c r="AQ134" s="1121"/>
      <c r="AR134" s="1106"/>
      <c r="AS134" s="1121"/>
      <c r="AT134" s="1121"/>
      <c r="AU134" s="1121"/>
      <c r="AV134" s="1106">
        <f t="shared" si="89"/>
        <v>0</v>
      </c>
      <c r="AW134" s="1121"/>
      <c r="AX134" s="1121"/>
      <c r="AY134" s="1121">
        <v>6</v>
      </c>
      <c r="AZ134" s="1106">
        <f t="shared" si="95"/>
        <v>6</v>
      </c>
      <c r="BA134" s="1121"/>
      <c r="BB134" s="1121"/>
      <c r="BC134" s="1121"/>
      <c r="BD134" s="1106"/>
      <c r="BE134" s="1121"/>
      <c r="BF134" s="1121"/>
      <c r="BG134" s="1121">
        <v>6</v>
      </c>
      <c r="BH134" s="1106">
        <f>BE134+BF134+BG134</f>
        <v>6</v>
      </c>
      <c r="BI134" s="1121"/>
      <c r="BJ134" s="1121"/>
      <c r="BK134" s="1121"/>
      <c r="BL134" s="1106">
        <f t="shared" si="84"/>
        <v>0</v>
      </c>
      <c r="BM134" s="1121"/>
      <c r="BN134" s="1121"/>
      <c r="BO134" s="1121"/>
      <c r="BP134" s="1106">
        <f t="shared" si="85"/>
        <v>0</v>
      </c>
      <c r="BQ134" s="1121"/>
      <c r="BR134" s="1121"/>
      <c r="BS134" s="1121">
        <v>7</v>
      </c>
      <c r="BT134" s="1106">
        <f t="shared" si="86"/>
        <v>7</v>
      </c>
      <c r="BU134" s="4574"/>
      <c r="BV134" s="1121"/>
      <c r="BW134" s="1121"/>
      <c r="BX134" s="1106">
        <f t="shared" si="87"/>
        <v>0</v>
      </c>
      <c r="BY134" s="4574"/>
      <c r="BZ134" s="1121"/>
      <c r="CA134" s="1121">
        <v>11</v>
      </c>
      <c r="CB134" s="1106">
        <f t="shared" si="88"/>
        <v>11</v>
      </c>
    </row>
    <row r="135" spans="1:80" s="212" customFormat="1" ht="15" x14ac:dyDescent="0.25">
      <c r="A135" s="6255"/>
      <c r="B135" s="6183"/>
      <c r="C135" s="6266"/>
      <c r="D135" s="1103" t="s">
        <v>95</v>
      </c>
      <c r="E135" s="1122">
        <v>20</v>
      </c>
      <c r="F135" s="1119"/>
      <c r="G135" s="1119"/>
      <c r="H135" s="1120">
        <v>20</v>
      </c>
      <c r="I135" s="1122">
        <v>12</v>
      </c>
      <c r="J135" s="1119"/>
      <c r="K135" s="1119"/>
      <c r="L135" s="1120">
        <v>12</v>
      </c>
      <c r="M135" s="1122">
        <v>9</v>
      </c>
      <c r="N135" s="1119"/>
      <c r="O135" s="1119"/>
      <c r="P135" s="1120">
        <v>9</v>
      </c>
      <c r="Q135" s="1122">
        <v>8</v>
      </c>
      <c r="R135" s="1119"/>
      <c r="S135" s="1119"/>
      <c r="T135" s="1120">
        <v>8</v>
      </c>
      <c r="U135" s="1122">
        <v>10</v>
      </c>
      <c r="V135" s="1119">
        <v>2</v>
      </c>
      <c r="W135" s="1119"/>
      <c r="X135" s="1120">
        <f t="shared" si="90"/>
        <v>12</v>
      </c>
      <c r="Y135" s="1121">
        <v>5</v>
      </c>
      <c r="Z135" s="1121"/>
      <c r="AA135" s="1121">
        <v>5</v>
      </c>
      <c r="AB135" s="1120">
        <f t="shared" si="93"/>
        <v>10</v>
      </c>
      <c r="AC135" s="1121">
        <v>4</v>
      </c>
      <c r="AD135" s="1121">
        <v>4</v>
      </c>
      <c r="AE135" s="1121">
        <v>8</v>
      </c>
      <c r="AF135" s="1120">
        <f t="shared" si="91"/>
        <v>16</v>
      </c>
      <c r="AG135" s="1121">
        <v>3</v>
      </c>
      <c r="AH135" s="1121">
        <v>4</v>
      </c>
      <c r="AI135" s="1121">
        <v>2</v>
      </c>
      <c r="AJ135" s="1120">
        <f t="shared" si="94"/>
        <v>9</v>
      </c>
      <c r="AK135" s="1121">
        <v>3</v>
      </c>
      <c r="AL135" s="1121">
        <v>8</v>
      </c>
      <c r="AM135" s="1121">
        <v>4</v>
      </c>
      <c r="AN135" s="1120">
        <f t="shared" si="92"/>
        <v>15</v>
      </c>
      <c r="AO135" s="1121">
        <v>6</v>
      </c>
      <c r="AP135" s="1121">
        <v>4</v>
      </c>
      <c r="AQ135" s="1121">
        <v>11</v>
      </c>
      <c r="AR135" s="1106">
        <f>SUM(AO135:AQ135)</f>
        <v>21</v>
      </c>
      <c r="AS135" s="1121">
        <v>8</v>
      </c>
      <c r="AT135" s="1121">
        <v>6</v>
      </c>
      <c r="AU135" s="1121">
        <v>5</v>
      </c>
      <c r="AV135" s="1106">
        <f t="shared" si="89"/>
        <v>19</v>
      </c>
      <c r="AW135" s="1121">
        <v>3</v>
      </c>
      <c r="AX135" s="1121">
        <v>5</v>
      </c>
      <c r="AY135" s="1121">
        <v>1</v>
      </c>
      <c r="AZ135" s="1106">
        <f t="shared" si="95"/>
        <v>9</v>
      </c>
      <c r="BA135" s="1121">
        <v>2</v>
      </c>
      <c r="BB135" s="1121">
        <v>3</v>
      </c>
      <c r="BC135" s="1121">
        <v>4</v>
      </c>
      <c r="BD135" s="1106">
        <f t="shared" si="96"/>
        <v>9</v>
      </c>
      <c r="BE135" s="1121">
        <v>6</v>
      </c>
      <c r="BF135" s="1121">
        <v>7</v>
      </c>
      <c r="BG135" s="1121">
        <v>3</v>
      </c>
      <c r="BH135" s="1106">
        <f t="shared" ref="BH135:BH145" si="97">BE135+BF135+BG135</f>
        <v>16</v>
      </c>
      <c r="BI135" s="1121">
        <v>5</v>
      </c>
      <c r="BJ135" s="1121">
        <v>6</v>
      </c>
      <c r="BK135" s="1121">
        <v>5</v>
      </c>
      <c r="BL135" s="1106">
        <f t="shared" si="84"/>
        <v>16</v>
      </c>
      <c r="BM135" s="1121">
        <v>6</v>
      </c>
      <c r="BN135" s="1121">
        <v>7</v>
      </c>
      <c r="BO135" s="1121">
        <v>5</v>
      </c>
      <c r="BP135" s="1106">
        <f t="shared" si="85"/>
        <v>18</v>
      </c>
      <c r="BQ135" s="1121">
        <v>4</v>
      </c>
      <c r="BR135" s="1121">
        <v>7</v>
      </c>
      <c r="BS135" s="1121">
        <v>3</v>
      </c>
      <c r="BT135" s="1106">
        <f t="shared" si="86"/>
        <v>14</v>
      </c>
      <c r="BU135" s="4574">
        <v>7</v>
      </c>
      <c r="BV135" s="1121">
        <v>7</v>
      </c>
      <c r="BW135" s="1121">
        <v>5</v>
      </c>
      <c r="BX135" s="1106">
        <f t="shared" si="87"/>
        <v>19</v>
      </c>
      <c r="BY135" s="4574">
        <v>7</v>
      </c>
      <c r="BZ135" s="1121">
        <v>6</v>
      </c>
      <c r="CA135" s="1121">
        <v>4</v>
      </c>
      <c r="CB135" s="1106">
        <f t="shared" si="88"/>
        <v>17</v>
      </c>
    </row>
    <row r="136" spans="1:80" s="212" customFormat="1" ht="15" x14ac:dyDescent="0.25">
      <c r="A136" s="6255"/>
      <c r="B136" s="6183"/>
      <c r="C136" s="6266"/>
      <c r="D136" s="1103" t="s">
        <v>92</v>
      </c>
      <c r="E136" s="1122"/>
      <c r="F136" s="1119"/>
      <c r="G136" s="1119"/>
      <c r="H136" s="1120"/>
      <c r="I136" s="1122"/>
      <c r="J136" s="1119"/>
      <c r="K136" s="1119"/>
      <c r="L136" s="1120"/>
      <c r="M136" s="1122"/>
      <c r="N136" s="1119"/>
      <c r="O136" s="1119"/>
      <c r="P136" s="1120"/>
      <c r="Q136" s="1122">
        <v>13</v>
      </c>
      <c r="R136" s="1119"/>
      <c r="S136" s="1119">
        <v>7</v>
      </c>
      <c r="T136" s="1120">
        <v>20</v>
      </c>
      <c r="U136" s="1122"/>
      <c r="V136" s="1119"/>
      <c r="W136" s="1119">
        <v>12</v>
      </c>
      <c r="X136" s="1120">
        <f t="shared" si="90"/>
        <v>12</v>
      </c>
      <c r="Y136" s="1121"/>
      <c r="Z136" s="1121"/>
      <c r="AA136" s="1121">
        <v>6</v>
      </c>
      <c r="AB136" s="1120">
        <f t="shared" si="93"/>
        <v>6</v>
      </c>
      <c r="AC136" s="1121"/>
      <c r="AD136" s="1121"/>
      <c r="AE136" s="1121">
        <v>23</v>
      </c>
      <c r="AF136" s="1120">
        <f t="shared" si="91"/>
        <v>23</v>
      </c>
      <c r="AG136" s="1121"/>
      <c r="AH136" s="1121"/>
      <c r="AI136" s="1121">
        <v>18</v>
      </c>
      <c r="AJ136" s="1120">
        <f t="shared" si="94"/>
        <v>18</v>
      </c>
      <c r="AK136" s="1121"/>
      <c r="AL136" s="1121"/>
      <c r="AM136" s="1121">
        <v>15</v>
      </c>
      <c r="AN136" s="1120">
        <f t="shared" si="92"/>
        <v>15</v>
      </c>
      <c r="AO136" s="1121"/>
      <c r="AP136" s="1121"/>
      <c r="AQ136" s="1121">
        <v>18</v>
      </c>
      <c r="AR136" s="1106">
        <f>SUM(AO136:AQ136)</f>
        <v>18</v>
      </c>
      <c r="AS136" s="1121" t="s">
        <v>227</v>
      </c>
      <c r="AT136" s="1121" t="s">
        <v>227</v>
      </c>
      <c r="AU136" s="1121">
        <v>17</v>
      </c>
      <c r="AV136" s="1106">
        <f t="shared" si="89"/>
        <v>17</v>
      </c>
      <c r="AW136" s="1121"/>
      <c r="AX136" s="1121"/>
      <c r="AY136" s="1121">
        <v>20</v>
      </c>
      <c r="AZ136" s="1106">
        <f t="shared" si="95"/>
        <v>20</v>
      </c>
      <c r="BA136" s="1121"/>
      <c r="BB136" s="1121">
        <v>12</v>
      </c>
      <c r="BC136" s="1121">
        <v>11</v>
      </c>
      <c r="BD136" s="1106">
        <f t="shared" si="96"/>
        <v>23</v>
      </c>
      <c r="BE136" s="1121"/>
      <c r="BF136" s="1121">
        <v>11</v>
      </c>
      <c r="BG136" s="1121">
        <v>12</v>
      </c>
      <c r="BH136" s="1106">
        <f t="shared" si="97"/>
        <v>23</v>
      </c>
      <c r="BI136" s="1121"/>
      <c r="BJ136" s="1121">
        <v>12</v>
      </c>
      <c r="BK136" s="1121">
        <v>12</v>
      </c>
      <c r="BL136" s="1106">
        <f t="shared" si="84"/>
        <v>24</v>
      </c>
      <c r="BM136" s="1121"/>
      <c r="BN136" s="1121">
        <v>12</v>
      </c>
      <c r="BO136" s="1121">
        <v>12</v>
      </c>
      <c r="BP136" s="1106">
        <f t="shared" si="85"/>
        <v>24</v>
      </c>
      <c r="BQ136" s="1121"/>
      <c r="BR136" s="1121">
        <v>12</v>
      </c>
      <c r="BS136" s="1121">
        <v>12</v>
      </c>
      <c r="BT136" s="1106">
        <f t="shared" si="86"/>
        <v>24</v>
      </c>
      <c r="BU136" s="4574"/>
      <c r="BV136" s="1121">
        <v>10</v>
      </c>
      <c r="BW136" s="1121">
        <v>12</v>
      </c>
      <c r="BX136" s="1106">
        <f t="shared" si="87"/>
        <v>22</v>
      </c>
      <c r="BY136" s="4574"/>
      <c r="BZ136" s="1121">
        <v>11</v>
      </c>
      <c r="CA136" s="1121">
        <v>11</v>
      </c>
      <c r="CB136" s="1106">
        <f t="shared" si="88"/>
        <v>22</v>
      </c>
    </row>
    <row r="137" spans="1:80" s="212" customFormat="1" ht="15" x14ac:dyDescent="0.25">
      <c r="A137" s="6255"/>
      <c r="B137" s="6183"/>
      <c r="C137" s="6264"/>
      <c r="D137" s="1103" t="s">
        <v>759</v>
      </c>
      <c r="E137" s="1122"/>
      <c r="F137" s="1119"/>
      <c r="G137" s="1119"/>
      <c r="H137" s="1120"/>
      <c r="I137" s="1122"/>
      <c r="J137" s="1119"/>
      <c r="K137" s="1119"/>
      <c r="L137" s="1120"/>
      <c r="M137" s="1122"/>
      <c r="N137" s="1119"/>
      <c r="O137" s="1119"/>
      <c r="P137" s="1120"/>
      <c r="Q137" s="1122"/>
      <c r="R137" s="1119"/>
      <c r="S137" s="1119"/>
      <c r="T137" s="1120"/>
      <c r="U137" s="1122"/>
      <c r="V137" s="1119"/>
      <c r="W137" s="1119"/>
      <c r="X137" s="1120"/>
      <c r="Y137" s="1121"/>
      <c r="Z137" s="1121"/>
      <c r="AA137" s="1121"/>
      <c r="AB137" s="1120"/>
      <c r="AC137" s="1121"/>
      <c r="AD137" s="1121"/>
      <c r="AE137" s="1121"/>
      <c r="AF137" s="1120"/>
      <c r="AG137" s="1121"/>
      <c r="AH137" s="1121"/>
      <c r="AI137" s="1121"/>
      <c r="AJ137" s="1120"/>
      <c r="AK137" s="1121"/>
      <c r="AL137" s="1121"/>
      <c r="AM137" s="1121"/>
      <c r="AN137" s="1120"/>
      <c r="AO137" s="1121"/>
      <c r="AP137" s="1121"/>
      <c r="AQ137" s="1121"/>
      <c r="AR137" s="1106"/>
      <c r="AS137" s="1121"/>
      <c r="AT137" s="1121"/>
      <c r="AU137" s="1121"/>
      <c r="AV137" s="1106"/>
      <c r="AW137" s="1121"/>
      <c r="AX137" s="1121"/>
      <c r="AY137" s="1121"/>
      <c r="AZ137" s="1106"/>
      <c r="BA137" s="1121"/>
      <c r="BB137" s="1121"/>
      <c r="BC137" s="1121"/>
      <c r="BD137" s="1106"/>
      <c r="BE137" s="1121"/>
      <c r="BF137" s="1121"/>
      <c r="BG137" s="1121"/>
      <c r="BH137" s="1106"/>
      <c r="BI137" s="1121"/>
      <c r="BJ137" s="1121"/>
      <c r="BK137" s="1121"/>
      <c r="BL137" s="1106"/>
      <c r="BM137" s="1121"/>
      <c r="BN137" s="1121">
        <v>10</v>
      </c>
      <c r="BO137" s="1121"/>
      <c r="BP137" s="1106">
        <f t="shared" si="85"/>
        <v>10</v>
      </c>
      <c r="BQ137" s="1121"/>
      <c r="BR137" s="1121">
        <v>11</v>
      </c>
      <c r="BS137" s="1121"/>
      <c r="BT137" s="1106">
        <f t="shared" si="86"/>
        <v>11</v>
      </c>
      <c r="BU137" s="4574"/>
      <c r="BV137" s="1121">
        <v>10</v>
      </c>
      <c r="BW137" s="1121"/>
      <c r="BX137" s="1106">
        <f t="shared" si="87"/>
        <v>10</v>
      </c>
      <c r="BY137" s="4574"/>
      <c r="BZ137" s="1121">
        <v>9</v>
      </c>
      <c r="CA137" s="1121"/>
      <c r="CB137" s="1106">
        <f t="shared" si="88"/>
        <v>9</v>
      </c>
    </row>
    <row r="138" spans="1:80" s="212" customFormat="1" ht="15" x14ac:dyDescent="0.25">
      <c r="A138" s="6255"/>
      <c r="B138" s="6183"/>
      <c r="C138" s="6265" t="s">
        <v>520</v>
      </c>
      <c r="D138" s="1107" t="s">
        <v>359</v>
      </c>
      <c r="E138" s="1122"/>
      <c r="F138" s="1119"/>
      <c r="G138" s="1119">
        <v>6</v>
      </c>
      <c r="H138" s="1120">
        <v>6</v>
      </c>
      <c r="I138" s="1122"/>
      <c r="J138" s="1119"/>
      <c r="K138" s="1119">
        <v>4</v>
      </c>
      <c r="L138" s="1120">
        <v>4</v>
      </c>
      <c r="M138" s="1122"/>
      <c r="N138" s="1119"/>
      <c r="O138" s="1119">
        <v>15</v>
      </c>
      <c r="P138" s="1120">
        <v>15</v>
      </c>
      <c r="Q138" s="1122">
        <v>12</v>
      </c>
      <c r="R138" s="1119"/>
      <c r="S138" s="1119">
        <v>12</v>
      </c>
      <c r="T138" s="1120">
        <v>24</v>
      </c>
      <c r="U138" s="1122">
        <v>7</v>
      </c>
      <c r="V138" s="1119"/>
      <c r="W138" s="1119">
        <v>7</v>
      </c>
      <c r="X138" s="1120">
        <f t="shared" si="90"/>
        <v>14</v>
      </c>
      <c r="Y138" s="1121">
        <v>2</v>
      </c>
      <c r="Z138" s="1121"/>
      <c r="AA138" s="1121">
        <v>1</v>
      </c>
      <c r="AB138" s="1120">
        <f t="shared" si="93"/>
        <v>3</v>
      </c>
      <c r="AC138" s="1121">
        <v>4</v>
      </c>
      <c r="AD138" s="1121"/>
      <c r="AE138" s="1121">
        <v>2</v>
      </c>
      <c r="AF138" s="1120">
        <f t="shared" si="91"/>
        <v>6</v>
      </c>
      <c r="AG138" s="1121">
        <v>6</v>
      </c>
      <c r="AH138" s="1121"/>
      <c r="AI138" s="1121">
        <v>9</v>
      </c>
      <c r="AJ138" s="1120">
        <f t="shared" si="94"/>
        <v>15</v>
      </c>
      <c r="AK138" s="1121">
        <v>7</v>
      </c>
      <c r="AL138" s="1121"/>
      <c r="AM138" s="1121">
        <v>8</v>
      </c>
      <c r="AN138" s="1120">
        <f t="shared" si="92"/>
        <v>15</v>
      </c>
      <c r="AO138" s="1121">
        <v>6</v>
      </c>
      <c r="AP138" s="1121"/>
      <c r="AQ138" s="1121">
        <v>7</v>
      </c>
      <c r="AR138" s="1106">
        <f>SUM(AO138:AQ138)</f>
        <v>13</v>
      </c>
      <c r="AS138" s="1121" t="s">
        <v>227</v>
      </c>
      <c r="AT138" s="1121" t="s">
        <v>227</v>
      </c>
      <c r="AU138" s="1121">
        <v>13</v>
      </c>
      <c r="AV138" s="1106">
        <f t="shared" si="89"/>
        <v>13</v>
      </c>
      <c r="AW138" s="1121">
        <v>6</v>
      </c>
      <c r="AX138" s="1121"/>
      <c r="AY138" s="1121">
        <v>6</v>
      </c>
      <c r="AZ138" s="1106">
        <f t="shared" si="95"/>
        <v>12</v>
      </c>
      <c r="BA138" s="1121">
        <v>9</v>
      </c>
      <c r="BB138" s="1121"/>
      <c r="BC138" s="1121"/>
      <c r="BD138" s="1106">
        <f t="shared" si="96"/>
        <v>9</v>
      </c>
      <c r="BE138" s="1121">
        <v>9</v>
      </c>
      <c r="BF138" s="1121"/>
      <c r="BG138" s="1121">
        <v>5</v>
      </c>
      <c r="BH138" s="1106">
        <f t="shared" si="97"/>
        <v>14</v>
      </c>
      <c r="BI138" s="1121">
        <v>6</v>
      </c>
      <c r="BJ138" s="1121"/>
      <c r="BK138" s="1121">
        <v>7</v>
      </c>
      <c r="BL138" s="1106">
        <f t="shared" si="84"/>
        <v>13</v>
      </c>
      <c r="BM138" s="1121">
        <v>8</v>
      </c>
      <c r="BN138" s="1121"/>
      <c r="BO138" s="1121">
        <v>5</v>
      </c>
      <c r="BP138" s="1106">
        <f t="shared" si="85"/>
        <v>13</v>
      </c>
      <c r="BQ138" s="1121">
        <v>7</v>
      </c>
      <c r="BR138" s="1121"/>
      <c r="BS138" s="1121">
        <v>8</v>
      </c>
      <c r="BT138" s="1106">
        <f t="shared" si="86"/>
        <v>15</v>
      </c>
      <c r="BU138" s="4574">
        <v>8</v>
      </c>
      <c r="BV138" s="1121"/>
      <c r="BW138" s="1121">
        <v>9</v>
      </c>
      <c r="BX138" s="1106">
        <f t="shared" si="87"/>
        <v>17</v>
      </c>
      <c r="BY138" s="4574">
        <v>6</v>
      </c>
      <c r="BZ138" s="1121"/>
      <c r="CA138" s="1121">
        <v>5</v>
      </c>
      <c r="CB138" s="1106">
        <f t="shared" si="88"/>
        <v>11</v>
      </c>
    </row>
    <row r="139" spans="1:80" s="212" customFormat="1" ht="15" x14ac:dyDescent="0.25">
      <c r="A139" s="6255"/>
      <c r="B139" s="6183"/>
      <c r="C139" s="6266"/>
      <c r="D139" s="1107" t="s">
        <v>96</v>
      </c>
      <c r="E139" s="1104"/>
      <c r="F139" s="1105"/>
      <c r="G139" s="1105"/>
      <c r="H139" s="1106"/>
      <c r="I139" s="1104"/>
      <c r="J139" s="1105"/>
      <c r="K139" s="1105"/>
      <c r="L139" s="1106">
        <v>0</v>
      </c>
      <c r="M139" s="1104"/>
      <c r="N139" s="1105"/>
      <c r="O139" s="1105"/>
      <c r="P139" s="1106"/>
      <c r="Q139" s="1104"/>
      <c r="R139" s="1105"/>
      <c r="S139" s="1105"/>
      <c r="T139" s="1106"/>
      <c r="U139" s="1104"/>
      <c r="V139" s="1105"/>
      <c r="W139" s="1105">
        <v>11</v>
      </c>
      <c r="X139" s="1106">
        <f t="shared" si="90"/>
        <v>11</v>
      </c>
      <c r="Y139" s="1105"/>
      <c r="Z139" s="1105"/>
      <c r="AA139" s="1105">
        <v>4</v>
      </c>
      <c r="AB139" s="1106">
        <f t="shared" si="93"/>
        <v>4</v>
      </c>
      <c r="AC139" s="1105"/>
      <c r="AD139" s="1105"/>
      <c r="AE139" s="1105">
        <v>11</v>
      </c>
      <c r="AF139" s="1106">
        <f t="shared" si="91"/>
        <v>11</v>
      </c>
      <c r="AG139" s="1105"/>
      <c r="AH139" s="1105"/>
      <c r="AI139" s="1105">
        <v>11</v>
      </c>
      <c r="AJ139" s="1106">
        <f t="shared" si="94"/>
        <v>11</v>
      </c>
      <c r="AK139" s="1105"/>
      <c r="AL139" s="1105"/>
      <c r="AM139" s="1105">
        <v>13</v>
      </c>
      <c r="AN139" s="1106">
        <f t="shared" si="92"/>
        <v>13</v>
      </c>
      <c r="AO139" s="1105"/>
      <c r="AP139" s="1105"/>
      <c r="AQ139" s="1105"/>
      <c r="AR139" s="1106"/>
      <c r="AS139" s="1105">
        <v>13</v>
      </c>
      <c r="AT139" s="1105" t="s">
        <v>227</v>
      </c>
      <c r="AU139" s="1105" t="s">
        <v>227</v>
      </c>
      <c r="AV139" s="1106">
        <f t="shared" si="89"/>
        <v>13</v>
      </c>
      <c r="AW139" s="1105"/>
      <c r="AX139" s="1105"/>
      <c r="AY139" s="1105">
        <v>13</v>
      </c>
      <c r="AZ139" s="1106">
        <f t="shared" si="95"/>
        <v>13</v>
      </c>
      <c r="BA139" s="1105"/>
      <c r="BB139" s="1105"/>
      <c r="BC139" s="1105">
        <v>8</v>
      </c>
      <c r="BD139" s="1106">
        <f t="shared" si="96"/>
        <v>8</v>
      </c>
      <c r="BE139" s="1105"/>
      <c r="BF139" s="1105"/>
      <c r="BG139" s="1105">
        <v>13</v>
      </c>
      <c r="BH139" s="1106">
        <f t="shared" si="97"/>
        <v>13</v>
      </c>
      <c r="BI139" s="1105"/>
      <c r="BJ139" s="1105"/>
      <c r="BK139" s="1105"/>
      <c r="BL139" s="1106">
        <f t="shared" si="84"/>
        <v>0</v>
      </c>
      <c r="BM139" s="1105"/>
      <c r="BN139" s="1105"/>
      <c r="BO139" s="1105">
        <v>14</v>
      </c>
      <c r="BP139" s="1106">
        <f t="shared" si="85"/>
        <v>14</v>
      </c>
      <c r="BQ139" s="1105"/>
      <c r="BR139" s="1105"/>
      <c r="BS139" s="1105"/>
      <c r="BT139" s="1106">
        <f t="shared" si="86"/>
        <v>0</v>
      </c>
      <c r="BU139" s="1104"/>
      <c r="BV139" s="1105"/>
      <c r="BW139" s="1105">
        <v>13</v>
      </c>
      <c r="BX139" s="1106">
        <f t="shared" si="87"/>
        <v>13</v>
      </c>
      <c r="BY139" s="1104"/>
      <c r="BZ139" s="1105"/>
      <c r="CA139" s="1105"/>
      <c r="CB139" s="1106">
        <f t="shared" si="88"/>
        <v>0</v>
      </c>
    </row>
    <row r="140" spans="1:80" s="212" customFormat="1" ht="15" x14ac:dyDescent="0.25">
      <c r="A140" s="6255"/>
      <c r="B140" s="6183"/>
      <c r="C140" s="6264"/>
      <c r="D140" s="1457" t="s">
        <v>581</v>
      </c>
      <c r="E140" s="1458"/>
      <c r="F140" s="1459"/>
      <c r="G140" s="1459"/>
      <c r="H140" s="1128"/>
      <c r="I140" s="1458"/>
      <c r="J140" s="1459"/>
      <c r="K140" s="1459"/>
      <c r="L140" s="1128"/>
      <c r="M140" s="1458"/>
      <c r="N140" s="1459"/>
      <c r="O140" s="1459"/>
      <c r="P140" s="1128"/>
      <c r="Q140" s="1458"/>
      <c r="R140" s="1459"/>
      <c r="S140" s="1459"/>
      <c r="T140" s="1128"/>
      <c r="U140" s="1458"/>
      <c r="V140" s="1459"/>
      <c r="W140" s="1459"/>
      <c r="X140" s="1128"/>
      <c r="Y140" s="1459"/>
      <c r="Z140" s="1459"/>
      <c r="AA140" s="1459"/>
      <c r="AB140" s="1128"/>
      <c r="AC140" s="1459"/>
      <c r="AD140" s="1459"/>
      <c r="AE140" s="1459"/>
      <c r="AF140" s="1128"/>
      <c r="AG140" s="1459"/>
      <c r="AH140" s="1459"/>
      <c r="AI140" s="1459"/>
      <c r="AJ140" s="1128"/>
      <c r="AK140" s="1459"/>
      <c r="AL140" s="1459"/>
      <c r="AM140" s="1459"/>
      <c r="AN140" s="1128"/>
      <c r="AO140" s="1459"/>
      <c r="AP140" s="1459"/>
      <c r="AQ140" s="1459"/>
      <c r="AR140" s="1128"/>
      <c r="AS140" s="1459"/>
      <c r="AT140" s="1459"/>
      <c r="AU140" s="1459"/>
      <c r="AV140" s="1128"/>
      <c r="AW140" s="1459"/>
      <c r="AX140" s="1459"/>
      <c r="AY140" s="1459"/>
      <c r="AZ140" s="1128"/>
      <c r="BA140" s="1459"/>
      <c r="BB140" s="1459"/>
      <c r="BC140" s="1459"/>
      <c r="BD140" s="1128"/>
      <c r="BE140" s="1459"/>
      <c r="BF140" s="1459"/>
      <c r="BG140" s="1459"/>
      <c r="BH140" s="1128"/>
      <c r="BI140" s="1459">
        <v>9</v>
      </c>
      <c r="BJ140" s="1459"/>
      <c r="BK140" s="1459"/>
      <c r="BL140" s="1106">
        <f t="shared" si="84"/>
        <v>9</v>
      </c>
      <c r="BM140" s="1459">
        <v>3</v>
      </c>
      <c r="BN140" s="1459"/>
      <c r="BO140" s="1459">
        <v>4</v>
      </c>
      <c r="BP140" s="1106">
        <f t="shared" si="85"/>
        <v>7</v>
      </c>
      <c r="BQ140" s="1459">
        <v>5</v>
      </c>
      <c r="BR140" s="1459"/>
      <c r="BS140" s="1459"/>
      <c r="BT140" s="1106">
        <f t="shared" si="86"/>
        <v>5</v>
      </c>
      <c r="BU140" s="1458">
        <v>5</v>
      </c>
      <c r="BV140" s="1459"/>
      <c r="BW140" s="1459"/>
      <c r="BX140" s="1106">
        <f t="shared" si="87"/>
        <v>5</v>
      </c>
      <c r="BY140" s="1458">
        <v>5</v>
      </c>
      <c r="BZ140" s="1459"/>
      <c r="CA140" s="1459"/>
      <c r="CB140" s="1106">
        <f t="shared" si="88"/>
        <v>5</v>
      </c>
    </row>
    <row r="141" spans="1:80" s="212" customFormat="1" ht="15" x14ac:dyDescent="0.25">
      <c r="A141" s="6255"/>
      <c r="B141" s="6185"/>
      <c r="C141" s="5166"/>
      <c r="D141" s="5160" t="s">
        <v>445</v>
      </c>
      <c r="E141" s="1110">
        <f t="shared" ref="E141:AJ141" si="98">SUM(E127:E139)</f>
        <v>43</v>
      </c>
      <c r="F141" s="1111">
        <f t="shared" si="98"/>
        <v>0</v>
      </c>
      <c r="G141" s="1111">
        <f t="shared" si="98"/>
        <v>36</v>
      </c>
      <c r="H141" s="1139">
        <f t="shared" si="98"/>
        <v>79</v>
      </c>
      <c r="I141" s="1110">
        <f t="shared" si="98"/>
        <v>69</v>
      </c>
      <c r="J141" s="1111">
        <f t="shared" si="98"/>
        <v>0</v>
      </c>
      <c r="K141" s="1111">
        <f t="shared" si="98"/>
        <v>11</v>
      </c>
      <c r="L141" s="1139">
        <f t="shared" si="98"/>
        <v>80</v>
      </c>
      <c r="M141" s="1110">
        <f t="shared" si="98"/>
        <v>48</v>
      </c>
      <c r="N141" s="1111">
        <f t="shared" si="98"/>
        <v>1</v>
      </c>
      <c r="O141" s="1111">
        <f t="shared" si="98"/>
        <v>53</v>
      </c>
      <c r="P141" s="1139">
        <f t="shared" si="98"/>
        <v>102</v>
      </c>
      <c r="Q141" s="1110">
        <f t="shared" si="98"/>
        <v>60</v>
      </c>
      <c r="R141" s="1111">
        <f t="shared" si="98"/>
        <v>0</v>
      </c>
      <c r="S141" s="1111">
        <f t="shared" si="98"/>
        <v>35</v>
      </c>
      <c r="T141" s="1139">
        <f t="shared" si="98"/>
        <v>95</v>
      </c>
      <c r="U141" s="1110">
        <f t="shared" si="98"/>
        <v>39</v>
      </c>
      <c r="V141" s="1111">
        <f t="shared" si="98"/>
        <v>11</v>
      </c>
      <c r="W141" s="1111">
        <f t="shared" si="98"/>
        <v>54</v>
      </c>
      <c r="X141" s="1139">
        <f t="shared" si="98"/>
        <v>104</v>
      </c>
      <c r="Y141" s="1111">
        <f t="shared" si="98"/>
        <v>29</v>
      </c>
      <c r="Z141" s="1111">
        <f t="shared" si="98"/>
        <v>0</v>
      </c>
      <c r="AA141" s="1111">
        <f t="shared" si="98"/>
        <v>16</v>
      </c>
      <c r="AB141" s="1139">
        <f t="shared" si="98"/>
        <v>45</v>
      </c>
      <c r="AC141" s="1111">
        <f t="shared" si="98"/>
        <v>20</v>
      </c>
      <c r="AD141" s="1111">
        <f t="shared" si="98"/>
        <v>4</v>
      </c>
      <c r="AE141" s="1111">
        <f t="shared" si="98"/>
        <v>76</v>
      </c>
      <c r="AF141" s="1139">
        <f t="shared" si="98"/>
        <v>100</v>
      </c>
      <c r="AG141" s="1111">
        <f t="shared" si="98"/>
        <v>22</v>
      </c>
      <c r="AH141" s="1111">
        <f t="shared" si="98"/>
        <v>4</v>
      </c>
      <c r="AI141" s="1111">
        <f t="shared" si="98"/>
        <v>63</v>
      </c>
      <c r="AJ141" s="1139">
        <f t="shared" si="98"/>
        <v>89</v>
      </c>
      <c r="AK141" s="1111">
        <f t="shared" ref="AK141:BH141" si="99">SUM(AK127:AK139)</f>
        <v>18</v>
      </c>
      <c r="AL141" s="1111">
        <f t="shared" si="99"/>
        <v>8</v>
      </c>
      <c r="AM141" s="1111">
        <f t="shared" si="99"/>
        <v>77</v>
      </c>
      <c r="AN141" s="1139">
        <f t="shared" si="99"/>
        <v>103</v>
      </c>
      <c r="AO141" s="1111">
        <f t="shared" si="99"/>
        <v>24</v>
      </c>
      <c r="AP141" s="1111">
        <f t="shared" si="99"/>
        <v>14</v>
      </c>
      <c r="AQ141" s="1111">
        <f t="shared" si="99"/>
        <v>50</v>
      </c>
      <c r="AR141" s="1139">
        <f t="shared" si="99"/>
        <v>88</v>
      </c>
      <c r="AS141" s="1111">
        <f t="shared" si="99"/>
        <v>31</v>
      </c>
      <c r="AT141" s="1111">
        <f t="shared" si="99"/>
        <v>6</v>
      </c>
      <c r="AU141" s="1111">
        <f t="shared" si="99"/>
        <v>65</v>
      </c>
      <c r="AV141" s="1139">
        <f t="shared" si="99"/>
        <v>102</v>
      </c>
      <c r="AW141" s="1111">
        <f t="shared" si="99"/>
        <v>24</v>
      </c>
      <c r="AX141" s="1111">
        <f t="shared" si="99"/>
        <v>5</v>
      </c>
      <c r="AY141" s="1111">
        <f t="shared" si="99"/>
        <v>61</v>
      </c>
      <c r="AZ141" s="1139">
        <f t="shared" si="99"/>
        <v>90</v>
      </c>
      <c r="BA141" s="1111">
        <f t="shared" si="99"/>
        <v>23</v>
      </c>
      <c r="BB141" s="1111">
        <f t="shared" si="99"/>
        <v>15</v>
      </c>
      <c r="BC141" s="1111">
        <f t="shared" si="99"/>
        <v>69</v>
      </c>
      <c r="BD141" s="1139">
        <f t="shared" si="99"/>
        <v>107</v>
      </c>
      <c r="BE141" s="1111">
        <f t="shared" si="99"/>
        <v>25</v>
      </c>
      <c r="BF141" s="1111">
        <f t="shared" si="99"/>
        <v>18</v>
      </c>
      <c r="BG141" s="1111">
        <f t="shared" si="99"/>
        <v>57</v>
      </c>
      <c r="BH141" s="1139">
        <f t="shared" si="99"/>
        <v>100</v>
      </c>
      <c r="BI141" s="1111">
        <f>SUM(BI127:BI140)</f>
        <v>32</v>
      </c>
      <c r="BJ141" s="1111">
        <f>SUM(BJ127:BJ139)</f>
        <v>32</v>
      </c>
      <c r="BK141" s="1111">
        <f>SUM(BK127:BK140)</f>
        <v>51</v>
      </c>
      <c r="BL141" s="1139">
        <f>SUM(BL127:BL140)</f>
        <v>115</v>
      </c>
      <c r="BM141" s="1111">
        <f>SUM(BM127:BM140)</f>
        <v>17</v>
      </c>
      <c r="BN141" s="1111">
        <f>SUM(BN127:BN139)</f>
        <v>29</v>
      </c>
      <c r="BO141" s="1111">
        <f>SUM(BO127:BO140)</f>
        <v>57</v>
      </c>
      <c r="BP141" s="1139">
        <f>SUM(BP127:BP140)</f>
        <v>103</v>
      </c>
      <c r="BQ141" s="1111">
        <f>SUM(BQ127:BQ140)</f>
        <v>43</v>
      </c>
      <c r="BR141" s="1111">
        <f>SUM(BR127:BR139)</f>
        <v>30</v>
      </c>
      <c r="BS141" s="1111">
        <f t="shared" ref="BS141:CB141" si="100">SUM(BS127:BS140)</f>
        <v>55</v>
      </c>
      <c r="BT141" s="1139">
        <f t="shared" si="100"/>
        <v>128</v>
      </c>
      <c r="BU141" s="1110">
        <f t="shared" si="100"/>
        <v>20</v>
      </c>
      <c r="BV141" s="1111">
        <f t="shared" si="100"/>
        <v>27</v>
      </c>
      <c r="BW141" s="1111">
        <f t="shared" si="100"/>
        <v>65</v>
      </c>
      <c r="BX141" s="1112">
        <f t="shared" si="100"/>
        <v>112</v>
      </c>
      <c r="BY141" s="1110">
        <f t="shared" si="100"/>
        <v>29</v>
      </c>
      <c r="BZ141" s="1111">
        <f t="shared" si="100"/>
        <v>26</v>
      </c>
      <c r="CA141" s="1111">
        <f t="shared" si="100"/>
        <v>53</v>
      </c>
      <c r="CB141" s="1112">
        <f t="shared" si="100"/>
        <v>108</v>
      </c>
    </row>
    <row r="142" spans="1:80" s="212" customFormat="1" ht="15" x14ac:dyDescent="0.25">
      <c r="A142" s="6255"/>
      <c r="B142" s="6182" t="s">
        <v>7</v>
      </c>
      <c r="C142" s="6263" t="s">
        <v>521</v>
      </c>
      <c r="D142" s="1140" t="s">
        <v>1</v>
      </c>
      <c r="E142" s="1129"/>
      <c r="F142" s="1130"/>
      <c r="G142" s="1130"/>
      <c r="H142" s="1131"/>
      <c r="I142" s="1129"/>
      <c r="J142" s="1130">
        <v>46</v>
      </c>
      <c r="K142" s="1130"/>
      <c r="L142" s="1131">
        <v>46</v>
      </c>
      <c r="M142" s="1129"/>
      <c r="N142" s="1130"/>
      <c r="O142" s="1130"/>
      <c r="P142" s="1131"/>
      <c r="Q142" s="1129"/>
      <c r="R142" s="1130"/>
      <c r="S142" s="1130">
        <v>26</v>
      </c>
      <c r="T142" s="1131">
        <v>26</v>
      </c>
      <c r="U142" s="1129"/>
      <c r="V142" s="1130"/>
      <c r="W142" s="1130">
        <v>19</v>
      </c>
      <c r="X142" s="1131">
        <f>SUM(U142:W142)</f>
        <v>19</v>
      </c>
      <c r="Y142" s="1132"/>
      <c r="Z142" s="1132"/>
      <c r="AA142" s="1132">
        <v>23</v>
      </c>
      <c r="AB142" s="1131">
        <f t="shared" si="93"/>
        <v>23</v>
      </c>
      <c r="AC142" s="1132"/>
      <c r="AD142" s="1132"/>
      <c r="AE142" s="1132">
        <v>20</v>
      </c>
      <c r="AF142" s="1131">
        <f t="shared" si="91"/>
        <v>20</v>
      </c>
      <c r="AG142" s="1132"/>
      <c r="AH142" s="1132"/>
      <c r="AI142" s="1132">
        <v>22</v>
      </c>
      <c r="AJ142" s="1131">
        <f t="shared" si="94"/>
        <v>22</v>
      </c>
      <c r="AK142" s="1132"/>
      <c r="AL142" s="1132"/>
      <c r="AM142" s="1132">
        <v>22</v>
      </c>
      <c r="AN142" s="1131">
        <f t="shared" si="92"/>
        <v>22</v>
      </c>
      <c r="AO142" s="1132"/>
      <c r="AP142" s="1132"/>
      <c r="AQ142" s="1132">
        <v>18</v>
      </c>
      <c r="AR142" s="1102">
        <f>SUM(AO142:AQ142)</f>
        <v>18</v>
      </c>
      <c r="AS142" s="1132" t="s">
        <v>227</v>
      </c>
      <c r="AT142" s="1132" t="s">
        <v>227</v>
      </c>
      <c r="AU142" s="1132">
        <v>23</v>
      </c>
      <c r="AV142" s="1102">
        <f t="shared" si="89"/>
        <v>23</v>
      </c>
      <c r="AW142" s="1132"/>
      <c r="AX142" s="1132"/>
      <c r="AY142" s="1132">
        <v>15</v>
      </c>
      <c r="AZ142" s="1102">
        <f t="shared" si="95"/>
        <v>15</v>
      </c>
      <c r="BA142" s="1132"/>
      <c r="BB142" s="1132"/>
      <c r="BC142" s="1132">
        <v>19</v>
      </c>
      <c r="BD142" s="1118">
        <f t="shared" si="96"/>
        <v>19</v>
      </c>
      <c r="BE142" s="1132"/>
      <c r="BF142" s="1132"/>
      <c r="BG142" s="1132">
        <v>19</v>
      </c>
      <c r="BH142" s="1118">
        <f t="shared" si="97"/>
        <v>19</v>
      </c>
      <c r="BI142" s="1132"/>
      <c r="BJ142" s="1132"/>
      <c r="BK142" s="1132">
        <v>23</v>
      </c>
      <c r="BL142" s="1118">
        <f>BI142+BJ142+BK142</f>
        <v>23</v>
      </c>
      <c r="BM142" s="1132"/>
      <c r="BN142" s="1132"/>
      <c r="BO142" s="1132">
        <v>25</v>
      </c>
      <c r="BP142" s="1118">
        <f>BM142+BN142+BO142</f>
        <v>25</v>
      </c>
      <c r="BQ142" s="1132"/>
      <c r="BR142" s="1132"/>
      <c r="BS142" s="1132">
        <v>24</v>
      </c>
      <c r="BT142" s="1118">
        <f>BQ142+BR142+BS142</f>
        <v>24</v>
      </c>
      <c r="BU142" s="1132"/>
      <c r="BV142" s="1132">
        <v>1</v>
      </c>
      <c r="BW142" s="1132">
        <v>24</v>
      </c>
      <c r="BX142" s="1118">
        <f>BU142+BV142+BW142</f>
        <v>25</v>
      </c>
      <c r="BY142" s="1132"/>
      <c r="BZ142" s="1132"/>
      <c r="CA142" s="1132">
        <v>23</v>
      </c>
      <c r="CB142" s="1118">
        <f>BY142+BZ142+CA142</f>
        <v>23</v>
      </c>
    </row>
    <row r="143" spans="1:80" s="212" customFormat="1" ht="15" x14ac:dyDescent="0.25">
      <c r="A143" s="6255"/>
      <c r="B143" s="6183"/>
      <c r="C143" s="6266"/>
      <c r="D143" s="1141" t="s">
        <v>396</v>
      </c>
      <c r="E143" s="1122"/>
      <c r="F143" s="1119"/>
      <c r="G143" s="1119"/>
      <c r="H143" s="1120"/>
      <c r="I143" s="1122"/>
      <c r="J143" s="1119"/>
      <c r="K143" s="1119"/>
      <c r="L143" s="1120"/>
      <c r="M143" s="1122"/>
      <c r="N143" s="1119"/>
      <c r="O143" s="1119"/>
      <c r="P143" s="1120"/>
      <c r="Q143" s="1122"/>
      <c r="R143" s="1119"/>
      <c r="S143" s="1119"/>
      <c r="T143" s="1120"/>
      <c r="U143" s="1122"/>
      <c r="V143" s="1119"/>
      <c r="W143" s="1119"/>
      <c r="X143" s="1120"/>
      <c r="Y143" s="1121"/>
      <c r="Z143" s="1121"/>
      <c r="AA143" s="1121"/>
      <c r="AB143" s="1120"/>
      <c r="AC143" s="1121"/>
      <c r="AD143" s="1121"/>
      <c r="AE143" s="1121"/>
      <c r="AF143" s="1120"/>
      <c r="AG143" s="1121"/>
      <c r="AH143" s="1121"/>
      <c r="AI143" s="1121"/>
      <c r="AJ143" s="1120"/>
      <c r="AK143" s="1121"/>
      <c r="AL143" s="1121"/>
      <c r="AM143" s="1121"/>
      <c r="AN143" s="1120"/>
      <c r="AO143" s="1121"/>
      <c r="AP143" s="1121"/>
      <c r="AQ143" s="1121"/>
      <c r="AR143" s="1106"/>
      <c r="AS143" s="1121" t="s">
        <v>227</v>
      </c>
      <c r="AT143" s="1121">
        <v>17</v>
      </c>
      <c r="AU143" s="1121" t="s">
        <v>227</v>
      </c>
      <c r="AV143" s="1106">
        <f t="shared" si="89"/>
        <v>17</v>
      </c>
      <c r="AW143" s="1121"/>
      <c r="AX143" s="1121"/>
      <c r="AY143" s="1121"/>
      <c r="AZ143" s="1106"/>
      <c r="BA143" s="1121"/>
      <c r="BB143" s="1121">
        <v>15</v>
      </c>
      <c r="BC143" s="1121"/>
      <c r="BD143" s="1106">
        <f t="shared" si="96"/>
        <v>15</v>
      </c>
      <c r="BE143" s="1121"/>
      <c r="BF143" s="1121"/>
      <c r="BG143" s="1121"/>
      <c r="BH143" s="1106"/>
      <c r="BI143" s="1121"/>
      <c r="BJ143" s="1121">
        <v>20</v>
      </c>
      <c r="BK143" s="1121"/>
      <c r="BL143" s="1106">
        <f>BI143+BJ143+BK143</f>
        <v>20</v>
      </c>
      <c r="BM143" s="1121"/>
      <c r="BN143" s="1121"/>
      <c r="BO143" s="1121"/>
      <c r="BP143" s="1106">
        <f>BM143+BN143+BO143</f>
        <v>0</v>
      </c>
      <c r="BQ143" s="1121"/>
      <c r="BR143" s="1121">
        <v>21</v>
      </c>
      <c r="BS143" s="1121"/>
      <c r="BT143" s="1106">
        <f>BQ143+BR143+BS143</f>
        <v>21</v>
      </c>
      <c r="BU143" s="1121"/>
      <c r="BV143" s="1121"/>
      <c r="BW143" s="1121"/>
      <c r="BX143" s="1106">
        <f>BU143+BV143+BW143</f>
        <v>0</v>
      </c>
      <c r="BY143" s="1121"/>
      <c r="BZ143" s="1121">
        <v>16</v>
      </c>
      <c r="CA143" s="1121"/>
      <c r="CB143" s="1106">
        <f>BY143+BZ143+CA143</f>
        <v>16</v>
      </c>
    </row>
    <row r="144" spans="1:80" s="212" customFormat="1" ht="15" x14ac:dyDescent="0.25">
      <c r="A144" s="6255"/>
      <c r="B144" s="6183"/>
      <c r="C144" s="6264"/>
      <c r="D144" s="1141" t="s">
        <v>397</v>
      </c>
      <c r="E144" s="1122"/>
      <c r="F144" s="1119"/>
      <c r="G144" s="1119"/>
      <c r="H144" s="1120"/>
      <c r="I144" s="1122"/>
      <c r="J144" s="1119"/>
      <c r="K144" s="1119"/>
      <c r="L144" s="1120"/>
      <c r="M144" s="1122"/>
      <c r="N144" s="1119"/>
      <c r="O144" s="1119"/>
      <c r="P144" s="1120"/>
      <c r="Q144" s="1122"/>
      <c r="R144" s="1119"/>
      <c r="S144" s="1119"/>
      <c r="T144" s="1120"/>
      <c r="U144" s="1122"/>
      <c r="V144" s="1119"/>
      <c r="W144" s="1119"/>
      <c r="X144" s="1120"/>
      <c r="Y144" s="1121"/>
      <c r="Z144" s="1121"/>
      <c r="AA144" s="1121"/>
      <c r="AB144" s="1120"/>
      <c r="AC144" s="1121"/>
      <c r="AD144" s="1121"/>
      <c r="AE144" s="1121"/>
      <c r="AF144" s="1120"/>
      <c r="AG144" s="1121"/>
      <c r="AH144" s="1121"/>
      <c r="AI144" s="1121"/>
      <c r="AJ144" s="1120"/>
      <c r="AK144" s="1121"/>
      <c r="AL144" s="1121"/>
      <c r="AM144" s="1121"/>
      <c r="AN144" s="1120"/>
      <c r="AO144" s="1121"/>
      <c r="AP144" s="1121"/>
      <c r="AQ144" s="1121"/>
      <c r="AR144" s="1106"/>
      <c r="AS144" s="1121" t="s">
        <v>227</v>
      </c>
      <c r="AT144" s="1121" t="s">
        <v>227</v>
      </c>
      <c r="AU144" s="1121">
        <v>33</v>
      </c>
      <c r="AV144" s="1106">
        <f t="shared" si="89"/>
        <v>33</v>
      </c>
      <c r="AW144" s="1121"/>
      <c r="AX144" s="1121"/>
      <c r="AY144" s="1121"/>
      <c r="AZ144" s="1106"/>
      <c r="BA144" s="1121"/>
      <c r="BB144" s="1121">
        <v>24</v>
      </c>
      <c r="BC144" s="1121"/>
      <c r="BD144" s="1106">
        <f t="shared" si="96"/>
        <v>24</v>
      </c>
      <c r="BE144" s="1121"/>
      <c r="BF144" s="1121"/>
      <c r="BG144" s="1121"/>
      <c r="BH144" s="1106"/>
      <c r="BI144" s="1121"/>
      <c r="BJ144" s="1121">
        <v>23</v>
      </c>
      <c r="BK144" s="1121"/>
      <c r="BL144" s="1106">
        <f>BI144+BJ144+BK144</f>
        <v>23</v>
      </c>
      <c r="BM144" s="1121"/>
      <c r="BN144" s="1121"/>
      <c r="BO144" s="1121"/>
      <c r="BP144" s="1106">
        <f>BM144+BN144+BO144</f>
        <v>0</v>
      </c>
      <c r="BQ144" s="1121"/>
      <c r="BR144" s="1121">
        <v>24</v>
      </c>
      <c r="BS144" s="1121"/>
      <c r="BT144" s="1106">
        <f>BQ144+BR144+BS144</f>
        <v>24</v>
      </c>
      <c r="BU144" s="1121"/>
      <c r="BV144" s="1121"/>
      <c r="BW144" s="1121"/>
      <c r="BX144" s="1106">
        <f>BU144+BV144+BW144</f>
        <v>0</v>
      </c>
      <c r="BY144" s="1121"/>
      <c r="BZ144" s="1121">
        <v>24</v>
      </c>
      <c r="CA144" s="1121"/>
      <c r="CB144" s="1106">
        <f>BY144+BZ144+CA144</f>
        <v>24</v>
      </c>
    </row>
    <row r="145" spans="1:80" s="212" customFormat="1" ht="15" x14ac:dyDescent="0.25">
      <c r="A145" s="6255"/>
      <c r="B145" s="6183"/>
      <c r="C145" s="5164" t="s">
        <v>520</v>
      </c>
      <c r="D145" s="1107" t="s">
        <v>2</v>
      </c>
      <c r="E145" s="1104"/>
      <c r="F145" s="1105"/>
      <c r="G145" s="1105"/>
      <c r="H145" s="1106"/>
      <c r="I145" s="1104"/>
      <c r="J145" s="1105"/>
      <c r="K145" s="1105"/>
      <c r="L145" s="1106"/>
      <c r="M145" s="1104"/>
      <c r="N145" s="1105"/>
      <c r="O145" s="1105"/>
      <c r="P145" s="1106"/>
      <c r="Q145" s="1104"/>
      <c r="R145" s="1105">
        <v>11</v>
      </c>
      <c r="S145" s="1105">
        <v>3</v>
      </c>
      <c r="T145" s="1106">
        <v>14</v>
      </c>
      <c r="U145" s="1104"/>
      <c r="V145" s="1105"/>
      <c r="W145" s="1105"/>
      <c r="X145" s="1106"/>
      <c r="Y145" s="1105"/>
      <c r="Z145" s="1105"/>
      <c r="AA145" s="1105">
        <v>14</v>
      </c>
      <c r="AB145" s="1106">
        <f t="shared" si="93"/>
        <v>14</v>
      </c>
      <c r="AC145" s="1105"/>
      <c r="AD145" s="1105"/>
      <c r="AE145" s="1105"/>
      <c r="AF145" s="1106"/>
      <c r="AG145" s="1105">
        <v>18</v>
      </c>
      <c r="AH145" s="1105"/>
      <c r="AI145" s="1105"/>
      <c r="AJ145" s="1106">
        <f t="shared" si="94"/>
        <v>18</v>
      </c>
      <c r="AK145" s="1105">
        <v>6</v>
      </c>
      <c r="AL145" s="1105"/>
      <c r="AM145" s="1105"/>
      <c r="AN145" s="1106">
        <f t="shared" si="92"/>
        <v>6</v>
      </c>
      <c r="AO145" s="1105">
        <v>12</v>
      </c>
      <c r="AP145" s="1105"/>
      <c r="AQ145" s="1105"/>
      <c r="AR145" s="1106">
        <f>SUM(AO145:AQ145)</f>
        <v>12</v>
      </c>
      <c r="AS145" s="1105">
        <v>10</v>
      </c>
      <c r="AT145" s="1105" t="s">
        <v>227</v>
      </c>
      <c r="AU145" s="1105" t="s">
        <v>227</v>
      </c>
      <c r="AV145" s="1106">
        <f t="shared" si="89"/>
        <v>10</v>
      </c>
      <c r="AW145" s="1105">
        <v>11</v>
      </c>
      <c r="AX145" s="1105"/>
      <c r="AY145" s="1105"/>
      <c r="AZ145" s="1106">
        <f t="shared" si="95"/>
        <v>11</v>
      </c>
      <c r="BA145" s="1105">
        <v>8</v>
      </c>
      <c r="BB145" s="1105"/>
      <c r="BC145" s="1105"/>
      <c r="BD145" s="1106">
        <f>BA145+BB145+BC145</f>
        <v>8</v>
      </c>
      <c r="BE145" s="1105">
        <v>10</v>
      </c>
      <c r="BF145" s="1105"/>
      <c r="BG145" s="1105"/>
      <c r="BH145" s="1106">
        <f t="shared" si="97"/>
        <v>10</v>
      </c>
      <c r="BI145" s="1105">
        <v>8</v>
      </c>
      <c r="BJ145" s="1105"/>
      <c r="BK145" s="1105"/>
      <c r="BL145" s="1106">
        <f>BI145+BJ145+BK145</f>
        <v>8</v>
      </c>
      <c r="BM145" s="1105">
        <v>7</v>
      </c>
      <c r="BN145" s="1105"/>
      <c r="BO145" s="1105"/>
      <c r="BP145" s="1106">
        <f>BM145+BN145+BO145</f>
        <v>7</v>
      </c>
      <c r="BQ145" s="1105">
        <v>8</v>
      </c>
      <c r="BR145" s="1105"/>
      <c r="BS145" s="1105"/>
      <c r="BT145" s="1106">
        <f>BQ145+BR145+BS145</f>
        <v>8</v>
      </c>
      <c r="BU145" s="1105">
        <v>12</v>
      </c>
      <c r="BV145" s="1105"/>
      <c r="BW145" s="1105"/>
      <c r="BX145" s="1106">
        <f>BU145+BV145+BW145</f>
        <v>12</v>
      </c>
      <c r="BY145" s="1105">
        <v>11</v>
      </c>
      <c r="BZ145" s="1105"/>
      <c r="CA145" s="1105"/>
      <c r="CB145" s="1106">
        <f>BY145+BZ145+CA145</f>
        <v>11</v>
      </c>
    </row>
    <row r="146" spans="1:80" s="212" customFormat="1" ht="15" x14ac:dyDescent="0.25">
      <c r="A146" s="6255"/>
      <c r="B146" s="6185"/>
      <c r="C146" s="5166"/>
      <c r="D146" s="5160" t="s">
        <v>445</v>
      </c>
      <c r="E146" s="1110"/>
      <c r="F146" s="1111"/>
      <c r="G146" s="1111"/>
      <c r="H146" s="1139"/>
      <c r="I146" s="1110"/>
      <c r="J146" s="1111">
        <f>SUM(J142:J145)</f>
        <v>46</v>
      </c>
      <c r="K146" s="1111"/>
      <c r="L146" s="1111">
        <f>SUM(L142:L145)</f>
        <v>46</v>
      </c>
      <c r="M146" s="1110"/>
      <c r="N146" s="1111"/>
      <c r="O146" s="1111"/>
      <c r="P146" s="1139"/>
      <c r="Q146" s="1110">
        <f>SUM(Q142:Q145)</f>
        <v>0</v>
      </c>
      <c r="R146" s="1111">
        <f t="shared" ref="R146:BH146" si="101">SUM(R142:R145)</f>
        <v>11</v>
      </c>
      <c r="S146" s="1111">
        <f t="shared" si="101"/>
        <v>29</v>
      </c>
      <c r="T146" s="1139">
        <f t="shared" si="101"/>
        <v>40</v>
      </c>
      <c r="U146" s="1110">
        <f t="shared" si="101"/>
        <v>0</v>
      </c>
      <c r="V146" s="1111">
        <f t="shared" si="101"/>
        <v>0</v>
      </c>
      <c r="W146" s="1111">
        <f t="shared" si="101"/>
        <v>19</v>
      </c>
      <c r="X146" s="1139">
        <f t="shared" si="101"/>
        <v>19</v>
      </c>
      <c r="Y146" s="1111">
        <f t="shared" si="101"/>
        <v>0</v>
      </c>
      <c r="Z146" s="1111">
        <f t="shared" si="101"/>
        <v>0</v>
      </c>
      <c r="AA146" s="1111">
        <f t="shared" si="101"/>
        <v>37</v>
      </c>
      <c r="AB146" s="1139">
        <f t="shared" si="101"/>
        <v>37</v>
      </c>
      <c r="AC146" s="1111">
        <f t="shared" si="101"/>
        <v>0</v>
      </c>
      <c r="AD146" s="1111">
        <f t="shared" si="101"/>
        <v>0</v>
      </c>
      <c r="AE146" s="1111">
        <f t="shared" si="101"/>
        <v>20</v>
      </c>
      <c r="AF146" s="1139">
        <f t="shared" si="101"/>
        <v>20</v>
      </c>
      <c r="AG146" s="1111">
        <f t="shared" si="101"/>
        <v>18</v>
      </c>
      <c r="AH146" s="1111">
        <f t="shared" si="101"/>
        <v>0</v>
      </c>
      <c r="AI146" s="1111">
        <f t="shared" si="101"/>
        <v>22</v>
      </c>
      <c r="AJ146" s="1139">
        <f t="shared" si="101"/>
        <v>40</v>
      </c>
      <c r="AK146" s="1111">
        <f t="shared" si="101"/>
        <v>6</v>
      </c>
      <c r="AL146" s="1111">
        <f t="shared" si="101"/>
        <v>0</v>
      </c>
      <c r="AM146" s="1111">
        <f t="shared" si="101"/>
        <v>22</v>
      </c>
      <c r="AN146" s="1139">
        <f t="shared" si="101"/>
        <v>28</v>
      </c>
      <c r="AO146" s="1111">
        <f t="shared" si="101"/>
        <v>12</v>
      </c>
      <c r="AP146" s="1111">
        <f t="shared" si="101"/>
        <v>0</v>
      </c>
      <c r="AQ146" s="1111">
        <f t="shared" si="101"/>
        <v>18</v>
      </c>
      <c r="AR146" s="1139">
        <f t="shared" si="101"/>
        <v>30</v>
      </c>
      <c r="AS146" s="1111">
        <f t="shared" si="101"/>
        <v>10</v>
      </c>
      <c r="AT146" s="1111">
        <f t="shared" si="101"/>
        <v>17</v>
      </c>
      <c r="AU146" s="1111">
        <f t="shared" si="101"/>
        <v>56</v>
      </c>
      <c r="AV146" s="1139">
        <f t="shared" si="101"/>
        <v>83</v>
      </c>
      <c r="AW146" s="1111">
        <f t="shared" si="101"/>
        <v>11</v>
      </c>
      <c r="AX146" s="1111">
        <f t="shared" si="101"/>
        <v>0</v>
      </c>
      <c r="AY146" s="1111">
        <f t="shared" si="101"/>
        <v>15</v>
      </c>
      <c r="AZ146" s="1139">
        <f t="shared" si="101"/>
        <v>26</v>
      </c>
      <c r="BA146" s="1111">
        <f t="shared" si="101"/>
        <v>8</v>
      </c>
      <c r="BB146" s="1111">
        <f t="shared" si="101"/>
        <v>39</v>
      </c>
      <c r="BC146" s="1111">
        <f t="shared" si="101"/>
        <v>19</v>
      </c>
      <c r="BD146" s="1139">
        <f t="shared" si="101"/>
        <v>66</v>
      </c>
      <c r="BE146" s="1111">
        <f t="shared" si="101"/>
        <v>10</v>
      </c>
      <c r="BF146" s="1111">
        <f t="shared" si="101"/>
        <v>0</v>
      </c>
      <c r="BG146" s="1111">
        <f t="shared" si="101"/>
        <v>19</v>
      </c>
      <c r="BH146" s="1139">
        <f t="shared" si="101"/>
        <v>29</v>
      </c>
      <c r="BI146" s="1111">
        <f t="shared" ref="BI146:BP146" si="102">SUM(BI142:BI145)</f>
        <v>8</v>
      </c>
      <c r="BJ146" s="1111">
        <f t="shared" si="102"/>
        <v>43</v>
      </c>
      <c r="BK146" s="1111">
        <f t="shared" si="102"/>
        <v>23</v>
      </c>
      <c r="BL146" s="1139">
        <f t="shared" si="102"/>
        <v>74</v>
      </c>
      <c r="BM146" s="1111">
        <f t="shared" si="102"/>
        <v>7</v>
      </c>
      <c r="BN146" s="1111">
        <f t="shared" si="102"/>
        <v>0</v>
      </c>
      <c r="BO146" s="1111">
        <f t="shared" si="102"/>
        <v>25</v>
      </c>
      <c r="BP146" s="1139">
        <f t="shared" si="102"/>
        <v>32</v>
      </c>
      <c r="BQ146" s="1111">
        <f t="shared" ref="BQ146:CB146" si="103">SUM(BQ142:BQ145)</f>
        <v>8</v>
      </c>
      <c r="BR146" s="1111">
        <f t="shared" si="103"/>
        <v>45</v>
      </c>
      <c r="BS146" s="1111">
        <f t="shared" si="103"/>
        <v>24</v>
      </c>
      <c r="BT146" s="1139">
        <f t="shared" si="103"/>
        <v>77</v>
      </c>
      <c r="BU146" s="1111">
        <f t="shared" si="103"/>
        <v>12</v>
      </c>
      <c r="BV146" s="1111">
        <f t="shared" si="103"/>
        <v>1</v>
      </c>
      <c r="BW146" s="1111">
        <f t="shared" si="103"/>
        <v>24</v>
      </c>
      <c r="BX146" s="1139">
        <f t="shared" si="103"/>
        <v>37</v>
      </c>
      <c r="BY146" s="1111">
        <f t="shared" si="103"/>
        <v>11</v>
      </c>
      <c r="BZ146" s="1111">
        <f t="shared" si="103"/>
        <v>40</v>
      </c>
      <c r="CA146" s="1111">
        <f t="shared" si="103"/>
        <v>23</v>
      </c>
      <c r="CB146" s="1139">
        <f t="shared" si="103"/>
        <v>74</v>
      </c>
    </row>
    <row r="147" spans="1:80" s="212" customFormat="1" ht="15" x14ac:dyDescent="0.2">
      <c r="A147" s="6256"/>
      <c r="B147" s="4704"/>
      <c r="C147" s="4704"/>
      <c r="D147" s="4705" t="s">
        <v>444</v>
      </c>
      <c r="E147" s="4706">
        <f t="shared" ref="E147:AJ147" si="104">SUM(E141,E126,E146)</f>
        <v>96</v>
      </c>
      <c r="F147" s="4707">
        <f t="shared" si="104"/>
        <v>15</v>
      </c>
      <c r="G147" s="4707">
        <f t="shared" si="104"/>
        <v>54</v>
      </c>
      <c r="H147" s="4708">
        <f t="shared" si="104"/>
        <v>165</v>
      </c>
      <c r="I147" s="4706">
        <f t="shared" si="104"/>
        <v>127</v>
      </c>
      <c r="J147" s="4707">
        <f t="shared" si="104"/>
        <v>85</v>
      </c>
      <c r="K147" s="4707">
        <f t="shared" si="104"/>
        <v>125</v>
      </c>
      <c r="L147" s="4708">
        <f t="shared" si="104"/>
        <v>337</v>
      </c>
      <c r="M147" s="4706">
        <f t="shared" si="104"/>
        <v>127</v>
      </c>
      <c r="N147" s="4707">
        <f t="shared" si="104"/>
        <v>30</v>
      </c>
      <c r="O147" s="4707">
        <f t="shared" si="104"/>
        <v>102</v>
      </c>
      <c r="P147" s="4708">
        <f t="shared" si="104"/>
        <v>259</v>
      </c>
      <c r="Q147" s="4706">
        <f t="shared" si="104"/>
        <v>90</v>
      </c>
      <c r="R147" s="4707">
        <f t="shared" si="104"/>
        <v>70</v>
      </c>
      <c r="S147" s="4707">
        <f t="shared" si="104"/>
        <v>169</v>
      </c>
      <c r="T147" s="4708">
        <f t="shared" si="104"/>
        <v>329</v>
      </c>
      <c r="U147" s="4706">
        <f t="shared" si="104"/>
        <v>90</v>
      </c>
      <c r="V147" s="4707">
        <f t="shared" si="104"/>
        <v>24</v>
      </c>
      <c r="W147" s="4707">
        <f t="shared" si="104"/>
        <v>116</v>
      </c>
      <c r="X147" s="4708">
        <f t="shared" si="104"/>
        <v>230</v>
      </c>
      <c r="Y147" s="4707">
        <f t="shared" si="104"/>
        <v>40</v>
      </c>
      <c r="Z147" s="4707">
        <f t="shared" si="104"/>
        <v>0</v>
      </c>
      <c r="AA147" s="4707">
        <f t="shared" si="104"/>
        <v>179</v>
      </c>
      <c r="AB147" s="4708">
        <f t="shared" si="104"/>
        <v>219</v>
      </c>
      <c r="AC147" s="4707">
        <f t="shared" si="104"/>
        <v>69</v>
      </c>
      <c r="AD147" s="4707">
        <f t="shared" si="104"/>
        <v>4</v>
      </c>
      <c r="AE147" s="4707">
        <f t="shared" si="104"/>
        <v>136</v>
      </c>
      <c r="AF147" s="4708">
        <f t="shared" si="104"/>
        <v>209</v>
      </c>
      <c r="AG147" s="4707">
        <f t="shared" si="104"/>
        <v>52</v>
      </c>
      <c r="AH147" s="4707">
        <f t="shared" si="104"/>
        <v>4</v>
      </c>
      <c r="AI147" s="4707">
        <f t="shared" si="104"/>
        <v>205</v>
      </c>
      <c r="AJ147" s="4708">
        <f t="shared" si="104"/>
        <v>261</v>
      </c>
      <c r="AK147" s="4707">
        <f t="shared" ref="AK147:BH147" si="105">SUM(AK141,AK126,AK146)</f>
        <v>95</v>
      </c>
      <c r="AL147" s="4707">
        <f t="shared" si="105"/>
        <v>19</v>
      </c>
      <c r="AM147" s="4707">
        <f t="shared" si="105"/>
        <v>165</v>
      </c>
      <c r="AN147" s="4708">
        <f t="shared" si="105"/>
        <v>279</v>
      </c>
      <c r="AO147" s="4707">
        <f t="shared" si="105"/>
        <v>50</v>
      </c>
      <c r="AP147" s="4707">
        <f t="shared" si="105"/>
        <v>14</v>
      </c>
      <c r="AQ147" s="4707">
        <f t="shared" si="105"/>
        <v>204</v>
      </c>
      <c r="AR147" s="4708">
        <f t="shared" si="105"/>
        <v>268</v>
      </c>
      <c r="AS147" s="4707">
        <f t="shared" si="105"/>
        <v>87</v>
      </c>
      <c r="AT147" s="4707">
        <f t="shared" si="105"/>
        <v>23</v>
      </c>
      <c r="AU147" s="4707">
        <f t="shared" si="105"/>
        <v>170</v>
      </c>
      <c r="AV147" s="4708">
        <f t="shared" si="105"/>
        <v>280</v>
      </c>
      <c r="AW147" s="4707">
        <f t="shared" si="105"/>
        <v>35</v>
      </c>
      <c r="AX147" s="4707">
        <f t="shared" si="105"/>
        <v>5</v>
      </c>
      <c r="AY147" s="4707">
        <f t="shared" si="105"/>
        <v>201</v>
      </c>
      <c r="AZ147" s="4708">
        <f t="shared" si="105"/>
        <v>241</v>
      </c>
      <c r="BA147" s="4707">
        <f t="shared" si="105"/>
        <v>80</v>
      </c>
      <c r="BB147" s="4707">
        <f t="shared" si="105"/>
        <v>54</v>
      </c>
      <c r="BC147" s="4707">
        <f t="shared" si="105"/>
        <v>166</v>
      </c>
      <c r="BD147" s="4708">
        <f t="shared" si="105"/>
        <v>300</v>
      </c>
      <c r="BE147" s="4707">
        <f t="shared" si="105"/>
        <v>54</v>
      </c>
      <c r="BF147" s="4707">
        <f t="shared" si="105"/>
        <v>18</v>
      </c>
      <c r="BG147" s="4707">
        <f t="shared" si="105"/>
        <v>215</v>
      </c>
      <c r="BH147" s="4708">
        <f t="shared" si="105"/>
        <v>287</v>
      </c>
      <c r="BI147" s="4707">
        <f t="shared" ref="BI147:BP147" si="106">SUM(BI141,BI126,BI146)</f>
        <v>94</v>
      </c>
      <c r="BJ147" s="4707">
        <f t="shared" si="106"/>
        <v>75</v>
      </c>
      <c r="BK147" s="4707">
        <f t="shared" si="106"/>
        <v>125</v>
      </c>
      <c r="BL147" s="4708">
        <f t="shared" si="106"/>
        <v>294</v>
      </c>
      <c r="BM147" s="4707">
        <f t="shared" si="106"/>
        <v>45</v>
      </c>
      <c r="BN147" s="4707">
        <f t="shared" si="106"/>
        <v>29</v>
      </c>
      <c r="BO147" s="4707">
        <f t="shared" si="106"/>
        <v>233</v>
      </c>
      <c r="BP147" s="4708">
        <f t="shared" si="106"/>
        <v>307</v>
      </c>
      <c r="BQ147" s="4707">
        <f t="shared" ref="BQ147:CB147" si="107">SUM(BQ141,BQ126,BQ146)</f>
        <v>102</v>
      </c>
      <c r="BR147" s="4707">
        <f t="shared" si="107"/>
        <v>76</v>
      </c>
      <c r="BS147" s="4707">
        <f t="shared" si="107"/>
        <v>137</v>
      </c>
      <c r="BT147" s="4708">
        <f t="shared" si="107"/>
        <v>315</v>
      </c>
      <c r="BU147" s="4707">
        <f t="shared" si="107"/>
        <v>55</v>
      </c>
      <c r="BV147" s="4707">
        <f t="shared" si="107"/>
        <v>28</v>
      </c>
      <c r="BW147" s="4707">
        <f t="shared" si="107"/>
        <v>207</v>
      </c>
      <c r="BX147" s="4708">
        <f t="shared" si="107"/>
        <v>290</v>
      </c>
      <c r="BY147" s="4707">
        <f t="shared" si="107"/>
        <v>121</v>
      </c>
      <c r="BZ147" s="4707">
        <f t="shared" si="107"/>
        <v>66</v>
      </c>
      <c r="CA147" s="4707">
        <f t="shared" si="107"/>
        <v>145</v>
      </c>
      <c r="CB147" s="4708">
        <f t="shared" si="107"/>
        <v>332</v>
      </c>
    </row>
    <row r="148" spans="1:80" s="212" customFormat="1" ht="15" x14ac:dyDescent="0.2">
      <c r="A148" s="1142"/>
      <c r="B148" s="1142"/>
      <c r="C148" s="513"/>
      <c r="D148" s="1142"/>
      <c r="E148" s="1142"/>
      <c r="F148" s="1142"/>
      <c r="G148" s="1142"/>
      <c r="H148" s="1142"/>
      <c r="I148" s="1142"/>
      <c r="J148" s="1142"/>
      <c r="K148" s="1142"/>
      <c r="L148" s="1142"/>
      <c r="M148" s="1142"/>
      <c r="N148" s="1142"/>
      <c r="O148" s="1142"/>
      <c r="P148" s="1142"/>
      <c r="Q148" s="1142"/>
      <c r="R148" s="1142"/>
      <c r="S148" s="1142"/>
      <c r="T148" s="1142"/>
      <c r="U148" s="1142"/>
      <c r="V148" s="1142"/>
      <c r="W148" s="1142"/>
      <c r="X148" s="1142"/>
      <c r="Y148" s="1142"/>
      <c r="Z148" s="1142"/>
      <c r="AA148" s="1142"/>
      <c r="AB148" s="1142"/>
      <c r="AC148" s="1142"/>
      <c r="AD148" s="1142"/>
      <c r="AE148" s="1142"/>
      <c r="AF148" s="1142"/>
      <c r="AG148" s="1142"/>
      <c r="AH148" s="1142"/>
      <c r="AI148" s="1142"/>
      <c r="AJ148" s="1142"/>
      <c r="AK148" s="1142"/>
      <c r="AL148" s="1142"/>
      <c r="AM148" s="1142"/>
      <c r="AN148" s="1142"/>
      <c r="AO148" s="1142"/>
      <c r="AP148" s="1142"/>
      <c r="AQ148" s="1142"/>
      <c r="AR148" s="1142"/>
      <c r="AS148" s="1142"/>
      <c r="AT148" s="1142"/>
      <c r="AU148" s="1142"/>
      <c r="AV148" s="1142"/>
      <c r="AW148" s="1142"/>
      <c r="AX148" s="1142"/>
      <c r="AY148" s="1142"/>
      <c r="AZ148" s="1142"/>
      <c r="BA148" s="1142"/>
      <c r="BB148" s="1142"/>
      <c r="BC148" s="1142"/>
      <c r="BD148" s="1142"/>
      <c r="BE148" s="1142"/>
      <c r="BF148" s="1142"/>
      <c r="BG148" s="1142"/>
      <c r="BH148" s="1142"/>
      <c r="BI148" s="1142"/>
      <c r="BJ148" s="1142"/>
      <c r="BK148" s="1142"/>
      <c r="BL148" s="1142"/>
      <c r="BM148" s="1142"/>
      <c r="BN148" s="1142"/>
      <c r="BO148" s="1142"/>
      <c r="BP148" s="1142"/>
      <c r="BQ148" s="1142"/>
      <c r="BR148" s="1142"/>
      <c r="BS148" s="1142"/>
      <c r="BT148" s="1142"/>
      <c r="BU148" s="1142"/>
      <c r="BV148" s="1142"/>
      <c r="BW148" s="1142"/>
      <c r="BX148" s="1142"/>
      <c r="BY148" s="1142"/>
      <c r="BZ148" s="1142"/>
      <c r="CA148" s="1142"/>
      <c r="CB148" s="1142"/>
    </row>
    <row r="149" spans="1:80" s="222" customFormat="1" ht="15" x14ac:dyDescent="0.2">
      <c r="A149" s="904"/>
      <c r="B149" s="5655" t="s">
        <v>76</v>
      </c>
      <c r="C149" s="5656"/>
      <c r="D149" s="5656"/>
      <c r="E149" s="565">
        <f t="shared" ref="E149:AJ149" si="108">SUM(E51,E62,E107,E147)</f>
        <v>256</v>
      </c>
      <c r="F149" s="566">
        <f t="shared" si="108"/>
        <v>50</v>
      </c>
      <c r="G149" s="566">
        <f t="shared" si="108"/>
        <v>409</v>
      </c>
      <c r="H149" s="567">
        <f t="shared" si="108"/>
        <v>715</v>
      </c>
      <c r="I149" s="565">
        <f t="shared" si="108"/>
        <v>375</v>
      </c>
      <c r="J149" s="566">
        <f t="shared" si="108"/>
        <v>121</v>
      </c>
      <c r="K149" s="566">
        <f t="shared" si="108"/>
        <v>617</v>
      </c>
      <c r="L149" s="567">
        <f t="shared" si="108"/>
        <v>1113</v>
      </c>
      <c r="M149" s="565">
        <f t="shared" si="108"/>
        <v>247</v>
      </c>
      <c r="N149" s="566">
        <f t="shared" si="108"/>
        <v>95</v>
      </c>
      <c r="O149" s="566">
        <f t="shared" si="108"/>
        <v>480</v>
      </c>
      <c r="P149" s="567">
        <f t="shared" si="108"/>
        <v>822</v>
      </c>
      <c r="Q149" s="565">
        <f t="shared" si="108"/>
        <v>203</v>
      </c>
      <c r="R149" s="566">
        <f t="shared" si="108"/>
        <v>103</v>
      </c>
      <c r="S149" s="566">
        <f t="shared" si="108"/>
        <v>791</v>
      </c>
      <c r="T149" s="567">
        <f t="shared" si="108"/>
        <v>1097</v>
      </c>
      <c r="U149" s="565">
        <f t="shared" si="108"/>
        <v>147</v>
      </c>
      <c r="V149" s="566">
        <f t="shared" si="108"/>
        <v>44</v>
      </c>
      <c r="W149" s="566">
        <f t="shared" si="108"/>
        <v>390</v>
      </c>
      <c r="X149" s="567">
        <f t="shared" si="108"/>
        <v>581</v>
      </c>
      <c r="Y149" s="566">
        <f t="shared" si="108"/>
        <v>113</v>
      </c>
      <c r="Z149" s="566">
        <f t="shared" si="108"/>
        <v>59</v>
      </c>
      <c r="AA149" s="566">
        <f t="shared" si="108"/>
        <v>522</v>
      </c>
      <c r="AB149" s="567">
        <f t="shared" si="108"/>
        <v>694</v>
      </c>
      <c r="AC149" s="566">
        <f t="shared" si="108"/>
        <v>237</v>
      </c>
      <c r="AD149" s="566">
        <f t="shared" si="108"/>
        <v>33</v>
      </c>
      <c r="AE149" s="566">
        <f t="shared" si="108"/>
        <v>426</v>
      </c>
      <c r="AF149" s="567">
        <f t="shared" si="108"/>
        <v>696</v>
      </c>
      <c r="AG149" s="566">
        <f t="shared" si="108"/>
        <v>228</v>
      </c>
      <c r="AH149" s="566">
        <f t="shared" si="108"/>
        <v>28</v>
      </c>
      <c r="AI149" s="566">
        <f t="shared" si="108"/>
        <v>461</v>
      </c>
      <c r="AJ149" s="567">
        <f t="shared" si="108"/>
        <v>717</v>
      </c>
      <c r="AK149" s="566">
        <f t="shared" ref="AK149:BP149" si="109">SUM(AK51,AK62,AK107,AK147)</f>
        <v>331</v>
      </c>
      <c r="AL149" s="566">
        <f t="shared" si="109"/>
        <v>58</v>
      </c>
      <c r="AM149" s="566">
        <f t="shared" si="109"/>
        <v>507</v>
      </c>
      <c r="AN149" s="567">
        <f t="shared" si="109"/>
        <v>896</v>
      </c>
      <c r="AO149" s="566">
        <f t="shared" si="109"/>
        <v>222</v>
      </c>
      <c r="AP149" s="566">
        <f t="shared" si="109"/>
        <v>33</v>
      </c>
      <c r="AQ149" s="566">
        <f t="shared" si="109"/>
        <v>685</v>
      </c>
      <c r="AR149" s="567">
        <f t="shared" si="109"/>
        <v>940</v>
      </c>
      <c r="AS149" s="566">
        <f t="shared" si="109"/>
        <v>145</v>
      </c>
      <c r="AT149" s="566">
        <f t="shared" si="109"/>
        <v>152</v>
      </c>
      <c r="AU149" s="566">
        <f t="shared" si="109"/>
        <v>595</v>
      </c>
      <c r="AV149" s="567">
        <f t="shared" si="109"/>
        <v>892</v>
      </c>
      <c r="AW149" s="566">
        <f t="shared" si="109"/>
        <v>133</v>
      </c>
      <c r="AX149" s="566">
        <f t="shared" si="109"/>
        <v>37</v>
      </c>
      <c r="AY149" s="566">
        <f t="shared" si="109"/>
        <v>796</v>
      </c>
      <c r="AZ149" s="567">
        <f t="shared" si="109"/>
        <v>966</v>
      </c>
      <c r="BA149" s="566">
        <f t="shared" si="109"/>
        <v>218</v>
      </c>
      <c r="BB149" s="566">
        <f t="shared" si="109"/>
        <v>86</v>
      </c>
      <c r="BC149" s="566">
        <f t="shared" si="109"/>
        <v>686</v>
      </c>
      <c r="BD149" s="567">
        <f t="shared" si="109"/>
        <v>990</v>
      </c>
      <c r="BE149" s="566">
        <f t="shared" si="109"/>
        <v>224</v>
      </c>
      <c r="BF149" s="566">
        <f t="shared" si="109"/>
        <v>65</v>
      </c>
      <c r="BG149" s="566">
        <f t="shared" si="109"/>
        <v>813</v>
      </c>
      <c r="BH149" s="567">
        <f t="shared" si="109"/>
        <v>1048</v>
      </c>
      <c r="BI149" s="565">
        <f t="shared" si="109"/>
        <v>262</v>
      </c>
      <c r="BJ149" s="566">
        <f t="shared" si="109"/>
        <v>105</v>
      </c>
      <c r="BK149" s="566">
        <f t="shared" si="109"/>
        <v>621</v>
      </c>
      <c r="BL149" s="567">
        <f t="shared" si="109"/>
        <v>988</v>
      </c>
      <c r="BM149" s="565">
        <f t="shared" si="109"/>
        <v>195</v>
      </c>
      <c r="BN149" s="566">
        <f t="shared" si="109"/>
        <v>72</v>
      </c>
      <c r="BO149" s="566">
        <f t="shared" si="109"/>
        <v>901</v>
      </c>
      <c r="BP149" s="567">
        <f t="shared" si="109"/>
        <v>1168</v>
      </c>
      <c r="BQ149" s="565">
        <f t="shared" ref="BQ149:CB149" si="110">SUM(BQ51,BQ62,BQ107,BQ147)</f>
        <v>270</v>
      </c>
      <c r="BR149" s="566">
        <f t="shared" si="110"/>
        <v>147</v>
      </c>
      <c r="BS149" s="566">
        <f t="shared" si="110"/>
        <v>655</v>
      </c>
      <c r="BT149" s="567">
        <f t="shared" si="110"/>
        <v>1072</v>
      </c>
      <c r="BU149" s="565">
        <f t="shared" si="110"/>
        <v>201</v>
      </c>
      <c r="BV149" s="566">
        <f t="shared" si="110"/>
        <v>54</v>
      </c>
      <c r="BW149" s="566">
        <f t="shared" si="110"/>
        <v>735</v>
      </c>
      <c r="BX149" s="567">
        <f t="shared" si="110"/>
        <v>990</v>
      </c>
      <c r="BY149" s="4162">
        <f>SUM(BY51,BY62,BY107,BY147)</f>
        <v>321</v>
      </c>
      <c r="BZ149" s="5254">
        <f t="shared" si="110"/>
        <v>160</v>
      </c>
      <c r="CA149" s="5254">
        <f t="shared" si="110"/>
        <v>610</v>
      </c>
      <c r="CB149" s="5255">
        <f t="shared" si="110"/>
        <v>1091</v>
      </c>
    </row>
    <row r="150" spans="1:80" x14ac:dyDescent="0.2">
      <c r="B150" s="240" t="s">
        <v>1571</v>
      </c>
      <c r="C150" s="632"/>
      <c r="D150" s="632"/>
      <c r="E150" s="543"/>
      <c r="F150" s="543"/>
      <c r="G150" s="543"/>
      <c r="H150" s="543"/>
      <c r="I150" s="543"/>
      <c r="J150" s="543"/>
      <c r="K150" s="543"/>
      <c r="L150" s="543"/>
      <c r="M150" s="543"/>
      <c r="N150" s="543"/>
      <c r="O150" s="543"/>
      <c r="P150" s="543"/>
      <c r="Q150" s="543"/>
      <c r="R150" s="543"/>
      <c r="S150" s="543"/>
      <c r="T150" s="543"/>
    </row>
    <row r="151" spans="1:80" x14ac:dyDescent="0.2">
      <c r="B151" s="1011"/>
      <c r="C151" s="1027"/>
      <c r="D151" s="1011"/>
      <c r="E151" s="1011"/>
      <c r="F151" s="1011"/>
      <c r="G151" s="1011"/>
      <c r="H151" s="1011"/>
      <c r="I151" s="1011"/>
      <c r="J151" s="1011"/>
      <c r="K151" s="1011"/>
      <c r="L151" s="1011"/>
      <c r="M151" s="1011"/>
      <c r="N151" s="1011"/>
      <c r="O151" s="1011"/>
      <c r="P151" s="1011"/>
      <c r="Q151" s="1011"/>
      <c r="R151" s="1011"/>
      <c r="S151" s="1011"/>
      <c r="T151" s="1011"/>
    </row>
    <row r="153" spans="1:80" x14ac:dyDescent="0.2">
      <c r="B153" s="229"/>
      <c r="C153" s="229"/>
    </row>
    <row r="155" spans="1:80" x14ac:dyDescent="0.2">
      <c r="G155" s="211"/>
    </row>
  </sheetData>
  <sheetProtection algorithmName="SHA-512" hashValue="JP4cyGT/IK742G77tbz83RlNXL/sBZtMfboaptcG9XETcFB+s3ntd7t+0220mPjnoC+mPvEGvzA9OqukhummRw==" saltValue="JbsBu5J9UYWFzXkMAtaWGg==" spinCount="100000" sheet="1" objects="1" scenarios="1"/>
  <mergeCells count="63">
    <mergeCell ref="C81:C87"/>
    <mergeCell ref="C88:C94"/>
    <mergeCell ref="C59:C60"/>
    <mergeCell ref="C6:C10"/>
    <mergeCell ref="C19:C27"/>
    <mergeCell ref="C11:C14"/>
    <mergeCell ref="C28:C31"/>
    <mergeCell ref="C33:C35"/>
    <mergeCell ref="B149:D149"/>
    <mergeCell ref="C127:C129"/>
    <mergeCell ref="C142:C144"/>
    <mergeCell ref="C138:C140"/>
    <mergeCell ref="C130:C137"/>
    <mergeCell ref="B127:B141"/>
    <mergeCell ref="B142:B146"/>
    <mergeCell ref="B33:B50"/>
    <mergeCell ref="AS3:AV3"/>
    <mergeCell ref="AW3:AZ3"/>
    <mergeCell ref="A108:A147"/>
    <mergeCell ref="B80:B95"/>
    <mergeCell ref="B96:B106"/>
    <mergeCell ref="A52:A62"/>
    <mergeCell ref="B52:B54"/>
    <mergeCell ref="B55:B56"/>
    <mergeCell ref="B57:B61"/>
    <mergeCell ref="B63:B79"/>
    <mergeCell ref="B108:B126"/>
    <mergeCell ref="C108:C109"/>
    <mergeCell ref="C110:C120"/>
    <mergeCell ref="C71:C78"/>
    <mergeCell ref="C121:C125"/>
    <mergeCell ref="BM3:BP3"/>
    <mergeCell ref="BE3:BH3"/>
    <mergeCell ref="A5:A51"/>
    <mergeCell ref="AG3:AJ3"/>
    <mergeCell ref="A3:A4"/>
    <mergeCell ref="B3:B4"/>
    <mergeCell ref="U3:X3"/>
    <mergeCell ref="Y3:AB3"/>
    <mergeCell ref="D3:D4"/>
    <mergeCell ref="E3:H3"/>
    <mergeCell ref="I3:L3"/>
    <mergeCell ref="Q3:T3"/>
    <mergeCell ref="AC3:AF3"/>
    <mergeCell ref="C36:C42"/>
    <mergeCell ref="B5:B15"/>
    <mergeCell ref="B16:B32"/>
    <mergeCell ref="BY3:CB3"/>
    <mergeCell ref="A63:A107"/>
    <mergeCell ref="C96:C98"/>
    <mergeCell ref="C99:C102"/>
    <mergeCell ref="C103:C105"/>
    <mergeCell ref="BA3:BD3"/>
    <mergeCell ref="C16:C18"/>
    <mergeCell ref="M3:P3"/>
    <mergeCell ref="C3:C4"/>
    <mergeCell ref="C43:C49"/>
    <mergeCell ref="C64:C70"/>
    <mergeCell ref="BU3:BX3"/>
    <mergeCell ref="BQ3:BT3"/>
    <mergeCell ref="BI3:BL3"/>
    <mergeCell ref="AK3:AN3"/>
    <mergeCell ref="AO3:AR3"/>
  </mergeCells>
  <printOptions horizontalCentered="1" verticalCentered="1"/>
  <pageMargins left="0.43307086614173229" right="0.43307086614173229" top="0.15748031496062992" bottom="0.15748031496062992" header="0.31496062992125984" footer="0.31496062992125984"/>
  <pageSetup scale="45" pageOrder="overThenDown" orientation="landscape" r:id="rId1"/>
  <headerFooter alignWithMargins="0"/>
  <rowBreaks count="1" manualBreakCount="1">
    <brk id="63" max="71" man="1"/>
  </rowBreaks>
  <colBreaks count="3" manualBreakCount="3">
    <brk id="24" max="139" man="1"/>
    <brk id="44" max="139" man="1"/>
    <brk id="68" max="139" man="1"/>
  </colBreaks>
  <ignoredErrors>
    <ignoredError sqref="X16 X36 X78:X81 X65:X69 X71:X76 X89:X92 X6:X12 X33 X88" formulaRange="1"/>
    <ignoredError sqref="X15 X99 X110 X103 X121 X104:X108" formula="1" formulaRange="1"/>
    <ignoredError sqref="Y15:AF15 AJ15:AR15 AV15:BD15 AZ54:BA56 BD55:BH55 BD54:BE54 BH54 AZ52:BH53 AZ50 BG50:BH50 BC43:BH43 BC50:BD50 BD56 BG56:BH56 X95:X96 AV95:BH95 BL15 BL32 BL56 BL95 BL126 BL141 BI141:BJ141 BP15:BQ15 BP32 BP56 BP95 BP126 BN141:BP141 BB51:BH51 BT15:BU15 BC33:BH33 AZ33 BC36:BH36 AZ36 AZ43 BR141:BT141 BX56 BX126:BX141 BX95 BX32 BX15:BX25 BX28:BX30 CB32 BX82:BX85 BX89:BX92 CB126 AZ32 BC32:BH32 CB56 BX79:BX81 BX88 CB141 CB79:CB81 CB82:CB86 BY15:CB15" formula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Z100"/>
  <sheetViews>
    <sheetView showGridLines="0" zoomScale="98" zoomScaleNormal="98" zoomScaleSheetLayoutView="100" workbookViewId="0">
      <pane xSplit="2" ySplit="5" topLeftCell="AZ27" activePane="bottomRight" state="frozen"/>
      <selection sqref="A1:E1"/>
      <selection pane="topRight" sqref="A1:E1"/>
      <selection pane="bottomLeft" sqref="A1:E1"/>
      <selection pane="bottomRight" activeCell="BY108" sqref="BY108"/>
    </sheetView>
  </sheetViews>
  <sheetFormatPr baseColWidth="10" defaultRowHeight="12.75" x14ac:dyDescent="0.2"/>
  <cols>
    <col min="1" max="1" width="15.7109375" style="228" customWidth="1"/>
    <col min="2" max="2" width="20.28515625" style="209" customWidth="1"/>
    <col min="3" max="25" width="7.7109375" style="209" customWidth="1"/>
    <col min="26" max="26" width="7.7109375" style="222" customWidth="1"/>
    <col min="27" max="29" width="7.7109375" style="209" customWidth="1"/>
    <col min="30" max="30" width="7.7109375" style="222" customWidth="1"/>
    <col min="31" max="33" width="7.7109375" style="209" customWidth="1"/>
    <col min="34" max="34" width="7.7109375" style="222" customWidth="1"/>
    <col min="35" max="37" width="7.7109375" style="209" customWidth="1"/>
    <col min="38" max="38" width="7.7109375" style="222" customWidth="1"/>
    <col min="39" max="78" width="7.7109375" style="209" customWidth="1"/>
    <col min="79" max="270" width="11.42578125" style="209"/>
    <col min="271" max="271" width="2" style="209" customWidth="1"/>
    <col min="272" max="272" width="16.28515625" style="209" customWidth="1"/>
    <col min="273" max="273" width="11.140625" style="209" bestFit="1" customWidth="1"/>
    <col min="274" max="274" width="20.28515625" style="209" customWidth="1"/>
    <col min="275" max="306" width="7.28515625" style="209" customWidth="1"/>
    <col min="307" max="526" width="11.42578125" style="209"/>
    <col min="527" max="527" width="2" style="209" customWidth="1"/>
    <col min="528" max="528" width="16.28515625" style="209" customWidth="1"/>
    <col min="529" max="529" width="11.140625" style="209" bestFit="1" customWidth="1"/>
    <col min="530" max="530" width="20.28515625" style="209" customWidth="1"/>
    <col min="531" max="562" width="7.28515625" style="209" customWidth="1"/>
    <col min="563" max="782" width="11.42578125" style="209"/>
    <col min="783" max="783" width="2" style="209" customWidth="1"/>
    <col min="784" max="784" width="16.28515625" style="209" customWidth="1"/>
    <col min="785" max="785" width="11.140625" style="209" bestFit="1" customWidth="1"/>
    <col min="786" max="786" width="20.28515625" style="209" customWidth="1"/>
    <col min="787" max="818" width="7.28515625" style="209" customWidth="1"/>
    <col min="819" max="1038" width="11.42578125" style="209"/>
    <col min="1039" max="1039" width="2" style="209" customWidth="1"/>
    <col min="1040" max="1040" width="16.28515625" style="209" customWidth="1"/>
    <col min="1041" max="1041" width="11.140625" style="209" bestFit="1" customWidth="1"/>
    <col min="1042" max="1042" width="20.28515625" style="209" customWidth="1"/>
    <col min="1043" max="1074" width="7.28515625" style="209" customWidth="1"/>
    <col min="1075" max="1294" width="11.42578125" style="209"/>
    <col min="1295" max="1295" width="2" style="209" customWidth="1"/>
    <col min="1296" max="1296" width="16.28515625" style="209" customWidth="1"/>
    <col min="1297" max="1297" width="11.140625" style="209" bestFit="1" customWidth="1"/>
    <col min="1298" max="1298" width="20.28515625" style="209" customWidth="1"/>
    <col min="1299" max="1330" width="7.28515625" style="209" customWidth="1"/>
    <col min="1331" max="1550" width="11.42578125" style="209"/>
    <col min="1551" max="1551" width="2" style="209" customWidth="1"/>
    <col min="1552" max="1552" width="16.28515625" style="209" customWidth="1"/>
    <col min="1553" max="1553" width="11.140625" style="209" bestFit="1" customWidth="1"/>
    <col min="1554" max="1554" width="20.28515625" style="209" customWidth="1"/>
    <col min="1555" max="1586" width="7.28515625" style="209" customWidth="1"/>
    <col min="1587" max="1806" width="11.42578125" style="209"/>
    <col min="1807" max="1807" width="2" style="209" customWidth="1"/>
    <col min="1808" max="1808" width="16.28515625" style="209" customWidth="1"/>
    <col min="1809" max="1809" width="11.140625" style="209" bestFit="1" customWidth="1"/>
    <col min="1810" max="1810" width="20.28515625" style="209" customWidth="1"/>
    <col min="1811" max="1842" width="7.28515625" style="209" customWidth="1"/>
    <col min="1843" max="2062" width="11.42578125" style="209"/>
    <col min="2063" max="2063" width="2" style="209" customWidth="1"/>
    <col min="2064" max="2064" width="16.28515625" style="209" customWidth="1"/>
    <col min="2065" max="2065" width="11.140625" style="209" bestFit="1" customWidth="1"/>
    <col min="2066" max="2066" width="20.28515625" style="209" customWidth="1"/>
    <col min="2067" max="2098" width="7.28515625" style="209" customWidth="1"/>
    <col min="2099" max="2318" width="11.42578125" style="209"/>
    <col min="2319" max="2319" width="2" style="209" customWidth="1"/>
    <col min="2320" max="2320" width="16.28515625" style="209" customWidth="1"/>
    <col min="2321" max="2321" width="11.140625" style="209" bestFit="1" customWidth="1"/>
    <col min="2322" max="2322" width="20.28515625" style="209" customWidth="1"/>
    <col min="2323" max="2354" width="7.28515625" style="209" customWidth="1"/>
    <col min="2355" max="2574" width="11.42578125" style="209"/>
    <col min="2575" max="2575" width="2" style="209" customWidth="1"/>
    <col min="2576" max="2576" width="16.28515625" style="209" customWidth="1"/>
    <col min="2577" max="2577" width="11.140625" style="209" bestFit="1" customWidth="1"/>
    <col min="2578" max="2578" width="20.28515625" style="209" customWidth="1"/>
    <col min="2579" max="2610" width="7.28515625" style="209" customWidth="1"/>
    <col min="2611" max="2830" width="11.42578125" style="209"/>
    <col min="2831" max="2831" width="2" style="209" customWidth="1"/>
    <col min="2832" max="2832" width="16.28515625" style="209" customWidth="1"/>
    <col min="2833" max="2833" width="11.140625" style="209" bestFit="1" customWidth="1"/>
    <col min="2834" max="2834" width="20.28515625" style="209" customWidth="1"/>
    <col min="2835" max="2866" width="7.28515625" style="209" customWidth="1"/>
    <col min="2867" max="3086" width="11.42578125" style="209"/>
    <col min="3087" max="3087" width="2" style="209" customWidth="1"/>
    <col min="3088" max="3088" width="16.28515625" style="209" customWidth="1"/>
    <col min="3089" max="3089" width="11.140625" style="209" bestFit="1" customWidth="1"/>
    <col min="3090" max="3090" width="20.28515625" style="209" customWidth="1"/>
    <col min="3091" max="3122" width="7.28515625" style="209" customWidth="1"/>
    <col min="3123" max="3342" width="11.42578125" style="209"/>
    <col min="3343" max="3343" width="2" style="209" customWidth="1"/>
    <col min="3344" max="3344" width="16.28515625" style="209" customWidth="1"/>
    <col min="3345" max="3345" width="11.140625" style="209" bestFit="1" customWidth="1"/>
    <col min="3346" max="3346" width="20.28515625" style="209" customWidth="1"/>
    <col min="3347" max="3378" width="7.28515625" style="209" customWidth="1"/>
    <col min="3379" max="3598" width="11.42578125" style="209"/>
    <col min="3599" max="3599" width="2" style="209" customWidth="1"/>
    <col min="3600" max="3600" width="16.28515625" style="209" customWidth="1"/>
    <col min="3601" max="3601" width="11.140625" style="209" bestFit="1" customWidth="1"/>
    <col min="3602" max="3602" width="20.28515625" style="209" customWidth="1"/>
    <col min="3603" max="3634" width="7.28515625" style="209" customWidth="1"/>
    <col min="3635" max="3854" width="11.42578125" style="209"/>
    <col min="3855" max="3855" width="2" style="209" customWidth="1"/>
    <col min="3856" max="3856" width="16.28515625" style="209" customWidth="1"/>
    <col min="3857" max="3857" width="11.140625" style="209" bestFit="1" customWidth="1"/>
    <col min="3858" max="3858" width="20.28515625" style="209" customWidth="1"/>
    <col min="3859" max="3890" width="7.28515625" style="209" customWidth="1"/>
    <col min="3891" max="4110" width="11.42578125" style="209"/>
    <col min="4111" max="4111" width="2" style="209" customWidth="1"/>
    <col min="4112" max="4112" width="16.28515625" style="209" customWidth="1"/>
    <col min="4113" max="4113" width="11.140625" style="209" bestFit="1" customWidth="1"/>
    <col min="4114" max="4114" width="20.28515625" style="209" customWidth="1"/>
    <col min="4115" max="4146" width="7.28515625" style="209" customWidth="1"/>
    <col min="4147" max="4366" width="11.42578125" style="209"/>
    <col min="4367" max="4367" width="2" style="209" customWidth="1"/>
    <col min="4368" max="4368" width="16.28515625" style="209" customWidth="1"/>
    <col min="4369" max="4369" width="11.140625" style="209" bestFit="1" customWidth="1"/>
    <col min="4370" max="4370" width="20.28515625" style="209" customWidth="1"/>
    <col min="4371" max="4402" width="7.28515625" style="209" customWidth="1"/>
    <col min="4403" max="4622" width="11.42578125" style="209"/>
    <col min="4623" max="4623" width="2" style="209" customWidth="1"/>
    <col min="4624" max="4624" width="16.28515625" style="209" customWidth="1"/>
    <col min="4625" max="4625" width="11.140625" style="209" bestFit="1" customWidth="1"/>
    <col min="4626" max="4626" width="20.28515625" style="209" customWidth="1"/>
    <col min="4627" max="4658" width="7.28515625" style="209" customWidth="1"/>
    <col min="4659" max="4878" width="11.42578125" style="209"/>
    <col min="4879" max="4879" width="2" style="209" customWidth="1"/>
    <col min="4880" max="4880" width="16.28515625" style="209" customWidth="1"/>
    <col min="4881" max="4881" width="11.140625" style="209" bestFit="1" customWidth="1"/>
    <col min="4882" max="4882" width="20.28515625" style="209" customWidth="1"/>
    <col min="4883" max="4914" width="7.28515625" style="209" customWidth="1"/>
    <col min="4915" max="5134" width="11.42578125" style="209"/>
    <col min="5135" max="5135" width="2" style="209" customWidth="1"/>
    <col min="5136" max="5136" width="16.28515625" style="209" customWidth="1"/>
    <col min="5137" max="5137" width="11.140625" style="209" bestFit="1" customWidth="1"/>
    <col min="5138" max="5138" width="20.28515625" style="209" customWidth="1"/>
    <col min="5139" max="5170" width="7.28515625" style="209" customWidth="1"/>
    <col min="5171" max="5390" width="11.42578125" style="209"/>
    <col min="5391" max="5391" width="2" style="209" customWidth="1"/>
    <col min="5392" max="5392" width="16.28515625" style="209" customWidth="1"/>
    <col min="5393" max="5393" width="11.140625" style="209" bestFit="1" customWidth="1"/>
    <col min="5394" max="5394" width="20.28515625" style="209" customWidth="1"/>
    <col min="5395" max="5426" width="7.28515625" style="209" customWidth="1"/>
    <col min="5427" max="5646" width="11.42578125" style="209"/>
    <col min="5647" max="5647" width="2" style="209" customWidth="1"/>
    <col min="5648" max="5648" width="16.28515625" style="209" customWidth="1"/>
    <col min="5649" max="5649" width="11.140625" style="209" bestFit="1" customWidth="1"/>
    <col min="5650" max="5650" width="20.28515625" style="209" customWidth="1"/>
    <col min="5651" max="5682" width="7.28515625" style="209" customWidth="1"/>
    <col min="5683" max="5902" width="11.42578125" style="209"/>
    <col min="5903" max="5903" width="2" style="209" customWidth="1"/>
    <col min="5904" max="5904" width="16.28515625" style="209" customWidth="1"/>
    <col min="5905" max="5905" width="11.140625" style="209" bestFit="1" customWidth="1"/>
    <col min="5906" max="5906" width="20.28515625" style="209" customWidth="1"/>
    <col min="5907" max="5938" width="7.28515625" style="209" customWidth="1"/>
    <col min="5939" max="6158" width="11.42578125" style="209"/>
    <col min="6159" max="6159" width="2" style="209" customWidth="1"/>
    <col min="6160" max="6160" width="16.28515625" style="209" customWidth="1"/>
    <col min="6161" max="6161" width="11.140625" style="209" bestFit="1" customWidth="1"/>
    <col min="6162" max="6162" width="20.28515625" style="209" customWidth="1"/>
    <col min="6163" max="6194" width="7.28515625" style="209" customWidth="1"/>
    <col min="6195" max="6414" width="11.42578125" style="209"/>
    <col min="6415" max="6415" width="2" style="209" customWidth="1"/>
    <col min="6416" max="6416" width="16.28515625" style="209" customWidth="1"/>
    <col min="6417" max="6417" width="11.140625" style="209" bestFit="1" customWidth="1"/>
    <col min="6418" max="6418" width="20.28515625" style="209" customWidth="1"/>
    <col min="6419" max="6450" width="7.28515625" style="209" customWidth="1"/>
    <col min="6451" max="6670" width="11.42578125" style="209"/>
    <col min="6671" max="6671" width="2" style="209" customWidth="1"/>
    <col min="6672" max="6672" width="16.28515625" style="209" customWidth="1"/>
    <col min="6673" max="6673" width="11.140625" style="209" bestFit="1" customWidth="1"/>
    <col min="6674" max="6674" width="20.28515625" style="209" customWidth="1"/>
    <col min="6675" max="6706" width="7.28515625" style="209" customWidth="1"/>
    <col min="6707" max="6926" width="11.42578125" style="209"/>
    <col min="6927" max="6927" width="2" style="209" customWidth="1"/>
    <col min="6928" max="6928" width="16.28515625" style="209" customWidth="1"/>
    <col min="6929" max="6929" width="11.140625" style="209" bestFit="1" customWidth="1"/>
    <col min="6930" max="6930" width="20.28515625" style="209" customWidth="1"/>
    <col min="6931" max="6962" width="7.28515625" style="209" customWidth="1"/>
    <col min="6963" max="7182" width="11.42578125" style="209"/>
    <col min="7183" max="7183" width="2" style="209" customWidth="1"/>
    <col min="7184" max="7184" width="16.28515625" style="209" customWidth="1"/>
    <col min="7185" max="7185" width="11.140625" style="209" bestFit="1" customWidth="1"/>
    <col min="7186" max="7186" width="20.28515625" style="209" customWidth="1"/>
    <col min="7187" max="7218" width="7.28515625" style="209" customWidth="1"/>
    <col min="7219" max="7438" width="11.42578125" style="209"/>
    <col min="7439" max="7439" width="2" style="209" customWidth="1"/>
    <col min="7440" max="7440" width="16.28515625" style="209" customWidth="1"/>
    <col min="7441" max="7441" width="11.140625" style="209" bestFit="1" customWidth="1"/>
    <col min="7442" max="7442" width="20.28515625" style="209" customWidth="1"/>
    <col min="7443" max="7474" width="7.28515625" style="209" customWidth="1"/>
    <col min="7475" max="7694" width="11.42578125" style="209"/>
    <col min="7695" max="7695" width="2" style="209" customWidth="1"/>
    <col min="7696" max="7696" width="16.28515625" style="209" customWidth="1"/>
    <col min="7697" max="7697" width="11.140625" style="209" bestFit="1" customWidth="1"/>
    <col min="7698" max="7698" width="20.28515625" style="209" customWidth="1"/>
    <col min="7699" max="7730" width="7.28515625" style="209" customWidth="1"/>
    <col min="7731" max="7950" width="11.42578125" style="209"/>
    <col min="7951" max="7951" width="2" style="209" customWidth="1"/>
    <col min="7952" max="7952" width="16.28515625" style="209" customWidth="1"/>
    <col min="7953" max="7953" width="11.140625" style="209" bestFit="1" customWidth="1"/>
    <col min="7954" max="7954" width="20.28515625" style="209" customWidth="1"/>
    <col min="7955" max="7986" width="7.28515625" style="209" customWidth="1"/>
    <col min="7987" max="8206" width="11.42578125" style="209"/>
    <col min="8207" max="8207" width="2" style="209" customWidth="1"/>
    <col min="8208" max="8208" width="16.28515625" style="209" customWidth="1"/>
    <col min="8209" max="8209" width="11.140625" style="209" bestFit="1" customWidth="1"/>
    <col min="8210" max="8210" width="20.28515625" style="209" customWidth="1"/>
    <col min="8211" max="8242" width="7.28515625" style="209" customWidth="1"/>
    <col min="8243" max="8462" width="11.42578125" style="209"/>
    <col min="8463" max="8463" width="2" style="209" customWidth="1"/>
    <col min="8464" max="8464" width="16.28515625" style="209" customWidth="1"/>
    <col min="8465" max="8465" width="11.140625" style="209" bestFit="1" customWidth="1"/>
    <col min="8466" max="8466" width="20.28515625" style="209" customWidth="1"/>
    <col min="8467" max="8498" width="7.28515625" style="209" customWidth="1"/>
    <col min="8499" max="8718" width="11.42578125" style="209"/>
    <col min="8719" max="8719" width="2" style="209" customWidth="1"/>
    <col min="8720" max="8720" width="16.28515625" style="209" customWidth="1"/>
    <col min="8721" max="8721" width="11.140625" style="209" bestFit="1" customWidth="1"/>
    <col min="8722" max="8722" width="20.28515625" style="209" customWidth="1"/>
    <col min="8723" max="8754" width="7.28515625" style="209" customWidth="1"/>
    <col min="8755" max="8974" width="11.42578125" style="209"/>
    <col min="8975" max="8975" width="2" style="209" customWidth="1"/>
    <col min="8976" max="8976" width="16.28515625" style="209" customWidth="1"/>
    <col min="8977" max="8977" width="11.140625" style="209" bestFit="1" customWidth="1"/>
    <col min="8978" max="8978" width="20.28515625" style="209" customWidth="1"/>
    <col min="8979" max="9010" width="7.28515625" style="209" customWidth="1"/>
    <col min="9011" max="9230" width="11.42578125" style="209"/>
    <col min="9231" max="9231" width="2" style="209" customWidth="1"/>
    <col min="9232" max="9232" width="16.28515625" style="209" customWidth="1"/>
    <col min="9233" max="9233" width="11.140625" style="209" bestFit="1" customWidth="1"/>
    <col min="9234" max="9234" width="20.28515625" style="209" customWidth="1"/>
    <col min="9235" max="9266" width="7.28515625" style="209" customWidth="1"/>
    <col min="9267" max="9486" width="11.42578125" style="209"/>
    <col min="9487" max="9487" width="2" style="209" customWidth="1"/>
    <col min="9488" max="9488" width="16.28515625" style="209" customWidth="1"/>
    <col min="9489" max="9489" width="11.140625" style="209" bestFit="1" customWidth="1"/>
    <col min="9490" max="9490" width="20.28515625" style="209" customWidth="1"/>
    <col min="9491" max="9522" width="7.28515625" style="209" customWidth="1"/>
    <col min="9523" max="9742" width="11.42578125" style="209"/>
    <col min="9743" max="9743" width="2" style="209" customWidth="1"/>
    <col min="9744" max="9744" width="16.28515625" style="209" customWidth="1"/>
    <col min="9745" max="9745" width="11.140625" style="209" bestFit="1" customWidth="1"/>
    <col min="9746" max="9746" width="20.28515625" style="209" customWidth="1"/>
    <col min="9747" max="9778" width="7.28515625" style="209" customWidth="1"/>
    <col min="9779" max="9998" width="11.42578125" style="209"/>
    <col min="9999" max="9999" width="2" style="209" customWidth="1"/>
    <col min="10000" max="10000" width="16.28515625" style="209" customWidth="1"/>
    <col min="10001" max="10001" width="11.140625" style="209" bestFit="1" customWidth="1"/>
    <col min="10002" max="10002" width="20.28515625" style="209" customWidth="1"/>
    <col min="10003" max="10034" width="7.28515625" style="209" customWidth="1"/>
    <col min="10035" max="10254" width="11.42578125" style="209"/>
    <col min="10255" max="10255" width="2" style="209" customWidth="1"/>
    <col min="10256" max="10256" width="16.28515625" style="209" customWidth="1"/>
    <col min="10257" max="10257" width="11.140625" style="209" bestFit="1" customWidth="1"/>
    <col min="10258" max="10258" width="20.28515625" style="209" customWidth="1"/>
    <col min="10259" max="10290" width="7.28515625" style="209" customWidth="1"/>
    <col min="10291" max="10510" width="11.42578125" style="209"/>
    <col min="10511" max="10511" width="2" style="209" customWidth="1"/>
    <col min="10512" max="10512" width="16.28515625" style="209" customWidth="1"/>
    <col min="10513" max="10513" width="11.140625" style="209" bestFit="1" customWidth="1"/>
    <col min="10514" max="10514" width="20.28515625" style="209" customWidth="1"/>
    <col min="10515" max="10546" width="7.28515625" style="209" customWidth="1"/>
    <col min="10547" max="10766" width="11.42578125" style="209"/>
    <col min="10767" max="10767" width="2" style="209" customWidth="1"/>
    <col min="10768" max="10768" width="16.28515625" style="209" customWidth="1"/>
    <col min="10769" max="10769" width="11.140625" style="209" bestFit="1" customWidth="1"/>
    <col min="10770" max="10770" width="20.28515625" style="209" customWidth="1"/>
    <col min="10771" max="10802" width="7.28515625" style="209" customWidth="1"/>
    <col min="10803" max="11022" width="11.42578125" style="209"/>
    <col min="11023" max="11023" width="2" style="209" customWidth="1"/>
    <col min="11024" max="11024" width="16.28515625" style="209" customWidth="1"/>
    <col min="11025" max="11025" width="11.140625" style="209" bestFit="1" customWidth="1"/>
    <col min="11026" max="11026" width="20.28515625" style="209" customWidth="1"/>
    <col min="11027" max="11058" width="7.28515625" style="209" customWidth="1"/>
    <col min="11059" max="11278" width="11.42578125" style="209"/>
    <col min="11279" max="11279" width="2" style="209" customWidth="1"/>
    <col min="11280" max="11280" width="16.28515625" style="209" customWidth="1"/>
    <col min="11281" max="11281" width="11.140625" style="209" bestFit="1" customWidth="1"/>
    <col min="11282" max="11282" width="20.28515625" style="209" customWidth="1"/>
    <col min="11283" max="11314" width="7.28515625" style="209" customWidth="1"/>
    <col min="11315" max="11534" width="11.42578125" style="209"/>
    <col min="11535" max="11535" width="2" style="209" customWidth="1"/>
    <col min="11536" max="11536" width="16.28515625" style="209" customWidth="1"/>
    <col min="11537" max="11537" width="11.140625" style="209" bestFit="1" customWidth="1"/>
    <col min="11538" max="11538" width="20.28515625" style="209" customWidth="1"/>
    <col min="11539" max="11570" width="7.28515625" style="209" customWidth="1"/>
    <col min="11571" max="11790" width="11.42578125" style="209"/>
    <col min="11791" max="11791" width="2" style="209" customWidth="1"/>
    <col min="11792" max="11792" width="16.28515625" style="209" customWidth="1"/>
    <col min="11793" max="11793" width="11.140625" style="209" bestFit="1" customWidth="1"/>
    <col min="11794" max="11794" width="20.28515625" style="209" customWidth="1"/>
    <col min="11795" max="11826" width="7.28515625" style="209" customWidth="1"/>
    <col min="11827" max="12046" width="11.42578125" style="209"/>
    <col min="12047" max="12047" width="2" style="209" customWidth="1"/>
    <col min="12048" max="12048" width="16.28515625" style="209" customWidth="1"/>
    <col min="12049" max="12049" width="11.140625" style="209" bestFit="1" customWidth="1"/>
    <col min="12050" max="12050" width="20.28515625" style="209" customWidth="1"/>
    <col min="12051" max="12082" width="7.28515625" style="209" customWidth="1"/>
    <col min="12083" max="12302" width="11.42578125" style="209"/>
    <col min="12303" max="12303" width="2" style="209" customWidth="1"/>
    <col min="12304" max="12304" width="16.28515625" style="209" customWidth="1"/>
    <col min="12305" max="12305" width="11.140625" style="209" bestFit="1" customWidth="1"/>
    <col min="12306" max="12306" width="20.28515625" style="209" customWidth="1"/>
    <col min="12307" max="12338" width="7.28515625" style="209" customWidth="1"/>
    <col min="12339" max="12558" width="11.42578125" style="209"/>
    <col min="12559" max="12559" width="2" style="209" customWidth="1"/>
    <col min="12560" max="12560" width="16.28515625" style="209" customWidth="1"/>
    <col min="12561" max="12561" width="11.140625" style="209" bestFit="1" customWidth="1"/>
    <col min="12562" max="12562" width="20.28515625" style="209" customWidth="1"/>
    <col min="12563" max="12594" width="7.28515625" style="209" customWidth="1"/>
    <col min="12595" max="12814" width="11.42578125" style="209"/>
    <col min="12815" max="12815" width="2" style="209" customWidth="1"/>
    <col min="12816" max="12816" width="16.28515625" style="209" customWidth="1"/>
    <col min="12817" max="12817" width="11.140625" style="209" bestFit="1" customWidth="1"/>
    <col min="12818" max="12818" width="20.28515625" style="209" customWidth="1"/>
    <col min="12819" max="12850" width="7.28515625" style="209" customWidth="1"/>
    <col min="12851" max="13070" width="11.42578125" style="209"/>
    <col min="13071" max="13071" width="2" style="209" customWidth="1"/>
    <col min="13072" max="13072" width="16.28515625" style="209" customWidth="1"/>
    <col min="13073" max="13073" width="11.140625" style="209" bestFit="1" customWidth="1"/>
    <col min="13074" max="13074" width="20.28515625" style="209" customWidth="1"/>
    <col min="13075" max="13106" width="7.28515625" style="209" customWidth="1"/>
    <col min="13107" max="13326" width="11.42578125" style="209"/>
    <col min="13327" max="13327" width="2" style="209" customWidth="1"/>
    <col min="13328" max="13328" width="16.28515625" style="209" customWidth="1"/>
    <col min="13329" max="13329" width="11.140625" style="209" bestFit="1" customWidth="1"/>
    <col min="13330" max="13330" width="20.28515625" style="209" customWidth="1"/>
    <col min="13331" max="13362" width="7.28515625" style="209" customWidth="1"/>
    <col min="13363" max="13582" width="11.42578125" style="209"/>
    <col min="13583" max="13583" width="2" style="209" customWidth="1"/>
    <col min="13584" max="13584" width="16.28515625" style="209" customWidth="1"/>
    <col min="13585" max="13585" width="11.140625" style="209" bestFit="1" customWidth="1"/>
    <col min="13586" max="13586" width="20.28515625" style="209" customWidth="1"/>
    <col min="13587" max="13618" width="7.28515625" style="209" customWidth="1"/>
    <col min="13619" max="13838" width="11.42578125" style="209"/>
    <col min="13839" max="13839" width="2" style="209" customWidth="1"/>
    <col min="13840" max="13840" width="16.28515625" style="209" customWidth="1"/>
    <col min="13841" max="13841" width="11.140625" style="209" bestFit="1" customWidth="1"/>
    <col min="13842" max="13842" width="20.28515625" style="209" customWidth="1"/>
    <col min="13843" max="13874" width="7.28515625" style="209" customWidth="1"/>
    <col min="13875" max="14094" width="11.42578125" style="209"/>
    <col min="14095" max="14095" width="2" style="209" customWidth="1"/>
    <col min="14096" max="14096" width="16.28515625" style="209" customWidth="1"/>
    <col min="14097" max="14097" width="11.140625" style="209" bestFit="1" customWidth="1"/>
    <col min="14098" max="14098" width="20.28515625" style="209" customWidth="1"/>
    <col min="14099" max="14130" width="7.28515625" style="209" customWidth="1"/>
    <col min="14131" max="14350" width="11.42578125" style="209"/>
    <col min="14351" max="14351" width="2" style="209" customWidth="1"/>
    <col min="14352" max="14352" width="16.28515625" style="209" customWidth="1"/>
    <col min="14353" max="14353" width="11.140625" style="209" bestFit="1" customWidth="1"/>
    <col min="14354" max="14354" width="20.28515625" style="209" customWidth="1"/>
    <col min="14355" max="14386" width="7.28515625" style="209" customWidth="1"/>
    <col min="14387" max="14606" width="11.42578125" style="209"/>
    <col min="14607" max="14607" width="2" style="209" customWidth="1"/>
    <col min="14608" max="14608" width="16.28515625" style="209" customWidth="1"/>
    <col min="14609" max="14609" width="11.140625" style="209" bestFit="1" customWidth="1"/>
    <col min="14610" max="14610" width="20.28515625" style="209" customWidth="1"/>
    <col min="14611" max="14642" width="7.28515625" style="209" customWidth="1"/>
    <col min="14643" max="14862" width="11.42578125" style="209"/>
    <col min="14863" max="14863" width="2" style="209" customWidth="1"/>
    <col min="14864" max="14864" width="16.28515625" style="209" customWidth="1"/>
    <col min="14865" max="14865" width="11.140625" style="209" bestFit="1" customWidth="1"/>
    <col min="14866" max="14866" width="20.28515625" style="209" customWidth="1"/>
    <col min="14867" max="14898" width="7.28515625" style="209" customWidth="1"/>
    <col min="14899" max="15118" width="11.42578125" style="209"/>
    <col min="15119" max="15119" width="2" style="209" customWidth="1"/>
    <col min="15120" max="15120" width="16.28515625" style="209" customWidth="1"/>
    <col min="15121" max="15121" width="11.140625" style="209" bestFit="1" customWidth="1"/>
    <col min="15122" max="15122" width="20.28515625" style="209" customWidth="1"/>
    <col min="15123" max="15154" width="7.28515625" style="209" customWidth="1"/>
    <col min="15155" max="15374" width="11.42578125" style="209"/>
    <col min="15375" max="15375" width="2" style="209" customWidth="1"/>
    <col min="15376" max="15376" width="16.28515625" style="209" customWidth="1"/>
    <col min="15377" max="15377" width="11.140625" style="209" bestFit="1" customWidth="1"/>
    <col min="15378" max="15378" width="20.28515625" style="209" customWidth="1"/>
    <col min="15379" max="15410" width="7.28515625" style="209" customWidth="1"/>
    <col min="15411" max="15630" width="11.42578125" style="209"/>
    <col min="15631" max="15631" width="2" style="209" customWidth="1"/>
    <col min="15632" max="15632" width="16.28515625" style="209" customWidth="1"/>
    <col min="15633" max="15633" width="11.140625" style="209" bestFit="1" customWidth="1"/>
    <col min="15634" max="15634" width="20.28515625" style="209" customWidth="1"/>
    <col min="15635" max="15666" width="7.28515625" style="209" customWidth="1"/>
    <col min="15667" max="15886" width="11.42578125" style="209"/>
    <col min="15887" max="15887" width="2" style="209" customWidth="1"/>
    <col min="15888" max="15888" width="16.28515625" style="209" customWidth="1"/>
    <col min="15889" max="15889" width="11.140625" style="209" bestFit="1" customWidth="1"/>
    <col min="15890" max="15890" width="20.28515625" style="209" customWidth="1"/>
    <col min="15891" max="15922" width="7.28515625" style="209" customWidth="1"/>
    <col min="15923" max="16142" width="11.42578125" style="209"/>
    <col min="16143" max="16143" width="2" style="209" customWidth="1"/>
    <col min="16144" max="16144" width="16.28515625" style="209" customWidth="1"/>
    <col min="16145" max="16145" width="11.140625" style="209" bestFit="1" customWidth="1"/>
    <col min="16146" max="16146" width="20.28515625" style="209" customWidth="1"/>
    <col min="16147" max="16178" width="7.28515625" style="209" customWidth="1"/>
    <col min="16179" max="16384" width="11.42578125" style="209"/>
  </cols>
  <sheetData>
    <row r="1" spans="1:78" s="222" customFormat="1" ht="31.5" customHeight="1" x14ac:dyDescent="0.2">
      <c r="A1" s="5682" t="s">
        <v>1277</v>
      </c>
      <c r="B1" s="5682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</row>
    <row r="2" spans="1:78" ht="15.75" x14ac:dyDescent="0.2">
      <c r="A2" s="1012"/>
      <c r="B2" s="1013"/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3"/>
      <c r="P2" s="1013"/>
      <c r="Q2" s="1013"/>
      <c r="R2" s="1013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13"/>
      <c r="AD2" s="1013"/>
      <c r="AE2" s="1013"/>
      <c r="AF2" s="1013"/>
      <c r="AG2" s="1013"/>
      <c r="AH2" s="1013"/>
      <c r="AI2" s="1013"/>
      <c r="AJ2" s="579"/>
      <c r="AK2" s="579"/>
      <c r="AL2" s="191"/>
      <c r="AM2" s="579"/>
      <c r="AN2" s="579"/>
      <c r="AO2" s="579"/>
      <c r="AP2" s="579"/>
      <c r="AQ2" s="579"/>
      <c r="AR2" s="579"/>
      <c r="AS2" s="579"/>
      <c r="AT2" s="579"/>
    </row>
    <row r="3" spans="1:78" ht="12.75" customHeight="1" x14ac:dyDescent="0.2">
      <c r="A3" s="5723" t="s">
        <v>164</v>
      </c>
      <c r="B3" s="6271" t="s">
        <v>25</v>
      </c>
      <c r="C3" s="6170">
        <v>1999</v>
      </c>
      <c r="D3" s="6171"/>
      <c r="E3" s="6171"/>
      <c r="F3" s="6172"/>
      <c r="G3" s="6170">
        <v>2000</v>
      </c>
      <c r="H3" s="6171"/>
      <c r="I3" s="6171"/>
      <c r="J3" s="6172"/>
      <c r="K3" s="6170">
        <v>2001</v>
      </c>
      <c r="L3" s="6171"/>
      <c r="M3" s="6171"/>
      <c r="N3" s="6172"/>
      <c r="O3" s="6170">
        <v>2002</v>
      </c>
      <c r="P3" s="6171"/>
      <c r="Q3" s="6171"/>
      <c r="R3" s="6172"/>
      <c r="S3" s="6170">
        <v>2003</v>
      </c>
      <c r="T3" s="6171"/>
      <c r="U3" s="6171"/>
      <c r="V3" s="6172"/>
      <c r="W3" s="6170">
        <v>2004</v>
      </c>
      <c r="X3" s="6171"/>
      <c r="Y3" s="6171"/>
      <c r="Z3" s="6172"/>
      <c r="AA3" s="6170">
        <v>2005</v>
      </c>
      <c r="AB3" s="6171"/>
      <c r="AC3" s="6171"/>
      <c r="AD3" s="6172"/>
      <c r="AE3" s="6170">
        <v>2006</v>
      </c>
      <c r="AF3" s="6171"/>
      <c r="AG3" s="6171"/>
      <c r="AH3" s="6172"/>
      <c r="AI3" s="6170">
        <v>2007</v>
      </c>
      <c r="AJ3" s="6171"/>
      <c r="AK3" s="6171"/>
      <c r="AL3" s="6172"/>
      <c r="AM3" s="6170">
        <v>2008</v>
      </c>
      <c r="AN3" s="6171"/>
      <c r="AO3" s="6171"/>
      <c r="AP3" s="6172"/>
      <c r="AQ3" s="6170">
        <v>2009</v>
      </c>
      <c r="AR3" s="6171"/>
      <c r="AS3" s="6171"/>
      <c r="AT3" s="6172"/>
      <c r="AU3" s="6170">
        <v>2010</v>
      </c>
      <c r="AV3" s="6171"/>
      <c r="AW3" s="6171"/>
      <c r="AX3" s="6172"/>
      <c r="AY3" s="6170">
        <v>2011</v>
      </c>
      <c r="AZ3" s="6171"/>
      <c r="BA3" s="6171"/>
      <c r="BB3" s="6172"/>
      <c r="BC3" s="6170">
        <v>2012</v>
      </c>
      <c r="BD3" s="6171"/>
      <c r="BE3" s="6171"/>
      <c r="BF3" s="6172"/>
      <c r="BG3" s="6170">
        <v>2013</v>
      </c>
      <c r="BH3" s="6171"/>
      <c r="BI3" s="6171"/>
      <c r="BJ3" s="6172"/>
      <c r="BK3" s="6170">
        <v>2014</v>
      </c>
      <c r="BL3" s="6171"/>
      <c r="BM3" s="6171"/>
      <c r="BN3" s="6172"/>
      <c r="BO3" s="6170">
        <v>2015</v>
      </c>
      <c r="BP3" s="6171"/>
      <c r="BQ3" s="6171"/>
      <c r="BR3" s="6172"/>
      <c r="BS3" s="6170">
        <v>2016</v>
      </c>
      <c r="BT3" s="6171"/>
      <c r="BU3" s="6171"/>
      <c r="BV3" s="6172"/>
      <c r="BW3" s="6170">
        <v>2017</v>
      </c>
      <c r="BX3" s="6171"/>
      <c r="BY3" s="6171"/>
      <c r="BZ3" s="6172"/>
    </row>
    <row r="4" spans="1:78" ht="15" x14ac:dyDescent="0.2">
      <c r="A4" s="5723"/>
      <c r="B4" s="5723"/>
      <c r="C4" s="1054" t="s">
        <v>653</v>
      </c>
      <c r="D4" s="1055" t="s">
        <v>651</v>
      </c>
      <c r="E4" s="1056" t="s">
        <v>652</v>
      </c>
      <c r="F4" s="1052" t="s">
        <v>160</v>
      </c>
      <c r="G4" s="1690" t="s">
        <v>653</v>
      </c>
      <c r="H4" s="1691" t="s">
        <v>651</v>
      </c>
      <c r="I4" s="1692" t="s">
        <v>652</v>
      </c>
      <c r="J4" s="1052" t="s">
        <v>160</v>
      </c>
      <c r="K4" s="1690" t="s">
        <v>653</v>
      </c>
      <c r="L4" s="1691" t="s">
        <v>651</v>
      </c>
      <c r="M4" s="1692" t="s">
        <v>652</v>
      </c>
      <c r="N4" s="1052" t="s">
        <v>160</v>
      </c>
      <c r="O4" s="1690" t="s">
        <v>653</v>
      </c>
      <c r="P4" s="1691" t="s">
        <v>651</v>
      </c>
      <c r="Q4" s="1692" t="s">
        <v>652</v>
      </c>
      <c r="R4" s="1052" t="s">
        <v>160</v>
      </c>
      <c r="S4" s="1690" t="s">
        <v>653</v>
      </c>
      <c r="T4" s="1691" t="s">
        <v>651</v>
      </c>
      <c r="U4" s="1692" t="s">
        <v>652</v>
      </c>
      <c r="V4" s="1052" t="s">
        <v>160</v>
      </c>
      <c r="W4" s="1690" t="s">
        <v>653</v>
      </c>
      <c r="X4" s="1691" t="s">
        <v>651</v>
      </c>
      <c r="Y4" s="1692" t="s">
        <v>652</v>
      </c>
      <c r="Z4" s="1052" t="s">
        <v>160</v>
      </c>
      <c r="AA4" s="1690" t="s">
        <v>653</v>
      </c>
      <c r="AB4" s="1691" t="s">
        <v>651</v>
      </c>
      <c r="AC4" s="1692" t="s">
        <v>652</v>
      </c>
      <c r="AD4" s="1052" t="s">
        <v>160</v>
      </c>
      <c r="AE4" s="1690" t="s">
        <v>653</v>
      </c>
      <c r="AF4" s="1691" t="s">
        <v>651</v>
      </c>
      <c r="AG4" s="1692" t="s">
        <v>652</v>
      </c>
      <c r="AH4" s="1052" t="s">
        <v>160</v>
      </c>
      <c r="AI4" s="1690" t="s">
        <v>653</v>
      </c>
      <c r="AJ4" s="1691" t="s">
        <v>651</v>
      </c>
      <c r="AK4" s="1692" t="s">
        <v>652</v>
      </c>
      <c r="AL4" s="1052" t="s">
        <v>160</v>
      </c>
      <c r="AM4" s="1690" t="s">
        <v>653</v>
      </c>
      <c r="AN4" s="1691" t="s">
        <v>651</v>
      </c>
      <c r="AO4" s="1692" t="s">
        <v>652</v>
      </c>
      <c r="AP4" s="1052" t="s">
        <v>160</v>
      </c>
      <c r="AQ4" s="1690" t="s">
        <v>653</v>
      </c>
      <c r="AR4" s="1691" t="s">
        <v>651</v>
      </c>
      <c r="AS4" s="1692" t="s">
        <v>652</v>
      </c>
      <c r="AT4" s="1052" t="s">
        <v>160</v>
      </c>
      <c r="AU4" s="1690" t="s">
        <v>653</v>
      </c>
      <c r="AV4" s="1691" t="s">
        <v>651</v>
      </c>
      <c r="AW4" s="1692" t="s">
        <v>652</v>
      </c>
      <c r="AX4" s="1052" t="s">
        <v>160</v>
      </c>
      <c r="AY4" s="1690" t="s">
        <v>653</v>
      </c>
      <c r="AZ4" s="1691" t="s">
        <v>651</v>
      </c>
      <c r="BA4" s="1692" t="s">
        <v>652</v>
      </c>
      <c r="BB4" s="1052" t="s">
        <v>160</v>
      </c>
      <c r="BC4" s="1690" t="s">
        <v>653</v>
      </c>
      <c r="BD4" s="1691" t="s">
        <v>651</v>
      </c>
      <c r="BE4" s="1692" t="s">
        <v>652</v>
      </c>
      <c r="BF4" s="1052" t="s">
        <v>160</v>
      </c>
      <c r="BG4" s="1690" t="s">
        <v>653</v>
      </c>
      <c r="BH4" s="1691" t="s">
        <v>651</v>
      </c>
      <c r="BI4" s="1692" t="s">
        <v>652</v>
      </c>
      <c r="BJ4" s="1052" t="s">
        <v>160</v>
      </c>
      <c r="BK4" s="2003" t="s">
        <v>653</v>
      </c>
      <c r="BL4" s="2004" t="s">
        <v>651</v>
      </c>
      <c r="BM4" s="2005" t="s">
        <v>652</v>
      </c>
      <c r="BN4" s="1052" t="s">
        <v>160</v>
      </c>
      <c r="BO4" s="3908" t="s">
        <v>653</v>
      </c>
      <c r="BP4" s="3909" t="s">
        <v>651</v>
      </c>
      <c r="BQ4" s="3910" t="s">
        <v>652</v>
      </c>
      <c r="BR4" s="1052" t="s">
        <v>160</v>
      </c>
      <c r="BS4" s="4570" t="s">
        <v>653</v>
      </c>
      <c r="BT4" s="4571" t="s">
        <v>651</v>
      </c>
      <c r="BU4" s="4572" t="s">
        <v>652</v>
      </c>
      <c r="BV4" s="1052" t="s">
        <v>160</v>
      </c>
      <c r="BW4" s="5126" t="s">
        <v>653</v>
      </c>
      <c r="BX4" s="5127" t="s">
        <v>651</v>
      </c>
      <c r="BY4" s="5128" t="s">
        <v>652</v>
      </c>
      <c r="BZ4" s="1052" t="s">
        <v>160</v>
      </c>
    </row>
    <row r="5" spans="1:78" ht="15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</row>
    <row r="6" spans="1:78" ht="15" x14ac:dyDescent="0.2">
      <c r="A6" s="6213" t="s">
        <v>5</v>
      </c>
      <c r="B6" s="1029" t="s">
        <v>615</v>
      </c>
      <c r="C6" s="1274">
        <f>+'INSC-POSG plan'!E5</f>
        <v>22</v>
      </c>
      <c r="D6" s="1275">
        <f>+'INSC-POSG plan'!F5</f>
        <v>0</v>
      </c>
      <c r="E6" s="1275">
        <f>+'INSC-POSG plan'!G5</f>
        <v>12</v>
      </c>
      <c r="F6" s="1276">
        <f>SUM(C6:E6)</f>
        <v>34</v>
      </c>
      <c r="G6" s="1274">
        <f>+'INSC-POSG plan'!I5</f>
        <v>26</v>
      </c>
      <c r="H6" s="1275">
        <f>+'INSC-POSG plan'!J5</f>
        <v>0</v>
      </c>
      <c r="I6" s="1275">
        <f>+'INSC-POSG plan'!K5</f>
        <v>19</v>
      </c>
      <c r="J6" s="1276">
        <f>SUM(G6:I6)</f>
        <v>45</v>
      </c>
      <c r="K6" s="1274">
        <f>+'INSC-POSG plan'!M5</f>
        <v>0</v>
      </c>
      <c r="L6" s="1275">
        <f>+'INSC-POSG plan'!N5</f>
        <v>5</v>
      </c>
      <c r="M6" s="1275">
        <f>+'INSC-POSG plan'!O5</f>
        <v>10</v>
      </c>
      <c r="N6" s="1276">
        <f>SUM(K6:M6)</f>
        <v>15</v>
      </c>
      <c r="O6" s="1274">
        <f>+'INSC-POSG plan'!Q5</f>
        <v>3</v>
      </c>
      <c r="P6" s="1275">
        <f>+'INSC-POSG plan'!R5</f>
        <v>0</v>
      </c>
      <c r="Q6" s="1275">
        <f>+'INSC-POSG plan'!S5</f>
        <v>0</v>
      </c>
      <c r="R6" s="1276">
        <f>SUM(O6:Q6)</f>
        <v>3</v>
      </c>
      <c r="S6" s="1274"/>
      <c r="T6" s="1275"/>
      <c r="U6" s="1275"/>
      <c r="V6" s="1276"/>
      <c r="W6" s="1274"/>
      <c r="X6" s="1275"/>
      <c r="Y6" s="1275"/>
      <c r="Z6" s="1277"/>
      <c r="AA6" s="1274"/>
      <c r="AB6" s="1275"/>
      <c r="AC6" s="1275"/>
      <c r="AD6" s="1276"/>
      <c r="AE6" s="1275"/>
      <c r="AF6" s="1275"/>
      <c r="AG6" s="1275"/>
      <c r="AH6" s="1276"/>
      <c r="AI6" s="1275"/>
      <c r="AJ6" s="1275"/>
      <c r="AK6" s="1275"/>
      <c r="AL6" s="1670"/>
      <c r="AM6" s="1030"/>
      <c r="AN6" s="1031"/>
      <c r="AO6" s="1031"/>
      <c r="AP6" s="1048"/>
      <c r="AQ6" s="1030"/>
      <c r="AR6" s="1031"/>
      <c r="AS6" s="1031"/>
      <c r="AT6" s="1048"/>
      <c r="AU6" s="1030"/>
      <c r="AV6" s="1031"/>
      <c r="AW6" s="1031"/>
      <c r="AX6" s="1048"/>
      <c r="AY6" s="1030"/>
      <c r="AZ6" s="1031"/>
      <c r="BA6" s="1031"/>
      <c r="BB6" s="1048"/>
      <c r="BC6" s="1030"/>
      <c r="BD6" s="1031"/>
      <c r="BE6" s="1031"/>
      <c r="BF6" s="1048"/>
      <c r="BG6" s="1030"/>
      <c r="BH6" s="1031"/>
      <c r="BI6" s="1031"/>
      <c r="BJ6" s="1048"/>
      <c r="BK6" s="1030">
        <f>SUM('INSC-POSG plan'!BM5)</f>
        <v>0</v>
      </c>
      <c r="BL6" s="1031">
        <f>SUM('INSC-POSG plan'!BN5)</f>
        <v>0</v>
      </c>
      <c r="BM6" s="1031">
        <f>SUM('INSC-POSG plan'!BO5)</f>
        <v>0</v>
      </c>
      <c r="BN6" s="1048">
        <f>SUM(BK6:BM6)</f>
        <v>0</v>
      </c>
      <c r="BO6" s="1030">
        <f>SUM('INSC-POSG plan'!BQ5)</f>
        <v>0</v>
      </c>
      <c r="BP6" s="1031">
        <f>SUM('INSC-POSG plan'!BR5)</f>
        <v>0</v>
      </c>
      <c r="BQ6" s="1031">
        <f>SUM('INSC-POSG plan'!BS5)</f>
        <v>0</v>
      </c>
      <c r="BR6" s="1048">
        <f>SUM(BO6:BQ6)</f>
        <v>0</v>
      </c>
      <c r="BS6" s="1030">
        <f>SUM('INSC-POSG plan'!BU5)</f>
        <v>0</v>
      </c>
      <c r="BT6" s="1031">
        <f>SUM('INSC-POSG plan'!BV5)</f>
        <v>0</v>
      </c>
      <c r="BU6" s="1031">
        <f>SUM('INSC-POSG plan'!BW5)</f>
        <v>0</v>
      </c>
      <c r="BV6" s="1048">
        <f>SUM(BS6:BU6)</f>
        <v>0</v>
      </c>
      <c r="BW6" s="1030">
        <f>SUM('INSC-POSG plan'!BY5)</f>
        <v>0</v>
      </c>
      <c r="BX6" s="1031">
        <f>SUM('INSC-POSG plan'!BZ5)</f>
        <v>0</v>
      </c>
      <c r="BY6" s="1031">
        <f>SUM('INSC-POSG plan'!CA5)</f>
        <v>0</v>
      </c>
      <c r="BZ6" s="1048">
        <f>SUM(BW6:BY6)</f>
        <v>0</v>
      </c>
    </row>
    <row r="7" spans="1:78" ht="15" x14ac:dyDescent="0.2">
      <c r="A7" s="6211"/>
      <c r="B7" s="1034" t="s">
        <v>616</v>
      </c>
      <c r="C7" s="1278">
        <f>+'INSC-POSG plan'!E6+'INSC-POSG plan'!E7+'INSC-POSG plan'!E8+'INSC-POSG plan'!E9+'INSC-POSG plan'!E10</f>
        <v>19</v>
      </c>
      <c r="D7" s="1279">
        <f>+'INSC-POSG plan'!F6+'INSC-POSG plan'!F7+'INSC-POSG plan'!F8+'INSC-POSG plan'!F9+'INSC-POSG plan'!F10</f>
        <v>14</v>
      </c>
      <c r="E7" s="1279">
        <f>+'INSC-POSG plan'!G6+'INSC-POSG plan'!G7+'INSC-POSG plan'!G8+'INSC-POSG plan'!G9+'INSC-POSG plan'!G10</f>
        <v>18</v>
      </c>
      <c r="F7" s="1280">
        <f t="shared" ref="F7:F21" si="0">SUM(C7:E7)</f>
        <v>51</v>
      </c>
      <c r="G7" s="1278">
        <f>+'INSC-POSG plan'!I6+'INSC-POSG plan'!I7+'INSC-POSG plan'!I8+'INSC-POSG plan'!I9+'INSC-POSG plan'!I10</f>
        <v>31</v>
      </c>
      <c r="H7" s="1279">
        <f>+'INSC-POSG plan'!J6+'INSC-POSG plan'!J7+'INSC-POSG plan'!J8+'INSC-POSG plan'!J9+'INSC-POSG plan'!J10</f>
        <v>10</v>
      </c>
      <c r="I7" s="1279">
        <f>+'INSC-POSG plan'!K6+'INSC-POSG plan'!K7+'INSC-POSG plan'!K8+'INSC-POSG plan'!K9+'INSC-POSG plan'!K10</f>
        <v>32</v>
      </c>
      <c r="J7" s="1280">
        <f t="shared" ref="J7:J21" si="1">SUM(G7:I7)</f>
        <v>73</v>
      </c>
      <c r="K7" s="1278">
        <f>+'INSC-POSG plan'!M6+'INSC-POSG plan'!M7+'INSC-POSG plan'!M8+'INSC-POSG plan'!M9+'INSC-POSG plan'!M10</f>
        <v>2</v>
      </c>
      <c r="L7" s="1279">
        <f>+'INSC-POSG plan'!N6+'INSC-POSG plan'!N7+'INSC-POSG plan'!N8+'INSC-POSG plan'!N9+'INSC-POSG plan'!N10</f>
        <v>11</v>
      </c>
      <c r="M7" s="1279">
        <f>+'INSC-POSG plan'!O6+'INSC-POSG plan'!O7+'INSC-POSG plan'!O8+'INSC-POSG plan'!O9+'INSC-POSG plan'!O10</f>
        <v>39</v>
      </c>
      <c r="N7" s="1280">
        <f t="shared" ref="N7:N21" si="2">SUM(K7:M7)</f>
        <v>52</v>
      </c>
      <c r="O7" s="1278">
        <f>+'INSC-POSG plan'!Q6+'INSC-POSG plan'!Q7+'INSC-POSG plan'!Q8+'INSC-POSG plan'!Q9+'INSC-POSG plan'!Q10</f>
        <v>5</v>
      </c>
      <c r="P7" s="1279">
        <f>+'INSC-POSG plan'!R6+'INSC-POSG plan'!R7+'INSC-POSG plan'!R8+'INSC-POSG plan'!R9+'INSC-POSG plan'!R10</f>
        <v>4</v>
      </c>
      <c r="Q7" s="1279">
        <f>+'INSC-POSG plan'!S6+'INSC-POSG plan'!S7+'INSC-POSG plan'!S8+'INSC-POSG plan'!S9+'INSC-POSG plan'!S10</f>
        <v>23</v>
      </c>
      <c r="R7" s="1280">
        <f t="shared" ref="R7:R21" si="3">SUM(O7:Q7)</f>
        <v>32</v>
      </c>
      <c r="S7" s="1278">
        <v>15</v>
      </c>
      <c r="T7" s="1279">
        <v>4</v>
      </c>
      <c r="U7" s="1279">
        <v>17</v>
      </c>
      <c r="V7" s="1280">
        <v>36</v>
      </c>
      <c r="W7" s="1278">
        <v>7</v>
      </c>
      <c r="X7" s="1279">
        <v>5</v>
      </c>
      <c r="Y7" s="1279">
        <v>24</v>
      </c>
      <c r="Z7" s="1281">
        <v>36</v>
      </c>
      <c r="AA7" s="1278">
        <v>9</v>
      </c>
      <c r="AB7" s="1279"/>
      <c r="AC7" s="1279">
        <v>29</v>
      </c>
      <c r="AD7" s="1280">
        <v>38</v>
      </c>
      <c r="AE7" s="1279">
        <v>17</v>
      </c>
      <c r="AF7" s="1279"/>
      <c r="AG7" s="1279">
        <v>15</v>
      </c>
      <c r="AH7" s="1280">
        <v>32</v>
      </c>
      <c r="AI7" s="1279">
        <v>4</v>
      </c>
      <c r="AJ7" s="1279">
        <v>6</v>
      </c>
      <c r="AK7" s="1279">
        <v>10</v>
      </c>
      <c r="AL7" s="1671">
        <v>20</v>
      </c>
      <c r="AM7" s="1035">
        <v>2</v>
      </c>
      <c r="AN7" s="1036"/>
      <c r="AO7" s="1036">
        <v>32</v>
      </c>
      <c r="AP7" s="1039">
        <v>34</v>
      </c>
      <c r="AQ7" s="1035">
        <v>12</v>
      </c>
      <c r="AR7" s="1036"/>
      <c r="AS7" s="1036">
        <v>32</v>
      </c>
      <c r="AT7" s="1039">
        <f t="shared" ref="AT7:AT17" si="4">SUM(AQ7:AS7)</f>
        <v>44</v>
      </c>
      <c r="AU7" s="1035">
        <v>18</v>
      </c>
      <c r="AV7" s="1036"/>
      <c r="AW7" s="1036">
        <v>25</v>
      </c>
      <c r="AX7" s="1039">
        <f t="shared" ref="AX7:AX17" si="5">SUM(AU7:AW7)</f>
        <v>43</v>
      </c>
      <c r="AY7" s="1035">
        <v>6</v>
      </c>
      <c r="AZ7" s="1036"/>
      <c r="BA7" s="1036">
        <v>26</v>
      </c>
      <c r="BB7" s="1039">
        <f t="shared" ref="BB7:BB17" si="6">SUM(AY7:BA7)</f>
        <v>32</v>
      </c>
      <c r="BC7" s="1035">
        <f>SUM('INSC-POSG plan'!BE6,'INSC-POSG plan'!BE7,'INSC-POSG plan'!BE8,'INSC-POSG plan'!BE9,'INSC-POSG plan'!BE10)</f>
        <v>8</v>
      </c>
      <c r="BD7" s="1036">
        <f>SUM('INSC-POSG plan'!BF6,'INSC-POSG plan'!BF7,'INSC-POSG plan'!BF8,'INSC-POSG plan'!BF9,'INSC-POSG plan'!BF10)</f>
        <v>8</v>
      </c>
      <c r="BE7" s="1036">
        <f>SUM('INSC-POSG plan'!BG6,'INSC-POSG plan'!BG7,'INSC-POSG plan'!BG8,'INSC-POSG plan'!BG9,'INSC-POSG plan'!BG10)</f>
        <v>29</v>
      </c>
      <c r="BF7" s="1039">
        <f t="shared" ref="BF7:BF13" si="7">SUM(BC7:BE7)</f>
        <v>45</v>
      </c>
      <c r="BG7" s="1035">
        <f>SUM('INSC-POSG plan'!BI6,'INSC-POSG plan'!BI7,'INSC-POSG plan'!BI8,'INSC-POSG plan'!BI9,'INSC-POSG plan'!BI10)</f>
        <v>17</v>
      </c>
      <c r="BH7" s="1036"/>
      <c r="BI7" s="1036">
        <f>SUM('INSC-POSG plan'!BK6,'INSC-POSG plan'!BK7,'INSC-POSG plan'!BK8,'INSC-POSG plan'!BK9,'INSC-POSG plan'!BK10)</f>
        <v>46</v>
      </c>
      <c r="BJ7" s="1039">
        <f t="shared" ref="BJ7:BJ13" si="8">SUM(BG7:BI7)</f>
        <v>63</v>
      </c>
      <c r="BK7" s="1035">
        <f>SUM('INSC-POSG plan'!BM6:BM10)</f>
        <v>23</v>
      </c>
      <c r="BL7" s="1036">
        <f>SUM('INSC-POSG plan'!BN6:BN10)</f>
        <v>0</v>
      </c>
      <c r="BM7" s="1036">
        <f>SUM('INSC-POSG plan'!BO6:BO10)</f>
        <v>55</v>
      </c>
      <c r="BN7" s="1039">
        <f t="shared" ref="BN7:BN13" si="9">SUM(BK7:BM7)</f>
        <v>78</v>
      </c>
      <c r="BO7" s="1035">
        <f>SUM('INSC-POSG plan'!BQ6:BQ10)</f>
        <v>19</v>
      </c>
      <c r="BP7" s="1036">
        <f>SUM('INSC-POSG plan'!BR6:BR10)</f>
        <v>0</v>
      </c>
      <c r="BQ7" s="1036">
        <f>SUM('INSC-POSG plan'!BS6:BS10)</f>
        <v>49</v>
      </c>
      <c r="BR7" s="1039">
        <f t="shared" ref="BR7:BR13" si="10">SUM(BO7:BQ7)</f>
        <v>68</v>
      </c>
      <c r="BS7" s="1035">
        <f>SUM('INSC-POSG plan'!BU6:BU10)</f>
        <v>23</v>
      </c>
      <c r="BT7" s="1036">
        <f>SUM('INSC-POSG plan'!BV6:BV10)</f>
        <v>0</v>
      </c>
      <c r="BU7" s="1036">
        <f>SUM('INSC-POSG plan'!BW6:BW10)</f>
        <v>55</v>
      </c>
      <c r="BV7" s="1039">
        <f t="shared" ref="BV7:BV13" si="11">SUM(BS7:BU7)</f>
        <v>78</v>
      </c>
      <c r="BW7" s="1035">
        <f>SUM('INSC-POSG plan'!BY6:BY10)</f>
        <v>16</v>
      </c>
      <c r="BX7" s="1036">
        <f>SUM('INSC-POSG plan'!BZ6:BZ10)</f>
        <v>0</v>
      </c>
      <c r="BY7" s="1036">
        <f>SUM('INSC-POSG plan'!CA6:CA10)</f>
        <v>56</v>
      </c>
      <c r="BZ7" s="1039">
        <f t="shared" ref="BZ7:BZ13" si="12">SUM(BW7:BY7)</f>
        <v>72</v>
      </c>
    </row>
    <row r="8" spans="1:78" s="222" customFormat="1" ht="15" x14ac:dyDescent="0.2">
      <c r="A8" s="6211"/>
      <c r="B8" s="1040" t="s">
        <v>617</v>
      </c>
      <c r="C8" s="1289">
        <f>+'INSC-POSG plan'!E11+'INSC-POSG plan'!E12</f>
        <v>0</v>
      </c>
      <c r="D8" s="1290">
        <f>+'INSC-POSG plan'!F11+'INSC-POSG plan'!F12</f>
        <v>1</v>
      </c>
      <c r="E8" s="1290">
        <f>+'INSC-POSG plan'!G11+'INSC-POSG plan'!G12</f>
        <v>1</v>
      </c>
      <c r="F8" s="1291">
        <f t="shared" si="0"/>
        <v>2</v>
      </c>
      <c r="G8" s="1289">
        <f>+'INSC-POSG plan'!I11+'INSC-POSG plan'!I12</f>
        <v>4</v>
      </c>
      <c r="H8" s="1290">
        <f>+'INSC-POSG plan'!J11+'INSC-POSG plan'!J12</f>
        <v>3</v>
      </c>
      <c r="I8" s="1290">
        <f>+'INSC-POSG plan'!K11+'INSC-POSG plan'!K12</f>
        <v>2</v>
      </c>
      <c r="J8" s="1291">
        <f t="shared" si="1"/>
        <v>9</v>
      </c>
      <c r="K8" s="1289">
        <f>+'INSC-POSG plan'!M11+'INSC-POSG plan'!M12</f>
        <v>3</v>
      </c>
      <c r="L8" s="1290">
        <f>+'INSC-POSG plan'!N11+'INSC-POSG plan'!N12</f>
        <v>0</v>
      </c>
      <c r="M8" s="1290">
        <f>+'INSC-POSG plan'!O11+'INSC-POSG plan'!O12</f>
        <v>4</v>
      </c>
      <c r="N8" s="1291">
        <f t="shared" si="2"/>
        <v>7</v>
      </c>
      <c r="O8" s="1289">
        <f>+'INSC-POSG plan'!Q11+'INSC-POSG plan'!Q12</f>
        <v>3</v>
      </c>
      <c r="P8" s="1290">
        <f>+'INSC-POSG plan'!R11+'INSC-POSG plan'!R12</f>
        <v>2</v>
      </c>
      <c r="Q8" s="1290">
        <f>+'INSC-POSG plan'!S11+'INSC-POSG plan'!S12</f>
        <v>1</v>
      </c>
      <c r="R8" s="1291">
        <f t="shared" si="3"/>
        <v>6</v>
      </c>
      <c r="S8" s="1289">
        <v>2</v>
      </c>
      <c r="T8" s="1290">
        <v>1</v>
      </c>
      <c r="U8" s="1290">
        <v>8</v>
      </c>
      <c r="V8" s="1291">
        <v>11</v>
      </c>
      <c r="W8" s="1289">
        <v>1</v>
      </c>
      <c r="X8" s="1290">
        <v>2</v>
      </c>
      <c r="Y8" s="1290">
        <v>2</v>
      </c>
      <c r="Z8" s="1292">
        <v>5</v>
      </c>
      <c r="AA8" s="1289">
        <v>1</v>
      </c>
      <c r="AB8" s="1290"/>
      <c r="AC8" s="1290">
        <v>5</v>
      </c>
      <c r="AD8" s="1291">
        <v>6</v>
      </c>
      <c r="AE8" s="1290"/>
      <c r="AF8" s="1290">
        <v>1</v>
      </c>
      <c r="AG8" s="1290">
        <v>4</v>
      </c>
      <c r="AH8" s="1291">
        <v>5</v>
      </c>
      <c r="AI8" s="1290">
        <v>5</v>
      </c>
      <c r="AJ8" s="1290">
        <v>4</v>
      </c>
      <c r="AK8" s="1290">
        <v>2</v>
      </c>
      <c r="AL8" s="1672">
        <v>11</v>
      </c>
      <c r="AM8" s="1041">
        <v>1</v>
      </c>
      <c r="AN8" s="1042">
        <v>2</v>
      </c>
      <c r="AO8" s="1042">
        <v>2</v>
      </c>
      <c r="AP8" s="1045">
        <v>5</v>
      </c>
      <c r="AQ8" s="1041">
        <v>2</v>
      </c>
      <c r="AR8" s="1042">
        <v>1</v>
      </c>
      <c r="AS8" s="1042">
        <v>2</v>
      </c>
      <c r="AT8" s="1045">
        <f t="shared" si="4"/>
        <v>5</v>
      </c>
      <c r="AU8" s="1041">
        <v>2</v>
      </c>
      <c r="AV8" s="1042">
        <v>1</v>
      </c>
      <c r="AW8" s="1042"/>
      <c r="AX8" s="1045">
        <f t="shared" si="5"/>
        <v>3</v>
      </c>
      <c r="AY8" s="1041">
        <v>2</v>
      </c>
      <c r="AZ8" s="1042">
        <v>4</v>
      </c>
      <c r="BA8" s="1042">
        <v>1</v>
      </c>
      <c r="BB8" s="1045">
        <f t="shared" si="6"/>
        <v>7</v>
      </c>
      <c r="BC8" s="1041">
        <f>SUM('INSC-POSG plan'!BE11,'INSC-POSG plan'!BE12)</f>
        <v>1</v>
      </c>
      <c r="BD8" s="1042"/>
      <c r="BE8" s="1042">
        <f>SUM('INSC-POSG plan'!BG11,'INSC-POSG plan'!BG12)</f>
        <v>4</v>
      </c>
      <c r="BF8" s="1045">
        <f t="shared" si="7"/>
        <v>5</v>
      </c>
      <c r="BG8" s="1041">
        <f>SUM('INSC-POSG plan'!BI11,'INSC-POSG plan'!BI12)</f>
        <v>1</v>
      </c>
      <c r="BH8" s="1042">
        <f>SUM('INSC-POSG plan'!BJ11:BJ14)</f>
        <v>2</v>
      </c>
      <c r="BI8" s="1042">
        <f>SUM('INSC-POSG plan'!BK11:BK14)</f>
        <v>8</v>
      </c>
      <c r="BJ8" s="1045">
        <f t="shared" si="8"/>
        <v>11</v>
      </c>
      <c r="BK8" s="1041">
        <f>SUM('INSC-POSG plan'!BM11:BM14)</f>
        <v>1</v>
      </c>
      <c r="BL8" s="1042">
        <f>SUM('INSC-POSG plan'!BN11:BN14)</f>
        <v>3</v>
      </c>
      <c r="BM8" s="1042">
        <f>SUM('INSC-POSG plan'!BO11:BO14)</f>
        <v>7</v>
      </c>
      <c r="BN8" s="1045">
        <f t="shared" si="9"/>
        <v>11</v>
      </c>
      <c r="BO8" s="1041">
        <f>SUM('INSC-POSG plan'!BQ11:BQ14)</f>
        <v>7</v>
      </c>
      <c r="BP8" s="1042">
        <f>SUM('INSC-POSG plan'!BR11:BR14)</f>
        <v>0</v>
      </c>
      <c r="BQ8" s="1042">
        <f>SUM('INSC-POSG plan'!BS11:BS14)</f>
        <v>7</v>
      </c>
      <c r="BR8" s="1045">
        <f t="shared" si="10"/>
        <v>14</v>
      </c>
      <c r="BS8" s="1041">
        <f>SUM('INSC-POSG plan'!BU11:BU14)</f>
        <v>5</v>
      </c>
      <c r="BT8" s="1042">
        <f>SUM('INSC-POSG plan'!BV11:BV14)</f>
        <v>5</v>
      </c>
      <c r="BU8" s="1042">
        <f>SUM('INSC-POSG plan'!BW11:BW14)</f>
        <v>6</v>
      </c>
      <c r="BV8" s="1045">
        <f t="shared" si="11"/>
        <v>16</v>
      </c>
      <c r="BW8" s="1041">
        <f>SUM('INSC-POSG plan'!BY11:BY14)</f>
        <v>3</v>
      </c>
      <c r="BX8" s="1042">
        <f>SUM('INSC-POSG plan'!BZ11:BZ14)</f>
        <v>3</v>
      </c>
      <c r="BY8" s="1042">
        <f>SUM('INSC-POSG plan'!CA11:CA14)</f>
        <v>6</v>
      </c>
      <c r="BZ8" s="1045">
        <f t="shared" si="12"/>
        <v>12</v>
      </c>
    </row>
    <row r="9" spans="1:78" s="222" customFormat="1" ht="15" x14ac:dyDescent="0.2">
      <c r="A9" s="6212"/>
      <c r="B9" s="574" t="s">
        <v>13</v>
      </c>
      <c r="C9" s="1149">
        <f>SUM(C6:C8)</f>
        <v>41</v>
      </c>
      <c r="D9" s="1150">
        <f>SUM(D6:D8)</f>
        <v>15</v>
      </c>
      <c r="E9" s="1150">
        <f>SUM(E6:E8)</f>
        <v>31</v>
      </c>
      <c r="F9" s="1151">
        <f t="shared" si="0"/>
        <v>87</v>
      </c>
      <c r="G9" s="1149">
        <f>SUM(G6:G8)</f>
        <v>61</v>
      </c>
      <c r="H9" s="1150">
        <f>SUM(H6:H8)</f>
        <v>13</v>
      </c>
      <c r="I9" s="1150">
        <f>SUM(I6:I8)</f>
        <v>53</v>
      </c>
      <c r="J9" s="1151">
        <f t="shared" si="1"/>
        <v>127</v>
      </c>
      <c r="K9" s="1149">
        <f>SUM(K6:K8)</f>
        <v>5</v>
      </c>
      <c r="L9" s="1150">
        <f>SUM(L6:L8)</f>
        <v>16</v>
      </c>
      <c r="M9" s="1150">
        <f>SUM(M6:M8)</f>
        <v>53</v>
      </c>
      <c r="N9" s="1151">
        <f t="shared" si="2"/>
        <v>74</v>
      </c>
      <c r="O9" s="1149">
        <f>SUM(O6:O8)</f>
        <v>11</v>
      </c>
      <c r="P9" s="1150">
        <f>SUM(P6:P8)</f>
        <v>6</v>
      </c>
      <c r="Q9" s="1150">
        <f>SUM(Q6:Q8)</f>
        <v>24</v>
      </c>
      <c r="R9" s="1151">
        <f t="shared" si="3"/>
        <v>41</v>
      </c>
      <c r="S9" s="1149">
        <v>17</v>
      </c>
      <c r="T9" s="1150">
        <v>5</v>
      </c>
      <c r="U9" s="1150">
        <v>25</v>
      </c>
      <c r="V9" s="1151">
        <v>47</v>
      </c>
      <c r="W9" s="1149">
        <v>8</v>
      </c>
      <c r="X9" s="1150">
        <v>7</v>
      </c>
      <c r="Y9" s="1150">
        <v>26</v>
      </c>
      <c r="Z9" s="1150">
        <v>41</v>
      </c>
      <c r="AA9" s="1149">
        <v>10</v>
      </c>
      <c r="AB9" s="1150"/>
      <c r="AC9" s="1150">
        <v>34</v>
      </c>
      <c r="AD9" s="1151">
        <v>44</v>
      </c>
      <c r="AE9" s="1150">
        <v>17</v>
      </c>
      <c r="AF9" s="1150">
        <v>1</v>
      </c>
      <c r="AG9" s="1150">
        <v>19</v>
      </c>
      <c r="AH9" s="1151">
        <v>37</v>
      </c>
      <c r="AI9" s="1150">
        <v>9</v>
      </c>
      <c r="AJ9" s="1150">
        <v>10</v>
      </c>
      <c r="AK9" s="1150">
        <v>12</v>
      </c>
      <c r="AL9" s="1151">
        <v>31</v>
      </c>
      <c r="AM9" s="575">
        <v>3</v>
      </c>
      <c r="AN9" s="576">
        <v>2</v>
      </c>
      <c r="AO9" s="576">
        <v>34</v>
      </c>
      <c r="AP9" s="577">
        <v>39</v>
      </c>
      <c r="AQ9" s="575">
        <f>SUM(AQ6:AQ8)</f>
        <v>14</v>
      </c>
      <c r="AR9" s="576">
        <f>SUM(AR6:AR8)</f>
        <v>1</v>
      </c>
      <c r="AS9" s="576">
        <f>SUM(AS6:AS8)</f>
        <v>34</v>
      </c>
      <c r="AT9" s="577">
        <f t="shared" si="4"/>
        <v>49</v>
      </c>
      <c r="AU9" s="575">
        <f>SUM(AU6:AU8)</f>
        <v>20</v>
      </c>
      <c r="AV9" s="576">
        <f>SUM(AV6:AV8)</f>
        <v>1</v>
      </c>
      <c r="AW9" s="576">
        <f>SUM(AW6:AW8)</f>
        <v>25</v>
      </c>
      <c r="AX9" s="577">
        <f t="shared" si="5"/>
        <v>46</v>
      </c>
      <c r="AY9" s="575">
        <f>SUM(AY6:AY8)</f>
        <v>8</v>
      </c>
      <c r="AZ9" s="576">
        <f>SUM(AZ6:AZ8)</f>
        <v>4</v>
      </c>
      <c r="BA9" s="576">
        <f>SUM(BA6:BA8)</f>
        <v>27</v>
      </c>
      <c r="BB9" s="577">
        <f t="shared" si="6"/>
        <v>39</v>
      </c>
      <c r="BC9" s="575">
        <f>SUM(BC6:BC8)</f>
        <v>9</v>
      </c>
      <c r="BD9" s="576">
        <f>SUM(BD6:BD8)</f>
        <v>8</v>
      </c>
      <c r="BE9" s="576">
        <f>SUM(BE6:BE8)</f>
        <v>33</v>
      </c>
      <c r="BF9" s="577">
        <f t="shared" si="7"/>
        <v>50</v>
      </c>
      <c r="BG9" s="575">
        <f>SUM(BG6:BG8)</f>
        <v>18</v>
      </c>
      <c r="BH9" s="576">
        <f>SUM(BH6:BH8)</f>
        <v>2</v>
      </c>
      <c r="BI9" s="576">
        <f>SUM(BI6:BI8)</f>
        <v>54</v>
      </c>
      <c r="BJ9" s="577">
        <f t="shared" si="8"/>
        <v>74</v>
      </c>
      <c r="BK9" s="575">
        <f>SUM(BK6:BK8)</f>
        <v>24</v>
      </c>
      <c r="BL9" s="576">
        <f>SUM(BL6:BL8)</f>
        <v>3</v>
      </c>
      <c r="BM9" s="576">
        <f>SUM(BM6:BM8)</f>
        <v>62</v>
      </c>
      <c r="BN9" s="577">
        <f t="shared" si="9"/>
        <v>89</v>
      </c>
      <c r="BO9" s="575">
        <f>SUM(BO6:BO8)</f>
        <v>26</v>
      </c>
      <c r="BP9" s="576">
        <f>SUM(BP6:BP8)</f>
        <v>0</v>
      </c>
      <c r="BQ9" s="576">
        <f>SUM(BQ6:BQ8)</f>
        <v>56</v>
      </c>
      <c r="BR9" s="577">
        <f t="shared" si="10"/>
        <v>82</v>
      </c>
      <c r="BS9" s="575">
        <f>SUM(BS6:BS8)</f>
        <v>28</v>
      </c>
      <c r="BT9" s="576">
        <f>SUM(BT6:BT8)</f>
        <v>5</v>
      </c>
      <c r="BU9" s="576">
        <f>SUM(BU6:BU8)</f>
        <v>61</v>
      </c>
      <c r="BV9" s="577">
        <f t="shared" si="11"/>
        <v>94</v>
      </c>
      <c r="BW9" s="575">
        <f>SUM(BW6:BW8)</f>
        <v>19</v>
      </c>
      <c r="BX9" s="576">
        <f>SUM(BX6:BX8)</f>
        <v>3</v>
      </c>
      <c r="BY9" s="576">
        <f>SUM(BY6:BY8)</f>
        <v>62</v>
      </c>
      <c r="BZ9" s="577">
        <f t="shared" si="12"/>
        <v>84</v>
      </c>
    </row>
    <row r="10" spans="1:78" ht="15" x14ac:dyDescent="0.2">
      <c r="A10" s="6211" t="s">
        <v>6</v>
      </c>
      <c r="B10" s="1029" t="s">
        <v>615</v>
      </c>
      <c r="C10" s="1274">
        <f>+'INSC-POSG plan'!E16+'INSC-POSG plan'!E17+'INSC-POSG plan'!E18</f>
        <v>0</v>
      </c>
      <c r="D10" s="1275">
        <f>+'INSC-POSG plan'!F16+'INSC-POSG plan'!F17+'INSC-POSG plan'!F18</f>
        <v>0</v>
      </c>
      <c r="E10" s="1275">
        <f>+'INSC-POSG plan'!G16+'INSC-POSG plan'!G17+'INSC-POSG plan'!G18</f>
        <v>25</v>
      </c>
      <c r="F10" s="1276">
        <f t="shared" si="0"/>
        <v>25</v>
      </c>
      <c r="G10" s="1274">
        <f>+'INSC-POSG plan'!I16+'INSC-POSG plan'!I17+'INSC-POSG plan'!I18</f>
        <v>0</v>
      </c>
      <c r="H10" s="1275">
        <f>+'INSC-POSG plan'!J16+'INSC-POSG plan'!J17+'INSC-POSG plan'!J18</f>
        <v>0</v>
      </c>
      <c r="I10" s="1275">
        <f>+'INSC-POSG plan'!K16+'INSC-POSG plan'!K17+'INSC-POSG plan'!K18</f>
        <v>15</v>
      </c>
      <c r="J10" s="1276">
        <f t="shared" si="1"/>
        <v>15</v>
      </c>
      <c r="K10" s="1274">
        <f>+'INSC-POSG plan'!M16+'INSC-POSG plan'!M17+'INSC-POSG plan'!M18</f>
        <v>0</v>
      </c>
      <c r="L10" s="1275">
        <f>+'INSC-POSG plan'!N16+'INSC-POSG plan'!N17+'INSC-POSG plan'!N18</f>
        <v>0</v>
      </c>
      <c r="M10" s="1275">
        <f>+'INSC-POSG plan'!O16+'INSC-POSG plan'!O17+'INSC-POSG plan'!O18</f>
        <v>20</v>
      </c>
      <c r="N10" s="1276">
        <f t="shared" si="2"/>
        <v>20</v>
      </c>
      <c r="O10" s="1274">
        <f>+'INSC-POSG plan'!Q16+'INSC-POSG plan'!Q17+'INSC-POSG plan'!Q18</f>
        <v>0</v>
      </c>
      <c r="P10" s="1275">
        <f>+'INSC-POSG plan'!R16+'INSC-POSG plan'!R17+'INSC-POSG plan'!R18</f>
        <v>0</v>
      </c>
      <c r="Q10" s="1275">
        <f>+'INSC-POSG plan'!S16+'INSC-POSG plan'!S17+'INSC-POSG plan'!S18</f>
        <v>23</v>
      </c>
      <c r="R10" s="1276">
        <f t="shared" si="3"/>
        <v>23</v>
      </c>
      <c r="S10" s="1274"/>
      <c r="T10" s="1275"/>
      <c r="U10" s="1275">
        <v>27</v>
      </c>
      <c r="V10" s="1276">
        <v>27</v>
      </c>
      <c r="W10" s="1274">
        <v>0</v>
      </c>
      <c r="X10" s="1275">
        <v>0</v>
      </c>
      <c r="Y10" s="1275">
        <v>36</v>
      </c>
      <c r="Z10" s="1277">
        <v>36</v>
      </c>
      <c r="AA10" s="1274"/>
      <c r="AB10" s="1275"/>
      <c r="AC10" s="1275">
        <v>32</v>
      </c>
      <c r="AD10" s="1276">
        <v>32</v>
      </c>
      <c r="AE10" s="1275"/>
      <c r="AF10" s="1275"/>
      <c r="AG10" s="1275">
        <v>33</v>
      </c>
      <c r="AH10" s="1276">
        <v>33</v>
      </c>
      <c r="AI10" s="1275"/>
      <c r="AJ10" s="1275"/>
      <c r="AK10" s="1275">
        <v>39</v>
      </c>
      <c r="AL10" s="1670">
        <v>39</v>
      </c>
      <c r="AM10" s="1030"/>
      <c r="AN10" s="1031"/>
      <c r="AO10" s="1031">
        <v>28</v>
      </c>
      <c r="AP10" s="1048">
        <v>28</v>
      </c>
      <c r="AQ10" s="1030"/>
      <c r="AR10" s="1031"/>
      <c r="AS10" s="1031">
        <v>18</v>
      </c>
      <c r="AT10" s="1048">
        <f t="shared" si="4"/>
        <v>18</v>
      </c>
      <c r="AU10" s="1030"/>
      <c r="AV10" s="1031"/>
      <c r="AW10" s="1031">
        <v>26</v>
      </c>
      <c r="AX10" s="1048">
        <f t="shared" si="5"/>
        <v>26</v>
      </c>
      <c r="AY10" s="1030"/>
      <c r="AZ10" s="1031"/>
      <c r="BA10" s="1031">
        <v>26</v>
      </c>
      <c r="BB10" s="1048">
        <f t="shared" si="6"/>
        <v>26</v>
      </c>
      <c r="BC10" s="1030"/>
      <c r="BD10" s="1031">
        <f>SUM('INSC-POSG plan'!BF16,'INSC-POSG plan'!BF17,'INSC-POSG plan'!BF18)</f>
        <v>1</v>
      </c>
      <c r="BE10" s="1031">
        <f>SUM('INSC-POSG plan'!BG16,'INSC-POSG plan'!BG17,'INSC-POSG plan'!BG18)</f>
        <v>16</v>
      </c>
      <c r="BF10" s="1048">
        <f t="shared" si="7"/>
        <v>17</v>
      </c>
      <c r="BG10" s="1030"/>
      <c r="BH10" s="1031"/>
      <c r="BI10" s="1031">
        <f>SUM('INSC-POSG plan'!BK16,'INSC-POSG plan'!BK17,'INSC-POSG plan'!BK18)</f>
        <v>29</v>
      </c>
      <c r="BJ10" s="1048">
        <f t="shared" si="8"/>
        <v>29</v>
      </c>
      <c r="BK10" s="1030">
        <f>SUM('INSC-POSG plan'!BM16:BM18)</f>
        <v>0</v>
      </c>
      <c r="BL10" s="1031">
        <f>SUM('INSC-POSG plan'!BN16:BN18)</f>
        <v>0</v>
      </c>
      <c r="BM10" s="1031">
        <f>SUM('INSC-POSG plan'!BO16:BO18)</f>
        <v>18</v>
      </c>
      <c r="BN10" s="1048">
        <f t="shared" si="9"/>
        <v>18</v>
      </c>
      <c r="BO10" s="1030">
        <f>SUM('INSC-POSG plan'!BQ16:BQ18)</f>
        <v>0</v>
      </c>
      <c r="BP10" s="1031">
        <f>SUM('INSC-POSG plan'!BR16:BR18)</f>
        <v>0</v>
      </c>
      <c r="BQ10" s="1031">
        <f>SUM('INSC-POSG plan'!BS16:BS18)</f>
        <v>30</v>
      </c>
      <c r="BR10" s="1048">
        <f t="shared" si="10"/>
        <v>30</v>
      </c>
      <c r="BS10" s="1030">
        <f>SUM('INSC-POSG plan'!BU16:BU18)</f>
        <v>0</v>
      </c>
      <c r="BT10" s="1031">
        <f>SUM('INSC-POSG plan'!BV16:BV18)</f>
        <v>0</v>
      </c>
      <c r="BU10" s="1031">
        <f>SUM('INSC-POSG plan'!BW16:BW18)</f>
        <v>20</v>
      </c>
      <c r="BV10" s="1048">
        <f t="shared" si="11"/>
        <v>20</v>
      </c>
      <c r="BW10" s="1031">
        <f>SUM('INSC-POSG plan'!BY16:BY18)</f>
        <v>0</v>
      </c>
      <c r="BX10" s="1031">
        <f>SUM('INSC-POSG plan'!BZ16:BZ18)</f>
        <v>0</v>
      </c>
      <c r="BY10" s="1031">
        <f>SUM('INSC-POSG plan'!CA16:CA18)</f>
        <v>20</v>
      </c>
      <c r="BZ10" s="1048">
        <f t="shared" si="12"/>
        <v>20</v>
      </c>
    </row>
    <row r="11" spans="1:78" ht="15" x14ac:dyDescent="0.2">
      <c r="A11" s="6211"/>
      <c r="B11" s="1034" t="s">
        <v>616</v>
      </c>
      <c r="C11" s="1278">
        <f>+'INSC-POSG plan'!E19+'INSC-POSG plan'!E20+'INSC-POSG plan'!E21+'INSC-POSG plan'!E22+'INSC-POSG plan'!E23+'INSC-POSG plan'!E24+'INSC-POSG plan'!E25</f>
        <v>0</v>
      </c>
      <c r="D11" s="1279">
        <f>+'INSC-POSG plan'!F19+'INSC-POSG plan'!F20+'INSC-POSG plan'!F21+'INSC-POSG plan'!F22+'INSC-POSG plan'!F23+'INSC-POSG plan'!F24+'INSC-POSG plan'!F25</f>
        <v>0</v>
      </c>
      <c r="E11" s="1279">
        <f>+'INSC-POSG plan'!G19+'INSC-POSG plan'!G20+'INSC-POSG plan'!G21+'INSC-POSG plan'!G22+'INSC-POSG plan'!G23+'INSC-POSG plan'!G24+'INSC-POSG plan'!G25</f>
        <v>23</v>
      </c>
      <c r="F11" s="1280">
        <f t="shared" si="0"/>
        <v>23</v>
      </c>
      <c r="G11" s="1278">
        <f>+'INSC-POSG plan'!I19+'INSC-POSG plan'!I20+'INSC-POSG plan'!I21+'INSC-POSG plan'!I22+'INSC-POSG plan'!I23+'INSC-POSG plan'!I24+'INSC-POSG plan'!I25</f>
        <v>20</v>
      </c>
      <c r="H11" s="1279">
        <f>+'INSC-POSG plan'!J19+'INSC-POSG plan'!J20+'INSC-POSG plan'!J21+'INSC-POSG plan'!J22+'INSC-POSG plan'!J23+'INSC-POSG plan'!J24+'INSC-POSG plan'!J25</f>
        <v>0</v>
      </c>
      <c r="I11" s="1279">
        <f>+'INSC-POSG plan'!K19+'INSC-POSG plan'!K20+'INSC-POSG plan'!K21+'INSC-POSG plan'!K22+'INSC-POSG plan'!K23+'INSC-POSG plan'!K24+'INSC-POSG plan'!K25</f>
        <v>26</v>
      </c>
      <c r="J11" s="1280">
        <f t="shared" si="1"/>
        <v>46</v>
      </c>
      <c r="K11" s="1278">
        <f>+'INSC-POSG plan'!M19+'INSC-POSG plan'!M20+'INSC-POSG plan'!M21+'INSC-POSG plan'!M22+'INSC-POSG plan'!M23+'INSC-POSG plan'!M24+'INSC-POSG plan'!M25</f>
        <v>0</v>
      </c>
      <c r="L11" s="1279">
        <f>+'INSC-POSG plan'!N19+'INSC-POSG plan'!N20+'INSC-POSG plan'!N21+'INSC-POSG plan'!N22+'INSC-POSG plan'!N23+'INSC-POSG plan'!N24+'INSC-POSG plan'!N25</f>
        <v>0</v>
      </c>
      <c r="M11" s="1279">
        <f>+'INSC-POSG plan'!O19+'INSC-POSG plan'!O20+'INSC-POSG plan'!O21+'INSC-POSG plan'!O22+'INSC-POSG plan'!O23+'INSC-POSG plan'!O24+'INSC-POSG plan'!O25</f>
        <v>22</v>
      </c>
      <c r="N11" s="1280">
        <f t="shared" si="2"/>
        <v>22</v>
      </c>
      <c r="O11" s="1278">
        <f>+'INSC-POSG plan'!Q19+'INSC-POSG plan'!Q20+'INSC-POSG plan'!Q21+'INSC-POSG plan'!Q22+'INSC-POSG plan'!Q23+'INSC-POSG plan'!Q24+'INSC-POSG plan'!Q25</f>
        <v>16</v>
      </c>
      <c r="P11" s="1279">
        <f>+'INSC-POSG plan'!R19+'INSC-POSG plan'!R20+'INSC-POSG plan'!R21+'INSC-POSG plan'!R22+'INSC-POSG plan'!R23+'INSC-POSG plan'!R24+'INSC-POSG plan'!R25</f>
        <v>0</v>
      </c>
      <c r="Q11" s="1279">
        <f>+'INSC-POSG plan'!S19+'INSC-POSG plan'!S20+'INSC-POSG plan'!S21+'INSC-POSG plan'!S22+'INSC-POSG plan'!S23+'INSC-POSG plan'!S24+'INSC-POSG plan'!S25</f>
        <v>14</v>
      </c>
      <c r="R11" s="1280">
        <f t="shared" si="3"/>
        <v>30</v>
      </c>
      <c r="S11" s="1278"/>
      <c r="T11" s="1279"/>
      <c r="U11" s="1279"/>
      <c r="V11" s="1280"/>
      <c r="W11" s="1278">
        <v>20</v>
      </c>
      <c r="X11" s="1279">
        <v>0</v>
      </c>
      <c r="Y11" s="1279">
        <v>26</v>
      </c>
      <c r="Z11" s="1281">
        <v>46</v>
      </c>
      <c r="AA11" s="1278">
        <v>8</v>
      </c>
      <c r="AB11" s="1279"/>
      <c r="AC11" s="1279">
        <v>20</v>
      </c>
      <c r="AD11" s="1280">
        <v>28</v>
      </c>
      <c r="AE11" s="1279">
        <v>17</v>
      </c>
      <c r="AF11" s="1279"/>
      <c r="AG11" s="1279"/>
      <c r="AH11" s="1280">
        <v>17</v>
      </c>
      <c r="AI11" s="1279">
        <v>15</v>
      </c>
      <c r="AJ11" s="1279"/>
      <c r="AK11" s="1279">
        <v>32</v>
      </c>
      <c r="AL11" s="1671">
        <v>47</v>
      </c>
      <c r="AM11" s="1035">
        <v>27</v>
      </c>
      <c r="AN11" s="1036"/>
      <c r="AO11" s="1036"/>
      <c r="AP11" s="1039">
        <v>27</v>
      </c>
      <c r="AQ11" s="1035"/>
      <c r="AR11" s="1036"/>
      <c r="AS11" s="1036">
        <v>65</v>
      </c>
      <c r="AT11" s="1039">
        <f t="shared" si="4"/>
        <v>65</v>
      </c>
      <c r="AU11" s="1035"/>
      <c r="AV11" s="1036"/>
      <c r="AW11" s="1036">
        <v>8</v>
      </c>
      <c r="AX11" s="1039">
        <f t="shared" si="5"/>
        <v>8</v>
      </c>
      <c r="AY11" s="1035"/>
      <c r="AZ11" s="1036"/>
      <c r="BA11" s="1036">
        <v>48</v>
      </c>
      <c r="BB11" s="1039">
        <f t="shared" si="6"/>
        <v>48</v>
      </c>
      <c r="BC11" s="1035">
        <f>SUM('INSC-POSG plan'!BE19,'INSC-POSG plan'!BE20,'INSC-POSG plan'!BE21,'INSC-POSG plan'!BE22,'INSC-POSG plan'!BE23,'INSC-POSG plan'!BE24,'INSC-POSG plan'!BE25)</f>
        <v>15</v>
      </c>
      <c r="BD11" s="1036"/>
      <c r="BE11" s="1036">
        <f>SUM('INSC-POSG plan'!BG19,'INSC-POSG plan'!BG20,'INSC-POSG plan'!BG21,'INSC-POSG plan'!BG22,'INSC-POSG plan'!BG23,'INSC-POSG plan'!BG24,'INSC-POSG plan'!BG25)</f>
        <v>20</v>
      </c>
      <c r="BF11" s="1039">
        <f t="shared" si="7"/>
        <v>35</v>
      </c>
      <c r="BG11" s="1035"/>
      <c r="BH11" s="1036"/>
      <c r="BI11" s="1036">
        <f>SUM('INSC-POSG plan'!BK19,'INSC-POSG plan'!BK20,'INSC-POSG plan'!BK21,'INSC-POSG plan'!BK22,'INSC-POSG plan'!BK23,'INSC-POSG plan'!BK24,'INSC-POSG plan'!BK25)</f>
        <v>55</v>
      </c>
      <c r="BJ11" s="1039">
        <f t="shared" si="8"/>
        <v>55</v>
      </c>
      <c r="BK11" s="1035">
        <f>SUM('INSC-POSG plan'!BM19:BM25)</f>
        <v>24</v>
      </c>
      <c r="BL11" s="1036">
        <f>SUM('INSC-POSG plan'!BN19:BN25)</f>
        <v>0</v>
      </c>
      <c r="BM11" s="1036">
        <f>SUM('INSC-POSG plan'!BO19:BO25)</f>
        <v>27</v>
      </c>
      <c r="BN11" s="1039">
        <f t="shared" si="9"/>
        <v>51</v>
      </c>
      <c r="BO11" s="1035">
        <f>SUM('INSC-POSG plan'!BQ19:BQ25)</f>
        <v>0</v>
      </c>
      <c r="BP11" s="1036">
        <f>SUM('INSC-POSG plan'!BR19:BR25)</f>
        <v>0</v>
      </c>
      <c r="BQ11" s="1036">
        <f>SUM('INSC-POSG plan'!BS19:BS25)</f>
        <v>34</v>
      </c>
      <c r="BR11" s="1039">
        <f t="shared" si="10"/>
        <v>34</v>
      </c>
      <c r="BS11" s="1035">
        <f>SUM('INSC-POSG plan'!BU19:BU25)</f>
        <v>0</v>
      </c>
      <c r="BT11" s="1036">
        <f>SUM('INSC-POSG plan'!BV19:BV25)</f>
        <v>0</v>
      </c>
      <c r="BU11" s="1036">
        <f>SUM('INSC-POSG plan'!BW19:BW25)</f>
        <v>27</v>
      </c>
      <c r="BV11" s="1039">
        <f t="shared" si="11"/>
        <v>27</v>
      </c>
      <c r="BW11" s="1036">
        <f>SUM('INSC-POSG plan'!BY19:BY27)</f>
        <v>65</v>
      </c>
      <c r="BX11" s="1036">
        <f>SUM('INSC-POSG plan'!BZ19:BZ27)</f>
        <v>0</v>
      </c>
      <c r="BY11" s="1036">
        <f>SUM('INSC-POSG plan'!CA19:CA27)</f>
        <v>51</v>
      </c>
      <c r="BZ11" s="1039">
        <f t="shared" si="12"/>
        <v>116</v>
      </c>
    </row>
    <row r="12" spans="1:78" ht="15" x14ac:dyDescent="0.2">
      <c r="A12" s="6211"/>
      <c r="B12" s="1040" t="s">
        <v>617</v>
      </c>
      <c r="C12" s="1289">
        <f>+'INSC-POSG plan'!E28+'INSC-POSG plan'!E29+'INSC-POSG plan'!E30</f>
        <v>0</v>
      </c>
      <c r="D12" s="1290">
        <f>+'INSC-POSG plan'!F28+'INSC-POSG plan'!F29+'INSC-POSG plan'!F30</f>
        <v>0</v>
      </c>
      <c r="E12" s="1290">
        <f>+'INSC-POSG plan'!G28+'INSC-POSG plan'!G29+'INSC-POSG plan'!G30</f>
        <v>0</v>
      </c>
      <c r="F12" s="1291">
        <f t="shared" si="0"/>
        <v>0</v>
      </c>
      <c r="G12" s="1289">
        <f>+'INSC-POSG plan'!I28+'INSC-POSG plan'!I29+'INSC-POSG plan'!I30</f>
        <v>2</v>
      </c>
      <c r="H12" s="1290">
        <f>+'INSC-POSG plan'!J28+'INSC-POSG plan'!J29+'INSC-POSG plan'!J30</f>
        <v>0</v>
      </c>
      <c r="I12" s="1290">
        <f>+'INSC-POSG plan'!K28+'INSC-POSG plan'!K29+'INSC-POSG plan'!K30</f>
        <v>0</v>
      </c>
      <c r="J12" s="1291">
        <f t="shared" si="1"/>
        <v>2</v>
      </c>
      <c r="K12" s="1289">
        <f>+'INSC-POSG plan'!M28+'INSC-POSG plan'!M29+'INSC-POSG plan'!M30</f>
        <v>0</v>
      </c>
      <c r="L12" s="1290">
        <f>+'INSC-POSG plan'!N28+'INSC-POSG plan'!N29+'INSC-POSG plan'!N30</f>
        <v>0</v>
      </c>
      <c r="M12" s="1290">
        <f>+'INSC-POSG plan'!O28+'INSC-POSG plan'!O29+'INSC-POSG plan'!O30</f>
        <v>0</v>
      </c>
      <c r="N12" s="1291">
        <f t="shared" si="2"/>
        <v>0</v>
      </c>
      <c r="O12" s="1289">
        <f>+'INSC-POSG plan'!Q28+'INSC-POSG plan'!Q29+'INSC-POSG plan'!Q30</f>
        <v>0</v>
      </c>
      <c r="P12" s="1290">
        <f>+'INSC-POSG plan'!R28+'INSC-POSG plan'!R29+'INSC-POSG plan'!R30</f>
        <v>0</v>
      </c>
      <c r="Q12" s="1290">
        <f>+'INSC-POSG plan'!S28+'INSC-POSG plan'!S29+'INSC-POSG plan'!S30</f>
        <v>0</v>
      </c>
      <c r="R12" s="1291">
        <f t="shared" si="3"/>
        <v>0</v>
      </c>
      <c r="S12" s="1289">
        <v>1</v>
      </c>
      <c r="T12" s="1290"/>
      <c r="U12" s="1290"/>
      <c r="V12" s="1291">
        <v>1</v>
      </c>
      <c r="W12" s="1289">
        <v>3</v>
      </c>
      <c r="X12" s="1290">
        <v>0</v>
      </c>
      <c r="Y12" s="1290">
        <v>0</v>
      </c>
      <c r="Z12" s="1292">
        <v>3</v>
      </c>
      <c r="AA12" s="1289"/>
      <c r="AB12" s="1290"/>
      <c r="AC12" s="1290">
        <v>12</v>
      </c>
      <c r="AD12" s="1291">
        <v>12</v>
      </c>
      <c r="AE12" s="1290">
        <v>1</v>
      </c>
      <c r="AF12" s="1290"/>
      <c r="AG12" s="1290"/>
      <c r="AH12" s="1291">
        <v>1</v>
      </c>
      <c r="AI12" s="1290"/>
      <c r="AJ12" s="1290"/>
      <c r="AK12" s="1290">
        <v>29</v>
      </c>
      <c r="AL12" s="1672">
        <v>29</v>
      </c>
      <c r="AM12" s="1041"/>
      <c r="AN12" s="1042"/>
      <c r="AO12" s="1042"/>
      <c r="AP12" s="1045"/>
      <c r="AQ12" s="1041"/>
      <c r="AR12" s="1042"/>
      <c r="AS12" s="1042">
        <v>6</v>
      </c>
      <c r="AT12" s="1045">
        <f t="shared" si="4"/>
        <v>6</v>
      </c>
      <c r="AU12" s="1041"/>
      <c r="AV12" s="1042">
        <v>16</v>
      </c>
      <c r="AW12" s="1042"/>
      <c r="AX12" s="1045">
        <f t="shared" si="5"/>
        <v>16</v>
      </c>
      <c r="AY12" s="1041"/>
      <c r="AZ12" s="1042"/>
      <c r="BA12" s="1042">
        <v>11</v>
      </c>
      <c r="BB12" s="1045">
        <f t="shared" si="6"/>
        <v>11</v>
      </c>
      <c r="BC12" s="1041"/>
      <c r="BD12" s="1042"/>
      <c r="BE12" s="1042">
        <f>SUM('INSC-POSG plan'!BG28,'INSC-POSG plan'!BG29,'INSC-POSG plan'!BG30)</f>
        <v>11</v>
      </c>
      <c r="BF12" s="1045">
        <f t="shared" si="7"/>
        <v>11</v>
      </c>
      <c r="BG12" s="1041"/>
      <c r="BH12" s="1042"/>
      <c r="BI12" s="1042">
        <f>SUM('INSC-POSG plan'!BK28,'INSC-POSG plan'!BK29,'INSC-POSG plan'!BK30)</f>
        <v>9</v>
      </c>
      <c r="BJ12" s="1045">
        <f t="shared" si="8"/>
        <v>9</v>
      </c>
      <c r="BK12" s="1041">
        <f>SUM('INSC-POSG plan'!BM28:BM30)</f>
        <v>0</v>
      </c>
      <c r="BL12" s="1042">
        <f>SUM('INSC-POSG plan'!BN28:BN30)</f>
        <v>0</v>
      </c>
      <c r="BM12" s="1042">
        <f>SUM('INSC-POSG plan'!BO28:BO30)</f>
        <v>11</v>
      </c>
      <c r="BN12" s="1045">
        <f t="shared" si="9"/>
        <v>11</v>
      </c>
      <c r="BO12" s="1041">
        <f>SUM('INSC-POSG plan'!BQ28:BQ30)</f>
        <v>0</v>
      </c>
      <c r="BP12" s="1042">
        <f>SUM('INSC-POSG plan'!BR28:BR30)</f>
        <v>0</v>
      </c>
      <c r="BQ12" s="1042">
        <f>SUM('INSC-POSG plan'!BS28:BS30)</f>
        <v>5</v>
      </c>
      <c r="BR12" s="1045">
        <f t="shared" si="10"/>
        <v>5</v>
      </c>
      <c r="BS12" s="1041">
        <f>SUM('INSC-POSG plan'!BU28:BU30)</f>
        <v>0</v>
      </c>
      <c r="BT12" s="1042">
        <f>SUM('INSC-POSG plan'!BV28:BV30)</f>
        <v>0</v>
      </c>
      <c r="BU12" s="1042">
        <f>SUM('INSC-POSG plan'!BW28:BW30)</f>
        <v>28</v>
      </c>
      <c r="BV12" s="1045">
        <f t="shared" si="11"/>
        <v>28</v>
      </c>
      <c r="BW12" s="1042">
        <f>SUM('INSC-POSG plan'!BY28:BY31)</f>
        <v>3</v>
      </c>
      <c r="BX12" s="1042">
        <f>SUM('INSC-POSG plan'!BZ28:BZ31)</f>
        <v>0</v>
      </c>
      <c r="BY12" s="1042">
        <f>SUM('INSC-POSG plan'!CA28:CA31)</f>
        <v>4</v>
      </c>
      <c r="BZ12" s="1045">
        <f t="shared" si="12"/>
        <v>7</v>
      </c>
    </row>
    <row r="13" spans="1:78" s="222" customFormat="1" ht="15" x14ac:dyDescent="0.2">
      <c r="A13" s="6212"/>
      <c r="B13" s="574" t="s">
        <v>14</v>
      </c>
      <c r="C13" s="1149">
        <f>SUM(C10:C12)</f>
        <v>0</v>
      </c>
      <c r="D13" s="1150">
        <f>SUM(D10:D12)</f>
        <v>0</v>
      </c>
      <c r="E13" s="1150">
        <f>SUM(E10:E12)</f>
        <v>48</v>
      </c>
      <c r="F13" s="1151">
        <f t="shared" si="0"/>
        <v>48</v>
      </c>
      <c r="G13" s="1149">
        <f>SUM(G10:G12)</f>
        <v>22</v>
      </c>
      <c r="H13" s="1150">
        <f>SUM(H10:H12)</f>
        <v>0</v>
      </c>
      <c r="I13" s="1150">
        <f>SUM(I10:I12)</f>
        <v>41</v>
      </c>
      <c r="J13" s="1151">
        <f t="shared" si="1"/>
        <v>63</v>
      </c>
      <c r="K13" s="1149">
        <f>SUM(K10:K12)</f>
        <v>0</v>
      </c>
      <c r="L13" s="1150">
        <f>SUM(L10:L12)</f>
        <v>0</v>
      </c>
      <c r="M13" s="1150">
        <f>SUM(M10:M12)</f>
        <v>42</v>
      </c>
      <c r="N13" s="1151">
        <f t="shared" si="2"/>
        <v>42</v>
      </c>
      <c r="O13" s="1149">
        <f>SUM(O10:O12)</f>
        <v>16</v>
      </c>
      <c r="P13" s="1150">
        <f>SUM(P10:P12)</f>
        <v>0</v>
      </c>
      <c r="Q13" s="1150">
        <f>SUM(Q10:Q12)</f>
        <v>37</v>
      </c>
      <c r="R13" s="1151">
        <f t="shared" si="3"/>
        <v>53</v>
      </c>
      <c r="S13" s="1149">
        <v>1</v>
      </c>
      <c r="T13" s="1150"/>
      <c r="U13" s="1150">
        <v>27</v>
      </c>
      <c r="V13" s="1151">
        <v>28</v>
      </c>
      <c r="W13" s="1149">
        <v>23</v>
      </c>
      <c r="X13" s="1150">
        <v>0</v>
      </c>
      <c r="Y13" s="1150">
        <v>62</v>
      </c>
      <c r="Z13" s="1150">
        <v>85</v>
      </c>
      <c r="AA13" s="1149">
        <v>8</v>
      </c>
      <c r="AB13" s="1150"/>
      <c r="AC13" s="1150">
        <v>64</v>
      </c>
      <c r="AD13" s="1151">
        <v>72</v>
      </c>
      <c r="AE13" s="1150">
        <v>18</v>
      </c>
      <c r="AF13" s="1150"/>
      <c r="AG13" s="1150">
        <v>33</v>
      </c>
      <c r="AH13" s="1151">
        <v>51</v>
      </c>
      <c r="AI13" s="1150">
        <v>15</v>
      </c>
      <c r="AJ13" s="1150"/>
      <c r="AK13" s="1150">
        <v>100</v>
      </c>
      <c r="AL13" s="1151">
        <v>115</v>
      </c>
      <c r="AM13" s="575">
        <v>27</v>
      </c>
      <c r="AN13" s="576"/>
      <c r="AO13" s="576">
        <v>28</v>
      </c>
      <c r="AP13" s="577">
        <v>55</v>
      </c>
      <c r="AQ13" s="575"/>
      <c r="AR13" s="576"/>
      <c r="AS13" s="576">
        <f>SUM(AS10:AS12)</f>
        <v>89</v>
      </c>
      <c r="AT13" s="577">
        <f t="shared" si="4"/>
        <v>89</v>
      </c>
      <c r="AU13" s="575"/>
      <c r="AV13" s="576">
        <f>SUM(AV10:AV12)</f>
        <v>16</v>
      </c>
      <c r="AW13" s="576">
        <f>SUM(AW10:AW12)</f>
        <v>34</v>
      </c>
      <c r="AX13" s="577">
        <f t="shared" si="5"/>
        <v>50</v>
      </c>
      <c r="AY13" s="576"/>
      <c r="AZ13" s="576"/>
      <c r="BA13" s="576">
        <f>SUM(BA10:BA12)</f>
        <v>85</v>
      </c>
      <c r="BB13" s="577">
        <f t="shared" si="6"/>
        <v>85</v>
      </c>
      <c r="BC13" s="576">
        <f>SUM(BC10:BC12)</f>
        <v>15</v>
      </c>
      <c r="BD13" s="576">
        <f>SUM(BD10:BD12)</f>
        <v>1</v>
      </c>
      <c r="BE13" s="576">
        <f>SUM(BE10:BE12)</f>
        <v>47</v>
      </c>
      <c r="BF13" s="577">
        <f t="shared" si="7"/>
        <v>63</v>
      </c>
      <c r="BG13" s="576"/>
      <c r="BH13" s="576"/>
      <c r="BI13" s="576">
        <f>SUM(BI10:BI12)</f>
        <v>93</v>
      </c>
      <c r="BJ13" s="577">
        <f t="shared" si="8"/>
        <v>93</v>
      </c>
      <c r="BK13" s="575">
        <f>SUM(BK10:BK12)</f>
        <v>24</v>
      </c>
      <c r="BL13" s="576">
        <f>SUM(BL10:BL12)</f>
        <v>0</v>
      </c>
      <c r="BM13" s="576">
        <f>SUM(BM10:BM12)</f>
        <v>56</v>
      </c>
      <c r="BN13" s="577">
        <f t="shared" si="9"/>
        <v>80</v>
      </c>
      <c r="BO13" s="575">
        <f>SUM(BO10:BO12)</f>
        <v>0</v>
      </c>
      <c r="BP13" s="576">
        <f>SUM(BP10:BP12)</f>
        <v>0</v>
      </c>
      <c r="BQ13" s="576">
        <f>SUM(BQ10:BQ12)</f>
        <v>69</v>
      </c>
      <c r="BR13" s="577">
        <f t="shared" si="10"/>
        <v>69</v>
      </c>
      <c r="BS13" s="575">
        <f>SUM(BS10:BS12)</f>
        <v>0</v>
      </c>
      <c r="BT13" s="576">
        <f>SUM(BT10:BT12)</f>
        <v>0</v>
      </c>
      <c r="BU13" s="576">
        <f>SUM(BU10:BU12)</f>
        <v>75</v>
      </c>
      <c r="BV13" s="577">
        <f t="shared" si="11"/>
        <v>75</v>
      </c>
      <c r="BW13" s="575">
        <f>SUM(BW10:BW12)</f>
        <v>68</v>
      </c>
      <c r="BX13" s="576">
        <f>SUM(BX10:BX12)</f>
        <v>0</v>
      </c>
      <c r="BY13" s="576">
        <f>SUM(BY10:BY12)</f>
        <v>75</v>
      </c>
      <c r="BZ13" s="577">
        <f t="shared" si="12"/>
        <v>143</v>
      </c>
    </row>
    <row r="14" spans="1:78" ht="15" x14ac:dyDescent="0.2">
      <c r="A14" s="6211" t="s">
        <v>7</v>
      </c>
      <c r="B14" s="1029" t="s">
        <v>615</v>
      </c>
      <c r="C14" s="1274">
        <f>+'INSC-POSG plan'!E33</f>
        <v>38</v>
      </c>
      <c r="D14" s="1275">
        <f>+'INSC-POSG plan'!F33</f>
        <v>0</v>
      </c>
      <c r="E14" s="1275">
        <f>+'INSC-POSG plan'!G33</f>
        <v>17</v>
      </c>
      <c r="F14" s="1276">
        <f t="shared" si="0"/>
        <v>55</v>
      </c>
      <c r="G14" s="1274">
        <f>+'INSC-POSG plan'!I33</f>
        <v>21</v>
      </c>
      <c r="H14" s="1275">
        <f>+'INSC-POSG plan'!J33</f>
        <v>0</v>
      </c>
      <c r="I14" s="1275">
        <f>+'INSC-POSG plan'!K33</f>
        <v>30</v>
      </c>
      <c r="J14" s="1276">
        <f t="shared" si="1"/>
        <v>51</v>
      </c>
      <c r="K14" s="1274">
        <f>+'INSC-POSG plan'!M33</f>
        <v>0</v>
      </c>
      <c r="L14" s="1275">
        <f>+'INSC-POSG plan'!N33</f>
        <v>0</v>
      </c>
      <c r="M14" s="1275">
        <f>+'INSC-POSG plan'!O33</f>
        <v>46</v>
      </c>
      <c r="N14" s="1276">
        <f t="shared" si="2"/>
        <v>46</v>
      </c>
      <c r="O14" s="1274">
        <f>+'INSC-POSG plan'!Q33</f>
        <v>0</v>
      </c>
      <c r="P14" s="1275">
        <f>+'INSC-POSG plan'!R33</f>
        <v>0</v>
      </c>
      <c r="Q14" s="1275">
        <f>+'INSC-POSG plan'!S33</f>
        <v>40</v>
      </c>
      <c r="R14" s="1276">
        <f t="shared" si="3"/>
        <v>40</v>
      </c>
      <c r="S14" s="1274"/>
      <c r="T14" s="1275"/>
      <c r="U14" s="1275">
        <v>10</v>
      </c>
      <c r="V14" s="1276">
        <v>10</v>
      </c>
      <c r="W14" s="1274"/>
      <c r="X14" s="1275"/>
      <c r="Y14" s="1275">
        <v>21</v>
      </c>
      <c r="Z14" s="1277">
        <v>21</v>
      </c>
      <c r="AA14" s="1274"/>
      <c r="AB14" s="1275"/>
      <c r="AC14" s="1275">
        <v>12</v>
      </c>
      <c r="AD14" s="1276">
        <v>12</v>
      </c>
      <c r="AE14" s="1275"/>
      <c r="AF14" s="1275"/>
      <c r="AG14" s="1275">
        <v>23</v>
      </c>
      <c r="AH14" s="1276">
        <v>23</v>
      </c>
      <c r="AI14" s="1275"/>
      <c r="AJ14" s="1275"/>
      <c r="AK14" s="1275">
        <v>42</v>
      </c>
      <c r="AL14" s="1670">
        <v>42</v>
      </c>
      <c r="AM14" s="1030"/>
      <c r="AN14" s="1031"/>
      <c r="AO14" s="1031">
        <v>47</v>
      </c>
      <c r="AP14" s="1048">
        <v>47</v>
      </c>
      <c r="AQ14" s="1030"/>
      <c r="AR14" s="1031"/>
      <c r="AS14" s="1031">
        <v>53</v>
      </c>
      <c r="AT14" s="1048">
        <f t="shared" si="4"/>
        <v>53</v>
      </c>
      <c r="AU14" s="1030"/>
      <c r="AV14" s="1031"/>
      <c r="AW14" s="1031">
        <v>82</v>
      </c>
      <c r="AX14" s="1048">
        <f t="shared" si="5"/>
        <v>82</v>
      </c>
      <c r="AY14" s="1030"/>
      <c r="AZ14" s="1031"/>
      <c r="BA14" s="1031"/>
      <c r="BB14" s="1048"/>
      <c r="BC14" s="1030"/>
      <c r="BD14" s="1031"/>
      <c r="BE14" s="1031">
        <f>SUM('INSC-POSG plan'!BG33)</f>
        <v>73</v>
      </c>
      <c r="BF14" s="1048">
        <f>SUM(BC14:BE14)</f>
        <v>73</v>
      </c>
      <c r="BG14" s="1030"/>
      <c r="BH14" s="1031"/>
      <c r="BI14" s="1031">
        <f>SUM('INSC-POSG plan'!BK33)</f>
        <v>0</v>
      </c>
      <c r="BJ14" s="1048">
        <f>SUM(BG14:BI14)</f>
        <v>0</v>
      </c>
      <c r="BK14" s="1031">
        <f>SUM('INSC-POSG plan'!BM33)</f>
        <v>0</v>
      </c>
      <c r="BL14" s="1031">
        <f>SUM('INSC-POSG plan'!BN33)</f>
        <v>0</v>
      </c>
      <c r="BM14" s="1031">
        <f>SUM('INSC-POSG plan'!BO33)</f>
        <v>65</v>
      </c>
      <c r="BN14" s="1048">
        <f>SUM(BK14:BM14)</f>
        <v>65</v>
      </c>
      <c r="BO14" s="1031">
        <f>SUM('INSC-POSG plan'!BQ33:BQ35)</f>
        <v>0</v>
      </c>
      <c r="BP14" s="1031">
        <f>SUM('INSC-POSG plan'!BR33:BR35)</f>
        <v>0</v>
      </c>
      <c r="BQ14" s="1031">
        <f>SUM('INSC-POSG plan'!BS33:BS35)</f>
        <v>0</v>
      </c>
      <c r="BR14" s="1048">
        <f>SUM(BO14:BQ14)</f>
        <v>0</v>
      </c>
      <c r="BS14" s="1031">
        <f>SUM('INSC-POSG plan'!BU33:BU35)</f>
        <v>0</v>
      </c>
      <c r="BT14" s="1031">
        <f>SUM('INSC-POSG plan'!BV33:BV35)</f>
        <v>0</v>
      </c>
      <c r="BU14" s="1031">
        <f>SUM('INSC-POSG plan'!BW33:BW35)</f>
        <v>9</v>
      </c>
      <c r="BV14" s="1048">
        <f>SUM(BS14:BU14)</f>
        <v>9</v>
      </c>
      <c r="BW14" s="1031">
        <f>SUM('INSC-POSG plan'!BY33:BY35)</f>
        <v>0</v>
      </c>
      <c r="BX14" s="1031">
        <f>SUM('INSC-POSG plan'!BZ33:BZ35)</f>
        <v>0</v>
      </c>
      <c r="BY14" s="1031">
        <f>SUM('INSC-POSG plan'!CA33:CA35)</f>
        <v>12</v>
      </c>
      <c r="BZ14" s="1048">
        <f>SUM(BW14:BY14)</f>
        <v>12</v>
      </c>
    </row>
    <row r="15" spans="1:78" ht="15" x14ac:dyDescent="0.2">
      <c r="A15" s="6211"/>
      <c r="B15" s="1034" t="s">
        <v>616</v>
      </c>
      <c r="C15" s="1278">
        <f>+'INSC-POSG plan'!E36</f>
        <v>15</v>
      </c>
      <c r="D15" s="1279">
        <f>+'INSC-POSG plan'!F36</f>
        <v>0</v>
      </c>
      <c r="E15" s="1279">
        <f>+'INSC-POSG plan'!G36</f>
        <v>0</v>
      </c>
      <c r="F15" s="1280">
        <f t="shared" si="0"/>
        <v>15</v>
      </c>
      <c r="G15" s="1278">
        <f>+'INSC-POSG plan'!I36</f>
        <v>12</v>
      </c>
      <c r="H15" s="1279">
        <f>+'INSC-POSG plan'!J36</f>
        <v>0</v>
      </c>
      <c r="I15" s="1279">
        <f>+'INSC-POSG plan'!K36</f>
        <v>16</v>
      </c>
      <c r="J15" s="1280">
        <f t="shared" si="1"/>
        <v>28</v>
      </c>
      <c r="K15" s="1278">
        <f>+'INSC-POSG plan'!M36</f>
        <v>4</v>
      </c>
      <c r="L15" s="1279">
        <f>+'INSC-POSG plan'!N36</f>
        <v>17</v>
      </c>
      <c r="M15" s="1279">
        <f>+'INSC-POSG plan'!O36</f>
        <v>1</v>
      </c>
      <c r="N15" s="1280">
        <f t="shared" si="2"/>
        <v>22</v>
      </c>
      <c r="O15" s="1278">
        <f>+'INSC-POSG plan'!Q36</f>
        <v>0</v>
      </c>
      <c r="P15" s="1279">
        <f>+'INSC-POSG plan'!R36</f>
        <v>0</v>
      </c>
      <c r="Q15" s="1279">
        <f>+'INSC-POSG plan'!S36</f>
        <v>25</v>
      </c>
      <c r="R15" s="1280">
        <f t="shared" si="3"/>
        <v>25</v>
      </c>
      <c r="S15" s="1278"/>
      <c r="T15" s="1279"/>
      <c r="U15" s="1279">
        <v>19</v>
      </c>
      <c r="V15" s="1280">
        <v>19</v>
      </c>
      <c r="W15" s="1278"/>
      <c r="X15" s="1279"/>
      <c r="Y15" s="1279">
        <v>11</v>
      </c>
      <c r="Z15" s="1281">
        <v>11</v>
      </c>
      <c r="AA15" s="1278"/>
      <c r="AB15" s="1279"/>
      <c r="AC15" s="1279">
        <v>20</v>
      </c>
      <c r="AD15" s="1280">
        <v>20</v>
      </c>
      <c r="AE15" s="1279"/>
      <c r="AF15" s="1279"/>
      <c r="AG15" s="1279">
        <v>21</v>
      </c>
      <c r="AH15" s="1280">
        <v>21</v>
      </c>
      <c r="AI15" s="1279"/>
      <c r="AJ15" s="1279"/>
      <c r="AK15" s="1279">
        <v>5</v>
      </c>
      <c r="AL15" s="1671">
        <v>5</v>
      </c>
      <c r="AM15" s="1035"/>
      <c r="AN15" s="1036"/>
      <c r="AO15" s="1036">
        <v>6</v>
      </c>
      <c r="AP15" s="1039">
        <v>6</v>
      </c>
      <c r="AQ15" s="1035"/>
      <c r="AR15" s="1036"/>
      <c r="AS15" s="1036">
        <v>7</v>
      </c>
      <c r="AT15" s="1039">
        <f t="shared" si="4"/>
        <v>7</v>
      </c>
      <c r="AU15" s="1035"/>
      <c r="AV15" s="1036"/>
      <c r="AW15" s="1036">
        <v>3</v>
      </c>
      <c r="AX15" s="1039">
        <f t="shared" si="5"/>
        <v>3</v>
      </c>
      <c r="AY15" s="1035"/>
      <c r="AZ15" s="1036"/>
      <c r="BA15" s="1036">
        <v>59</v>
      </c>
      <c r="BB15" s="1039">
        <f t="shared" si="6"/>
        <v>59</v>
      </c>
      <c r="BC15" s="1035"/>
      <c r="BD15" s="1036"/>
      <c r="BE15" s="1036">
        <f>SUM('INSC-POSG plan'!BG36)</f>
        <v>7</v>
      </c>
      <c r="BF15" s="1039">
        <f>SUM(BC15:BE15)</f>
        <v>7</v>
      </c>
      <c r="BG15" s="1035"/>
      <c r="BH15" s="1036"/>
      <c r="BI15" s="1036">
        <f>SUM('INSC-POSG plan'!BK36)</f>
        <v>47</v>
      </c>
      <c r="BJ15" s="1039">
        <f>SUM(BG15:BI15)</f>
        <v>47</v>
      </c>
      <c r="BK15" s="1036">
        <f>SUM('INSC-POSG plan'!BM36)</f>
        <v>0</v>
      </c>
      <c r="BL15" s="1036">
        <f>SUM('INSC-POSG plan'!BN36)</f>
        <v>0</v>
      </c>
      <c r="BM15" s="1036">
        <f>SUM('INSC-POSG plan'!BO36)</f>
        <v>7</v>
      </c>
      <c r="BN15" s="1039">
        <f>SUM(BK15:BM15)</f>
        <v>7</v>
      </c>
      <c r="BO15" s="1036">
        <f>SUM('INSC-POSG plan'!BQ36:BQ42)</f>
        <v>2</v>
      </c>
      <c r="BP15" s="1036">
        <f>SUM('INSC-POSG plan'!BR36:BR42)</f>
        <v>38</v>
      </c>
      <c r="BQ15" s="1036">
        <f>SUM('INSC-POSG plan'!BS36:BS42)</f>
        <v>24</v>
      </c>
      <c r="BR15" s="1039">
        <f>SUM(BO15:BQ15)</f>
        <v>64</v>
      </c>
      <c r="BS15" s="1036">
        <f>SUM('INSC-POSG plan'!BU36:BU42)</f>
        <v>0</v>
      </c>
      <c r="BT15" s="1036">
        <f>SUM('INSC-POSG plan'!BV36:BV42)</f>
        <v>1</v>
      </c>
      <c r="BU15" s="1036">
        <f>SUM('INSC-POSG plan'!BW36:BW42)</f>
        <v>15</v>
      </c>
      <c r="BV15" s="1039">
        <f>SUM(BS15:BU15)</f>
        <v>16</v>
      </c>
      <c r="BW15" s="1036">
        <f>SUM('INSC-POSG plan'!BY36:BY42)</f>
        <v>0</v>
      </c>
      <c r="BX15" s="1036">
        <f>SUM('INSC-POSG plan'!BZ36:BZ42)</f>
        <v>0</v>
      </c>
      <c r="BY15" s="1036">
        <f>SUM('INSC-POSG plan'!CA36:CA42)</f>
        <v>16</v>
      </c>
      <c r="BZ15" s="1039">
        <f>SUM(BW15:BY15)</f>
        <v>16</v>
      </c>
    </row>
    <row r="16" spans="1:78" ht="15" x14ac:dyDescent="0.2">
      <c r="A16" s="6211"/>
      <c r="B16" s="1040" t="s">
        <v>617</v>
      </c>
      <c r="C16" s="1289">
        <f>+'INSC-POSG plan'!E43</f>
        <v>4</v>
      </c>
      <c r="D16" s="1290">
        <f>+'INSC-POSG plan'!F43</f>
        <v>0</v>
      </c>
      <c r="E16" s="1290">
        <f>+'INSC-POSG plan'!G43</f>
        <v>14</v>
      </c>
      <c r="F16" s="1291">
        <f t="shared" si="0"/>
        <v>18</v>
      </c>
      <c r="G16" s="1289">
        <f>+'INSC-POSG plan'!I43</f>
        <v>2</v>
      </c>
      <c r="H16" s="1290">
        <f>+'INSC-POSG plan'!J43</f>
        <v>1</v>
      </c>
      <c r="I16" s="1290">
        <f>+'INSC-POSG plan'!K43</f>
        <v>0</v>
      </c>
      <c r="J16" s="1291">
        <f t="shared" si="1"/>
        <v>3</v>
      </c>
      <c r="K16" s="1289">
        <f>+'INSC-POSG plan'!M43</f>
        <v>0</v>
      </c>
      <c r="L16" s="1290">
        <f>+'INSC-POSG plan'!N43</f>
        <v>0</v>
      </c>
      <c r="M16" s="1290">
        <f>+'INSC-POSG plan'!O43</f>
        <v>12</v>
      </c>
      <c r="N16" s="1291">
        <f t="shared" si="2"/>
        <v>12</v>
      </c>
      <c r="O16" s="1289">
        <f>+'INSC-POSG plan'!Q43</f>
        <v>1</v>
      </c>
      <c r="P16" s="1290">
        <f>+'INSC-POSG plan'!R43</f>
        <v>0</v>
      </c>
      <c r="Q16" s="1290">
        <f>+'INSC-POSG plan'!S43</f>
        <v>5</v>
      </c>
      <c r="R16" s="1291">
        <f t="shared" si="3"/>
        <v>6</v>
      </c>
      <c r="S16" s="1289"/>
      <c r="T16" s="1290"/>
      <c r="U16" s="1290"/>
      <c r="V16" s="1291">
        <v>0</v>
      </c>
      <c r="W16" s="1289"/>
      <c r="X16" s="1290"/>
      <c r="Y16" s="1290"/>
      <c r="Z16" s="1292"/>
      <c r="AA16" s="1289"/>
      <c r="AB16" s="1290"/>
      <c r="AC16" s="1290">
        <v>6</v>
      </c>
      <c r="AD16" s="1291">
        <v>6</v>
      </c>
      <c r="AE16" s="1290"/>
      <c r="AF16" s="1290"/>
      <c r="AG16" s="1290">
        <v>4</v>
      </c>
      <c r="AH16" s="1291">
        <v>4</v>
      </c>
      <c r="AI16" s="1290"/>
      <c r="AJ16" s="1290"/>
      <c r="AK16" s="1290">
        <v>8</v>
      </c>
      <c r="AL16" s="1672">
        <v>8</v>
      </c>
      <c r="AM16" s="1041"/>
      <c r="AN16" s="1042"/>
      <c r="AO16" s="1042">
        <v>11</v>
      </c>
      <c r="AP16" s="1045">
        <v>11</v>
      </c>
      <c r="AQ16" s="1041"/>
      <c r="AR16" s="1042"/>
      <c r="AS16" s="1042">
        <v>12</v>
      </c>
      <c r="AT16" s="1045">
        <f t="shared" si="4"/>
        <v>12</v>
      </c>
      <c r="AU16" s="1041"/>
      <c r="AV16" s="1042"/>
      <c r="AW16" s="1042">
        <v>15</v>
      </c>
      <c r="AX16" s="1045">
        <f t="shared" si="5"/>
        <v>15</v>
      </c>
      <c r="AY16" s="1041"/>
      <c r="AZ16" s="1042"/>
      <c r="BA16" s="1042">
        <v>3</v>
      </c>
      <c r="BB16" s="1045">
        <f t="shared" si="6"/>
        <v>3</v>
      </c>
      <c r="BC16" s="1041"/>
      <c r="BD16" s="1042"/>
      <c r="BE16" s="1042">
        <f>SUM('INSC-POSG plan'!BG43)</f>
        <v>24</v>
      </c>
      <c r="BF16" s="1045">
        <f>SUM(BC16:BE16)</f>
        <v>24</v>
      </c>
      <c r="BG16" s="1041"/>
      <c r="BH16" s="1042"/>
      <c r="BI16" s="1042">
        <f>SUM('INSC-POSG plan'!BK43)</f>
        <v>3</v>
      </c>
      <c r="BJ16" s="1045">
        <f>SUM(BG16:BI16)</f>
        <v>3</v>
      </c>
      <c r="BK16" s="1042">
        <f>SUM('INSC-POSG plan'!BM43)</f>
        <v>0</v>
      </c>
      <c r="BL16" s="1042">
        <f>SUM('INSC-POSG plan'!BN43)</f>
        <v>0</v>
      </c>
      <c r="BM16" s="1042">
        <f>SUM('INSC-POSG plan'!BO43)</f>
        <v>39</v>
      </c>
      <c r="BN16" s="1045">
        <f>SUM(BK16:BM16)</f>
        <v>39</v>
      </c>
      <c r="BO16" s="1042">
        <f>SUM('INSC-POSG plan'!BQ43:BQ49)</f>
        <v>7</v>
      </c>
      <c r="BP16" s="1042">
        <f>SUM('INSC-POSG plan'!BR43:BR49)</f>
        <v>0</v>
      </c>
      <c r="BQ16" s="1042">
        <f>SUM('INSC-POSG plan'!BS43:BS49)</f>
        <v>0</v>
      </c>
      <c r="BR16" s="1045">
        <f>SUM(BO16:BQ16)</f>
        <v>7</v>
      </c>
      <c r="BS16" s="1042">
        <f>SUM('INSC-POSG plan'!BU43:BU49)</f>
        <v>0</v>
      </c>
      <c r="BT16" s="1042">
        <f>SUM('INSC-POSG plan'!BV43:BV49)</f>
        <v>0</v>
      </c>
      <c r="BU16" s="1042">
        <f>SUM('INSC-POSG plan'!BW43:BW49)</f>
        <v>7</v>
      </c>
      <c r="BV16" s="1045">
        <f>SUM(BS16:BU16)</f>
        <v>7</v>
      </c>
      <c r="BW16" s="1042">
        <f>SUM('INSC-POSG plan'!BY43:BY49)</f>
        <v>0</v>
      </c>
      <c r="BX16" s="1042">
        <f>SUM('INSC-POSG plan'!BZ43:BZ49)</f>
        <v>0</v>
      </c>
      <c r="BY16" s="1042">
        <f>SUM('INSC-POSG plan'!CA43:CA49)</f>
        <v>19</v>
      </c>
      <c r="BZ16" s="1045">
        <f>SUM(BW16:BY16)</f>
        <v>19</v>
      </c>
    </row>
    <row r="17" spans="1:78" s="222" customFormat="1" ht="15" x14ac:dyDescent="0.2">
      <c r="A17" s="6212"/>
      <c r="B17" s="574" t="s">
        <v>15</v>
      </c>
      <c r="C17" s="1149">
        <f>SUM(C14:C16)</f>
        <v>57</v>
      </c>
      <c r="D17" s="1150">
        <f>SUM(D14:D16)</f>
        <v>0</v>
      </c>
      <c r="E17" s="1150">
        <f>SUM(E14:E16)</f>
        <v>31</v>
      </c>
      <c r="F17" s="1151">
        <f t="shared" si="0"/>
        <v>88</v>
      </c>
      <c r="G17" s="1149">
        <f>SUM(G14:G16)</f>
        <v>35</v>
      </c>
      <c r="H17" s="1150">
        <f>SUM(H14:H16)</f>
        <v>1</v>
      </c>
      <c r="I17" s="1150">
        <f>SUM(I14:I16)</f>
        <v>46</v>
      </c>
      <c r="J17" s="1151">
        <f t="shared" si="1"/>
        <v>82</v>
      </c>
      <c r="K17" s="1149">
        <f>SUM(K14:K16)</f>
        <v>4</v>
      </c>
      <c r="L17" s="1150">
        <f>SUM(L14:L16)</f>
        <v>17</v>
      </c>
      <c r="M17" s="1150">
        <f>SUM(M14:M16)</f>
        <v>59</v>
      </c>
      <c r="N17" s="1151">
        <f t="shared" si="2"/>
        <v>80</v>
      </c>
      <c r="O17" s="1149">
        <f>SUM(O14:O16)</f>
        <v>1</v>
      </c>
      <c r="P17" s="1150">
        <f>SUM(P14:P16)</f>
        <v>0</v>
      </c>
      <c r="Q17" s="1150">
        <f>SUM(Q14:Q16)</f>
        <v>70</v>
      </c>
      <c r="R17" s="1151">
        <f t="shared" si="3"/>
        <v>71</v>
      </c>
      <c r="S17" s="1149"/>
      <c r="T17" s="1150"/>
      <c r="U17" s="1150">
        <v>29</v>
      </c>
      <c r="V17" s="1151">
        <v>29</v>
      </c>
      <c r="W17" s="1149"/>
      <c r="X17" s="1150"/>
      <c r="Y17" s="1150">
        <v>32</v>
      </c>
      <c r="Z17" s="1150">
        <v>32</v>
      </c>
      <c r="AA17" s="1149"/>
      <c r="AB17" s="1150"/>
      <c r="AC17" s="1150">
        <v>38</v>
      </c>
      <c r="AD17" s="1151">
        <v>38</v>
      </c>
      <c r="AE17" s="1150"/>
      <c r="AF17" s="1150"/>
      <c r="AG17" s="1150">
        <v>48</v>
      </c>
      <c r="AH17" s="1151">
        <v>48</v>
      </c>
      <c r="AI17" s="1150"/>
      <c r="AJ17" s="1150"/>
      <c r="AK17" s="1150">
        <v>55</v>
      </c>
      <c r="AL17" s="1151">
        <v>55</v>
      </c>
      <c r="AM17" s="575"/>
      <c r="AN17" s="576"/>
      <c r="AO17" s="576">
        <v>64</v>
      </c>
      <c r="AP17" s="577">
        <v>64</v>
      </c>
      <c r="AQ17" s="575"/>
      <c r="AR17" s="576"/>
      <c r="AS17" s="576">
        <f>SUM(AS14:AS16)</f>
        <v>72</v>
      </c>
      <c r="AT17" s="577">
        <f t="shared" si="4"/>
        <v>72</v>
      </c>
      <c r="AU17" s="575"/>
      <c r="AV17" s="576"/>
      <c r="AW17" s="576">
        <f>SUM(AW14:AW16)</f>
        <v>100</v>
      </c>
      <c r="AX17" s="577">
        <f t="shared" si="5"/>
        <v>100</v>
      </c>
      <c r="AY17" s="576"/>
      <c r="AZ17" s="576"/>
      <c r="BA17" s="576">
        <f>SUM(BA14:BA16)</f>
        <v>62</v>
      </c>
      <c r="BB17" s="577">
        <f t="shared" si="6"/>
        <v>62</v>
      </c>
      <c r="BC17" s="576"/>
      <c r="BD17" s="576"/>
      <c r="BE17" s="576">
        <f>SUM(BE14:BE16)</f>
        <v>104</v>
      </c>
      <c r="BF17" s="577">
        <f>SUM(BC17:BE17)</f>
        <v>104</v>
      </c>
      <c r="BG17" s="576"/>
      <c r="BH17" s="576"/>
      <c r="BI17" s="576">
        <f>SUM(BI14:BI16)</f>
        <v>50</v>
      </c>
      <c r="BJ17" s="577">
        <f>SUM(BG17:BI17)</f>
        <v>50</v>
      </c>
      <c r="BK17" s="576"/>
      <c r="BL17" s="576"/>
      <c r="BM17" s="576">
        <f>SUM(BM14:BM16)</f>
        <v>111</v>
      </c>
      <c r="BN17" s="577">
        <f>SUM(BK17:BM17)</f>
        <v>111</v>
      </c>
      <c r="BO17" s="576">
        <f>SUM(BO14:BO16)</f>
        <v>9</v>
      </c>
      <c r="BP17" s="576">
        <f>SUM(BP14:BP16)</f>
        <v>38</v>
      </c>
      <c r="BQ17" s="576">
        <f>SUM(BQ14:BQ16)</f>
        <v>24</v>
      </c>
      <c r="BR17" s="577">
        <f>SUM(BO17:BQ17)</f>
        <v>71</v>
      </c>
      <c r="BS17" s="576">
        <f>SUM(BS14:BS16)</f>
        <v>0</v>
      </c>
      <c r="BT17" s="576">
        <f>SUM(BT14:BT16)</f>
        <v>1</v>
      </c>
      <c r="BU17" s="576">
        <f>SUM(BU14:BU16)</f>
        <v>31</v>
      </c>
      <c r="BV17" s="577">
        <f>SUM(BS17:BU17)</f>
        <v>32</v>
      </c>
      <c r="BW17" s="576">
        <f>SUM(BW14:BW16)</f>
        <v>0</v>
      </c>
      <c r="BX17" s="576">
        <f>SUM(BX14:BX16)</f>
        <v>0</v>
      </c>
      <c r="BY17" s="576">
        <f>SUM(BY14:BY16)</f>
        <v>47</v>
      </c>
      <c r="BZ17" s="577">
        <f>SUM(BW17:BY17)</f>
        <v>47</v>
      </c>
    </row>
    <row r="18" spans="1:78" ht="15" x14ac:dyDescent="0.2">
      <c r="A18" s="5857" t="s">
        <v>677</v>
      </c>
      <c r="B18" s="1029" t="s">
        <v>615</v>
      </c>
      <c r="C18" s="1274">
        <f>+C6+C10+C14</f>
        <v>60</v>
      </c>
      <c r="D18" s="1275">
        <f t="shared" ref="D18:E20" si="13">+D6+D10+D14</f>
        <v>0</v>
      </c>
      <c r="E18" s="1275">
        <f t="shared" si="13"/>
        <v>54</v>
      </c>
      <c r="F18" s="1276">
        <f t="shared" si="0"/>
        <v>114</v>
      </c>
      <c r="G18" s="1274">
        <f t="shared" ref="G18:I20" si="14">+G6+G10+G14</f>
        <v>47</v>
      </c>
      <c r="H18" s="1275">
        <f t="shared" si="14"/>
        <v>0</v>
      </c>
      <c r="I18" s="1275">
        <f t="shared" si="14"/>
        <v>64</v>
      </c>
      <c r="J18" s="1276">
        <f t="shared" si="1"/>
        <v>111</v>
      </c>
      <c r="K18" s="1274">
        <f t="shared" ref="K18:M20" si="15">+K6+K10+K14</f>
        <v>0</v>
      </c>
      <c r="L18" s="1275">
        <f t="shared" si="15"/>
        <v>5</v>
      </c>
      <c r="M18" s="1275">
        <f t="shared" si="15"/>
        <v>76</v>
      </c>
      <c r="N18" s="1276">
        <f t="shared" si="2"/>
        <v>81</v>
      </c>
      <c r="O18" s="1274">
        <f t="shared" ref="O18:Q20" si="16">+O6+O10+O14</f>
        <v>3</v>
      </c>
      <c r="P18" s="1275">
        <f t="shared" si="16"/>
        <v>0</v>
      </c>
      <c r="Q18" s="1275">
        <f t="shared" si="16"/>
        <v>63</v>
      </c>
      <c r="R18" s="1276">
        <f t="shared" si="3"/>
        <v>66</v>
      </c>
      <c r="S18" s="1274">
        <v>0</v>
      </c>
      <c r="T18" s="1275">
        <v>0</v>
      </c>
      <c r="U18" s="1275">
        <v>37</v>
      </c>
      <c r="V18" s="1276">
        <v>37</v>
      </c>
      <c r="W18" s="1274">
        <v>0</v>
      </c>
      <c r="X18" s="1275">
        <v>0</v>
      </c>
      <c r="Y18" s="1275">
        <v>57</v>
      </c>
      <c r="Z18" s="1277">
        <v>57</v>
      </c>
      <c r="AA18" s="1274"/>
      <c r="AB18" s="1275"/>
      <c r="AC18" s="1275">
        <v>44</v>
      </c>
      <c r="AD18" s="1276">
        <v>44</v>
      </c>
      <c r="AE18" s="1275"/>
      <c r="AF18" s="1275"/>
      <c r="AG18" s="1275">
        <v>56</v>
      </c>
      <c r="AH18" s="1276">
        <v>56</v>
      </c>
      <c r="AI18" s="1275"/>
      <c r="AJ18" s="1275"/>
      <c r="AK18" s="1275">
        <v>81</v>
      </c>
      <c r="AL18" s="1670">
        <v>81</v>
      </c>
      <c r="AM18" s="1030">
        <v>0</v>
      </c>
      <c r="AN18" s="1031"/>
      <c r="AO18" s="1031">
        <v>75</v>
      </c>
      <c r="AP18" s="1048">
        <v>75</v>
      </c>
      <c r="AQ18" s="1030"/>
      <c r="AR18" s="1031"/>
      <c r="AS18" s="1031">
        <f t="shared" ref="AS18:AT21" si="17">AS6+AS10+AS14</f>
        <v>71</v>
      </c>
      <c r="AT18" s="1048">
        <f t="shared" si="17"/>
        <v>71</v>
      </c>
      <c r="AU18" s="1030"/>
      <c r="AV18" s="1031"/>
      <c r="AW18" s="1031">
        <f t="shared" ref="AW18:AX21" si="18">AW6+AW10+AW14</f>
        <v>108</v>
      </c>
      <c r="AX18" s="1048">
        <f t="shared" si="18"/>
        <v>108</v>
      </c>
      <c r="AY18" s="1030"/>
      <c r="AZ18" s="1031"/>
      <c r="BA18" s="1031">
        <f t="shared" ref="BA18:BF18" si="19">SUM(BA6,BA10,BA14)</f>
        <v>26</v>
      </c>
      <c r="BB18" s="1048">
        <f t="shared" si="19"/>
        <v>26</v>
      </c>
      <c r="BC18" s="1030"/>
      <c r="BD18" s="1031">
        <f t="shared" si="19"/>
        <v>1</v>
      </c>
      <c r="BE18" s="1031">
        <f t="shared" si="19"/>
        <v>89</v>
      </c>
      <c r="BF18" s="1048">
        <f t="shared" si="19"/>
        <v>90</v>
      </c>
      <c r="BG18" s="1030"/>
      <c r="BH18" s="1031"/>
      <c r="BI18" s="1031">
        <f t="shared" ref="BI18:BM20" si="20">SUM(BI6,BI10,BI14)</f>
        <v>29</v>
      </c>
      <c r="BJ18" s="1048">
        <f t="shared" si="20"/>
        <v>29</v>
      </c>
      <c r="BK18" s="1030">
        <f t="shared" ref="BK18:BR18" si="21">SUM(BK6,BK10,BK14)</f>
        <v>0</v>
      </c>
      <c r="BL18" s="1031">
        <f t="shared" si="21"/>
        <v>0</v>
      </c>
      <c r="BM18" s="1031">
        <f t="shared" si="21"/>
        <v>83</v>
      </c>
      <c r="BN18" s="1048">
        <f t="shared" si="21"/>
        <v>83</v>
      </c>
      <c r="BO18" s="1030">
        <f t="shared" si="21"/>
        <v>0</v>
      </c>
      <c r="BP18" s="1031">
        <f t="shared" si="21"/>
        <v>0</v>
      </c>
      <c r="BQ18" s="1031">
        <f t="shared" si="21"/>
        <v>30</v>
      </c>
      <c r="BR18" s="1048">
        <f t="shared" si="21"/>
        <v>30</v>
      </c>
      <c r="BS18" s="1030">
        <f t="shared" ref="BS18:BZ20" si="22">SUM(BS6,BS10,BS14)</f>
        <v>0</v>
      </c>
      <c r="BT18" s="1031">
        <f t="shared" si="22"/>
        <v>0</v>
      </c>
      <c r="BU18" s="1031">
        <f t="shared" si="22"/>
        <v>29</v>
      </c>
      <c r="BV18" s="1048">
        <f t="shared" si="22"/>
        <v>29</v>
      </c>
      <c r="BW18" s="1030">
        <f t="shared" si="22"/>
        <v>0</v>
      </c>
      <c r="BX18" s="1031">
        <f t="shared" si="22"/>
        <v>0</v>
      </c>
      <c r="BY18" s="1031">
        <f t="shared" si="22"/>
        <v>32</v>
      </c>
      <c r="BZ18" s="1048">
        <f t="shared" si="22"/>
        <v>32</v>
      </c>
    </row>
    <row r="19" spans="1:78" ht="15" x14ac:dyDescent="0.2">
      <c r="A19" s="5857"/>
      <c r="B19" s="1034" t="s">
        <v>616</v>
      </c>
      <c r="C19" s="1278">
        <f>+C7+C11+C15</f>
        <v>34</v>
      </c>
      <c r="D19" s="1279">
        <f t="shared" si="13"/>
        <v>14</v>
      </c>
      <c r="E19" s="1279">
        <f t="shared" si="13"/>
        <v>41</v>
      </c>
      <c r="F19" s="1280">
        <f t="shared" si="0"/>
        <v>89</v>
      </c>
      <c r="G19" s="1278">
        <f t="shared" si="14"/>
        <v>63</v>
      </c>
      <c r="H19" s="1279">
        <f t="shared" si="14"/>
        <v>10</v>
      </c>
      <c r="I19" s="1279">
        <f t="shared" si="14"/>
        <v>74</v>
      </c>
      <c r="J19" s="1280">
        <f t="shared" si="1"/>
        <v>147</v>
      </c>
      <c r="K19" s="1278">
        <f t="shared" si="15"/>
        <v>6</v>
      </c>
      <c r="L19" s="1279">
        <f t="shared" si="15"/>
        <v>28</v>
      </c>
      <c r="M19" s="1279">
        <f t="shared" si="15"/>
        <v>62</v>
      </c>
      <c r="N19" s="1280">
        <f t="shared" si="2"/>
        <v>96</v>
      </c>
      <c r="O19" s="1278">
        <f t="shared" si="16"/>
        <v>21</v>
      </c>
      <c r="P19" s="1279">
        <f t="shared" si="16"/>
        <v>4</v>
      </c>
      <c r="Q19" s="1279">
        <f t="shared" si="16"/>
        <v>62</v>
      </c>
      <c r="R19" s="1280">
        <f t="shared" si="3"/>
        <v>87</v>
      </c>
      <c r="S19" s="1278">
        <v>15</v>
      </c>
      <c r="T19" s="1279">
        <v>4</v>
      </c>
      <c r="U19" s="1279">
        <v>36</v>
      </c>
      <c r="V19" s="1280">
        <v>55</v>
      </c>
      <c r="W19" s="1278">
        <v>27</v>
      </c>
      <c r="X19" s="1279">
        <v>5</v>
      </c>
      <c r="Y19" s="1279">
        <v>61</v>
      </c>
      <c r="Z19" s="1281">
        <v>93</v>
      </c>
      <c r="AA19" s="1278">
        <v>17</v>
      </c>
      <c r="AB19" s="1279"/>
      <c r="AC19" s="1279">
        <v>69</v>
      </c>
      <c r="AD19" s="1280">
        <v>86</v>
      </c>
      <c r="AE19" s="1279">
        <v>34</v>
      </c>
      <c r="AF19" s="1279"/>
      <c r="AG19" s="1279">
        <v>36</v>
      </c>
      <c r="AH19" s="1280">
        <v>70</v>
      </c>
      <c r="AI19" s="1279">
        <v>19</v>
      </c>
      <c r="AJ19" s="1279">
        <v>6</v>
      </c>
      <c r="AK19" s="1279">
        <v>47</v>
      </c>
      <c r="AL19" s="1671">
        <v>72</v>
      </c>
      <c r="AM19" s="1035">
        <v>29</v>
      </c>
      <c r="AN19" s="1036"/>
      <c r="AO19" s="1036">
        <v>38</v>
      </c>
      <c r="AP19" s="1039">
        <v>67</v>
      </c>
      <c r="AQ19" s="1035">
        <f>AQ7+AQ11+AQ15</f>
        <v>12</v>
      </c>
      <c r="AR19" s="1036"/>
      <c r="AS19" s="1036">
        <f t="shared" si="17"/>
        <v>104</v>
      </c>
      <c r="AT19" s="1039">
        <f t="shared" si="17"/>
        <v>116</v>
      </c>
      <c r="AU19" s="1035">
        <f>AU7+AU11+AU15</f>
        <v>18</v>
      </c>
      <c r="AV19" s="1036"/>
      <c r="AW19" s="1036">
        <f t="shared" si="18"/>
        <v>36</v>
      </c>
      <c r="AX19" s="1039">
        <f t="shared" si="18"/>
        <v>54</v>
      </c>
      <c r="AY19" s="1035">
        <f t="shared" ref="AY19:BF20" si="23">SUM(AY7,AY11,AY15)</f>
        <v>6</v>
      </c>
      <c r="AZ19" s="1036"/>
      <c r="BA19" s="1036">
        <f t="shared" si="23"/>
        <v>133</v>
      </c>
      <c r="BB19" s="1039">
        <f t="shared" si="23"/>
        <v>139</v>
      </c>
      <c r="BC19" s="1035">
        <f t="shared" si="23"/>
        <v>23</v>
      </c>
      <c r="BD19" s="1036">
        <f t="shared" si="23"/>
        <v>8</v>
      </c>
      <c r="BE19" s="1036">
        <f t="shared" si="23"/>
        <v>56</v>
      </c>
      <c r="BF19" s="1039">
        <f t="shared" si="23"/>
        <v>87</v>
      </c>
      <c r="BG19" s="1035">
        <f>SUM(BG7,BG11,BG15)</f>
        <v>17</v>
      </c>
      <c r="BH19" s="1036"/>
      <c r="BI19" s="1036">
        <f t="shared" si="20"/>
        <v>148</v>
      </c>
      <c r="BJ19" s="1039">
        <f t="shared" si="20"/>
        <v>165</v>
      </c>
      <c r="BK19" s="1035">
        <f t="shared" si="20"/>
        <v>47</v>
      </c>
      <c r="BL19" s="1036">
        <f t="shared" si="20"/>
        <v>0</v>
      </c>
      <c r="BM19" s="1036">
        <f t="shared" si="20"/>
        <v>89</v>
      </c>
      <c r="BN19" s="1039">
        <f t="shared" ref="BN19:BR20" si="24">SUM(BN7,BN11,BN15)</f>
        <v>136</v>
      </c>
      <c r="BO19" s="1035">
        <f t="shared" si="24"/>
        <v>21</v>
      </c>
      <c r="BP19" s="1036">
        <f t="shared" si="24"/>
        <v>38</v>
      </c>
      <c r="BQ19" s="1036">
        <f t="shared" si="24"/>
        <v>107</v>
      </c>
      <c r="BR19" s="1039">
        <f t="shared" si="24"/>
        <v>166</v>
      </c>
      <c r="BS19" s="1035">
        <f t="shared" si="22"/>
        <v>23</v>
      </c>
      <c r="BT19" s="1036">
        <f t="shared" si="22"/>
        <v>1</v>
      </c>
      <c r="BU19" s="1036">
        <f t="shared" si="22"/>
        <v>97</v>
      </c>
      <c r="BV19" s="1039">
        <f t="shared" si="22"/>
        <v>121</v>
      </c>
      <c r="BW19" s="1035">
        <f t="shared" si="22"/>
        <v>81</v>
      </c>
      <c r="BX19" s="1036">
        <f t="shared" si="22"/>
        <v>0</v>
      </c>
      <c r="BY19" s="1036">
        <f t="shared" si="22"/>
        <v>123</v>
      </c>
      <c r="BZ19" s="1039">
        <f t="shared" si="22"/>
        <v>204</v>
      </c>
    </row>
    <row r="20" spans="1:78" ht="15" x14ac:dyDescent="0.2">
      <c r="A20" s="5857"/>
      <c r="B20" s="1040" t="s">
        <v>617</v>
      </c>
      <c r="C20" s="1289">
        <f>+C8+C12+C16</f>
        <v>4</v>
      </c>
      <c r="D20" s="1290">
        <f t="shared" si="13"/>
        <v>1</v>
      </c>
      <c r="E20" s="1290">
        <f t="shared" si="13"/>
        <v>15</v>
      </c>
      <c r="F20" s="1291">
        <f t="shared" si="0"/>
        <v>20</v>
      </c>
      <c r="G20" s="1289">
        <f t="shared" si="14"/>
        <v>8</v>
      </c>
      <c r="H20" s="1290">
        <f t="shared" si="14"/>
        <v>4</v>
      </c>
      <c r="I20" s="1290">
        <f t="shared" si="14"/>
        <v>2</v>
      </c>
      <c r="J20" s="1291">
        <f t="shared" si="1"/>
        <v>14</v>
      </c>
      <c r="K20" s="1289">
        <f t="shared" si="15"/>
        <v>3</v>
      </c>
      <c r="L20" s="1290">
        <f t="shared" si="15"/>
        <v>0</v>
      </c>
      <c r="M20" s="1290">
        <f t="shared" si="15"/>
        <v>16</v>
      </c>
      <c r="N20" s="1291">
        <f t="shared" si="2"/>
        <v>19</v>
      </c>
      <c r="O20" s="1289">
        <f t="shared" si="16"/>
        <v>4</v>
      </c>
      <c r="P20" s="1290">
        <f t="shared" si="16"/>
        <v>2</v>
      </c>
      <c r="Q20" s="1290">
        <f t="shared" si="16"/>
        <v>6</v>
      </c>
      <c r="R20" s="1291">
        <f t="shared" si="3"/>
        <v>12</v>
      </c>
      <c r="S20" s="1289">
        <v>3</v>
      </c>
      <c r="T20" s="1290">
        <v>1</v>
      </c>
      <c r="U20" s="1290">
        <v>8</v>
      </c>
      <c r="V20" s="1291">
        <v>12</v>
      </c>
      <c r="W20" s="1289">
        <v>4</v>
      </c>
      <c r="X20" s="1290">
        <v>2</v>
      </c>
      <c r="Y20" s="1290">
        <v>2</v>
      </c>
      <c r="Z20" s="1292">
        <v>8</v>
      </c>
      <c r="AA20" s="1289">
        <v>1</v>
      </c>
      <c r="AB20" s="1290"/>
      <c r="AC20" s="1290">
        <v>23</v>
      </c>
      <c r="AD20" s="1291">
        <v>24</v>
      </c>
      <c r="AE20" s="1290">
        <v>1</v>
      </c>
      <c r="AF20" s="1290">
        <v>1</v>
      </c>
      <c r="AG20" s="1290">
        <v>8</v>
      </c>
      <c r="AH20" s="1291">
        <v>10</v>
      </c>
      <c r="AI20" s="1290">
        <v>5</v>
      </c>
      <c r="AJ20" s="1290">
        <v>4</v>
      </c>
      <c r="AK20" s="1290">
        <v>39</v>
      </c>
      <c r="AL20" s="1672">
        <v>48</v>
      </c>
      <c r="AM20" s="1041">
        <v>1</v>
      </c>
      <c r="AN20" s="1042">
        <v>2</v>
      </c>
      <c r="AO20" s="1042">
        <v>13</v>
      </c>
      <c r="AP20" s="1045">
        <v>16</v>
      </c>
      <c r="AQ20" s="1041">
        <f>AQ8+AQ12+AQ16</f>
        <v>2</v>
      </c>
      <c r="AR20" s="1042">
        <f>AR8+AR12+AR16</f>
        <v>1</v>
      </c>
      <c r="AS20" s="1042">
        <f t="shared" si="17"/>
        <v>20</v>
      </c>
      <c r="AT20" s="1045">
        <f t="shared" si="17"/>
        <v>23</v>
      </c>
      <c r="AU20" s="1041">
        <f>AU8+AU12+AU16</f>
        <v>2</v>
      </c>
      <c r="AV20" s="1042">
        <f>AV8+AV12+AV16</f>
        <v>17</v>
      </c>
      <c r="AW20" s="1042">
        <f t="shared" si="18"/>
        <v>15</v>
      </c>
      <c r="AX20" s="1045">
        <f t="shared" si="18"/>
        <v>34</v>
      </c>
      <c r="AY20" s="1041">
        <f t="shared" si="23"/>
        <v>2</v>
      </c>
      <c r="AZ20" s="1042">
        <f t="shared" si="23"/>
        <v>4</v>
      </c>
      <c r="BA20" s="1042">
        <f t="shared" si="23"/>
        <v>15</v>
      </c>
      <c r="BB20" s="1045">
        <f t="shared" si="23"/>
        <v>21</v>
      </c>
      <c r="BC20" s="1041">
        <f t="shared" si="23"/>
        <v>1</v>
      </c>
      <c r="BD20" s="1042"/>
      <c r="BE20" s="1042">
        <f t="shared" si="23"/>
        <v>39</v>
      </c>
      <c r="BF20" s="1045">
        <f t="shared" si="23"/>
        <v>40</v>
      </c>
      <c r="BG20" s="1041">
        <f>SUM(BG8,BG12,BG16)</f>
        <v>1</v>
      </c>
      <c r="BH20" s="1042">
        <f>SUM(BH8,BH12,BH16)</f>
        <v>2</v>
      </c>
      <c r="BI20" s="1042">
        <f t="shared" si="20"/>
        <v>20</v>
      </c>
      <c r="BJ20" s="1045">
        <f t="shared" si="20"/>
        <v>23</v>
      </c>
      <c r="BK20" s="1041">
        <f t="shared" si="20"/>
        <v>1</v>
      </c>
      <c r="BL20" s="1042">
        <f t="shared" si="20"/>
        <v>3</v>
      </c>
      <c r="BM20" s="1042">
        <f t="shared" si="20"/>
        <v>57</v>
      </c>
      <c r="BN20" s="1045">
        <f t="shared" si="24"/>
        <v>61</v>
      </c>
      <c r="BO20" s="1041">
        <f t="shared" si="24"/>
        <v>14</v>
      </c>
      <c r="BP20" s="1042">
        <f t="shared" si="24"/>
        <v>0</v>
      </c>
      <c r="BQ20" s="1042">
        <f t="shared" si="24"/>
        <v>12</v>
      </c>
      <c r="BR20" s="1045">
        <f t="shared" si="24"/>
        <v>26</v>
      </c>
      <c r="BS20" s="1041">
        <f t="shared" si="22"/>
        <v>5</v>
      </c>
      <c r="BT20" s="1042">
        <f t="shared" si="22"/>
        <v>5</v>
      </c>
      <c r="BU20" s="1042">
        <f t="shared" si="22"/>
        <v>41</v>
      </c>
      <c r="BV20" s="1045">
        <f t="shared" si="22"/>
        <v>51</v>
      </c>
      <c r="BW20" s="1041">
        <f t="shared" si="22"/>
        <v>6</v>
      </c>
      <c r="BX20" s="1042">
        <f t="shared" si="22"/>
        <v>3</v>
      </c>
      <c r="BY20" s="1042">
        <f t="shared" si="22"/>
        <v>29</v>
      </c>
      <c r="BZ20" s="1045">
        <f t="shared" si="22"/>
        <v>38</v>
      </c>
    </row>
    <row r="21" spans="1:78" s="224" customFormat="1" ht="15" x14ac:dyDescent="0.2">
      <c r="A21" s="6217"/>
      <c r="B21" s="2406" t="s">
        <v>12</v>
      </c>
      <c r="C21" s="2428">
        <f>SUM(C18:C20)</f>
        <v>98</v>
      </c>
      <c r="D21" s="2429">
        <f>SUM(D18:D20)</f>
        <v>15</v>
      </c>
      <c r="E21" s="2429">
        <f>SUM(E18:E20)</f>
        <v>110</v>
      </c>
      <c r="F21" s="2430">
        <f t="shared" si="0"/>
        <v>223</v>
      </c>
      <c r="G21" s="2428">
        <f>SUM(G18:G20)</f>
        <v>118</v>
      </c>
      <c r="H21" s="2429">
        <f>SUM(H18:H20)</f>
        <v>14</v>
      </c>
      <c r="I21" s="2429">
        <f>SUM(I18:I20)</f>
        <v>140</v>
      </c>
      <c r="J21" s="2430">
        <f t="shared" si="1"/>
        <v>272</v>
      </c>
      <c r="K21" s="2428">
        <f>SUM(K18:K20)</f>
        <v>9</v>
      </c>
      <c r="L21" s="2429">
        <f>SUM(L18:L20)</f>
        <v>33</v>
      </c>
      <c r="M21" s="2429">
        <f>SUM(M18:M20)</f>
        <v>154</v>
      </c>
      <c r="N21" s="2430">
        <f t="shared" si="2"/>
        <v>196</v>
      </c>
      <c r="O21" s="2428">
        <f>SUM(O18:O20)</f>
        <v>28</v>
      </c>
      <c r="P21" s="2429">
        <f>SUM(P18:P20)</f>
        <v>6</v>
      </c>
      <c r="Q21" s="2429">
        <f>SUM(Q18:Q20)</f>
        <v>131</v>
      </c>
      <c r="R21" s="2430">
        <f t="shared" si="3"/>
        <v>165</v>
      </c>
      <c r="S21" s="2428">
        <f>SUM(S18:S20)</f>
        <v>18</v>
      </c>
      <c r="T21" s="2429">
        <f>SUM(T18:T20)</f>
        <v>5</v>
      </c>
      <c r="U21" s="2429">
        <f>SUM(U18:U20)</f>
        <v>81</v>
      </c>
      <c r="V21" s="2430">
        <f>SUM(V18:V20)</f>
        <v>104</v>
      </c>
      <c r="W21" s="2428">
        <f t="shared" ref="W21:AL21" si="25">SUM(W18:W20)</f>
        <v>31</v>
      </c>
      <c r="X21" s="2429">
        <f t="shared" si="25"/>
        <v>7</v>
      </c>
      <c r="Y21" s="2429">
        <f t="shared" si="25"/>
        <v>120</v>
      </c>
      <c r="Z21" s="2429">
        <f t="shared" si="25"/>
        <v>158</v>
      </c>
      <c r="AA21" s="2428">
        <f t="shared" si="25"/>
        <v>18</v>
      </c>
      <c r="AB21" s="2429"/>
      <c r="AC21" s="2429">
        <f t="shared" si="25"/>
        <v>136</v>
      </c>
      <c r="AD21" s="2430">
        <f t="shared" si="25"/>
        <v>154</v>
      </c>
      <c r="AE21" s="2429">
        <f t="shared" si="25"/>
        <v>35</v>
      </c>
      <c r="AF21" s="2429">
        <f t="shared" si="25"/>
        <v>1</v>
      </c>
      <c r="AG21" s="2429">
        <f t="shared" si="25"/>
        <v>100</v>
      </c>
      <c r="AH21" s="2430">
        <f t="shared" si="25"/>
        <v>136</v>
      </c>
      <c r="AI21" s="2429">
        <f t="shared" si="25"/>
        <v>24</v>
      </c>
      <c r="AJ21" s="2429">
        <f t="shared" si="25"/>
        <v>10</v>
      </c>
      <c r="AK21" s="2429">
        <f t="shared" si="25"/>
        <v>167</v>
      </c>
      <c r="AL21" s="2430">
        <f t="shared" si="25"/>
        <v>201</v>
      </c>
      <c r="AM21" s="2407">
        <v>30</v>
      </c>
      <c r="AN21" s="2408">
        <v>2</v>
      </c>
      <c r="AO21" s="2408">
        <v>126</v>
      </c>
      <c r="AP21" s="2409">
        <v>158</v>
      </c>
      <c r="AQ21" s="2407">
        <f>AQ9+AQ13+AQ17</f>
        <v>14</v>
      </c>
      <c r="AR21" s="2408">
        <f>AR9+AR13+AR17</f>
        <v>1</v>
      </c>
      <c r="AS21" s="2408">
        <f t="shared" si="17"/>
        <v>195</v>
      </c>
      <c r="AT21" s="2409">
        <f t="shared" si="17"/>
        <v>210</v>
      </c>
      <c r="AU21" s="2407">
        <f>AU9+AU13+AU17</f>
        <v>20</v>
      </c>
      <c r="AV21" s="2408">
        <f>AV9+AV13+AV17</f>
        <v>17</v>
      </c>
      <c r="AW21" s="2408">
        <f t="shared" si="18"/>
        <v>159</v>
      </c>
      <c r="AX21" s="2409">
        <f t="shared" si="18"/>
        <v>196</v>
      </c>
      <c r="AY21" s="2407">
        <f t="shared" ref="AY21:BJ21" si="26">AY9+AY13+AY17</f>
        <v>8</v>
      </c>
      <c r="AZ21" s="2408">
        <f t="shared" si="26"/>
        <v>4</v>
      </c>
      <c r="BA21" s="2408">
        <f t="shared" si="26"/>
        <v>174</v>
      </c>
      <c r="BB21" s="2409">
        <f t="shared" si="26"/>
        <v>186</v>
      </c>
      <c r="BC21" s="2407">
        <f t="shared" si="26"/>
        <v>24</v>
      </c>
      <c r="BD21" s="2408">
        <f t="shared" si="26"/>
        <v>9</v>
      </c>
      <c r="BE21" s="2408">
        <f t="shared" si="26"/>
        <v>184</v>
      </c>
      <c r="BF21" s="2409">
        <f t="shared" si="26"/>
        <v>217</v>
      </c>
      <c r="BG21" s="2407">
        <f t="shared" si="26"/>
        <v>18</v>
      </c>
      <c r="BH21" s="2408">
        <f t="shared" si="26"/>
        <v>2</v>
      </c>
      <c r="BI21" s="2408">
        <f t="shared" si="26"/>
        <v>197</v>
      </c>
      <c r="BJ21" s="2409">
        <f t="shared" si="26"/>
        <v>217</v>
      </c>
      <c r="BK21" s="2407">
        <f t="shared" ref="BK21:BR21" si="27">BK9+BK13+BK17</f>
        <v>48</v>
      </c>
      <c r="BL21" s="2408">
        <f t="shared" si="27"/>
        <v>3</v>
      </c>
      <c r="BM21" s="2408">
        <f t="shared" si="27"/>
        <v>229</v>
      </c>
      <c r="BN21" s="2409">
        <f t="shared" si="27"/>
        <v>280</v>
      </c>
      <c r="BO21" s="2407">
        <f t="shared" si="27"/>
        <v>35</v>
      </c>
      <c r="BP21" s="2408">
        <f t="shared" si="27"/>
        <v>38</v>
      </c>
      <c r="BQ21" s="2408">
        <f t="shared" si="27"/>
        <v>149</v>
      </c>
      <c r="BR21" s="2409">
        <f t="shared" si="27"/>
        <v>222</v>
      </c>
      <c r="BS21" s="2407">
        <f t="shared" ref="BS21:BZ21" si="28">BS9+BS13+BS17</f>
        <v>28</v>
      </c>
      <c r="BT21" s="2408">
        <f t="shared" si="28"/>
        <v>6</v>
      </c>
      <c r="BU21" s="2408">
        <f t="shared" si="28"/>
        <v>167</v>
      </c>
      <c r="BV21" s="2409">
        <f t="shared" si="28"/>
        <v>201</v>
      </c>
      <c r="BW21" s="2407">
        <f t="shared" si="28"/>
        <v>87</v>
      </c>
      <c r="BX21" s="2408">
        <f t="shared" si="28"/>
        <v>3</v>
      </c>
      <c r="BY21" s="2408">
        <f t="shared" si="28"/>
        <v>184</v>
      </c>
      <c r="BZ21" s="2409">
        <f t="shared" si="28"/>
        <v>274</v>
      </c>
    </row>
    <row r="22" spans="1:78" s="224" customFormat="1" ht="15" x14ac:dyDescent="0.2">
      <c r="A22" s="904"/>
      <c r="B22" s="904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04"/>
      <c r="O22" s="904"/>
      <c r="P22" s="904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904"/>
      <c r="AF22" s="904"/>
      <c r="AG22" s="904"/>
      <c r="AH22" s="904"/>
      <c r="AI22" s="904"/>
      <c r="AJ22" s="904"/>
      <c r="AK22" s="904"/>
      <c r="AL22" s="904"/>
      <c r="AM22" s="904"/>
      <c r="AN22" s="904"/>
      <c r="AO22" s="904"/>
      <c r="AP22" s="904"/>
      <c r="AQ22" s="904"/>
      <c r="AR22" s="904"/>
      <c r="AS22" s="904"/>
      <c r="AT22" s="904"/>
      <c r="AU22" s="904"/>
      <c r="AV22" s="904"/>
      <c r="AW22" s="904"/>
      <c r="AX22" s="904"/>
      <c r="AY22" s="904"/>
      <c r="AZ22" s="904"/>
      <c r="BA22" s="904"/>
      <c r="BB22" s="904"/>
      <c r="BC22" s="904"/>
      <c r="BD22" s="904"/>
      <c r="BE22" s="904"/>
      <c r="BF22" s="904"/>
      <c r="BG22" s="904"/>
      <c r="BH22" s="904"/>
      <c r="BI22" s="904"/>
      <c r="BJ22" s="904"/>
      <c r="BK22" s="904"/>
      <c r="BL22" s="904"/>
      <c r="BM22" s="904"/>
      <c r="BN22" s="904"/>
      <c r="BO22" s="904"/>
      <c r="BP22" s="904"/>
      <c r="BQ22" s="904"/>
      <c r="BR22" s="904"/>
      <c r="BS22" s="904"/>
      <c r="BT22" s="904"/>
      <c r="BU22" s="904"/>
      <c r="BV22" s="904"/>
      <c r="BW22" s="904"/>
      <c r="BX22" s="904"/>
      <c r="BY22" s="904"/>
      <c r="BZ22" s="904"/>
    </row>
    <row r="23" spans="1:78" s="224" customFormat="1" ht="15" x14ac:dyDescent="0.2">
      <c r="A23" s="6228" t="s">
        <v>6</v>
      </c>
      <c r="B23" s="1029" t="s">
        <v>615</v>
      </c>
      <c r="C23" s="1274"/>
      <c r="D23" s="1275"/>
      <c r="E23" s="1275"/>
      <c r="F23" s="1277"/>
      <c r="G23" s="1274"/>
      <c r="H23" s="1275"/>
      <c r="I23" s="1275"/>
      <c r="J23" s="1276"/>
      <c r="K23" s="1275"/>
      <c r="L23" s="1275"/>
      <c r="M23" s="1275"/>
      <c r="N23" s="1277"/>
      <c r="O23" s="1274"/>
      <c r="P23" s="1275"/>
      <c r="Q23" s="1275"/>
      <c r="R23" s="1276"/>
      <c r="S23" s="1275"/>
      <c r="T23" s="1275"/>
      <c r="U23" s="1275"/>
      <c r="V23" s="1277"/>
      <c r="W23" s="1274"/>
      <c r="X23" s="1275"/>
      <c r="Y23" s="1275"/>
      <c r="Z23" s="1276"/>
      <c r="AA23" s="1275"/>
      <c r="AB23" s="1275"/>
      <c r="AC23" s="1275"/>
      <c r="AD23" s="1277"/>
      <c r="AE23" s="1274"/>
      <c r="AF23" s="1275"/>
      <c r="AG23" s="1275"/>
      <c r="AH23" s="1276"/>
      <c r="AI23" s="1275"/>
      <c r="AJ23" s="1275"/>
      <c r="AK23" s="1275"/>
      <c r="AL23" s="1670"/>
      <c r="AM23" s="1030"/>
      <c r="AN23" s="1031"/>
      <c r="AO23" s="1031"/>
      <c r="AP23" s="1048"/>
      <c r="AQ23" s="1030"/>
      <c r="AR23" s="1031"/>
      <c r="AS23" s="1031"/>
      <c r="AT23" s="1031"/>
      <c r="AU23" s="1030"/>
      <c r="AV23" s="1031"/>
      <c r="AW23" s="1031"/>
      <c r="AX23" s="1048"/>
      <c r="AY23" s="1030"/>
      <c r="AZ23" s="1031"/>
      <c r="BA23" s="1031"/>
      <c r="BB23" s="1048"/>
      <c r="BC23" s="1030"/>
      <c r="BD23" s="1031"/>
      <c r="BE23" s="1031"/>
      <c r="BF23" s="1048"/>
      <c r="BG23" s="1030"/>
      <c r="BH23" s="1031"/>
      <c r="BI23" s="1031"/>
      <c r="BJ23" s="1048"/>
      <c r="BK23" s="1030"/>
      <c r="BL23" s="1031"/>
      <c r="BM23" s="1031"/>
      <c r="BN23" s="1048">
        <f>SUM(BK23:BM23)</f>
        <v>0</v>
      </c>
      <c r="BO23" s="1030"/>
      <c r="BP23" s="1031"/>
      <c r="BQ23" s="1031"/>
      <c r="BR23" s="1048">
        <f>SUM(BO23:BQ23)</f>
        <v>0</v>
      </c>
      <c r="BS23" s="1030"/>
      <c r="BT23" s="1031"/>
      <c r="BU23" s="1031"/>
      <c r="BV23" s="1048">
        <f>SUM(BS23:BU23)</f>
        <v>0</v>
      </c>
      <c r="BW23" s="1030"/>
      <c r="BX23" s="1031"/>
      <c r="BY23" s="1031"/>
      <c r="BZ23" s="1048">
        <f>SUM(BW23:BY23)</f>
        <v>0</v>
      </c>
    </row>
    <row r="24" spans="1:78" s="224" customFormat="1" ht="15" x14ac:dyDescent="0.2">
      <c r="A24" s="6229"/>
      <c r="B24" s="1034" t="s">
        <v>616</v>
      </c>
      <c r="C24" s="1278"/>
      <c r="D24" s="1279"/>
      <c r="E24" s="1279"/>
      <c r="F24" s="1281"/>
      <c r="G24" s="1278"/>
      <c r="H24" s="1279"/>
      <c r="I24" s="1279"/>
      <c r="J24" s="1280"/>
      <c r="K24" s="1279"/>
      <c r="L24" s="1279"/>
      <c r="M24" s="1279"/>
      <c r="N24" s="1281"/>
      <c r="O24" s="1278"/>
      <c r="P24" s="1279"/>
      <c r="Q24" s="1279"/>
      <c r="R24" s="1280"/>
      <c r="S24" s="1279"/>
      <c r="T24" s="1279"/>
      <c r="U24" s="1279"/>
      <c r="V24" s="1281"/>
      <c r="W24" s="1278"/>
      <c r="X24" s="1279"/>
      <c r="Y24" s="1279"/>
      <c r="Z24" s="1280"/>
      <c r="AA24" s="1279"/>
      <c r="AB24" s="1279"/>
      <c r="AC24" s="1279"/>
      <c r="AD24" s="1281"/>
      <c r="AE24" s="1278"/>
      <c r="AF24" s="1279"/>
      <c r="AG24" s="1279"/>
      <c r="AH24" s="1280"/>
      <c r="AI24" s="1279"/>
      <c r="AJ24" s="1279"/>
      <c r="AK24" s="1279"/>
      <c r="AL24" s="1671"/>
      <c r="AM24" s="1035"/>
      <c r="AN24" s="1036"/>
      <c r="AO24" s="1036"/>
      <c r="AP24" s="1039"/>
      <c r="AQ24" s="1035"/>
      <c r="AR24" s="1036"/>
      <c r="AS24" s="1036"/>
      <c r="AT24" s="1036"/>
      <c r="AU24" s="1035"/>
      <c r="AV24" s="1036"/>
      <c r="AW24" s="1036"/>
      <c r="AX24" s="1039"/>
      <c r="AY24" s="1035">
        <v>20</v>
      </c>
      <c r="AZ24" s="1036"/>
      <c r="BA24" s="1036"/>
      <c r="BB24" s="1039">
        <f>SUM(AY24:BA24)</f>
        <v>20</v>
      </c>
      <c r="BC24" s="1035">
        <f>SUM('INSC-POSG plan'!BE52)</f>
        <v>13</v>
      </c>
      <c r="BD24" s="1036"/>
      <c r="BE24" s="1036"/>
      <c r="BF24" s="1039">
        <f>SUM(BC24:BE24)</f>
        <v>13</v>
      </c>
      <c r="BG24" s="1035">
        <f>SUM('INSC-POSG plan'!BI52)</f>
        <v>23</v>
      </c>
      <c r="BH24" s="1036"/>
      <c r="BI24" s="1036"/>
      <c r="BJ24" s="1039">
        <f>SUM(BG24:BI24)</f>
        <v>23</v>
      </c>
      <c r="BK24" s="1035">
        <f>SUM('INSC-POSG plan'!BM52)</f>
        <v>0</v>
      </c>
      <c r="BL24" s="1036">
        <f>SUM('INSC-POSG plan'!BN52)</f>
        <v>0</v>
      </c>
      <c r="BM24" s="1036">
        <f>SUM('INSC-POSG plan'!BO52)</f>
        <v>13</v>
      </c>
      <c r="BN24" s="1039">
        <f>SUM(BK24:BM24)</f>
        <v>13</v>
      </c>
      <c r="BO24" s="1035">
        <f>SUM('INSC-POSG plan'!BQ52)</f>
        <v>0</v>
      </c>
      <c r="BP24" s="1036">
        <f>SUM('INSC-POSG plan'!BR52)</f>
        <v>0</v>
      </c>
      <c r="BQ24" s="1036">
        <f>SUM('INSC-POSG plan'!BS52)</f>
        <v>21</v>
      </c>
      <c r="BR24" s="1039">
        <f>SUM(BO24:BQ24)</f>
        <v>21</v>
      </c>
      <c r="BS24" s="1035">
        <f>SUM('INSC-POSG plan'!BU52)</f>
        <v>0</v>
      </c>
      <c r="BT24" s="1036">
        <f>SUM('INSC-POSG plan'!BV52)</f>
        <v>0</v>
      </c>
      <c r="BU24" s="1036">
        <f>SUM('INSC-POSG plan'!BW52)</f>
        <v>8</v>
      </c>
      <c r="BV24" s="1039">
        <f>SUM(BS24:BU24)</f>
        <v>8</v>
      </c>
      <c r="BW24" s="1035">
        <f>SUM('INSC-POSG plan'!BY52)</f>
        <v>0</v>
      </c>
      <c r="BX24" s="1036">
        <f>SUM('INSC-POSG plan'!BZ52)</f>
        <v>0</v>
      </c>
      <c r="BY24" s="1036">
        <f>SUM('INSC-POSG plan'!CA52)</f>
        <v>12</v>
      </c>
      <c r="BZ24" s="1039">
        <f>SUM(BW24:BY24)</f>
        <v>12</v>
      </c>
    </row>
    <row r="25" spans="1:78" s="224" customFormat="1" ht="15" x14ac:dyDescent="0.2">
      <c r="A25" s="6229"/>
      <c r="B25" s="1040" t="s">
        <v>617</v>
      </c>
      <c r="C25" s="1289"/>
      <c r="D25" s="1290"/>
      <c r="E25" s="1290"/>
      <c r="F25" s="1292"/>
      <c r="G25" s="1289"/>
      <c r="H25" s="1290"/>
      <c r="I25" s="1290"/>
      <c r="J25" s="1291"/>
      <c r="K25" s="1290"/>
      <c r="L25" s="1290"/>
      <c r="M25" s="1290"/>
      <c r="N25" s="1292"/>
      <c r="O25" s="1289"/>
      <c r="P25" s="1290"/>
      <c r="Q25" s="1290"/>
      <c r="R25" s="1291"/>
      <c r="S25" s="1290"/>
      <c r="T25" s="1290"/>
      <c r="U25" s="1290"/>
      <c r="V25" s="1292"/>
      <c r="W25" s="1289"/>
      <c r="X25" s="1290"/>
      <c r="Y25" s="1290"/>
      <c r="Z25" s="1291"/>
      <c r="AA25" s="1290"/>
      <c r="AB25" s="1290"/>
      <c r="AC25" s="1290"/>
      <c r="AD25" s="1292"/>
      <c r="AE25" s="1289"/>
      <c r="AF25" s="1290"/>
      <c r="AG25" s="1290"/>
      <c r="AH25" s="1291"/>
      <c r="AI25" s="1290"/>
      <c r="AJ25" s="1290"/>
      <c r="AK25" s="1290"/>
      <c r="AL25" s="1672"/>
      <c r="AM25" s="1041"/>
      <c r="AN25" s="1042"/>
      <c r="AO25" s="1042"/>
      <c r="AP25" s="1045"/>
      <c r="AQ25" s="1041"/>
      <c r="AR25" s="1042"/>
      <c r="AS25" s="1042"/>
      <c r="AT25" s="1042"/>
      <c r="AU25" s="1041"/>
      <c r="AV25" s="1042"/>
      <c r="AW25" s="1042"/>
      <c r="AX25" s="1045"/>
      <c r="AY25" s="1041">
        <v>12</v>
      </c>
      <c r="AZ25" s="1042"/>
      <c r="BA25" s="1042"/>
      <c r="BB25" s="1045">
        <f>SUM(AY25:BA25)</f>
        <v>12</v>
      </c>
      <c r="BC25" s="1041">
        <f>SUM('INSC-POSG plan'!BE53)</f>
        <v>10</v>
      </c>
      <c r="BD25" s="1042"/>
      <c r="BE25" s="1042"/>
      <c r="BF25" s="1045">
        <f>SUM(BC25:BE25)</f>
        <v>10</v>
      </c>
      <c r="BG25" s="1041"/>
      <c r="BH25" s="1042">
        <f>SUM('INSC-POSG plan'!BJ53)</f>
        <v>2</v>
      </c>
      <c r="BI25" s="1042">
        <f>SUM('INSC-POSG plan'!BK53)</f>
        <v>15</v>
      </c>
      <c r="BJ25" s="1045">
        <f>SUM(BG25:BI25)</f>
        <v>17</v>
      </c>
      <c r="BK25" s="1041">
        <f>SUM('INSC-POSG plan'!BM53)</f>
        <v>0</v>
      </c>
      <c r="BL25" s="1042">
        <f>SUM('INSC-POSG plan'!BN53)</f>
        <v>0</v>
      </c>
      <c r="BM25" s="1042">
        <f>SUM('INSC-POSG plan'!BO53)</f>
        <v>17</v>
      </c>
      <c r="BN25" s="1045">
        <f>SUM(BK25:BM25)</f>
        <v>17</v>
      </c>
      <c r="BO25" s="1041">
        <f>SUM('INSC-POSG plan'!BQ53)</f>
        <v>0</v>
      </c>
      <c r="BP25" s="1042">
        <f>SUM('INSC-POSG plan'!BR53)</f>
        <v>0</v>
      </c>
      <c r="BQ25" s="1042">
        <f>SUM('INSC-POSG plan'!BS53)</f>
        <v>19</v>
      </c>
      <c r="BR25" s="1045">
        <f>SUM(BO25:BQ25)</f>
        <v>19</v>
      </c>
      <c r="BS25" s="1041">
        <f>SUM('INSC-POSG plan'!BU53)</f>
        <v>0</v>
      </c>
      <c r="BT25" s="1042">
        <f>SUM('INSC-POSG plan'!BV53)</f>
        <v>0</v>
      </c>
      <c r="BU25" s="1042">
        <f>SUM('INSC-POSG plan'!BW53)</f>
        <v>10</v>
      </c>
      <c r="BV25" s="1045">
        <f>SUM(BS25:BU25)</f>
        <v>10</v>
      </c>
      <c r="BW25" s="1041">
        <f>SUM('INSC-POSG plan'!BY53)</f>
        <v>0</v>
      </c>
      <c r="BX25" s="1042">
        <f>SUM('INSC-POSG plan'!BZ53)</f>
        <v>0</v>
      </c>
      <c r="BY25" s="1042">
        <f>SUM('INSC-POSG plan'!CA53)</f>
        <v>10</v>
      </c>
      <c r="BZ25" s="1045">
        <f>SUM(BW25:BY25)</f>
        <v>10</v>
      </c>
    </row>
    <row r="26" spans="1:78" s="224" customFormat="1" ht="15" x14ac:dyDescent="0.2">
      <c r="A26" s="6230"/>
      <c r="B26" s="574" t="s">
        <v>14</v>
      </c>
      <c r="C26" s="1150"/>
      <c r="D26" s="1150"/>
      <c r="E26" s="1150"/>
      <c r="F26" s="1150"/>
      <c r="G26" s="1149"/>
      <c r="H26" s="1150"/>
      <c r="I26" s="1150"/>
      <c r="J26" s="1151"/>
      <c r="K26" s="1150"/>
      <c r="L26" s="1150"/>
      <c r="M26" s="1150"/>
      <c r="N26" s="1150"/>
      <c r="O26" s="1149"/>
      <c r="P26" s="1150"/>
      <c r="Q26" s="1150"/>
      <c r="R26" s="1151"/>
      <c r="S26" s="1150"/>
      <c r="T26" s="1150"/>
      <c r="U26" s="1150"/>
      <c r="V26" s="1150"/>
      <c r="W26" s="1149"/>
      <c r="X26" s="1150"/>
      <c r="Y26" s="1150"/>
      <c r="Z26" s="1151"/>
      <c r="AA26" s="1150"/>
      <c r="AB26" s="1150"/>
      <c r="AC26" s="1150"/>
      <c r="AD26" s="1150"/>
      <c r="AE26" s="1149"/>
      <c r="AF26" s="1150"/>
      <c r="AG26" s="1150"/>
      <c r="AH26" s="1151"/>
      <c r="AI26" s="1150"/>
      <c r="AJ26" s="1150"/>
      <c r="AK26" s="1150"/>
      <c r="AL26" s="1150"/>
      <c r="AM26" s="576"/>
      <c r="AN26" s="576"/>
      <c r="AO26" s="576"/>
      <c r="AP26" s="576"/>
      <c r="AQ26" s="576"/>
      <c r="AR26" s="576"/>
      <c r="AS26" s="576"/>
      <c r="AT26" s="576"/>
      <c r="AU26" s="575"/>
      <c r="AV26" s="576"/>
      <c r="AW26" s="576"/>
      <c r="AX26" s="577"/>
      <c r="AY26" s="575">
        <f>SUM(AY23:AY25)</f>
        <v>32</v>
      </c>
      <c r="AZ26" s="576"/>
      <c r="BA26" s="576"/>
      <c r="BB26" s="577">
        <f>SUM(AY26:BA26)</f>
        <v>32</v>
      </c>
      <c r="BC26" s="575">
        <f>SUM(BC23:BC25)</f>
        <v>23</v>
      </c>
      <c r="BD26" s="576"/>
      <c r="BE26" s="576"/>
      <c r="BF26" s="577">
        <f>SUM(BC26:BE26)</f>
        <v>23</v>
      </c>
      <c r="BG26" s="575">
        <f>SUM(BG23:BG25)</f>
        <v>23</v>
      </c>
      <c r="BH26" s="576">
        <f>SUM(BH25)</f>
        <v>2</v>
      </c>
      <c r="BI26" s="576">
        <f>SUM(BI24:BI25)</f>
        <v>15</v>
      </c>
      <c r="BJ26" s="577">
        <f>SUM(BG26:BI26)</f>
        <v>40</v>
      </c>
      <c r="BK26" s="575">
        <f>SUM(BK23:BK25)</f>
        <v>0</v>
      </c>
      <c r="BL26" s="576">
        <f>SUM(BL25)</f>
        <v>0</v>
      </c>
      <c r="BM26" s="576">
        <f>SUM(BM24:BM25)</f>
        <v>30</v>
      </c>
      <c r="BN26" s="577">
        <f>SUM(BK26:BM26)</f>
        <v>30</v>
      </c>
      <c r="BO26" s="575">
        <f>SUM(BO23:BO25)</f>
        <v>0</v>
      </c>
      <c r="BP26" s="576">
        <f>SUM(BP25)</f>
        <v>0</v>
      </c>
      <c r="BQ26" s="576">
        <f>SUM(BQ24:BQ25)</f>
        <v>40</v>
      </c>
      <c r="BR26" s="577">
        <f>SUM(BO26:BQ26)</f>
        <v>40</v>
      </c>
      <c r="BS26" s="575">
        <f>SUM(BS23:BS25)</f>
        <v>0</v>
      </c>
      <c r="BT26" s="576">
        <f>SUM(BT25)</f>
        <v>0</v>
      </c>
      <c r="BU26" s="576">
        <f>SUM(BU24:BU25)</f>
        <v>18</v>
      </c>
      <c r="BV26" s="577">
        <f>SUM(BS26:BU26)</f>
        <v>18</v>
      </c>
      <c r="BW26" s="575">
        <f>SUM(BW23:BW25)</f>
        <v>0</v>
      </c>
      <c r="BX26" s="576">
        <f>SUM(BX25)</f>
        <v>0</v>
      </c>
      <c r="BY26" s="576">
        <f>SUM(BY24:BY25)</f>
        <v>22</v>
      </c>
      <c r="BZ26" s="577">
        <f>SUM(BW26:BY26)</f>
        <v>22</v>
      </c>
    </row>
    <row r="27" spans="1:78" s="224" customFormat="1" ht="15" x14ac:dyDescent="0.2">
      <c r="A27" s="6229" t="s">
        <v>9</v>
      </c>
      <c r="B27" s="1029" t="s">
        <v>615</v>
      </c>
      <c r="C27" s="1274"/>
      <c r="D27" s="1275"/>
      <c r="E27" s="1275"/>
      <c r="F27" s="1277"/>
      <c r="G27" s="1274"/>
      <c r="H27" s="1275"/>
      <c r="I27" s="1275"/>
      <c r="J27" s="1276"/>
      <c r="K27" s="1275"/>
      <c r="L27" s="1275"/>
      <c r="M27" s="1275"/>
      <c r="N27" s="1277"/>
      <c r="O27" s="1274"/>
      <c r="P27" s="1275"/>
      <c r="Q27" s="1275"/>
      <c r="R27" s="1276"/>
      <c r="S27" s="1275"/>
      <c r="T27" s="1275"/>
      <c r="U27" s="1275"/>
      <c r="V27" s="1277"/>
      <c r="W27" s="1274"/>
      <c r="X27" s="1275"/>
      <c r="Y27" s="1275"/>
      <c r="Z27" s="1276"/>
      <c r="AA27" s="1275"/>
      <c r="AB27" s="1275"/>
      <c r="AC27" s="1275"/>
      <c r="AD27" s="1277"/>
      <c r="AE27" s="1274"/>
      <c r="AF27" s="1275"/>
      <c r="AG27" s="1275"/>
      <c r="AH27" s="1276"/>
      <c r="AI27" s="1275"/>
      <c r="AJ27" s="1275"/>
      <c r="AK27" s="1275"/>
      <c r="AL27" s="1670"/>
      <c r="AM27" s="1030"/>
      <c r="AN27" s="1031"/>
      <c r="AO27" s="1031"/>
      <c r="AP27" s="1048"/>
      <c r="AQ27" s="1030"/>
      <c r="AR27" s="1031"/>
      <c r="AS27" s="1031"/>
      <c r="AT27" s="1031"/>
      <c r="AU27" s="1030"/>
      <c r="AV27" s="1031"/>
      <c r="AW27" s="1031"/>
      <c r="AX27" s="1048"/>
      <c r="AY27" s="1030"/>
      <c r="AZ27" s="1031"/>
      <c r="BA27" s="1031"/>
      <c r="BB27" s="1048"/>
      <c r="BC27" s="1030"/>
      <c r="BD27" s="1031"/>
      <c r="BE27" s="1031"/>
      <c r="BF27" s="1048"/>
      <c r="BG27" s="1030"/>
      <c r="BH27" s="1031"/>
      <c r="BI27" s="1031"/>
      <c r="BJ27" s="1048"/>
      <c r="BK27" s="1030"/>
      <c r="BL27" s="1031"/>
      <c r="BM27" s="1031"/>
      <c r="BN27" s="1048"/>
      <c r="BO27" s="1030"/>
      <c r="BP27" s="1031"/>
      <c r="BQ27" s="1031"/>
      <c r="BR27" s="1048"/>
      <c r="BS27" s="1030"/>
      <c r="BT27" s="1031"/>
      <c r="BU27" s="1031"/>
      <c r="BV27" s="1048"/>
      <c r="BW27" s="1030"/>
      <c r="BX27" s="1031"/>
      <c r="BY27" s="1031"/>
      <c r="BZ27" s="1048"/>
    </row>
    <row r="28" spans="1:78" s="224" customFormat="1" ht="15" x14ac:dyDescent="0.2">
      <c r="A28" s="6229"/>
      <c r="B28" s="1034" t="s">
        <v>616</v>
      </c>
      <c r="C28" s="1278"/>
      <c r="D28" s="1279"/>
      <c r="E28" s="1279"/>
      <c r="F28" s="1281"/>
      <c r="G28" s="1278"/>
      <c r="H28" s="1279"/>
      <c r="I28" s="1279"/>
      <c r="J28" s="1280"/>
      <c r="K28" s="1279"/>
      <c r="L28" s="1279"/>
      <c r="M28" s="1279"/>
      <c r="N28" s="1281"/>
      <c r="O28" s="1278"/>
      <c r="P28" s="1279"/>
      <c r="Q28" s="1279"/>
      <c r="R28" s="1280"/>
      <c r="S28" s="1279"/>
      <c r="T28" s="1279"/>
      <c r="U28" s="1279"/>
      <c r="V28" s="1281"/>
      <c r="W28" s="1278"/>
      <c r="X28" s="1279"/>
      <c r="Y28" s="1279"/>
      <c r="Z28" s="1280"/>
      <c r="AA28" s="1279"/>
      <c r="AB28" s="1279"/>
      <c r="AC28" s="1279"/>
      <c r="AD28" s="1281"/>
      <c r="AE28" s="1278"/>
      <c r="AF28" s="1279"/>
      <c r="AG28" s="1279"/>
      <c r="AH28" s="1280"/>
      <c r="AI28" s="1279"/>
      <c r="AJ28" s="1279"/>
      <c r="AK28" s="1279"/>
      <c r="AL28" s="1671"/>
      <c r="AM28" s="1035"/>
      <c r="AN28" s="1036"/>
      <c r="AO28" s="1036"/>
      <c r="AP28" s="1039"/>
      <c r="AQ28" s="1035"/>
      <c r="AR28" s="1036"/>
      <c r="AS28" s="1036"/>
      <c r="AT28" s="1036"/>
      <c r="AU28" s="1035"/>
      <c r="AV28" s="1036"/>
      <c r="AW28" s="1036"/>
      <c r="AX28" s="1039"/>
      <c r="AY28" s="1035"/>
      <c r="AZ28" s="1036"/>
      <c r="BA28" s="1036"/>
      <c r="BB28" s="1039"/>
      <c r="BC28" s="1035"/>
      <c r="BD28" s="1036"/>
      <c r="BE28" s="1036">
        <f>SUM('INSC-POSG plan'!BG55)</f>
        <v>12</v>
      </c>
      <c r="BF28" s="1039">
        <f>SUM(BC28:BE28)</f>
        <v>12</v>
      </c>
      <c r="BG28" s="1035"/>
      <c r="BH28" s="1036"/>
      <c r="BI28" s="1036">
        <f>SUM('INSC-POSG plan'!BK55)</f>
        <v>12</v>
      </c>
      <c r="BJ28" s="1039">
        <f>SUM(BG28:BI28)</f>
        <v>12</v>
      </c>
      <c r="BK28" s="1036">
        <f>SUM('INSC-POSG plan'!BM55)</f>
        <v>0</v>
      </c>
      <c r="BL28" s="1036">
        <f>SUM('INSC-POSG plan'!BN55)</f>
        <v>0</v>
      </c>
      <c r="BM28" s="1036">
        <f>SUM('INSC-POSG plan'!BO55)</f>
        <v>20</v>
      </c>
      <c r="BN28" s="1039">
        <f>SUM(BK28:BM28)</f>
        <v>20</v>
      </c>
      <c r="BO28" s="1036">
        <f>SUM('INSC-POSG plan'!BQ55)</f>
        <v>0</v>
      </c>
      <c r="BP28" s="1036">
        <f>SUM('INSC-POSG plan'!BR55)</f>
        <v>0</v>
      </c>
      <c r="BQ28" s="1036">
        <f>SUM('INSC-POSG plan'!BS55)</f>
        <v>18</v>
      </c>
      <c r="BR28" s="1039">
        <f>SUM(BO28:BQ28)</f>
        <v>18</v>
      </c>
      <c r="BS28" s="1036">
        <f>SUM('INSC-POSG plan'!BU55)</f>
        <v>0</v>
      </c>
      <c r="BT28" s="1036">
        <f>SUM('INSC-POSG plan'!BV55)</f>
        <v>0</v>
      </c>
      <c r="BU28" s="1036">
        <f>SUM('INSC-POSG plan'!BW55)</f>
        <v>22</v>
      </c>
      <c r="BV28" s="1039">
        <f>SUM(BS28:BU28)</f>
        <v>22</v>
      </c>
      <c r="BW28" s="1036">
        <f>SUM('INSC-POSG plan'!BY55)</f>
        <v>0</v>
      </c>
      <c r="BX28" s="1036">
        <f>SUM('INSC-POSG plan'!BZ55)</f>
        <v>0</v>
      </c>
      <c r="BY28" s="1036">
        <f>SUM('INSC-POSG plan'!CA55)</f>
        <v>22</v>
      </c>
      <c r="BZ28" s="1039">
        <f>SUM(BW28:BY28)</f>
        <v>22</v>
      </c>
    </row>
    <row r="29" spans="1:78" s="224" customFormat="1" ht="15" x14ac:dyDescent="0.2">
      <c r="A29" s="6229"/>
      <c r="B29" s="1040" t="s">
        <v>617</v>
      </c>
      <c r="C29" s="1289"/>
      <c r="D29" s="1290"/>
      <c r="E29" s="1290"/>
      <c r="F29" s="1292"/>
      <c r="G29" s="1289"/>
      <c r="H29" s="1290"/>
      <c r="I29" s="1290"/>
      <c r="J29" s="1291"/>
      <c r="K29" s="1290"/>
      <c r="L29" s="1290"/>
      <c r="M29" s="1290"/>
      <c r="N29" s="1292"/>
      <c r="O29" s="1289"/>
      <c r="P29" s="1290"/>
      <c r="Q29" s="1290"/>
      <c r="R29" s="1291"/>
      <c r="S29" s="1290"/>
      <c r="T29" s="1290"/>
      <c r="U29" s="1290"/>
      <c r="V29" s="1292"/>
      <c r="W29" s="1289"/>
      <c r="X29" s="1290"/>
      <c r="Y29" s="1290"/>
      <c r="Z29" s="1291"/>
      <c r="AA29" s="1290"/>
      <c r="AB29" s="1290"/>
      <c r="AC29" s="1290"/>
      <c r="AD29" s="1292"/>
      <c r="AE29" s="1289"/>
      <c r="AF29" s="1290"/>
      <c r="AG29" s="1290"/>
      <c r="AH29" s="1291"/>
      <c r="AI29" s="1290"/>
      <c r="AJ29" s="1290"/>
      <c r="AK29" s="1290"/>
      <c r="AL29" s="1672"/>
      <c r="AM29" s="1041"/>
      <c r="AN29" s="1042"/>
      <c r="AO29" s="1042"/>
      <c r="AP29" s="1045"/>
      <c r="AQ29" s="1041"/>
      <c r="AR29" s="1042"/>
      <c r="AS29" s="1042"/>
      <c r="AT29" s="1042"/>
      <c r="AU29" s="1041"/>
      <c r="AV29" s="1042"/>
      <c r="AW29" s="1042"/>
      <c r="AX29" s="1045"/>
      <c r="AY29" s="1041"/>
      <c r="AZ29" s="1042"/>
      <c r="BA29" s="1042"/>
      <c r="BB29" s="1045"/>
      <c r="BC29" s="1041"/>
      <c r="BD29" s="1042"/>
      <c r="BE29" s="1042"/>
      <c r="BF29" s="1045"/>
      <c r="BG29" s="1041"/>
      <c r="BH29" s="1042"/>
      <c r="BI29" s="1042"/>
      <c r="BJ29" s="1045"/>
      <c r="BK29" s="1041"/>
      <c r="BL29" s="1042"/>
      <c r="BM29" s="1042"/>
      <c r="BN29" s="1045"/>
      <c r="BO29" s="1041"/>
      <c r="BP29" s="1042"/>
      <c r="BQ29" s="1042"/>
      <c r="BR29" s="1045"/>
      <c r="BS29" s="1041"/>
      <c r="BT29" s="1042"/>
      <c r="BU29" s="1042"/>
      <c r="BV29" s="1045"/>
      <c r="BW29" s="1041"/>
      <c r="BX29" s="1042"/>
      <c r="BY29" s="1042"/>
      <c r="BZ29" s="1045"/>
    </row>
    <row r="30" spans="1:78" s="224" customFormat="1" ht="15" x14ac:dyDescent="0.2">
      <c r="A30" s="6230"/>
      <c r="B30" s="574" t="s">
        <v>417</v>
      </c>
      <c r="C30" s="1150"/>
      <c r="D30" s="1150"/>
      <c r="E30" s="1150"/>
      <c r="F30" s="1150"/>
      <c r="G30" s="1149"/>
      <c r="H30" s="1150"/>
      <c r="I30" s="1150"/>
      <c r="J30" s="1151"/>
      <c r="K30" s="1150"/>
      <c r="L30" s="1150"/>
      <c r="M30" s="1150"/>
      <c r="N30" s="1150"/>
      <c r="O30" s="1149"/>
      <c r="P30" s="1150"/>
      <c r="Q30" s="1150"/>
      <c r="R30" s="1151"/>
      <c r="S30" s="1150"/>
      <c r="T30" s="1150"/>
      <c r="U30" s="1150"/>
      <c r="V30" s="1150"/>
      <c r="W30" s="1149"/>
      <c r="X30" s="1150"/>
      <c r="Y30" s="1150"/>
      <c r="Z30" s="1151"/>
      <c r="AA30" s="1150"/>
      <c r="AB30" s="1150"/>
      <c r="AC30" s="1150"/>
      <c r="AD30" s="1150"/>
      <c r="AE30" s="1149"/>
      <c r="AF30" s="1150"/>
      <c r="AG30" s="1150"/>
      <c r="AH30" s="1151"/>
      <c r="AI30" s="1150"/>
      <c r="AJ30" s="1150"/>
      <c r="AK30" s="1150"/>
      <c r="AL30" s="1150"/>
      <c r="AM30" s="576"/>
      <c r="AN30" s="576"/>
      <c r="AO30" s="576"/>
      <c r="AP30" s="576"/>
      <c r="AQ30" s="576"/>
      <c r="AR30" s="576"/>
      <c r="AS30" s="576"/>
      <c r="AT30" s="576"/>
      <c r="AU30" s="575"/>
      <c r="AV30" s="576"/>
      <c r="AW30" s="576"/>
      <c r="AX30" s="577"/>
      <c r="AY30" s="575"/>
      <c r="AZ30" s="576"/>
      <c r="BA30" s="576"/>
      <c r="BB30" s="577"/>
      <c r="BC30" s="575"/>
      <c r="BD30" s="576"/>
      <c r="BE30" s="576">
        <f>SUM(BE27:BE29)</f>
        <v>12</v>
      </c>
      <c r="BF30" s="577">
        <f>SUM(BC30:BE30)</f>
        <v>12</v>
      </c>
      <c r="BG30" s="575"/>
      <c r="BH30" s="576"/>
      <c r="BI30" s="576">
        <f>SUM(BI27:BI29)</f>
        <v>12</v>
      </c>
      <c r="BJ30" s="577">
        <f>SUM(BG30:BI30)</f>
        <v>12</v>
      </c>
      <c r="BK30" s="576">
        <f>SUM(BK27:BK29)</f>
        <v>0</v>
      </c>
      <c r="BL30" s="576">
        <f>SUM(BL27:BL29)</f>
        <v>0</v>
      </c>
      <c r="BM30" s="576">
        <f>SUM(BM27:BM29)</f>
        <v>20</v>
      </c>
      <c r="BN30" s="577">
        <f>SUM(BK30:BM30)</f>
        <v>20</v>
      </c>
      <c r="BO30" s="576">
        <f>SUM(BO27:BO29)</f>
        <v>0</v>
      </c>
      <c r="BP30" s="576">
        <f>SUM(BP27:BP29)</f>
        <v>0</v>
      </c>
      <c r="BQ30" s="576">
        <f>SUM(BQ27:BQ29)</f>
        <v>18</v>
      </c>
      <c r="BR30" s="577">
        <f>SUM(BO30:BQ30)</f>
        <v>18</v>
      </c>
      <c r="BS30" s="576">
        <f>SUM(BS27:BS29)</f>
        <v>0</v>
      </c>
      <c r="BT30" s="576">
        <f>SUM(BT27:BT29)</f>
        <v>0</v>
      </c>
      <c r="BU30" s="576">
        <f>SUM(BU27:BU29)</f>
        <v>22</v>
      </c>
      <c r="BV30" s="577">
        <f>SUM(BS30:BU30)</f>
        <v>22</v>
      </c>
      <c r="BW30" s="576">
        <f>SUM(BW27:BW29)</f>
        <v>0</v>
      </c>
      <c r="BX30" s="576">
        <f>SUM(BX27:BX29)</f>
        <v>0</v>
      </c>
      <c r="BY30" s="576">
        <f>SUM(BY27:BY29)</f>
        <v>22</v>
      </c>
      <c r="BZ30" s="577">
        <f>SUM(BW30:BY30)</f>
        <v>22</v>
      </c>
    </row>
    <row r="31" spans="1:78" s="224" customFormat="1" ht="15" x14ac:dyDescent="0.2">
      <c r="A31" s="6229" t="s">
        <v>74</v>
      </c>
      <c r="B31" s="1029" t="s">
        <v>615</v>
      </c>
      <c r="C31" s="1274"/>
      <c r="D31" s="1275"/>
      <c r="E31" s="1275"/>
      <c r="F31" s="1277"/>
      <c r="G31" s="1274"/>
      <c r="H31" s="1275"/>
      <c r="I31" s="1275"/>
      <c r="J31" s="1276"/>
      <c r="K31" s="1275"/>
      <c r="L31" s="1275"/>
      <c r="M31" s="1275"/>
      <c r="N31" s="1277"/>
      <c r="O31" s="1274"/>
      <c r="P31" s="1275"/>
      <c r="Q31" s="1275"/>
      <c r="R31" s="1276"/>
      <c r="S31" s="1275"/>
      <c r="T31" s="1275"/>
      <c r="U31" s="1275"/>
      <c r="V31" s="1277"/>
      <c r="W31" s="1274"/>
      <c r="X31" s="1275"/>
      <c r="Y31" s="1275"/>
      <c r="Z31" s="1276"/>
      <c r="AA31" s="1275"/>
      <c r="AB31" s="1275"/>
      <c r="AC31" s="1275"/>
      <c r="AD31" s="1277"/>
      <c r="AE31" s="1274"/>
      <c r="AF31" s="1275"/>
      <c r="AG31" s="1275"/>
      <c r="AH31" s="1276"/>
      <c r="AI31" s="1275"/>
      <c r="AJ31" s="1275"/>
      <c r="AK31" s="1275"/>
      <c r="AL31" s="1670"/>
      <c r="AM31" s="1030"/>
      <c r="AN31" s="1031"/>
      <c r="AO31" s="1031"/>
      <c r="AP31" s="1048"/>
      <c r="AQ31" s="1030"/>
      <c r="AR31" s="1031"/>
      <c r="AS31" s="1031"/>
      <c r="AT31" s="1031"/>
      <c r="AU31" s="1030"/>
      <c r="AV31" s="1031"/>
      <c r="AW31" s="1031"/>
      <c r="AX31" s="1048"/>
      <c r="AY31" s="1030"/>
      <c r="AZ31" s="1031"/>
      <c r="BA31" s="1031"/>
      <c r="BB31" s="1048"/>
      <c r="BC31" s="1030"/>
      <c r="BD31" s="1031">
        <f>SUM('INSC-POSG plan'!BF57)</f>
        <v>2</v>
      </c>
      <c r="BE31" s="1031">
        <f>SUM('INSC-POSG plan'!BG57)</f>
        <v>1</v>
      </c>
      <c r="BF31" s="1048">
        <f>SUM(BC31:BE31)</f>
        <v>3</v>
      </c>
      <c r="BG31" s="1030">
        <f>SUM('INSC-POSG plan'!BI57)</f>
        <v>1</v>
      </c>
      <c r="BH31" s="1031"/>
      <c r="BI31" s="1031">
        <f>SUM('INSC-POSG plan'!BK57)</f>
        <v>1</v>
      </c>
      <c r="BJ31" s="1048">
        <f>SUM(BG31:BI31)</f>
        <v>2</v>
      </c>
      <c r="BK31" s="1030">
        <f>SUM('INSC-POSG plan'!BM57)</f>
        <v>2</v>
      </c>
      <c r="BL31" s="1031">
        <f>SUM('INSC-POSG plan'!BN57)</f>
        <v>0</v>
      </c>
      <c r="BM31" s="1031">
        <f>SUM('INSC-POSG plan'!BO57)</f>
        <v>1</v>
      </c>
      <c r="BN31" s="1048">
        <f>SUM(BK31:BM31)</f>
        <v>3</v>
      </c>
      <c r="BO31" s="1030">
        <f>SUM('INSC-POSG plan'!BQ57)</f>
        <v>2</v>
      </c>
      <c r="BP31" s="1031">
        <f>SUM('INSC-POSG plan'!BR57)</f>
        <v>1</v>
      </c>
      <c r="BQ31" s="1031">
        <f>SUM('INSC-POSG plan'!BS57)</f>
        <v>4</v>
      </c>
      <c r="BR31" s="1048">
        <f>SUM(BO31:BQ31)</f>
        <v>7</v>
      </c>
      <c r="BS31" s="1030">
        <f>SUM('INSC-POSG plan'!BU57)</f>
        <v>2</v>
      </c>
      <c r="BT31" s="1031">
        <f>SUM('INSC-POSG plan'!BV57)</f>
        <v>1</v>
      </c>
      <c r="BU31" s="1031">
        <f>SUM('INSC-POSG plan'!BW57)</f>
        <v>2</v>
      </c>
      <c r="BV31" s="1048">
        <f>SUM(BS31:BU31)</f>
        <v>5</v>
      </c>
      <c r="BW31" s="1030">
        <f>SUM('INSC-POSG plan'!BY57)</f>
        <v>2</v>
      </c>
      <c r="BX31" s="1031">
        <f>SUM('INSC-POSG plan'!BZ57)</f>
        <v>0</v>
      </c>
      <c r="BY31" s="1031">
        <f>SUM('INSC-POSG plan'!CA57)</f>
        <v>1</v>
      </c>
      <c r="BZ31" s="1048">
        <f>SUM(BW31:BY31)</f>
        <v>3</v>
      </c>
    </row>
    <row r="32" spans="1:78" s="224" customFormat="1" ht="15" x14ac:dyDescent="0.2">
      <c r="A32" s="6229"/>
      <c r="B32" s="1034" t="s">
        <v>616</v>
      </c>
      <c r="C32" s="1278"/>
      <c r="D32" s="1279"/>
      <c r="E32" s="1279"/>
      <c r="F32" s="1281"/>
      <c r="G32" s="1278"/>
      <c r="H32" s="1279"/>
      <c r="I32" s="1279"/>
      <c r="J32" s="1280"/>
      <c r="K32" s="1279"/>
      <c r="L32" s="1279"/>
      <c r="M32" s="1279"/>
      <c r="N32" s="1281"/>
      <c r="O32" s="1278"/>
      <c r="P32" s="1279"/>
      <c r="Q32" s="1279"/>
      <c r="R32" s="1280"/>
      <c r="S32" s="1279"/>
      <c r="T32" s="1279"/>
      <c r="U32" s="1279"/>
      <c r="V32" s="1281"/>
      <c r="W32" s="1278"/>
      <c r="X32" s="1279"/>
      <c r="Y32" s="1279"/>
      <c r="Z32" s="1280"/>
      <c r="AA32" s="1279"/>
      <c r="AB32" s="1279"/>
      <c r="AC32" s="1279"/>
      <c r="AD32" s="1281"/>
      <c r="AE32" s="1278"/>
      <c r="AF32" s="1279"/>
      <c r="AG32" s="1279"/>
      <c r="AH32" s="1280"/>
      <c r="AI32" s="1279"/>
      <c r="AJ32" s="1279"/>
      <c r="AK32" s="1279"/>
      <c r="AL32" s="1671"/>
      <c r="AM32" s="1035"/>
      <c r="AN32" s="1036"/>
      <c r="AO32" s="1036"/>
      <c r="AP32" s="1039"/>
      <c r="AQ32" s="1035"/>
      <c r="AR32" s="1036"/>
      <c r="AS32" s="1036"/>
      <c r="AT32" s="1036"/>
      <c r="AU32" s="1035"/>
      <c r="AV32" s="1036"/>
      <c r="AW32" s="1036"/>
      <c r="AX32" s="1039"/>
      <c r="AY32" s="1035"/>
      <c r="AZ32" s="1036"/>
      <c r="BA32" s="1036"/>
      <c r="BB32" s="1039"/>
      <c r="BC32" s="1035"/>
      <c r="BD32" s="1036"/>
      <c r="BE32" s="1036">
        <f>SUM('INSC-POSG plan'!BG58)</f>
        <v>9</v>
      </c>
      <c r="BF32" s="1039">
        <f>SUM(BC32:BE32)</f>
        <v>9</v>
      </c>
      <c r="BG32" s="1035"/>
      <c r="BH32" s="1036"/>
      <c r="BI32" s="1036">
        <f>SUM('INSC-POSG plan'!BK58)</f>
        <v>13</v>
      </c>
      <c r="BJ32" s="1039">
        <f>SUM(BG32:BI32)</f>
        <v>13</v>
      </c>
      <c r="BK32" s="1035">
        <f>SUM('INSC-POSG plan'!BM58)</f>
        <v>0</v>
      </c>
      <c r="BL32" s="1036">
        <f>SUM('INSC-POSG plan'!BN58)</f>
        <v>0</v>
      </c>
      <c r="BM32" s="1036">
        <f>SUM('INSC-POSG plan'!BO58)</f>
        <v>12</v>
      </c>
      <c r="BN32" s="1039">
        <f>SUM(BK32:BM32)</f>
        <v>12</v>
      </c>
      <c r="BO32" s="1035">
        <f>SUM('INSC-POSG plan'!BQ58)</f>
        <v>0</v>
      </c>
      <c r="BP32" s="1036">
        <f>SUM('INSC-POSG plan'!BR58)</f>
        <v>0</v>
      </c>
      <c r="BQ32" s="1036">
        <f>SUM('INSC-POSG plan'!BS58)</f>
        <v>13</v>
      </c>
      <c r="BR32" s="1039">
        <f>SUM(BO32:BQ32)</f>
        <v>13</v>
      </c>
      <c r="BS32" s="1035">
        <f>SUM('INSC-POSG plan'!BU58)</f>
        <v>0</v>
      </c>
      <c r="BT32" s="1036">
        <f>SUM('INSC-POSG plan'!BV58)</f>
        <v>0</v>
      </c>
      <c r="BU32" s="1036">
        <f>SUM('INSC-POSG plan'!BW58)</f>
        <v>12</v>
      </c>
      <c r="BV32" s="1039">
        <f>SUM(BS32:BU32)</f>
        <v>12</v>
      </c>
      <c r="BW32" s="1035">
        <f>SUM('INSC-POSG plan'!BY58)</f>
        <v>0</v>
      </c>
      <c r="BX32" s="1036">
        <f>SUM('INSC-POSG plan'!BZ58)</f>
        <v>0</v>
      </c>
      <c r="BY32" s="1036">
        <f>SUM('INSC-POSG plan'!CA58)</f>
        <v>10</v>
      </c>
      <c r="BZ32" s="1039">
        <f>SUM(BW32:BY32)</f>
        <v>10</v>
      </c>
    </row>
    <row r="33" spans="1:78" s="224" customFormat="1" ht="15" x14ac:dyDescent="0.2">
      <c r="A33" s="6229"/>
      <c r="B33" s="1040" t="s">
        <v>617</v>
      </c>
      <c r="C33" s="1289"/>
      <c r="D33" s="1290"/>
      <c r="E33" s="1290"/>
      <c r="F33" s="1292"/>
      <c r="G33" s="1289"/>
      <c r="H33" s="1290"/>
      <c r="I33" s="1290"/>
      <c r="J33" s="1291"/>
      <c r="K33" s="1290"/>
      <c r="L33" s="1290"/>
      <c r="M33" s="1290"/>
      <c r="N33" s="1292"/>
      <c r="O33" s="1289"/>
      <c r="P33" s="1290"/>
      <c r="Q33" s="1290"/>
      <c r="R33" s="1291"/>
      <c r="S33" s="1290"/>
      <c r="T33" s="1290"/>
      <c r="U33" s="1290"/>
      <c r="V33" s="1292"/>
      <c r="W33" s="1289"/>
      <c r="X33" s="1290"/>
      <c r="Y33" s="1290"/>
      <c r="Z33" s="1291"/>
      <c r="AA33" s="1290"/>
      <c r="AB33" s="1290"/>
      <c r="AC33" s="1290"/>
      <c r="AD33" s="1292"/>
      <c r="AE33" s="1289"/>
      <c r="AF33" s="1290"/>
      <c r="AG33" s="1290"/>
      <c r="AH33" s="1291"/>
      <c r="AI33" s="1290"/>
      <c r="AJ33" s="1290"/>
      <c r="AK33" s="1290"/>
      <c r="AL33" s="1672"/>
      <c r="AM33" s="1041"/>
      <c r="AN33" s="1042"/>
      <c r="AO33" s="1042"/>
      <c r="AP33" s="1045"/>
      <c r="AQ33" s="1041"/>
      <c r="AR33" s="1042"/>
      <c r="AS33" s="1042"/>
      <c r="AT33" s="1042"/>
      <c r="AU33" s="1041"/>
      <c r="AV33" s="1042"/>
      <c r="AW33" s="1042"/>
      <c r="AX33" s="1045"/>
      <c r="AY33" s="1041"/>
      <c r="AZ33" s="1042"/>
      <c r="BA33" s="1042"/>
      <c r="BB33" s="1045"/>
      <c r="BC33" s="1041"/>
      <c r="BD33" s="1042">
        <f>SUM('INSC-POSG plan'!BF59)</f>
        <v>2</v>
      </c>
      <c r="BE33" s="1042">
        <f>SUM('INSC-POSG plan'!BG59)</f>
        <v>5</v>
      </c>
      <c r="BF33" s="1045">
        <f>SUM(BC33:BE33)</f>
        <v>7</v>
      </c>
      <c r="BG33" s="1041">
        <f>SUM('INSC-POSG plan'!BI59)</f>
        <v>2</v>
      </c>
      <c r="BH33" s="1042">
        <f>SUM('INSC-POSG plan'!BJ59)</f>
        <v>2</v>
      </c>
      <c r="BI33" s="1042">
        <f>SUM('INSC-POSG plan'!BK59)</f>
        <v>2</v>
      </c>
      <c r="BJ33" s="1045">
        <f>SUM(BG33:BI33)</f>
        <v>6</v>
      </c>
      <c r="BK33" s="1041">
        <f>SUM('INSC-POSG plan'!BM59)</f>
        <v>2</v>
      </c>
      <c r="BL33" s="1042">
        <f>SUM('INSC-POSG plan'!BN59)</f>
        <v>4</v>
      </c>
      <c r="BM33" s="1042">
        <f>SUM('INSC-POSG plan'!BO59)</f>
        <v>2</v>
      </c>
      <c r="BN33" s="1045">
        <f>SUM(BK33:BM33)</f>
        <v>8</v>
      </c>
      <c r="BO33" s="1041">
        <f>SUM('INSC-POSG plan'!BQ59)</f>
        <v>3</v>
      </c>
      <c r="BP33" s="1042">
        <f>SUM('INSC-POSG plan'!BR59)</f>
        <v>3</v>
      </c>
      <c r="BQ33" s="1042">
        <f>SUM('INSC-POSG plan'!BS59)</f>
        <v>6</v>
      </c>
      <c r="BR33" s="1045">
        <f>SUM(BO33:BQ33)</f>
        <v>12</v>
      </c>
      <c r="BS33" s="1041">
        <f>SUM('INSC-POSG plan'!BU59)</f>
        <v>2</v>
      </c>
      <c r="BT33" s="1042">
        <f>SUM('INSC-POSG plan'!BV59)</f>
        <v>1</v>
      </c>
      <c r="BU33" s="1042">
        <f>SUM('INSC-POSG plan'!BW59:BW60)</f>
        <v>3</v>
      </c>
      <c r="BV33" s="1045">
        <f>SUM(BS33:BU33)</f>
        <v>6</v>
      </c>
      <c r="BW33" s="1041">
        <f>SUM('INSC-POSG plan'!BY59)</f>
        <v>0</v>
      </c>
      <c r="BX33" s="1042">
        <f>SUM('INSC-POSG plan'!BZ59)</f>
        <v>1</v>
      </c>
      <c r="BY33" s="1042">
        <f>SUM('INSC-POSG plan'!CA59:CA60)</f>
        <v>2</v>
      </c>
      <c r="BZ33" s="1045">
        <f>SUM(BW33:BY33)</f>
        <v>3</v>
      </c>
    </row>
    <row r="34" spans="1:78" s="224" customFormat="1" ht="15" x14ac:dyDescent="0.2">
      <c r="A34" s="6230"/>
      <c r="B34" s="574" t="s">
        <v>418</v>
      </c>
      <c r="C34" s="1150"/>
      <c r="D34" s="1150"/>
      <c r="E34" s="1150"/>
      <c r="F34" s="1150"/>
      <c r="G34" s="1149"/>
      <c r="H34" s="1150"/>
      <c r="I34" s="1150"/>
      <c r="J34" s="1151"/>
      <c r="K34" s="1150"/>
      <c r="L34" s="1150"/>
      <c r="M34" s="1150"/>
      <c r="N34" s="1150"/>
      <c r="O34" s="1149"/>
      <c r="P34" s="1150"/>
      <c r="Q34" s="1150"/>
      <c r="R34" s="1151"/>
      <c r="S34" s="1150"/>
      <c r="T34" s="1150"/>
      <c r="U34" s="1150"/>
      <c r="V34" s="1150"/>
      <c r="W34" s="1149"/>
      <c r="X34" s="1150"/>
      <c r="Y34" s="1150"/>
      <c r="Z34" s="1151"/>
      <c r="AA34" s="1150"/>
      <c r="AB34" s="1150"/>
      <c r="AC34" s="1150"/>
      <c r="AD34" s="1150"/>
      <c r="AE34" s="1149"/>
      <c r="AF34" s="1150"/>
      <c r="AG34" s="1150"/>
      <c r="AH34" s="1151"/>
      <c r="AI34" s="1150"/>
      <c r="AJ34" s="1150"/>
      <c r="AK34" s="1150"/>
      <c r="AL34" s="1150"/>
      <c r="AM34" s="576"/>
      <c r="AN34" s="576"/>
      <c r="AO34" s="576"/>
      <c r="AP34" s="576"/>
      <c r="AQ34" s="576"/>
      <c r="AR34" s="576"/>
      <c r="AS34" s="576"/>
      <c r="AT34" s="576"/>
      <c r="AU34" s="575"/>
      <c r="AV34" s="576"/>
      <c r="AW34" s="576"/>
      <c r="AX34" s="577"/>
      <c r="AY34" s="575"/>
      <c r="AZ34" s="576"/>
      <c r="BA34" s="576"/>
      <c r="BB34" s="577"/>
      <c r="BC34" s="575"/>
      <c r="BD34" s="576">
        <f>SUM(BD31:BD33)</f>
        <v>4</v>
      </c>
      <c r="BE34" s="576">
        <f>SUM(BE31:BE33)</f>
        <v>15</v>
      </c>
      <c r="BF34" s="577">
        <f>SUM(BC34:BE34)</f>
        <v>19</v>
      </c>
      <c r="BG34" s="575">
        <f>SUM(BG31:BG33)</f>
        <v>3</v>
      </c>
      <c r="BH34" s="576">
        <f>SUM(BH31:BH33)</f>
        <v>2</v>
      </c>
      <c r="BI34" s="576">
        <f>SUM(BI31:BI33)</f>
        <v>16</v>
      </c>
      <c r="BJ34" s="577">
        <f>SUM(BG34:BI34)</f>
        <v>21</v>
      </c>
      <c r="BK34" s="575">
        <f>SUM(BK31:BK33)</f>
        <v>4</v>
      </c>
      <c r="BL34" s="576">
        <f>SUM(BL31:BL33)</f>
        <v>4</v>
      </c>
      <c r="BM34" s="576">
        <f>SUM(BM31:BM33)</f>
        <v>15</v>
      </c>
      <c r="BN34" s="577">
        <f>SUM(BK34:BM34)</f>
        <v>23</v>
      </c>
      <c r="BO34" s="575">
        <f>SUM(BO31:BO33)</f>
        <v>5</v>
      </c>
      <c r="BP34" s="576">
        <f>SUM(BP31:BP33)</f>
        <v>4</v>
      </c>
      <c r="BQ34" s="576">
        <f>SUM(BQ31:BQ33)</f>
        <v>23</v>
      </c>
      <c r="BR34" s="577">
        <f>SUM(BO34:BQ34)</f>
        <v>32</v>
      </c>
      <c r="BS34" s="575">
        <f>SUM(BS31:BS33)</f>
        <v>4</v>
      </c>
      <c r="BT34" s="576">
        <f>SUM(BT31:BT33)</f>
        <v>2</v>
      </c>
      <c r="BU34" s="576">
        <f>SUM(BU31:BU33)</f>
        <v>17</v>
      </c>
      <c r="BV34" s="577">
        <f>SUM(BS34:BU34)</f>
        <v>23</v>
      </c>
      <c r="BW34" s="575">
        <f>SUM(BW31:BW33)</f>
        <v>2</v>
      </c>
      <c r="BX34" s="576">
        <f>SUM(BX31:BX33)</f>
        <v>1</v>
      </c>
      <c r="BY34" s="576">
        <f>SUM(BY31:BY33)</f>
        <v>13</v>
      </c>
      <c r="BZ34" s="577">
        <f>SUM(BW34:BY34)</f>
        <v>16</v>
      </c>
    </row>
    <row r="35" spans="1:78" s="224" customFormat="1" ht="15" x14ac:dyDescent="0.2">
      <c r="A35" s="6231" t="s">
        <v>678</v>
      </c>
      <c r="B35" s="1029" t="s">
        <v>615</v>
      </c>
      <c r="C35" s="1274"/>
      <c r="D35" s="1275"/>
      <c r="E35" s="1275"/>
      <c r="F35" s="1277"/>
      <c r="G35" s="1274"/>
      <c r="H35" s="1275"/>
      <c r="I35" s="1275"/>
      <c r="J35" s="1276"/>
      <c r="K35" s="1275"/>
      <c r="L35" s="1275"/>
      <c r="M35" s="1275"/>
      <c r="N35" s="1277"/>
      <c r="O35" s="1274"/>
      <c r="P35" s="1275"/>
      <c r="Q35" s="1275"/>
      <c r="R35" s="1276"/>
      <c r="S35" s="1275"/>
      <c r="T35" s="1275"/>
      <c r="U35" s="1275"/>
      <c r="V35" s="1277"/>
      <c r="W35" s="1274"/>
      <c r="X35" s="1275"/>
      <c r="Y35" s="1275"/>
      <c r="Z35" s="1276"/>
      <c r="AA35" s="1275"/>
      <c r="AB35" s="1275"/>
      <c r="AC35" s="1275"/>
      <c r="AD35" s="1277"/>
      <c r="AE35" s="1274"/>
      <c r="AF35" s="1275"/>
      <c r="AG35" s="1275"/>
      <c r="AH35" s="1276"/>
      <c r="AI35" s="1275"/>
      <c r="AJ35" s="1275"/>
      <c r="AK35" s="1275"/>
      <c r="AL35" s="1670"/>
      <c r="AM35" s="1030"/>
      <c r="AN35" s="1031"/>
      <c r="AO35" s="1031"/>
      <c r="AP35" s="1048"/>
      <c r="AQ35" s="1030"/>
      <c r="AR35" s="1031"/>
      <c r="AS35" s="1031"/>
      <c r="AT35" s="1031"/>
      <c r="AU35" s="1030"/>
      <c r="AV35" s="1031"/>
      <c r="AW35" s="1031"/>
      <c r="AX35" s="1048"/>
      <c r="AY35" s="1030"/>
      <c r="AZ35" s="1031"/>
      <c r="BA35" s="1031"/>
      <c r="BB35" s="1048"/>
      <c r="BC35" s="1030"/>
      <c r="BD35" s="1031">
        <f t="shared" ref="BC35:BG37" si="29">SUM(BD23,BD27,BD31)</f>
        <v>2</v>
      </c>
      <c r="BE35" s="1031">
        <f t="shared" si="29"/>
        <v>1</v>
      </c>
      <c r="BF35" s="1048">
        <f t="shared" si="29"/>
        <v>3</v>
      </c>
      <c r="BG35" s="1030">
        <f>SUM(BG23,BG27,BG31)</f>
        <v>1</v>
      </c>
      <c r="BH35" s="1031"/>
      <c r="BI35" s="1031">
        <f t="shared" ref="BI35:BM37" si="30">SUM(BI23,BI27,BI31)</f>
        <v>1</v>
      </c>
      <c r="BJ35" s="1048">
        <f t="shared" si="30"/>
        <v>2</v>
      </c>
      <c r="BK35" s="1030">
        <f t="shared" ref="BK35:BR35" si="31">SUM(BK23,BK27,BK31)</f>
        <v>2</v>
      </c>
      <c r="BL35" s="1031">
        <f t="shared" si="31"/>
        <v>0</v>
      </c>
      <c r="BM35" s="1031">
        <f t="shared" si="31"/>
        <v>1</v>
      </c>
      <c r="BN35" s="1048">
        <f t="shared" si="31"/>
        <v>3</v>
      </c>
      <c r="BO35" s="1030">
        <f t="shared" si="31"/>
        <v>2</v>
      </c>
      <c r="BP35" s="1031">
        <f t="shared" si="31"/>
        <v>1</v>
      </c>
      <c r="BQ35" s="1031">
        <f t="shared" si="31"/>
        <v>4</v>
      </c>
      <c r="BR35" s="1048">
        <f t="shared" si="31"/>
        <v>7</v>
      </c>
      <c r="BS35" s="1030">
        <f t="shared" ref="BS35:BZ35" si="32">SUM(BS23,BS27,BS31)</f>
        <v>2</v>
      </c>
      <c r="BT35" s="1031">
        <f t="shared" si="32"/>
        <v>1</v>
      </c>
      <c r="BU35" s="1031">
        <f t="shared" si="32"/>
        <v>2</v>
      </c>
      <c r="BV35" s="1048">
        <f t="shared" si="32"/>
        <v>5</v>
      </c>
      <c r="BW35" s="1030">
        <f t="shared" si="32"/>
        <v>2</v>
      </c>
      <c r="BX35" s="1031">
        <f t="shared" si="32"/>
        <v>0</v>
      </c>
      <c r="BY35" s="1031">
        <f t="shared" si="32"/>
        <v>1</v>
      </c>
      <c r="BZ35" s="1048">
        <f t="shared" si="32"/>
        <v>3</v>
      </c>
    </row>
    <row r="36" spans="1:78" s="224" customFormat="1" ht="15" x14ac:dyDescent="0.2">
      <c r="A36" s="6232"/>
      <c r="B36" s="1034" t="s">
        <v>616</v>
      </c>
      <c r="C36" s="1278"/>
      <c r="D36" s="1279"/>
      <c r="E36" s="1279"/>
      <c r="F36" s="1281"/>
      <c r="G36" s="1278"/>
      <c r="H36" s="1279"/>
      <c r="I36" s="1279"/>
      <c r="J36" s="1280"/>
      <c r="K36" s="1279"/>
      <c r="L36" s="1279"/>
      <c r="M36" s="1279"/>
      <c r="N36" s="1281"/>
      <c r="O36" s="1278"/>
      <c r="P36" s="1279"/>
      <c r="Q36" s="1279"/>
      <c r="R36" s="1280"/>
      <c r="S36" s="1279"/>
      <c r="T36" s="1279"/>
      <c r="U36" s="1279"/>
      <c r="V36" s="1281"/>
      <c r="W36" s="1278"/>
      <c r="X36" s="1279"/>
      <c r="Y36" s="1279"/>
      <c r="Z36" s="1280"/>
      <c r="AA36" s="1279"/>
      <c r="AB36" s="1279"/>
      <c r="AC36" s="1279"/>
      <c r="AD36" s="1281"/>
      <c r="AE36" s="1278"/>
      <c r="AF36" s="1279"/>
      <c r="AG36" s="1279"/>
      <c r="AH36" s="1280"/>
      <c r="AI36" s="1279"/>
      <c r="AJ36" s="1279"/>
      <c r="AK36" s="1279"/>
      <c r="AL36" s="1671"/>
      <c r="AM36" s="1035"/>
      <c r="AN36" s="1036"/>
      <c r="AO36" s="1036"/>
      <c r="AP36" s="1039"/>
      <c r="AQ36" s="1035"/>
      <c r="AR36" s="1036"/>
      <c r="AS36" s="1036"/>
      <c r="AT36" s="1036"/>
      <c r="AU36" s="1035"/>
      <c r="AV36" s="1036"/>
      <c r="AW36" s="1036"/>
      <c r="AX36" s="1039"/>
      <c r="AY36" s="1035"/>
      <c r="AZ36" s="1036"/>
      <c r="BA36" s="1036"/>
      <c r="BB36" s="1039"/>
      <c r="BC36" s="1035">
        <f t="shared" si="29"/>
        <v>13</v>
      </c>
      <c r="BD36" s="1036">
        <f t="shared" si="29"/>
        <v>0</v>
      </c>
      <c r="BE36" s="1036">
        <f t="shared" si="29"/>
        <v>21</v>
      </c>
      <c r="BF36" s="1039">
        <f t="shared" si="29"/>
        <v>34</v>
      </c>
      <c r="BG36" s="1035">
        <f t="shared" si="29"/>
        <v>23</v>
      </c>
      <c r="BH36" s="1036"/>
      <c r="BI36" s="1036">
        <f t="shared" si="30"/>
        <v>25</v>
      </c>
      <c r="BJ36" s="1039">
        <f t="shared" si="30"/>
        <v>48</v>
      </c>
      <c r="BK36" s="1035">
        <f t="shared" si="30"/>
        <v>0</v>
      </c>
      <c r="BL36" s="1036">
        <f t="shared" si="30"/>
        <v>0</v>
      </c>
      <c r="BM36" s="1036">
        <f t="shared" si="30"/>
        <v>45</v>
      </c>
      <c r="BN36" s="1039">
        <f t="shared" ref="BN36:BR37" si="33">SUM(BN24,BN28,BN32)</f>
        <v>45</v>
      </c>
      <c r="BO36" s="1035">
        <f t="shared" si="33"/>
        <v>0</v>
      </c>
      <c r="BP36" s="1036">
        <f t="shared" si="33"/>
        <v>0</v>
      </c>
      <c r="BQ36" s="1036">
        <f t="shared" si="33"/>
        <v>52</v>
      </c>
      <c r="BR36" s="1039">
        <f t="shared" si="33"/>
        <v>52</v>
      </c>
      <c r="BS36" s="1035">
        <f t="shared" ref="BS36:BU37" si="34">SUM(BS24,BS28,BS32)</f>
        <v>0</v>
      </c>
      <c r="BT36" s="1036">
        <f t="shared" si="34"/>
        <v>0</v>
      </c>
      <c r="BU36" s="1036">
        <f t="shared" si="34"/>
        <v>42</v>
      </c>
      <c r="BV36" s="1039">
        <f t="shared" ref="BV36:BZ37" si="35">SUM(BV24,BV28,BV32)</f>
        <v>42</v>
      </c>
      <c r="BW36" s="1035">
        <f t="shared" si="35"/>
        <v>0</v>
      </c>
      <c r="BX36" s="1036">
        <f t="shared" si="35"/>
        <v>0</v>
      </c>
      <c r="BY36" s="1036">
        <f t="shared" si="35"/>
        <v>44</v>
      </c>
      <c r="BZ36" s="1039">
        <f t="shared" si="35"/>
        <v>44</v>
      </c>
    </row>
    <row r="37" spans="1:78" s="224" customFormat="1" ht="15" x14ac:dyDescent="0.2">
      <c r="A37" s="6232"/>
      <c r="B37" s="1040" t="s">
        <v>617</v>
      </c>
      <c r="C37" s="1289"/>
      <c r="D37" s="1290"/>
      <c r="E37" s="1290"/>
      <c r="F37" s="1292"/>
      <c r="G37" s="1289"/>
      <c r="H37" s="1290"/>
      <c r="I37" s="1290"/>
      <c r="J37" s="1291"/>
      <c r="K37" s="1290"/>
      <c r="L37" s="1290"/>
      <c r="M37" s="1290"/>
      <c r="N37" s="1292"/>
      <c r="O37" s="1289"/>
      <c r="P37" s="1290"/>
      <c r="Q37" s="1290"/>
      <c r="R37" s="1291"/>
      <c r="S37" s="1290"/>
      <c r="T37" s="1290"/>
      <c r="U37" s="1290"/>
      <c r="V37" s="1292"/>
      <c r="W37" s="1289"/>
      <c r="X37" s="1290"/>
      <c r="Y37" s="1290"/>
      <c r="Z37" s="1291"/>
      <c r="AA37" s="1290"/>
      <c r="AB37" s="1290"/>
      <c r="AC37" s="1290"/>
      <c r="AD37" s="1292"/>
      <c r="AE37" s="1289"/>
      <c r="AF37" s="1290"/>
      <c r="AG37" s="1290"/>
      <c r="AH37" s="1291"/>
      <c r="AI37" s="1290"/>
      <c r="AJ37" s="1290"/>
      <c r="AK37" s="1290"/>
      <c r="AL37" s="1672"/>
      <c r="AM37" s="1041"/>
      <c r="AN37" s="1042"/>
      <c r="AO37" s="1042"/>
      <c r="AP37" s="1045"/>
      <c r="AQ37" s="1041"/>
      <c r="AR37" s="1042"/>
      <c r="AS37" s="1042"/>
      <c r="AT37" s="1042"/>
      <c r="AU37" s="1041"/>
      <c r="AV37" s="1042"/>
      <c r="AW37" s="1042"/>
      <c r="AX37" s="1045"/>
      <c r="AY37" s="1041"/>
      <c r="AZ37" s="1042"/>
      <c r="BA37" s="1042"/>
      <c r="BB37" s="1045"/>
      <c r="BC37" s="1041">
        <f t="shared" si="29"/>
        <v>10</v>
      </c>
      <c r="BD37" s="1042">
        <f t="shared" si="29"/>
        <v>2</v>
      </c>
      <c r="BE37" s="1042">
        <f t="shared" si="29"/>
        <v>5</v>
      </c>
      <c r="BF37" s="1045">
        <f t="shared" si="29"/>
        <v>17</v>
      </c>
      <c r="BG37" s="1041">
        <f t="shared" si="29"/>
        <v>2</v>
      </c>
      <c r="BH37" s="1042">
        <f>SUM(BH25,BH29,BH33)</f>
        <v>4</v>
      </c>
      <c r="BI37" s="1042">
        <f t="shared" si="30"/>
        <v>17</v>
      </c>
      <c r="BJ37" s="1045">
        <f t="shared" si="30"/>
        <v>23</v>
      </c>
      <c r="BK37" s="1041">
        <f t="shared" si="30"/>
        <v>2</v>
      </c>
      <c r="BL37" s="1042">
        <f>SUM(BL25,BL29,BL33)</f>
        <v>4</v>
      </c>
      <c r="BM37" s="1042">
        <f>SUM(BM25,BM29,BM33)</f>
        <v>19</v>
      </c>
      <c r="BN37" s="1045">
        <f t="shared" si="33"/>
        <v>25</v>
      </c>
      <c r="BO37" s="1041">
        <f t="shared" si="33"/>
        <v>3</v>
      </c>
      <c r="BP37" s="1042">
        <f t="shared" si="33"/>
        <v>3</v>
      </c>
      <c r="BQ37" s="1042">
        <f t="shared" si="33"/>
        <v>25</v>
      </c>
      <c r="BR37" s="1045">
        <f t="shared" si="33"/>
        <v>31</v>
      </c>
      <c r="BS37" s="1041">
        <f t="shared" si="34"/>
        <v>2</v>
      </c>
      <c r="BT37" s="1042">
        <f>SUM(BT25,BT29,BT33)</f>
        <v>1</v>
      </c>
      <c r="BU37" s="1042">
        <f>SUM(BU25,BU29,BU33)</f>
        <v>13</v>
      </c>
      <c r="BV37" s="1045">
        <f t="shared" si="35"/>
        <v>16</v>
      </c>
      <c r="BW37" s="1041">
        <f t="shared" si="35"/>
        <v>0</v>
      </c>
      <c r="BX37" s="1042">
        <f t="shared" si="35"/>
        <v>1</v>
      </c>
      <c r="BY37" s="1042">
        <f t="shared" si="35"/>
        <v>12</v>
      </c>
      <c r="BZ37" s="1045">
        <f t="shared" si="35"/>
        <v>13</v>
      </c>
    </row>
    <row r="38" spans="1:78" s="224" customFormat="1" ht="15" x14ac:dyDescent="0.2">
      <c r="A38" s="6233"/>
      <c r="B38" s="2410" t="s">
        <v>12</v>
      </c>
      <c r="C38" s="2412"/>
      <c r="D38" s="2412"/>
      <c r="E38" s="2412"/>
      <c r="F38" s="4380"/>
      <c r="G38" s="4381"/>
      <c r="H38" s="4380"/>
      <c r="I38" s="4380"/>
      <c r="J38" s="4382"/>
      <c r="K38" s="4380"/>
      <c r="L38" s="2412"/>
      <c r="M38" s="2412"/>
      <c r="N38" s="4380"/>
      <c r="O38" s="4381"/>
      <c r="P38" s="4380"/>
      <c r="Q38" s="4380"/>
      <c r="R38" s="4382"/>
      <c r="S38" s="4380"/>
      <c r="T38" s="2412"/>
      <c r="U38" s="2412"/>
      <c r="V38" s="4380"/>
      <c r="W38" s="4381"/>
      <c r="X38" s="4380"/>
      <c r="Y38" s="4380"/>
      <c r="Z38" s="4382"/>
      <c r="AA38" s="4380"/>
      <c r="AB38" s="2412"/>
      <c r="AC38" s="2412"/>
      <c r="AD38" s="4380"/>
      <c r="AE38" s="4381"/>
      <c r="AF38" s="4380"/>
      <c r="AG38" s="4380"/>
      <c r="AH38" s="4382"/>
      <c r="AI38" s="2412"/>
      <c r="AJ38" s="2412"/>
      <c r="AK38" s="2412"/>
      <c r="AL38" s="2412"/>
      <c r="AM38" s="2412"/>
      <c r="AN38" s="2412"/>
      <c r="AO38" s="2412"/>
      <c r="AP38" s="2412"/>
      <c r="AQ38" s="2412"/>
      <c r="AR38" s="2412"/>
      <c r="AS38" s="2412"/>
      <c r="AT38" s="2412"/>
      <c r="AU38" s="2411"/>
      <c r="AV38" s="2412"/>
      <c r="AW38" s="2412"/>
      <c r="AX38" s="2413"/>
      <c r="AY38" s="2411"/>
      <c r="AZ38" s="2412"/>
      <c r="BA38" s="2412"/>
      <c r="BB38" s="2413"/>
      <c r="BC38" s="2411">
        <f>SUM(BC35:BC37)</f>
        <v>23</v>
      </c>
      <c r="BD38" s="2412">
        <f>SUM(BD35:BD37)</f>
        <v>4</v>
      </c>
      <c r="BE38" s="2412">
        <f>SUM(BE35:BE37)</f>
        <v>27</v>
      </c>
      <c r="BF38" s="2413">
        <f>SUM(BC38:BE38)</f>
        <v>54</v>
      </c>
      <c r="BG38" s="2411">
        <f>SUM(BG35:BG37)</f>
        <v>26</v>
      </c>
      <c r="BH38" s="2412">
        <f>SUM(BH35:BH37)</f>
        <v>4</v>
      </c>
      <c r="BI38" s="2412">
        <f>SUM(BI35:BI37)</f>
        <v>43</v>
      </c>
      <c r="BJ38" s="2413">
        <f>SUM(BG38:BI38)</f>
        <v>73</v>
      </c>
      <c r="BK38" s="2411">
        <f>SUM(BK35:BK37)</f>
        <v>4</v>
      </c>
      <c r="BL38" s="2412">
        <f>SUM(BL35:BL37)</f>
        <v>4</v>
      </c>
      <c r="BM38" s="2412">
        <f>SUM(BM35:BM37)</f>
        <v>65</v>
      </c>
      <c r="BN38" s="2413">
        <f>SUM(BK38:BM38)</f>
        <v>73</v>
      </c>
      <c r="BO38" s="2411">
        <f>SUM(BO35:BO37)</f>
        <v>5</v>
      </c>
      <c r="BP38" s="2412">
        <f>SUM(BP35:BP37)</f>
        <v>4</v>
      </c>
      <c r="BQ38" s="2412">
        <f>SUM(BQ35:BQ37)</f>
        <v>81</v>
      </c>
      <c r="BR38" s="2413">
        <f>SUM(BO38:BQ38)</f>
        <v>90</v>
      </c>
      <c r="BS38" s="2411">
        <f>SUM(BS35:BS37)</f>
        <v>4</v>
      </c>
      <c r="BT38" s="2412">
        <f>SUM(BT35:BT37)</f>
        <v>2</v>
      </c>
      <c r="BU38" s="2412">
        <f>SUM(BU35:BU37)</f>
        <v>57</v>
      </c>
      <c r="BV38" s="2413">
        <f>SUM(BS38:BU38)</f>
        <v>63</v>
      </c>
      <c r="BW38" s="2411">
        <f>SUM(BW35:BW37)</f>
        <v>2</v>
      </c>
      <c r="BX38" s="2412">
        <f>SUM(BX35:BX37)</f>
        <v>1</v>
      </c>
      <c r="BY38" s="2412">
        <f>SUM(BY35:BY37)</f>
        <v>57</v>
      </c>
      <c r="BZ38" s="2413">
        <f>SUM(BW38:BY38)</f>
        <v>60</v>
      </c>
    </row>
    <row r="39" spans="1:78" s="224" customFormat="1" ht="15" x14ac:dyDescent="0.2">
      <c r="A39" s="904"/>
      <c r="B39" s="904"/>
      <c r="C39" s="904"/>
      <c r="D39" s="904"/>
      <c r="E39" s="904"/>
      <c r="F39" s="904"/>
      <c r="G39" s="904"/>
      <c r="H39" s="904"/>
      <c r="I39" s="904"/>
      <c r="J39" s="904"/>
      <c r="K39" s="904"/>
      <c r="L39" s="904"/>
      <c r="M39" s="904"/>
      <c r="N39" s="904"/>
      <c r="O39" s="904"/>
      <c r="P39" s="904"/>
      <c r="Q39" s="904"/>
      <c r="R39" s="904"/>
      <c r="S39" s="904"/>
      <c r="T39" s="904"/>
      <c r="U39" s="904"/>
      <c r="V39" s="904"/>
      <c r="W39" s="904"/>
      <c r="X39" s="904"/>
      <c r="Y39" s="904"/>
      <c r="Z39" s="904"/>
      <c r="AA39" s="904"/>
      <c r="AB39" s="904"/>
      <c r="AC39" s="904"/>
      <c r="AD39" s="904"/>
      <c r="AE39" s="904"/>
      <c r="AF39" s="904"/>
      <c r="AG39" s="904"/>
      <c r="AH39" s="904"/>
      <c r="AI39" s="904"/>
      <c r="AJ39" s="904"/>
      <c r="AK39" s="904"/>
      <c r="AL39" s="262"/>
      <c r="AM39" s="904"/>
      <c r="AN39" s="904"/>
      <c r="AO39" s="904"/>
      <c r="AP39" s="262"/>
      <c r="AQ39" s="904"/>
      <c r="AR39" s="904"/>
      <c r="AS39" s="904"/>
      <c r="AT39" s="262"/>
      <c r="AU39" s="904"/>
      <c r="AV39" s="904"/>
      <c r="AW39" s="904"/>
      <c r="AX39" s="262"/>
      <c r="AY39" s="904"/>
      <c r="AZ39" s="904"/>
      <c r="BA39" s="904"/>
      <c r="BB39" s="262"/>
      <c r="BC39" s="904"/>
      <c r="BD39" s="904"/>
      <c r="BE39" s="904"/>
      <c r="BF39" s="262"/>
      <c r="BG39" s="904"/>
      <c r="BH39" s="904"/>
      <c r="BI39" s="904"/>
      <c r="BJ39" s="262"/>
      <c r="BK39" s="904"/>
      <c r="BL39" s="904"/>
      <c r="BM39" s="904"/>
      <c r="BN39" s="262"/>
      <c r="BO39" s="904"/>
      <c r="BP39" s="904"/>
      <c r="BQ39" s="904"/>
      <c r="BR39" s="262"/>
      <c r="BS39" s="904"/>
      <c r="BT39" s="904"/>
      <c r="BU39" s="904"/>
      <c r="BV39" s="262"/>
      <c r="BW39" s="904"/>
      <c r="BX39" s="904"/>
      <c r="BY39" s="904"/>
      <c r="BZ39" s="262"/>
    </row>
    <row r="40" spans="1:78" ht="15" x14ac:dyDescent="0.2">
      <c r="A40" s="6218" t="s">
        <v>5</v>
      </c>
      <c r="B40" s="1029" t="s">
        <v>615</v>
      </c>
      <c r="C40" s="1274"/>
      <c r="D40" s="1275"/>
      <c r="E40" s="1275"/>
      <c r="F40" s="1276"/>
      <c r="G40" s="1274"/>
      <c r="H40" s="1275"/>
      <c r="I40" s="1275"/>
      <c r="J40" s="1276"/>
      <c r="K40" s="1274"/>
      <c r="L40" s="1275"/>
      <c r="M40" s="1275"/>
      <c r="N40" s="1276"/>
      <c r="O40" s="1274"/>
      <c r="P40" s="1275"/>
      <c r="Q40" s="1275"/>
      <c r="R40" s="1276"/>
      <c r="S40" s="1274"/>
      <c r="T40" s="1275"/>
      <c r="U40" s="1275"/>
      <c r="V40" s="1276"/>
      <c r="W40" s="1274"/>
      <c r="X40" s="1275"/>
      <c r="Y40" s="1275"/>
      <c r="Z40" s="1277"/>
      <c r="AA40" s="1274"/>
      <c r="AB40" s="1275"/>
      <c r="AC40" s="1275"/>
      <c r="AD40" s="1276"/>
      <c r="AE40" s="1275"/>
      <c r="AF40" s="1275"/>
      <c r="AG40" s="1275"/>
      <c r="AH40" s="1276"/>
      <c r="AI40" s="1275"/>
      <c r="AJ40" s="1275"/>
      <c r="AK40" s="1275"/>
      <c r="AL40" s="1670"/>
      <c r="AM40" s="1030"/>
      <c r="AN40" s="1031"/>
      <c r="AO40" s="1031"/>
      <c r="AP40" s="1048"/>
      <c r="AQ40" s="1030"/>
      <c r="AR40" s="1031"/>
      <c r="AS40" s="1031"/>
      <c r="AT40" s="1048"/>
      <c r="AU40" s="1030"/>
      <c r="AV40" s="1031"/>
      <c r="AW40" s="1031"/>
      <c r="AX40" s="1048"/>
      <c r="AY40" s="1030"/>
      <c r="AZ40" s="1031"/>
      <c r="BA40" s="1031"/>
      <c r="BB40" s="1048"/>
      <c r="BC40" s="1030"/>
      <c r="BD40" s="1031"/>
      <c r="BE40" s="1031"/>
      <c r="BF40" s="1048"/>
      <c r="BG40" s="1030"/>
      <c r="BH40" s="1031"/>
      <c r="BI40" s="1031"/>
      <c r="BJ40" s="1048"/>
      <c r="BK40" s="1030"/>
      <c r="BL40" s="1031"/>
      <c r="BM40" s="1031"/>
      <c r="BN40" s="1048"/>
      <c r="BO40" s="1030"/>
      <c r="BP40" s="1031"/>
      <c r="BQ40" s="1031"/>
      <c r="BR40" s="1048"/>
      <c r="BS40" s="1030"/>
      <c r="BT40" s="1031">
        <f>SUM('INSC-POSG plan'!BV63)</f>
        <v>2</v>
      </c>
      <c r="BU40" s="1031"/>
      <c r="BV40" s="1048"/>
      <c r="BW40" s="1030"/>
      <c r="BX40" s="1031">
        <f>SUM('INSC-POSG plan'!BZ63)</f>
        <v>2</v>
      </c>
      <c r="BY40" s="1031"/>
      <c r="BZ40" s="1048"/>
    </row>
    <row r="41" spans="1:78" ht="15" x14ac:dyDescent="0.2">
      <c r="A41" s="6219"/>
      <c r="B41" s="1034" t="s">
        <v>616</v>
      </c>
      <c r="C41" s="1278">
        <f>+'INSC-POSG plan'!E64+'INSC-POSG plan'!E65+'INSC-POSG plan'!E66+'INSC-POSG plan'!E67+'INSC-POSG plan'!E68+'INSC-POSG plan'!E69</f>
        <v>18</v>
      </c>
      <c r="D41" s="1279">
        <f>+'INSC-POSG plan'!F64+'INSC-POSG plan'!F65+'INSC-POSG plan'!F66+'INSC-POSG plan'!F67+'INSC-POSG plan'!F68+'INSC-POSG plan'!F69</f>
        <v>9</v>
      </c>
      <c r="E41" s="1279">
        <f>+'INSC-POSG plan'!G64+'INSC-POSG plan'!G65+'INSC-POSG plan'!G66+'INSC-POSG plan'!G67+'INSC-POSG plan'!G68+'INSC-POSG plan'!G69</f>
        <v>46</v>
      </c>
      <c r="F41" s="1280">
        <f t="shared" ref="F41:F77" si="36">SUM(C41:E41)</f>
        <v>73</v>
      </c>
      <c r="G41" s="1278">
        <f>+'INSC-POSG plan'!I64+'INSC-POSG plan'!I65+'INSC-POSG plan'!I66+'INSC-POSG plan'!I67+'INSC-POSG plan'!I68+'INSC-POSG plan'!I69</f>
        <v>27</v>
      </c>
      <c r="H41" s="1279">
        <f>+'INSC-POSG plan'!J64+'INSC-POSG plan'!J65+'INSC-POSG plan'!J66+'INSC-POSG plan'!J67+'INSC-POSG plan'!J68+'INSC-POSG plan'!J69</f>
        <v>12</v>
      </c>
      <c r="I41" s="1279">
        <f>+'INSC-POSG plan'!K64+'INSC-POSG plan'!K65+'INSC-POSG plan'!K66+'INSC-POSG plan'!K67+'INSC-POSG plan'!K68+'INSC-POSG plan'!K69</f>
        <v>36</v>
      </c>
      <c r="J41" s="1280">
        <f t="shared" ref="J41:J55" si="37">SUM(G41:I41)</f>
        <v>75</v>
      </c>
      <c r="K41" s="1278">
        <f>+'INSC-POSG plan'!M64+'INSC-POSG plan'!M65+'INSC-POSG plan'!M66+'INSC-POSG plan'!M67+'INSC-POSG plan'!M68+'INSC-POSG plan'!M69</f>
        <v>29</v>
      </c>
      <c r="L41" s="1279">
        <f>+'INSC-POSG plan'!N64+'INSC-POSG plan'!N65+'INSC-POSG plan'!N66+'INSC-POSG plan'!N67+'INSC-POSG plan'!N68+'INSC-POSG plan'!N69</f>
        <v>15</v>
      </c>
      <c r="M41" s="1279">
        <f>+'INSC-POSG plan'!O64+'INSC-POSG plan'!O65+'INSC-POSG plan'!O66+'INSC-POSG plan'!O67+'INSC-POSG plan'!O68+'INSC-POSG plan'!O69</f>
        <v>48</v>
      </c>
      <c r="N41" s="1280">
        <f t="shared" ref="N41:N55" si="38">SUM(K41:M41)</f>
        <v>92</v>
      </c>
      <c r="O41" s="1278">
        <f>+'INSC-POSG plan'!Q64+'INSC-POSG plan'!Q65+'INSC-POSG plan'!Q66+'INSC-POSG plan'!Q67+'INSC-POSG plan'!Q68+'INSC-POSG plan'!Q69</f>
        <v>25</v>
      </c>
      <c r="P41" s="1279">
        <f>+'INSC-POSG plan'!R64+'INSC-POSG plan'!R65+'INSC-POSG plan'!R66+'INSC-POSG plan'!R67+'INSC-POSG plan'!R68+'INSC-POSG plan'!R69</f>
        <v>10</v>
      </c>
      <c r="Q41" s="1279">
        <f>+'INSC-POSG plan'!S64+'INSC-POSG plan'!S65+'INSC-POSG plan'!S66+'INSC-POSG plan'!S67+'INSC-POSG plan'!S68+'INSC-POSG plan'!S69</f>
        <v>44</v>
      </c>
      <c r="R41" s="1280">
        <f t="shared" ref="R41:R55" si="39">SUM(O41:Q41)</f>
        <v>79</v>
      </c>
      <c r="S41" s="1278">
        <v>2</v>
      </c>
      <c r="T41" s="1279">
        <v>5</v>
      </c>
      <c r="U41" s="1279">
        <v>23</v>
      </c>
      <c r="V41" s="1280">
        <v>30</v>
      </c>
      <c r="W41" s="1278">
        <v>6</v>
      </c>
      <c r="X41" s="1279">
        <v>8</v>
      </c>
      <c r="Y41" s="1279">
        <v>22</v>
      </c>
      <c r="Z41" s="1281">
        <v>36</v>
      </c>
      <c r="AA41" s="1278">
        <v>14</v>
      </c>
      <c r="AB41" s="1279">
        <v>13</v>
      </c>
      <c r="AC41" s="1279">
        <v>42</v>
      </c>
      <c r="AD41" s="1280">
        <v>69</v>
      </c>
      <c r="AE41" s="1279">
        <v>7</v>
      </c>
      <c r="AF41" s="1279">
        <v>12</v>
      </c>
      <c r="AG41" s="1279">
        <v>43</v>
      </c>
      <c r="AH41" s="1280">
        <v>62</v>
      </c>
      <c r="AI41" s="1279">
        <v>14</v>
      </c>
      <c r="AJ41" s="1279">
        <v>8</v>
      </c>
      <c r="AK41" s="1279">
        <v>28</v>
      </c>
      <c r="AL41" s="1671">
        <v>50</v>
      </c>
      <c r="AM41" s="1035">
        <v>16</v>
      </c>
      <c r="AN41" s="1036">
        <v>8</v>
      </c>
      <c r="AO41" s="1036">
        <v>46</v>
      </c>
      <c r="AP41" s="1039">
        <v>70</v>
      </c>
      <c r="AQ41" s="1035">
        <v>7</v>
      </c>
      <c r="AR41" s="1036">
        <v>4</v>
      </c>
      <c r="AS41" s="1036">
        <v>58</v>
      </c>
      <c r="AT41" s="1039">
        <f t="shared" ref="AT41:AT51" si="40">SUM(AQ41:AS41)</f>
        <v>69</v>
      </c>
      <c r="AU41" s="1035">
        <v>12</v>
      </c>
      <c r="AV41" s="1036">
        <v>7</v>
      </c>
      <c r="AW41" s="1036">
        <v>47</v>
      </c>
      <c r="AX41" s="1039">
        <f t="shared" ref="AX41:AX51" si="41">SUM(AU41:AW41)</f>
        <v>66</v>
      </c>
      <c r="AY41" s="1035">
        <v>15</v>
      </c>
      <c r="AZ41" s="1036">
        <v>16</v>
      </c>
      <c r="BA41" s="1036">
        <v>57</v>
      </c>
      <c r="BB41" s="1039">
        <f>SUM(AY41:BA41)</f>
        <v>88</v>
      </c>
      <c r="BC41" s="1035">
        <f>SUM('INSC-POSG plan'!BE64,'INSC-POSG plan'!BE65,'INSC-POSG plan'!BE66,'INSC-POSG plan'!BE67,'INSC-POSG plan'!BE68,'INSC-POSG plan'!BE69)</f>
        <v>16</v>
      </c>
      <c r="BD41" s="1036">
        <f>SUM('INSC-POSG plan'!BF64,'INSC-POSG plan'!BF65,'INSC-POSG plan'!BF66,'INSC-POSG plan'!BF67,'INSC-POSG plan'!BF68,'INSC-POSG plan'!BF69)</f>
        <v>7</v>
      </c>
      <c r="BE41" s="1036">
        <f>SUM('INSC-POSG plan'!BG64,'INSC-POSG plan'!BG65,'INSC-POSG plan'!BG66,'INSC-POSG plan'!BG67,'INSC-POSG plan'!BG68,'INSC-POSG plan'!BG69)</f>
        <v>61</v>
      </c>
      <c r="BF41" s="1039">
        <f>SUM(BC41:BE41)</f>
        <v>84</v>
      </c>
      <c r="BG41" s="1035">
        <f>SUM('INSC-POSG plan'!BI64:BI70)</f>
        <v>35</v>
      </c>
      <c r="BH41" s="1036">
        <f>SUM('INSC-POSG plan'!BJ64,'INSC-POSG plan'!BJ65,'INSC-POSG plan'!BJ66,'INSC-POSG plan'!BJ67,'INSC-POSG plan'!BJ68,'INSC-POSG plan'!BJ69)</f>
        <v>5</v>
      </c>
      <c r="BI41" s="1036">
        <f>SUM('INSC-POSG plan'!BK64:BK70)</f>
        <v>54</v>
      </c>
      <c r="BJ41" s="1039">
        <f>SUM(BG41:BI41)</f>
        <v>94</v>
      </c>
      <c r="BK41" s="1035">
        <f>SUM('INSC-POSG plan'!BM64:BM70)</f>
        <v>24</v>
      </c>
      <c r="BL41" s="1036">
        <f>SUM('INSC-POSG plan'!BN64,'INSC-POSG plan'!BN65,'INSC-POSG plan'!BN66,'INSC-POSG plan'!BN67,'INSC-POSG plan'!BN68,'INSC-POSG plan'!BN69)</f>
        <v>5</v>
      </c>
      <c r="BM41" s="1036">
        <f>SUM('INSC-POSG plan'!BO64:BO70)</f>
        <v>49</v>
      </c>
      <c r="BN41" s="1039">
        <f>SUM(BK41:BM41)</f>
        <v>78</v>
      </c>
      <c r="BO41" s="1035">
        <f>SUM('INSC-POSG plan'!BQ64:BQ70)</f>
        <v>28</v>
      </c>
      <c r="BP41" s="1036">
        <f>SUM('INSC-POSG plan'!BR64,'INSC-POSG plan'!BR65,'INSC-POSG plan'!BR66,'INSC-POSG plan'!BR67,'INSC-POSG plan'!BR68,'INSC-POSG plan'!BR69)</f>
        <v>13</v>
      </c>
      <c r="BQ41" s="1036">
        <f>SUM('INSC-POSG plan'!BS64:BS70)</f>
        <v>54</v>
      </c>
      <c r="BR41" s="1039">
        <f>SUM(BO41:BQ41)</f>
        <v>95</v>
      </c>
      <c r="BS41" s="1035">
        <f>SUM('INSC-POSG plan'!BU64:BU70)</f>
        <v>45</v>
      </c>
      <c r="BT41" s="1036">
        <f>SUM('INSC-POSG plan'!BV64,'INSC-POSG plan'!BV65,'INSC-POSG plan'!BV66,'INSC-POSG plan'!BV67,'INSC-POSG plan'!BV68,'INSC-POSG plan'!BV69)</f>
        <v>10</v>
      </c>
      <c r="BU41" s="1036">
        <f>SUM('INSC-POSG plan'!BW64:BW70)</f>
        <v>50</v>
      </c>
      <c r="BV41" s="1039">
        <f>SUM(BS41:BU41)</f>
        <v>105</v>
      </c>
      <c r="BW41" s="1035">
        <f>SUM('INSC-POSG plan'!BY64:BY70)</f>
        <v>26</v>
      </c>
      <c r="BX41" s="1036">
        <f>SUM('INSC-POSG plan'!BZ64:BZ70)</f>
        <v>14</v>
      </c>
      <c r="BY41" s="1036">
        <f>SUM('INSC-POSG plan'!CA64:CA70)</f>
        <v>54</v>
      </c>
      <c r="BZ41" s="1039">
        <f>SUM(BW41:BY41)</f>
        <v>94</v>
      </c>
    </row>
    <row r="42" spans="1:78" ht="15" x14ac:dyDescent="0.2">
      <c r="A42" s="6219"/>
      <c r="B42" s="1040" t="s">
        <v>617</v>
      </c>
      <c r="C42" s="1289">
        <f>+'INSC-POSG plan'!E71+'INSC-POSG plan'!E72+'INSC-POSG plan'!E73+'INSC-POSG plan'!E74+'INSC-POSG plan'!E75+'INSC-POSG plan'!E76+'INSC-POSG plan'!E78</f>
        <v>10</v>
      </c>
      <c r="D42" s="1290">
        <f>+'INSC-POSG plan'!F71+'INSC-POSG plan'!F72+'INSC-POSG plan'!F73+'INSC-POSG plan'!F74+'INSC-POSG plan'!F75+'INSC-POSG plan'!F76+'INSC-POSG plan'!F78</f>
        <v>10</v>
      </c>
      <c r="E42" s="1290">
        <f>+'INSC-POSG plan'!G71+'INSC-POSG plan'!G72+'INSC-POSG plan'!G73+'INSC-POSG plan'!G74+'INSC-POSG plan'!G75+'INSC-POSG plan'!G76+'INSC-POSG plan'!G78</f>
        <v>10</v>
      </c>
      <c r="F42" s="1291">
        <f t="shared" si="36"/>
        <v>30</v>
      </c>
      <c r="G42" s="1289">
        <f>+'INSC-POSG plan'!I71+'INSC-POSG plan'!I72+'INSC-POSG plan'!I73+'INSC-POSG plan'!I74+'INSC-POSG plan'!I75+'INSC-POSG plan'!I76+'INSC-POSG plan'!I78</f>
        <v>13</v>
      </c>
      <c r="H42" s="1290">
        <f>+'INSC-POSG plan'!J71+'INSC-POSG plan'!J72+'INSC-POSG plan'!J73+'INSC-POSG plan'!J74+'INSC-POSG plan'!J75+'INSC-POSG plan'!J76+'INSC-POSG plan'!J78</f>
        <v>3</v>
      </c>
      <c r="I42" s="1290">
        <f>+'INSC-POSG plan'!K71+'INSC-POSG plan'!K72+'INSC-POSG plan'!K73+'INSC-POSG plan'!K74+'INSC-POSG plan'!K75+'INSC-POSG plan'!K76+'INSC-POSG plan'!K78</f>
        <v>29</v>
      </c>
      <c r="J42" s="1291">
        <f t="shared" si="37"/>
        <v>45</v>
      </c>
      <c r="K42" s="1289">
        <f>+'INSC-POSG plan'!M71+'INSC-POSG plan'!M72+'INSC-POSG plan'!M73+'INSC-POSG plan'!M74+'INSC-POSG plan'!M75+'INSC-POSG plan'!M76+'INSC-POSG plan'!M78</f>
        <v>25</v>
      </c>
      <c r="L42" s="1290">
        <f>+'INSC-POSG plan'!N71+'INSC-POSG plan'!N72+'INSC-POSG plan'!N73+'INSC-POSG plan'!N74+'INSC-POSG plan'!N75+'INSC-POSG plan'!N76+'INSC-POSG plan'!N78</f>
        <v>12</v>
      </c>
      <c r="M42" s="1290">
        <f>+'INSC-POSG plan'!O71+'INSC-POSG plan'!O72+'INSC-POSG plan'!O73+'INSC-POSG plan'!O74+'INSC-POSG plan'!O75+'INSC-POSG plan'!O76+'INSC-POSG plan'!O78</f>
        <v>9</v>
      </c>
      <c r="N42" s="1291">
        <f t="shared" si="38"/>
        <v>46</v>
      </c>
      <c r="O42" s="1289">
        <f>+'INSC-POSG plan'!Q71+'INSC-POSG plan'!Q72+'INSC-POSG plan'!Q73+'INSC-POSG plan'!Q74+'INSC-POSG plan'!Q75+'INSC-POSG plan'!Q76+'INSC-POSG plan'!Q78</f>
        <v>19</v>
      </c>
      <c r="P42" s="1290">
        <f>+'INSC-POSG plan'!R71+'INSC-POSG plan'!R72+'INSC-POSG plan'!R73+'INSC-POSG plan'!R74+'INSC-POSG plan'!R75+'INSC-POSG plan'!R76+'INSC-POSG plan'!R78</f>
        <v>9</v>
      </c>
      <c r="Q42" s="1290">
        <f>+'INSC-POSG plan'!S71+'INSC-POSG plan'!S72+'INSC-POSG plan'!S73+'INSC-POSG plan'!S74+'INSC-POSG plan'!S75+'INSC-POSG plan'!S76+'INSC-POSG plan'!S78</f>
        <v>13</v>
      </c>
      <c r="R42" s="1291">
        <f t="shared" si="39"/>
        <v>41</v>
      </c>
      <c r="S42" s="1289">
        <v>11</v>
      </c>
      <c r="T42" s="1290">
        <v>8</v>
      </c>
      <c r="U42" s="1290">
        <v>17</v>
      </c>
      <c r="V42" s="1291">
        <v>36</v>
      </c>
      <c r="W42" s="1289">
        <v>13</v>
      </c>
      <c r="X42" s="1290">
        <v>9</v>
      </c>
      <c r="Y42" s="1290">
        <v>18</v>
      </c>
      <c r="Z42" s="1292">
        <v>40</v>
      </c>
      <c r="AA42" s="1289">
        <v>17</v>
      </c>
      <c r="AB42" s="1290">
        <v>12</v>
      </c>
      <c r="AC42" s="1290">
        <v>12</v>
      </c>
      <c r="AD42" s="1291">
        <v>41</v>
      </c>
      <c r="AE42" s="1290">
        <v>7</v>
      </c>
      <c r="AF42" s="1290">
        <v>4</v>
      </c>
      <c r="AG42" s="1290">
        <v>6</v>
      </c>
      <c r="AH42" s="1291">
        <v>17</v>
      </c>
      <c r="AI42" s="1290">
        <v>1</v>
      </c>
      <c r="AJ42" s="1290">
        <v>2</v>
      </c>
      <c r="AK42" s="1290">
        <v>7</v>
      </c>
      <c r="AL42" s="1672">
        <v>10</v>
      </c>
      <c r="AM42" s="1041">
        <v>4</v>
      </c>
      <c r="AN42" s="1042">
        <v>2</v>
      </c>
      <c r="AO42" s="1042">
        <v>14</v>
      </c>
      <c r="AP42" s="1045">
        <v>20</v>
      </c>
      <c r="AQ42" s="1041">
        <v>4</v>
      </c>
      <c r="AR42" s="1042">
        <v>4</v>
      </c>
      <c r="AS42" s="1042">
        <v>12</v>
      </c>
      <c r="AT42" s="1045">
        <f t="shared" si="40"/>
        <v>20</v>
      </c>
      <c r="AU42" s="1041">
        <v>13</v>
      </c>
      <c r="AV42" s="1042">
        <v>2</v>
      </c>
      <c r="AW42" s="1042">
        <v>10</v>
      </c>
      <c r="AX42" s="1045">
        <f t="shared" si="41"/>
        <v>25</v>
      </c>
      <c r="AY42" s="1041">
        <v>18</v>
      </c>
      <c r="AZ42" s="1042">
        <v>6</v>
      </c>
      <c r="BA42" s="1042">
        <v>22</v>
      </c>
      <c r="BB42" s="1045">
        <f>SUM(AY42:BA42)</f>
        <v>46</v>
      </c>
      <c r="BC42" s="1041">
        <f>SUM('INSC-POSG plan'!BE71,'INSC-POSG plan'!BE72,'INSC-POSG plan'!BE73,'INSC-POSG plan'!BE74,'INSC-POSG plan'!BE75,'INSC-POSG plan'!BE76,'INSC-POSG plan'!BE78)</f>
        <v>17</v>
      </c>
      <c r="BD42" s="1042">
        <f>SUM('INSC-POSG plan'!BF71,'INSC-POSG plan'!BF72,'INSC-POSG plan'!BF73,'INSC-POSG plan'!BF74,'INSC-POSG plan'!BF75,'INSC-POSG plan'!BF76,'INSC-POSG plan'!BF78)</f>
        <v>9</v>
      </c>
      <c r="BE42" s="1042">
        <f>SUM('INSC-POSG plan'!BG71,'INSC-POSG plan'!BG72,'INSC-POSG plan'!BG73,'INSC-POSG plan'!BG74,'INSC-POSG plan'!BG75,'INSC-POSG plan'!BG76,'INSC-POSG plan'!BG78)</f>
        <v>16</v>
      </c>
      <c r="BF42" s="1045">
        <f>SUM(BC42:BE42)</f>
        <v>42</v>
      </c>
      <c r="BG42" s="1041">
        <f>SUM('INSC-POSG plan'!BI71:BI78)</f>
        <v>26</v>
      </c>
      <c r="BH42" s="1042">
        <f>SUM('INSC-POSG plan'!BJ71,'INSC-POSG plan'!BJ72,'INSC-POSG plan'!BJ73,'INSC-POSG plan'!BJ74,'INSC-POSG plan'!BJ75,'INSC-POSG plan'!BJ76,'INSC-POSG plan'!BJ78)</f>
        <v>11</v>
      </c>
      <c r="BI42" s="1042">
        <f>SUM('INSC-POSG plan'!BK71:BK78)</f>
        <v>16</v>
      </c>
      <c r="BJ42" s="1045">
        <f>SUM(BG42:BI42)</f>
        <v>53</v>
      </c>
      <c r="BK42" s="1041">
        <f>SUM('INSC-POSG plan'!BM71:BM78)</f>
        <v>11</v>
      </c>
      <c r="BL42" s="1042">
        <f>SUM('INSC-POSG plan'!BN71,'INSC-POSG plan'!BN72,'INSC-POSG plan'!BN73,'INSC-POSG plan'!BN74,'INSC-POSG plan'!BN75,'INSC-POSG plan'!BN76,'INSC-POSG plan'!BN78)</f>
        <v>10</v>
      </c>
      <c r="BM42" s="1042">
        <f>SUM('INSC-POSG plan'!BO71:BO78)</f>
        <v>23</v>
      </c>
      <c r="BN42" s="1045">
        <f>SUM(BK42:BM42)</f>
        <v>44</v>
      </c>
      <c r="BO42" s="1041">
        <f>SUM('INSC-POSG plan'!BQ71:BQ78)</f>
        <v>14</v>
      </c>
      <c r="BP42" s="1042">
        <f>SUM('INSC-POSG plan'!BR71,'INSC-POSG plan'!BR72,'INSC-POSG plan'!BR73,'INSC-POSG plan'!BR74,'INSC-POSG plan'!BR75,'INSC-POSG plan'!BR76,'INSC-POSG plan'!BR78)</f>
        <v>9</v>
      </c>
      <c r="BQ42" s="1042">
        <f>SUM('INSC-POSG plan'!BS71:BS78)</f>
        <v>20</v>
      </c>
      <c r="BR42" s="1045">
        <f>SUM(BO42:BQ42)</f>
        <v>43</v>
      </c>
      <c r="BS42" s="1041">
        <f>SUM('INSC-POSG plan'!BU71:BU78)</f>
        <v>18</v>
      </c>
      <c r="BT42" s="1042">
        <f>SUM('INSC-POSG plan'!BV71,'INSC-POSG plan'!BV72,'INSC-POSG plan'!BV73,'INSC-POSG plan'!BV74,'INSC-POSG plan'!BV75,'INSC-POSG plan'!BV76,'INSC-POSG plan'!BV78)</f>
        <v>4</v>
      </c>
      <c r="BU42" s="1042">
        <f>SUM('INSC-POSG plan'!BW71:BW78)</f>
        <v>5</v>
      </c>
      <c r="BV42" s="1045">
        <f>SUM(BS42:BU42)</f>
        <v>27</v>
      </c>
      <c r="BW42" s="1041">
        <f>SUM('INSC-POSG plan'!BY71:BY78)</f>
        <v>8</v>
      </c>
      <c r="BX42" s="1042">
        <f>SUM('INSC-POSG plan'!BZ71:BZ78)</f>
        <v>7</v>
      </c>
      <c r="BY42" s="1042">
        <f>SUM('INSC-POSG plan'!CA71:CA78)</f>
        <v>10</v>
      </c>
      <c r="BZ42" s="1045">
        <f>SUM(BW42:BY42)</f>
        <v>25</v>
      </c>
    </row>
    <row r="43" spans="1:78" s="222" customFormat="1" ht="15" x14ac:dyDescent="0.2">
      <c r="A43" s="6220"/>
      <c r="B43" s="574" t="s">
        <v>13</v>
      </c>
      <c r="C43" s="1149">
        <f>SUM(C40:C42)</f>
        <v>28</v>
      </c>
      <c r="D43" s="1150">
        <f>SUM(D40:D42)</f>
        <v>19</v>
      </c>
      <c r="E43" s="1150">
        <f>SUM(E40:E42)</f>
        <v>56</v>
      </c>
      <c r="F43" s="1151">
        <f t="shared" si="36"/>
        <v>103</v>
      </c>
      <c r="G43" s="1149">
        <f>SUM(G40:G42)</f>
        <v>40</v>
      </c>
      <c r="H43" s="1150">
        <f>SUM(H40:H42)</f>
        <v>15</v>
      </c>
      <c r="I43" s="1150">
        <f>SUM(I40:I42)</f>
        <v>65</v>
      </c>
      <c r="J43" s="1151">
        <f t="shared" si="37"/>
        <v>120</v>
      </c>
      <c r="K43" s="1149">
        <f>SUM(K40:K42)</f>
        <v>54</v>
      </c>
      <c r="L43" s="1150">
        <f>SUM(L40:L42)</f>
        <v>27</v>
      </c>
      <c r="M43" s="1150">
        <f>SUM(M40:M42)</f>
        <v>57</v>
      </c>
      <c r="N43" s="1151">
        <f t="shared" si="38"/>
        <v>138</v>
      </c>
      <c r="O43" s="1149">
        <f>SUM(O40:O42)</f>
        <v>44</v>
      </c>
      <c r="P43" s="1150">
        <f>SUM(P40:P42)</f>
        <v>19</v>
      </c>
      <c r="Q43" s="1150">
        <f>SUM(Q40:Q42)</f>
        <v>57</v>
      </c>
      <c r="R43" s="1151">
        <f t="shared" si="39"/>
        <v>120</v>
      </c>
      <c r="S43" s="1149">
        <v>13</v>
      </c>
      <c r="T43" s="1150">
        <v>13</v>
      </c>
      <c r="U43" s="1150">
        <v>40</v>
      </c>
      <c r="V43" s="1151">
        <v>66</v>
      </c>
      <c r="W43" s="1149">
        <v>19</v>
      </c>
      <c r="X43" s="1150">
        <v>17</v>
      </c>
      <c r="Y43" s="1150">
        <v>40</v>
      </c>
      <c r="Z43" s="1150">
        <v>76</v>
      </c>
      <c r="AA43" s="1149">
        <v>31</v>
      </c>
      <c r="AB43" s="1150">
        <v>25</v>
      </c>
      <c r="AC43" s="1150">
        <v>54</v>
      </c>
      <c r="AD43" s="1151">
        <v>110</v>
      </c>
      <c r="AE43" s="1150">
        <v>14</v>
      </c>
      <c r="AF43" s="1150">
        <v>16</v>
      </c>
      <c r="AG43" s="1150">
        <v>49</v>
      </c>
      <c r="AH43" s="1151">
        <v>79</v>
      </c>
      <c r="AI43" s="1150">
        <v>15</v>
      </c>
      <c r="AJ43" s="1150">
        <v>10</v>
      </c>
      <c r="AK43" s="1150">
        <v>35</v>
      </c>
      <c r="AL43" s="1151">
        <v>60</v>
      </c>
      <c r="AM43" s="575">
        <v>20</v>
      </c>
      <c r="AN43" s="576">
        <v>10</v>
      </c>
      <c r="AO43" s="576">
        <v>60</v>
      </c>
      <c r="AP43" s="577">
        <v>90</v>
      </c>
      <c r="AQ43" s="575">
        <f>SUM(AQ40:AQ42)</f>
        <v>11</v>
      </c>
      <c r="AR43" s="576">
        <f>SUM(AR40:AR42)</f>
        <v>8</v>
      </c>
      <c r="AS43" s="576">
        <f>SUM(AS40:AS42)</f>
        <v>70</v>
      </c>
      <c r="AT43" s="577">
        <f t="shared" si="40"/>
        <v>89</v>
      </c>
      <c r="AU43" s="575">
        <f>SUM(AU40:AU42)</f>
        <v>25</v>
      </c>
      <c r="AV43" s="576">
        <f>SUM(AV40:AV42)</f>
        <v>9</v>
      </c>
      <c r="AW43" s="576">
        <f>SUM(AW40:AW42)</f>
        <v>57</v>
      </c>
      <c r="AX43" s="577">
        <f t="shared" si="41"/>
        <v>91</v>
      </c>
      <c r="AY43" s="575">
        <f>SUM(AY40:AY42)</f>
        <v>33</v>
      </c>
      <c r="AZ43" s="576">
        <f>SUM(AZ40:AZ42)</f>
        <v>22</v>
      </c>
      <c r="BA43" s="576">
        <f>SUM(BA40:BA42)</f>
        <v>79</v>
      </c>
      <c r="BB43" s="577">
        <f t="shared" ref="BB43:BB51" si="42">SUM(AY43:BA43)</f>
        <v>134</v>
      </c>
      <c r="BC43" s="575">
        <f>SUM(BC41:BC42)</f>
        <v>33</v>
      </c>
      <c r="BD43" s="576">
        <f>SUM(BD40:BD42)</f>
        <v>16</v>
      </c>
      <c r="BE43" s="576">
        <f>SUM(BE40:BE42)</f>
        <v>77</v>
      </c>
      <c r="BF43" s="577">
        <f t="shared" ref="BF43:BF51" si="43">SUM(BC43:BE43)</f>
        <v>126</v>
      </c>
      <c r="BG43" s="575">
        <f>SUM(BG41:BG42)</f>
        <v>61</v>
      </c>
      <c r="BH43" s="576">
        <f>SUM(BH40:BH42)</f>
        <v>16</v>
      </c>
      <c r="BI43" s="576">
        <f>SUM(BI40:BI42)</f>
        <v>70</v>
      </c>
      <c r="BJ43" s="577">
        <f>SUM(BG43:BI43)</f>
        <v>147</v>
      </c>
      <c r="BK43" s="575">
        <f>SUM(BK41:BK42)</f>
        <v>35</v>
      </c>
      <c r="BL43" s="576">
        <f>SUM(BL40:BL42)</f>
        <v>15</v>
      </c>
      <c r="BM43" s="576">
        <f>SUM(BM40:BM42)</f>
        <v>72</v>
      </c>
      <c r="BN43" s="577">
        <f>SUM(BK43:BM43)</f>
        <v>122</v>
      </c>
      <c r="BO43" s="575">
        <f>SUM(BO41:BO42)</f>
        <v>42</v>
      </c>
      <c r="BP43" s="576">
        <f>SUM(BP40:BP42)</f>
        <v>22</v>
      </c>
      <c r="BQ43" s="576">
        <f>SUM(BQ40:BQ42)</f>
        <v>74</v>
      </c>
      <c r="BR43" s="577">
        <f>SUM(BO43:BQ43)</f>
        <v>138</v>
      </c>
      <c r="BS43" s="575">
        <f>SUM(BS41:BS42)</f>
        <v>63</v>
      </c>
      <c r="BT43" s="576">
        <f>SUM(BT40:BT42)</f>
        <v>16</v>
      </c>
      <c r="BU43" s="576">
        <f>SUM(BU40:BU42)</f>
        <v>55</v>
      </c>
      <c r="BV43" s="577">
        <f>SUM(BS43:BU43)</f>
        <v>134</v>
      </c>
      <c r="BW43" s="575">
        <f>SUM(BW41:BW42)</f>
        <v>34</v>
      </c>
      <c r="BX43" s="576">
        <f>SUM(BX40:BX42)</f>
        <v>23</v>
      </c>
      <c r="BY43" s="576">
        <f>SUM(BY40:BY42)</f>
        <v>64</v>
      </c>
      <c r="BZ43" s="577">
        <f>SUM(BW43:BY43)</f>
        <v>121</v>
      </c>
    </row>
    <row r="44" spans="1:78" ht="15" x14ac:dyDescent="0.2">
      <c r="A44" s="6219" t="s">
        <v>6</v>
      </c>
      <c r="B44" s="1029" t="s">
        <v>615</v>
      </c>
      <c r="C44" s="1274">
        <f>+'INSC-POSG plan'!E80</f>
        <v>0</v>
      </c>
      <c r="D44" s="1275">
        <f>+'INSC-POSG plan'!F80</f>
        <v>0</v>
      </c>
      <c r="E44" s="1275">
        <f>+'INSC-POSG plan'!G80</f>
        <v>12</v>
      </c>
      <c r="F44" s="1276">
        <f t="shared" si="36"/>
        <v>12</v>
      </c>
      <c r="G44" s="1274">
        <f>+'INSC-POSG plan'!I80</f>
        <v>0</v>
      </c>
      <c r="H44" s="1275">
        <f>+'INSC-POSG plan'!J80</f>
        <v>0</v>
      </c>
      <c r="I44" s="1275">
        <f>+'INSC-POSG plan'!K80</f>
        <v>9</v>
      </c>
      <c r="J44" s="1276">
        <f t="shared" si="37"/>
        <v>9</v>
      </c>
      <c r="K44" s="1274">
        <f>+'INSC-POSG plan'!M80</f>
        <v>0</v>
      </c>
      <c r="L44" s="1275">
        <f>+'INSC-POSG plan'!N80</f>
        <v>0</v>
      </c>
      <c r="M44" s="1275">
        <f>+'INSC-POSG plan'!O80</f>
        <v>13</v>
      </c>
      <c r="N44" s="1276">
        <f t="shared" si="38"/>
        <v>13</v>
      </c>
      <c r="O44" s="1274">
        <f>+'INSC-POSG plan'!Q80</f>
        <v>0</v>
      </c>
      <c r="P44" s="1275">
        <f>+'INSC-POSG plan'!R80</f>
        <v>0</v>
      </c>
      <c r="Q44" s="1275">
        <f>+'INSC-POSG plan'!S80</f>
        <v>25</v>
      </c>
      <c r="R44" s="1276">
        <f t="shared" si="39"/>
        <v>25</v>
      </c>
      <c r="S44" s="1274"/>
      <c r="T44" s="1275"/>
      <c r="U44" s="1275">
        <v>41</v>
      </c>
      <c r="V44" s="1276">
        <v>41</v>
      </c>
      <c r="W44" s="1274"/>
      <c r="X44" s="1275"/>
      <c r="Y44" s="1275">
        <v>73</v>
      </c>
      <c r="Z44" s="1277">
        <v>73</v>
      </c>
      <c r="AA44" s="1274"/>
      <c r="AB44" s="1275"/>
      <c r="AC44" s="1275"/>
      <c r="AD44" s="1276"/>
      <c r="AE44" s="1275">
        <v>86</v>
      </c>
      <c r="AF44" s="1275"/>
      <c r="AG44" s="1275"/>
      <c r="AH44" s="1276">
        <v>86</v>
      </c>
      <c r="AI44" s="1275">
        <v>90</v>
      </c>
      <c r="AJ44" s="1275"/>
      <c r="AK44" s="1275">
        <v>19</v>
      </c>
      <c r="AL44" s="1670">
        <v>109</v>
      </c>
      <c r="AM44" s="1030">
        <v>101</v>
      </c>
      <c r="AN44" s="1031"/>
      <c r="AO44" s="1031"/>
      <c r="AP44" s="1048">
        <v>101</v>
      </c>
      <c r="AQ44" s="1030"/>
      <c r="AR44" s="1031">
        <v>99</v>
      </c>
      <c r="AS44" s="1031">
        <v>16</v>
      </c>
      <c r="AT44" s="1048">
        <f t="shared" si="40"/>
        <v>115</v>
      </c>
      <c r="AU44" s="1030"/>
      <c r="AV44" s="1031"/>
      <c r="AW44" s="1031">
        <v>104</v>
      </c>
      <c r="AX44" s="1048">
        <f t="shared" si="41"/>
        <v>104</v>
      </c>
      <c r="AY44" s="1030"/>
      <c r="AZ44" s="1031"/>
      <c r="BA44" s="1031">
        <v>72</v>
      </c>
      <c r="BB44" s="1048">
        <f t="shared" si="42"/>
        <v>72</v>
      </c>
      <c r="BC44" s="1030"/>
      <c r="BD44" s="1031"/>
      <c r="BE44" s="1031"/>
      <c r="BF44" s="1048"/>
      <c r="BG44" s="1030"/>
      <c r="BH44" s="1031"/>
      <c r="BI44" s="1031">
        <f>SUM('INSC-POSG plan'!BK80)</f>
        <v>36</v>
      </c>
      <c r="BJ44" s="1048"/>
      <c r="BK44" s="1031">
        <f>SUM('INSC-POSG plan'!BM80)</f>
        <v>0</v>
      </c>
      <c r="BL44" s="1031">
        <f>SUM('INSC-POSG plan'!BN80)</f>
        <v>0</v>
      </c>
      <c r="BM44" s="1031">
        <f>SUM('INSC-POSG plan'!BO80)</f>
        <v>15</v>
      </c>
      <c r="BN44" s="1039">
        <f t="shared" ref="BN44:BN51" si="44">SUM(BK44:BM44)</f>
        <v>15</v>
      </c>
      <c r="BO44" s="1031">
        <f>SUM('INSC-POSG plan'!BQ80)</f>
        <v>33</v>
      </c>
      <c r="BP44" s="1031">
        <f>SUM('INSC-POSG plan'!BR80)</f>
        <v>1</v>
      </c>
      <c r="BQ44" s="1031">
        <f>SUM('INSC-POSG plan'!BS80)</f>
        <v>24</v>
      </c>
      <c r="BR44" s="1039">
        <f t="shared" ref="BR44:BR51" si="45">SUM(BO44:BQ44)</f>
        <v>58</v>
      </c>
      <c r="BS44" s="1031">
        <f>SUM('INSC-POSG plan'!BU80)</f>
        <v>0</v>
      </c>
      <c r="BT44" s="1031">
        <f>SUM('INSC-POSG plan'!BV80)</f>
        <v>0</v>
      </c>
      <c r="BU44" s="1031">
        <f>SUM('INSC-POSG plan'!BW80)</f>
        <v>12</v>
      </c>
      <c r="BV44" s="1039">
        <f t="shared" ref="BV44:BV51" si="46">SUM(BS44:BU44)</f>
        <v>12</v>
      </c>
      <c r="BW44" s="1031">
        <f>SUM('INSC-POSG plan'!BY80)</f>
        <v>0</v>
      </c>
      <c r="BX44" s="1031">
        <f>SUM('INSC-POSG plan'!BZ80)</f>
        <v>61</v>
      </c>
      <c r="BY44" s="1031">
        <f>SUM('INSC-POSG plan'!CA80)</f>
        <v>0</v>
      </c>
      <c r="BZ44" s="1039">
        <f t="shared" ref="BZ44:BZ51" si="47">SUM(BW44:BY44)</f>
        <v>61</v>
      </c>
    </row>
    <row r="45" spans="1:78" ht="15" x14ac:dyDescent="0.2">
      <c r="A45" s="6219"/>
      <c r="B45" s="1034" t="s">
        <v>616</v>
      </c>
      <c r="C45" s="1278">
        <f>+'INSC-POSG plan'!E81+'INSC-POSG plan'!E82+'INSC-POSG plan'!E83+'INSC-POSG plan'!E84+'INSC-POSG plan'!E85</f>
        <v>0</v>
      </c>
      <c r="D45" s="1279">
        <f>+'INSC-POSG plan'!F81+'INSC-POSG plan'!F82+'INSC-POSG plan'!F83+'INSC-POSG plan'!F84+'INSC-POSG plan'!F85</f>
        <v>0</v>
      </c>
      <c r="E45" s="1279">
        <f>+'INSC-POSG plan'!G81+'INSC-POSG plan'!G82+'INSC-POSG plan'!G83+'INSC-POSG plan'!G84+'INSC-POSG plan'!G85</f>
        <v>79</v>
      </c>
      <c r="F45" s="1280">
        <f t="shared" si="36"/>
        <v>79</v>
      </c>
      <c r="G45" s="1278">
        <f>+'INSC-POSG plan'!I81+'INSC-POSG plan'!I82+'INSC-POSG plan'!I83+'INSC-POSG plan'!I84+'INSC-POSG plan'!I85</f>
        <v>29</v>
      </c>
      <c r="H45" s="1279">
        <f>+'INSC-POSG plan'!J81+'INSC-POSG plan'!J82+'INSC-POSG plan'!J83+'INSC-POSG plan'!J84+'INSC-POSG plan'!J85</f>
        <v>0</v>
      </c>
      <c r="I45" s="1279">
        <f>+'INSC-POSG plan'!K81+'INSC-POSG plan'!K82+'INSC-POSG plan'!K83+'INSC-POSG plan'!K84+'INSC-POSG plan'!K85</f>
        <v>131</v>
      </c>
      <c r="J45" s="1280">
        <f t="shared" si="37"/>
        <v>160</v>
      </c>
      <c r="K45" s="1278">
        <f>+'INSC-POSG plan'!M81+'INSC-POSG plan'!M82+'INSC-POSG plan'!M83+'INSC-POSG plan'!M84+'INSC-POSG plan'!M85</f>
        <v>0</v>
      </c>
      <c r="L45" s="1279">
        <f>+'INSC-POSG plan'!N81+'INSC-POSG plan'!N82+'INSC-POSG plan'!N83+'INSC-POSG plan'!N84+'INSC-POSG plan'!N85</f>
        <v>0</v>
      </c>
      <c r="M45" s="1279">
        <f>+'INSC-POSG plan'!O81+'INSC-POSG plan'!O82+'INSC-POSG plan'!O83+'INSC-POSG plan'!O84+'INSC-POSG plan'!O85</f>
        <v>40</v>
      </c>
      <c r="N45" s="1280">
        <f t="shared" si="38"/>
        <v>40</v>
      </c>
      <c r="O45" s="1278">
        <f>+'INSC-POSG plan'!Q81+'INSC-POSG plan'!Q82+'INSC-POSG plan'!Q83+'INSC-POSG plan'!Q84+'INSC-POSG plan'!Q85</f>
        <v>3</v>
      </c>
      <c r="P45" s="1279">
        <f>+'INSC-POSG plan'!R81+'INSC-POSG plan'!R82+'INSC-POSG plan'!R83+'INSC-POSG plan'!R84+'INSC-POSG plan'!R85</f>
        <v>0</v>
      </c>
      <c r="Q45" s="1279">
        <f>+'INSC-POSG plan'!S81+'INSC-POSG plan'!S82+'INSC-POSG plan'!S83+'INSC-POSG plan'!S84+'INSC-POSG plan'!S85</f>
        <v>199</v>
      </c>
      <c r="R45" s="1280">
        <f t="shared" si="39"/>
        <v>202</v>
      </c>
      <c r="S45" s="1278"/>
      <c r="T45" s="1279"/>
      <c r="U45" s="1279">
        <v>20</v>
      </c>
      <c r="V45" s="1280">
        <v>20</v>
      </c>
      <c r="W45" s="1278">
        <v>1</v>
      </c>
      <c r="X45" s="1279"/>
      <c r="Y45" s="1279">
        <v>22</v>
      </c>
      <c r="Z45" s="1281">
        <v>23</v>
      </c>
      <c r="AA45" s="1278">
        <v>61</v>
      </c>
      <c r="AB45" s="1279"/>
      <c r="AC45" s="1279">
        <v>24</v>
      </c>
      <c r="AD45" s="1280">
        <v>85</v>
      </c>
      <c r="AE45" s="1279">
        <v>5</v>
      </c>
      <c r="AF45" s="1279"/>
      <c r="AG45" s="1279">
        <v>33</v>
      </c>
      <c r="AH45" s="1280">
        <v>38</v>
      </c>
      <c r="AI45" s="1279">
        <v>66</v>
      </c>
      <c r="AJ45" s="1279"/>
      <c r="AK45" s="1279">
        <v>22</v>
      </c>
      <c r="AL45" s="1671">
        <v>88</v>
      </c>
      <c r="AM45" s="1035">
        <v>10</v>
      </c>
      <c r="AN45" s="1036"/>
      <c r="AO45" s="1036">
        <v>137</v>
      </c>
      <c r="AP45" s="1039">
        <v>147</v>
      </c>
      <c r="AQ45" s="1035">
        <v>13</v>
      </c>
      <c r="AR45" s="1036"/>
      <c r="AS45" s="1036">
        <v>20</v>
      </c>
      <c r="AT45" s="1039">
        <f t="shared" si="40"/>
        <v>33</v>
      </c>
      <c r="AU45" s="1035">
        <v>14</v>
      </c>
      <c r="AV45" s="1036"/>
      <c r="AW45" s="1036">
        <v>103</v>
      </c>
      <c r="AX45" s="1039">
        <f t="shared" si="41"/>
        <v>117</v>
      </c>
      <c r="AY45" s="1035">
        <v>14</v>
      </c>
      <c r="AZ45" s="1036"/>
      <c r="BA45" s="1036">
        <v>18</v>
      </c>
      <c r="BB45" s="1039">
        <f t="shared" si="42"/>
        <v>32</v>
      </c>
      <c r="BC45" s="1035">
        <f>SUM('INSC-POSG plan'!BE81,'INSC-POSG plan'!BE82,'INSC-POSG plan'!BE83,'INSC-POSG plan'!BE84,'INSC-POSG plan'!BE85)</f>
        <v>14</v>
      </c>
      <c r="BD45" s="1036">
        <f>SUM('INSC-POSG plan'!BF81,'INSC-POSG plan'!BF82,'INSC-POSG plan'!BF83,'INSC-POSG plan'!BF84,'INSC-POSG plan'!BF85)</f>
        <v>0</v>
      </c>
      <c r="BE45" s="1036">
        <f>SUM('INSC-POSG plan'!BG81,'INSC-POSG plan'!BG82,'INSC-POSG plan'!BG83,'INSC-POSG plan'!BG84,'INSC-POSG plan'!BG85)</f>
        <v>105</v>
      </c>
      <c r="BF45" s="1039">
        <f t="shared" si="43"/>
        <v>119</v>
      </c>
      <c r="BG45" s="1035">
        <f>SUM('INSC-POSG plan'!BI81,'INSC-POSG plan'!BI82,'INSC-POSG plan'!BI83,'INSC-POSG plan'!BI84,'INSC-POSG plan'!BI85)</f>
        <v>26</v>
      </c>
      <c r="BH45" s="1036"/>
      <c r="BI45" s="1036">
        <f>SUM('INSC-POSG plan'!BK81,'INSC-POSG plan'!BK82,'INSC-POSG plan'!BK83,'INSC-POSG plan'!BK84,'INSC-POSG plan'!BK85)</f>
        <v>14</v>
      </c>
      <c r="BJ45" s="1039">
        <f t="shared" ref="BJ45:BJ51" si="48">SUM(BG45:BI45)</f>
        <v>40</v>
      </c>
      <c r="BK45" s="1036">
        <f>SUM('INSC-POSG plan'!BM81,'INSC-POSG plan'!BM82,'INSC-POSG plan'!BM83,'INSC-POSG plan'!BM84,'INSC-POSG plan'!BM85)</f>
        <v>13</v>
      </c>
      <c r="BL45" s="1036">
        <f>SUM('INSC-POSG plan'!BN81,'INSC-POSG plan'!BN82,'INSC-POSG plan'!BN83,'INSC-POSG plan'!BN84,'INSC-POSG plan'!BN85)</f>
        <v>15</v>
      </c>
      <c r="BM45" s="1036">
        <f>SUM('INSC-POSG plan'!BO81,'INSC-POSG plan'!BO82,'INSC-POSG plan'!BO83,'INSC-POSG plan'!BO84,'INSC-POSG plan'!BO85)</f>
        <v>87</v>
      </c>
      <c r="BN45" s="1039">
        <f t="shared" si="44"/>
        <v>115</v>
      </c>
      <c r="BO45" s="1036">
        <f>SUM('INSC-POSG plan'!BQ81,'INSC-POSG plan'!BQ82,'INSC-POSG plan'!BQ83,'INSC-POSG plan'!BQ84,'INSC-POSG plan'!BQ85)</f>
        <v>10</v>
      </c>
      <c r="BP45" s="1036">
        <f>SUM('INSC-POSG plan'!BR81,'INSC-POSG plan'!BR82,'INSC-POSG plan'!BR83,'INSC-POSG plan'!BR84,'INSC-POSG plan'!BR85)</f>
        <v>0</v>
      </c>
      <c r="BQ45" s="1036">
        <f>SUM('INSC-POSG plan'!BS81,'INSC-POSG plan'!BS82,'INSC-POSG plan'!BS83,'INSC-POSG plan'!BS84,'INSC-POSG plan'!BS85)</f>
        <v>46</v>
      </c>
      <c r="BR45" s="1039">
        <f t="shared" si="45"/>
        <v>56</v>
      </c>
      <c r="BS45" s="1036">
        <f>SUM('INSC-POSG plan'!BU81,'INSC-POSG plan'!BU82,'INSC-POSG plan'!BU83,'INSC-POSG plan'!BU84,'INSC-POSG plan'!BU85)</f>
        <v>11</v>
      </c>
      <c r="BT45" s="1036">
        <f>SUM('INSC-POSG plan'!BV81,'INSC-POSG plan'!BV82,'INSC-POSG plan'!BV83,'INSC-POSG plan'!BV84,'INSC-POSG plan'!BV85)</f>
        <v>0</v>
      </c>
      <c r="BU45" s="1036">
        <f>SUM('INSC-POSG plan'!BW81,'INSC-POSG plan'!BW82,'INSC-POSG plan'!BW83,'INSC-POSG plan'!BW84,'INSC-POSG plan'!BW85)</f>
        <v>69</v>
      </c>
      <c r="BV45" s="1039">
        <f t="shared" si="46"/>
        <v>80</v>
      </c>
      <c r="BW45" s="1036">
        <f>SUM('INSC-POSG plan'!BY81:BY87)</f>
        <v>24</v>
      </c>
      <c r="BX45" s="1036">
        <f>SUM('INSC-POSG plan'!BZ81:BZ87)</f>
        <v>0</v>
      </c>
      <c r="BY45" s="1036">
        <f>SUM('INSC-POSG plan'!CA81:CA87)</f>
        <v>46</v>
      </c>
      <c r="BZ45" s="1039">
        <f t="shared" si="47"/>
        <v>70</v>
      </c>
    </row>
    <row r="46" spans="1:78" ht="15" x14ac:dyDescent="0.2">
      <c r="A46" s="6219"/>
      <c r="B46" s="1040" t="s">
        <v>617</v>
      </c>
      <c r="C46" s="1289">
        <f>+'INSC-POSG plan'!E88+'INSC-POSG plan'!E89+'INSC-POSG plan'!E90+'INSC-POSG plan'!E91+'INSC-POSG plan'!E92</f>
        <v>9</v>
      </c>
      <c r="D46" s="1290">
        <f>+'INSC-POSG plan'!F88+'INSC-POSG plan'!F89+'INSC-POSG plan'!F90+'INSC-POSG plan'!F91+'INSC-POSG plan'!F92</f>
        <v>1</v>
      </c>
      <c r="E46" s="1290">
        <f>+'INSC-POSG plan'!G88+'INSC-POSG plan'!G89+'INSC-POSG plan'!G90+'INSC-POSG plan'!G91+'INSC-POSG plan'!G92</f>
        <v>38</v>
      </c>
      <c r="F46" s="1291">
        <f t="shared" si="36"/>
        <v>48</v>
      </c>
      <c r="G46" s="1289">
        <f>+'INSC-POSG plan'!I88+'INSC-POSG plan'!I89+'INSC-POSG plan'!I90+'INSC-POSG plan'!I91+'INSC-POSG plan'!I92</f>
        <v>20</v>
      </c>
      <c r="H46" s="1290">
        <f>+'INSC-POSG plan'!J88+'INSC-POSG plan'!J89+'INSC-POSG plan'!J90+'INSC-POSG plan'!J91+'INSC-POSG plan'!J92</f>
        <v>5</v>
      </c>
      <c r="I46" s="1290">
        <f>+'INSC-POSG plan'!K88+'INSC-POSG plan'!K89+'INSC-POSG plan'!K90+'INSC-POSG plan'!K91+'INSC-POSG plan'!K92</f>
        <v>89</v>
      </c>
      <c r="J46" s="1291">
        <f t="shared" si="37"/>
        <v>114</v>
      </c>
      <c r="K46" s="1289">
        <f>+'INSC-POSG plan'!M88+'INSC-POSG plan'!M89+'INSC-POSG plan'!M90+'INSC-POSG plan'!M91+'INSC-POSG plan'!M92</f>
        <v>38</v>
      </c>
      <c r="L46" s="1290">
        <f>+'INSC-POSG plan'!N88+'INSC-POSG plan'!N89+'INSC-POSG plan'!N90+'INSC-POSG plan'!N91+'INSC-POSG plan'!N92</f>
        <v>2</v>
      </c>
      <c r="M46" s="1290">
        <f>+'INSC-POSG plan'!O88+'INSC-POSG plan'!O89+'INSC-POSG plan'!O90+'INSC-POSG plan'!O91+'INSC-POSG plan'!O92</f>
        <v>23</v>
      </c>
      <c r="N46" s="1291">
        <f t="shared" si="38"/>
        <v>63</v>
      </c>
      <c r="O46" s="1289">
        <f>+'INSC-POSG plan'!Q88+'INSC-POSG plan'!Q89+'INSC-POSG plan'!Q90+'INSC-POSG plan'!Q91+'INSC-POSG plan'!Q92</f>
        <v>11</v>
      </c>
      <c r="P46" s="1290">
        <f>+'INSC-POSG plan'!R88+'INSC-POSG plan'!R89+'INSC-POSG plan'!R90+'INSC-POSG plan'!R91+'INSC-POSG plan'!R92</f>
        <v>7</v>
      </c>
      <c r="Q46" s="1290">
        <f>+'INSC-POSG plan'!S88+'INSC-POSG plan'!S89+'INSC-POSG plan'!S90+'INSC-POSG plan'!S91+'INSC-POSG plan'!S92</f>
        <v>108</v>
      </c>
      <c r="R46" s="1291">
        <f t="shared" si="39"/>
        <v>126</v>
      </c>
      <c r="S46" s="1289">
        <v>3</v>
      </c>
      <c r="T46" s="1290"/>
      <c r="U46" s="1290">
        <v>34</v>
      </c>
      <c r="V46" s="1291">
        <v>37</v>
      </c>
      <c r="W46" s="1289"/>
      <c r="X46" s="1290">
        <v>33</v>
      </c>
      <c r="Y46" s="1290">
        <v>34</v>
      </c>
      <c r="Z46" s="1292">
        <v>67</v>
      </c>
      <c r="AA46" s="1289">
        <v>22</v>
      </c>
      <c r="AB46" s="1290"/>
      <c r="AC46" s="1290">
        <v>19</v>
      </c>
      <c r="AD46" s="1291">
        <v>41</v>
      </c>
      <c r="AE46" s="1290">
        <v>14</v>
      </c>
      <c r="AF46" s="1290"/>
      <c r="AG46" s="1290">
        <v>23</v>
      </c>
      <c r="AH46" s="1291">
        <v>37</v>
      </c>
      <c r="AI46" s="1290">
        <v>25</v>
      </c>
      <c r="AJ46" s="1290"/>
      <c r="AK46" s="1290">
        <v>22</v>
      </c>
      <c r="AL46" s="1672">
        <v>47</v>
      </c>
      <c r="AM46" s="1041">
        <v>2</v>
      </c>
      <c r="AN46" s="1042"/>
      <c r="AO46" s="1042">
        <v>72</v>
      </c>
      <c r="AP46" s="1045">
        <v>74</v>
      </c>
      <c r="AQ46" s="1041">
        <v>7</v>
      </c>
      <c r="AR46" s="1042">
        <v>15</v>
      </c>
      <c r="AS46" s="1042">
        <v>36</v>
      </c>
      <c r="AT46" s="1045">
        <f t="shared" si="40"/>
        <v>58</v>
      </c>
      <c r="AU46" s="1041">
        <v>6</v>
      </c>
      <c r="AV46" s="1042"/>
      <c r="AW46" s="1042">
        <v>82</v>
      </c>
      <c r="AX46" s="1045">
        <f t="shared" si="41"/>
        <v>88</v>
      </c>
      <c r="AY46" s="1041">
        <v>31</v>
      </c>
      <c r="AZ46" s="1042">
        <v>1</v>
      </c>
      <c r="BA46" s="1042">
        <v>49</v>
      </c>
      <c r="BB46" s="1045">
        <f t="shared" si="42"/>
        <v>81</v>
      </c>
      <c r="BC46" s="1041">
        <f>SUM('INSC-POSG plan'!BE88,'INSC-POSG plan'!BE89,'INSC-POSG plan'!BE90,'INSC-POSG plan'!BE91,'INSC-POSG plan'!BE92)</f>
        <v>12</v>
      </c>
      <c r="BD46" s="1042">
        <f>SUM('INSC-POSG plan'!BF88,'INSC-POSG plan'!BF89,'INSC-POSG plan'!BF90,'INSC-POSG plan'!BF91,'INSC-POSG plan'!BF92)</f>
        <v>3</v>
      </c>
      <c r="BE46" s="1042">
        <f>SUM('INSC-POSG plan'!BG88,'INSC-POSG plan'!BG89,'INSC-POSG plan'!BG90,'INSC-POSG plan'!BG91,'INSC-POSG plan'!BG92)</f>
        <v>76</v>
      </c>
      <c r="BF46" s="1045">
        <f t="shared" si="43"/>
        <v>91</v>
      </c>
      <c r="BG46" s="1041">
        <f>SUM('INSC-POSG plan'!BI88,'INSC-POSG plan'!BI89,'INSC-POSG plan'!BI90,'INSC-POSG plan'!BI91,'INSC-POSG plan'!BI92)</f>
        <v>12</v>
      </c>
      <c r="BH46" s="1042">
        <f>SUM('INSC-POSG plan'!BJ88,'INSC-POSG plan'!BJ89,'INSC-POSG plan'!BJ90,'INSC-POSG plan'!BJ91,'INSC-POSG plan'!BJ92)</f>
        <v>2</v>
      </c>
      <c r="BI46" s="1042">
        <f>SUM('INSC-POSG plan'!BK88,'INSC-POSG plan'!BK89,'INSC-POSG plan'!BK90,'INSC-POSG plan'!BK91,'INSC-POSG plan'!BK92)</f>
        <v>22</v>
      </c>
      <c r="BJ46" s="1045">
        <f t="shared" si="48"/>
        <v>36</v>
      </c>
      <c r="BK46" s="1042">
        <f>SUM('INSC-POSG plan'!BM88,'INSC-POSG plan'!BM89,'INSC-POSG plan'!BM90,'INSC-POSG plan'!BM91,'INSC-POSG plan'!BM92)</f>
        <v>17</v>
      </c>
      <c r="BL46" s="1042">
        <f>SUM('INSC-POSG plan'!BN88,'INSC-POSG plan'!BN89,'INSC-POSG plan'!BN90,'INSC-POSG plan'!BN91,'INSC-POSG plan'!BN92)</f>
        <v>0</v>
      </c>
      <c r="BM46" s="1042">
        <f>SUM('INSC-POSG plan'!BO88,'INSC-POSG plan'!BO89,'INSC-POSG plan'!BO90,'INSC-POSG plan'!BO91,'INSC-POSG plan'!BO92)</f>
        <v>91</v>
      </c>
      <c r="BN46" s="1045">
        <f t="shared" si="44"/>
        <v>108</v>
      </c>
      <c r="BO46" s="1042">
        <f>SUM('INSC-POSG plan'!BQ88,'INSC-POSG plan'!BQ89,'INSC-POSG plan'!BQ90,'INSC-POSG plan'!BQ91,'INSC-POSG plan'!BQ92)</f>
        <v>15</v>
      </c>
      <c r="BP46" s="1042">
        <f>SUM('INSC-POSG plan'!BR88,'INSC-POSG plan'!BR89,'INSC-POSG plan'!BR90,'INSC-POSG plan'!BR91,'INSC-POSG plan'!BR92)</f>
        <v>0</v>
      </c>
      <c r="BQ46" s="1042">
        <f>SUM('INSC-POSG plan'!BS88,'INSC-POSG plan'!BS89,'INSC-POSG plan'!BS90,'INSC-POSG plan'!BS91,'INSC-POSG plan'!BS92)</f>
        <v>38</v>
      </c>
      <c r="BR46" s="1045">
        <f t="shared" si="45"/>
        <v>53</v>
      </c>
      <c r="BS46" s="1042">
        <f>SUM('INSC-POSG plan'!BU88,'INSC-POSG plan'!BU89,'INSC-POSG plan'!BU90,'INSC-POSG plan'!BU91,'INSC-POSG plan'!BU92)</f>
        <v>13</v>
      </c>
      <c r="BT46" s="1042">
        <f>SUM('INSC-POSG plan'!BV88,'INSC-POSG plan'!BV89,'INSC-POSG plan'!BV90,'INSC-POSG plan'!BV91,'INSC-POSG plan'!BV92)</f>
        <v>0</v>
      </c>
      <c r="BU46" s="1042">
        <f>SUM('INSC-POSG plan'!BW88,'INSC-POSG plan'!BW89,'INSC-POSG plan'!BW90,'INSC-POSG plan'!BW91,'INSC-POSG plan'!BW92)</f>
        <v>77</v>
      </c>
      <c r="BV46" s="1045">
        <f t="shared" si="46"/>
        <v>90</v>
      </c>
      <c r="BW46" s="1042">
        <f>SUM('INSC-POSG plan'!BY88:BY94)</f>
        <v>24</v>
      </c>
      <c r="BX46" s="1042">
        <f>SUM('INSC-POSG plan'!BZ88:BZ94)</f>
        <v>0</v>
      </c>
      <c r="BY46" s="1042">
        <f>SUM('INSC-POSG plan'!CA88:CA94)</f>
        <v>28</v>
      </c>
      <c r="BZ46" s="1045">
        <f t="shared" si="47"/>
        <v>52</v>
      </c>
    </row>
    <row r="47" spans="1:78" s="222" customFormat="1" ht="15" x14ac:dyDescent="0.2">
      <c r="A47" s="6220"/>
      <c r="B47" s="574" t="s">
        <v>14</v>
      </c>
      <c r="C47" s="1149">
        <f>SUM(C44:C46)</f>
        <v>9</v>
      </c>
      <c r="D47" s="1150">
        <f>SUM(D44:D46)</f>
        <v>1</v>
      </c>
      <c r="E47" s="1150">
        <f>SUM(E44:E46)</f>
        <v>129</v>
      </c>
      <c r="F47" s="1151">
        <f t="shared" si="36"/>
        <v>139</v>
      </c>
      <c r="G47" s="1149">
        <f>SUM(G44:G46)</f>
        <v>49</v>
      </c>
      <c r="H47" s="1150">
        <f>SUM(H44:H46)</f>
        <v>5</v>
      </c>
      <c r="I47" s="1150">
        <f>SUM(I44:I46)</f>
        <v>229</v>
      </c>
      <c r="J47" s="1151">
        <f t="shared" si="37"/>
        <v>283</v>
      </c>
      <c r="K47" s="1149">
        <f>SUM(K44:K46)</f>
        <v>38</v>
      </c>
      <c r="L47" s="1150">
        <f>SUM(L44:L46)</f>
        <v>2</v>
      </c>
      <c r="M47" s="1150">
        <f>SUM(M44:M46)</f>
        <v>76</v>
      </c>
      <c r="N47" s="1151">
        <f t="shared" si="38"/>
        <v>116</v>
      </c>
      <c r="O47" s="1149">
        <f>SUM(O44:O46)</f>
        <v>14</v>
      </c>
      <c r="P47" s="1150">
        <f>SUM(P44:P46)</f>
        <v>7</v>
      </c>
      <c r="Q47" s="1150">
        <f>SUM(Q44:Q46)</f>
        <v>332</v>
      </c>
      <c r="R47" s="1151">
        <f t="shared" si="39"/>
        <v>353</v>
      </c>
      <c r="S47" s="1149">
        <v>3</v>
      </c>
      <c r="T47" s="1150"/>
      <c r="U47" s="1150">
        <v>95</v>
      </c>
      <c r="V47" s="1151">
        <v>98</v>
      </c>
      <c r="W47" s="1149">
        <v>1</v>
      </c>
      <c r="X47" s="1150">
        <v>33</v>
      </c>
      <c r="Y47" s="1150">
        <v>129</v>
      </c>
      <c r="Z47" s="1150">
        <v>163</v>
      </c>
      <c r="AA47" s="1149">
        <v>83</v>
      </c>
      <c r="AB47" s="1150"/>
      <c r="AC47" s="1150">
        <v>43</v>
      </c>
      <c r="AD47" s="1151">
        <v>126</v>
      </c>
      <c r="AE47" s="1150">
        <v>105</v>
      </c>
      <c r="AF47" s="1150"/>
      <c r="AG47" s="1150">
        <v>56</v>
      </c>
      <c r="AH47" s="1151">
        <v>161</v>
      </c>
      <c r="AI47" s="1150">
        <v>181</v>
      </c>
      <c r="AJ47" s="1150"/>
      <c r="AK47" s="1150">
        <v>63</v>
      </c>
      <c r="AL47" s="1151">
        <v>244</v>
      </c>
      <c r="AM47" s="575">
        <v>113</v>
      </c>
      <c r="AN47" s="576"/>
      <c r="AO47" s="576">
        <v>209</v>
      </c>
      <c r="AP47" s="577">
        <v>322</v>
      </c>
      <c r="AQ47" s="575">
        <f>SUM(AQ44:AQ46)</f>
        <v>20</v>
      </c>
      <c r="AR47" s="576">
        <f>SUM(AR44:AR46)</f>
        <v>114</v>
      </c>
      <c r="AS47" s="576">
        <f>SUM(AS44:AS46)</f>
        <v>72</v>
      </c>
      <c r="AT47" s="577">
        <f t="shared" si="40"/>
        <v>206</v>
      </c>
      <c r="AU47" s="575">
        <f>SUM(AU44:AU46)</f>
        <v>20</v>
      </c>
      <c r="AV47" s="576"/>
      <c r="AW47" s="576">
        <f>SUM(AW44:AW46)</f>
        <v>289</v>
      </c>
      <c r="AX47" s="577">
        <f t="shared" si="41"/>
        <v>309</v>
      </c>
      <c r="AY47" s="575">
        <f>SUM(AY44:AY46)</f>
        <v>45</v>
      </c>
      <c r="AZ47" s="576">
        <f>SUM(AZ44:AZ46)</f>
        <v>1</v>
      </c>
      <c r="BA47" s="576">
        <f>SUM(BA44:BA46)</f>
        <v>139</v>
      </c>
      <c r="BB47" s="577">
        <f t="shared" si="42"/>
        <v>185</v>
      </c>
      <c r="BC47" s="575">
        <f>SUM(BC44:BC46)</f>
        <v>26</v>
      </c>
      <c r="BD47" s="576">
        <f>SUM(BD44:BD46)</f>
        <v>3</v>
      </c>
      <c r="BE47" s="576">
        <f>SUM(BE44:BE46)</f>
        <v>181</v>
      </c>
      <c r="BF47" s="577">
        <f t="shared" si="43"/>
        <v>210</v>
      </c>
      <c r="BG47" s="575">
        <f>SUM(BG44:BG46)</f>
        <v>38</v>
      </c>
      <c r="BH47" s="576">
        <f>SUM(BH44:BH46)</f>
        <v>2</v>
      </c>
      <c r="BI47" s="576">
        <f>SUM(BI44:BI46)</f>
        <v>72</v>
      </c>
      <c r="BJ47" s="577">
        <f t="shared" si="48"/>
        <v>112</v>
      </c>
      <c r="BK47" s="575">
        <f>SUM(BK44:BK46)</f>
        <v>30</v>
      </c>
      <c r="BL47" s="576">
        <f>SUM(BL44:BL46)</f>
        <v>15</v>
      </c>
      <c r="BM47" s="576">
        <f>SUM(BM44:BM46)</f>
        <v>193</v>
      </c>
      <c r="BN47" s="577">
        <f t="shared" si="44"/>
        <v>238</v>
      </c>
      <c r="BO47" s="575">
        <f>SUM(BO44:BO46)</f>
        <v>58</v>
      </c>
      <c r="BP47" s="576">
        <f>SUM(BP44:BP46)</f>
        <v>1</v>
      </c>
      <c r="BQ47" s="576">
        <f>SUM(BQ44:BQ46)</f>
        <v>108</v>
      </c>
      <c r="BR47" s="577">
        <f t="shared" si="45"/>
        <v>167</v>
      </c>
      <c r="BS47" s="575">
        <f>SUM(BS44:BS46)</f>
        <v>24</v>
      </c>
      <c r="BT47" s="576">
        <f>SUM(BT44:BT46)</f>
        <v>0</v>
      </c>
      <c r="BU47" s="576">
        <f>SUM(BU44:BU46)</f>
        <v>158</v>
      </c>
      <c r="BV47" s="577">
        <f t="shared" si="46"/>
        <v>182</v>
      </c>
      <c r="BW47" s="575">
        <f>SUM(BW44:BW46)</f>
        <v>48</v>
      </c>
      <c r="BX47" s="576">
        <f>SUM(BX44:BX46)</f>
        <v>61</v>
      </c>
      <c r="BY47" s="576">
        <f>SUM(BY44:BY46)</f>
        <v>74</v>
      </c>
      <c r="BZ47" s="577">
        <f t="shared" si="47"/>
        <v>183</v>
      </c>
    </row>
    <row r="48" spans="1:78" ht="15" x14ac:dyDescent="0.2">
      <c r="A48" s="6219" t="s">
        <v>11</v>
      </c>
      <c r="B48" s="1029" t="s">
        <v>615</v>
      </c>
      <c r="C48" s="1274">
        <f>+'INSC-POSG plan'!E96+'INSC-POSG plan'!E97</f>
        <v>0</v>
      </c>
      <c r="D48" s="1275">
        <f>+'INSC-POSG plan'!F96+'INSC-POSG plan'!F97</f>
        <v>0</v>
      </c>
      <c r="E48" s="1275">
        <f>+'INSC-POSG plan'!G96+'INSC-POSG plan'!G97</f>
        <v>17</v>
      </c>
      <c r="F48" s="1276">
        <f t="shared" si="36"/>
        <v>17</v>
      </c>
      <c r="G48" s="1274">
        <f>+'INSC-POSG plan'!I96+'INSC-POSG plan'!I97</f>
        <v>2</v>
      </c>
      <c r="H48" s="1275">
        <f>+'INSC-POSG plan'!J96+'INSC-POSG plan'!J97</f>
        <v>0</v>
      </c>
      <c r="I48" s="1275">
        <f>+'INSC-POSG plan'!K96+'INSC-POSG plan'!K97</f>
        <v>22</v>
      </c>
      <c r="J48" s="1276">
        <f t="shared" si="37"/>
        <v>24</v>
      </c>
      <c r="K48" s="1274">
        <f>+'INSC-POSG plan'!M96+'INSC-POSG plan'!M97</f>
        <v>0</v>
      </c>
      <c r="L48" s="1275">
        <f>+'INSC-POSG plan'!N96+'INSC-POSG plan'!N97</f>
        <v>1</v>
      </c>
      <c r="M48" s="1275">
        <f>+'INSC-POSG plan'!O96+'INSC-POSG plan'!O97</f>
        <v>20</v>
      </c>
      <c r="N48" s="1276">
        <f t="shared" si="38"/>
        <v>21</v>
      </c>
      <c r="O48" s="1274">
        <f>+'INSC-POSG plan'!Q96+'INSC-POSG plan'!Q97</f>
        <v>0</v>
      </c>
      <c r="P48" s="1275">
        <f>+'INSC-POSG plan'!R96+'INSC-POSG plan'!R97</f>
        <v>0</v>
      </c>
      <c r="Q48" s="1275">
        <f>+'INSC-POSG plan'!S96+'INSC-POSG plan'!S97</f>
        <v>22</v>
      </c>
      <c r="R48" s="1276">
        <f t="shared" si="39"/>
        <v>22</v>
      </c>
      <c r="S48" s="1274">
        <v>1</v>
      </c>
      <c r="T48" s="1275">
        <v>2</v>
      </c>
      <c r="U48" s="1275">
        <v>20</v>
      </c>
      <c r="V48" s="1276">
        <v>23</v>
      </c>
      <c r="W48" s="1274"/>
      <c r="X48" s="1275">
        <v>2</v>
      </c>
      <c r="Y48" s="1275">
        <v>20</v>
      </c>
      <c r="Z48" s="1277">
        <v>22</v>
      </c>
      <c r="AA48" s="1274">
        <v>1</v>
      </c>
      <c r="AB48" s="1275">
        <v>4</v>
      </c>
      <c r="AC48" s="1275">
        <v>15</v>
      </c>
      <c r="AD48" s="1276">
        <v>20</v>
      </c>
      <c r="AE48" s="1275">
        <v>10</v>
      </c>
      <c r="AF48" s="1275">
        <v>7</v>
      </c>
      <c r="AG48" s="1275">
        <v>7</v>
      </c>
      <c r="AH48" s="1276">
        <v>24</v>
      </c>
      <c r="AI48" s="1275">
        <v>6</v>
      </c>
      <c r="AJ48" s="1275">
        <v>19</v>
      </c>
      <c r="AK48" s="1275">
        <v>14</v>
      </c>
      <c r="AL48" s="1670">
        <v>39</v>
      </c>
      <c r="AM48" s="1030">
        <v>1</v>
      </c>
      <c r="AN48" s="1031">
        <v>7</v>
      </c>
      <c r="AO48" s="1031">
        <v>14</v>
      </c>
      <c r="AP48" s="1048">
        <v>22</v>
      </c>
      <c r="AQ48" s="1030">
        <v>2</v>
      </c>
      <c r="AR48" s="1031">
        <v>6</v>
      </c>
      <c r="AS48" s="1031">
        <v>15</v>
      </c>
      <c r="AT48" s="1048">
        <f t="shared" si="40"/>
        <v>23</v>
      </c>
      <c r="AU48" s="1030">
        <v>6</v>
      </c>
      <c r="AV48" s="1031">
        <v>6</v>
      </c>
      <c r="AW48" s="1031">
        <v>17</v>
      </c>
      <c r="AX48" s="1048">
        <f t="shared" si="41"/>
        <v>29</v>
      </c>
      <c r="AY48" s="1030">
        <v>7</v>
      </c>
      <c r="AZ48" s="1031">
        <v>5</v>
      </c>
      <c r="BA48" s="1031">
        <v>23</v>
      </c>
      <c r="BB48" s="1048">
        <f t="shared" si="42"/>
        <v>35</v>
      </c>
      <c r="BC48" s="1030">
        <f>SUM('INSC-POSG plan'!BE96,'INSC-POSG plan'!BE97)</f>
        <v>9</v>
      </c>
      <c r="BD48" s="1031">
        <f>SUM('INSC-POSG plan'!BF96,'INSC-POSG plan'!BF97)</f>
        <v>11</v>
      </c>
      <c r="BE48" s="1031">
        <f>SUM('INSC-POSG plan'!BG96,'INSC-POSG plan'!BG97)</f>
        <v>16</v>
      </c>
      <c r="BF48" s="1048">
        <f t="shared" si="43"/>
        <v>36</v>
      </c>
      <c r="BG48" s="1030">
        <f>SUM('INSC-POSG plan'!BI96,'INSC-POSG plan'!BI97)</f>
        <v>4</v>
      </c>
      <c r="BH48" s="1031">
        <f>SUM('INSC-POSG plan'!BJ96,'INSC-POSG plan'!BJ97)</f>
        <v>6</v>
      </c>
      <c r="BI48" s="1031">
        <f>SUM('INSC-POSG plan'!BK96,'INSC-POSG plan'!BK97)</f>
        <v>11</v>
      </c>
      <c r="BJ48" s="1048">
        <f t="shared" si="48"/>
        <v>21</v>
      </c>
      <c r="BK48" s="1030">
        <f>SUM('INSC-POSG plan'!BM96,'INSC-POSG plan'!BM97)</f>
        <v>5</v>
      </c>
      <c r="BL48" s="1031">
        <f>SUM('INSC-POSG plan'!BN96,'INSC-POSG plan'!BN97)</f>
        <v>6</v>
      </c>
      <c r="BM48" s="1031">
        <f>SUM('INSC-POSG plan'!BO96,'INSC-POSG plan'!BO97)</f>
        <v>10</v>
      </c>
      <c r="BN48" s="1048">
        <f t="shared" si="44"/>
        <v>21</v>
      </c>
      <c r="BO48" s="1030">
        <f>SUM('INSC-POSG plan'!BQ96,'INSC-POSG plan'!BQ97)</f>
        <v>6</v>
      </c>
      <c r="BP48" s="1031">
        <f>SUM('INSC-POSG plan'!BR96,'INSC-POSG plan'!BR97)</f>
        <v>6</v>
      </c>
      <c r="BQ48" s="1031">
        <f>SUM('INSC-POSG plan'!BS96,'INSC-POSG plan'!BS97)</f>
        <v>6</v>
      </c>
      <c r="BR48" s="1048">
        <f t="shared" si="45"/>
        <v>18</v>
      </c>
      <c r="BS48" s="1030">
        <f>SUM('INSC-POSG plan'!BU96,'INSC-POSG plan'!BU97)</f>
        <v>4</v>
      </c>
      <c r="BT48" s="1031">
        <f>SUM('INSC-POSG plan'!BV96:BV98)</f>
        <v>2</v>
      </c>
      <c r="BU48" s="1031">
        <f>SUM('INSC-POSG plan'!BW96,'INSC-POSG plan'!BW97)</f>
        <v>11</v>
      </c>
      <c r="BV48" s="1048">
        <f t="shared" si="46"/>
        <v>17</v>
      </c>
      <c r="BW48" s="1030">
        <f>SUM('INSC-POSG plan'!BY96,'INSC-POSG plan'!BY97)</f>
        <v>0</v>
      </c>
      <c r="BX48" s="1031">
        <f>SUM('INSC-POSG plan'!BZ96:BZ98)</f>
        <v>6</v>
      </c>
      <c r="BY48" s="1031">
        <f>SUM('INSC-POSG plan'!CA96,'INSC-POSG plan'!CA97)</f>
        <v>7</v>
      </c>
      <c r="BZ48" s="1048">
        <f t="shared" si="47"/>
        <v>13</v>
      </c>
    </row>
    <row r="49" spans="1:78" ht="15" x14ac:dyDescent="0.2">
      <c r="A49" s="6219"/>
      <c r="B49" s="1034" t="s">
        <v>616</v>
      </c>
      <c r="C49" s="1278">
        <f>+'INSC-POSG plan'!E99+'INSC-POSG plan'!E101+'INSC-POSG plan'!E100+'INSC-POSG plan'!E102</f>
        <v>21</v>
      </c>
      <c r="D49" s="1279">
        <f>+'INSC-POSG plan'!F99+'INSC-POSG plan'!F101+'INSC-POSG plan'!F100+'INSC-POSG plan'!F102</f>
        <v>0</v>
      </c>
      <c r="E49" s="1279">
        <f>+'INSC-POSG plan'!G99+'INSC-POSG plan'!G101+'INSC-POSG plan'!G100+'INSC-POSG plan'!G102</f>
        <v>20</v>
      </c>
      <c r="F49" s="1280">
        <f t="shared" si="36"/>
        <v>41</v>
      </c>
      <c r="G49" s="1278">
        <f>+'INSC-POSG plan'!I99+'INSC-POSG plan'!I101+'INSC-POSG plan'!I100+'INSC-POSG plan'!I102</f>
        <v>32</v>
      </c>
      <c r="H49" s="1279">
        <f>+'INSC-POSG plan'!J99+'INSC-POSG plan'!J101+'INSC-POSG plan'!J100+'INSC-POSG plan'!J102</f>
        <v>0</v>
      </c>
      <c r="I49" s="1279">
        <f>+'INSC-POSG plan'!K99+'INSC-POSG plan'!K101+'INSC-POSG plan'!K100+'INSC-POSG plan'!K102</f>
        <v>20</v>
      </c>
      <c r="J49" s="1280">
        <f t="shared" si="37"/>
        <v>52</v>
      </c>
      <c r="K49" s="1278">
        <f>+'INSC-POSG plan'!M99+'INSC-POSG plan'!M101+'INSC-POSG plan'!M100+'INSC-POSG plan'!M102</f>
        <v>16</v>
      </c>
      <c r="L49" s="1279">
        <f>+'INSC-POSG plan'!N99+'INSC-POSG plan'!N101+'INSC-POSG plan'!N100+'INSC-POSG plan'!N102</f>
        <v>0</v>
      </c>
      <c r="M49" s="1279">
        <f>+'INSC-POSG plan'!O99+'INSC-POSG plan'!O101+'INSC-POSG plan'!O100+'INSC-POSG plan'!O102</f>
        <v>51</v>
      </c>
      <c r="N49" s="1280">
        <f t="shared" si="38"/>
        <v>67</v>
      </c>
      <c r="O49" s="1278">
        <f>+'INSC-POSG plan'!Q99+'INSC-POSG plan'!Q101+'INSC-POSG plan'!Q100+'INSC-POSG plan'!Q102</f>
        <v>12</v>
      </c>
      <c r="P49" s="1279">
        <f>+'INSC-POSG plan'!R99+'INSC-POSG plan'!R101+'INSC-POSG plan'!R100+'INSC-POSG plan'!R102</f>
        <v>0</v>
      </c>
      <c r="Q49" s="1279">
        <f>+'INSC-POSG plan'!S99+'INSC-POSG plan'!S101+'INSC-POSG plan'!S100+'INSC-POSG plan'!S102</f>
        <v>61</v>
      </c>
      <c r="R49" s="1280">
        <f t="shared" si="39"/>
        <v>73</v>
      </c>
      <c r="S49" s="1278">
        <v>6</v>
      </c>
      <c r="T49" s="1279"/>
      <c r="U49" s="1279">
        <v>31</v>
      </c>
      <c r="V49" s="1280">
        <v>37</v>
      </c>
      <c r="W49" s="1278">
        <v>6</v>
      </c>
      <c r="X49" s="1279"/>
      <c r="Y49" s="1279">
        <v>12</v>
      </c>
      <c r="Z49" s="1281">
        <v>18</v>
      </c>
      <c r="AA49" s="1278">
        <v>4</v>
      </c>
      <c r="AB49" s="1279"/>
      <c r="AC49" s="1279">
        <v>29</v>
      </c>
      <c r="AD49" s="1280">
        <v>33</v>
      </c>
      <c r="AE49" s="1279"/>
      <c r="AF49" s="1279"/>
      <c r="AG49" s="1279">
        <v>36</v>
      </c>
      <c r="AH49" s="1280">
        <v>36</v>
      </c>
      <c r="AI49" s="1279"/>
      <c r="AJ49" s="1279"/>
      <c r="AK49" s="1279">
        <v>56</v>
      </c>
      <c r="AL49" s="1671">
        <v>56</v>
      </c>
      <c r="AM49" s="1035"/>
      <c r="AN49" s="1036"/>
      <c r="AO49" s="1036">
        <v>52</v>
      </c>
      <c r="AP49" s="1039">
        <v>52</v>
      </c>
      <c r="AQ49" s="1035"/>
      <c r="AR49" s="1036"/>
      <c r="AS49" s="1036">
        <v>57</v>
      </c>
      <c r="AT49" s="1039">
        <f t="shared" si="40"/>
        <v>57</v>
      </c>
      <c r="AU49" s="1035">
        <v>0</v>
      </c>
      <c r="AV49" s="1036"/>
      <c r="AW49" s="1036">
        <v>46</v>
      </c>
      <c r="AX49" s="1039">
        <f t="shared" si="41"/>
        <v>46</v>
      </c>
      <c r="AY49" s="1035"/>
      <c r="AZ49" s="1036"/>
      <c r="BA49" s="1036">
        <v>69</v>
      </c>
      <c r="BB49" s="1039">
        <f t="shared" si="42"/>
        <v>69</v>
      </c>
      <c r="BC49" s="1035">
        <f>SUM('INSC-POSG plan'!BE99,'INSC-POSG plan'!BE101,'INSC-POSG plan'!BE100,'INSC-POSG plan'!BE102)</f>
        <v>8</v>
      </c>
      <c r="BD49" s="1036"/>
      <c r="BE49" s="1036">
        <f>SUM('INSC-POSG plan'!BG99,'INSC-POSG plan'!BG101,'INSC-POSG plan'!BG100,'INSC-POSG plan'!BG102)</f>
        <v>54</v>
      </c>
      <c r="BF49" s="1039">
        <f t="shared" si="43"/>
        <v>62</v>
      </c>
      <c r="BG49" s="1035"/>
      <c r="BH49" s="1036"/>
      <c r="BI49" s="1036">
        <f>SUM('INSC-POSG plan'!BK99,'INSC-POSG plan'!BK101,'INSC-POSG plan'!BK100,'INSC-POSG plan'!BK102)</f>
        <v>78</v>
      </c>
      <c r="BJ49" s="1039">
        <f t="shared" si="48"/>
        <v>78</v>
      </c>
      <c r="BK49" s="1036">
        <f>SUM('INSC-POSG plan'!BM99,'INSC-POSG plan'!BM101,'INSC-POSG plan'!BM100,'INSC-POSG plan'!BM102)</f>
        <v>0</v>
      </c>
      <c r="BL49" s="1036">
        <f>SUM('INSC-POSG plan'!BN99,'INSC-POSG plan'!BN101,'INSC-POSG plan'!BN100,'INSC-POSG plan'!BN102)</f>
        <v>0</v>
      </c>
      <c r="BM49" s="1036">
        <f>SUM('INSC-POSG plan'!BO99,'INSC-POSG plan'!BO101,'INSC-POSG plan'!BO100,'INSC-POSG plan'!BO102)</f>
        <v>69</v>
      </c>
      <c r="BN49" s="1039">
        <f t="shared" si="44"/>
        <v>69</v>
      </c>
      <c r="BO49" s="1036">
        <f>SUM('INSC-POSG plan'!BQ99,'INSC-POSG plan'!BQ101,'INSC-POSG plan'!BQ100,'INSC-POSG plan'!BQ102)</f>
        <v>0</v>
      </c>
      <c r="BP49" s="1036">
        <f>SUM('INSC-POSG plan'!BR99,'INSC-POSG plan'!BR101,'INSC-POSG plan'!BR100,'INSC-POSG plan'!BR102)</f>
        <v>0</v>
      </c>
      <c r="BQ49" s="1036">
        <f>SUM('INSC-POSG plan'!BS99,'INSC-POSG plan'!BS101,'INSC-POSG plan'!BS100,'INSC-POSG plan'!BS102)</f>
        <v>66</v>
      </c>
      <c r="BR49" s="1039">
        <f t="shared" si="45"/>
        <v>66</v>
      </c>
      <c r="BS49" s="1036">
        <f>SUM('INSC-POSG plan'!BU99,'INSC-POSG plan'!BU101,'INSC-POSG plan'!BU100,'INSC-POSG plan'!BU102)</f>
        <v>0</v>
      </c>
      <c r="BT49" s="1036">
        <f>SUM('INSC-POSG plan'!BV99,'INSC-POSG plan'!BV101,'INSC-POSG plan'!BV100,'INSC-POSG plan'!BV102)</f>
        <v>0</v>
      </c>
      <c r="BU49" s="1036">
        <f>SUM('INSC-POSG plan'!BW99,'INSC-POSG plan'!BW101,'INSC-POSG plan'!BW100,'INSC-POSG plan'!BW102)</f>
        <v>56</v>
      </c>
      <c r="BV49" s="1039">
        <f t="shared" si="46"/>
        <v>56</v>
      </c>
      <c r="BW49" s="1036">
        <f>SUM('INSC-POSG plan'!BY99,'INSC-POSG plan'!BY101,'INSC-POSG plan'!BY100,'INSC-POSG plan'!BY102)</f>
        <v>0</v>
      </c>
      <c r="BX49" s="1036">
        <f>SUM('INSC-POSG plan'!BZ99,'INSC-POSG plan'!BZ101,'INSC-POSG plan'!BZ100,'INSC-POSG plan'!BZ102)</f>
        <v>0</v>
      </c>
      <c r="BY49" s="1036">
        <f>SUM('INSC-POSG plan'!CA99,'INSC-POSG plan'!CA101,'INSC-POSG plan'!CA100,'INSC-POSG plan'!CA102)</f>
        <v>52</v>
      </c>
      <c r="BZ49" s="1039">
        <f t="shared" si="47"/>
        <v>52</v>
      </c>
    </row>
    <row r="50" spans="1:78" ht="15" x14ac:dyDescent="0.2">
      <c r="A50" s="6219"/>
      <c r="B50" s="1040" t="s">
        <v>617</v>
      </c>
      <c r="C50" s="1289">
        <f>+'INSC-POSG plan'!E103+'INSC-POSG plan'!E104+'INSC-POSG plan'!E105</f>
        <v>4</v>
      </c>
      <c r="D50" s="1290">
        <f>+'INSC-POSG plan'!F103+'INSC-POSG plan'!F104+'INSC-POSG plan'!F105</f>
        <v>0</v>
      </c>
      <c r="E50" s="1290">
        <f>+'INSC-POSG plan'!G103+'INSC-POSG plan'!G104+'INSC-POSG plan'!G105</f>
        <v>23</v>
      </c>
      <c r="F50" s="1291">
        <f t="shared" si="36"/>
        <v>27</v>
      </c>
      <c r="G50" s="1289">
        <f>+'INSC-POSG plan'!I103+'INSC-POSG plan'!I104+'INSC-POSG plan'!I105</f>
        <v>7</v>
      </c>
      <c r="H50" s="1290">
        <f>+'INSC-POSG plan'!J103+'INSC-POSG plan'!J104+'INSC-POSG plan'!J105</f>
        <v>2</v>
      </c>
      <c r="I50" s="1290">
        <f>+'INSC-POSG plan'!K103+'INSC-POSG plan'!K104+'INSC-POSG plan'!K105</f>
        <v>16</v>
      </c>
      <c r="J50" s="1291">
        <f t="shared" si="37"/>
        <v>25</v>
      </c>
      <c r="K50" s="1289">
        <f>+'INSC-POSG plan'!M103+'INSC-POSG plan'!M104+'INSC-POSG plan'!M105</f>
        <v>3</v>
      </c>
      <c r="L50" s="1290">
        <f>+'INSC-POSG plan'!N103+'INSC-POSG plan'!N104+'INSC-POSG plan'!N105</f>
        <v>2</v>
      </c>
      <c r="M50" s="1290">
        <f>+'INSC-POSG plan'!O103+'INSC-POSG plan'!O104+'INSC-POSG plan'!O105</f>
        <v>20</v>
      </c>
      <c r="N50" s="1291">
        <f t="shared" si="38"/>
        <v>25</v>
      </c>
      <c r="O50" s="1289">
        <f>+'INSC-POSG plan'!Q103+'INSC-POSG plan'!Q104+'INSC-POSG plan'!Q105</f>
        <v>15</v>
      </c>
      <c r="P50" s="1290">
        <f>+'INSC-POSG plan'!R103+'INSC-POSG plan'!R104+'INSC-POSG plan'!R105</f>
        <v>1</v>
      </c>
      <c r="Q50" s="1290">
        <f>+'INSC-POSG plan'!S103+'INSC-POSG plan'!S104+'INSC-POSG plan'!S105</f>
        <v>19</v>
      </c>
      <c r="R50" s="1291">
        <f t="shared" si="39"/>
        <v>35</v>
      </c>
      <c r="S50" s="1289">
        <v>16</v>
      </c>
      <c r="T50" s="1290"/>
      <c r="U50" s="1290">
        <v>7</v>
      </c>
      <c r="V50" s="1291">
        <v>23</v>
      </c>
      <c r="W50" s="1289">
        <v>16</v>
      </c>
      <c r="X50" s="1290"/>
      <c r="Y50" s="1290">
        <v>22</v>
      </c>
      <c r="Z50" s="1292">
        <v>38</v>
      </c>
      <c r="AA50" s="1289">
        <v>31</v>
      </c>
      <c r="AB50" s="1290"/>
      <c r="AC50" s="1290">
        <v>13</v>
      </c>
      <c r="AD50" s="1291">
        <v>44</v>
      </c>
      <c r="AE50" s="1290">
        <v>12</v>
      </c>
      <c r="AF50" s="1290"/>
      <c r="AG50" s="1290">
        <v>8</v>
      </c>
      <c r="AH50" s="1291">
        <v>20</v>
      </c>
      <c r="AI50" s="1290">
        <v>10</v>
      </c>
      <c r="AJ50" s="1290"/>
      <c r="AK50" s="1290">
        <v>7</v>
      </c>
      <c r="AL50" s="1672">
        <v>17</v>
      </c>
      <c r="AM50" s="1041">
        <v>8</v>
      </c>
      <c r="AN50" s="1042"/>
      <c r="AO50" s="1042">
        <v>20</v>
      </c>
      <c r="AP50" s="1045">
        <v>28</v>
      </c>
      <c r="AQ50" s="1041">
        <v>11</v>
      </c>
      <c r="AR50" s="1042"/>
      <c r="AS50" s="1042">
        <v>16</v>
      </c>
      <c r="AT50" s="1045">
        <f t="shared" si="40"/>
        <v>27</v>
      </c>
      <c r="AU50" s="1041">
        <v>27</v>
      </c>
      <c r="AV50" s="1042"/>
      <c r="AW50" s="1042">
        <v>27</v>
      </c>
      <c r="AX50" s="1045">
        <f t="shared" si="41"/>
        <v>54</v>
      </c>
      <c r="AY50" s="1041">
        <v>13</v>
      </c>
      <c r="AZ50" s="1042"/>
      <c r="BA50" s="1042">
        <v>36</v>
      </c>
      <c r="BB50" s="1045">
        <f t="shared" si="42"/>
        <v>49</v>
      </c>
      <c r="BC50" s="1041">
        <f>SUM('INSC-POSG plan'!BE103,'INSC-POSG plan'!BE104,'INSC-POSG plan'!BE105)</f>
        <v>24</v>
      </c>
      <c r="BD50" s="1042"/>
      <c r="BE50" s="1042">
        <f>SUM('INSC-POSG plan'!BG103,'INSC-POSG plan'!BG104,'INSC-POSG plan'!BG105)</f>
        <v>32</v>
      </c>
      <c r="BF50" s="1045">
        <f t="shared" si="43"/>
        <v>56</v>
      </c>
      <c r="BG50" s="1041">
        <f>SUM('INSC-POSG plan'!BI103,'INSC-POSG plan'!BI104,'INSC-POSG plan'!BI105)</f>
        <v>21</v>
      </c>
      <c r="BH50" s="1042"/>
      <c r="BI50" s="1042">
        <f>SUM('INSC-POSG plan'!BK103,'INSC-POSG plan'!BK104,'INSC-POSG plan'!BK105)</f>
        <v>25</v>
      </c>
      <c r="BJ50" s="1045">
        <f t="shared" si="48"/>
        <v>46</v>
      </c>
      <c r="BK50" s="1042">
        <f>SUM('INSC-POSG plan'!BM103,'INSC-POSG plan'!BM104,'INSC-POSG plan'!BM105)</f>
        <v>28</v>
      </c>
      <c r="BL50" s="1042">
        <f>SUM('INSC-POSG plan'!BN103,'INSC-POSG plan'!BN104,'INSC-POSG plan'!BN105)</f>
        <v>0</v>
      </c>
      <c r="BM50" s="1042">
        <f>SUM('INSC-POSG plan'!BO103,'INSC-POSG plan'!BO104,'INSC-POSG plan'!BO105)</f>
        <v>30</v>
      </c>
      <c r="BN50" s="1045">
        <f t="shared" si="44"/>
        <v>58</v>
      </c>
      <c r="BO50" s="1042">
        <f>SUM('INSC-POSG plan'!BQ103,'INSC-POSG plan'!BQ104,'INSC-POSG plan'!BQ105)</f>
        <v>22</v>
      </c>
      <c r="BP50" s="1042">
        <f>SUM('INSC-POSG plan'!BR103,'INSC-POSG plan'!BR104,'INSC-POSG plan'!BR105)</f>
        <v>0</v>
      </c>
      <c r="BQ50" s="1042">
        <f>SUM('INSC-POSG plan'!BS103,'INSC-POSG plan'!BS104,'INSC-POSG plan'!BS105)</f>
        <v>34</v>
      </c>
      <c r="BR50" s="1045">
        <f t="shared" si="45"/>
        <v>56</v>
      </c>
      <c r="BS50" s="1042">
        <f>SUM('INSC-POSG plan'!BU103,'INSC-POSG plan'!BU104,'INSC-POSG plan'!BU105)</f>
        <v>23</v>
      </c>
      <c r="BT50" s="1042">
        <f>SUM('INSC-POSG plan'!BV103,'INSC-POSG plan'!BV104,'INSC-POSG plan'!BV105)</f>
        <v>0</v>
      </c>
      <c r="BU50" s="1042">
        <f>SUM('INSC-POSG plan'!BW103,'INSC-POSG plan'!BW104,'INSC-POSG plan'!BW105)</f>
        <v>24</v>
      </c>
      <c r="BV50" s="1045">
        <f t="shared" si="46"/>
        <v>47</v>
      </c>
      <c r="BW50" s="1042">
        <f>SUM('INSC-POSG plan'!BY103,'INSC-POSG plan'!BY104,'INSC-POSG plan'!BY105)</f>
        <v>29</v>
      </c>
      <c r="BX50" s="1042">
        <f>SUM('INSC-POSG plan'!BZ103,'INSC-POSG plan'!BZ104,'INSC-POSG plan'!BZ105)</f>
        <v>0</v>
      </c>
      <c r="BY50" s="1042">
        <f>SUM('INSC-POSG plan'!CA103,'INSC-POSG plan'!CA104,'INSC-POSG plan'!CA105)</f>
        <v>27</v>
      </c>
      <c r="BZ50" s="1045">
        <f t="shared" si="47"/>
        <v>56</v>
      </c>
    </row>
    <row r="51" spans="1:78" s="222" customFormat="1" ht="15" x14ac:dyDescent="0.2">
      <c r="A51" s="6220"/>
      <c r="B51" s="574" t="s">
        <v>30</v>
      </c>
      <c r="C51" s="1149">
        <f>SUM(C48:C50)</f>
        <v>25</v>
      </c>
      <c r="D51" s="1150">
        <f>SUM(D48:D50)</f>
        <v>0</v>
      </c>
      <c r="E51" s="1150">
        <f>SUM(E48:E50)</f>
        <v>60</v>
      </c>
      <c r="F51" s="1151">
        <f t="shared" si="36"/>
        <v>85</v>
      </c>
      <c r="G51" s="1149">
        <f>SUM(G48:G50)</f>
        <v>41</v>
      </c>
      <c r="H51" s="1150">
        <f>SUM(H48:H50)</f>
        <v>2</v>
      </c>
      <c r="I51" s="1150">
        <f>SUM(I48:I50)</f>
        <v>58</v>
      </c>
      <c r="J51" s="1151">
        <f t="shared" si="37"/>
        <v>101</v>
      </c>
      <c r="K51" s="1149">
        <f>SUM(K48:K50)</f>
        <v>19</v>
      </c>
      <c r="L51" s="1150">
        <f>SUM(L48:L50)</f>
        <v>3</v>
      </c>
      <c r="M51" s="1150">
        <f>SUM(M48:M50)</f>
        <v>91</v>
      </c>
      <c r="N51" s="1151">
        <f t="shared" si="38"/>
        <v>113</v>
      </c>
      <c r="O51" s="1149">
        <f>SUM(O48:O50)</f>
        <v>27</v>
      </c>
      <c r="P51" s="1150">
        <f>SUM(P48:P50)</f>
        <v>1</v>
      </c>
      <c r="Q51" s="1150">
        <f>SUM(Q48:Q50)</f>
        <v>102</v>
      </c>
      <c r="R51" s="1151">
        <f t="shared" si="39"/>
        <v>130</v>
      </c>
      <c r="S51" s="1149">
        <v>23</v>
      </c>
      <c r="T51" s="1150">
        <v>2</v>
      </c>
      <c r="U51" s="1150">
        <v>58</v>
      </c>
      <c r="V51" s="1151">
        <v>83</v>
      </c>
      <c r="W51" s="1149">
        <v>22</v>
      </c>
      <c r="X51" s="1150">
        <v>2</v>
      </c>
      <c r="Y51" s="1150">
        <v>54</v>
      </c>
      <c r="Z51" s="1150">
        <v>78</v>
      </c>
      <c r="AA51" s="1149">
        <v>36</v>
      </c>
      <c r="AB51" s="1150">
        <v>4</v>
      </c>
      <c r="AC51" s="1150">
        <v>57</v>
      </c>
      <c r="AD51" s="1151">
        <v>97</v>
      </c>
      <c r="AE51" s="1150">
        <v>22</v>
      </c>
      <c r="AF51" s="1150">
        <v>7</v>
      </c>
      <c r="AG51" s="1150">
        <v>51</v>
      </c>
      <c r="AH51" s="1151">
        <v>80</v>
      </c>
      <c r="AI51" s="1150">
        <v>16</v>
      </c>
      <c r="AJ51" s="1150">
        <v>19</v>
      </c>
      <c r="AK51" s="1150">
        <v>77</v>
      </c>
      <c r="AL51" s="1151">
        <v>112</v>
      </c>
      <c r="AM51" s="575">
        <v>9</v>
      </c>
      <c r="AN51" s="576">
        <v>7</v>
      </c>
      <c r="AO51" s="576">
        <v>86</v>
      </c>
      <c r="AP51" s="577">
        <v>102</v>
      </c>
      <c r="AQ51" s="575">
        <f>SUM(AQ48:AQ50)</f>
        <v>13</v>
      </c>
      <c r="AR51" s="576">
        <f>SUM(AR48:AR50)</f>
        <v>6</v>
      </c>
      <c r="AS51" s="576">
        <f>SUM(AS48:AS50)</f>
        <v>88</v>
      </c>
      <c r="AT51" s="577">
        <f t="shared" si="40"/>
        <v>107</v>
      </c>
      <c r="AU51" s="575">
        <f>SUM(AU48:AU50)</f>
        <v>33</v>
      </c>
      <c r="AV51" s="576">
        <f>SUM(AV48:AV50)</f>
        <v>6</v>
      </c>
      <c r="AW51" s="576">
        <f>SUM(AW48:AW50)</f>
        <v>90</v>
      </c>
      <c r="AX51" s="577">
        <f t="shared" si="41"/>
        <v>129</v>
      </c>
      <c r="AY51" s="575">
        <f>SUM(AY48:AY50)</f>
        <v>20</v>
      </c>
      <c r="AZ51" s="576">
        <f>SUM(AZ48:AZ50)</f>
        <v>5</v>
      </c>
      <c r="BA51" s="576">
        <f>SUM(BA48:BA50)</f>
        <v>128</v>
      </c>
      <c r="BB51" s="577">
        <f t="shared" si="42"/>
        <v>153</v>
      </c>
      <c r="BC51" s="575">
        <f>SUM(BC48:BC50)</f>
        <v>41</v>
      </c>
      <c r="BD51" s="576">
        <f>SUM(BD48:BD50)</f>
        <v>11</v>
      </c>
      <c r="BE51" s="576">
        <f>SUM(BE48:BE50)</f>
        <v>102</v>
      </c>
      <c r="BF51" s="577">
        <f t="shared" si="43"/>
        <v>154</v>
      </c>
      <c r="BG51" s="575">
        <f>SUM(BG48:BG50)</f>
        <v>25</v>
      </c>
      <c r="BH51" s="576">
        <f>SUM(BH48:BH50)</f>
        <v>6</v>
      </c>
      <c r="BI51" s="576">
        <f>SUM(BI48:BI50)</f>
        <v>114</v>
      </c>
      <c r="BJ51" s="577">
        <f t="shared" si="48"/>
        <v>145</v>
      </c>
      <c r="BK51" s="575">
        <f>SUM(BK48:BK50)</f>
        <v>33</v>
      </c>
      <c r="BL51" s="576">
        <f>SUM(BL48:BL50)</f>
        <v>6</v>
      </c>
      <c r="BM51" s="576">
        <f>SUM(BM48:BM50)</f>
        <v>109</v>
      </c>
      <c r="BN51" s="577">
        <f t="shared" si="44"/>
        <v>148</v>
      </c>
      <c r="BO51" s="575">
        <f>SUM(BO48:BO50)</f>
        <v>28</v>
      </c>
      <c r="BP51" s="576">
        <f>SUM(BP48:BP50)</f>
        <v>6</v>
      </c>
      <c r="BQ51" s="576">
        <f>SUM(BQ48:BQ50)</f>
        <v>106</v>
      </c>
      <c r="BR51" s="577">
        <f t="shared" si="45"/>
        <v>140</v>
      </c>
      <c r="BS51" s="575">
        <f>SUM(BS48:BS50)</f>
        <v>27</v>
      </c>
      <c r="BT51" s="576">
        <f>SUM(BT48:BT50)</f>
        <v>2</v>
      </c>
      <c r="BU51" s="576">
        <f>SUM(BU48:BU50)</f>
        <v>91</v>
      </c>
      <c r="BV51" s="577">
        <f t="shared" si="46"/>
        <v>120</v>
      </c>
      <c r="BW51" s="575">
        <f>SUM(BW48:BW50)</f>
        <v>29</v>
      </c>
      <c r="BX51" s="576">
        <f>SUM(BX48:BX50)</f>
        <v>6</v>
      </c>
      <c r="BY51" s="576">
        <f>SUM(BY48:BY50)</f>
        <v>86</v>
      </c>
      <c r="BZ51" s="577">
        <f t="shared" si="47"/>
        <v>121</v>
      </c>
    </row>
    <row r="52" spans="1:78" ht="15" x14ac:dyDescent="0.2">
      <c r="A52" s="6221" t="s">
        <v>679</v>
      </c>
      <c r="B52" s="1029" t="s">
        <v>615</v>
      </c>
      <c r="C52" s="1274">
        <f>+C40+C44+C48</f>
        <v>0</v>
      </c>
      <c r="D52" s="1275">
        <f t="shared" ref="D52:E54" si="49">+D40+D44+D48</f>
        <v>0</v>
      </c>
      <c r="E52" s="1275">
        <f t="shared" si="49"/>
        <v>29</v>
      </c>
      <c r="F52" s="1276">
        <f t="shared" si="36"/>
        <v>29</v>
      </c>
      <c r="G52" s="1274">
        <f t="shared" ref="G52:I54" si="50">+G40+G44+G48</f>
        <v>2</v>
      </c>
      <c r="H52" s="1275">
        <f t="shared" si="50"/>
        <v>0</v>
      </c>
      <c r="I52" s="1275">
        <f t="shared" si="50"/>
        <v>31</v>
      </c>
      <c r="J52" s="1276">
        <f t="shared" si="37"/>
        <v>33</v>
      </c>
      <c r="K52" s="1274">
        <f t="shared" ref="K52:M54" si="51">+K40+K44+K48</f>
        <v>0</v>
      </c>
      <c r="L52" s="1275">
        <f t="shared" si="51"/>
        <v>1</v>
      </c>
      <c r="M52" s="1275">
        <f t="shared" si="51"/>
        <v>33</v>
      </c>
      <c r="N52" s="1276">
        <f t="shared" si="38"/>
        <v>34</v>
      </c>
      <c r="O52" s="1274">
        <f t="shared" ref="O52:Q54" si="52">+O40+O44+O48</f>
        <v>0</v>
      </c>
      <c r="P52" s="1275">
        <f t="shared" si="52"/>
        <v>0</v>
      </c>
      <c r="Q52" s="1275">
        <f t="shared" si="52"/>
        <v>47</v>
      </c>
      <c r="R52" s="1276">
        <f t="shared" si="39"/>
        <v>47</v>
      </c>
      <c r="S52" s="1274">
        <v>1</v>
      </c>
      <c r="T52" s="1275">
        <v>2</v>
      </c>
      <c r="U52" s="1275">
        <v>61</v>
      </c>
      <c r="V52" s="1276">
        <v>64</v>
      </c>
      <c r="W52" s="1274">
        <v>0</v>
      </c>
      <c r="X52" s="1275">
        <v>2</v>
      </c>
      <c r="Y52" s="1275">
        <v>93</v>
      </c>
      <c r="Z52" s="1277">
        <v>95</v>
      </c>
      <c r="AA52" s="1274">
        <v>1</v>
      </c>
      <c r="AB52" s="1275">
        <v>4</v>
      </c>
      <c r="AC52" s="1275">
        <v>15</v>
      </c>
      <c r="AD52" s="1276">
        <v>20</v>
      </c>
      <c r="AE52" s="1275">
        <v>96</v>
      </c>
      <c r="AF52" s="1275">
        <v>7</v>
      </c>
      <c r="AG52" s="1275">
        <v>7</v>
      </c>
      <c r="AH52" s="1276">
        <v>110</v>
      </c>
      <c r="AI52" s="1275">
        <v>96</v>
      </c>
      <c r="AJ52" s="1275">
        <v>19</v>
      </c>
      <c r="AK52" s="1275">
        <v>33</v>
      </c>
      <c r="AL52" s="1670">
        <v>148</v>
      </c>
      <c r="AM52" s="1030">
        <v>102</v>
      </c>
      <c r="AN52" s="1031">
        <v>7</v>
      </c>
      <c r="AO52" s="1031">
        <v>14</v>
      </c>
      <c r="AP52" s="1048">
        <v>123</v>
      </c>
      <c r="AQ52" s="1030">
        <f t="shared" ref="AQ52:AX55" si="53">AQ40+AQ44+AQ48</f>
        <v>2</v>
      </c>
      <c r="AR52" s="1031">
        <f t="shared" si="53"/>
        <v>105</v>
      </c>
      <c r="AS52" s="1031">
        <f t="shared" si="53"/>
        <v>31</v>
      </c>
      <c r="AT52" s="1048">
        <f t="shared" si="53"/>
        <v>138</v>
      </c>
      <c r="AU52" s="1030">
        <f t="shared" si="53"/>
        <v>6</v>
      </c>
      <c r="AV52" s="1031">
        <f t="shared" si="53"/>
        <v>6</v>
      </c>
      <c r="AW52" s="1031">
        <f t="shared" si="53"/>
        <v>121</v>
      </c>
      <c r="AX52" s="1048">
        <f t="shared" si="53"/>
        <v>133</v>
      </c>
      <c r="AY52" s="1030">
        <f>SUM(AY40,AY44,AY48)</f>
        <v>7</v>
      </c>
      <c r="AZ52" s="1031">
        <f>SUM(AZ40,AZ44,AZ48)</f>
        <v>5</v>
      </c>
      <c r="BA52" s="1031">
        <f>SUM(BA40,BA44,BA48)</f>
        <v>95</v>
      </c>
      <c r="BB52" s="1048">
        <f>SUM(AY52:BA52)</f>
        <v>107</v>
      </c>
      <c r="BC52" s="1030">
        <f t="shared" ref="BC52:BE54" si="54">SUM(BC40,BC44,BC48)</f>
        <v>9</v>
      </c>
      <c r="BD52" s="1031">
        <f t="shared" si="54"/>
        <v>11</v>
      </c>
      <c r="BE52" s="1031">
        <f t="shared" si="54"/>
        <v>16</v>
      </c>
      <c r="BF52" s="1048">
        <f>SUM(BC52:BE52)</f>
        <v>36</v>
      </c>
      <c r="BG52" s="1030">
        <f t="shared" ref="BG52:BI54" si="55">SUM(BG40,BG44,BG48)</f>
        <v>4</v>
      </c>
      <c r="BH52" s="1031">
        <f t="shared" si="55"/>
        <v>6</v>
      </c>
      <c r="BI52" s="1031">
        <f t="shared" si="55"/>
        <v>47</v>
      </c>
      <c r="BJ52" s="1048">
        <f>SUM(BG52:BI52)</f>
        <v>57</v>
      </c>
      <c r="BK52" s="1030">
        <f t="shared" ref="BK52:BM54" si="56">SUM(BK40,BK44,BK48)</f>
        <v>5</v>
      </c>
      <c r="BL52" s="1031">
        <f t="shared" si="56"/>
        <v>6</v>
      </c>
      <c r="BM52" s="1031">
        <f t="shared" si="56"/>
        <v>25</v>
      </c>
      <c r="BN52" s="1048">
        <f>SUM(BK52:BM52)</f>
        <v>36</v>
      </c>
      <c r="BO52" s="1030">
        <f t="shared" ref="BO52:BQ54" si="57">SUM(BO40,BO44,BO48)</f>
        <v>39</v>
      </c>
      <c r="BP52" s="1031">
        <f t="shared" si="57"/>
        <v>7</v>
      </c>
      <c r="BQ52" s="1031">
        <f t="shared" si="57"/>
        <v>30</v>
      </c>
      <c r="BR52" s="1048">
        <f>SUM(BO52:BQ52)</f>
        <v>76</v>
      </c>
      <c r="BS52" s="1030">
        <f t="shared" ref="BS52:BU54" si="58">SUM(BS40,BS44,BS48)</f>
        <v>4</v>
      </c>
      <c r="BT52" s="1031">
        <f t="shared" si="58"/>
        <v>4</v>
      </c>
      <c r="BU52" s="1031">
        <f t="shared" si="58"/>
        <v>23</v>
      </c>
      <c r="BV52" s="1048">
        <f>SUM(BS52:BU52)</f>
        <v>31</v>
      </c>
      <c r="BW52" s="1030">
        <f t="shared" ref="BW52:BY54" si="59">SUM(BW40,BW44,BW48)</f>
        <v>0</v>
      </c>
      <c r="BX52" s="1031">
        <f t="shared" si="59"/>
        <v>69</v>
      </c>
      <c r="BY52" s="1031">
        <f t="shared" si="59"/>
        <v>7</v>
      </c>
      <c r="BZ52" s="1048">
        <f>SUM(BW52:BY52)</f>
        <v>76</v>
      </c>
    </row>
    <row r="53" spans="1:78" ht="15" x14ac:dyDescent="0.2">
      <c r="A53" s="6221"/>
      <c r="B53" s="1034" t="s">
        <v>616</v>
      </c>
      <c r="C53" s="1278">
        <f>+C41+C45+C49</f>
        <v>39</v>
      </c>
      <c r="D53" s="1279">
        <f t="shared" si="49"/>
        <v>9</v>
      </c>
      <c r="E53" s="1279">
        <f t="shared" si="49"/>
        <v>145</v>
      </c>
      <c r="F53" s="1280">
        <f t="shared" si="36"/>
        <v>193</v>
      </c>
      <c r="G53" s="1278">
        <f t="shared" si="50"/>
        <v>88</v>
      </c>
      <c r="H53" s="1279">
        <f t="shared" si="50"/>
        <v>12</v>
      </c>
      <c r="I53" s="1279">
        <f t="shared" si="50"/>
        <v>187</v>
      </c>
      <c r="J53" s="1280">
        <f t="shared" si="37"/>
        <v>287</v>
      </c>
      <c r="K53" s="1278">
        <f t="shared" si="51"/>
        <v>45</v>
      </c>
      <c r="L53" s="1279">
        <f t="shared" si="51"/>
        <v>15</v>
      </c>
      <c r="M53" s="1279">
        <f t="shared" si="51"/>
        <v>139</v>
      </c>
      <c r="N53" s="1280">
        <f t="shared" si="38"/>
        <v>199</v>
      </c>
      <c r="O53" s="1278">
        <f t="shared" si="52"/>
        <v>40</v>
      </c>
      <c r="P53" s="1279">
        <f t="shared" si="52"/>
        <v>10</v>
      </c>
      <c r="Q53" s="1279">
        <f t="shared" si="52"/>
        <v>304</v>
      </c>
      <c r="R53" s="1280">
        <f t="shared" si="39"/>
        <v>354</v>
      </c>
      <c r="S53" s="1278">
        <v>8</v>
      </c>
      <c r="T53" s="1279">
        <v>5</v>
      </c>
      <c r="U53" s="1279">
        <v>74</v>
      </c>
      <c r="V53" s="1280">
        <v>87</v>
      </c>
      <c r="W53" s="1278">
        <v>13</v>
      </c>
      <c r="X53" s="1279">
        <v>8</v>
      </c>
      <c r="Y53" s="1279">
        <v>56</v>
      </c>
      <c r="Z53" s="1281">
        <v>77</v>
      </c>
      <c r="AA53" s="1278">
        <v>79</v>
      </c>
      <c r="AB53" s="1279">
        <v>13</v>
      </c>
      <c r="AC53" s="1279">
        <v>95</v>
      </c>
      <c r="AD53" s="1280">
        <v>187</v>
      </c>
      <c r="AE53" s="1279">
        <v>12</v>
      </c>
      <c r="AF53" s="1279">
        <v>12</v>
      </c>
      <c r="AG53" s="1279">
        <v>112</v>
      </c>
      <c r="AH53" s="1280">
        <v>136</v>
      </c>
      <c r="AI53" s="1279">
        <v>80</v>
      </c>
      <c r="AJ53" s="1279">
        <v>8</v>
      </c>
      <c r="AK53" s="1279">
        <v>106</v>
      </c>
      <c r="AL53" s="1671">
        <v>194</v>
      </c>
      <c r="AM53" s="1035">
        <v>26</v>
      </c>
      <c r="AN53" s="1036">
        <v>8</v>
      </c>
      <c r="AO53" s="1036">
        <v>235</v>
      </c>
      <c r="AP53" s="1039">
        <v>269</v>
      </c>
      <c r="AQ53" s="1035">
        <f t="shared" si="53"/>
        <v>20</v>
      </c>
      <c r="AR53" s="1036">
        <f t="shared" si="53"/>
        <v>4</v>
      </c>
      <c r="AS53" s="1036">
        <f t="shared" si="53"/>
        <v>135</v>
      </c>
      <c r="AT53" s="1039">
        <f t="shared" si="53"/>
        <v>159</v>
      </c>
      <c r="AU53" s="1035">
        <f t="shared" si="53"/>
        <v>26</v>
      </c>
      <c r="AV53" s="1036">
        <f t="shared" si="53"/>
        <v>7</v>
      </c>
      <c r="AW53" s="1036">
        <f t="shared" si="53"/>
        <v>196</v>
      </c>
      <c r="AX53" s="1039">
        <f t="shared" si="53"/>
        <v>229</v>
      </c>
      <c r="AY53" s="1035">
        <f t="shared" ref="AY53:BA54" si="60">SUM(AY41,AY45,AY49)</f>
        <v>29</v>
      </c>
      <c r="AZ53" s="1036">
        <f t="shared" si="60"/>
        <v>16</v>
      </c>
      <c r="BA53" s="1036">
        <f t="shared" si="60"/>
        <v>144</v>
      </c>
      <c r="BB53" s="1039">
        <f>SUM(AY53:BA53)</f>
        <v>189</v>
      </c>
      <c r="BC53" s="1035">
        <f t="shared" si="54"/>
        <v>38</v>
      </c>
      <c r="BD53" s="1036">
        <f t="shared" si="54"/>
        <v>7</v>
      </c>
      <c r="BE53" s="1036">
        <f t="shared" si="54"/>
        <v>220</v>
      </c>
      <c r="BF53" s="1039">
        <f>SUM(BC53:BE53)</f>
        <v>265</v>
      </c>
      <c r="BG53" s="1035">
        <f t="shared" si="55"/>
        <v>61</v>
      </c>
      <c r="BH53" s="1036">
        <f t="shared" si="55"/>
        <v>5</v>
      </c>
      <c r="BI53" s="1036">
        <f t="shared" si="55"/>
        <v>146</v>
      </c>
      <c r="BJ53" s="1039">
        <f>SUM(BG53:BI53)</f>
        <v>212</v>
      </c>
      <c r="BK53" s="1035">
        <f t="shared" si="56"/>
        <v>37</v>
      </c>
      <c r="BL53" s="1036">
        <f t="shared" si="56"/>
        <v>20</v>
      </c>
      <c r="BM53" s="1036">
        <f t="shared" si="56"/>
        <v>205</v>
      </c>
      <c r="BN53" s="1039">
        <f>SUM(BK53:BM53)</f>
        <v>262</v>
      </c>
      <c r="BO53" s="1035">
        <f t="shared" si="57"/>
        <v>38</v>
      </c>
      <c r="BP53" s="1036">
        <f t="shared" si="57"/>
        <v>13</v>
      </c>
      <c r="BQ53" s="1036">
        <f t="shared" si="57"/>
        <v>166</v>
      </c>
      <c r="BR53" s="1039">
        <f>SUM(BO53:BQ53)</f>
        <v>217</v>
      </c>
      <c r="BS53" s="1035">
        <f t="shared" si="58"/>
        <v>56</v>
      </c>
      <c r="BT53" s="1036">
        <f t="shared" si="58"/>
        <v>10</v>
      </c>
      <c r="BU53" s="1036">
        <f t="shared" si="58"/>
        <v>175</v>
      </c>
      <c r="BV53" s="1039">
        <f>SUM(BS53:BU53)</f>
        <v>241</v>
      </c>
      <c r="BW53" s="1035">
        <f t="shared" si="59"/>
        <v>50</v>
      </c>
      <c r="BX53" s="1036">
        <f t="shared" si="59"/>
        <v>14</v>
      </c>
      <c r="BY53" s="1036">
        <f t="shared" si="59"/>
        <v>152</v>
      </c>
      <c r="BZ53" s="1039">
        <f>SUM(BW53:BY53)</f>
        <v>216</v>
      </c>
    </row>
    <row r="54" spans="1:78" ht="15" x14ac:dyDescent="0.2">
      <c r="A54" s="6221"/>
      <c r="B54" s="1040" t="s">
        <v>617</v>
      </c>
      <c r="C54" s="1289">
        <f>+C42+C46+C50</f>
        <v>23</v>
      </c>
      <c r="D54" s="1290">
        <f t="shared" si="49"/>
        <v>11</v>
      </c>
      <c r="E54" s="1290">
        <f t="shared" si="49"/>
        <v>71</v>
      </c>
      <c r="F54" s="1291">
        <f t="shared" si="36"/>
        <v>105</v>
      </c>
      <c r="G54" s="1289">
        <f t="shared" si="50"/>
        <v>40</v>
      </c>
      <c r="H54" s="1290">
        <f t="shared" si="50"/>
        <v>10</v>
      </c>
      <c r="I54" s="1290">
        <f t="shared" si="50"/>
        <v>134</v>
      </c>
      <c r="J54" s="1291">
        <f t="shared" si="37"/>
        <v>184</v>
      </c>
      <c r="K54" s="1289">
        <f t="shared" si="51"/>
        <v>66</v>
      </c>
      <c r="L54" s="1290">
        <f t="shared" si="51"/>
        <v>16</v>
      </c>
      <c r="M54" s="1290">
        <f t="shared" si="51"/>
        <v>52</v>
      </c>
      <c r="N54" s="1291">
        <f t="shared" si="38"/>
        <v>134</v>
      </c>
      <c r="O54" s="1289">
        <f t="shared" si="52"/>
        <v>45</v>
      </c>
      <c r="P54" s="1290">
        <f t="shared" si="52"/>
        <v>17</v>
      </c>
      <c r="Q54" s="1290">
        <f t="shared" si="52"/>
        <v>140</v>
      </c>
      <c r="R54" s="1291">
        <f t="shared" si="39"/>
        <v>202</v>
      </c>
      <c r="S54" s="1289">
        <v>30</v>
      </c>
      <c r="T54" s="1290">
        <v>8</v>
      </c>
      <c r="U54" s="1290">
        <v>58</v>
      </c>
      <c r="V54" s="1291">
        <v>96</v>
      </c>
      <c r="W54" s="1289">
        <v>29</v>
      </c>
      <c r="X54" s="1290">
        <v>42</v>
      </c>
      <c r="Y54" s="1290">
        <v>74</v>
      </c>
      <c r="Z54" s="1292">
        <v>145</v>
      </c>
      <c r="AA54" s="1289">
        <v>70</v>
      </c>
      <c r="AB54" s="1290">
        <v>12</v>
      </c>
      <c r="AC54" s="1290">
        <v>44</v>
      </c>
      <c r="AD54" s="1291">
        <v>126</v>
      </c>
      <c r="AE54" s="1290">
        <v>33</v>
      </c>
      <c r="AF54" s="1290">
        <v>4</v>
      </c>
      <c r="AG54" s="1290">
        <v>37</v>
      </c>
      <c r="AH54" s="1291">
        <v>74</v>
      </c>
      <c r="AI54" s="1290">
        <v>36</v>
      </c>
      <c r="AJ54" s="1290">
        <v>2</v>
      </c>
      <c r="AK54" s="1290">
        <v>36</v>
      </c>
      <c r="AL54" s="1672">
        <v>74</v>
      </c>
      <c r="AM54" s="1041">
        <v>14</v>
      </c>
      <c r="AN54" s="1042">
        <v>2</v>
      </c>
      <c r="AO54" s="1042">
        <v>106</v>
      </c>
      <c r="AP54" s="1045">
        <v>122</v>
      </c>
      <c r="AQ54" s="1041">
        <f t="shared" si="53"/>
        <v>22</v>
      </c>
      <c r="AR54" s="1042">
        <f t="shared" si="53"/>
        <v>19</v>
      </c>
      <c r="AS54" s="1042">
        <f t="shared" si="53"/>
        <v>64</v>
      </c>
      <c r="AT54" s="1045">
        <f t="shared" si="53"/>
        <v>105</v>
      </c>
      <c r="AU54" s="1041">
        <f t="shared" si="53"/>
        <v>46</v>
      </c>
      <c r="AV54" s="1042">
        <f t="shared" si="53"/>
        <v>2</v>
      </c>
      <c r="AW54" s="1042">
        <f t="shared" si="53"/>
        <v>119</v>
      </c>
      <c r="AX54" s="1045">
        <f t="shared" si="53"/>
        <v>167</v>
      </c>
      <c r="AY54" s="1041">
        <f t="shared" si="60"/>
        <v>62</v>
      </c>
      <c r="AZ54" s="1042">
        <f t="shared" si="60"/>
        <v>7</v>
      </c>
      <c r="BA54" s="1042">
        <f t="shared" si="60"/>
        <v>107</v>
      </c>
      <c r="BB54" s="1045">
        <f>SUM(AY54:BA54)</f>
        <v>176</v>
      </c>
      <c r="BC54" s="1041">
        <f t="shared" si="54"/>
        <v>53</v>
      </c>
      <c r="BD54" s="1042">
        <f t="shared" si="54"/>
        <v>12</v>
      </c>
      <c r="BE54" s="1042">
        <f t="shared" si="54"/>
        <v>124</v>
      </c>
      <c r="BF54" s="1045">
        <f>SUM(BC54:BE54)</f>
        <v>189</v>
      </c>
      <c r="BG54" s="1041">
        <f t="shared" si="55"/>
        <v>59</v>
      </c>
      <c r="BH54" s="1042">
        <f t="shared" si="55"/>
        <v>13</v>
      </c>
      <c r="BI54" s="1042">
        <f t="shared" si="55"/>
        <v>63</v>
      </c>
      <c r="BJ54" s="1045">
        <f>SUM(BG54:BI54)</f>
        <v>135</v>
      </c>
      <c r="BK54" s="1041">
        <f t="shared" si="56"/>
        <v>56</v>
      </c>
      <c r="BL54" s="1042">
        <f t="shared" si="56"/>
        <v>10</v>
      </c>
      <c r="BM54" s="1042">
        <f t="shared" si="56"/>
        <v>144</v>
      </c>
      <c r="BN54" s="1045">
        <f>SUM(BK54:BM54)</f>
        <v>210</v>
      </c>
      <c r="BO54" s="1041">
        <f t="shared" si="57"/>
        <v>51</v>
      </c>
      <c r="BP54" s="1042">
        <f t="shared" si="57"/>
        <v>9</v>
      </c>
      <c r="BQ54" s="1042">
        <f t="shared" si="57"/>
        <v>92</v>
      </c>
      <c r="BR54" s="1045">
        <f>SUM(BO54:BQ54)</f>
        <v>152</v>
      </c>
      <c r="BS54" s="1041">
        <f t="shared" si="58"/>
        <v>54</v>
      </c>
      <c r="BT54" s="1042">
        <f t="shared" si="58"/>
        <v>4</v>
      </c>
      <c r="BU54" s="1042">
        <f t="shared" si="58"/>
        <v>106</v>
      </c>
      <c r="BV54" s="1045">
        <f>SUM(BS54:BU54)</f>
        <v>164</v>
      </c>
      <c r="BW54" s="1041">
        <f t="shared" si="59"/>
        <v>61</v>
      </c>
      <c r="BX54" s="1042">
        <f t="shared" si="59"/>
        <v>7</v>
      </c>
      <c r="BY54" s="1042">
        <f t="shared" si="59"/>
        <v>65</v>
      </c>
      <c r="BZ54" s="1045">
        <f>SUM(BW54:BY54)</f>
        <v>133</v>
      </c>
    </row>
    <row r="55" spans="1:78" s="222" customFormat="1" ht="15" x14ac:dyDescent="0.2">
      <c r="A55" s="6222"/>
      <c r="B55" s="2414" t="s">
        <v>12</v>
      </c>
      <c r="C55" s="2425">
        <f>SUM(C52:C54)</f>
        <v>62</v>
      </c>
      <c r="D55" s="2426">
        <f>SUM(D52:D54)</f>
        <v>20</v>
      </c>
      <c r="E55" s="2426">
        <f>SUM(E52:E54)</f>
        <v>245</v>
      </c>
      <c r="F55" s="2427">
        <f t="shared" si="36"/>
        <v>327</v>
      </c>
      <c r="G55" s="2425">
        <f>SUM(G52:G54)</f>
        <v>130</v>
      </c>
      <c r="H55" s="2426">
        <f>SUM(H52:H54)</f>
        <v>22</v>
      </c>
      <c r="I55" s="2426">
        <f>SUM(I52:I54)</f>
        <v>352</v>
      </c>
      <c r="J55" s="2427">
        <f t="shared" si="37"/>
        <v>504</v>
      </c>
      <c r="K55" s="2425">
        <f>SUM(K52:K54)</f>
        <v>111</v>
      </c>
      <c r="L55" s="2426">
        <f>SUM(L52:L54)</f>
        <v>32</v>
      </c>
      <c r="M55" s="2426">
        <f>SUM(M52:M54)</f>
        <v>224</v>
      </c>
      <c r="N55" s="2427">
        <f t="shared" si="38"/>
        <v>367</v>
      </c>
      <c r="O55" s="2425">
        <f>SUM(O52:O54)</f>
        <v>85</v>
      </c>
      <c r="P55" s="2426">
        <f>SUM(P52:P54)</f>
        <v>27</v>
      </c>
      <c r="Q55" s="2426">
        <f>SUM(Q52:Q54)</f>
        <v>491</v>
      </c>
      <c r="R55" s="2427">
        <f t="shared" si="39"/>
        <v>603</v>
      </c>
      <c r="S55" s="2425">
        <f>SUM(S52:S54)</f>
        <v>39</v>
      </c>
      <c r="T55" s="2426">
        <f>SUM(T52:T54)</f>
        <v>15</v>
      </c>
      <c r="U55" s="2426">
        <f>SUM(U52:U54)</f>
        <v>193</v>
      </c>
      <c r="V55" s="2427">
        <f>SUM(V52:V54)</f>
        <v>247</v>
      </c>
      <c r="W55" s="2425">
        <f t="shared" ref="W55:AL55" si="61">SUM(W52:W54)</f>
        <v>42</v>
      </c>
      <c r="X55" s="2426">
        <f t="shared" si="61"/>
        <v>52</v>
      </c>
      <c r="Y55" s="2426">
        <f t="shared" si="61"/>
        <v>223</v>
      </c>
      <c r="Z55" s="2426">
        <f t="shared" si="61"/>
        <v>317</v>
      </c>
      <c r="AA55" s="2425">
        <f t="shared" si="61"/>
        <v>150</v>
      </c>
      <c r="AB55" s="2426">
        <f t="shared" si="61"/>
        <v>29</v>
      </c>
      <c r="AC55" s="2426">
        <f t="shared" si="61"/>
        <v>154</v>
      </c>
      <c r="AD55" s="2427">
        <f t="shared" si="61"/>
        <v>333</v>
      </c>
      <c r="AE55" s="2426">
        <f t="shared" si="61"/>
        <v>141</v>
      </c>
      <c r="AF55" s="2426">
        <f t="shared" si="61"/>
        <v>23</v>
      </c>
      <c r="AG55" s="2426">
        <f t="shared" si="61"/>
        <v>156</v>
      </c>
      <c r="AH55" s="2427">
        <f t="shared" si="61"/>
        <v>320</v>
      </c>
      <c r="AI55" s="2426">
        <f t="shared" si="61"/>
        <v>212</v>
      </c>
      <c r="AJ55" s="2426">
        <f t="shared" si="61"/>
        <v>29</v>
      </c>
      <c r="AK55" s="2426">
        <f t="shared" si="61"/>
        <v>175</v>
      </c>
      <c r="AL55" s="2427">
        <f t="shared" si="61"/>
        <v>416</v>
      </c>
      <c r="AM55" s="2415">
        <v>142</v>
      </c>
      <c r="AN55" s="2416">
        <v>17</v>
      </c>
      <c r="AO55" s="2416">
        <v>355</v>
      </c>
      <c r="AP55" s="2417">
        <v>514</v>
      </c>
      <c r="AQ55" s="2415">
        <f t="shared" si="53"/>
        <v>44</v>
      </c>
      <c r="AR55" s="2416">
        <f t="shared" si="53"/>
        <v>128</v>
      </c>
      <c r="AS55" s="2416">
        <f t="shared" si="53"/>
        <v>230</v>
      </c>
      <c r="AT55" s="2417">
        <f t="shared" si="53"/>
        <v>402</v>
      </c>
      <c r="AU55" s="2415">
        <f t="shared" si="53"/>
        <v>78</v>
      </c>
      <c r="AV55" s="2416">
        <f t="shared" si="53"/>
        <v>15</v>
      </c>
      <c r="AW55" s="2416">
        <f t="shared" si="53"/>
        <v>436</v>
      </c>
      <c r="AX55" s="2417">
        <f t="shared" si="53"/>
        <v>529</v>
      </c>
      <c r="AY55" s="2415">
        <f t="shared" ref="AY55:BF55" si="62">SUM(AY52:AY54)</f>
        <v>98</v>
      </c>
      <c r="AZ55" s="2416">
        <f t="shared" si="62"/>
        <v>28</v>
      </c>
      <c r="BA55" s="2416">
        <f t="shared" si="62"/>
        <v>346</v>
      </c>
      <c r="BB55" s="2417">
        <f t="shared" si="62"/>
        <v>472</v>
      </c>
      <c r="BC55" s="2415">
        <f t="shared" si="62"/>
        <v>100</v>
      </c>
      <c r="BD55" s="2416">
        <f t="shared" si="62"/>
        <v>30</v>
      </c>
      <c r="BE55" s="2416">
        <f t="shared" si="62"/>
        <v>360</v>
      </c>
      <c r="BF55" s="2417">
        <f t="shared" si="62"/>
        <v>490</v>
      </c>
      <c r="BG55" s="2415">
        <f t="shared" ref="BG55:BN55" si="63">SUM(BG52:BG54)</f>
        <v>124</v>
      </c>
      <c r="BH55" s="2416">
        <f t="shared" si="63"/>
        <v>24</v>
      </c>
      <c r="BI55" s="2416">
        <f t="shared" si="63"/>
        <v>256</v>
      </c>
      <c r="BJ55" s="2417">
        <f t="shared" si="63"/>
        <v>404</v>
      </c>
      <c r="BK55" s="2415">
        <f t="shared" si="63"/>
        <v>98</v>
      </c>
      <c r="BL55" s="2416">
        <f t="shared" si="63"/>
        <v>36</v>
      </c>
      <c r="BM55" s="2416">
        <f t="shared" si="63"/>
        <v>374</v>
      </c>
      <c r="BN55" s="2417">
        <f t="shared" si="63"/>
        <v>508</v>
      </c>
      <c r="BO55" s="2415">
        <f t="shared" ref="BO55:BZ55" si="64">SUM(BO52:BO54)</f>
        <v>128</v>
      </c>
      <c r="BP55" s="2416">
        <f t="shared" si="64"/>
        <v>29</v>
      </c>
      <c r="BQ55" s="2416">
        <f t="shared" si="64"/>
        <v>288</v>
      </c>
      <c r="BR55" s="2417">
        <f t="shared" si="64"/>
        <v>445</v>
      </c>
      <c r="BS55" s="2415">
        <f t="shared" si="64"/>
        <v>114</v>
      </c>
      <c r="BT55" s="2416">
        <f t="shared" si="64"/>
        <v>18</v>
      </c>
      <c r="BU55" s="2416">
        <f t="shared" si="64"/>
        <v>304</v>
      </c>
      <c r="BV55" s="2417">
        <f t="shared" si="64"/>
        <v>436</v>
      </c>
      <c r="BW55" s="2415">
        <f t="shared" si="64"/>
        <v>111</v>
      </c>
      <c r="BX55" s="2416">
        <f t="shared" si="64"/>
        <v>90</v>
      </c>
      <c r="BY55" s="2416">
        <f t="shared" si="64"/>
        <v>224</v>
      </c>
      <c r="BZ55" s="2417">
        <f t="shared" si="64"/>
        <v>425</v>
      </c>
    </row>
    <row r="56" spans="1:78" s="222" customFormat="1" ht="15" x14ac:dyDescent="0.2">
      <c r="A56" s="904"/>
      <c r="B56" s="904"/>
      <c r="C56" s="904"/>
      <c r="D56" s="904"/>
      <c r="E56" s="904"/>
      <c r="F56" s="904"/>
      <c r="G56" s="904"/>
      <c r="H56" s="904"/>
      <c r="I56" s="904"/>
      <c r="J56" s="904"/>
      <c r="K56" s="904"/>
      <c r="L56" s="904"/>
      <c r="M56" s="904"/>
      <c r="N56" s="904"/>
      <c r="O56" s="904"/>
      <c r="P56" s="904"/>
      <c r="Q56" s="904"/>
      <c r="R56" s="904"/>
      <c r="S56" s="904"/>
      <c r="T56" s="904"/>
      <c r="U56" s="904"/>
      <c r="V56" s="904"/>
      <c r="W56" s="904"/>
      <c r="X56" s="904"/>
      <c r="Y56" s="904"/>
      <c r="Z56" s="904"/>
      <c r="AA56" s="904"/>
      <c r="AB56" s="904"/>
      <c r="AC56" s="904"/>
      <c r="AD56" s="904"/>
      <c r="AE56" s="904"/>
      <c r="AF56" s="904"/>
      <c r="AG56" s="904"/>
      <c r="AH56" s="904"/>
      <c r="AI56" s="904"/>
      <c r="AJ56" s="904"/>
      <c r="AK56" s="904"/>
      <c r="AL56" s="262"/>
      <c r="AM56" s="904"/>
      <c r="AN56" s="904"/>
      <c r="AO56" s="904"/>
      <c r="AP56" s="262"/>
      <c r="AQ56" s="904"/>
      <c r="AR56" s="904"/>
      <c r="AS56" s="904"/>
      <c r="AT56" s="262"/>
      <c r="AU56" s="904"/>
      <c r="AV56" s="904"/>
      <c r="AW56" s="904"/>
      <c r="AX56" s="262"/>
      <c r="AY56" s="904"/>
      <c r="AZ56" s="904"/>
      <c r="BA56" s="904"/>
      <c r="BB56" s="262"/>
      <c r="BC56" s="904"/>
      <c r="BD56" s="904"/>
      <c r="BE56" s="904"/>
      <c r="BF56" s="262"/>
      <c r="BG56" s="904"/>
      <c r="BH56" s="904"/>
      <c r="BI56" s="904"/>
      <c r="BJ56" s="262"/>
      <c r="BK56" s="904"/>
      <c r="BL56" s="904"/>
      <c r="BM56" s="904"/>
      <c r="BN56" s="262"/>
      <c r="BO56" s="904"/>
      <c r="BP56" s="904"/>
      <c r="BQ56" s="904"/>
      <c r="BR56" s="262"/>
      <c r="BS56" s="904"/>
      <c r="BT56" s="904"/>
      <c r="BU56" s="904"/>
      <c r="BV56" s="262"/>
      <c r="BW56" s="904"/>
      <c r="BX56" s="904"/>
      <c r="BY56" s="904"/>
      <c r="BZ56" s="262"/>
    </row>
    <row r="57" spans="1:78" ht="15" x14ac:dyDescent="0.2">
      <c r="A57" s="6223" t="s">
        <v>6</v>
      </c>
      <c r="B57" s="1029" t="s">
        <v>615</v>
      </c>
      <c r="C57" s="1274">
        <f>+'INSC-POSG plan'!E108+'INSC-POSG plan'!E109</f>
        <v>0</v>
      </c>
      <c r="D57" s="1275">
        <f>+'INSC-POSG plan'!F108+'INSC-POSG plan'!F109</f>
        <v>0</v>
      </c>
      <c r="E57" s="1275">
        <f>+'INSC-POSG plan'!G108+'INSC-POSG plan'!G109</f>
        <v>0</v>
      </c>
      <c r="F57" s="1276">
        <f t="shared" si="36"/>
        <v>0</v>
      </c>
      <c r="G57" s="1274">
        <f>+'INSC-POSG plan'!I108+'INSC-POSG plan'!I109</f>
        <v>42</v>
      </c>
      <c r="H57" s="1275">
        <f>+'INSC-POSG plan'!J108+'INSC-POSG plan'!J109</f>
        <v>0</v>
      </c>
      <c r="I57" s="1275">
        <f>+'INSC-POSG plan'!K108+'INSC-POSG plan'!K109</f>
        <v>36</v>
      </c>
      <c r="J57" s="1276">
        <f t="shared" ref="J57:J72" si="65">SUM(G57:I57)</f>
        <v>78</v>
      </c>
      <c r="K57" s="1274">
        <f>+'INSC-POSG plan'!M108+'INSC-POSG plan'!M109</f>
        <v>5</v>
      </c>
      <c r="L57" s="1275">
        <f>+'INSC-POSG plan'!N108+'INSC-POSG plan'!N109</f>
        <v>0</v>
      </c>
      <c r="M57" s="1275">
        <f>+'INSC-POSG plan'!O108+'INSC-POSG plan'!O109</f>
        <v>44</v>
      </c>
      <c r="N57" s="1276">
        <f t="shared" ref="N57:N77" si="66">SUM(K57:M57)</f>
        <v>49</v>
      </c>
      <c r="O57" s="1274">
        <f>+'INSC-POSG plan'!Q108+'INSC-POSG plan'!Q109</f>
        <v>5</v>
      </c>
      <c r="P57" s="1275">
        <f>+'INSC-POSG plan'!R108+'INSC-POSG plan'!R109</f>
        <v>3</v>
      </c>
      <c r="Q57" s="1275">
        <f>+'INSC-POSG plan'!S108+'INSC-POSG plan'!S109</f>
        <v>32</v>
      </c>
      <c r="R57" s="1276">
        <f t="shared" ref="R57:R77" si="67">SUM(O57:Q57)</f>
        <v>40</v>
      </c>
      <c r="S57" s="1274"/>
      <c r="T57" s="1275"/>
      <c r="U57" s="1275"/>
      <c r="V57" s="1276"/>
      <c r="W57" s="1274"/>
      <c r="X57" s="1275"/>
      <c r="Y57" s="1275">
        <v>5</v>
      </c>
      <c r="Z57" s="1277">
        <v>5</v>
      </c>
      <c r="AA57" s="1274">
        <v>0</v>
      </c>
      <c r="AB57" s="1275"/>
      <c r="AC57" s="1275"/>
      <c r="AD57" s="1276"/>
      <c r="AE57" s="1275"/>
      <c r="AF57" s="1275"/>
      <c r="AG57" s="1275">
        <v>5</v>
      </c>
      <c r="AH57" s="1276">
        <v>5</v>
      </c>
      <c r="AI57" s="1275"/>
      <c r="AJ57" s="1275"/>
      <c r="AK57" s="1275">
        <v>17</v>
      </c>
      <c r="AL57" s="1670">
        <v>17</v>
      </c>
      <c r="AM57" s="1030"/>
      <c r="AN57" s="1031"/>
      <c r="AO57" s="1031">
        <v>21</v>
      </c>
      <c r="AP57" s="1048">
        <v>21</v>
      </c>
      <c r="AQ57" s="1030"/>
      <c r="AR57" s="1031"/>
      <c r="AS57" s="1031">
        <v>2</v>
      </c>
      <c r="AT57" s="1048">
        <f t="shared" ref="AT57:AT64" si="68">SUM(AQ57:AS57)</f>
        <v>2</v>
      </c>
      <c r="AU57" s="1030"/>
      <c r="AV57" s="1031"/>
      <c r="AW57" s="1031">
        <v>19</v>
      </c>
      <c r="AX57" s="1048">
        <f>SUM(AU57:AW57)</f>
        <v>19</v>
      </c>
      <c r="AY57" s="1030"/>
      <c r="AZ57" s="1031"/>
      <c r="BA57" s="1031">
        <v>35</v>
      </c>
      <c r="BB57" s="1048">
        <f>SUM(AY57:BA57)</f>
        <v>35</v>
      </c>
      <c r="BC57" s="1030"/>
      <c r="BD57" s="1031"/>
      <c r="BE57" s="1031"/>
      <c r="BF57" s="1048"/>
      <c r="BG57" s="1030"/>
      <c r="BH57" s="1031"/>
      <c r="BI57" s="1031">
        <f>SUM('INSC-POSG plan'!BK108:BK109)</f>
        <v>34</v>
      </c>
      <c r="BJ57" s="1048">
        <f>SUM(BG57:BI57)</f>
        <v>34</v>
      </c>
      <c r="BK57" s="1030">
        <f>SUM('INSC-POSG plan'!BM108:BM109)</f>
        <v>0</v>
      </c>
      <c r="BL57" s="1031">
        <f>SUM('INSC-POSG plan'!BN108:BN109)</f>
        <v>0</v>
      </c>
      <c r="BM57" s="1031">
        <f>SUM('INSC-POSG plan'!BO108:BO109)</f>
        <v>0</v>
      </c>
      <c r="BN57" s="1048">
        <f>SUM(BK57:BM57)</f>
        <v>0</v>
      </c>
      <c r="BO57" s="1030">
        <f>SUM('INSC-POSG plan'!BQ108:BQ109)</f>
        <v>0</v>
      </c>
      <c r="BP57" s="1031">
        <f>SUM('INSC-POSG plan'!BR108:BR109)</f>
        <v>0</v>
      </c>
      <c r="BQ57" s="1031">
        <f>SUM('INSC-POSG plan'!BS108:BS109)</f>
        <v>0</v>
      </c>
      <c r="BR57" s="1048">
        <f>SUM(BO57:BQ57)</f>
        <v>0</v>
      </c>
      <c r="BS57" s="1030">
        <f>SUM('INSC-POSG plan'!BU108:BU109)</f>
        <v>0</v>
      </c>
      <c r="BT57" s="1031">
        <f>SUM('INSC-POSG plan'!BV108:BV109)</f>
        <v>0</v>
      </c>
      <c r="BU57" s="1031">
        <f>SUM('INSC-POSG plan'!BW108:BW109)</f>
        <v>0</v>
      </c>
      <c r="BV57" s="1048">
        <f>SUM(BS57:BU57)</f>
        <v>0</v>
      </c>
      <c r="BW57" s="1030">
        <f>SUM('INSC-POSG plan'!BY108:BY109)</f>
        <v>0</v>
      </c>
      <c r="BX57" s="1031">
        <f>SUM('INSC-POSG plan'!BZ108:BZ109)</f>
        <v>0</v>
      </c>
      <c r="BY57" s="1031">
        <f>SUM('INSC-POSG plan'!CA108:CA109)</f>
        <v>30</v>
      </c>
      <c r="BZ57" s="1048">
        <f>SUM(BW57:BY57)</f>
        <v>30</v>
      </c>
    </row>
    <row r="58" spans="1:78" ht="15" x14ac:dyDescent="0.2">
      <c r="A58" s="6224"/>
      <c r="B58" s="1034" t="s">
        <v>616</v>
      </c>
      <c r="C58" s="1278">
        <f>+'INSC-POSG plan'!E110+'INSC-POSG plan'!E111+'INSC-POSG plan'!E112+'INSC-POSG plan'!E113+'INSC-POSG plan'!E114+'INSC-POSG plan'!E115+'INSC-POSG plan'!E116+'INSC-POSG plan'!E117+'INSC-POSG plan'!E118</f>
        <v>3</v>
      </c>
      <c r="D58" s="1279">
        <f>+'INSC-POSG plan'!F110+'INSC-POSG plan'!F111+'INSC-POSG plan'!F112+'INSC-POSG plan'!F113+'INSC-POSG plan'!F114+'INSC-POSG plan'!F115+'INSC-POSG plan'!F116+'INSC-POSG plan'!F117+'INSC-POSG plan'!F118</f>
        <v>15</v>
      </c>
      <c r="E58" s="1279">
        <f>+'INSC-POSG plan'!G110+'INSC-POSG plan'!G111+'INSC-POSG plan'!G112+'INSC-POSG plan'!G113+'INSC-POSG plan'!G114+'INSC-POSG plan'!G115+'INSC-POSG plan'!G116+'INSC-POSG plan'!G117+'INSC-POSG plan'!G118</f>
        <v>18</v>
      </c>
      <c r="F58" s="1280">
        <f t="shared" si="36"/>
        <v>36</v>
      </c>
      <c r="G58" s="1278">
        <f>+'INSC-POSG plan'!I110+'INSC-POSG plan'!I111+'INSC-POSG plan'!I112+'INSC-POSG plan'!I113+'INSC-POSG plan'!I114+'INSC-POSG plan'!I115+'INSC-POSG plan'!I116+'INSC-POSG plan'!I117+'INSC-POSG plan'!I118</f>
        <v>13</v>
      </c>
      <c r="H58" s="1279">
        <f>+'INSC-POSG plan'!J110+'INSC-POSG plan'!J111+'INSC-POSG plan'!J112+'INSC-POSG plan'!J113+'INSC-POSG plan'!J114+'INSC-POSG plan'!J115+'INSC-POSG plan'!J116+'INSC-POSG plan'!J117+'INSC-POSG plan'!J118</f>
        <v>25</v>
      </c>
      <c r="I58" s="1279">
        <f>+'INSC-POSG plan'!K110+'INSC-POSG plan'!K111+'INSC-POSG plan'!K112+'INSC-POSG plan'!K113+'INSC-POSG plan'!K114+'INSC-POSG plan'!K115+'INSC-POSG plan'!K116+'INSC-POSG plan'!K117+'INSC-POSG plan'!K118</f>
        <v>78</v>
      </c>
      <c r="J58" s="1280">
        <f t="shared" si="65"/>
        <v>116</v>
      </c>
      <c r="K58" s="1278">
        <f>+'INSC-POSG plan'!M110+'INSC-POSG plan'!M111+'INSC-POSG plan'!M112+'INSC-POSG plan'!M113+'INSC-POSG plan'!M114+'INSC-POSG plan'!M115+'INSC-POSG plan'!M116+'INSC-POSG plan'!M117+'INSC-POSG plan'!M118</f>
        <v>39</v>
      </c>
      <c r="L58" s="1279">
        <f>+'INSC-POSG plan'!N110+'INSC-POSG plan'!N111+'INSC-POSG plan'!N112+'INSC-POSG plan'!N113+'INSC-POSG plan'!N114+'INSC-POSG plan'!N115+'INSC-POSG plan'!N116+'INSC-POSG plan'!N117+'INSC-POSG plan'!N118</f>
        <v>29</v>
      </c>
      <c r="M58" s="1279">
        <f>+'INSC-POSG plan'!O110+'INSC-POSG plan'!O111+'INSC-POSG plan'!O112+'INSC-POSG plan'!O113+'INSC-POSG plan'!O114+'INSC-POSG plan'!O115+'INSC-POSG plan'!O116+'INSC-POSG plan'!O117+'INSC-POSG plan'!O118</f>
        <v>5</v>
      </c>
      <c r="N58" s="1280">
        <f t="shared" si="66"/>
        <v>73</v>
      </c>
      <c r="O58" s="1278">
        <f>+'INSC-POSG plan'!Q110+'INSC-POSG plan'!Q111+'INSC-POSG plan'!Q112+'INSC-POSG plan'!Q113+'INSC-POSG plan'!Q114+'INSC-POSG plan'!Q115+'INSC-POSG plan'!Q116+'INSC-POSG plan'!Q117+'INSC-POSG plan'!Q118</f>
        <v>12</v>
      </c>
      <c r="P58" s="1279">
        <f>+'INSC-POSG plan'!R110+'INSC-POSG plan'!R111+'INSC-POSG plan'!R112+'INSC-POSG plan'!R113+'INSC-POSG plan'!R114+'INSC-POSG plan'!R115+'INSC-POSG plan'!R116+'INSC-POSG plan'!R117+'INSC-POSG plan'!R118</f>
        <v>56</v>
      </c>
      <c r="Q58" s="1279">
        <f>+'INSC-POSG plan'!S110+'INSC-POSG plan'!S111+'INSC-POSG plan'!S112+'INSC-POSG plan'!S113+'INSC-POSG plan'!S114+'INSC-POSG plan'!S115+'INSC-POSG plan'!S116+'INSC-POSG plan'!S117+'INSC-POSG plan'!S118</f>
        <v>73</v>
      </c>
      <c r="R58" s="1280">
        <f t="shared" si="67"/>
        <v>141</v>
      </c>
      <c r="S58" s="1278">
        <v>0</v>
      </c>
      <c r="T58" s="1279">
        <v>13</v>
      </c>
      <c r="U58" s="1279">
        <v>29</v>
      </c>
      <c r="V58" s="1280">
        <v>42</v>
      </c>
      <c r="W58" s="1278">
        <v>4</v>
      </c>
      <c r="X58" s="1279"/>
      <c r="Y58" s="1279">
        <v>121</v>
      </c>
      <c r="Z58" s="1281">
        <v>125</v>
      </c>
      <c r="AA58" s="1278">
        <v>2</v>
      </c>
      <c r="AB58" s="1279"/>
      <c r="AC58" s="1279">
        <v>30</v>
      </c>
      <c r="AD58" s="1280">
        <v>32</v>
      </c>
      <c r="AE58" s="1279">
        <v>10</v>
      </c>
      <c r="AF58" s="1279"/>
      <c r="AG58" s="1279">
        <v>115</v>
      </c>
      <c r="AH58" s="1280">
        <v>125</v>
      </c>
      <c r="AI58" s="1279"/>
      <c r="AJ58" s="1279"/>
      <c r="AK58" s="1279">
        <v>38</v>
      </c>
      <c r="AL58" s="1671">
        <v>38</v>
      </c>
      <c r="AM58" s="1035"/>
      <c r="AN58" s="1036"/>
      <c r="AO58" s="1036">
        <v>115</v>
      </c>
      <c r="AP58" s="1039">
        <v>115</v>
      </c>
      <c r="AQ58" s="1035"/>
      <c r="AR58" s="1036"/>
      <c r="AS58" s="1036">
        <v>38</v>
      </c>
      <c r="AT58" s="1039">
        <f t="shared" si="68"/>
        <v>38</v>
      </c>
      <c r="AU58" s="1035"/>
      <c r="AV58" s="1036"/>
      <c r="AW58" s="1036">
        <v>106</v>
      </c>
      <c r="AX58" s="1039">
        <f>SUM(AU58:AW58)</f>
        <v>106</v>
      </c>
      <c r="AY58" s="1035"/>
      <c r="AZ58" s="1036"/>
      <c r="BA58" s="1036">
        <v>21</v>
      </c>
      <c r="BB58" s="1039">
        <f>SUM(AY58:BA58)</f>
        <v>21</v>
      </c>
      <c r="BC58" s="1035">
        <f>SUM('INSC-POSG plan'!BE110,'INSC-POSG plan'!BE111,'INSC-POSG plan'!BE112:BE118)</f>
        <v>19</v>
      </c>
      <c r="BD58" s="1036"/>
      <c r="BE58" s="1036">
        <f>SUM('INSC-POSG plan'!BG110,'INSC-POSG plan'!BG111,'INSC-POSG plan'!BG112:BG118)</f>
        <v>139</v>
      </c>
      <c r="BF58" s="1039">
        <f>SUM(BC58:BE58)</f>
        <v>158</v>
      </c>
      <c r="BG58" s="1035"/>
      <c r="BH58" s="1036"/>
      <c r="BI58" s="1036"/>
      <c r="BJ58" s="1039">
        <f>SUM(BG58:BI58)</f>
        <v>0</v>
      </c>
      <c r="BK58" s="1035">
        <f>SUM('INSC-POSG plan'!BM110:BM118)</f>
        <v>21</v>
      </c>
      <c r="BL58" s="1036">
        <f>SUM('INSC-POSG plan'!BN110:BN118)</f>
        <v>0</v>
      </c>
      <c r="BM58" s="1036">
        <f>SUM('INSC-POSG plan'!BO110:BO118)</f>
        <v>151</v>
      </c>
      <c r="BN58" s="1039">
        <f>SUM(BK58:BM58)</f>
        <v>172</v>
      </c>
      <c r="BO58" s="1035">
        <f>SUM('INSC-POSG plan'!BQ110:BQ118)</f>
        <v>0</v>
      </c>
      <c r="BP58" s="1036">
        <f>SUM('INSC-POSG plan'!BR110:BR118)</f>
        <v>0</v>
      </c>
      <c r="BQ58" s="1036">
        <f>SUM('INSC-POSG plan'!BS110:BS118)</f>
        <v>35</v>
      </c>
      <c r="BR58" s="1039">
        <f>SUM(BO58:BQ58)</f>
        <v>35</v>
      </c>
      <c r="BS58" s="1035">
        <f>SUM('INSC-POSG plan'!BU110:BU118)</f>
        <v>23</v>
      </c>
      <c r="BT58" s="1036">
        <f>SUM('INSC-POSG plan'!BV110:BV118)</f>
        <v>0</v>
      </c>
      <c r="BU58" s="1036">
        <f>SUM('INSC-POSG plan'!BW110:BW118)</f>
        <v>118</v>
      </c>
      <c r="BV58" s="1039">
        <f>SUM(BS58:BU58)</f>
        <v>141</v>
      </c>
      <c r="BW58" s="1035">
        <f>SUM('INSC-POSG plan'!BY110:BY120)</f>
        <v>23</v>
      </c>
      <c r="BX58" s="1036">
        <f>SUM('INSC-POSG plan'!BZ110:BZ120)</f>
        <v>0</v>
      </c>
      <c r="BY58" s="1036">
        <f>SUM('INSC-POSG plan'!CA110:CA120)</f>
        <v>2</v>
      </c>
      <c r="BZ58" s="1039">
        <f>SUM(BW58:BY58)</f>
        <v>25</v>
      </c>
    </row>
    <row r="59" spans="1:78" ht="15" x14ac:dyDescent="0.2">
      <c r="A59" s="6224"/>
      <c r="B59" s="1040" t="s">
        <v>617</v>
      </c>
      <c r="C59" s="1289">
        <f>+'INSC-POSG plan'!E121+'INSC-POSG plan'!E122+'INSC-POSG plan'!E123</f>
        <v>50</v>
      </c>
      <c r="D59" s="1290">
        <f>+'INSC-POSG plan'!F121+'INSC-POSG plan'!F122+'INSC-POSG plan'!F123</f>
        <v>0</v>
      </c>
      <c r="E59" s="1290">
        <f>+'INSC-POSG plan'!G121+'INSC-POSG plan'!G122+'INSC-POSG plan'!G123</f>
        <v>0</v>
      </c>
      <c r="F59" s="1291">
        <f t="shared" si="36"/>
        <v>50</v>
      </c>
      <c r="G59" s="1289">
        <f>+'INSC-POSG plan'!I121+'INSC-POSG plan'!I122+'INSC-POSG plan'!I123</f>
        <v>3</v>
      </c>
      <c r="H59" s="1290">
        <f>+'INSC-POSG plan'!J121+'INSC-POSG plan'!J122+'INSC-POSG plan'!J123</f>
        <v>14</v>
      </c>
      <c r="I59" s="1290">
        <f>+'INSC-POSG plan'!K121+'INSC-POSG plan'!K122+'INSC-POSG plan'!K123</f>
        <v>0</v>
      </c>
      <c r="J59" s="1291">
        <f t="shared" si="65"/>
        <v>17</v>
      </c>
      <c r="K59" s="1289">
        <f>+'INSC-POSG plan'!M121+'INSC-POSG plan'!M122+'INSC-POSG plan'!M123</f>
        <v>35</v>
      </c>
      <c r="L59" s="1290">
        <f>+'INSC-POSG plan'!N121+'INSC-POSG plan'!N122+'INSC-POSG plan'!N123</f>
        <v>0</v>
      </c>
      <c r="M59" s="1290">
        <f>+'INSC-POSG plan'!O121+'INSC-POSG plan'!O122+'INSC-POSG plan'!O123</f>
        <v>0</v>
      </c>
      <c r="N59" s="1291">
        <f t="shared" si="66"/>
        <v>35</v>
      </c>
      <c r="O59" s="1289">
        <f>+'INSC-POSG plan'!Q121+'INSC-POSG plan'!Q122+'INSC-POSG plan'!Q123</f>
        <v>13</v>
      </c>
      <c r="P59" s="1290">
        <f>+'INSC-POSG plan'!R121+'INSC-POSG plan'!R122+'INSC-POSG plan'!R123</f>
        <v>0</v>
      </c>
      <c r="Q59" s="1290">
        <f>+'INSC-POSG plan'!S121+'INSC-POSG plan'!S122+'INSC-POSG plan'!S123</f>
        <v>0</v>
      </c>
      <c r="R59" s="1291">
        <f t="shared" si="67"/>
        <v>13</v>
      </c>
      <c r="S59" s="1289">
        <v>51</v>
      </c>
      <c r="T59" s="1290">
        <v>0</v>
      </c>
      <c r="U59" s="1290">
        <v>14</v>
      </c>
      <c r="V59" s="1291">
        <v>65</v>
      </c>
      <c r="W59" s="1289">
        <v>7</v>
      </c>
      <c r="X59" s="1290"/>
      <c r="Y59" s="1290">
        <v>0</v>
      </c>
      <c r="Z59" s="1292">
        <v>7</v>
      </c>
      <c r="AA59" s="1289">
        <v>47</v>
      </c>
      <c r="AB59" s="1290"/>
      <c r="AC59" s="1290">
        <v>10</v>
      </c>
      <c r="AD59" s="1291">
        <v>57</v>
      </c>
      <c r="AE59" s="1290">
        <v>2</v>
      </c>
      <c r="AF59" s="1290"/>
      <c r="AG59" s="1290"/>
      <c r="AH59" s="1291">
        <v>2</v>
      </c>
      <c r="AI59" s="1290">
        <v>71</v>
      </c>
      <c r="AJ59" s="1290">
        <v>11</v>
      </c>
      <c r="AK59" s="1290">
        <v>11</v>
      </c>
      <c r="AL59" s="1672">
        <v>93</v>
      </c>
      <c r="AM59" s="1041">
        <v>14</v>
      </c>
      <c r="AN59" s="1042"/>
      <c r="AO59" s="1042"/>
      <c r="AP59" s="1045">
        <v>14</v>
      </c>
      <c r="AQ59" s="1041">
        <v>46</v>
      </c>
      <c r="AR59" s="1042"/>
      <c r="AS59" s="1042">
        <v>9</v>
      </c>
      <c r="AT59" s="1045">
        <f t="shared" si="68"/>
        <v>55</v>
      </c>
      <c r="AU59" s="1041"/>
      <c r="AV59" s="1042"/>
      <c r="AW59" s="1042"/>
      <c r="AX59" s="1045"/>
      <c r="AY59" s="1041">
        <v>49</v>
      </c>
      <c r="AZ59" s="1042"/>
      <c r="BA59" s="1042">
        <v>22</v>
      </c>
      <c r="BB59" s="1045">
        <f>SUM(AY59:BA59)</f>
        <v>71</v>
      </c>
      <c r="BC59" s="1041"/>
      <c r="BD59" s="1042"/>
      <c r="BE59" s="1042"/>
      <c r="BF59" s="1045"/>
      <c r="BG59" s="1041">
        <f>SUM('INSC-POSG plan'!BI121:BI123)</f>
        <v>54</v>
      </c>
      <c r="BH59" s="1042"/>
      <c r="BI59" s="1042">
        <f>SUM('INSC-POSG plan'!BK121:BK123)</f>
        <v>17</v>
      </c>
      <c r="BJ59" s="1045">
        <f>SUM(BG59:BI59)</f>
        <v>71</v>
      </c>
      <c r="BK59" s="1041">
        <f>SUM('INSC-POSG plan'!BM121:BM123)</f>
        <v>0</v>
      </c>
      <c r="BL59" s="1042">
        <f>SUM('INSC-POSG plan'!BN121:BN123)</f>
        <v>0</v>
      </c>
      <c r="BM59" s="1042">
        <f>SUM('INSC-POSG plan'!BO121:BO123)</f>
        <v>0</v>
      </c>
      <c r="BN59" s="1045">
        <f>SUM(BK59:BM59)</f>
        <v>0</v>
      </c>
      <c r="BO59" s="1041">
        <f>SUM('INSC-POSG plan'!BQ121:BQ123)</f>
        <v>51</v>
      </c>
      <c r="BP59" s="1042">
        <f>SUM('INSC-POSG plan'!BR121:BR123)</f>
        <v>1</v>
      </c>
      <c r="BQ59" s="1042">
        <f>SUM('INSC-POSG plan'!BS121:BS123)</f>
        <v>23</v>
      </c>
      <c r="BR59" s="1045">
        <f>SUM(BO59:BQ59)</f>
        <v>75</v>
      </c>
      <c r="BS59" s="1041">
        <f>SUM('INSC-POSG plan'!BU121:BU123)</f>
        <v>0</v>
      </c>
      <c r="BT59" s="1042">
        <f>SUM('INSC-POSG plan'!BV121:BV123)</f>
        <v>0</v>
      </c>
      <c r="BU59" s="1042">
        <f>SUM('INSC-POSG plan'!BW121:BW123)</f>
        <v>0</v>
      </c>
      <c r="BV59" s="1045">
        <f>SUM(BS59:BU59)</f>
        <v>0</v>
      </c>
      <c r="BW59" s="1041">
        <f>SUM('INSC-POSG plan'!BY121:BY125)</f>
        <v>58</v>
      </c>
      <c r="BX59" s="1042">
        <f>SUM('INSC-POSG plan'!BZ121:BZ125)</f>
        <v>0</v>
      </c>
      <c r="BY59" s="1042">
        <f>SUM('INSC-POSG plan'!CA121:CA125)</f>
        <v>37</v>
      </c>
      <c r="BZ59" s="1045">
        <f>SUM(BW59:BY59)</f>
        <v>95</v>
      </c>
    </row>
    <row r="60" spans="1:78" s="222" customFormat="1" ht="15" x14ac:dyDescent="0.2">
      <c r="A60" s="6225"/>
      <c r="B60" s="574" t="s">
        <v>14</v>
      </c>
      <c r="C60" s="1149">
        <f>SUM(C57:C59)</f>
        <v>53</v>
      </c>
      <c r="D60" s="1150">
        <f>SUM(D57:D59)</f>
        <v>15</v>
      </c>
      <c r="E60" s="1150">
        <f>SUM(E57:E59)</f>
        <v>18</v>
      </c>
      <c r="F60" s="1151">
        <f t="shared" si="36"/>
        <v>86</v>
      </c>
      <c r="G60" s="1149">
        <f>SUM(G57:G59)</f>
        <v>58</v>
      </c>
      <c r="H60" s="1150">
        <f>SUM(H57:H59)</f>
        <v>39</v>
      </c>
      <c r="I60" s="1150">
        <f>SUM(I57:I59)</f>
        <v>114</v>
      </c>
      <c r="J60" s="1151">
        <f t="shared" si="65"/>
        <v>211</v>
      </c>
      <c r="K60" s="1149">
        <f>SUM(K57:K59)</f>
        <v>79</v>
      </c>
      <c r="L60" s="1150">
        <f>SUM(L57:L59)</f>
        <v>29</v>
      </c>
      <c r="M60" s="1150">
        <f>SUM(M57:M59)</f>
        <v>49</v>
      </c>
      <c r="N60" s="1151">
        <f t="shared" si="66"/>
        <v>157</v>
      </c>
      <c r="O60" s="1149">
        <f>SUM(O57:O59)</f>
        <v>30</v>
      </c>
      <c r="P60" s="1150">
        <f>SUM(P57:P59)</f>
        <v>59</v>
      </c>
      <c r="Q60" s="1150">
        <f>SUM(Q57:Q59)</f>
        <v>105</v>
      </c>
      <c r="R60" s="1151">
        <f t="shared" si="67"/>
        <v>194</v>
      </c>
      <c r="S60" s="1149">
        <v>51</v>
      </c>
      <c r="T60" s="1150">
        <v>13</v>
      </c>
      <c r="U60" s="1150">
        <v>43</v>
      </c>
      <c r="V60" s="1151">
        <v>107</v>
      </c>
      <c r="W60" s="1149">
        <v>11</v>
      </c>
      <c r="X60" s="1150"/>
      <c r="Y60" s="1150">
        <v>126</v>
      </c>
      <c r="Z60" s="1150">
        <v>137</v>
      </c>
      <c r="AA60" s="1149">
        <v>49</v>
      </c>
      <c r="AB60" s="1150"/>
      <c r="AC60" s="1150">
        <v>40</v>
      </c>
      <c r="AD60" s="1151">
        <v>89</v>
      </c>
      <c r="AE60" s="1150">
        <v>12</v>
      </c>
      <c r="AF60" s="1150"/>
      <c r="AG60" s="1150">
        <v>120</v>
      </c>
      <c r="AH60" s="1151">
        <v>132</v>
      </c>
      <c r="AI60" s="1150">
        <v>71</v>
      </c>
      <c r="AJ60" s="1150">
        <v>11</v>
      </c>
      <c r="AK60" s="1150">
        <v>66</v>
      </c>
      <c r="AL60" s="1151">
        <v>148</v>
      </c>
      <c r="AM60" s="575">
        <v>14</v>
      </c>
      <c r="AN60" s="576"/>
      <c r="AO60" s="576">
        <v>136</v>
      </c>
      <c r="AP60" s="577">
        <v>150</v>
      </c>
      <c r="AQ60" s="575">
        <f>SUM(AQ57:AQ59)</f>
        <v>46</v>
      </c>
      <c r="AR60" s="576"/>
      <c r="AS60" s="576">
        <f>SUM(AS57:AS59)</f>
        <v>49</v>
      </c>
      <c r="AT60" s="577">
        <f t="shared" si="68"/>
        <v>95</v>
      </c>
      <c r="AU60" s="575"/>
      <c r="AV60" s="576"/>
      <c r="AW60" s="576">
        <f>SUM(AW57:AW59)</f>
        <v>125</v>
      </c>
      <c r="AX60" s="577">
        <f>SUM(AU60:AW60)</f>
        <v>125</v>
      </c>
      <c r="AY60" s="575">
        <f t="shared" ref="AY60:BF60" si="69">SUM(AY57:AY59)</f>
        <v>49</v>
      </c>
      <c r="AZ60" s="576"/>
      <c r="BA60" s="576">
        <f t="shared" si="69"/>
        <v>78</v>
      </c>
      <c r="BB60" s="577">
        <f t="shared" si="69"/>
        <v>127</v>
      </c>
      <c r="BC60" s="575">
        <f t="shared" si="69"/>
        <v>19</v>
      </c>
      <c r="BD60" s="576"/>
      <c r="BE60" s="576">
        <f t="shared" si="69"/>
        <v>139</v>
      </c>
      <c r="BF60" s="577">
        <f t="shared" si="69"/>
        <v>158</v>
      </c>
      <c r="BG60" s="575">
        <f>SUM(BG57:BG59)</f>
        <v>54</v>
      </c>
      <c r="BH60" s="576"/>
      <c r="BI60" s="576">
        <f t="shared" ref="BI60:BN60" si="70">SUM(BI57:BI59)</f>
        <v>51</v>
      </c>
      <c r="BJ60" s="577">
        <f t="shared" si="70"/>
        <v>105</v>
      </c>
      <c r="BK60" s="575">
        <f t="shared" si="70"/>
        <v>21</v>
      </c>
      <c r="BL60" s="576">
        <f t="shared" si="70"/>
        <v>0</v>
      </c>
      <c r="BM60" s="576">
        <f t="shared" si="70"/>
        <v>151</v>
      </c>
      <c r="BN60" s="577">
        <f t="shared" si="70"/>
        <v>172</v>
      </c>
      <c r="BO60" s="575">
        <f t="shared" ref="BO60:BZ60" si="71">SUM(BO57:BO59)</f>
        <v>51</v>
      </c>
      <c r="BP60" s="576">
        <f t="shared" si="71"/>
        <v>1</v>
      </c>
      <c r="BQ60" s="576">
        <f t="shared" si="71"/>
        <v>58</v>
      </c>
      <c r="BR60" s="577">
        <f t="shared" si="71"/>
        <v>110</v>
      </c>
      <c r="BS60" s="575">
        <f t="shared" si="71"/>
        <v>23</v>
      </c>
      <c r="BT60" s="576">
        <f t="shared" si="71"/>
        <v>0</v>
      </c>
      <c r="BU60" s="576">
        <f t="shared" si="71"/>
        <v>118</v>
      </c>
      <c r="BV60" s="577">
        <f t="shared" si="71"/>
        <v>141</v>
      </c>
      <c r="BW60" s="575">
        <f t="shared" si="71"/>
        <v>81</v>
      </c>
      <c r="BX60" s="576">
        <f t="shared" si="71"/>
        <v>0</v>
      </c>
      <c r="BY60" s="576">
        <f t="shared" si="71"/>
        <v>69</v>
      </c>
      <c r="BZ60" s="577">
        <f t="shared" si="71"/>
        <v>150</v>
      </c>
    </row>
    <row r="61" spans="1:78" ht="15" x14ac:dyDescent="0.2">
      <c r="A61" s="6224" t="s">
        <v>11</v>
      </c>
      <c r="B61" s="1029" t="s">
        <v>615</v>
      </c>
      <c r="C61" s="1274">
        <f>+'INSC-POSG plan'!E127+'INSC-POSG plan'!E128+'INSC-POSG plan'!E129</f>
        <v>11</v>
      </c>
      <c r="D61" s="1275">
        <f>+'INSC-POSG plan'!F127+'INSC-POSG plan'!F128+'INSC-POSG plan'!F129</f>
        <v>0</v>
      </c>
      <c r="E61" s="1275">
        <f>+'INSC-POSG plan'!G127+'INSC-POSG plan'!G128+'INSC-POSG plan'!G129</f>
        <v>11</v>
      </c>
      <c r="F61" s="1276">
        <f t="shared" si="36"/>
        <v>22</v>
      </c>
      <c r="G61" s="1274">
        <f>+'INSC-POSG plan'!I127+'INSC-POSG plan'!I128+'INSC-POSG plan'!I129</f>
        <v>12</v>
      </c>
      <c r="H61" s="1275">
        <f>+'INSC-POSG plan'!J127+'INSC-POSG plan'!J128+'INSC-POSG plan'!J129</f>
        <v>0</v>
      </c>
      <c r="I61" s="1275">
        <f>+'INSC-POSG plan'!K127+'INSC-POSG plan'!K128+'INSC-POSG plan'!K129</f>
        <v>0</v>
      </c>
      <c r="J61" s="1276">
        <f t="shared" si="65"/>
        <v>12</v>
      </c>
      <c r="K61" s="1274">
        <f>+'INSC-POSG plan'!M127+'INSC-POSG plan'!M128+'INSC-POSG plan'!M129</f>
        <v>14</v>
      </c>
      <c r="L61" s="1275">
        <f>+'INSC-POSG plan'!N127+'INSC-POSG plan'!N128+'INSC-POSG plan'!N129</f>
        <v>1</v>
      </c>
      <c r="M61" s="1275">
        <f>+'INSC-POSG plan'!O127+'INSC-POSG plan'!O128+'INSC-POSG plan'!O129</f>
        <v>15</v>
      </c>
      <c r="N61" s="1276">
        <f t="shared" si="66"/>
        <v>30</v>
      </c>
      <c r="O61" s="1274">
        <f>+'INSC-POSG plan'!Q127+'INSC-POSG plan'!Q128+'INSC-POSG plan'!Q129</f>
        <v>12</v>
      </c>
      <c r="P61" s="1275">
        <f>+'INSC-POSG plan'!R127+'INSC-POSG plan'!R128+'INSC-POSG plan'!R129</f>
        <v>0</v>
      </c>
      <c r="Q61" s="1275">
        <f>+'INSC-POSG plan'!S127+'INSC-POSG plan'!S128+'INSC-POSG plan'!S129</f>
        <v>1</v>
      </c>
      <c r="R61" s="1276">
        <f t="shared" si="67"/>
        <v>13</v>
      </c>
      <c r="S61" s="1274">
        <v>12</v>
      </c>
      <c r="T61" s="1275"/>
      <c r="U61" s="1275"/>
      <c r="V61" s="1276">
        <v>12</v>
      </c>
      <c r="W61" s="1274">
        <v>10</v>
      </c>
      <c r="X61" s="1275"/>
      <c r="Y61" s="1275"/>
      <c r="Z61" s="1277">
        <v>10</v>
      </c>
      <c r="AA61" s="1274"/>
      <c r="AB61" s="1275"/>
      <c r="AC61" s="1275"/>
      <c r="AD61" s="1276"/>
      <c r="AE61" s="1275">
        <v>13</v>
      </c>
      <c r="AF61" s="1275"/>
      <c r="AG61" s="1275"/>
      <c r="AH61" s="1276">
        <v>13</v>
      </c>
      <c r="AI61" s="1275">
        <v>8</v>
      </c>
      <c r="AJ61" s="1275"/>
      <c r="AK61" s="1275"/>
      <c r="AL61" s="1670">
        <v>8</v>
      </c>
      <c r="AM61" s="1030">
        <v>12</v>
      </c>
      <c r="AN61" s="1031"/>
      <c r="AO61" s="1031"/>
      <c r="AP61" s="1048">
        <v>12</v>
      </c>
      <c r="AQ61" s="1030">
        <v>10</v>
      </c>
      <c r="AR61" s="1031"/>
      <c r="AS61" s="1031"/>
      <c r="AT61" s="1048">
        <f t="shared" si="68"/>
        <v>10</v>
      </c>
      <c r="AU61" s="1030"/>
      <c r="AV61" s="1031"/>
      <c r="AW61" s="1031"/>
      <c r="AX61" s="1048"/>
      <c r="AY61" s="1030">
        <v>12</v>
      </c>
      <c r="AZ61" s="1031"/>
      <c r="BA61" s="1031">
        <v>19</v>
      </c>
      <c r="BB61" s="1048">
        <f>SUM(AY61:BA61)</f>
        <v>31</v>
      </c>
      <c r="BC61" s="1030"/>
      <c r="BD61" s="1031"/>
      <c r="BE61" s="1031"/>
      <c r="BF61" s="1048"/>
      <c r="BG61" s="1030">
        <f>SUM('INSC-POSG plan'!BI127:BI129)</f>
        <v>12</v>
      </c>
      <c r="BH61" s="1031"/>
      <c r="BI61" s="1031">
        <f>SUM('INSC-POSG plan'!BK127:BK129)</f>
        <v>1</v>
      </c>
      <c r="BJ61" s="1048"/>
      <c r="BK61" s="1030">
        <f>SUM('INSC-POSG plan'!BM127:BM129)</f>
        <v>0</v>
      </c>
      <c r="BL61" s="1031">
        <f>SUM('INSC-POSG plan'!BN127:BN129)</f>
        <v>0</v>
      </c>
      <c r="BM61" s="1031">
        <f>SUM('INSC-POSG plan'!BO127:BO129)</f>
        <v>0</v>
      </c>
      <c r="BN61" s="1048">
        <f>SUM(BK61:BM61)</f>
        <v>0</v>
      </c>
      <c r="BO61" s="1030">
        <f>SUM('INSC-POSG plan'!BQ127:BQ129)</f>
        <v>0</v>
      </c>
      <c r="BP61" s="1031">
        <f>SUM('INSC-POSG plan'!BR127:BR129)</f>
        <v>0</v>
      </c>
      <c r="BQ61" s="1031">
        <f>SUM('INSC-POSG plan'!BS127:BS129)</f>
        <v>0</v>
      </c>
      <c r="BR61" s="1048">
        <f>SUM(BO61:BQ61)</f>
        <v>0</v>
      </c>
      <c r="BS61" s="1030">
        <f>SUM('INSC-POSG plan'!BU127:BU129)</f>
        <v>0</v>
      </c>
      <c r="BT61" s="1031">
        <f>SUM('INSC-POSG plan'!BV127:BV129)</f>
        <v>0</v>
      </c>
      <c r="BU61" s="1031">
        <f>SUM('INSC-POSG plan'!BW127:BW129)</f>
        <v>0</v>
      </c>
      <c r="BV61" s="1048">
        <f>SUM(BS61:BU61)</f>
        <v>0</v>
      </c>
      <c r="BW61" s="1030">
        <f>SUM('INSC-POSG plan'!BY127:BY129)</f>
        <v>0</v>
      </c>
      <c r="BX61" s="1031">
        <f>SUM('INSC-POSG plan'!BZ127:BZ129)</f>
        <v>0</v>
      </c>
      <c r="BY61" s="1031">
        <f>SUM('INSC-POSG plan'!CA127:CA129)</f>
        <v>0</v>
      </c>
      <c r="BZ61" s="1048">
        <f>SUM(BW61:BY61)</f>
        <v>0</v>
      </c>
    </row>
    <row r="62" spans="1:78" ht="15" x14ac:dyDescent="0.2">
      <c r="A62" s="6224"/>
      <c r="B62" s="1034" t="s">
        <v>616</v>
      </c>
      <c r="C62" s="1278">
        <f>+'INSC-POSG plan'!E130+'INSC-POSG plan'!E131+'INSC-POSG plan'!E132+'INSC-POSG plan'!E133+'INSC-POSG plan'!E134+'INSC-POSG plan'!E135+'INSC-POSG plan'!E136</f>
        <v>32</v>
      </c>
      <c r="D62" s="1279">
        <f>+'INSC-POSG plan'!F130+'INSC-POSG plan'!F131+'INSC-POSG plan'!F132+'INSC-POSG plan'!F133+'INSC-POSG plan'!F134+'INSC-POSG plan'!F135+'INSC-POSG plan'!F136</f>
        <v>0</v>
      </c>
      <c r="E62" s="1279">
        <f>+'INSC-POSG plan'!G130+'INSC-POSG plan'!G131+'INSC-POSG plan'!G132+'INSC-POSG plan'!G133+'INSC-POSG plan'!G134+'INSC-POSG plan'!G135+'INSC-POSG plan'!G136</f>
        <v>19</v>
      </c>
      <c r="F62" s="1280">
        <f t="shared" si="36"/>
        <v>51</v>
      </c>
      <c r="G62" s="1278">
        <f>+'INSC-POSG plan'!I130+'INSC-POSG plan'!I131+'INSC-POSG plan'!I132+'INSC-POSG plan'!I133+'INSC-POSG plan'!I134+'INSC-POSG plan'!I135+'INSC-POSG plan'!I136</f>
        <v>57</v>
      </c>
      <c r="H62" s="1279">
        <f>+'INSC-POSG plan'!J130+'INSC-POSG plan'!J131+'INSC-POSG plan'!J132+'INSC-POSG plan'!J133+'INSC-POSG plan'!J134+'INSC-POSG plan'!J135+'INSC-POSG plan'!J136</f>
        <v>0</v>
      </c>
      <c r="I62" s="1279">
        <f>+'INSC-POSG plan'!K130+'INSC-POSG plan'!K131+'INSC-POSG plan'!K132+'INSC-POSG plan'!K133+'INSC-POSG plan'!K134+'INSC-POSG plan'!K135+'INSC-POSG plan'!K136</f>
        <v>7</v>
      </c>
      <c r="J62" s="1280">
        <f t="shared" si="65"/>
        <v>64</v>
      </c>
      <c r="K62" s="1278">
        <f>+'INSC-POSG plan'!M130+'INSC-POSG plan'!M131+'INSC-POSG plan'!M132+'INSC-POSG plan'!M133+'INSC-POSG plan'!M134+'INSC-POSG plan'!M135+'INSC-POSG plan'!M136</f>
        <v>34</v>
      </c>
      <c r="L62" s="1279">
        <f>+'INSC-POSG plan'!N130+'INSC-POSG plan'!N131+'INSC-POSG plan'!N132+'INSC-POSG plan'!N133+'INSC-POSG plan'!N134+'INSC-POSG plan'!N135+'INSC-POSG plan'!N136</f>
        <v>0</v>
      </c>
      <c r="M62" s="1279">
        <f>+'INSC-POSG plan'!O130+'INSC-POSG plan'!O131+'INSC-POSG plan'!O132+'INSC-POSG plan'!O133+'INSC-POSG plan'!O134+'INSC-POSG plan'!O135+'INSC-POSG plan'!O136</f>
        <v>23</v>
      </c>
      <c r="N62" s="1280">
        <f t="shared" si="66"/>
        <v>57</v>
      </c>
      <c r="O62" s="1278">
        <f>+'INSC-POSG plan'!Q130+'INSC-POSG plan'!Q131+'INSC-POSG plan'!Q132+'INSC-POSG plan'!Q133+'INSC-POSG plan'!Q134+'INSC-POSG plan'!Q135+'INSC-POSG plan'!Q136</f>
        <v>36</v>
      </c>
      <c r="P62" s="1279">
        <f>+'INSC-POSG plan'!R130+'INSC-POSG plan'!R131+'INSC-POSG plan'!R132+'INSC-POSG plan'!R133+'INSC-POSG plan'!R134+'INSC-POSG plan'!R135+'INSC-POSG plan'!R136</f>
        <v>0</v>
      </c>
      <c r="Q62" s="1279">
        <f>+'INSC-POSG plan'!S130+'INSC-POSG plan'!S131+'INSC-POSG plan'!S132+'INSC-POSG plan'!S133+'INSC-POSG plan'!S134+'INSC-POSG plan'!S135+'INSC-POSG plan'!S136</f>
        <v>22</v>
      </c>
      <c r="R62" s="1280">
        <f t="shared" si="67"/>
        <v>58</v>
      </c>
      <c r="S62" s="1278">
        <v>20</v>
      </c>
      <c r="T62" s="1279">
        <v>11</v>
      </c>
      <c r="U62" s="1279">
        <v>36</v>
      </c>
      <c r="V62" s="1280">
        <v>67</v>
      </c>
      <c r="W62" s="1278">
        <v>17</v>
      </c>
      <c r="X62" s="1279"/>
      <c r="Y62" s="1279">
        <v>11</v>
      </c>
      <c r="Z62" s="1281">
        <v>28</v>
      </c>
      <c r="AA62" s="1278">
        <v>16</v>
      </c>
      <c r="AB62" s="1279">
        <v>4</v>
      </c>
      <c r="AC62" s="1279">
        <v>63</v>
      </c>
      <c r="AD62" s="1280">
        <v>83</v>
      </c>
      <c r="AE62" s="1279">
        <v>3</v>
      </c>
      <c r="AF62" s="1279">
        <v>4</v>
      </c>
      <c r="AG62" s="1279">
        <v>43</v>
      </c>
      <c r="AH62" s="1280">
        <v>50</v>
      </c>
      <c r="AI62" s="1279">
        <v>3</v>
      </c>
      <c r="AJ62" s="1279">
        <v>8</v>
      </c>
      <c r="AK62" s="1279">
        <v>56</v>
      </c>
      <c r="AL62" s="1671">
        <v>67</v>
      </c>
      <c r="AM62" s="1035">
        <v>6</v>
      </c>
      <c r="AN62" s="1036">
        <v>14</v>
      </c>
      <c r="AO62" s="1036">
        <v>43</v>
      </c>
      <c r="AP62" s="1039">
        <v>63</v>
      </c>
      <c r="AQ62" s="1035">
        <v>8</v>
      </c>
      <c r="AR62" s="1036">
        <v>6</v>
      </c>
      <c r="AS62" s="1036">
        <v>52</v>
      </c>
      <c r="AT62" s="1039">
        <f t="shared" si="68"/>
        <v>66</v>
      </c>
      <c r="AU62" s="1035">
        <v>18</v>
      </c>
      <c r="AV62" s="1036">
        <v>5</v>
      </c>
      <c r="AW62" s="1036">
        <v>42</v>
      </c>
      <c r="AX62" s="1039">
        <f>SUM(AU62:AW62)</f>
        <v>65</v>
      </c>
      <c r="AY62" s="1035">
        <v>2</v>
      </c>
      <c r="AZ62" s="1036">
        <v>15</v>
      </c>
      <c r="BA62" s="1036">
        <v>42</v>
      </c>
      <c r="BB62" s="1039">
        <f>SUM(AY62:BA62)</f>
        <v>59</v>
      </c>
      <c r="BC62" s="1035">
        <f>SUM('INSC-POSG plan'!BE130,'INSC-POSG plan'!BE131,'INSC-POSG plan'!BE132,'INSC-POSG plan'!BE133,'INSC-POSG plan'!BE134,'INSC-POSG plan'!BE135,'INSC-POSG plan'!BE136)</f>
        <v>16</v>
      </c>
      <c r="BD62" s="1036">
        <f>SUM('INSC-POSG plan'!BF130,'INSC-POSG plan'!BF131,'INSC-POSG plan'!BF132,'INSC-POSG plan'!BF133,'INSC-POSG plan'!BF134,'INSC-POSG plan'!BF135,'INSC-POSG plan'!BF136)</f>
        <v>18</v>
      </c>
      <c r="BE62" s="1036">
        <f>SUM('INSC-POSG plan'!BG130,'INSC-POSG plan'!BG131,'INSC-POSG plan'!BG132,'INSC-POSG plan'!BG133,'INSC-POSG plan'!BG134,'INSC-POSG plan'!BG135,'INSC-POSG plan'!BG136)</f>
        <v>39</v>
      </c>
      <c r="BF62" s="1039">
        <f>SUM(BC62:BE62)</f>
        <v>73</v>
      </c>
      <c r="BG62" s="1035">
        <f>SUM('INSC-POSG plan'!BI130:BI136)</f>
        <v>5</v>
      </c>
      <c r="BH62" s="1036">
        <f>SUM('INSC-POSG plan'!BJ130,'INSC-POSG plan'!BJ131,'INSC-POSG plan'!BJ132,'INSC-POSG plan'!BJ133,'INSC-POSG plan'!BJ134,'INSC-POSG plan'!BJ135,'INSC-POSG plan'!BJ136)</f>
        <v>32</v>
      </c>
      <c r="BI62" s="1036">
        <f>SUM('INSC-POSG plan'!BK130:BK136)</f>
        <v>43</v>
      </c>
      <c r="BJ62" s="1039">
        <f>SUM(BG62:BI62)</f>
        <v>80</v>
      </c>
      <c r="BK62" s="1035">
        <f>SUM('INSC-POSG plan'!BM130:BM137)</f>
        <v>6</v>
      </c>
      <c r="BL62" s="1036">
        <f>SUM('INSC-POSG plan'!BN130:BN137)</f>
        <v>29</v>
      </c>
      <c r="BM62" s="1036">
        <f>SUM('INSC-POSG plan'!BO130:BO137)</f>
        <v>34</v>
      </c>
      <c r="BN62" s="1039">
        <f>SUM(BK62:BM62)</f>
        <v>69</v>
      </c>
      <c r="BO62" s="1035">
        <f>SUM('INSC-POSG plan'!BQ130:BQ137)</f>
        <v>31</v>
      </c>
      <c r="BP62" s="1036">
        <f>SUM('INSC-POSG plan'!BR130:BR137)</f>
        <v>30</v>
      </c>
      <c r="BQ62" s="1036">
        <f>SUM('INSC-POSG plan'!BS130:BS137)</f>
        <v>47</v>
      </c>
      <c r="BR62" s="1039">
        <f>SUM(BO62:BQ62)</f>
        <v>108</v>
      </c>
      <c r="BS62" s="1035">
        <f>SUM('INSC-POSG plan'!BU130:BU137)</f>
        <v>7</v>
      </c>
      <c r="BT62" s="1036">
        <f>SUM('INSC-POSG plan'!BV130:BV137)</f>
        <v>27</v>
      </c>
      <c r="BU62" s="1036">
        <f>SUM('INSC-POSG plan'!BW130:BW137)</f>
        <v>43</v>
      </c>
      <c r="BV62" s="1039">
        <f>SUM(BS62:BU62)</f>
        <v>77</v>
      </c>
      <c r="BW62" s="1035">
        <f>SUM('INSC-POSG plan'!BY130:BY137)</f>
        <v>18</v>
      </c>
      <c r="BX62" s="1036">
        <f>SUM('INSC-POSG plan'!BZ130:BZ137)</f>
        <v>26</v>
      </c>
      <c r="BY62" s="1036">
        <f>SUM('INSC-POSG plan'!CA130:CA137)</f>
        <v>48</v>
      </c>
      <c r="BZ62" s="1039">
        <f>SUM(BW62:BY62)</f>
        <v>92</v>
      </c>
    </row>
    <row r="63" spans="1:78" ht="15" x14ac:dyDescent="0.2">
      <c r="A63" s="6224"/>
      <c r="B63" s="1040" t="s">
        <v>617</v>
      </c>
      <c r="C63" s="1289">
        <f>+'INSC-POSG plan'!E138+'INSC-POSG plan'!E139</f>
        <v>0</v>
      </c>
      <c r="D63" s="1290">
        <f>+'INSC-POSG plan'!F138+'INSC-POSG plan'!F139</f>
        <v>0</v>
      </c>
      <c r="E63" s="1290">
        <f>+'INSC-POSG plan'!G138+'INSC-POSG plan'!G139</f>
        <v>6</v>
      </c>
      <c r="F63" s="1291">
        <f t="shared" si="36"/>
        <v>6</v>
      </c>
      <c r="G63" s="1289">
        <f>+'INSC-POSG plan'!I138+'INSC-POSG plan'!I139</f>
        <v>0</v>
      </c>
      <c r="H63" s="1290">
        <f>+'INSC-POSG plan'!J138+'INSC-POSG plan'!J139</f>
        <v>0</v>
      </c>
      <c r="I63" s="1290">
        <f>+'INSC-POSG plan'!K138+'INSC-POSG plan'!K139</f>
        <v>4</v>
      </c>
      <c r="J63" s="1291">
        <f t="shared" si="65"/>
        <v>4</v>
      </c>
      <c r="K63" s="1289">
        <f>+'INSC-POSG plan'!M138+'INSC-POSG plan'!M139</f>
        <v>0</v>
      </c>
      <c r="L63" s="1290">
        <f>+'INSC-POSG plan'!N138+'INSC-POSG plan'!N139</f>
        <v>0</v>
      </c>
      <c r="M63" s="1290">
        <f>+'INSC-POSG plan'!O138+'INSC-POSG plan'!O139</f>
        <v>15</v>
      </c>
      <c r="N63" s="1291">
        <f t="shared" si="66"/>
        <v>15</v>
      </c>
      <c r="O63" s="1289">
        <f>+'INSC-POSG plan'!Q138+'INSC-POSG plan'!Q139</f>
        <v>12</v>
      </c>
      <c r="P63" s="1290">
        <f>+'INSC-POSG plan'!R138+'INSC-POSG plan'!R139</f>
        <v>0</v>
      </c>
      <c r="Q63" s="1290">
        <f>+'INSC-POSG plan'!S138+'INSC-POSG plan'!S139</f>
        <v>12</v>
      </c>
      <c r="R63" s="1291">
        <f t="shared" si="67"/>
        <v>24</v>
      </c>
      <c r="S63" s="1289">
        <v>7</v>
      </c>
      <c r="T63" s="1290"/>
      <c r="U63" s="1290">
        <v>18</v>
      </c>
      <c r="V63" s="1291">
        <v>25</v>
      </c>
      <c r="W63" s="1289">
        <v>2</v>
      </c>
      <c r="X63" s="1290"/>
      <c r="Y63" s="1290">
        <v>5</v>
      </c>
      <c r="Z63" s="1292">
        <v>7</v>
      </c>
      <c r="AA63" s="1289">
        <v>4</v>
      </c>
      <c r="AB63" s="1290"/>
      <c r="AC63" s="1290">
        <v>13</v>
      </c>
      <c r="AD63" s="1291">
        <v>17</v>
      </c>
      <c r="AE63" s="1290">
        <v>6</v>
      </c>
      <c r="AF63" s="1290"/>
      <c r="AG63" s="1290">
        <v>20</v>
      </c>
      <c r="AH63" s="1291">
        <v>26</v>
      </c>
      <c r="AI63" s="1290">
        <v>7</v>
      </c>
      <c r="AJ63" s="1290"/>
      <c r="AK63" s="1290">
        <v>21</v>
      </c>
      <c r="AL63" s="1672">
        <v>28</v>
      </c>
      <c r="AM63" s="1041">
        <v>6</v>
      </c>
      <c r="AN63" s="1042"/>
      <c r="AO63" s="1042">
        <v>7</v>
      </c>
      <c r="AP63" s="1045">
        <v>13</v>
      </c>
      <c r="AQ63" s="1041">
        <v>13</v>
      </c>
      <c r="AR63" s="1042"/>
      <c r="AS63" s="1042">
        <v>13</v>
      </c>
      <c r="AT63" s="1045">
        <f t="shared" si="68"/>
        <v>26</v>
      </c>
      <c r="AU63" s="1041">
        <v>6</v>
      </c>
      <c r="AV63" s="1042"/>
      <c r="AW63" s="1042">
        <v>19</v>
      </c>
      <c r="AX63" s="1045">
        <f>SUM(AU63:AW63)</f>
        <v>25</v>
      </c>
      <c r="AY63" s="1041">
        <v>9</v>
      </c>
      <c r="AZ63" s="1042"/>
      <c r="BA63" s="1042">
        <v>8</v>
      </c>
      <c r="BB63" s="1045">
        <f>SUM(AY63:BA63)</f>
        <v>17</v>
      </c>
      <c r="BC63" s="1041">
        <f>SUM('INSC-POSG plan'!BE138,'INSC-POSG plan'!BE139)</f>
        <v>9</v>
      </c>
      <c r="BD63" s="1042"/>
      <c r="BE63" s="1042">
        <f>SUM('INSC-POSG plan'!BG138,'INSC-POSG plan'!BG139)</f>
        <v>18</v>
      </c>
      <c r="BF63" s="1045">
        <f>SUM(BC63:BE63)</f>
        <v>27</v>
      </c>
      <c r="BG63" s="1041">
        <f>SUM('INSC-POSG plan'!BI138:BI140)</f>
        <v>15</v>
      </c>
      <c r="BH63" s="1042"/>
      <c r="BI63" s="1042">
        <f>SUM('INSC-POSG plan'!BK138:BK140)</f>
        <v>7</v>
      </c>
      <c r="BJ63" s="1045">
        <f>SUM(BG63:BI63)</f>
        <v>22</v>
      </c>
      <c r="BK63" s="1041">
        <f>SUM('INSC-POSG plan'!BM138:BM140)</f>
        <v>11</v>
      </c>
      <c r="BL63" s="1042">
        <f>SUM('INSC-POSG plan'!BN138:BN140)</f>
        <v>0</v>
      </c>
      <c r="BM63" s="1042">
        <f>SUM('INSC-POSG plan'!BO138:BO140)</f>
        <v>23</v>
      </c>
      <c r="BN63" s="1045">
        <f>SUM(BK63:BM63)</f>
        <v>34</v>
      </c>
      <c r="BO63" s="1041">
        <f>SUM('INSC-POSG plan'!BQ138:BQ140)</f>
        <v>12</v>
      </c>
      <c r="BP63" s="1042">
        <f>SUM('INSC-POSG plan'!BR138:BR140)</f>
        <v>0</v>
      </c>
      <c r="BQ63" s="1042">
        <f>SUM('INSC-POSG plan'!BS138:BS140)</f>
        <v>8</v>
      </c>
      <c r="BR63" s="1045">
        <f>SUM(BO63:BQ63)</f>
        <v>20</v>
      </c>
      <c r="BS63" s="1041">
        <f>SUM('INSC-POSG plan'!BU138:BU140)</f>
        <v>13</v>
      </c>
      <c r="BT63" s="1042">
        <f>SUM('INSC-POSG plan'!BV138:BV140)</f>
        <v>0</v>
      </c>
      <c r="BU63" s="1042">
        <f>SUM('INSC-POSG plan'!BW138:BW140)</f>
        <v>22</v>
      </c>
      <c r="BV63" s="1045">
        <f>SUM(BS63:BU63)</f>
        <v>35</v>
      </c>
      <c r="BW63" s="1041">
        <f>SUM('INSC-POSG plan'!BY138:BY140)</f>
        <v>11</v>
      </c>
      <c r="BX63" s="1042">
        <f>SUM('INSC-POSG plan'!BZ138:BZ140)</f>
        <v>0</v>
      </c>
      <c r="BY63" s="1042">
        <f>SUM('INSC-POSG plan'!CA138:CA140)</f>
        <v>5</v>
      </c>
      <c r="BZ63" s="1045">
        <f>SUM(BW63:BY63)</f>
        <v>16</v>
      </c>
    </row>
    <row r="64" spans="1:78" s="222" customFormat="1" ht="15" x14ac:dyDescent="0.2">
      <c r="A64" s="6225"/>
      <c r="B64" s="574" t="s">
        <v>30</v>
      </c>
      <c r="C64" s="1149">
        <f>SUM(C61:C63)</f>
        <v>43</v>
      </c>
      <c r="D64" s="1150">
        <f>SUM(D61:D63)</f>
        <v>0</v>
      </c>
      <c r="E64" s="1150">
        <f>SUM(E61:E63)</f>
        <v>36</v>
      </c>
      <c r="F64" s="1151">
        <f t="shared" si="36"/>
        <v>79</v>
      </c>
      <c r="G64" s="1149">
        <f>SUM(G61:G63)</f>
        <v>69</v>
      </c>
      <c r="H64" s="1150">
        <f>SUM(H61:H63)</f>
        <v>0</v>
      </c>
      <c r="I64" s="1150">
        <f>SUM(I61:I63)</f>
        <v>11</v>
      </c>
      <c r="J64" s="1151">
        <f t="shared" si="65"/>
        <v>80</v>
      </c>
      <c r="K64" s="1149">
        <f>SUM(K61:K63)</f>
        <v>48</v>
      </c>
      <c r="L64" s="1150">
        <f>SUM(L61:L63)</f>
        <v>1</v>
      </c>
      <c r="M64" s="1150">
        <f>SUM(M61:M63)</f>
        <v>53</v>
      </c>
      <c r="N64" s="1151">
        <f t="shared" si="66"/>
        <v>102</v>
      </c>
      <c r="O64" s="1149">
        <f>SUM(O61:O63)</f>
        <v>60</v>
      </c>
      <c r="P64" s="1150">
        <f>SUM(P61:P63)</f>
        <v>0</v>
      </c>
      <c r="Q64" s="1150">
        <f>SUM(Q61:Q63)</f>
        <v>35</v>
      </c>
      <c r="R64" s="1151">
        <f t="shared" si="67"/>
        <v>95</v>
      </c>
      <c r="S64" s="1149">
        <v>39</v>
      </c>
      <c r="T64" s="1150">
        <v>11</v>
      </c>
      <c r="U64" s="1150">
        <v>54</v>
      </c>
      <c r="V64" s="1151">
        <v>104</v>
      </c>
      <c r="W64" s="1149">
        <v>29</v>
      </c>
      <c r="X64" s="1150"/>
      <c r="Y64" s="1150">
        <v>16</v>
      </c>
      <c r="Z64" s="1150">
        <v>45</v>
      </c>
      <c r="AA64" s="1149">
        <v>20</v>
      </c>
      <c r="AB64" s="1150">
        <v>4</v>
      </c>
      <c r="AC64" s="1150">
        <v>76</v>
      </c>
      <c r="AD64" s="1151">
        <v>100</v>
      </c>
      <c r="AE64" s="1150">
        <v>22</v>
      </c>
      <c r="AF64" s="1150">
        <v>4</v>
      </c>
      <c r="AG64" s="1150">
        <v>63</v>
      </c>
      <c r="AH64" s="1151">
        <v>89</v>
      </c>
      <c r="AI64" s="1150">
        <v>18</v>
      </c>
      <c r="AJ64" s="1150">
        <v>8</v>
      </c>
      <c r="AK64" s="1150">
        <v>77</v>
      </c>
      <c r="AL64" s="1151">
        <v>103</v>
      </c>
      <c r="AM64" s="575">
        <v>24</v>
      </c>
      <c r="AN64" s="576">
        <v>14</v>
      </c>
      <c r="AO64" s="576">
        <v>50</v>
      </c>
      <c r="AP64" s="577">
        <v>88</v>
      </c>
      <c r="AQ64" s="575">
        <f>SUM(AQ61:AQ63)</f>
        <v>31</v>
      </c>
      <c r="AR64" s="576">
        <f>SUM(AR61:AR63)</f>
        <v>6</v>
      </c>
      <c r="AS64" s="576">
        <f>SUM(AS61:AS63)</f>
        <v>65</v>
      </c>
      <c r="AT64" s="577">
        <f t="shared" si="68"/>
        <v>102</v>
      </c>
      <c r="AU64" s="575">
        <f>SUM(AU61:AU63)</f>
        <v>24</v>
      </c>
      <c r="AV64" s="576">
        <f>SUM(AV61:AV63)</f>
        <v>5</v>
      </c>
      <c r="AW64" s="576">
        <f>SUM(AW61:AW63)</f>
        <v>61</v>
      </c>
      <c r="AX64" s="577">
        <f>SUM(AU64:AW64)</f>
        <v>90</v>
      </c>
      <c r="AY64" s="575">
        <f>SUM(AY61:AY63)</f>
        <v>23</v>
      </c>
      <c r="AZ64" s="576">
        <f>SUM(AZ61:AZ63)</f>
        <v>15</v>
      </c>
      <c r="BA64" s="576">
        <f>SUM(BA61:BA63)</f>
        <v>69</v>
      </c>
      <c r="BB64" s="577">
        <f>SUM(AY64:BA64)</f>
        <v>107</v>
      </c>
      <c r="BC64" s="575">
        <f>SUM(BC61:BC63)</f>
        <v>25</v>
      </c>
      <c r="BD64" s="576">
        <f>SUM(BD61:BD63)</f>
        <v>18</v>
      </c>
      <c r="BE64" s="576">
        <f>SUM(BE61:BE63)</f>
        <v>57</v>
      </c>
      <c r="BF64" s="577">
        <f>SUM(BC64:BE64)</f>
        <v>100</v>
      </c>
      <c r="BG64" s="575">
        <f>SUM(BG61:BG63)</f>
        <v>32</v>
      </c>
      <c r="BH64" s="576">
        <f>SUM(BH61:BH63)</f>
        <v>32</v>
      </c>
      <c r="BI64" s="576">
        <f>SUM(BI61:BI63)</f>
        <v>51</v>
      </c>
      <c r="BJ64" s="577">
        <f>SUM(BG64:BI64)</f>
        <v>115</v>
      </c>
      <c r="BK64" s="575">
        <f>SUM(BK61:BK63)</f>
        <v>17</v>
      </c>
      <c r="BL64" s="576">
        <f>SUM(BL61:BL63)</f>
        <v>29</v>
      </c>
      <c r="BM64" s="576">
        <f>SUM(BM61:BM63)</f>
        <v>57</v>
      </c>
      <c r="BN64" s="577">
        <f>SUM(BK64:BM64)</f>
        <v>103</v>
      </c>
      <c r="BO64" s="575">
        <f>SUM(BO61:BO63)</f>
        <v>43</v>
      </c>
      <c r="BP64" s="576">
        <f>SUM(BP61:BP63)</f>
        <v>30</v>
      </c>
      <c r="BQ64" s="576">
        <f>SUM(BQ61:BQ63)</f>
        <v>55</v>
      </c>
      <c r="BR64" s="577">
        <f>SUM(BO64:BQ64)</f>
        <v>128</v>
      </c>
      <c r="BS64" s="575">
        <f>SUM(BS61:BS63)</f>
        <v>20</v>
      </c>
      <c r="BT64" s="576">
        <f>SUM(BT61:BT63)</f>
        <v>27</v>
      </c>
      <c r="BU64" s="576">
        <f>SUM(BU61:BU63)</f>
        <v>65</v>
      </c>
      <c r="BV64" s="577">
        <f>SUM(BS64:BU64)</f>
        <v>112</v>
      </c>
      <c r="BW64" s="575">
        <f>SUM(BW61:BW63)</f>
        <v>29</v>
      </c>
      <c r="BX64" s="576">
        <f>SUM(BX61:BX63)</f>
        <v>26</v>
      </c>
      <c r="BY64" s="576">
        <f>SUM(BY61:BY63)</f>
        <v>53</v>
      </c>
      <c r="BZ64" s="577">
        <f>SUM(BW64:BY64)</f>
        <v>108</v>
      </c>
    </row>
    <row r="65" spans="1:78" ht="15" x14ac:dyDescent="0.2">
      <c r="A65" s="6224" t="s">
        <v>7</v>
      </c>
      <c r="B65" s="1029" t="s">
        <v>615</v>
      </c>
      <c r="C65" s="1274"/>
      <c r="D65" s="1275"/>
      <c r="E65" s="1275"/>
      <c r="F65" s="1276"/>
      <c r="G65" s="1274"/>
      <c r="H65" s="1275"/>
      <c r="I65" s="1275"/>
      <c r="J65" s="1276"/>
      <c r="K65" s="1274"/>
      <c r="L65" s="1275"/>
      <c r="M65" s="1275"/>
      <c r="N65" s="1276"/>
      <c r="O65" s="1274"/>
      <c r="P65" s="1275"/>
      <c r="Q65" s="1275"/>
      <c r="R65" s="1276"/>
      <c r="S65" s="1274"/>
      <c r="T65" s="1275"/>
      <c r="U65" s="1275"/>
      <c r="V65" s="1276"/>
      <c r="W65" s="1274"/>
      <c r="X65" s="1275"/>
      <c r="Y65" s="1275"/>
      <c r="Z65" s="1277"/>
      <c r="AA65" s="1274"/>
      <c r="AB65" s="1275"/>
      <c r="AC65" s="1275"/>
      <c r="AD65" s="1276"/>
      <c r="AE65" s="1275"/>
      <c r="AF65" s="1275"/>
      <c r="AG65" s="1275"/>
      <c r="AH65" s="1276"/>
      <c r="AI65" s="1275"/>
      <c r="AJ65" s="1275"/>
      <c r="AK65" s="1275"/>
      <c r="AL65" s="1670"/>
      <c r="AM65" s="1030"/>
      <c r="AN65" s="1031"/>
      <c r="AO65" s="1031"/>
      <c r="AP65" s="1048"/>
      <c r="AQ65" s="1030"/>
      <c r="AR65" s="1031"/>
      <c r="AS65" s="1031"/>
      <c r="AT65" s="1048"/>
      <c r="AU65" s="1030"/>
      <c r="AV65" s="1031"/>
      <c r="AW65" s="1031"/>
      <c r="AX65" s="1048"/>
      <c r="AY65" s="1030"/>
      <c r="AZ65" s="1031"/>
      <c r="BA65" s="1031"/>
      <c r="BB65" s="1048"/>
      <c r="BC65" s="1030"/>
      <c r="BD65" s="1031"/>
      <c r="BE65" s="1031"/>
      <c r="BF65" s="1048"/>
      <c r="BG65" s="1030"/>
      <c r="BH65" s="1031"/>
      <c r="BI65" s="1031"/>
      <c r="BJ65" s="1048"/>
      <c r="BK65" s="1030"/>
      <c r="BL65" s="1031"/>
      <c r="BM65" s="1031"/>
      <c r="BN65" s="1048"/>
      <c r="BO65" s="1030"/>
      <c r="BP65" s="1031"/>
      <c r="BQ65" s="1031"/>
      <c r="BR65" s="1048"/>
      <c r="BS65" s="1030"/>
      <c r="BT65" s="1031"/>
      <c r="BU65" s="1031"/>
      <c r="BV65" s="1048"/>
      <c r="BW65" s="1030"/>
      <c r="BX65" s="1031"/>
      <c r="BY65" s="1031"/>
      <c r="BZ65" s="1048"/>
    </row>
    <row r="66" spans="1:78" ht="15" x14ac:dyDescent="0.2">
      <c r="A66" s="6224"/>
      <c r="B66" s="1034" t="s">
        <v>616</v>
      </c>
      <c r="C66" s="1278">
        <f>+'INSC-POSG plan'!E142+'INSC-POSG plan'!E143+'INSC-POSG plan'!E144</f>
        <v>0</v>
      </c>
      <c r="D66" s="1279">
        <f>+'INSC-POSG plan'!F142+'INSC-POSG plan'!F143+'INSC-POSG plan'!F144</f>
        <v>0</v>
      </c>
      <c r="E66" s="1279">
        <f>+'INSC-POSG plan'!G142+'INSC-POSG plan'!G143+'INSC-POSG plan'!G144</f>
        <v>0</v>
      </c>
      <c r="F66" s="1280">
        <f t="shared" si="36"/>
        <v>0</v>
      </c>
      <c r="G66" s="1278">
        <f>+'INSC-POSG plan'!I142+'INSC-POSG plan'!I143+'INSC-POSG plan'!I144</f>
        <v>0</v>
      </c>
      <c r="H66" s="1279">
        <f>+'INSC-POSG plan'!J142+'INSC-POSG plan'!J143+'INSC-POSG plan'!J144</f>
        <v>46</v>
      </c>
      <c r="I66" s="1279">
        <f>+'INSC-POSG plan'!K142+'INSC-POSG plan'!K143+'INSC-POSG plan'!K144</f>
        <v>0</v>
      </c>
      <c r="J66" s="1280">
        <f t="shared" si="65"/>
        <v>46</v>
      </c>
      <c r="K66" s="1278">
        <f>+'INSC-POSG plan'!M142+'INSC-POSG plan'!M143+'INSC-POSG plan'!M144</f>
        <v>0</v>
      </c>
      <c r="L66" s="1279">
        <f>+'INSC-POSG plan'!N142+'INSC-POSG plan'!N143+'INSC-POSG plan'!N144</f>
        <v>0</v>
      </c>
      <c r="M66" s="1279">
        <f>+'INSC-POSG plan'!O142+'INSC-POSG plan'!O143+'INSC-POSG plan'!O144</f>
        <v>0</v>
      </c>
      <c r="N66" s="1280">
        <f t="shared" si="66"/>
        <v>0</v>
      </c>
      <c r="O66" s="1278">
        <f>+'INSC-POSG plan'!Q142+'INSC-POSG plan'!Q143+'INSC-POSG plan'!Q144</f>
        <v>0</v>
      </c>
      <c r="P66" s="1279">
        <f>+'INSC-POSG plan'!R142+'INSC-POSG plan'!R143+'INSC-POSG plan'!R144</f>
        <v>0</v>
      </c>
      <c r="Q66" s="1279">
        <f>+'INSC-POSG plan'!S142+'INSC-POSG plan'!S143+'INSC-POSG plan'!S144</f>
        <v>26</v>
      </c>
      <c r="R66" s="1280">
        <f t="shared" si="67"/>
        <v>26</v>
      </c>
      <c r="S66" s="1278"/>
      <c r="T66" s="1279"/>
      <c r="U66" s="1279">
        <v>19</v>
      </c>
      <c r="V66" s="1280">
        <v>19</v>
      </c>
      <c r="W66" s="1278"/>
      <c r="X66" s="1279"/>
      <c r="Y66" s="1279">
        <v>23</v>
      </c>
      <c r="Z66" s="1281">
        <v>23</v>
      </c>
      <c r="AA66" s="1278"/>
      <c r="AB66" s="1279"/>
      <c r="AC66" s="1279">
        <v>20</v>
      </c>
      <c r="AD66" s="1280">
        <v>20</v>
      </c>
      <c r="AE66" s="1279"/>
      <c r="AF66" s="1279"/>
      <c r="AG66" s="1279">
        <v>22</v>
      </c>
      <c r="AH66" s="1280">
        <v>22</v>
      </c>
      <c r="AI66" s="1279"/>
      <c r="AJ66" s="1279"/>
      <c r="AK66" s="1279">
        <v>22</v>
      </c>
      <c r="AL66" s="1671">
        <v>22</v>
      </c>
      <c r="AM66" s="1035"/>
      <c r="AN66" s="1036"/>
      <c r="AO66" s="1036">
        <v>18</v>
      </c>
      <c r="AP66" s="1039">
        <v>18</v>
      </c>
      <c r="AQ66" s="1035"/>
      <c r="AR66" s="1036">
        <v>17</v>
      </c>
      <c r="AS66" s="1036">
        <v>56</v>
      </c>
      <c r="AT66" s="1039">
        <f>SUM(AQ66:AS66)</f>
        <v>73</v>
      </c>
      <c r="AU66" s="1035"/>
      <c r="AV66" s="1036"/>
      <c r="AW66" s="1036">
        <v>15</v>
      </c>
      <c r="AX66" s="1039">
        <f>SUM(AU66:AW66)</f>
        <v>15</v>
      </c>
      <c r="AY66" s="1035"/>
      <c r="AZ66" s="1036">
        <v>39</v>
      </c>
      <c r="BA66" s="1036">
        <v>19</v>
      </c>
      <c r="BB66" s="1039">
        <f>SUM(AY66:BA66)</f>
        <v>58</v>
      </c>
      <c r="BC66" s="1035"/>
      <c r="BD66" s="1036"/>
      <c r="BE66" s="1036">
        <f>SUM('INSC-POSG plan'!BG142,'INSC-POSG plan'!BG143,'INSC-POSG plan'!BG144)</f>
        <v>19</v>
      </c>
      <c r="BF66" s="1039">
        <f>SUM(BC66:BE66)</f>
        <v>19</v>
      </c>
      <c r="BG66" s="1035"/>
      <c r="BH66" s="1036">
        <f>SUM('INSC-POSG plan'!BJ143:BJ144)</f>
        <v>43</v>
      </c>
      <c r="BI66" s="1036">
        <f>SUM('INSC-POSG plan'!BK142:BK144)</f>
        <v>23</v>
      </c>
      <c r="BJ66" s="1039">
        <f>SUM(BG66:BI66)</f>
        <v>66</v>
      </c>
      <c r="BK66" s="1036">
        <f>SUM('INSC-POSG plan'!BM142:BM144)</f>
        <v>0</v>
      </c>
      <c r="BL66" s="1036">
        <f>SUM('INSC-POSG plan'!BN142:BN144)</f>
        <v>0</v>
      </c>
      <c r="BM66" s="1036">
        <f>SUM('INSC-POSG plan'!BO142:BO144)</f>
        <v>25</v>
      </c>
      <c r="BN66" s="1039">
        <f>SUM(BK66:BM66)</f>
        <v>25</v>
      </c>
      <c r="BO66" s="1036">
        <f>SUM('INSC-POSG plan'!BQ142:BQ144)</f>
        <v>0</v>
      </c>
      <c r="BP66" s="1036">
        <f>SUM('INSC-POSG plan'!BR142:BR144)</f>
        <v>45</v>
      </c>
      <c r="BQ66" s="1036">
        <f>SUM('INSC-POSG plan'!BS142:BS144)</f>
        <v>24</v>
      </c>
      <c r="BR66" s="1039">
        <f>SUM(BO66:BQ66)</f>
        <v>69</v>
      </c>
      <c r="BS66" s="1036">
        <f>SUM('INSC-POSG plan'!BU142:BU144)</f>
        <v>0</v>
      </c>
      <c r="BT66" s="1036">
        <f>SUM('INSC-POSG plan'!BV142:BV144)</f>
        <v>1</v>
      </c>
      <c r="BU66" s="1036">
        <f>SUM('INSC-POSG plan'!BW142:BW144)</f>
        <v>24</v>
      </c>
      <c r="BV66" s="1039">
        <f>SUM(BS66:BU66)</f>
        <v>25</v>
      </c>
      <c r="BW66" s="1036">
        <f>SUM('INSC-POSG plan'!BY142:BY144)</f>
        <v>0</v>
      </c>
      <c r="BX66" s="1036">
        <f>SUM('INSC-POSG plan'!BZ142:BZ144)</f>
        <v>40</v>
      </c>
      <c r="BY66" s="1036">
        <f>SUM('INSC-POSG plan'!CA142:CA144)</f>
        <v>23</v>
      </c>
      <c r="BZ66" s="1039">
        <f>SUM(BW66:BY66)</f>
        <v>63</v>
      </c>
    </row>
    <row r="67" spans="1:78" ht="15" x14ac:dyDescent="0.2">
      <c r="A67" s="6224"/>
      <c r="B67" s="1040" t="s">
        <v>617</v>
      </c>
      <c r="C67" s="1289">
        <f>+'INSC-POSG plan'!E145</f>
        <v>0</v>
      </c>
      <c r="D67" s="1290">
        <f>+'INSC-POSG plan'!F145</f>
        <v>0</v>
      </c>
      <c r="E67" s="1290">
        <f>+'INSC-POSG plan'!G145</f>
        <v>0</v>
      </c>
      <c r="F67" s="1291">
        <f t="shared" si="36"/>
        <v>0</v>
      </c>
      <c r="G67" s="1289">
        <f>+'INSC-POSG plan'!I145</f>
        <v>0</v>
      </c>
      <c r="H67" s="1290">
        <f>+'INSC-POSG plan'!J145</f>
        <v>0</v>
      </c>
      <c r="I67" s="1290">
        <f>+'INSC-POSG plan'!K145</f>
        <v>0</v>
      </c>
      <c r="J67" s="1291">
        <f t="shared" si="65"/>
        <v>0</v>
      </c>
      <c r="K67" s="1289">
        <f>+'INSC-POSG plan'!M145</f>
        <v>0</v>
      </c>
      <c r="L67" s="1290">
        <f>+'INSC-POSG plan'!N145</f>
        <v>0</v>
      </c>
      <c r="M67" s="1290">
        <f>+'INSC-POSG plan'!O145</f>
        <v>0</v>
      </c>
      <c r="N67" s="1291">
        <f t="shared" si="66"/>
        <v>0</v>
      </c>
      <c r="O67" s="1289">
        <f>+'INSC-POSG plan'!Q145</f>
        <v>0</v>
      </c>
      <c r="P67" s="1290">
        <f>+'INSC-POSG plan'!R145</f>
        <v>11</v>
      </c>
      <c r="Q67" s="1290">
        <f>+'INSC-POSG plan'!S145</f>
        <v>3</v>
      </c>
      <c r="R67" s="1291">
        <f t="shared" si="67"/>
        <v>14</v>
      </c>
      <c r="S67" s="1289"/>
      <c r="T67" s="1290"/>
      <c r="U67" s="1290"/>
      <c r="V67" s="1291"/>
      <c r="W67" s="1289"/>
      <c r="X67" s="1290"/>
      <c r="Y67" s="1290">
        <v>14</v>
      </c>
      <c r="Z67" s="1292">
        <v>14</v>
      </c>
      <c r="AA67" s="1289"/>
      <c r="AB67" s="1290"/>
      <c r="AC67" s="1290"/>
      <c r="AD67" s="1291"/>
      <c r="AE67" s="1290">
        <v>18</v>
      </c>
      <c r="AF67" s="1290"/>
      <c r="AG67" s="1290"/>
      <c r="AH67" s="1291">
        <v>18</v>
      </c>
      <c r="AI67" s="1290">
        <v>6</v>
      </c>
      <c r="AJ67" s="1290"/>
      <c r="AK67" s="1290"/>
      <c r="AL67" s="1672">
        <v>6</v>
      </c>
      <c r="AM67" s="1041">
        <v>12</v>
      </c>
      <c r="AN67" s="1042"/>
      <c r="AO67" s="1042"/>
      <c r="AP67" s="1045">
        <v>12</v>
      </c>
      <c r="AQ67" s="1041">
        <v>10</v>
      </c>
      <c r="AR67" s="1042"/>
      <c r="AS67" s="1042"/>
      <c r="AT67" s="1045">
        <f>SUM(AQ67:AS67)</f>
        <v>10</v>
      </c>
      <c r="AU67" s="1041">
        <v>11</v>
      </c>
      <c r="AV67" s="1042"/>
      <c r="AW67" s="1042"/>
      <c r="AX67" s="1045">
        <f>SUM(AU67:AW67)</f>
        <v>11</v>
      </c>
      <c r="AY67" s="1041">
        <v>8</v>
      </c>
      <c r="AZ67" s="1042"/>
      <c r="BA67" s="1042"/>
      <c r="BB67" s="1045">
        <f>SUM(AY67:BA67)</f>
        <v>8</v>
      </c>
      <c r="BC67" s="1041">
        <f>SUM('INSC-POSG plan'!BE145)</f>
        <v>10</v>
      </c>
      <c r="BD67" s="1042"/>
      <c r="BE67" s="1042"/>
      <c r="BF67" s="1045">
        <f>SUM(BC67:BE67)</f>
        <v>10</v>
      </c>
      <c r="BG67" s="1041">
        <f>SUM('INSC-POSG plan'!BI145)</f>
        <v>8</v>
      </c>
      <c r="BH67" s="1042"/>
      <c r="BI67" s="1042">
        <f>SUM('INSC-POSG plan'!BK145)</f>
        <v>0</v>
      </c>
      <c r="BJ67" s="1045">
        <f>SUM(BG67:BI67)</f>
        <v>8</v>
      </c>
      <c r="BK67" s="1042">
        <f>SUM('INSC-POSG plan'!BM145)</f>
        <v>7</v>
      </c>
      <c r="BL67" s="1042">
        <f>SUM('INSC-POSG plan'!BN145)</f>
        <v>0</v>
      </c>
      <c r="BM67" s="1042">
        <f>SUM('INSC-POSG plan'!BO145)</f>
        <v>0</v>
      </c>
      <c r="BN67" s="1045">
        <f>SUM(BK67:BM67)</f>
        <v>7</v>
      </c>
      <c r="BO67" s="1042">
        <f>SUM('INSC-POSG plan'!BQ145)</f>
        <v>8</v>
      </c>
      <c r="BP67" s="1042">
        <f>SUM('INSC-POSG plan'!BR145)</f>
        <v>0</v>
      </c>
      <c r="BQ67" s="1042">
        <f>SUM('INSC-POSG plan'!BS145)</f>
        <v>0</v>
      </c>
      <c r="BR67" s="1045">
        <f>SUM(BO67:BQ67)</f>
        <v>8</v>
      </c>
      <c r="BS67" s="1042">
        <f>SUM('INSC-POSG plan'!BU145)</f>
        <v>12</v>
      </c>
      <c r="BT67" s="1042">
        <f>SUM('INSC-POSG plan'!BV145)</f>
        <v>0</v>
      </c>
      <c r="BU67" s="1042">
        <f>SUM('INSC-POSG plan'!BW145)</f>
        <v>0</v>
      </c>
      <c r="BV67" s="1045">
        <f>SUM(BS67:BU67)</f>
        <v>12</v>
      </c>
      <c r="BW67" s="1042">
        <f>SUM('INSC-POSG plan'!BY145)</f>
        <v>11</v>
      </c>
      <c r="BX67" s="1042">
        <f>SUM('INSC-POSG plan'!BZ145)</f>
        <v>0</v>
      </c>
      <c r="BY67" s="1042">
        <f>SUM('INSC-POSG plan'!CA145)</f>
        <v>0</v>
      </c>
      <c r="BZ67" s="1045">
        <f>SUM(BW67:BY67)</f>
        <v>11</v>
      </c>
    </row>
    <row r="68" spans="1:78" s="222" customFormat="1" ht="15" x14ac:dyDescent="0.2">
      <c r="A68" s="6225"/>
      <c r="B68" s="574" t="s">
        <v>15</v>
      </c>
      <c r="C68" s="1149">
        <f>SUM(C65:C67)</f>
        <v>0</v>
      </c>
      <c r="D68" s="1150">
        <f>SUM(D65:D67)</f>
        <v>0</v>
      </c>
      <c r="E68" s="1150">
        <f>SUM(E65:E67)</f>
        <v>0</v>
      </c>
      <c r="F68" s="1151">
        <f t="shared" si="36"/>
        <v>0</v>
      </c>
      <c r="G68" s="1149">
        <f>SUM(G65:G67)</f>
        <v>0</v>
      </c>
      <c r="H68" s="1150">
        <f>SUM(H65:H67)</f>
        <v>46</v>
      </c>
      <c r="I68" s="1150">
        <f>SUM(I65:I67)</f>
        <v>0</v>
      </c>
      <c r="J68" s="1151">
        <f t="shared" si="65"/>
        <v>46</v>
      </c>
      <c r="K68" s="1149">
        <f>SUM(K65:K67)</f>
        <v>0</v>
      </c>
      <c r="L68" s="1150">
        <f>SUM(L65:L67)</f>
        <v>0</v>
      </c>
      <c r="M68" s="1150">
        <f>SUM(M65:M67)</f>
        <v>0</v>
      </c>
      <c r="N68" s="1151">
        <f t="shared" si="66"/>
        <v>0</v>
      </c>
      <c r="O68" s="1149">
        <f>SUM(O65:O67)</f>
        <v>0</v>
      </c>
      <c r="P68" s="1150">
        <f>SUM(P65:P67)</f>
        <v>11</v>
      </c>
      <c r="Q68" s="1150">
        <f>SUM(Q65:Q67)</f>
        <v>29</v>
      </c>
      <c r="R68" s="1151">
        <f t="shared" si="67"/>
        <v>40</v>
      </c>
      <c r="S68" s="1149"/>
      <c r="T68" s="1150"/>
      <c r="U68" s="1150">
        <v>19</v>
      </c>
      <c r="V68" s="1151">
        <v>19</v>
      </c>
      <c r="W68" s="1149"/>
      <c r="X68" s="1150"/>
      <c r="Y68" s="1150">
        <v>37</v>
      </c>
      <c r="Z68" s="1150">
        <v>37</v>
      </c>
      <c r="AA68" s="1149"/>
      <c r="AB68" s="1150"/>
      <c r="AC68" s="1150">
        <v>20</v>
      </c>
      <c r="AD68" s="1151">
        <v>20</v>
      </c>
      <c r="AE68" s="1150">
        <v>18</v>
      </c>
      <c r="AF68" s="1150"/>
      <c r="AG68" s="1150">
        <v>22</v>
      </c>
      <c r="AH68" s="1151">
        <v>40</v>
      </c>
      <c r="AI68" s="1150">
        <v>6</v>
      </c>
      <c r="AJ68" s="1150"/>
      <c r="AK68" s="1150">
        <v>22</v>
      </c>
      <c r="AL68" s="1151">
        <v>28</v>
      </c>
      <c r="AM68" s="575">
        <v>12</v>
      </c>
      <c r="AN68" s="576"/>
      <c r="AO68" s="576">
        <v>18</v>
      </c>
      <c r="AP68" s="577">
        <v>30</v>
      </c>
      <c r="AQ68" s="575">
        <f>SUM(AQ65:AQ67)</f>
        <v>10</v>
      </c>
      <c r="AR68" s="576">
        <f>SUM(AR65:AR67)</f>
        <v>17</v>
      </c>
      <c r="AS68" s="576">
        <f>SUM(AS65:AS67)</f>
        <v>56</v>
      </c>
      <c r="AT68" s="577">
        <f>SUM(AQ68:AS68)</f>
        <v>83</v>
      </c>
      <c r="AU68" s="575">
        <f>SUM(AU65:AU67)</f>
        <v>11</v>
      </c>
      <c r="AV68" s="576"/>
      <c r="AW68" s="576">
        <f>SUM(AW65:AW67)</f>
        <v>15</v>
      </c>
      <c r="AX68" s="577">
        <f>SUM(AU68:AW68)</f>
        <v>26</v>
      </c>
      <c r="AY68" s="575">
        <f t="shared" ref="AY68:BF68" si="72">SUM(AY65:AY67)</f>
        <v>8</v>
      </c>
      <c r="AZ68" s="576">
        <f t="shared" si="72"/>
        <v>39</v>
      </c>
      <c r="BA68" s="576">
        <f t="shared" si="72"/>
        <v>19</v>
      </c>
      <c r="BB68" s="577">
        <f t="shared" si="72"/>
        <v>66</v>
      </c>
      <c r="BC68" s="575">
        <f t="shared" si="72"/>
        <v>10</v>
      </c>
      <c r="BD68" s="576"/>
      <c r="BE68" s="576">
        <f t="shared" si="72"/>
        <v>19</v>
      </c>
      <c r="BF68" s="577">
        <f t="shared" si="72"/>
        <v>29</v>
      </c>
      <c r="BG68" s="575">
        <f t="shared" ref="BG68:BN68" si="73">SUM(BG65:BG67)</f>
        <v>8</v>
      </c>
      <c r="BH68" s="576">
        <f t="shared" si="73"/>
        <v>43</v>
      </c>
      <c r="BI68" s="576">
        <f t="shared" si="73"/>
        <v>23</v>
      </c>
      <c r="BJ68" s="577">
        <f t="shared" si="73"/>
        <v>74</v>
      </c>
      <c r="BK68" s="575">
        <f t="shared" si="73"/>
        <v>7</v>
      </c>
      <c r="BL68" s="576">
        <f t="shared" si="73"/>
        <v>0</v>
      </c>
      <c r="BM68" s="576">
        <f t="shared" si="73"/>
        <v>25</v>
      </c>
      <c r="BN68" s="577">
        <f t="shared" si="73"/>
        <v>32</v>
      </c>
      <c r="BO68" s="575">
        <f t="shared" ref="BO68:BZ68" si="74">SUM(BO65:BO67)</f>
        <v>8</v>
      </c>
      <c r="BP68" s="576">
        <f t="shared" si="74"/>
        <v>45</v>
      </c>
      <c r="BQ68" s="576">
        <f t="shared" si="74"/>
        <v>24</v>
      </c>
      <c r="BR68" s="577">
        <f t="shared" si="74"/>
        <v>77</v>
      </c>
      <c r="BS68" s="575">
        <f t="shared" si="74"/>
        <v>12</v>
      </c>
      <c r="BT68" s="576">
        <f t="shared" si="74"/>
        <v>1</v>
      </c>
      <c r="BU68" s="576">
        <f t="shared" si="74"/>
        <v>24</v>
      </c>
      <c r="BV68" s="577">
        <f t="shared" si="74"/>
        <v>37</v>
      </c>
      <c r="BW68" s="575">
        <f t="shared" si="74"/>
        <v>11</v>
      </c>
      <c r="BX68" s="576">
        <f t="shared" si="74"/>
        <v>40</v>
      </c>
      <c r="BY68" s="576">
        <f t="shared" si="74"/>
        <v>23</v>
      </c>
      <c r="BZ68" s="577">
        <f t="shared" si="74"/>
        <v>74</v>
      </c>
    </row>
    <row r="69" spans="1:78" ht="15" x14ac:dyDescent="0.2">
      <c r="A69" s="6226" t="s">
        <v>680</v>
      </c>
      <c r="B69" s="1029" t="s">
        <v>615</v>
      </c>
      <c r="C69" s="1274">
        <f>+C57+C61+C65</f>
        <v>11</v>
      </c>
      <c r="D69" s="1275">
        <f t="shared" ref="D69:E71" si="75">+D57+D61+D65</f>
        <v>0</v>
      </c>
      <c r="E69" s="1275">
        <f t="shared" si="75"/>
        <v>11</v>
      </c>
      <c r="F69" s="1276">
        <f t="shared" si="36"/>
        <v>22</v>
      </c>
      <c r="G69" s="1274">
        <f t="shared" ref="G69:I71" si="76">+G57+G61+G65</f>
        <v>54</v>
      </c>
      <c r="H69" s="1275">
        <f t="shared" si="76"/>
        <v>0</v>
      </c>
      <c r="I69" s="1275">
        <f t="shared" si="76"/>
        <v>36</v>
      </c>
      <c r="J69" s="1276">
        <f t="shared" si="65"/>
        <v>90</v>
      </c>
      <c r="K69" s="1274">
        <f t="shared" ref="K69:M71" si="77">+K57+K61+K65</f>
        <v>19</v>
      </c>
      <c r="L69" s="1275">
        <f t="shared" si="77"/>
        <v>1</v>
      </c>
      <c r="M69" s="1275">
        <f t="shared" si="77"/>
        <v>59</v>
      </c>
      <c r="N69" s="1276">
        <f t="shared" si="66"/>
        <v>79</v>
      </c>
      <c r="O69" s="1274">
        <f t="shared" ref="O69:Q71" si="78">+O57+O61+O65</f>
        <v>17</v>
      </c>
      <c r="P69" s="1275">
        <f t="shared" si="78"/>
        <v>3</v>
      </c>
      <c r="Q69" s="1275">
        <f t="shared" si="78"/>
        <v>33</v>
      </c>
      <c r="R69" s="1276">
        <f t="shared" si="67"/>
        <v>53</v>
      </c>
      <c r="S69" s="1274">
        <v>12</v>
      </c>
      <c r="T69" s="1275"/>
      <c r="U69" s="1275">
        <v>0</v>
      </c>
      <c r="V69" s="1276">
        <v>12</v>
      </c>
      <c r="W69" s="1274">
        <v>10</v>
      </c>
      <c r="X69" s="1275"/>
      <c r="Y69" s="1275">
        <v>5</v>
      </c>
      <c r="Z69" s="1277">
        <v>15</v>
      </c>
      <c r="AA69" s="1274"/>
      <c r="AB69" s="1275"/>
      <c r="AC69" s="1275"/>
      <c r="AD69" s="1276"/>
      <c r="AE69" s="1275">
        <v>13</v>
      </c>
      <c r="AF69" s="1275"/>
      <c r="AG69" s="1275">
        <v>5</v>
      </c>
      <c r="AH69" s="1276">
        <v>18</v>
      </c>
      <c r="AI69" s="1275">
        <v>8</v>
      </c>
      <c r="AJ69" s="1275"/>
      <c r="AK69" s="1275">
        <v>17</v>
      </c>
      <c r="AL69" s="1670">
        <v>25</v>
      </c>
      <c r="AM69" s="1030">
        <v>12</v>
      </c>
      <c r="AN69" s="1031"/>
      <c r="AO69" s="1031">
        <v>21</v>
      </c>
      <c r="AP69" s="1048">
        <v>33</v>
      </c>
      <c r="AQ69" s="1030">
        <f>AQ57+AQ61+AQ65</f>
        <v>10</v>
      </c>
      <c r="AR69" s="1031"/>
      <c r="AS69" s="1031">
        <f t="shared" ref="AS69:AT72" si="79">AS57+AS61+AS65</f>
        <v>2</v>
      </c>
      <c r="AT69" s="1048">
        <f t="shared" si="79"/>
        <v>12</v>
      </c>
      <c r="AU69" s="1030"/>
      <c r="AV69" s="1031"/>
      <c r="AW69" s="1031">
        <f t="shared" ref="AW69:AX72" si="80">AW57+AW61+AW65</f>
        <v>19</v>
      </c>
      <c r="AX69" s="1048">
        <f t="shared" si="80"/>
        <v>19</v>
      </c>
      <c r="AY69" s="1030">
        <f>SUM(AY57,AY61,AY65)</f>
        <v>12</v>
      </c>
      <c r="AZ69" s="1031"/>
      <c r="BA69" s="1031">
        <f t="shared" ref="AZ69:BF71" si="81">SUM(BA57,BA61,BA65)</f>
        <v>54</v>
      </c>
      <c r="BB69" s="1048">
        <f t="shared" si="81"/>
        <v>66</v>
      </c>
      <c r="BC69" s="1030"/>
      <c r="BD69" s="1031"/>
      <c r="BE69" s="1031"/>
      <c r="BF69" s="1048"/>
      <c r="BG69" s="1030">
        <f>SUM(BG57,BG61,BG65)</f>
        <v>12</v>
      </c>
      <c r="BH69" s="1031"/>
      <c r="BI69" s="1031">
        <f>SUM(BI57,BI61,BI65)</f>
        <v>35</v>
      </c>
      <c r="BJ69" s="1048">
        <f t="shared" ref="BG69:BJ70" si="82">SUM(BJ57,BJ61,BJ65)</f>
        <v>34</v>
      </c>
      <c r="BK69" s="1030">
        <f t="shared" ref="BK69:BN70" si="83">SUM(BK57,BK61,BK65)</f>
        <v>0</v>
      </c>
      <c r="BL69" s="1031">
        <f t="shared" si="83"/>
        <v>0</v>
      </c>
      <c r="BM69" s="1031">
        <f t="shared" si="83"/>
        <v>0</v>
      </c>
      <c r="BN69" s="1048">
        <f t="shared" si="83"/>
        <v>0</v>
      </c>
      <c r="BO69" s="1030">
        <f t="shared" ref="BO69:BZ69" si="84">SUM(BO57,BO61,BO65)</f>
        <v>0</v>
      </c>
      <c r="BP69" s="1031">
        <f t="shared" si="84"/>
        <v>0</v>
      </c>
      <c r="BQ69" s="1031">
        <f t="shared" si="84"/>
        <v>0</v>
      </c>
      <c r="BR69" s="1048">
        <f t="shared" si="84"/>
        <v>0</v>
      </c>
      <c r="BS69" s="1030">
        <f t="shared" si="84"/>
        <v>0</v>
      </c>
      <c r="BT69" s="1031">
        <f t="shared" si="84"/>
        <v>0</v>
      </c>
      <c r="BU69" s="1031">
        <f t="shared" si="84"/>
        <v>0</v>
      </c>
      <c r="BV69" s="1048">
        <f t="shared" si="84"/>
        <v>0</v>
      </c>
      <c r="BW69" s="1030">
        <f t="shared" si="84"/>
        <v>0</v>
      </c>
      <c r="BX69" s="1031">
        <f t="shared" si="84"/>
        <v>0</v>
      </c>
      <c r="BY69" s="1031">
        <f t="shared" si="84"/>
        <v>30</v>
      </c>
      <c r="BZ69" s="1048">
        <f t="shared" si="84"/>
        <v>30</v>
      </c>
    </row>
    <row r="70" spans="1:78" ht="15" x14ac:dyDescent="0.2">
      <c r="A70" s="6226"/>
      <c r="B70" s="1034" t="s">
        <v>616</v>
      </c>
      <c r="C70" s="1278">
        <f>+C58+C62+C66</f>
        <v>35</v>
      </c>
      <c r="D70" s="1279">
        <f t="shared" si="75"/>
        <v>15</v>
      </c>
      <c r="E70" s="1279">
        <f t="shared" si="75"/>
        <v>37</v>
      </c>
      <c r="F70" s="1280">
        <f t="shared" si="36"/>
        <v>87</v>
      </c>
      <c r="G70" s="1278">
        <f t="shared" si="76"/>
        <v>70</v>
      </c>
      <c r="H70" s="1279">
        <f t="shared" si="76"/>
        <v>71</v>
      </c>
      <c r="I70" s="1279">
        <f t="shared" si="76"/>
        <v>85</v>
      </c>
      <c r="J70" s="1280">
        <f t="shared" si="65"/>
        <v>226</v>
      </c>
      <c r="K70" s="1278">
        <f t="shared" si="77"/>
        <v>73</v>
      </c>
      <c r="L70" s="1279">
        <f t="shared" si="77"/>
        <v>29</v>
      </c>
      <c r="M70" s="1279">
        <f t="shared" si="77"/>
        <v>28</v>
      </c>
      <c r="N70" s="1280">
        <f t="shared" si="66"/>
        <v>130</v>
      </c>
      <c r="O70" s="1278">
        <f t="shared" si="78"/>
        <v>48</v>
      </c>
      <c r="P70" s="1279">
        <f t="shared" si="78"/>
        <v>56</v>
      </c>
      <c r="Q70" s="1279">
        <f t="shared" si="78"/>
        <v>121</v>
      </c>
      <c r="R70" s="1280">
        <f t="shared" si="67"/>
        <v>225</v>
      </c>
      <c r="S70" s="1278">
        <v>20</v>
      </c>
      <c r="T70" s="1279">
        <v>24</v>
      </c>
      <c r="U70" s="1279">
        <v>84</v>
      </c>
      <c r="V70" s="1280">
        <v>128</v>
      </c>
      <c r="W70" s="1278">
        <v>21</v>
      </c>
      <c r="X70" s="1279"/>
      <c r="Y70" s="1279">
        <v>155</v>
      </c>
      <c r="Z70" s="1281">
        <v>176</v>
      </c>
      <c r="AA70" s="1278">
        <v>18</v>
      </c>
      <c r="AB70" s="1279">
        <v>4</v>
      </c>
      <c r="AC70" s="1279">
        <v>113</v>
      </c>
      <c r="AD70" s="1280">
        <v>135</v>
      </c>
      <c r="AE70" s="1279">
        <v>13</v>
      </c>
      <c r="AF70" s="1279">
        <v>4</v>
      </c>
      <c r="AG70" s="1279">
        <v>180</v>
      </c>
      <c r="AH70" s="1280">
        <v>197</v>
      </c>
      <c r="AI70" s="1279">
        <v>3</v>
      </c>
      <c r="AJ70" s="1279">
        <v>8</v>
      </c>
      <c r="AK70" s="1279">
        <v>116</v>
      </c>
      <c r="AL70" s="1671">
        <v>127</v>
      </c>
      <c r="AM70" s="1035">
        <v>6</v>
      </c>
      <c r="AN70" s="1036">
        <v>14</v>
      </c>
      <c r="AO70" s="1036">
        <v>176</v>
      </c>
      <c r="AP70" s="1039">
        <v>196</v>
      </c>
      <c r="AQ70" s="1035">
        <f>AQ58+AQ62+AQ66</f>
        <v>8</v>
      </c>
      <c r="AR70" s="1036">
        <f>AR58+AR62+AR66</f>
        <v>23</v>
      </c>
      <c r="AS70" s="1036">
        <f t="shared" si="79"/>
        <v>146</v>
      </c>
      <c r="AT70" s="1039">
        <f t="shared" si="79"/>
        <v>177</v>
      </c>
      <c r="AU70" s="1035">
        <f>AU58+AU62+AU66</f>
        <v>18</v>
      </c>
      <c r="AV70" s="1036">
        <f>AV58+AV62+AV66</f>
        <v>5</v>
      </c>
      <c r="AW70" s="1036">
        <f t="shared" si="80"/>
        <v>163</v>
      </c>
      <c r="AX70" s="1039">
        <f t="shared" si="80"/>
        <v>186</v>
      </c>
      <c r="AY70" s="1035">
        <f>SUM(AY58,AY62,AY66)</f>
        <v>2</v>
      </c>
      <c r="AZ70" s="1036">
        <f t="shared" si="81"/>
        <v>54</v>
      </c>
      <c r="BA70" s="1036">
        <f t="shared" si="81"/>
        <v>82</v>
      </c>
      <c r="BB70" s="1039">
        <f t="shared" si="81"/>
        <v>138</v>
      </c>
      <c r="BC70" s="1035">
        <f t="shared" si="81"/>
        <v>35</v>
      </c>
      <c r="BD70" s="1036">
        <f t="shared" si="81"/>
        <v>18</v>
      </c>
      <c r="BE70" s="1036">
        <f t="shared" si="81"/>
        <v>197</v>
      </c>
      <c r="BF70" s="1039">
        <f t="shared" si="81"/>
        <v>250</v>
      </c>
      <c r="BG70" s="1035">
        <f t="shared" si="82"/>
        <v>5</v>
      </c>
      <c r="BH70" s="1036">
        <f t="shared" si="82"/>
        <v>75</v>
      </c>
      <c r="BI70" s="1036">
        <f t="shared" si="82"/>
        <v>66</v>
      </c>
      <c r="BJ70" s="1039">
        <f t="shared" si="82"/>
        <v>146</v>
      </c>
      <c r="BK70" s="1035">
        <f t="shared" si="83"/>
        <v>27</v>
      </c>
      <c r="BL70" s="1036">
        <f t="shared" si="83"/>
        <v>29</v>
      </c>
      <c r="BM70" s="1036">
        <f t="shared" si="83"/>
        <v>210</v>
      </c>
      <c r="BN70" s="1039">
        <f t="shared" si="83"/>
        <v>266</v>
      </c>
      <c r="BO70" s="1035">
        <f t="shared" ref="BO70:BZ70" si="85">SUM(BO58,BO62,BO66)</f>
        <v>31</v>
      </c>
      <c r="BP70" s="1036">
        <f t="shared" si="85"/>
        <v>75</v>
      </c>
      <c r="BQ70" s="1036">
        <f t="shared" si="85"/>
        <v>106</v>
      </c>
      <c r="BR70" s="1039">
        <f t="shared" si="85"/>
        <v>212</v>
      </c>
      <c r="BS70" s="1035">
        <f t="shared" si="85"/>
        <v>30</v>
      </c>
      <c r="BT70" s="1036">
        <f t="shared" si="85"/>
        <v>28</v>
      </c>
      <c r="BU70" s="1036">
        <f t="shared" si="85"/>
        <v>185</v>
      </c>
      <c r="BV70" s="1039">
        <f t="shared" si="85"/>
        <v>243</v>
      </c>
      <c r="BW70" s="1035">
        <f t="shared" si="85"/>
        <v>41</v>
      </c>
      <c r="BX70" s="1036">
        <f t="shared" si="85"/>
        <v>66</v>
      </c>
      <c r="BY70" s="1036">
        <f t="shared" si="85"/>
        <v>73</v>
      </c>
      <c r="BZ70" s="1039">
        <f t="shared" si="85"/>
        <v>180</v>
      </c>
    </row>
    <row r="71" spans="1:78" ht="15" x14ac:dyDescent="0.2">
      <c r="A71" s="6226"/>
      <c r="B71" s="1040" t="s">
        <v>617</v>
      </c>
      <c r="C71" s="1289">
        <f>+C59+C63+C67</f>
        <v>50</v>
      </c>
      <c r="D71" s="1290">
        <f t="shared" si="75"/>
        <v>0</v>
      </c>
      <c r="E71" s="1290">
        <f t="shared" si="75"/>
        <v>6</v>
      </c>
      <c r="F71" s="1291">
        <f t="shared" si="36"/>
        <v>56</v>
      </c>
      <c r="G71" s="1289">
        <f t="shared" si="76"/>
        <v>3</v>
      </c>
      <c r="H71" s="1290">
        <f t="shared" si="76"/>
        <v>14</v>
      </c>
      <c r="I71" s="1290">
        <f t="shared" si="76"/>
        <v>4</v>
      </c>
      <c r="J71" s="1291">
        <f t="shared" si="65"/>
        <v>21</v>
      </c>
      <c r="K71" s="1289">
        <f t="shared" si="77"/>
        <v>35</v>
      </c>
      <c r="L71" s="1290">
        <f t="shared" si="77"/>
        <v>0</v>
      </c>
      <c r="M71" s="1290">
        <f t="shared" si="77"/>
        <v>15</v>
      </c>
      <c r="N71" s="1291">
        <f t="shared" si="66"/>
        <v>50</v>
      </c>
      <c r="O71" s="1289">
        <f t="shared" si="78"/>
        <v>25</v>
      </c>
      <c r="P71" s="1290">
        <f t="shared" si="78"/>
        <v>11</v>
      </c>
      <c r="Q71" s="1290">
        <f t="shared" si="78"/>
        <v>15</v>
      </c>
      <c r="R71" s="1291">
        <f t="shared" si="67"/>
        <v>51</v>
      </c>
      <c r="S71" s="1289">
        <v>58</v>
      </c>
      <c r="T71" s="1290"/>
      <c r="U71" s="1290">
        <v>32</v>
      </c>
      <c r="V71" s="1291">
        <v>90</v>
      </c>
      <c r="W71" s="1289">
        <v>9</v>
      </c>
      <c r="X71" s="1290"/>
      <c r="Y71" s="1290">
        <v>19</v>
      </c>
      <c r="Z71" s="1292">
        <v>28</v>
      </c>
      <c r="AA71" s="1289">
        <v>51</v>
      </c>
      <c r="AB71" s="1290"/>
      <c r="AC71" s="1290">
        <v>23</v>
      </c>
      <c r="AD71" s="1291">
        <v>74</v>
      </c>
      <c r="AE71" s="1290">
        <v>26</v>
      </c>
      <c r="AF71" s="1290"/>
      <c r="AG71" s="1290">
        <v>20</v>
      </c>
      <c r="AH71" s="1291">
        <v>46</v>
      </c>
      <c r="AI71" s="1290">
        <v>84</v>
      </c>
      <c r="AJ71" s="1290">
        <v>11</v>
      </c>
      <c r="AK71" s="1290">
        <v>32</v>
      </c>
      <c r="AL71" s="1672">
        <v>127</v>
      </c>
      <c r="AM71" s="1041">
        <v>32</v>
      </c>
      <c r="AN71" s="1042"/>
      <c r="AO71" s="1042">
        <v>7</v>
      </c>
      <c r="AP71" s="1045">
        <v>39</v>
      </c>
      <c r="AQ71" s="1041">
        <f>AQ59+AQ63+AQ67</f>
        <v>69</v>
      </c>
      <c r="AR71" s="1042"/>
      <c r="AS71" s="1042">
        <f t="shared" si="79"/>
        <v>22</v>
      </c>
      <c r="AT71" s="1045">
        <f t="shared" si="79"/>
        <v>91</v>
      </c>
      <c r="AU71" s="1041">
        <f>AU59+AU63+AU67</f>
        <v>17</v>
      </c>
      <c r="AV71" s="1042"/>
      <c r="AW71" s="1042">
        <f t="shared" si="80"/>
        <v>19</v>
      </c>
      <c r="AX71" s="1045">
        <f t="shared" si="80"/>
        <v>36</v>
      </c>
      <c r="AY71" s="1041">
        <f>SUM(AY59,AY63,AY67)</f>
        <v>66</v>
      </c>
      <c r="AZ71" s="1042">
        <f t="shared" si="81"/>
        <v>0</v>
      </c>
      <c r="BA71" s="1042">
        <f t="shared" si="81"/>
        <v>30</v>
      </c>
      <c r="BB71" s="1045">
        <f t="shared" si="81"/>
        <v>96</v>
      </c>
      <c r="BC71" s="1041">
        <f t="shared" si="81"/>
        <v>19</v>
      </c>
      <c r="BD71" s="1042"/>
      <c r="BE71" s="1042">
        <f t="shared" si="81"/>
        <v>18</v>
      </c>
      <c r="BF71" s="1045">
        <f t="shared" si="81"/>
        <v>37</v>
      </c>
      <c r="BG71" s="1041">
        <f>SUM(BG59,BG63,BG67)</f>
        <v>77</v>
      </c>
      <c r="BH71" s="1042"/>
      <c r="BI71" s="1042">
        <f>SUM(BI59,BI63,BI67)</f>
        <v>24</v>
      </c>
      <c r="BJ71" s="1045">
        <f>SUM(BJ59,BJ63,BJ67)</f>
        <v>101</v>
      </c>
      <c r="BK71" s="1041">
        <f>SUM(BK59,BK63,BK67)</f>
        <v>18</v>
      </c>
      <c r="BL71" s="1042"/>
      <c r="BM71" s="1042">
        <f t="shared" ref="BM71:BR71" si="86">SUM(BM59,BM63,BM67)</f>
        <v>23</v>
      </c>
      <c r="BN71" s="1045">
        <f t="shared" si="86"/>
        <v>41</v>
      </c>
      <c r="BO71" s="1041">
        <f t="shared" si="86"/>
        <v>71</v>
      </c>
      <c r="BP71" s="1042">
        <f t="shared" si="86"/>
        <v>1</v>
      </c>
      <c r="BQ71" s="1042">
        <f t="shared" si="86"/>
        <v>31</v>
      </c>
      <c r="BR71" s="1045">
        <f t="shared" si="86"/>
        <v>103</v>
      </c>
      <c r="BS71" s="1041">
        <f t="shared" ref="BS71:BZ71" si="87">SUM(BS59,BS63,BS67)</f>
        <v>25</v>
      </c>
      <c r="BT71" s="1042">
        <f t="shared" si="87"/>
        <v>0</v>
      </c>
      <c r="BU71" s="1042">
        <f t="shared" si="87"/>
        <v>22</v>
      </c>
      <c r="BV71" s="1045">
        <f t="shared" si="87"/>
        <v>47</v>
      </c>
      <c r="BW71" s="1041">
        <f t="shared" si="87"/>
        <v>80</v>
      </c>
      <c r="BX71" s="1042">
        <f t="shared" si="87"/>
        <v>0</v>
      </c>
      <c r="BY71" s="1042">
        <f t="shared" si="87"/>
        <v>42</v>
      </c>
      <c r="BZ71" s="1045">
        <f t="shared" si="87"/>
        <v>122</v>
      </c>
    </row>
    <row r="72" spans="1:78" s="222" customFormat="1" ht="15" x14ac:dyDescent="0.2">
      <c r="A72" s="6227"/>
      <c r="B72" s="2418" t="s">
        <v>12</v>
      </c>
      <c r="C72" s="2422">
        <f>SUM(C69:C71)</f>
        <v>96</v>
      </c>
      <c r="D72" s="2423">
        <f>SUM(D69:D71)</f>
        <v>15</v>
      </c>
      <c r="E72" s="2423">
        <f>SUM(E69:E71)</f>
        <v>54</v>
      </c>
      <c r="F72" s="2424">
        <f t="shared" si="36"/>
        <v>165</v>
      </c>
      <c r="G72" s="2422">
        <f>SUM(G69:G71)</f>
        <v>127</v>
      </c>
      <c r="H72" s="2423">
        <f>SUM(H69:H71)</f>
        <v>85</v>
      </c>
      <c r="I72" s="2423">
        <f>SUM(I69:I71)</f>
        <v>125</v>
      </c>
      <c r="J72" s="2424">
        <f t="shared" si="65"/>
        <v>337</v>
      </c>
      <c r="K72" s="2422">
        <f>SUM(K69:K71)</f>
        <v>127</v>
      </c>
      <c r="L72" s="2423">
        <f>SUM(L69:L71)</f>
        <v>30</v>
      </c>
      <c r="M72" s="2423">
        <f>SUM(M69:M71)</f>
        <v>102</v>
      </c>
      <c r="N72" s="2424">
        <f t="shared" si="66"/>
        <v>259</v>
      </c>
      <c r="O72" s="2422">
        <f>SUM(O69:O71)</f>
        <v>90</v>
      </c>
      <c r="P72" s="2423">
        <f>SUM(P69:P71)</f>
        <v>70</v>
      </c>
      <c r="Q72" s="2423">
        <f>SUM(Q69:Q71)</f>
        <v>169</v>
      </c>
      <c r="R72" s="2424">
        <f t="shared" si="67"/>
        <v>329</v>
      </c>
      <c r="S72" s="2422">
        <f>SUM(S69:S71)</f>
        <v>90</v>
      </c>
      <c r="T72" s="2423">
        <f>SUM(T69:T71)</f>
        <v>24</v>
      </c>
      <c r="U72" s="2423">
        <f>SUM(U69:U71)</f>
        <v>116</v>
      </c>
      <c r="V72" s="2424">
        <f>SUM(V69:V71)</f>
        <v>230</v>
      </c>
      <c r="W72" s="2422">
        <f t="shared" ref="W72:AL72" si="88">SUM(W69:W71)</f>
        <v>40</v>
      </c>
      <c r="X72" s="2423"/>
      <c r="Y72" s="2423">
        <f t="shared" si="88"/>
        <v>179</v>
      </c>
      <c r="Z72" s="2423">
        <f t="shared" si="88"/>
        <v>219</v>
      </c>
      <c r="AA72" s="2422">
        <f t="shared" si="88"/>
        <v>69</v>
      </c>
      <c r="AB72" s="2423">
        <f t="shared" si="88"/>
        <v>4</v>
      </c>
      <c r="AC72" s="2423">
        <f t="shared" si="88"/>
        <v>136</v>
      </c>
      <c r="AD72" s="2424">
        <f t="shared" si="88"/>
        <v>209</v>
      </c>
      <c r="AE72" s="2423">
        <f t="shared" si="88"/>
        <v>52</v>
      </c>
      <c r="AF72" s="2423">
        <f t="shared" si="88"/>
        <v>4</v>
      </c>
      <c r="AG72" s="2423">
        <f t="shared" si="88"/>
        <v>205</v>
      </c>
      <c r="AH72" s="2424">
        <f t="shared" si="88"/>
        <v>261</v>
      </c>
      <c r="AI72" s="2423">
        <f t="shared" si="88"/>
        <v>95</v>
      </c>
      <c r="AJ72" s="2423">
        <f t="shared" si="88"/>
        <v>19</v>
      </c>
      <c r="AK72" s="2423">
        <f t="shared" si="88"/>
        <v>165</v>
      </c>
      <c r="AL72" s="2424">
        <f t="shared" si="88"/>
        <v>279</v>
      </c>
      <c r="AM72" s="2419">
        <v>50</v>
      </c>
      <c r="AN72" s="2420">
        <v>14</v>
      </c>
      <c r="AO72" s="2420">
        <v>204</v>
      </c>
      <c r="AP72" s="2421">
        <v>268</v>
      </c>
      <c r="AQ72" s="2419">
        <f>AQ60+AQ64+AQ68</f>
        <v>87</v>
      </c>
      <c r="AR72" s="2420">
        <f>AR60+AR64+AR68</f>
        <v>23</v>
      </c>
      <c r="AS72" s="2420">
        <f t="shared" si="79"/>
        <v>170</v>
      </c>
      <c r="AT72" s="2421">
        <f t="shared" si="79"/>
        <v>280</v>
      </c>
      <c r="AU72" s="2419">
        <f>AU60+AU64+AU68</f>
        <v>35</v>
      </c>
      <c r="AV72" s="2420">
        <f>AV60+AV64+AV68</f>
        <v>5</v>
      </c>
      <c r="AW72" s="2420">
        <f t="shared" si="80"/>
        <v>201</v>
      </c>
      <c r="AX72" s="2421">
        <f t="shared" si="80"/>
        <v>241</v>
      </c>
      <c r="AY72" s="2419">
        <f>SUM(AY69:AY71)</f>
        <v>80</v>
      </c>
      <c r="AZ72" s="2420">
        <f>SUM(AZ69:AZ71)</f>
        <v>54</v>
      </c>
      <c r="BA72" s="2420">
        <f>SUM(BA69:BA71)</f>
        <v>166</v>
      </c>
      <c r="BB72" s="2421">
        <f>BB60+BB64+BB68</f>
        <v>300</v>
      </c>
      <c r="BC72" s="2419">
        <f>SUM(BC69:BC71)</f>
        <v>54</v>
      </c>
      <c r="BD72" s="2420">
        <f>SUM(BD69:BD71)</f>
        <v>18</v>
      </c>
      <c r="BE72" s="2420">
        <f>SUM(BE69:BE71)</f>
        <v>215</v>
      </c>
      <c r="BF72" s="2421">
        <f>BF60+BF64+BF68</f>
        <v>287</v>
      </c>
      <c r="BG72" s="2419">
        <f>SUM(BG69:BG71)</f>
        <v>94</v>
      </c>
      <c r="BH72" s="2420">
        <f>SUM(BH69:BH71)</f>
        <v>75</v>
      </c>
      <c r="BI72" s="2420">
        <f>SUM(BI69:BI71)</f>
        <v>125</v>
      </c>
      <c r="BJ72" s="2421">
        <f>BJ60+BJ64+BJ68</f>
        <v>294</v>
      </c>
      <c r="BK72" s="2419">
        <f>SUM(BK69:BK71)</f>
        <v>45</v>
      </c>
      <c r="BL72" s="2420">
        <f>SUM(BL69:BL71)</f>
        <v>29</v>
      </c>
      <c r="BM72" s="2420">
        <f>SUM(BM69:BM71)</f>
        <v>233</v>
      </c>
      <c r="BN72" s="2421">
        <f>BN60+BN64+BN68</f>
        <v>307</v>
      </c>
      <c r="BO72" s="2419">
        <f>SUM(BO69:BO71)</f>
        <v>102</v>
      </c>
      <c r="BP72" s="2420">
        <f>SUM(BP69:BP71)</f>
        <v>76</v>
      </c>
      <c r="BQ72" s="2420">
        <f>SUM(BQ69:BQ71)</f>
        <v>137</v>
      </c>
      <c r="BR72" s="2421">
        <f>BR60+BR64+BR68</f>
        <v>315</v>
      </c>
      <c r="BS72" s="2419">
        <f>SUM(BS69:BS71)</f>
        <v>55</v>
      </c>
      <c r="BT72" s="2420">
        <f>SUM(BT69:BT71)</f>
        <v>28</v>
      </c>
      <c r="BU72" s="2420">
        <f>SUM(BU69:BU71)</f>
        <v>207</v>
      </c>
      <c r="BV72" s="2421">
        <f>BV60+BV64+BV68</f>
        <v>290</v>
      </c>
      <c r="BW72" s="2419">
        <f>SUM(BW69:BW71)</f>
        <v>121</v>
      </c>
      <c r="BX72" s="2420">
        <f>SUM(BX69:BX71)</f>
        <v>66</v>
      </c>
      <c r="BY72" s="2420">
        <f>SUM(BY69:BY71)</f>
        <v>145</v>
      </c>
      <c r="BZ72" s="2421">
        <f>BZ60+BZ64+BZ68</f>
        <v>332</v>
      </c>
    </row>
    <row r="73" spans="1:78" s="222" customFormat="1" ht="15" x14ac:dyDescent="0.2">
      <c r="A73" s="904"/>
      <c r="B73" s="904"/>
      <c r="C73" s="904"/>
      <c r="D73" s="904"/>
      <c r="E73" s="904"/>
      <c r="F73" s="904"/>
      <c r="G73" s="904"/>
      <c r="H73" s="904"/>
      <c r="I73" s="904"/>
      <c r="J73" s="904"/>
      <c r="K73" s="904"/>
      <c r="L73" s="904"/>
      <c r="M73" s="904"/>
      <c r="N73" s="904"/>
      <c r="O73" s="904"/>
      <c r="P73" s="904"/>
      <c r="Q73" s="904"/>
      <c r="R73" s="904"/>
      <c r="S73" s="904"/>
      <c r="T73" s="904"/>
      <c r="U73" s="904"/>
      <c r="V73" s="904"/>
      <c r="W73" s="904"/>
      <c r="X73" s="904"/>
      <c r="Y73" s="904"/>
      <c r="Z73" s="904"/>
      <c r="AA73" s="904"/>
      <c r="AB73" s="904"/>
      <c r="AC73" s="904"/>
      <c r="AD73" s="904"/>
      <c r="AE73" s="904"/>
      <c r="AF73" s="904"/>
      <c r="AG73" s="904"/>
      <c r="AH73" s="904"/>
      <c r="AI73" s="904"/>
      <c r="AJ73" s="904"/>
      <c r="AK73" s="904"/>
      <c r="AL73" s="904"/>
      <c r="AM73" s="904"/>
      <c r="AN73" s="904"/>
      <c r="AO73" s="904"/>
      <c r="AP73" s="904"/>
      <c r="AQ73" s="904"/>
      <c r="AR73" s="904"/>
      <c r="AS73" s="904"/>
      <c r="AT73" s="904"/>
      <c r="AU73" s="904"/>
      <c r="AV73" s="904"/>
      <c r="AW73" s="904"/>
      <c r="AX73" s="904"/>
      <c r="AY73" s="904"/>
      <c r="AZ73" s="904"/>
      <c r="BA73" s="904"/>
      <c r="BB73" s="262"/>
      <c r="BC73" s="904"/>
      <c r="BD73" s="904"/>
      <c r="BE73" s="904"/>
      <c r="BF73" s="262"/>
      <c r="BG73" s="904"/>
      <c r="BH73" s="904"/>
      <c r="BI73" s="904"/>
      <c r="BJ73" s="262"/>
      <c r="BK73" s="904"/>
      <c r="BL73" s="904"/>
      <c r="BM73" s="904"/>
      <c r="BN73" s="262"/>
      <c r="BO73" s="904"/>
      <c r="BP73" s="904"/>
      <c r="BQ73" s="904"/>
      <c r="BR73" s="262"/>
      <c r="BS73" s="904"/>
      <c r="BT73" s="904"/>
      <c r="BU73" s="904"/>
      <c r="BV73" s="262"/>
      <c r="BW73" s="904"/>
      <c r="BX73" s="904"/>
      <c r="BY73" s="904"/>
      <c r="BZ73" s="262"/>
    </row>
    <row r="74" spans="1:78" ht="15" x14ac:dyDescent="0.2">
      <c r="A74" s="6214" t="s">
        <v>573</v>
      </c>
      <c r="B74" s="1029" t="s">
        <v>615</v>
      </c>
      <c r="C74" s="1274">
        <f>+C18+C52+C69</f>
        <v>71</v>
      </c>
      <c r="D74" s="1275">
        <f t="shared" ref="D74:E76" si="89">+D18+D52+D69</f>
        <v>0</v>
      </c>
      <c r="E74" s="1275">
        <f t="shared" si="89"/>
        <v>94</v>
      </c>
      <c r="F74" s="1276">
        <f t="shared" si="36"/>
        <v>165</v>
      </c>
      <c r="G74" s="1274">
        <f t="shared" ref="G74:I76" si="90">+G18+G52+G69</f>
        <v>103</v>
      </c>
      <c r="H74" s="1275">
        <f t="shared" si="90"/>
        <v>0</v>
      </c>
      <c r="I74" s="1275">
        <f t="shared" si="90"/>
        <v>131</v>
      </c>
      <c r="J74" s="1276">
        <f>SUM(G74:I74)</f>
        <v>234</v>
      </c>
      <c r="K74" s="1274">
        <f t="shared" ref="K74:M76" si="91">+K18+K52+K69</f>
        <v>19</v>
      </c>
      <c r="L74" s="1275">
        <f t="shared" si="91"/>
        <v>7</v>
      </c>
      <c r="M74" s="1275">
        <f t="shared" si="91"/>
        <v>168</v>
      </c>
      <c r="N74" s="1276">
        <f t="shared" si="66"/>
        <v>194</v>
      </c>
      <c r="O74" s="1274">
        <f t="shared" ref="O74:Q76" si="92">+O18+O52+O69</f>
        <v>20</v>
      </c>
      <c r="P74" s="1275">
        <f t="shared" si="92"/>
        <v>3</v>
      </c>
      <c r="Q74" s="1275">
        <f t="shared" si="92"/>
        <v>143</v>
      </c>
      <c r="R74" s="1276">
        <f t="shared" si="67"/>
        <v>166</v>
      </c>
      <c r="S74" s="1274">
        <f t="shared" ref="S74:AL76" si="93">S18+S52+S69</f>
        <v>13</v>
      </c>
      <c r="T74" s="1275">
        <f t="shared" si="93"/>
        <v>2</v>
      </c>
      <c r="U74" s="1275">
        <f t="shared" si="93"/>
        <v>98</v>
      </c>
      <c r="V74" s="1276">
        <f t="shared" si="93"/>
        <v>113</v>
      </c>
      <c r="W74" s="1274">
        <f t="shared" si="93"/>
        <v>10</v>
      </c>
      <c r="X74" s="1275">
        <f t="shared" si="93"/>
        <v>2</v>
      </c>
      <c r="Y74" s="1275">
        <f t="shared" si="93"/>
        <v>155</v>
      </c>
      <c r="Z74" s="1277">
        <f t="shared" si="93"/>
        <v>167</v>
      </c>
      <c r="AA74" s="1274">
        <f t="shared" si="93"/>
        <v>1</v>
      </c>
      <c r="AB74" s="1275">
        <f t="shared" si="93"/>
        <v>4</v>
      </c>
      <c r="AC74" s="1275">
        <f t="shared" si="93"/>
        <v>59</v>
      </c>
      <c r="AD74" s="1276">
        <f t="shared" si="93"/>
        <v>64</v>
      </c>
      <c r="AE74" s="1275">
        <f t="shared" si="93"/>
        <v>109</v>
      </c>
      <c r="AF74" s="1275">
        <f t="shared" si="93"/>
        <v>7</v>
      </c>
      <c r="AG74" s="1275">
        <f t="shared" si="93"/>
        <v>68</v>
      </c>
      <c r="AH74" s="1276">
        <f t="shared" si="93"/>
        <v>184</v>
      </c>
      <c r="AI74" s="1275">
        <f t="shared" si="93"/>
        <v>104</v>
      </c>
      <c r="AJ74" s="1275">
        <f t="shared" si="93"/>
        <v>19</v>
      </c>
      <c r="AK74" s="1275">
        <f t="shared" si="93"/>
        <v>131</v>
      </c>
      <c r="AL74" s="1670">
        <f t="shared" si="93"/>
        <v>254</v>
      </c>
      <c r="AM74" s="1030">
        <v>114</v>
      </c>
      <c r="AN74" s="1031">
        <v>7</v>
      </c>
      <c r="AO74" s="1031">
        <v>110</v>
      </c>
      <c r="AP74" s="1048">
        <v>231</v>
      </c>
      <c r="AQ74" s="1030">
        <f t="shared" ref="AQ74:AX77" si="94">AQ18+AQ52+AQ69</f>
        <v>12</v>
      </c>
      <c r="AR74" s="1031">
        <f t="shared" si="94"/>
        <v>105</v>
      </c>
      <c r="AS74" s="1031">
        <f t="shared" si="94"/>
        <v>104</v>
      </c>
      <c r="AT74" s="1048">
        <f t="shared" si="94"/>
        <v>221</v>
      </c>
      <c r="AU74" s="1030">
        <f t="shared" si="94"/>
        <v>6</v>
      </c>
      <c r="AV74" s="1031">
        <f t="shared" si="94"/>
        <v>6</v>
      </c>
      <c r="AW74" s="1031">
        <f t="shared" si="94"/>
        <v>248</v>
      </c>
      <c r="AX74" s="1048">
        <f t="shared" si="94"/>
        <v>260</v>
      </c>
      <c r="AY74" s="1030">
        <f t="shared" ref="AY74:BB76" si="95">SUM(AY18,AY52,AY69,AY23)</f>
        <v>19</v>
      </c>
      <c r="AZ74" s="1031">
        <f t="shared" si="95"/>
        <v>5</v>
      </c>
      <c r="BA74" s="1031">
        <f t="shared" si="95"/>
        <v>175</v>
      </c>
      <c r="BB74" s="1048">
        <f t="shared" si="95"/>
        <v>199</v>
      </c>
      <c r="BC74" s="1030">
        <f t="shared" ref="BC74:BE76" si="96">SUM(BC18,BC35,BC52,BC69)</f>
        <v>9</v>
      </c>
      <c r="BD74" s="1031">
        <f t="shared" si="96"/>
        <v>14</v>
      </c>
      <c r="BE74" s="1031">
        <f t="shared" si="96"/>
        <v>106</v>
      </c>
      <c r="BF74" s="1048">
        <f>SUM(BC74:BE74)</f>
        <v>129</v>
      </c>
      <c r="BG74" s="1030">
        <f t="shared" ref="BG74:BH76" si="97">SUM(BG18,BG35,BG52,BG69)</f>
        <v>17</v>
      </c>
      <c r="BH74" s="1031">
        <f t="shared" si="97"/>
        <v>6</v>
      </c>
      <c r="BI74" s="1031">
        <f>SUM(BI18,BI35,BI52,BI69)</f>
        <v>112</v>
      </c>
      <c r="BJ74" s="1048">
        <f>SUM(BG74:BI74)</f>
        <v>135</v>
      </c>
      <c r="BK74" s="1030">
        <f t="shared" ref="BK74:BM76" si="98">SUM(BK18,BK35,BK52,BK69)</f>
        <v>7</v>
      </c>
      <c r="BL74" s="1031">
        <f t="shared" si="98"/>
        <v>6</v>
      </c>
      <c r="BM74" s="1031">
        <f t="shared" si="98"/>
        <v>109</v>
      </c>
      <c r="BN74" s="1048">
        <f>SUM(BK74:BM74)</f>
        <v>122</v>
      </c>
      <c r="BO74" s="1030">
        <f t="shared" ref="BO74:BQ76" si="99">SUM(BO18,BO35,BO52,BO69)</f>
        <v>41</v>
      </c>
      <c r="BP74" s="1031">
        <f t="shared" si="99"/>
        <v>8</v>
      </c>
      <c r="BQ74" s="1031">
        <f t="shared" si="99"/>
        <v>64</v>
      </c>
      <c r="BR74" s="1048">
        <f>SUM(BO74:BQ74)</f>
        <v>113</v>
      </c>
      <c r="BS74" s="1030">
        <f t="shared" ref="BS74:BU76" si="100">SUM(BS18,BS35,BS52,BS69)</f>
        <v>6</v>
      </c>
      <c r="BT74" s="1031">
        <f t="shared" si="100"/>
        <v>5</v>
      </c>
      <c r="BU74" s="1031">
        <f t="shared" si="100"/>
        <v>54</v>
      </c>
      <c r="BV74" s="1048">
        <f>SUM(BS74:BU74)</f>
        <v>65</v>
      </c>
      <c r="BW74" s="1030">
        <f t="shared" ref="BW74:BY76" si="101">SUM(BW18,BW35,BW52,BW69)</f>
        <v>2</v>
      </c>
      <c r="BX74" s="1031">
        <f t="shared" si="101"/>
        <v>69</v>
      </c>
      <c r="BY74" s="1031">
        <f t="shared" si="101"/>
        <v>70</v>
      </c>
      <c r="BZ74" s="1048">
        <f>SUM(BW74:BY74)</f>
        <v>141</v>
      </c>
    </row>
    <row r="75" spans="1:78" ht="15" x14ac:dyDescent="0.2">
      <c r="A75" s="6215"/>
      <c r="B75" s="1034" t="s">
        <v>616</v>
      </c>
      <c r="C75" s="1278">
        <f>+C19+C53+C70</f>
        <v>108</v>
      </c>
      <c r="D75" s="1279">
        <f t="shared" si="89"/>
        <v>38</v>
      </c>
      <c r="E75" s="1279">
        <f t="shared" si="89"/>
        <v>223</v>
      </c>
      <c r="F75" s="1280">
        <f t="shared" si="36"/>
        <v>369</v>
      </c>
      <c r="G75" s="1278">
        <f t="shared" si="90"/>
        <v>221</v>
      </c>
      <c r="H75" s="1279">
        <f t="shared" si="90"/>
        <v>93</v>
      </c>
      <c r="I75" s="1279">
        <f t="shared" si="90"/>
        <v>346</v>
      </c>
      <c r="J75" s="1280">
        <f>SUM(G75:I75)</f>
        <v>660</v>
      </c>
      <c r="K75" s="1278">
        <f t="shared" si="91"/>
        <v>124</v>
      </c>
      <c r="L75" s="1279">
        <f t="shared" si="91"/>
        <v>72</v>
      </c>
      <c r="M75" s="1279">
        <f t="shared" si="91"/>
        <v>229</v>
      </c>
      <c r="N75" s="1280">
        <f t="shared" si="66"/>
        <v>425</v>
      </c>
      <c r="O75" s="1278">
        <f t="shared" si="92"/>
        <v>109</v>
      </c>
      <c r="P75" s="1279">
        <f t="shared" si="92"/>
        <v>70</v>
      </c>
      <c r="Q75" s="1279">
        <f t="shared" si="92"/>
        <v>487</v>
      </c>
      <c r="R75" s="1280">
        <f t="shared" si="67"/>
        <v>666</v>
      </c>
      <c r="S75" s="1278">
        <f t="shared" si="93"/>
        <v>43</v>
      </c>
      <c r="T75" s="1279">
        <f t="shared" si="93"/>
        <v>33</v>
      </c>
      <c r="U75" s="1279">
        <f t="shared" si="93"/>
        <v>194</v>
      </c>
      <c r="V75" s="1280">
        <f t="shared" si="93"/>
        <v>270</v>
      </c>
      <c r="W75" s="1278">
        <f t="shared" si="93"/>
        <v>61</v>
      </c>
      <c r="X75" s="1279">
        <f t="shared" si="93"/>
        <v>13</v>
      </c>
      <c r="Y75" s="1279">
        <f t="shared" si="93"/>
        <v>272</v>
      </c>
      <c r="Z75" s="1281">
        <f t="shared" si="93"/>
        <v>346</v>
      </c>
      <c r="AA75" s="1278">
        <f t="shared" si="93"/>
        <v>114</v>
      </c>
      <c r="AB75" s="1279">
        <f t="shared" si="93"/>
        <v>17</v>
      </c>
      <c r="AC75" s="1279">
        <f t="shared" si="93"/>
        <v>277</v>
      </c>
      <c r="AD75" s="1280">
        <f t="shared" si="93"/>
        <v>408</v>
      </c>
      <c r="AE75" s="1279">
        <f t="shared" si="93"/>
        <v>59</v>
      </c>
      <c r="AF75" s="1279">
        <f t="shared" si="93"/>
        <v>16</v>
      </c>
      <c r="AG75" s="1279">
        <f t="shared" si="93"/>
        <v>328</v>
      </c>
      <c r="AH75" s="1280">
        <f t="shared" si="93"/>
        <v>403</v>
      </c>
      <c r="AI75" s="1279">
        <f t="shared" si="93"/>
        <v>102</v>
      </c>
      <c r="AJ75" s="1279">
        <f t="shared" si="93"/>
        <v>22</v>
      </c>
      <c r="AK75" s="1279">
        <f t="shared" si="93"/>
        <v>269</v>
      </c>
      <c r="AL75" s="1671">
        <f t="shared" si="93"/>
        <v>393</v>
      </c>
      <c r="AM75" s="1035">
        <v>61</v>
      </c>
      <c r="AN75" s="1036">
        <v>22</v>
      </c>
      <c r="AO75" s="1036">
        <v>449</v>
      </c>
      <c r="AP75" s="1039">
        <v>532</v>
      </c>
      <c r="AQ75" s="1035">
        <f t="shared" si="94"/>
        <v>40</v>
      </c>
      <c r="AR75" s="1036">
        <f t="shared" si="94"/>
        <v>27</v>
      </c>
      <c r="AS75" s="1036">
        <f t="shared" si="94"/>
        <v>385</v>
      </c>
      <c r="AT75" s="1039">
        <f t="shared" si="94"/>
        <v>452</v>
      </c>
      <c r="AU75" s="1035">
        <f t="shared" si="94"/>
        <v>62</v>
      </c>
      <c r="AV75" s="1036">
        <f t="shared" si="94"/>
        <v>12</v>
      </c>
      <c r="AW75" s="1036">
        <f t="shared" si="94"/>
        <v>395</v>
      </c>
      <c r="AX75" s="1039">
        <f t="shared" si="94"/>
        <v>469</v>
      </c>
      <c r="AY75" s="1035">
        <f t="shared" si="95"/>
        <v>57</v>
      </c>
      <c r="AZ75" s="1036">
        <f t="shared" si="95"/>
        <v>70</v>
      </c>
      <c r="BA75" s="1036">
        <f t="shared" si="95"/>
        <v>359</v>
      </c>
      <c r="BB75" s="1039">
        <f t="shared" si="95"/>
        <v>486</v>
      </c>
      <c r="BC75" s="1035">
        <f t="shared" si="96"/>
        <v>109</v>
      </c>
      <c r="BD75" s="1036">
        <f t="shared" si="96"/>
        <v>33</v>
      </c>
      <c r="BE75" s="1036">
        <f t="shared" si="96"/>
        <v>494</v>
      </c>
      <c r="BF75" s="1039">
        <f>SUM(BC75:BE75)</f>
        <v>636</v>
      </c>
      <c r="BG75" s="1035">
        <f t="shared" si="97"/>
        <v>106</v>
      </c>
      <c r="BH75" s="1036">
        <f t="shared" si="97"/>
        <v>80</v>
      </c>
      <c r="BI75" s="1036">
        <f>SUM(BI19,BI36,BI53,BI70)</f>
        <v>385</v>
      </c>
      <c r="BJ75" s="1039">
        <f>SUM(BG75:BI75)</f>
        <v>571</v>
      </c>
      <c r="BK75" s="1035">
        <f t="shared" si="98"/>
        <v>111</v>
      </c>
      <c r="BL75" s="1036">
        <f t="shared" si="98"/>
        <v>49</v>
      </c>
      <c r="BM75" s="1036">
        <f t="shared" si="98"/>
        <v>549</v>
      </c>
      <c r="BN75" s="1039">
        <f>SUM(BK75:BM75)</f>
        <v>709</v>
      </c>
      <c r="BO75" s="1035">
        <f t="shared" si="99"/>
        <v>90</v>
      </c>
      <c r="BP75" s="1036">
        <f t="shared" si="99"/>
        <v>126</v>
      </c>
      <c r="BQ75" s="1036">
        <f t="shared" si="99"/>
        <v>431</v>
      </c>
      <c r="BR75" s="1039">
        <f>SUM(BO75:BQ75)</f>
        <v>647</v>
      </c>
      <c r="BS75" s="1035">
        <f t="shared" si="100"/>
        <v>109</v>
      </c>
      <c r="BT75" s="1036">
        <f t="shared" si="100"/>
        <v>39</v>
      </c>
      <c r="BU75" s="1036">
        <f t="shared" si="100"/>
        <v>499</v>
      </c>
      <c r="BV75" s="1039">
        <f>SUM(BS75:BU75)</f>
        <v>647</v>
      </c>
      <c r="BW75" s="1035">
        <f t="shared" si="101"/>
        <v>172</v>
      </c>
      <c r="BX75" s="1036">
        <f t="shared" si="101"/>
        <v>80</v>
      </c>
      <c r="BY75" s="1036">
        <f t="shared" si="101"/>
        <v>392</v>
      </c>
      <c r="BZ75" s="1039">
        <f>SUM(BW75:BY75)</f>
        <v>644</v>
      </c>
    </row>
    <row r="76" spans="1:78" ht="15" x14ac:dyDescent="0.2">
      <c r="A76" s="6215"/>
      <c r="B76" s="1040" t="s">
        <v>617</v>
      </c>
      <c r="C76" s="1289">
        <f>+C20+C54+C71</f>
        <v>77</v>
      </c>
      <c r="D76" s="1290">
        <f t="shared" si="89"/>
        <v>12</v>
      </c>
      <c r="E76" s="1290">
        <f t="shared" si="89"/>
        <v>92</v>
      </c>
      <c r="F76" s="1291">
        <f t="shared" si="36"/>
        <v>181</v>
      </c>
      <c r="G76" s="1289">
        <f t="shared" si="90"/>
        <v>51</v>
      </c>
      <c r="H76" s="1290">
        <f t="shared" si="90"/>
        <v>28</v>
      </c>
      <c r="I76" s="1290">
        <f t="shared" si="90"/>
        <v>140</v>
      </c>
      <c r="J76" s="1291">
        <f>SUM(G76:I76)</f>
        <v>219</v>
      </c>
      <c r="K76" s="1289">
        <f t="shared" si="91"/>
        <v>104</v>
      </c>
      <c r="L76" s="1290">
        <f t="shared" si="91"/>
        <v>16</v>
      </c>
      <c r="M76" s="1290">
        <f t="shared" si="91"/>
        <v>83</v>
      </c>
      <c r="N76" s="1291">
        <f t="shared" si="66"/>
        <v>203</v>
      </c>
      <c r="O76" s="1289">
        <f t="shared" si="92"/>
        <v>74</v>
      </c>
      <c r="P76" s="1290">
        <f t="shared" si="92"/>
        <v>30</v>
      </c>
      <c r="Q76" s="1290">
        <f t="shared" si="92"/>
        <v>161</v>
      </c>
      <c r="R76" s="1291">
        <f t="shared" si="67"/>
        <v>265</v>
      </c>
      <c r="S76" s="1289">
        <f t="shared" si="93"/>
        <v>91</v>
      </c>
      <c r="T76" s="1290">
        <f t="shared" si="93"/>
        <v>9</v>
      </c>
      <c r="U76" s="1290">
        <f t="shared" si="93"/>
        <v>98</v>
      </c>
      <c r="V76" s="1291">
        <f t="shared" si="93"/>
        <v>198</v>
      </c>
      <c r="W76" s="1289">
        <f t="shared" si="93"/>
        <v>42</v>
      </c>
      <c r="X76" s="1290">
        <f t="shared" si="93"/>
        <v>44</v>
      </c>
      <c r="Y76" s="1290">
        <f t="shared" si="93"/>
        <v>95</v>
      </c>
      <c r="Z76" s="1292">
        <f t="shared" si="93"/>
        <v>181</v>
      </c>
      <c r="AA76" s="1289">
        <f t="shared" si="93"/>
        <v>122</v>
      </c>
      <c r="AB76" s="1290">
        <f t="shared" si="93"/>
        <v>12</v>
      </c>
      <c r="AC76" s="1290">
        <f t="shared" si="93"/>
        <v>90</v>
      </c>
      <c r="AD76" s="1291">
        <f t="shared" si="93"/>
        <v>224</v>
      </c>
      <c r="AE76" s="1290">
        <f t="shared" si="93"/>
        <v>60</v>
      </c>
      <c r="AF76" s="1290">
        <f t="shared" si="93"/>
        <v>5</v>
      </c>
      <c r="AG76" s="1290">
        <f t="shared" si="93"/>
        <v>65</v>
      </c>
      <c r="AH76" s="1291">
        <f t="shared" si="93"/>
        <v>130</v>
      </c>
      <c r="AI76" s="1290">
        <f t="shared" si="93"/>
        <v>125</v>
      </c>
      <c r="AJ76" s="1290">
        <f t="shared" si="93"/>
        <v>17</v>
      </c>
      <c r="AK76" s="1290">
        <f t="shared" si="93"/>
        <v>107</v>
      </c>
      <c r="AL76" s="1672">
        <f t="shared" si="93"/>
        <v>249</v>
      </c>
      <c r="AM76" s="1041">
        <v>47</v>
      </c>
      <c r="AN76" s="1042">
        <v>4</v>
      </c>
      <c r="AO76" s="1042">
        <v>126</v>
      </c>
      <c r="AP76" s="1045">
        <v>177</v>
      </c>
      <c r="AQ76" s="1041">
        <f t="shared" si="94"/>
        <v>93</v>
      </c>
      <c r="AR76" s="1042">
        <f t="shared" si="94"/>
        <v>20</v>
      </c>
      <c r="AS76" s="1042">
        <f t="shared" si="94"/>
        <v>106</v>
      </c>
      <c r="AT76" s="1045">
        <f t="shared" si="94"/>
        <v>219</v>
      </c>
      <c r="AU76" s="1041">
        <f t="shared" si="94"/>
        <v>65</v>
      </c>
      <c r="AV76" s="1042">
        <f t="shared" si="94"/>
        <v>19</v>
      </c>
      <c r="AW76" s="1042">
        <f t="shared" si="94"/>
        <v>153</v>
      </c>
      <c r="AX76" s="1045">
        <f t="shared" si="94"/>
        <v>237</v>
      </c>
      <c r="AY76" s="1041">
        <f t="shared" si="95"/>
        <v>142</v>
      </c>
      <c r="AZ76" s="1042">
        <f t="shared" si="95"/>
        <v>11</v>
      </c>
      <c r="BA76" s="1042">
        <f t="shared" si="95"/>
        <v>152</v>
      </c>
      <c r="BB76" s="1045">
        <f t="shared" si="95"/>
        <v>305</v>
      </c>
      <c r="BC76" s="1041">
        <f t="shared" si="96"/>
        <v>83</v>
      </c>
      <c r="BD76" s="1042">
        <f t="shared" si="96"/>
        <v>14</v>
      </c>
      <c r="BE76" s="1042">
        <f t="shared" si="96"/>
        <v>186</v>
      </c>
      <c r="BF76" s="1045">
        <f>SUM(BC76:BE76)</f>
        <v>283</v>
      </c>
      <c r="BG76" s="1041">
        <f t="shared" si="97"/>
        <v>139</v>
      </c>
      <c r="BH76" s="1042">
        <f t="shared" si="97"/>
        <v>19</v>
      </c>
      <c r="BI76" s="1042">
        <f>SUM(BI20,BI37,BI54,BI71)</f>
        <v>124</v>
      </c>
      <c r="BJ76" s="1045">
        <f>SUM(BG76:BI76)</f>
        <v>282</v>
      </c>
      <c r="BK76" s="1041">
        <f t="shared" si="98"/>
        <v>77</v>
      </c>
      <c r="BL76" s="1042">
        <f t="shared" si="98"/>
        <v>17</v>
      </c>
      <c r="BM76" s="1042">
        <f t="shared" si="98"/>
        <v>243</v>
      </c>
      <c r="BN76" s="1045">
        <f>SUM(BK76:BM76)</f>
        <v>337</v>
      </c>
      <c r="BO76" s="1041">
        <f t="shared" si="99"/>
        <v>139</v>
      </c>
      <c r="BP76" s="1042">
        <f t="shared" si="99"/>
        <v>13</v>
      </c>
      <c r="BQ76" s="1042">
        <f t="shared" si="99"/>
        <v>160</v>
      </c>
      <c r="BR76" s="1045">
        <f>SUM(BO76:BQ76)</f>
        <v>312</v>
      </c>
      <c r="BS76" s="1041">
        <f t="shared" si="100"/>
        <v>86</v>
      </c>
      <c r="BT76" s="1042">
        <f t="shared" si="100"/>
        <v>10</v>
      </c>
      <c r="BU76" s="1042">
        <f t="shared" si="100"/>
        <v>182</v>
      </c>
      <c r="BV76" s="1045">
        <f>SUM(BS76:BU76)</f>
        <v>278</v>
      </c>
      <c r="BW76" s="1041">
        <f t="shared" si="101"/>
        <v>147</v>
      </c>
      <c r="BX76" s="1042">
        <f t="shared" si="101"/>
        <v>11</v>
      </c>
      <c r="BY76" s="1042">
        <f t="shared" si="101"/>
        <v>148</v>
      </c>
      <c r="BZ76" s="1045">
        <f>SUM(BW76:BY76)</f>
        <v>306</v>
      </c>
    </row>
    <row r="77" spans="1:78" s="222" customFormat="1" ht="15" x14ac:dyDescent="0.2">
      <c r="A77" s="6216"/>
      <c r="B77" s="564" t="s">
        <v>12</v>
      </c>
      <c r="C77" s="565">
        <f>SUM(C74:C76)</f>
        <v>256</v>
      </c>
      <c r="D77" s="566">
        <f>SUM(D74:D76)</f>
        <v>50</v>
      </c>
      <c r="E77" s="566">
        <f>SUM(E74:E76)</f>
        <v>409</v>
      </c>
      <c r="F77" s="567">
        <f t="shared" si="36"/>
        <v>715</v>
      </c>
      <c r="G77" s="565">
        <f>SUM(G74:G76)</f>
        <v>375</v>
      </c>
      <c r="H77" s="566">
        <f>SUM(H74:H76)</f>
        <v>121</v>
      </c>
      <c r="I77" s="566">
        <f>SUM(I74:I76)</f>
        <v>617</v>
      </c>
      <c r="J77" s="567">
        <f>SUM(G77:I77)</f>
        <v>1113</v>
      </c>
      <c r="K77" s="565">
        <f>SUM(K74:K76)</f>
        <v>247</v>
      </c>
      <c r="L77" s="566">
        <f>SUM(L74:L76)</f>
        <v>95</v>
      </c>
      <c r="M77" s="566">
        <f>SUM(M74:M76)</f>
        <v>480</v>
      </c>
      <c r="N77" s="567">
        <f t="shared" si="66"/>
        <v>822</v>
      </c>
      <c r="O77" s="565">
        <f>SUM(O74:O76)</f>
        <v>203</v>
      </c>
      <c r="P77" s="566">
        <f>SUM(P74:P76)</f>
        <v>103</v>
      </c>
      <c r="Q77" s="566">
        <f>SUM(Q74:Q76)</f>
        <v>791</v>
      </c>
      <c r="R77" s="567">
        <f t="shared" si="67"/>
        <v>1097</v>
      </c>
      <c r="S77" s="565">
        <f>SUM(S74:S76)</f>
        <v>147</v>
      </c>
      <c r="T77" s="566">
        <f>SUM(T74:T76)</f>
        <v>44</v>
      </c>
      <c r="U77" s="566">
        <f>SUM(U74:U76)</f>
        <v>390</v>
      </c>
      <c r="V77" s="567">
        <f>SUM(V74:V76)</f>
        <v>581</v>
      </c>
      <c r="W77" s="565">
        <f t="shared" ref="W77:AL77" si="102">SUM(W74:W76)</f>
        <v>113</v>
      </c>
      <c r="X77" s="566">
        <f t="shared" si="102"/>
        <v>59</v>
      </c>
      <c r="Y77" s="566">
        <f t="shared" si="102"/>
        <v>522</v>
      </c>
      <c r="Z77" s="566">
        <f t="shared" si="102"/>
        <v>694</v>
      </c>
      <c r="AA77" s="565">
        <f t="shared" si="102"/>
        <v>237</v>
      </c>
      <c r="AB77" s="566">
        <f t="shared" si="102"/>
        <v>33</v>
      </c>
      <c r="AC77" s="566">
        <f t="shared" si="102"/>
        <v>426</v>
      </c>
      <c r="AD77" s="567">
        <f t="shared" si="102"/>
        <v>696</v>
      </c>
      <c r="AE77" s="566">
        <f t="shared" si="102"/>
        <v>228</v>
      </c>
      <c r="AF77" s="566">
        <f t="shared" si="102"/>
        <v>28</v>
      </c>
      <c r="AG77" s="566">
        <f t="shared" si="102"/>
        <v>461</v>
      </c>
      <c r="AH77" s="567">
        <f t="shared" si="102"/>
        <v>717</v>
      </c>
      <c r="AI77" s="566">
        <f t="shared" si="102"/>
        <v>331</v>
      </c>
      <c r="AJ77" s="566">
        <f t="shared" si="102"/>
        <v>58</v>
      </c>
      <c r="AK77" s="566">
        <f t="shared" si="102"/>
        <v>507</v>
      </c>
      <c r="AL77" s="567">
        <f t="shared" si="102"/>
        <v>896</v>
      </c>
      <c r="AM77" s="565">
        <v>222</v>
      </c>
      <c r="AN77" s="566">
        <v>33</v>
      </c>
      <c r="AO77" s="566">
        <v>685</v>
      </c>
      <c r="AP77" s="567">
        <v>940</v>
      </c>
      <c r="AQ77" s="565">
        <f t="shared" si="94"/>
        <v>145</v>
      </c>
      <c r="AR77" s="566">
        <f t="shared" si="94"/>
        <v>152</v>
      </c>
      <c r="AS77" s="566">
        <f t="shared" si="94"/>
        <v>595</v>
      </c>
      <c r="AT77" s="567">
        <f t="shared" si="94"/>
        <v>892</v>
      </c>
      <c r="AU77" s="565">
        <f t="shared" si="94"/>
        <v>133</v>
      </c>
      <c r="AV77" s="566">
        <f t="shared" si="94"/>
        <v>37</v>
      </c>
      <c r="AW77" s="566">
        <f t="shared" si="94"/>
        <v>796</v>
      </c>
      <c r="AX77" s="567">
        <f t="shared" si="94"/>
        <v>966</v>
      </c>
      <c r="AY77" s="565">
        <f t="shared" ref="AY77:BF77" si="103">SUM(AY74:AY76)</f>
        <v>218</v>
      </c>
      <c r="AZ77" s="566">
        <f t="shared" si="103"/>
        <v>86</v>
      </c>
      <c r="BA77" s="566">
        <f t="shared" si="103"/>
        <v>686</v>
      </c>
      <c r="BB77" s="567">
        <f t="shared" si="103"/>
        <v>990</v>
      </c>
      <c r="BC77" s="565">
        <f t="shared" si="103"/>
        <v>201</v>
      </c>
      <c r="BD77" s="566">
        <f t="shared" si="103"/>
        <v>61</v>
      </c>
      <c r="BE77" s="566">
        <f t="shared" si="103"/>
        <v>786</v>
      </c>
      <c r="BF77" s="567">
        <f t="shared" si="103"/>
        <v>1048</v>
      </c>
      <c r="BG77" s="565">
        <f t="shared" ref="BG77:BN77" si="104">SUM(BG74:BG76)</f>
        <v>262</v>
      </c>
      <c r="BH77" s="566">
        <f t="shared" si="104"/>
        <v>105</v>
      </c>
      <c r="BI77" s="566">
        <f t="shared" si="104"/>
        <v>621</v>
      </c>
      <c r="BJ77" s="567">
        <f t="shared" si="104"/>
        <v>988</v>
      </c>
      <c r="BK77" s="565">
        <f t="shared" si="104"/>
        <v>195</v>
      </c>
      <c r="BL77" s="566">
        <f t="shared" si="104"/>
        <v>72</v>
      </c>
      <c r="BM77" s="566">
        <f t="shared" si="104"/>
        <v>901</v>
      </c>
      <c r="BN77" s="567">
        <f t="shared" si="104"/>
        <v>1168</v>
      </c>
      <c r="BO77" s="565">
        <f t="shared" ref="BO77:BZ77" si="105">SUM(BO74:BO76)</f>
        <v>270</v>
      </c>
      <c r="BP77" s="566">
        <f t="shared" si="105"/>
        <v>147</v>
      </c>
      <c r="BQ77" s="566">
        <f t="shared" si="105"/>
        <v>655</v>
      </c>
      <c r="BR77" s="567">
        <f t="shared" si="105"/>
        <v>1072</v>
      </c>
      <c r="BS77" s="565">
        <f t="shared" si="105"/>
        <v>201</v>
      </c>
      <c r="BT77" s="566">
        <f t="shared" si="105"/>
        <v>54</v>
      </c>
      <c r="BU77" s="566">
        <f t="shared" si="105"/>
        <v>735</v>
      </c>
      <c r="BV77" s="567">
        <f t="shared" si="105"/>
        <v>990</v>
      </c>
      <c r="BW77" s="565">
        <f t="shared" si="105"/>
        <v>321</v>
      </c>
      <c r="BX77" s="566">
        <f t="shared" si="105"/>
        <v>160</v>
      </c>
      <c r="BY77" s="566">
        <f t="shared" si="105"/>
        <v>610</v>
      </c>
      <c r="BZ77" s="567">
        <f t="shared" si="105"/>
        <v>1091</v>
      </c>
    </row>
    <row r="78" spans="1:78" x14ac:dyDescent="0.2">
      <c r="S78" s="1011"/>
      <c r="T78" s="1011"/>
      <c r="U78" s="1011"/>
      <c r="V78" s="1011"/>
      <c r="AY78" s="211"/>
      <c r="BH78" s="211"/>
    </row>
    <row r="79" spans="1:78" x14ac:dyDescent="0.2">
      <c r="A79" s="6272" t="s">
        <v>1571</v>
      </c>
      <c r="B79" s="6272"/>
      <c r="C79" s="6272"/>
      <c r="D79" s="6272"/>
      <c r="E79" s="6272"/>
      <c r="F79" s="6272"/>
      <c r="G79" s="6272"/>
      <c r="H79" s="6272"/>
      <c r="I79" s="6272"/>
      <c r="J79" s="6272"/>
      <c r="K79" s="6272"/>
      <c r="L79" s="6272"/>
      <c r="M79" s="6272"/>
      <c r="N79" s="6272"/>
      <c r="O79" s="6272"/>
      <c r="P79" s="6272"/>
      <c r="Q79" s="6272"/>
      <c r="R79" s="6272"/>
      <c r="S79" s="6272"/>
      <c r="W79" s="227"/>
      <c r="X79" s="227"/>
      <c r="Y79" s="227"/>
      <c r="Z79" s="518"/>
      <c r="AA79" s="227"/>
      <c r="AB79" s="227"/>
      <c r="AC79" s="227"/>
      <c r="AD79" s="518"/>
      <c r="AE79" s="227"/>
      <c r="AF79" s="227"/>
      <c r="AG79" s="227"/>
      <c r="AH79" s="518"/>
      <c r="AI79" s="227"/>
      <c r="AJ79" s="227"/>
      <c r="AK79" s="227"/>
      <c r="AL79" s="518"/>
      <c r="AM79" s="227"/>
      <c r="AQ79" s="227"/>
      <c r="BB79" s="211"/>
    </row>
    <row r="80" spans="1:78" x14ac:dyDescent="0.2">
      <c r="A80" s="1011"/>
      <c r="AY80" s="211"/>
      <c r="AZ80" s="211"/>
      <c r="BA80" s="211"/>
      <c r="BB80" s="211"/>
      <c r="BF80" s="211"/>
    </row>
    <row r="82" spans="44:56" x14ac:dyDescent="0.2">
      <c r="AR82" s="3914">
        <v>1999</v>
      </c>
    </row>
    <row r="83" spans="44:56" x14ac:dyDescent="0.2">
      <c r="AR83" s="3914">
        <v>2000</v>
      </c>
    </row>
    <row r="84" spans="44:56" x14ac:dyDescent="0.2">
      <c r="AR84" s="3914">
        <v>2001</v>
      </c>
    </row>
    <row r="85" spans="44:56" x14ac:dyDescent="0.2">
      <c r="AR85" s="3914">
        <v>2002</v>
      </c>
    </row>
    <row r="86" spans="44:56" x14ac:dyDescent="0.2">
      <c r="AR86" s="3914">
        <v>2003</v>
      </c>
    </row>
    <row r="87" spans="44:56" x14ac:dyDescent="0.2">
      <c r="AR87" s="3914">
        <v>2004</v>
      </c>
    </row>
    <row r="88" spans="44:56" x14ac:dyDescent="0.2">
      <c r="AR88" s="3914">
        <v>2005</v>
      </c>
    </row>
    <row r="89" spans="44:56" x14ac:dyDescent="0.2">
      <c r="AR89" s="3914">
        <v>2006</v>
      </c>
    </row>
    <row r="90" spans="44:56" x14ac:dyDescent="0.2">
      <c r="AR90" s="3914">
        <v>2007</v>
      </c>
      <c r="BD90" s="902"/>
    </row>
    <row r="91" spans="44:56" x14ac:dyDescent="0.2">
      <c r="AR91" s="3914">
        <v>2008</v>
      </c>
    </row>
    <row r="92" spans="44:56" x14ac:dyDescent="0.2">
      <c r="AR92" s="3914">
        <v>2009</v>
      </c>
    </row>
    <row r="93" spans="44:56" x14ac:dyDescent="0.2">
      <c r="AR93" s="3914">
        <v>2010</v>
      </c>
    </row>
    <row r="94" spans="44:56" x14ac:dyDescent="0.2">
      <c r="AR94" s="3914">
        <v>2011</v>
      </c>
    </row>
    <row r="95" spans="44:56" x14ac:dyDescent="0.2">
      <c r="AR95" s="3914">
        <v>2012</v>
      </c>
    </row>
    <row r="96" spans="44:56" x14ac:dyDescent="0.2">
      <c r="AR96" s="3914">
        <v>2013</v>
      </c>
    </row>
    <row r="97" spans="44:44" x14ac:dyDescent="0.2">
      <c r="AR97" s="3914">
        <v>2014</v>
      </c>
    </row>
    <row r="98" spans="44:44" x14ac:dyDescent="0.2">
      <c r="AR98" s="3914">
        <v>2015</v>
      </c>
    </row>
    <row r="99" spans="44:44" x14ac:dyDescent="0.2">
      <c r="AR99" s="3914">
        <v>2016</v>
      </c>
    </row>
    <row r="100" spans="44:44" x14ac:dyDescent="0.2">
      <c r="AR100" s="3914">
        <v>2017</v>
      </c>
    </row>
  </sheetData>
  <sheetProtection algorithmName="SHA-512" hashValue="CFkBOxVf/sUDM5avp36sbVBFEPFJb5YPDbL3J3eje6ujB3Uh4hd3aTxuemM2bobGaAALZwC1L8fq6puHsJ8Ewg==" saltValue="ozaGw6ctkVXSRZKOc54NNQ==" spinCount="100000" sheet="1" objects="1" scenarios="1"/>
  <mergeCells count="40">
    <mergeCell ref="BS3:BV3"/>
    <mergeCell ref="BK3:BN3"/>
    <mergeCell ref="A65:A68"/>
    <mergeCell ref="A69:A72"/>
    <mergeCell ref="A74:A77"/>
    <mergeCell ref="AA3:AD3"/>
    <mergeCell ref="AE3:AH3"/>
    <mergeCell ref="AI3:AL3"/>
    <mergeCell ref="AM3:AP3"/>
    <mergeCell ref="A3:A4"/>
    <mergeCell ref="K3:N3"/>
    <mergeCell ref="BG3:BJ3"/>
    <mergeCell ref="O3:R3"/>
    <mergeCell ref="AU3:AX3"/>
    <mergeCell ref="AY3:BB3"/>
    <mergeCell ref="BC3:BF3"/>
    <mergeCell ref="G3:J3"/>
    <mergeCell ref="A79:S79"/>
    <mergeCell ref="A40:A43"/>
    <mergeCell ref="A44:A47"/>
    <mergeCell ref="A48:A51"/>
    <mergeCell ref="A52:A55"/>
    <mergeCell ref="A57:A60"/>
    <mergeCell ref="A61:A64"/>
    <mergeCell ref="BW3:BZ3"/>
    <mergeCell ref="BO3:BR3"/>
    <mergeCell ref="A1:B1"/>
    <mergeCell ref="A35:A38"/>
    <mergeCell ref="AQ3:AT3"/>
    <mergeCell ref="A14:A17"/>
    <mergeCell ref="A18:A21"/>
    <mergeCell ref="A23:A26"/>
    <mergeCell ref="A27:A30"/>
    <mergeCell ref="A31:A34"/>
    <mergeCell ref="A6:A9"/>
    <mergeCell ref="A10:A13"/>
    <mergeCell ref="S3:V3"/>
    <mergeCell ref="W3:Z3"/>
    <mergeCell ref="B3:B4"/>
    <mergeCell ref="C3:F3"/>
  </mergeCells>
  <printOptions horizontalCentered="1" verticalCentered="1"/>
  <pageMargins left="0.39370078740157483" right="0.39370078740157483" top="0.19685039370078741" bottom="0.19685039370078741" header="0" footer="0"/>
  <pageSetup scale="44" pageOrder="overThenDown" orientation="landscape" r:id="rId1"/>
  <headerFooter alignWithMargins="0"/>
  <rowBreaks count="1" manualBreakCount="1">
    <brk id="79" max="69" man="1"/>
  </rowBreaks>
  <colBreaks count="2" manualBreakCount="2">
    <brk id="34" max="135" man="1"/>
    <brk id="66" max="1048575" man="1"/>
  </colBreaks>
  <ignoredErrors>
    <ignoredError sqref="F9:AP20 AM21:AP21 F43:AL54 F73:AL77 F55:R72 BF64:BF76 AX60:AX68 BB60:BB64 BB72 AU43:BF54 BF38 BF34 BJ9:BJ13 BJ30 BJ34:BJ38 BJ47:BJ54 BJ64:BJ76 BN60 BN51:BN59 BN61:BN76 BN34:BO40 BN17:BN30 BN9:BN13 BN43:BO47 BN41:BN42 BR9:BR17 BR30:BR38 BR64 BR72:BR76 BV7:BV56 BV64:BV76 BZ60" formula="1"/>
    <ignoredError sqref="F21:AL21 S55:AL72 AU9:BF9 AT9 BF13 AT61:AT68 AT43:AT54 BB13 BO41:BO42 BR47:BR54 BR60:BR63 BV60 BV57 BV58:BV59 BV61:BV63" formula="1" formulaRange="1"/>
    <ignoredError sqref="C21:E21 AT7 BI41:BI42 BI62:BI63 BI66 AT15:AT16 AT8 AU8:BG8 AT10:AT14 AU12:BI12 BG9:BI9 AU14:BI14 AU13:BA13 BI13 AT41:AT42 AT69:AT72 AT55:AT60 BI8 BG42 AU10:BF11 BI10:BI11 BG62 BC13:BE13 BM7:BM8 BL7 BK41:BM42 BM57:BM59 BK62:BM63 BK66 BO61:BO66 BO7:BO8 BP16 BP58:BP63 BQ7:BQ16 BS7:BU16 BU33 BQ41:BR46 BQ47:BQ54 BS41:BU42 BQ58:BT59 BQ60:BQ63 BS61:BU63 BS60:BT60 BU60 BU58:BU59 BU57 BS66 BW12 BW42 BW59:BW66 BX63 BX7:BY8 BY10:BY11 BY15 BY33 BY58 BY62 BW41:BY41 BX45 BY46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U75"/>
  <sheetViews>
    <sheetView showGridLines="0" zoomScaleNormal="100" zoomScaleSheetLayoutView="50" workbookViewId="0">
      <pane xSplit="2" ySplit="5" topLeftCell="AD6" activePane="bottomRight" state="frozen"/>
      <selection sqref="A1:E1"/>
      <selection pane="topRight" sqref="A1:E1"/>
      <selection pane="bottomLeft" sqref="A1:E1"/>
      <selection pane="bottomRight" activeCell="AS37" sqref="AS37:AT37"/>
    </sheetView>
  </sheetViews>
  <sheetFormatPr baseColWidth="10" defaultRowHeight="12.75" x14ac:dyDescent="0.2"/>
  <cols>
    <col min="1" max="1" width="15.7109375" style="184" customWidth="1"/>
    <col min="2" max="2" width="10.7109375" style="184" customWidth="1"/>
    <col min="3" max="41" width="9.7109375" style="184" customWidth="1"/>
    <col min="42" max="47" width="8.7109375" style="184" customWidth="1"/>
    <col min="48" max="255" width="11.42578125" style="184"/>
    <col min="256" max="256" width="0.28515625" style="184" customWidth="1"/>
    <col min="257" max="257" width="15.85546875" style="184" customWidth="1"/>
    <col min="258" max="258" width="9.140625" style="184" bestFit="1" customWidth="1"/>
    <col min="259" max="260" width="8.42578125" style="184" bestFit="1" customWidth="1"/>
    <col min="261" max="261" width="10.7109375" style="184" customWidth="1"/>
    <col min="262" max="263" width="8.42578125" style="184" bestFit="1" customWidth="1"/>
    <col min="264" max="264" width="10.7109375" style="184" customWidth="1"/>
    <col min="265" max="266" width="8.42578125" style="184" bestFit="1" customWidth="1"/>
    <col min="267" max="267" width="10.7109375" style="184" customWidth="1"/>
    <col min="268" max="269" width="8.42578125" style="184" bestFit="1" customWidth="1"/>
    <col min="270" max="270" width="10.7109375" style="184" customWidth="1"/>
    <col min="271" max="272" width="8.42578125" style="184" bestFit="1" customWidth="1"/>
    <col min="273" max="273" width="10.7109375" style="184" customWidth="1"/>
    <col min="274" max="275" width="8.42578125" style="184" bestFit="1" customWidth="1"/>
    <col min="276" max="276" width="10.7109375" style="184" customWidth="1"/>
    <col min="277" max="278" width="8.42578125" style="184" bestFit="1" customWidth="1"/>
    <col min="279" max="279" width="10.7109375" style="184" customWidth="1"/>
    <col min="280" max="280" width="8.42578125" style="184" bestFit="1" customWidth="1"/>
    <col min="281" max="281" width="5.425781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15.85546875" style="184" customWidth="1"/>
    <col min="514" max="514" width="9.140625" style="184" bestFit="1" customWidth="1"/>
    <col min="515" max="516" width="8.42578125" style="184" bestFit="1" customWidth="1"/>
    <col min="517" max="517" width="10.7109375" style="184" customWidth="1"/>
    <col min="518" max="519" width="8.42578125" style="184" bestFit="1" customWidth="1"/>
    <col min="520" max="520" width="10.7109375" style="184" customWidth="1"/>
    <col min="521" max="522" width="8.42578125" style="184" bestFit="1" customWidth="1"/>
    <col min="523" max="523" width="10.7109375" style="184" customWidth="1"/>
    <col min="524" max="525" width="8.42578125" style="184" bestFit="1" customWidth="1"/>
    <col min="526" max="526" width="10.7109375" style="184" customWidth="1"/>
    <col min="527" max="528" width="8.42578125" style="184" bestFit="1" customWidth="1"/>
    <col min="529" max="529" width="10.7109375" style="184" customWidth="1"/>
    <col min="530" max="531" width="8.42578125" style="184" bestFit="1" customWidth="1"/>
    <col min="532" max="532" width="10.7109375" style="184" customWidth="1"/>
    <col min="533" max="534" width="8.42578125" style="184" bestFit="1" customWidth="1"/>
    <col min="535" max="535" width="10.7109375" style="184" customWidth="1"/>
    <col min="536" max="536" width="8.42578125" style="184" bestFit="1" customWidth="1"/>
    <col min="537" max="537" width="5.425781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15.85546875" style="184" customWidth="1"/>
    <col min="770" max="770" width="9.140625" style="184" bestFit="1" customWidth="1"/>
    <col min="771" max="772" width="8.42578125" style="184" bestFit="1" customWidth="1"/>
    <col min="773" max="773" width="10.7109375" style="184" customWidth="1"/>
    <col min="774" max="775" width="8.42578125" style="184" bestFit="1" customWidth="1"/>
    <col min="776" max="776" width="10.7109375" style="184" customWidth="1"/>
    <col min="777" max="778" width="8.42578125" style="184" bestFit="1" customWidth="1"/>
    <col min="779" max="779" width="10.7109375" style="184" customWidth="1"/>
    <col min="780" max="781" width="8.42578125" style="184" bestFit="1" customWidth="1"/>
    <col min="782" max="782" width="10.7109375" style="184" customWidth="1"/>
    <col min="783" max="784" width="8.42578125" style="184" bestFit="1" customWidth="1"/>
    <col min="785" max="785" width="10.7109375" style="184" customWidth="1"/>
    <col min="786" max="787" width="8.42578125" style="184" bestFit="1" customWidth="1"/>
    <col min="788" max="788" width="10.7109375" style="184" customWidth="1"/>
    <col min="789" max="790" width="8.42578125" style="184" bestFit="1" customWidth="1"/>
    <col min="791" max="791" width="10.7109375" style="184" customWidth="1"/>
    <col min="792" max="792" width="8.42578125" style="184" bestFit="1" customWidth="1"/>
    <col min="793" max="793" width="5.425781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15.85546875" style="184" customWidth="1"/>
    <col min="1026" max="1026" width="9.140625" style="184" bestFit="1" customWidth="1"/>
    <col min="1027" max="1028" width="8.42578125" style="184" bestFit="1" customWidth="1"/>
    <col min="1029" max="1029" width="10.7109375" style="184" customWidth="1"/>
    <col min="1030" max="1031" width="8.42578125" style="184" bestFit="1" customWidth="1"/>
    <col min="1032" max="1032" width="10.7109375" style="184" customWidth="1"/>
    <col min="1033" max="1034" width="8.42578125" style="184" bestFit="1" customWidth="1"/>
    <col min="1035" max="1035" width="10.7109375" style="184" customWidth="1"/>
    <col min="1036" max="1037" width="8.42578125" style="184" bestFit="1" customWidth="1"/>
    <col min="1038" max="1038" width="10.7109375" style="184" customWidth="1"/>
    <col min="1039" max="1040" width="8.42578125" style="184" bestFit="1" customWidth="1"/>
    <col min="1041" max="1041" width="10.7109375" style="184" customWidth="1"/>
    <col min="1042" max="1043" width="8.42578125" style="184" bestFit="1" customWidth="1"/>
    <col min="1044" max="1044" width="10.7109375" style="184" customWidth="1"/>
    <col min="1045" max="1046" width="8.42578125" style="184" bestFit="1" customWidth="1"/>
    <col min="1047" max="1047" width="10.7109375" style="184" customWidth="1"/>
    <col min="1048" max="1048" width="8.42578125" style="184" bestFit="1" customWidth="1"/>
    <col min="1049" max="1049" width="5.425781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15.85546875" style="184" customWidth="1"/>
    <col min="1282" max="1282" width="9.140625" style="184" bestFit="1" customWidth="1"/>
    <col min="1283" max="1284" width="8.42578125" style="184" bestFit="1" customWidth="1"/>
    <col min="1285" max="1285" width="10.7109375" style="184" customWidth="1"/>
    <col min="1286" max="1287" width="8.42578125" style="184" bestFit="1" customWidth="1"/>
    <col min="1288" max="1288" width="10.7109375" style="184" customWidth="1"/>
    <col min="1289" max="1290" width="8.42578125" style="184" bestFit="1" customWidth="1"/>
    <col min="1291" max="1291" width="10.7109375" style="184" customWidth="1"/>
    <col min="1292" max="1293" width="8.42578125" style="184" bestFit="1" customWidth="1"/>
    <col min="1294" max="1294" width="10.7109375" style="184" customWidth="1"/>
    <col min="1295" max="1296" width="8.42578125" style="184" bestFit="1" customWidth="1"/>
    <col min="1297" max="1297" width="10.7109375" style="184" customWidth="1"/>
    <col min="1298" max="1299" width="8.42578125" style="184" bestFit="1" customWidth="1"/>
    <col min="1300" max="1300" width="10.7109375" style="184" customWidth="1"/>
    <col min="1301" max="1302" width="8.42578125" style="184" bestFit="1" customWidth="1"/>
    <col min="1303" max="1303" width="10.7109375" style="184" customWidth="1"/>
    <col min="1304" max="1304" width="8.42578125" style="184" bestFit="1" customWidth="1"/>
    <col min="1305" max="1305" width="5.425781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15.85546875" style="184" customWidth="1"/>
    <col min="1538" max="1538" width="9.140625" style="184" bestFit="1" customWidth="1"/>
    <col min="1539" max="1540" width="8.42578125" style="184" bestFit="1" customWidth="1"/>
    <col min="1541" max="1541" width="10.7109375" style="184" customWidth="1"/>
    <col min="1542" max="1543" width="8.42578125" style="184" bestFit="1" customWidth="1"/>
    <col min="1544" max="1544" width="10.7109375" style="184" customWidth="1"/>
    <col min="1545" max="1546" width="8.42578125" style="184" bestFit="1" customWidth="1"/>
    <col min="1547" max="1547" width="10.7109375" style="184" customWidth="1"/>
    <col min="1548" max="1549" width="8.42578125" style="184" bestFit="1" customWidth="1"/>
    <col min="1550" max="1550" width="10.7109375" style="184" customWidth="1"/>
    <col min="1551" max="1552" width="8.42578125" style="184" bestFit="1" customWidth="1"/>
    <col min="1553" max="1553" width="10.7109375" style="184" customWidth="1"/>
    <col min="1554" max="1555" width="8.42578125" style="184" bestFit="1" customWidth="1"/>
    <col min="1556" max="1556" width="10.7109375" style="184" customWidth="1"/>
    <col min="1557" max="1558" width="8.42578125" style="184" bestFit="1" customWidth="1"/>
    <col min="1559" max="1559" width="10.7109375" style="184" customWidth="1"/>
    <col min="1560" max="1560" width="8.42578125" style="184" bestFit="1" customWidth="1"/>
    <col min="1561" max="1561" width="5.425781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15.85546875" style="184" customWidth="1"/>
    <col min="1794" max="1794" width="9.140625" style="184" bestFit="1" customWidth="1"/>
    <col min="1795" max="1796" width="8.42578125" style="184" bestFit="1" customWidth="1"/>
    <col min="1797" max="1797" width="10.7109375" style="184" customWidth="1"/>
    <col min="1798" max="1799" width="8.42578125" style="184" bestFit="1" customWidth="1"/>
    <col min="1800" max="1800" width="10.7109375" style="184" customWidth="1"/>
    <col min="1801" max="1802" width="8.42578125" style="184" bestFit="1" customWidth="1"/>
    <col min="1803" max="1803" width="10.7109375" style="184" customWidth="1"/>
    <col min="1804" max="1805" width="8.42578125" style="184" bestFit="1" customWidth="1"/>
    <col min="1806" max="1806" width="10.7109375" style="184" customWidth="1"/>
    <col min="1807" max="1808" width="8.42578125" style="184" bestFit="1" customWidth="1"/>
    <col min="1809" max="1809" width="10.7109375" style="184" customWidth="1"/>
    <col min="1810" max="1811" width="8.42578125" style="184" bestFit="1" customWidth="1"/>
    <col min="1812" max="1812" width="10.7109375" style="184" customWidth="1"/>
    <col min="1813" max="1814" width="8.42578125" style="184" bestFit="1" customWidth="1"/>
    <col min="1815" max="1815" width="10.7109375" style="184" customWidth="1"/>
    <col min="1816" max="1816" width="8.42578125" style="184" bestFit="1" customWidth="1"/>
    <col min="1817" max="1817" width="5.425781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15.85546875" style="184" customWidth="1"/>
    <col min="2050" max="2050" width="9.140625" style="184" bestFit="1" customWidth="1"/>
    <col min="2051" max="2052" width="8.42578125" style="184" bestFit="1" customWidth="1"/>
    <col min="2053" max="2053" width="10.7109375" style="184" customWidth="1"/>
    <col min="2054" max="2055" width="8.42578125" style="184" bestFit="1" customWidth="1"/>
    <col min="2056" max="2056" width="10.7109375" style="184" customWidth="1"/>
    <col min="2057" max="2058" width="8.42578125" style="184" bestFit="1" customWidth="1"/>
    <col min="2059" max="2059" width="10.7109375" style="184" customWidth="1"/>
    <col min="2060" max="2061" width="8.42578125" style="184" bestFit="1" customWidth="1"/>
    <col min="2062" max="2062" width="10.7109375" style="184" customWidth="1"/>
    <col min="2063" max="2064" width="8.42578125" style="184" bestFit="1" customWidth="1"/>
    <col min="2065" max="2065" width="10.7109375" style="184" customWidth="1"/>
    <col min="2066" max="2067" width="8.42578125" style="184" bestFit="1" customWidth="1"/>
    <col min="2068" max="2068" width="10.7109375" style="184" customWidth="1"/>
    <col min="2069" max="2070" width="8.42578125" style="184" bestFit="1" customWidth="1"/>
    <col min="2071" max="2071" width="10.7109375" style="184" customWidth="1"/>
    <col min="2072" max="2072" width="8.42578125" style="184" bestFit="1" customWidth="1"/>
    <col min="2073" max="2073" width="5.425781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15.85546875" style="184" customWidth="1"/>
    <col min="2306" max="2306" width="9.140625" style="184" bestFit="1" customWidth="1"/>
    <col min="2307" max="2308" width="8.42578125" style="184" bestFit="1" customWidth="1"/>
    <col min="2309" max="2309" width="10.7109375" style="184" customWidth="1"/>
    <col min="2310" max="2311" width="8.42578125" style="184" bestFit="1" customWidth="1"/>
    <col min="2312" max="2312" width="10.7109375" style="184" customWidth="1"/>
    <col min="2313" max="2314" width="8.42578125" style="184" bestFit="1" customWidth="1"/>
    <col min="2315" max="2315" width="10.7109375" style="184" customWidth="1"/>
    <col min="2316" max="2317" width="8.42578125" style="184" bestFit="1" customWidth="1"/>
    <col min="2318" max="2318" width="10.7109375" style="184" customWidth="1"/>
    <col min="2319" max="2320" width="8.42578125" style="184" bestFit="1" customWidth="1"/>
    <col min="2321" max="2321" width="10.7109375" style="184" customWidth="1"/>
    <col min="2322" max="2323" width="8.42578125" style="184" bestFit="1" customWidth="1"/>
    <col min="2324" max="2324" width="10.7109375" style="184" customWidth="1"/>
    <col min="2325" max="2326" width="8.42578125" style="184" bestFit="1" customWidth="1"/>
    <col min="2327" max="2327" width="10.7109375" style="184" customWidth="1"/>
    <col min="2328" max="2328" width="8.42578125" style="184" bestFit="1" customWidth="1"/>
    <col min="2329" max="2329" width="5.425781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15.85546875" style="184" customWidth="1"/>
    <col min="2562" max="2562" width="9.140625" style="184" bestFit="1" customWidth="1"/>
    <col min="2563" max="2564" width="8.42578125" style="184" bestFit="1" customWidth="1"/>
    <col min="2565" max="2565" width="10.7109375" style="184" customWidth="1"/>
    <col min="2566" max="2567" width="8.42578125" style="184" bestFit="1" customWidth="1"/>
    <col min="2568" max="2568" width="10.7109375" style="184" customWidth="1"/>
    <col min="2569" max="2570" width="8.42578125" style="184" bestFit="1" customWidth="1"/>
    <col min="2571" max="2571" width="10.7109375" style="184" customWidth="1"/>
    <col min="2572" max="2573" width="8.42578125" style="184" bestFit="1" customWidth="1"/>
    <col min="2574" max="2574" width="10.7109375" style="184" customWidth="1"/>
    <col min="2575" max="2576" width="8.42578125" style="184" bestFit="1" customWidth="1"/>
    <col min="2577" max="2577" width="10.7109375" style="184" customWidth="1"/>
    <col min="2578" max="2579" width="8.42578125" style="184" bestFit="1" customWidth="1"/>
    <col min="2580" max="2580" width="10.7109375" style="184" customWidth="1"/>
    <col min="2581" max="2582" width="8.42578125" style="184" bestFit="1" customWidth="1"/>
    <col min="2583" max="2583" width="10.7109375" style="184" customWidth="1"/>
    <col min="2584" max="2584" width="8.42578125" style="184" bestFit="1" customWidth="1"/>
    <col min="2585" max="2585" width="5.425781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15.85546875" style="184" customWidth="1"/>
    <col min="2818" max="2818" width="9.140625" style="184" bestFit="1" customWidth="1"/>
    <col min="2819" max="2820" width="8.42578125" style="184" bestFit="1" customWidth="1"/>
    <col min="2821" max="2821" width="10.7109375" style="184" customWidth="1"/>
    <col min="2822" max="2823" width="8.42578125" style="184" bestFit="1" customWidth="1"/>
    <col min="2824" max="2824" width="10.7109375" style="184" customWidth="1"/>
    <col min="2825" max="2826" width="8.42578125" style="184" bestFit="1" customWidth="1"/>
    <col min="2827" max="2827" width="10.7109375" style="184" customWidth="1"/>
    <col min="2828" max="2829" width="8.42578125" style="184" bestFit="1" customWidth="1"/>
    <col min="2830" max="2830" width="10.7109375" style="184" customWidth="1"/>
    <col min="2831" max="2832" width="8.42578125" style="184" bestFit="1" customWidth="1"/>
    <col min="2833" max="2833" width="10.7109375" style="184" customWidth="1"/>
    <col min="2834" max="2835" width="8.42578125" style="184" bestFit="1" customWidth="1"/>
    <col min="2836" max="2836" width="10.7109375" style="184" customWidth="1"/>
    <col min="2837" max="2838" width="8.42578125" style="184" bestFit="1" customWidth="1"/>
    <col min="2839" max="2839" width="10.7109375" style="184" customWidth="1"/>
    <col min="2840" max="2840" width="8.42578125" style="184" bestFit="1" customWidth="1"/>
    <col min="2841" max="2841" width="5.425781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15.85546875" style="184" customWidth="1"/>
    <col min="3074" max="3074" width="9.140625" style="184" bestFit="1" customWidth="1"/>
    <col min="3075" max="3076" width="8.42578125" style="184" bestFit="1" customWidth="1"/>
    <col min="3077" max="3077" width="10.7109375" style="184" customWidth="1"/>
    <col min="3078" max="3079" width="8.42578125" style="184" bestFit="1" customWidth="1"/>
    <col min="3080" max="3080" width="10.7109375" style="184" customWidth="1"/>
    <col min="3081" max="3082" width="8.42578125" style="184" bestFit="1" customWidth="1"/>
    <col min="3083" max="3083" width="10.7109375" style="184" customWidth="1"/>
    <col min="3084" max="3085" width="8.42578125" style="184" bestFit="1" customWidth="1"/>
    <col min="3086" max="3086" width="10.7109375" style="184" customWidth="1"/>
    <col min="3087" max="3088" width="8.42578125" style="184" bestFit="1" customWidth="1"/>
    <col min="3089" max="3089" width="10.7109375" style="184" customWidth="1"/>
    <col min="3090" max="3091" width="8.42578125" style="184" bestFit="1" customWidth="1"/>
    <col min="3092" max="3092" width="10.7109375" style="184" customWidth="1"/>
    <col min="3093" max="3094" width="8.42578125" style="184" bestFit="1" customWidth="1"/>
    <col min="3095" max="3095" width="10.7109375" style="184" customWidth="1"/>
    <col min="3096" max="3096" width="8.42578125" style="184" bestFit="1" customWidth="1"/>
    <col min="3097" max="3097" width="5.425781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15.85546875" style="184" customWidth="1"/>
    <col min="3330" max="3330" width="9.140625" style="184" bestFit="1" customWidth="1"/>
    <col min="3331" max="3332" width="8.42578125" style="184" bestFit="1" customWidth="1"/>
    <col min="3333" max="3333" width="10.7109375" style="184" customWidth="1"/>
    <col min="3334" max="3335" width="8.42578125" style="184" bestFit="1" customWidth="1"/>
    <col min="3336" max="3336" width="10.7109375" style="184" customWidth="1"/>
    <col min="3337" max="3338" width="8.42578125" style="184" bestFit="1" customWidth="1"/>
    <col min="3339" max="3339" width="10.7109375" style="184" customWidth="1"/>
    <col min="3340" max="3341" width="8.42578125" style="184" bestFit="1" customWidth="1"/>
    <col min="3342" max="3342" width="10.7109375" style="184" customWidth="1"/>
    <col min="3343" max="3344" width="8.42578125" style="184" bestFit="1" customWidth="1"/>
    <col min="3345" max="3345" width="10.7109375" style="184" customWidth="1"/>
    <col min="3346" max="3347" width="8.42578125" style="184" bestFit="1" customWidth="1"/>
    <col min="3348" max="3348" width="10.7109375" style="184" customWidth="1"/>
    <col min="3349" max="3350" width="8.42578125" style="184" bestFit="1" customWidth="1"/>
    <col min="3351" max="3351" width="10.7109375" style="184" customWidth="1"/>
    <col min="3352" max="3352" width="8.42578125" style="184" bestFit="1" customWidth="1"/>
    <col min="3353" max="3353" width="5.425781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15.85546875" style="184" customWidth="1"/>
    <col min="3586" max="3586" width="9.140625" style="184" bestFit="1" customWidth="1"/>
    <col min="3587" max="3588" width="8.42578125" style="184" bestFit="1" customWidth="1"/>
    <col min="3589" max="3589" width="10.7109375" style="184" customWidth="1"/>
    <col min="3590" max="3591" width="8.42578125" style="184" bestFit="1" customWidth="1"/>
    <col min="3592" max="3592" width="10.7109375" style="184" customWidth="1"/>
    <col min="3593" max="3594" width="8.42578125" style="184" bestFit="1" customWidth="1"/>
    <col min="3595" max="3595" width="10.7109375" style="184" customWidth="1"/>
    <col min="3596" max="3597" width="8.42578125" style="184" bestFit="1" customWidth="1"/>
    <col min="3598" max="3598" width="10.7109375" style="184" customWidth="1"/>
    <col min="3599" max="3600" width="8.42578125" style="184" bestFit="1" customWidth="1"/>
    <col min="3601" max="3601" width="10.7109375" style="184" customWidth="1"/>
    <col min="3602" max="3603" width="8.42578125" style="184" bestFit="1" customWidth="1"/>
    <col min="3604" max="3604" width="10.7109375" style="184" customWidth="1"/>
    <col min="3605" max="3606" width="8.42578125" style="184" bestFit="1" customWidth="1"/>
    <col min="3607" max="3607" width="10.7109375" style="184" customWidth="1"/>
    <col min="3608" max="3608" width="8.42578125" style="184" bestFit="1" customWidth="1"/>
    <col min="3609" max="3609" width="5.425781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15.85546875" style="184" customWidth="1"/>
    <col min="3842" max="3842" width="9.140625" style="184" bestFit="1" customWidth="1"/>
    <col min="3843" max="3844" width="8.42578125" style="184" bestFit="1" customWidth="1"/>
    <col min="3845" max="3845" width="10.7109375" style="184" customWidth="1"/>
    <col min="3846" max="3847" width="8.42578125" style="184" bestFit="1" customWidth="1"/>
    <col min="3848" max="3848" width="10.7109375" style="184" customWidth="1"/>
    <col min="3849" max="3850" width="8.42578125" style="184" bestFit="1" customWidth="1"/>
    <col min="3851" max="3851" width="10.7109375" style="184" customWidth="1"/>
    <col min="3852" max="3853" width="8.42578125" style="184" bestFit="1" customWidth="1"/>
    <col min="3854" max="3854" width="10.7109375" style="184" customWidth="1"/>
    <col min="3855" max="3856" width="8.42578125" style="184" bestFit="1" customWidth="1"/>
    <col min="3857" max="3857" width="10.7109375" style="184" customWidth="1"/>
    <col min="3858" max="3859" width="8.42578125" style="184" bestFit="1" customWidth="1"/>
    <col min="3860" max="3860" width="10.7109375" style="184" customWidth="1"/>
    <col min="3861" max="3862" width="8.42578125" style="184" bestFit="1" customWidth="1"/>
    <col min="3863" max="3863" width="10.7109375" style="184" customWidth="1"/>
    <col min="3864" max="3864" width="8.42578125" style="184" bestFit="1" customWidth="1"/>
    <col min="3865" max="3865" width="5.425781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15.85546875" style="184" customWidth="1"/>
    <col min="4098" max="4098" width="9.140625" style="184" bestFit="1" customWidth="1"/>
    <col min="4099" max="4100" width="8.42578125" style="184" bestFit="1" customWidth="1"/>
    <col min="4101" max="4101" width="10.7109375" style="184" customWidth="1"/>
    <col min="4102" max="4103" width="8.42578125" style="184" bestFit="1" customWidth="1"/>
    <col min="4104" max="4104" width="10.7109375" style="184" customWidth="1"/>
    <col min="4105" max="4106" width="8.42578125" style="184" bestFit="1" customWidth="1"/>
    <col min="4107" max="4107" width="10.7109375" style="184" customWidth="1"/>
    <col min="4108" max="4109" width="8.42578125" style="184" bestFit="1" customWidth="1"/>
    <col min="4110" max="4110" width="10.7109375" style="184" customWidth="1"/>
    <col min="4111" max="4112" width="8.42578125" style="184" bestFit="1" customWidth="1"/>
    <col min="4113" max="4113" width="10.7109375" style="184" customWidth="1"/>
    <col min="4114" max="4115" width="8.42578125" style="184" bestFit="1" customWidth="1"/>
    <col min="4116" max="4116" width="10.7109375" style="184" customWidth="1"/>
    <col min="4117" max="4118" width="8.42578125" style="184" bestFit="1" customWidth="1"/>
    <col min="4119" max="4119" width="10.7109375" style="184" customWidth="1"/>
    <col min="4120" max="4120" width="8.42578125" style="184" bestFit="1" customWidth="1"/>
    <col min="4121" max="4121" width="5.425781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15.85546875" style="184" customWidth="1"/>
    <col min="4354" max="4354" width="9.140625" style="184" bestFit="1" customWidth="1"/>
    <col min="4355" max="4356" width="8.42578125" style="184" bestFit="1" customWidth="1"/>
    <col min="4357" max="4357" width="10.7109375" style="184" customWidth="1"/>
    <col min="4358" max="4359" width="8.42578125" style="184" bestFit="1" customWidth="1"/>
    <col min="4360" max="4360" width="10.7109375" style="184" customWidth="1"/>
    <col min="4361" max="4362" width="8.42578125" style="184" bestFit="1" customWidth="1"/>
    <col min="4363" max="4363" width="10.7109375" style="184" customWidth="1"/>
    <col min="4364" max="4365" width="8.42578125" style="184" bestFit="1" customWidth="1"/>
    <col min="4366" max="4366" width="10.7109375" style="184" customWidth="1"/>
    <col min="4367" max="4368" width="8.42578125" style="184" bestFit="1" customWidth="1"/>
    <col min="4369" max="4369" width="10.7109375" style="184" customWidth="1"/>
    <col min="4370" max="4371" width="8.42578125" style="184" bestFit="1" customWidth="1"/>
    <col min="4372" max="4372" width="10.7109375" style="184" customWidth="1"/>
    <col min="4373" max="4374" width="8.42578125" style="184" bestFit="1" customWidth="1"/>
    <col min="4375" max="4375" width="10.7109375" style="184" customWidth="1"/>
    <col min="4376" max="4376" width="8.42578125" style="184" bestFit="1" customWidth="1"/>
    <col min="4377" max="4377" width="5.425781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15.85546875" style="184" customWidth="1"/>
    <col min="4610" max="4610" width="9.140625" style="184" bestFit="1" customWidth="1"/>
    <col min="4611" max="4612" width="8.42578125" style="184" bestFit="1" customWidth="1"/>
    <col min="4613" max="4613" width="10.7109375" style="184" customWidth="1"/>
    <col min="4614" max="4615" width="8.42578125" style="184" bestFit="1" customWidth="1"/>
    <col min="4616" max="4616" width="10.7109375" style="184" customWidth="1"/>
    <col min="4617" max="4618" width="8.42578125" style="184" bestFit="1" customWidth="1"/>
    <col min="4619" max="4619" width="10.7109375" style="184" customWidth="1"/>
    <col min="4620" max="4621" width="8.42578125" style="184" bestFit="1" customWidth="1"/>
    <col min="4622" max="4622" width="10.7109375" style="184" customWidth="1"/>
    <col min="4623" max="4624" width="8.42578125" style="184" bestFit="1" customWidth="1"/>
    <col min="4625" max="4625" width="10.7109375" style="184" customWidth="1"/>
    <col min="4626" max="4627" width="8.42578125" style="184" bestFit="1" customWidth="1"/>
    <col min="4628" max="4628" width="10.7109375" style="184" customWidth="1"/>
    <col min="4629" max="4630" width="8.42578125" style="184" bestFit="1" customWidth="1"/>
    <col min="4631" max="4631" width="10.7109375" style="184" customWidth="1"/>
    <col min="4632" max="4632" width="8.42578125" style="184" bestFit="1" customWidth="1"/>
    <col min="4633" max="4633" width="5.425781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15.85546875" style="184" customWidth="1"/>
    <col min="4866" max="4866" width="9.140625" style="184" bestFit="1" customWidth="1"/>
    <col min="4867" max="4868" width="8.42578125" style="184" bestFit="1" customWidth="1"/>
    <col min="4869" max="4869" width="10.7109375" style="184" customWidth="1"/>
    <col min="4870" max="4871" width="8.42578125" style="184" bestFit="1" customWidth="1"/>
    <col min="4872" max="4872" width="10.7109375" style="184" customWidth="1"/>
    <col min="4873" max="4874" width="8.42578125" style="184" bestFit="1" customWidth="1"/>
    <col min="4875" max="4875" width="10.7109375" style="184" customWidth="1"/>
    <col min="4876" max="4877" width="8.42578125" style="184" bestFit="1" customWidth="1"/>
    <col min="4878" max="4878" width="10.7109375" style="184" customWidth="1"/>
    <col min="4879" max="4880" width="8.42578125" style="184" bestFit="1" customWidth="1"/>
    <col min="4881" max="4881" width="10.7109375" style="184" customWidth="1"/>
    <col min="4882" max="4883" width="8.42578125" style="184" bestFit="1" customWidth="1"/>
    <col min="4884" max="4884" width="10.7109375" style="184" customWidth="1"/>
    <col min="4885" max="4886" width="8.42578125" style="184" bestFit="1" customWidth="1"/>
    <col min="4887" max="4887" width="10.7109375" style="184" customWidth="1"/>
    <col min="4888" max="4888" width="8.42578125" style="184" bestFit="1" customWidth="1"/>
    <col min="4889" max="4889" width="5.425781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15.85546875" style="184" customWidth="1"/>
    <col min="5122" max="5122" width="9.140625" style="184" bestFit="1" customWidth="1"/>
    <col min="5123" max="5124" width="8.42578125" style="184" bestFit="1" customWidth="1"/>
    <col min="5125" max="5125" width="10.7109375" style="184" customWidth="1"/>
    <col min="5126" max="5127" width="8.42578125" style="184" bestFit="1" customWidth="1"/>
    <col min="5128" max="5128" width="10.7109375" style="184" customWidth="1"/>
    <col min="5129" max="5130" width="8.42578125" style="184" bestFit="1" customWidth="1"/>
    <col min="5131" max="5131" width="10.7109375" style="184" customWidth="1"/>
    <col min="5132" max="5133" width="8.42578125" style="184" bestFit="1" customWidth="1"/>
    <col min="5134" max="5134" width="10.7109375" style="184" customWidth="1"/>
    <col min="5135" max="5136" width="8.42578125" style="184" bestFit="1" customWidth="1"/>
    <col min="5137" max="5137" width="10.7109375" style="184" customWidth="1"/>
    <col min="5138" max="5139" width="8.42578125" style="184" bestFit="1" customWidth="1"/>
    <col min="5140" max="5140" width="10.7109375" style="184" customWidth="1"/>
    <col min="5141" max="5142" width="8.42578125" style="184" bestFit="1" customWidth="1"/>
    <col min="5143" max="5143" width="10.7109375" style="184" customWidth="1"/>
    <col min="5144" max="5144" width="8.42578125" style="184" bestFit="1" customWidth="1"/>
    <col min="5145" max="5145" width="5.425781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15.85546875" style="184" customWidth="1"/>
    <col min="5378" max="5378" width="9.140625" style="184" bestFit="1" customWidth="1"/>
    <col min="5379" max="5380" width="8.42578125" style="184" bestFit="1" customWidth="1"/>
    <col min="5381" max="5381" width="10.7109375" style="184" customWidth="1"/>
    <col min="5382" max="5383" width="8.42578125" style="184" bestFit="1" customWidth="1"/>
    <col min="5384" max="5384" width="10.7109375" style="184" customWidth="1"/>
    <col min="5385" max="5386" width="8.42578125" style="184" bestFit="1" customWidth="1"/>
    <col min="5387" max="5387" width="10.7109375" style="184" customWidth="1"/>
    <col min="5388" max="5389" width="8.42578125" style="184" bestFit="1" customWidth="1"/>
    <col min="5390" max="5390" width="10.7109375" style="184" customWidth="1"/>
    <col min="5391" max="5392" width="8.42578125" style="184" bestFit="1" customWidth="1"/>
    <col min="5393" max="5393" width="10.7109375" style="184" customWidth="1"/>
    <col min="5394" max="5395" width="8.42578125" style="184" bestFit="1" customWidth="1"/>
    <col min="5396" max="5396" width="10.7109375" style="184" customWidth="1"/>
    <col min="5397" max="5398" width="8.42578125" style="184" bestFit="1" customWidth="1"/>
    <col min="5399" max="5399" width="10.7109375" style="184" customWidth="1"/>
    <col min="5400" max="5400" width="8.42578125" style="184" bestFit="1" customWidth="1"/>
    <col min="5401" max="5401" width="5.425781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15.85546875" style="184" customWidth="1"/>
    <col min="5634" max="5634" width="9.140625" style="184" bestFit="1" customWidth="1"/>
    <col min="5635" max="5636" width="8.42578125" style="184" bestFit="1" customWidth="1"/>
    <col min="5637" max="5637" width="10.7109375" style="184" customWidth="1"/>
    <col min="5638" max="5639" width="8.42578125" style="184" bestFit="1" customWidth="1"/>
    <col min="5640" max="5640" width="10.7109375" style="184" customWidth="1"/>
    <col min="5641" max="5642" width="8.42578125" style="184" bestFit="1" customWidth="1"/>
    <col min="5643" max="5643" width="10.7109375" style="184" customWidth="1"/>
    <col min="5644" max="5645" width="8.42578125" style="184" bestFit="1" customWidth="1"/>
    <col min="5646" max="5646" width="10.7109375" style="184" customWidth="1"/>
    <col min="5647" max="5648" width="8.42578125" style="184" bestFit="1" customWidth="1"/>
    <col min="5649" max="5649" width="10.7109375" style="184" customWidth="1"/>
    <col min="5650" max="5651" width="8.42578125" style="184" bestFit="1" customWidth="1"/>
    <col min="5652" max="5652" width="10.7109375" style="184" customWidth="1"/>
    <col min="5653" max="5654" width="8.42578125" style="184" bestFit="1" customWidth="1"/>
    <col min="5655" max="5655" width="10.7109375" style="184" customWidth="1"/>
    <col min="5656" max="5656" width="8.42578125" style="184" bestFit="1" customWidth="1"/>
    <col min="5657" max="5657" width="5.425781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15.85546875" style="184" customWidth="1"/>
    <col min="5890" max="5890" width="9.140625" style="184" bestFit="1" customWidth="1"/>
    <col min="5891" max="5892" width="8.42578125" style="184" bestFit="1" customWidth="1"/>
    <col min="5893" max="5893" width="10.7109375" style="184" customWidth="1"/>
    <col min="5894" max="5895" width="8.42578125" style="184" bestFit="1" customWidth="1"/>
    <col min="5896" max="5896" width="10.7109375" style="184" customWidth="1"/>
    <col min="5897" max="5898" width="8.42578125" style="184" bestFit="1" customWidth="1"/>
    <col min="5899" max="5899" width="10.7109375" style="184" customWidth="1"/>
    <col min="5900" max="5901" width="8.42578125" style="184" bestFit="1" customWidth="1"/>
    <col min="5902" max="5902" width="10.7109375" style="184" customWidth="1"/>
    <col min="5903" max="5904" width="8.42578125" style="184" bestFit="1" customWidth="1"/>
    <col min="5905" max="5905" width="10.7109375" style="184" customWidth="1"/>
    <col min="5906" max="5907" width="8.42578125" style="184" bestFit="1" customWidth="1"/>
    <col min="5908" max="5908" width="10.7109375" style="184" customWidth="1"/>
    <col min="5909" max="5910" width="8.42578125" style="184" bestFit="1" customWidth="1"/>
    <col min="5911" max="5911" width="10.7109375" style="184" customWidth="1"/>
    <col min="5912" max="5912" width="8.42578125" style="184" bestFit="1" customWidth="1"/>
    <col min="5913" max="5913" width="5.425781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15.85546875" style="184" customWidth="1"/>
    <col min="6146" max="6146" width="9.140625" style="184" bestFit="1" customWidth="1"/>
    <col min="6147" max="6148" width="8.42578125" style="184" bestFit="1" customWidth="1"/>
    <col min="6149" max="6149" width="10.7109375" style="184" customWidth="1"/>
    <col min="6150" max="6151" width="8.42578125" style="184" bestFit="1" customWidth="1"/>
    <col min="6152" max="6152" width="10.7109375" style="184" customWidth="1"/>
    <col min="6153" max="6154" width="8.42578125" style="184" bestFit="1" customWidth="1"/>
    <col min="6155" max="6155" width="10.7109375" style="184" customWidth="1"/>
    <col min="6156" max="6157" width="8.42578125" style="184" bestFit="1" customWidth="1"/>
    <col min="6158" max="6158" width="10.7109375" style="184" customWidth="1"/>
    <col min="6159" max="6160" width="8.42578125" style="184" bestFit="1" customWidth="1"/>
    <col min="6161" max="6161" width="10.7109375" style="184" customWidth="1"/>
    <col min="6162" max="6163" width="8.42578125" style="184" bestFit="1" customWidth="1"/>
    <col min="6164" max="6164" width="10.7109375" style="184" customWidth="1"/>
    <col min="6165" max="6166" width="8.42578125" style="184" bestFit="1" customWidth="1"/>
    <col min="6167" max="6167" width="10.7109375" style="184" customWidth="1"/>
    <col min="6168" max="6168" width="8.42578125" style="184" bestFit="1" customWidth="1"/>
    <col min="6169" max="6169" width="5.425781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15.85546875" style="184" customWidth="1"/>
    <col min="6402" max="6402" width="9.140625" style="184" bestFit="1" customWidth="1"/>
    <col min="6403" max="6404" width="8.42578125" style="184" bestFit="1" customWidth="1"/>
    <col min="6405" max="6405" width="10.7109375" style="184" customWidth="1"/>
    <col min="6406" max="6407" width="8.42578125" style="184" bestFit="1" customWidth="1"/>
    <col min="6408" max="6408" width="10.7109375" style="184" customWidth="1"/>
    <col min="6409" max="6410" width="8.42578125" style="184" bestFit="1" customWidth="1"/>
    <col min="6411" max="6411" width="10.7109375" style="184" customWidth="1"/>
    <col min="6412" max="6413" width="8.42578125" style="184" bestFit="1" customWidth="1"/>
    <col min="6414" max="6414" width="10.7109375" style="184" customWidth="1"/>
    <col min="6415" max="6416" width="8.42578125" style="184" bestFit="1" customWidth="1"/>
    <col min="6417" max="6417" width="10.7109375" style="184" customWidth="1"/>
    <col min="6418" max="6419" width="8.42578125" style="184" bestFit="1" customWidth="1"/>
    <col min="6420" max="6420" width="10.7109375" style="184" customWidth="1"/>
    <col min="6421" max="6422" width="8.42578125" style="184" bestFit="1" customWidth="1"/>
    <col min="6423" max="6423" width="10.7109375" style="184" customWidth="1"/>
    <col min="6424" max="6424" width="8.42578125" style="184" bestFit="1" customWidth="1"/>
    <col min="6425" max="6425" width="5.425781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15.85546875" style="184" customWidth="1"/>
    <col min="6658" max="6658" width="9.140625" style="184" bestFit="1" customWidth="1"/>
    <col min="6659" max="6660" width="8.42578125" style="184" bestFit="1" customWidth="1"/>
    <col min="6661" max="6661" width="10.7109375" style="184" customWidth="1"/>
    <col min="6662" max="6663" width="8.42578125" style="184" bestFit="1" customWidth="1"/>
    <col min="6664" max="6664" width="10.7109375" style="184" customWidth="1"/>
    <col min="6665" max="6666" width="8.42578125" style="184" bestFit="1" customWidth="1"/>
    <col min="6667" max="6667" width="10.7109375" style="184" customWidth="1"/>
    <col min="6668" max="6669" width="8.42578125" style="184" bestFit="1" customWidth="1"/>
    <col min="6670" max="6670" width="10.7109375" style="184" customWidth="1"/>
    <col min="6671" max="6672" width="8.42578125" style="184" bestFit="1" customWidth="1"/>
    <col min="6673" max="6673" width="10.7109375" style="184" customWidth="1"/>
    <col min="6674" max="6675" width="8.42578125" style="184" bestFit="1" customWidth="1"/>
    <col min="6676" max="6676" width="10.7109375" style="184" customWidth="1"/>
    <col min="6677" max="6678" width="8.42578125" style="184" bestFit="1" customWidth="1"/>
    <col min="6679" max="6679" width="10.7109375" style="184" customWidth="1"/>
    <col min="6680" max="6680" width="8.42578125" style="184" bestFit="1" customWidth="1"/>
    <col min="6681" max="6681" width="5.425781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15.85546875" style="184" customWidth="1"/>
    <col min="6914" max="6914" width="9.140625" style="184" bestFit="1" customWidth="1"/>
    <col min="6915" max="6916" width="8.42578125" style="184" bestFit="1" customWidth="1"/>
    <col min="6917" max="6917" width="10.7109375" style="184" customWidth="1"/>
    <col min="6918" max="6919" width="8.42578125" style="184" bestFit="1" customWidth="1"/>
    <col min="6920" max="6920" width="10.7109375" style="184" customWidth="1"/>
    <col min="6921" max="6922" width="8.42578125" style="184" bestFit="1" customWidth="1"/>
    <col min="6923" max="6923" width="10.7109375" style="184" customWidth="1"/>
    <col min="6924" max="6925" width="8.42578125" style="184" bestFit="1" customWidth="1"/>
    <col min="6926" max="6926" width="10.7109375" style="184" customWidth="1"/>
    <col min="6927" max="6928" width="8.42578125" style="184" bestFit="1" customWidth="1"/>
    <col min="6929" max="6929" width="10.7109375" style="184" customWidth="1"/>
    <col min="6930" max="6931" width="8.42578125" style="184" bestFit="1" customWidth="1"/>
    <col min="6932" max="6932" width="10.7109375" style="184" customWidth="1"/>
    <col min="6933" max="6934" width="8.42578125" style="184" bestFit="1" customWidth="1"/>
    <col min="6935" max="6935" width="10.7109375" style="184" customWidth="1"/>
    <col min="6936" max="6936" width="8.42578125" style="184" bestFit="1" customWidth="1"/>
    <col min="6937" max="6937" width="5.425781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15.85546875" style="184" customWidth="1"/>
    <col min="7170" max="7170" width="9.140625" style="184" bestFit="1" customWidth="1"/>
    <col min="7171" max="7172" width="8.42578125" style="184" bestFit="1" customWidth="1"/>
    <col min="7173" max="7173" width="10.7109375" style="184" customWidth="1"/>
    <col min="7174" max="7175" width="8.42578125" style="184" bestFit="1" customWidth="1"/>
    <col min="7176" max="7176" width="10.7109375" style="184" customWidth="1"/>
    <col min="7177" max="7178" width="8.42578125" style="184" bestFit="1" customWidth="1"/>
    <col min="7179" max="7179" width="10.7109375" style="184" customWidth="1"/>
    <col min="7180" max="7181" width="8.42578125" style="184" bestFit="1" customWidth="1"/>
    <col min="7182" max="7182" width="10.7109375" style="184" customWidth="1"/>
    <col min="7183" max="7184" width="8.42578125" style="184" bestFit="1" customWidth="1"/>
    <col min="7185" max="7185" width="10.7109375" style="184" customWidth="1"/>
    <col min="7186" max="7187" width="8.42578125" style="184" bestFit="1" customWidth="1"/>
    <col min="7188" max="7188" width="10.7109375" style="184" customWidth="1"/>
    <col min="7189" max="7190" width="8.42578125" style="184" bestFit="1" customWidth="1"/>
    <col min="7191" max="7191" width="10.7109375" style="184" customWidth="1"/>
    <col min="7192" max="7192" width="8.42578125" style="184" bestFit="1" customWidth="1"/>
    <col min="7193" max="7193" width="5.425781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15.85546875" style="184" customWidth="1"/>
    <col min="7426" max="7426" width="9.140625" style="184" bestFit="1" customWidth="1"/>
    <col min="7427" max="7428" width="8.42578125" style="184" bestFit="1" customWidth="1"/>
    <col min="7429" max="7429" width="10.7109375" style="184" customWidth="1"/>
    <col min="7430" max="7431" width="8.42578125" style="184" bestFit="1" customWidth="1"/>
    <col min="7432" max="7432" width="10.7109375" style="184" customWidth="1"/>
    <col min="7433" max="7434" width="8.42578125" style="184" bestFit="1" customWidth="1"/>
    <col min="7435" max="7435" width="10.7109375" style="184" customWidth="1"/>
    <col min="7436" max="7437" width="8.42578125" style="184" bestFit="1" customWidth="1"/>
    <col min="7438" max="7438" width="10.7109375" style="184" customWidth="1"/>
    <col min="7439" max="7440" width="8.42578125" style="184" bestFit="1" customWidth="1"/>
    <col min="7441" max="7441" width="10.7109375" style="184" customWidth="1"/>
    <col min="7442" max="7443" width="8.42578125" style="184" bestFit="1" customWidth="1"/>
    <col min="7444" max="7444" width="10.7109375" style="184" customWidth="1"/>
    <col min="7445" max="7446" width="8.42578125" style="184" bestFit="1" customWidth="1"/>
    <col min="7447" max="7447" width="10.7109375" style="184" customWidth="1"/>
    <col min="7448" max="7448" width="8.42578125" style="184" bestFit="1" customWidth="1"/>
    <col min="7449" max="7449" width="5.425781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15.85546875" style="184" customWidth="1"/>
    <col min="7682" max="7682" width="9.140625" style="184" bestFit="1" customWidth="1"/>
    <col min="7683" max="7684" width="8.42578125" style="184" bestFit="1" customWidth="1"/>
    <col min="7685" max="7685" width="10.7109375" style="184" customWidth="1"/>
    <col min="7686" max="7687" width="8.42578125" style="184" bestFit="1" customWidth="1"/>
    <col min="7688" max="7688" width="10.7109375" style="184" customWidth="1"/>
    <col min="7689" max="7690" width="8.42578125" style="184" bestFit="1" customWidth="1"/>
    <col min="7691" max="7691" width="10.7109375" style="184" customWidth="1"/>
    <col min="7692" max="7693" width="8.42578125" style="184" bestFit="1" customWidth="1"/>
    <col min="7694" max="7694" width="10.7109375" style="184" customWidth="1"/>
    <col min="7695" max="7696" width="8.42578125" style="184" bestFit="1" customWidth="1"/>
    <col min="7697" max="7697" width="10.7109375" style="184" customWidth="1"/>
    <col min="7698" max="7699" width="8.42578125" style="184" bestFit="1" customWidth="1"/>
    <col min="7700" max="7700" width="10.7109375" style="184" customWidth="1"/>
    <col min="7701" max="7702" width="8.42578125" style="184" bestFit="1" customWidth="1"/>
    <col min="7703" max="7703" width="10.7109375" style="184" customWidth="1"/>
    <col min="7704" max="7704" width="8.42578125" style="184" bestFit="1" customWidth="1"/>
    <col min="7705" max="7705" width="5.425781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15.85546875" style="184" customWidth="1"/>
    <col min="7938" max="7938" width="9.140625" style="184" bestFit="1" customWidth="1"/>
    <col min="7939" max="7940" width="8.42578125" style="184" bestFit="1" customWidth="1"/>
    <col min="7941" max="7941" width="10.7109375" style="184" customWidth="1"/>
    <col min="7942" max="7943" width="8.42578125" style="184" bestFit="1" customWidth="1"/>
    <col min="7944" max="7944" width="10.7109375" style="184" customWidth="1"/>
    <col min="7945" max="7946" width="8.42578125" style="184" bestFit="1" customWidth="1"/>
    <col min="7947" max="7947" width="10.7109375" style="184" customWidth="1"/>
    <col min="7948" max="7949" width="8.42578125" style="184" bestFit="1" customWidth="1"/>
    <col min="7950" max="7950" width="10.7109375" style="184" customWidth="1"/>
    <col min="7951" max="7952" width="8.42578125" style="184" bestFit="1" customWidth="1"/>
    <col min="7953" max="7953" width="10.7109375" style="184" customWidth="1"/>
    <col min="7954" max="7955" width="8.42578125" style="184" bestFit="1" customWidth="1"/>
    <col min="7956" max="7956" width="10.7109375" style="184" customWidth="1"/>
    <col min="7957" max="7958" width="8.42578125" style="184" bestFit="1" customWidth="1"/>
    <col min="7959" max="7959" width="10.7109375" style="184" customWidth="1"/>
    <col min="7960" max="7960" width="8.42578125" style="184" bestFit="1" customWidth="1"/>
    <col min="7961" max="7961" width="5.425781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15.85546875" style="184" customWidth="1"/>
    <col min="8194" max="8194" width="9.140625" style="184" bestFit="1" customWidth="1"/>
    <col min="8195" max="8196" width="8.42578125" style="184" bestFit="1" customWidth="1"/>
    <col min="8197" max="8197" width="10.7109375" style="184" customWidth="1"/>
    <col min="8198" max="8199" width="8.42578125" style="184" bestFit="1" customWidth="1"/>
    <col min="8200" max="8200" width="10.7109375" style="184" customWidth="1"/>
    <col min="8201" max="8202" width="8.42578125" style="184" bestFit="1" customWidth="1"/>
    <col min="8203" max="8203" width="10.7109375" style="184" customWidth="1"/>
    <col min="8204" max="8205" width="8.42578125" style="184" bestFit="1" customWidth="1"/>
    <col min="8206" max="8206" width="10.7109375" style="184" customWidth="1"/>
    <col min="8207" max="8208" width="8.42578125" style="184" bestFit="1" customWidth="1"/>
    <col min="8209" max="8209" width="10.7109375" style="184" customWidth="1"/>
    <col min="8210" max="8211" width="8.42578125" style="184" bestFit="1" customWidth="1"/>
    <col min="8212" max="8212" width="10.7109375" style="184" customWidth="1"/>
    <col min="8213" max="8214" width="8.42578125" style="184" bestFit="1" customWidth="1"/>
    <col min="8215" max="8215" width="10.7109375" style="184" customWidth="1"/>
    <col min="8216" max="8216" width="8.42578125" style="184" bestFit="1" customWidth="1"/>
    <col min="8217" max="8217" width="5.425781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15.85546875" style="184" customWidth="1"/>
    <col min="8450" max="8450" width="9.140625" style="184" bestFit="1" customWidth="1"/>
    <col min="8451" max="8452" width="8.42578125" style="184" bestFit="1" customWidth="1"/>
    <col min="8453" max="8453" width="10.7109375" style="184" customWidth="1"/>
    <col min="8454" max="8455" width="8.42578125" style="184" bestFit="1" customWidth="1"/>
    <col min="8456" max="8456" width="10.7109375" style="184" customWidth="1"/>
    <col min="8457" max="8458" width="8.42578125" style="184" bestFit="1" customWidth="1"/>
    <col min="8459" max="8459" width="10.7109375" style="184" customWidth="1"/>
    <col min="8460" max="8461" width="8.42578125" style="184" bestFit="1" customWidth="1"/>
    <col min="8462" max="8462" width="10.7109375" style="184" customWidth="1"/>
    <col min="8463" max="8464" width="8.42578125" style="184" bestFit="1" customWidth="1"/>
    <col min="8465" max="8465" width="10.7109375" style="184" customWidth="1"/>
    <col min="8466" max="8467" width="8.42578125" style="184" bestFit="1" customWidth="1"/>
    <col min="8468" max="8468" width="10.7109375" style="184" customWidth="1"/>
    <col min="8469" max="8470" width="8.42578125" style="184" bestFit="1" customWidth="1"/>
    <col min="8471" max="8471" width="10.7109375" style="184" customWidth="1"/>
    <col min="8472" max="8472" width="8.42578125" style="184" bestFit="1" customWidth="1"/>
    <col min="8473" max="8473" width="5.425781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15.85546875" style="184" customWidth="1"/>
    <col min="8706" max="8706" width="9.140625" style="184" bestFit="1" customWidth="1"/>
    <col min="8707" max="8708" width="8.42578125" style="184" bestFit="1" customWidth="1"/>
    <col min="8709" max="8709" width="10.7109375" style="184" customWidth="1"/>
    <col min="8710" max="8711" width="8.42578125" style="184" bestFit="1" customWidth="1"/>
    <col min="8712" max="8712" width="10.7109375" style="184" customWidth="1"/>
    <col min="8713" max="8714" width="8.42578125" style="184" bestFit="1" customWidth="1"/>
    <col min="8715" max="8715" width="10.7109375" style="184" customWidth="1"/>
    <col min="8716" max="8717" width="8.42578125" style="184" bestFit="1" customWidth="1"/>
    <col min="8718" max="8718" width="10.7109375" style="184" customWidth="1"/>
    <col min="8719" max="8720" width="8.42578125" style="184" bestFit="1" customWidth="1"/>
    <col min="8721" max="8721" width="10.7109375" style="184" customWidth="1"/>
    <col min="8722" max="8723" width="8.42578125" style="184" bestFit="1" customWidth="1"/>
    <col min="8724" max="8724" width="10.7109375" style="184" customWidth="1"/>
    <col min="8725" max="8726" width="8.42578125" style="184" bestFit="1" customWidth="1"/>
    <col min="8727" max="8727" width="10.7109375" style="184" customWidth="1"/>
    <col min="8728" max="8728" width="8.42578125" style="184" bestFit="1" customWidth="1"/>
    <col min="8729" max="8729" width="5.425781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15.85546875" style="184" customWidth="1"/>
    <col min="8962" max="8962" width="9.140625" style="184" bestFit="1" customWidth="1"/>
    <col min="8963" max="8964" width="8.42578125" style="184" bestFit="1" customWidth="1"/>
    <col min="8965" max="8965" width="10.7109375" style="184" customWidth="1"/>
    <col min="8966" max="8967" width="8.42578125" style="184" bestFit="1" customWidth="1"/>
    <col min="8968" max="8968" width="10.7109375" style="184" customWidth="1"/>
    <col min="8969" max="8970" width="8.42578125" style="184" bestFit="1" customWidth="1"/>
    <col min="8971" max="8971" width="10.7109375" style="184" customWidth="1"/>
    <col min="8972" max="8973" width="8.42578125" style="184" bestFit="1" customWidth="1"/>
    <col min="8974" max="8974" width="10.7109375" style="184" customWidth="1"/>
    <col min="8975" max="8976" width="8.42578125" style="184" bestFit="1" customWidth="1"/>
    <col min="8977" max="8977" width="10.7109375" style="184" customWidth="1"/>
    <col min="8978" max="8979" width="8.42578125" style="184" bestFit="1" customWidth="1"/>
    <col min="8980" max="8980" width="10.7109375" style="184" customWidth="1"/>
    <col min="8981" max="8982" width="8.42578125" style="184" bestFit="1" customWidth="1"/>
    <col min="8983" max="8983" width="10.7109375" style="184" customWidth="1"/>
    <col min="8984" max="8984" width="8.42578125" style="184" bestFit="1" customWidth="1"/>
    <col min="8985" max="8985" width="5.425781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15.85546875" style="184" customWidth="1"/>
    <col min="9218" max="9218" width="9.140625" style="184" bestFit="1" customWidth="1"/>
    <col min="9219" max="9220" width="8.42578125" style="184" bestFit="1" customWidth="1"/>
    <col min="9221" max="9221" width="10.7109375" style="184" customWidth="1"/>
    <col min="9222" max="9223" width="8.42578125" style="184" bestFit="1" customWidth="1"/>
    <col min="9224" max="9224" width="10.7109375" style="184" customWidth="1"/>
    <col min="9225" max="9226" width="8.42578125" style="184" bestFit="1" customWidth="1"/>
    <col min="9227" max="9227" width="10.7109375" style="184" customWidth="1"/>
    <col min="9228" max="9229" width="8.42578125" style="184" bestFit="1" customWidth="1"/>
    <col min="9230" max="9230" width="10.7109375" style="184" customWidth="1"/>
    <col min="9231" max="9232" width="8.42578125" style="184" bestFit="1" customWidth="1"/>
    <col min="9233" max="9233" width="10.7109375" style="184" customWidth="1"/>
    <col min="9234" max="9235" width="8.42578125" style="184" bestFit="1" customWidth="1"/>
    <col min="9236" max="9236" width="10.7109375" style="184" customWidth="1"/>
    <col min="9237" max="9238" width="8.42578125" style="184" bestFit="1" customWidth="1"/>
    <col min="9239" max="9239" width="10.7109375" style="184" customWidth="1"/>
    <col min="9240" max="9240" width="8.42578125" style="184" bestFit="1" customWidth="1"/>
    <col min="9241" max="9241" width="5.425781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15.85546875" style="184" customWidth="1"/>
    <col min="9474" max="9474" width="9.140625" style="184" bestFit="1" customWidth="1"/>
    <col min="9475" max="9476" width="8.42578125" style="184" bestFit="1" customWidth="1"/>
    <col min="9477" max="9477" width="10.7109375" style="184" customWidth="1"/>
    <col min="9478" max="9479" width="8.42578125" style="184" bestFit="1" customWidth="1"/>
    <col min="9480" max="9480" width="10.7109375" style="184" customWidth="1"/>
    <col min="9481" max="9482" width="8.42578125" style="184" bestFit="1" customWidth="1"/>
    <col min="9483" max="9483" width="10.7109375" style="184" customWidth="1"/>
    <col min="9484" max="9485" width="8.42578125" style="184" bestFit="1" customWidth="1"/>
    <col min="9486" max="9486" width="10.7109375" style="184" customWidth="1"/>
    <col min="9487" max="9488" width="8.42578125" style="184" bestFit="1" customWidth="1"/>
    <col min="9489" max="9489" width="10.7109375" style="184" customWidth="1"/>
    <col min="9490" max="9491" width="8.42578125" style="184" bestFit="1" customWidth="1"/>
    <col min="9492" max="9492" width="10.7109375" style="184" customWidth="1"/>
    <col min="9493" max="9494" width="8.42578125" style="184" bestFit="1" customWidth="1"/>
    <col min="9495" max="9495" width="10.7109375" style="184" customWidth="1"/>
    <col min="9496" max="9496" width="8.42578125" style="184" bestFit="1" customWidth="1"/>
    <col min="9497" max="9497" width="5.425781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15.85546875" style="184" customWidth="1"/>
    <col min="9730" max="9730" width="9.140625" style="184" bestFit="1" customWidth="1"/>
    <col min="9731" max="9732" width="8.42578125" style="184" bestFit="1" customWidth="1"/>
    <col min="9733" max="9733" width="10.7109375" style="184" customWidth="1"/>
    <col min="9734" max="9735" width="8.42578125" style="184" bestFit="1" customWidth="1"/>
    <col min="9736" max="9736" width="10.7109375" style="184" customWidth="1"/>
    <col min="9737" max="9738" width="8.42578125" style="184" bestFit="1" customWidth="1"/>
    <col min="9739" max="9739" width="10.7109375" style="184" customWidth="1"/>
    <col min="9740" max="9741" width="8.42578125" style="184" bestFit="1" customWidth="1"/>
    <col min="9742" max="9742" width="10.7109375" style="184" customWidth="1"/>
    <col min="9743" max="9744" width="8.42578125" style="184" bestFit="1" customWidth="1"/>
    <col min="9745" max="9745" width="10.7109375" style="184" customWidth="1"/>
    <col min="9746" max="9747" width="8.42578125" style="184" bestFit="1" customWidth="1"/>
    <col min="9748" max="9748" width="10.7109375" style="184" customWidth="1"/>
    <col min="9749" max="9750" width="8.42578125" style="184" bestFit="1" customWidth="1"/>
    <col min="9751" max="9751" width="10.7109375" style="184" customWidth="1"/>
    <col min="9752" max="9752" width="8.42578125" style="184" bestFit="1" customWidth="1"/>
    <col min="9753" max="9753" width="5.425781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15.85546875" style="184" customWidth="1"/>
    <col min="9986" max="9986" width="9.140625" style="184" bestFit="1" customWidth="1"/>
    <col min="9987" max="9988" width="8.42578125" style="184" bestFit="1" customWidth="1"/>
    <col min="9989" max="9989" width="10.7109375" style="184" customWidth="1"/>
    <col min="9990" max="9991" width="8.42578125" style="184" bestFit="1" customWidth="1"/>
    <col min="9992" max="9992" width="10.7109375" style="184" customWidth="1"/>
    <col min="9993" max="9994" width="8.42578125" style="184" bestFit="1" customWidth="1"/>
    <col min="9995" max="9995" width="10.7109375" style="184" customWidth="1"/>
    <col min="9996" max="9997" width="8.42578125" style="184" bestFit="1" customWidth="1"/>
    <col min="9998" max="9998" width="10.7109375" style="184" customWidth="1"/>
    <col min="9999" max="10000" width="8.42578125" style="184" bestFit="1" customWidth="1"/>
    <col min="10001" max="10001" width="10.7109375" style="184" customWidth="1"/>
    <col min="10002" max="10003" width="8.42578125" style="184" bestFit="1" customWidth="1"/>
    <col min="10004" max="10004" width="10.7109375" style="184" customWidth="1"/>
    <col min="10005" max="10006" width="8.42578125" style="184" bestFit="1" customWidth="1"/>
    <col min="10007" max="10007" width="10.7109375" style="184" customWidth="1"/>
    <col min="10008" max="10008" width="8.42578125" style="184" bestFit="1" customWidth="1"/>
    <col min="10009" max="10009" width="5.425781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15.85546875" style="184" customWidth="1"/>
    <col min="10242" max="10242" width="9.140625" style="184" bestFit="1" customWidth="1"/>
    <col min="10243" max="10244" width="8.42578125" style="184" bestFit="1" customWidth="1"/>
    <col min="10245" max="10245" width="10.7109375" style="184" customWidth="1"/>
    <col min="10246" max="10247" width="8.42578125" style="184" bestFit="1" customWidth="1"/>
    <col min="10248" max="10248" width="10.7109375" style="184" customWidth="1"/>
    <col min="10249" max="10250" width="8.42578125" style="184" bestFit="1" customWidth="1"/>
    <col min="10251" max="10251" width="10.7109375" style="184" customWidth="1"/>
    <col min="10252" max="10253" width="8.42578125" style="184" bestFit="1" customWidth="1"/>
    <col min="10254" max="10254" width="10.7109375" style="184" customWidth="1"/>
    <col min="10255" max="10256" width="8.42578125" style="184" bestFit="1" customWidth="1"/>
    <col min="10257" max="10257" width="10.7109375" style="184" customWidth="1"/>
    <col min="10258" max="10259" width="8.42578125" style="184" bestFit="1" customWidth="1"/>
    <col min="10260" max="10260" width="10.7109375" style="184" customWidth="1"/>
    <col min="10261" max="10262" width="8.42578125" style="184" bestFit="1" customWidth="1"/>
    <col min="10263" max="10263" width="10.7109375" style="184" customWidth="1"/>
    <col min="10264" max="10264" width="8.42578125" style="184" bestFit="1" customWidth="1"/>
    <col min="10265" max="10265" width="5.425781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15.85546875" style="184" customWidth="1"/>
    <col min="10498" max="10498" width="9.140625" style="184" bestFit="1" customWidth="1"/>
    <col min="10499" max="10500" width="8.42578125" style="184" bestFit="1" customWidth="1"/>
    <col min="10501" max="10501" width="10.7109375" style="184" customWidth="1"/>
    <col min="10502" max="10503" width="8.42578125" style="184" bestFit="1" customWidth="1"/>
    <col min="10504" max="10504" width="10.7109375" style="184" customWidth="1"/>
    <col min="10505" max="10506" width="8.42578125" style="184" bestFit="1" customWidth="1"/>
    <col min="10507" max="10507" width="10.7109375" style="184" customWidth="1"/>
    <col min="10508" max="10509" width="8.42578125" style="184" bestFit="1" customWidth="1"/>
    <col min="10510" max="10510" width="10.7109375" style="184" customWidth="1"/>
    <col min="10511" max="10512" width="8.42578125" style="184" bestFit="1" customWidth="1"/>
    <col min="10513" max="10513" width="10.7109375" style="184" customWidth="1"/>
    <col min="10514" max="10515" width="8.42578125" style="184" bestFit="1" customWidth="1"/>
    <col min="10516" max="10516" width="10.7109375" style="184" customWidth="1"/>
    <col min="10517" max="10518" width="8.42578125" style="184" bestFit="1" customWidth="1"/>
    <col min="10519" max="10519" width="10.7109375" style="184" customWidth="1"/>
    <col min="10520" max="10520" width="8.42578125" style="184" bestFit="1" customWidth="1"/>
    <col min="10521" max="10521" width="5.425781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15.85546875" style="184" customWidth="1"/>
    <col min="10754" max="10754" width="9.140625" style="184" bestFit="1" customWidth="1"/>
    <col min="10755" max="10756" width="8.42578125" style="184" bestFit="1" customWidth="1"/>
    <col min="10757" max="10757" width="10.7109375" style="184" customWidth="1"/>
    <col min="10758" max="10759" width="8.42578125" style="184" bestFit="1" customWidth="1"/>
    <col min="10760" max="10760" width="10.7109375" style="184" customWidth="1"/>
    <col min="10761" max="10762" width="8.42578125" style="184" bestFit="1" customWidth="1"/>
    <col min="10763" max="10763" width="10.7109375" style="184" customWidth="1"/>
    <col min="10764" max="10765" width="8.42578125" style="184" bestFit="1" customWidth="1"/>
    <col min="10766" max="10766" width="10.7109375" style="184" customWidth="1"/>
    <col min="10767" max="10768" width="8.42578125" style="184" bestFit="1" customWidth="1"/>
    <col min="10769" max="10769" width="10.7109375" style="184" customWidth="1"/>
    <col min="10770" max="10771" width="8.42578125" style="184" bestFit="1" customWidth="1"/>
    <col min="10772" max="10772" width="10.7109375" style="184" customWidth="1"/>
    <col min="10773" max="10774" width="8.42578125" style="184" bestFit="1" customWidth="1"/>
    <col min="10775" max="10775" width="10.7109375" style="184" customWidth="1"/>
    <col min="10776" max="10776" width="8.42578125" style="184" bestFit="1" customWidth="1"/>
    <col min="10777" max="10777" width="5.425781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15.85546875" style="184" customWidth="1"/>
    <col min="11010" max="11010" width="9.140625" style="184" bestFit="1" customWidth="1"/>
    <col min="11011" max="11012" width="8.42578125" style="184" bestFit="1" customWidth="1"/>
    <col min="11013" max="11013" width="10.7109375" style="184" customWidth="1"/>
    <col min="11014" max="11015" width="8.42578125" style="184" bestFit="1" customWidth="1"/>
    <col min="11016" max="11016" width="10.7109375" style="184" customWidth="1"/>
    <col min="11017" max="11018" width="8.42578125" style="184" bestFit="1" customWidth="1"/>
    <col min="11019" max="11019" width="10.7109375" style="184" customWidth="1"/>
    <col min="11020" max="11021" width="8.42578125" style="184" bestFit="1" customWidth="1"/>
    <col min="11022" max="11022" width="10.7109375" style="184" customWidth="1"/>
    <col min="11023" max="11024" width="8.42578125" style="184" bestFit="1" customWidth="1"/>
    <col min="11025" max="11025" width="10.7109375" style="184" customWidth="1"/>
    <col min="11026" max="11027" width="8.42578125" style="184" bestFit="1" customWidth="1"/>
    <col min="11028" max="11028" width="10.7109375" style="184" customWidth="1"/>
    <col min="11029" max="11030" width="8.42578125" style="184" bestFit="1" customWidth="1"/>
    <col min="11031" max="11031" width="10.7109375" style="184" customWidth="1"/>
    <col min="11032" max="11032" width="8.42578125" style="184" bestFit="1" customWidth="1"/>
    <col min="11033" max="11033" width="5.425781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15.85546875" style="184" customWidth="1"/>
    <col min="11266" max="11266" width="9.140625" style="184" bestFit="1" customWidth="1"/>
    <col min="11267" max="11268" width="8.42578125" style="184" bestFit="1" customWidth="1"/>
    <col min="11269" max="11269" width="10.7109375" style="184" customWidth="1"/>
    <col min="11270" max="11271" width="8.42578125" style="184" bestFit="1" customWidth="1"/>
    <col min="11272" max="11272" width="10.7109375" style="184" customWidth="1"/>
    <col min="11273" max="11274" width="8.42578125" style="184" bestFit="1" customWidth="1"/>
    <col min="11275" max="11275" width="10.7109375" style="184" customWidth="1"/>
    <col min="11276" max="11277" width="8.42578125" style="184" bestFit="1" customWidth="1"/>
    <col min="11278" max="11278" width="10.7109375" style="184" customWidth="1"/>
    <col min="11279" max="11280" width="8.42578125" style="184" bestFit="1" customWidth="1"/>
    <col min="11281" max="11281" width="10.7109375" style="184" customWidth="1"/>
    <col min="11282" max="11283" width="8.42578125" style="184" bestFit="1" customWidth="1"/>
    <col min="11284" max="11284" width="10.7109375" style="184" customWidth="1"/>
    <col min="11285" max="11286" width="8.42578125" style="184" bestFit="1" customWidth="1"/>
    <col min="11287" max="11287" width="10.7109375" style="184" customWidth="1"/>
    <col min="11288" max="11288" width="8.42578125" style="184" bestFit="1" customWidth="1"/>
    <col min="11289" max="11289" width="5.425781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15.85546875" style="184" customWidth="1"/>
    <col min="11522" max="11522" width="9.140625" style="184" bestFit="1" customWidth="1"/>
    <col min="11523" max="11524" width="8.42578125" style="184" bestFit="1" customWidth="1"/>
    <col min="11525" max="11525" width="10.7109375" style="184" customWidth="1"/>
    <col min="11526" max="11527" width="8.42578125" style="184" bestFit="1" customWidth="1"/>
    <col min="11528" max="11528" width="10.7109375" style="184" customWidth="1"/>
    <col min="11529" max="11530" width="8.42578125" style="184" bestFit="1" customWidth="1"/>
    <col min="11531" max="11531" width="10.7109375" style="184" customWidth="1"/>
    <col min="11532" max="11533" width="8.42578125" style="184" bestFit="1" customWidth="1"/>
    <col min="11534" max="11534" width="10.7109375" style="184" customWidth="1"/>
    <col min="11535" max="11536" width="8.42578125" style="184" bestFit="1" customWidth="1"/>
    <col min="11537" max="11537" width="10.7109375" style="184" customWidth="1"/>
    <col min="11538" max="11539" width="8.42578125" style="184" bestFit="1" customWidth="1"/>
    <col min="11540" max="11540" width="10.7109375" style="184" customWidth="1"/>
    <col min="11541" max="11542" width="8.42578125" style="184" bestFit="1" customWidth="1"/>
    <col min="11543" max="11543" width="10.7109375" style="184" customWidth="1"/>
    <col min="11544" max="11544" width="8.42578125" style="184" bestFit="1" customWidth="1"/>
    <col min="11545" max="11545" width="5.425781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15.85546875" style="184" customWidth="1"/>
    <col min="11778" max="11778" width="9.140625" style="184" bestFit="1" customWidth="1"/>
    <col min="11779" max="11780" width="8.42578125" style="184" bestFit="1" customWidth="1"/>
    <col min="11781" max="11781" width="10.7109375" style="184" customWidth="1"/>
    <col min="11782" max="11783" width="8.42578125" style="184" bestFit="1" customWidth="1"/>
    <col min="11784" max="11784" width="10.7109375" style="184" customWidth="1"/>
    <col min="11785" max="11786" width="8.42578125" style="184" bestFit="1" customWidth="1"/>
    <col min="11787" max="11787" width="10.7109375" style="184" customWidth="1"/>
    <col min="11788" max="11789" width="8.42578125" style="184" bestFit="1" customWidth="1"/>
    <col min="11790" max="11790" width="10.7109375" style="184" customWidth="1"/>
    <col min="11791" max="11792" width="8.42578125" style="184" bestFit="1" customWidth="1"/>
    <col min="11793" max="11793" width="10.7109375" style="184" customWidth="1"/>
    <col min="11794" max="11795" width="8.42578125" style="184" bestFit="1" customWidth="1"/>
    <col min="11796" max="11796" width="10.7109375" style="184" customWidth="1"/>
    <col min="11797" max="11798" width="8.42578125" style="184" bestFit="1" customWidth="1"/>
    <col min="11799" max="11799" width="10.7109375" style="184" customWidth="1"/>
    <col min="11800" max="11800" width="8.42578125" style="184" bestFit="1" customWidth="1"/>
    <col min="11801" max="11801" width="5.425781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15.85546875" style="184" customWidth="1"/>
    <col min="12034" max="12034" width="9.140625" style="184" bestFit="1" customWidth="1"/>
    <col min="12035" max="12036" width="8.42578125" style="184" bestFit="1" customWidth="1"/>
    <col min="12037" max="12037" width="10.7109375" style="184" customWidth="1"/>
    <col min="12038" max="12039" width="8.42578125" style="184" bestFit="1" customWidth="1"/>
    <col min="12040" max="12040" width="10.7109375" style="184" customWidth="1"/>
    <col min="12041" max="12042" width="8.42578125" style="184" bestFit="1" customWidth="1"/>
    <col min="12043" max="12043" width="10.7109375" style="184" customWidth="1"/>
    <col min="12044" max="12045" width="8.42578125" style="184" bestFit="1" customWidth="1"/>
    <col min="12046" max="12046" width="10.7109375" style="184" customWidth="1"/>
    <col min="12047" max="12048" width="8.42578125" style="184" bestFit="1" customWidth="1"/>
    <col min="12049" max="12049" width="10.7109375" style="184" customWidth="1"/>
    <col min="12050" max="12051" width="8.42578125" style="184" bestFit="1" customWidth="1"/>
    <col min="12052" max="12052" width="10.7109375" style="184" customWidth="1"/>
    <col min="12053" max="12054" width="8.42578125" style="184" bestFit="1" customWidth="1"/>
    <col min="12055" max="12055" width="10.7109375" style="184" customWidth="1"/>
    <col min="12056" max="12056" width="8.42578125" style="184" bestFit="1" customWidth="1"/>
    <col min="12057" max="12057" width="5.425781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15.85546875" style="184" customWidth="1"/>
    <col min="12290" max="12290" width="9.140625" style="184" bestFit="1" customWidth="1"/>
    <col min="12291" max="12292" width="8.42578125" style="184" bestFit="1" customWidth="1"/>
    <col min="12293" max="12293" width="10.7109375" style="184" customWidth="1"/>
    <col min="12294" max="12295" width="8.42578125" style="184" bestFit="1" customWidth="1"/>
    <col min="12296" max="12296" width="10.7109375" style="184" customWidth="1"/>
    <col min="12297" max="12298" width="8.42578125" style="184" bestFit="1" customWidth="1"/>
    <col min="12299" max="12299" width="10.7109375" style="184" customWidth="1"/>
    <col min="12300" max="12301" width="8.42578125" style="184" bestFit="1" customWidth="1"/>
    <col min="12302" max="12302" width="10.7109375" style="184" customWidth="1"/>
    <col min="12303" max="12304" width="8.42578125" style="184" bestFit="1" customWidth="1"/>
    <col min="12305" max="12305" width="10.7109375" style="184" customWidth="1"/>
    <col min="12306" max="12307" width="8.42578125" style="184" bestFit="1" customWidth="1"/>
    <col min="12308" max="12308" width="10.7109375" style="184" customWidth="1"/>
    <col min="12309" max="12310" width="8.42578125" style="184" bestFit="1" customWidth="1"/>
    <col min="12311" max="12311" width="10.7109375" style="184" customWidth="1"/>
    <col min="12312" max="12312" width="8.42578125" style="184" bestFit="1" customWidth="1"/>
    <col min="12313" max="12313" width="5.425781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15.85546875" style="184" customWidth="1"/>
    <col min="12546" max="12546" width="9.140625" style="184" bestFit="1" customWidth="1"/>
    <col min="12547" max="12548" width="8.42578125" style="184" bestFit="1" customWidth="1"/>
    <col min="12549" max="12549" width="10.7109375" style="184" customWidth="1"/>
    <col min="12550" max="12551" width="8.42578125" style="184" bestFit="1" customWidth="1"/>
    <col min="12552" max="12552" width="10.7109375" style="184" customWidth="1"/>
    <col min="12553" max="12554" width="8.42578125" style="184" bestFit="1" customWidth="1"/>
    <col min="12555" max="12555" width="10.7109375" style="184" customWidth="1"/>
    <col min="12556" max="12557" width="8.42578125" style="184" bestFit="1" customWidth="1"/>
    <col min="12558" max="12558" width="10.7109375" style="184" customWidth="1"/>
    <col min="12559" max="12560" width="8.42578125" style="184" bestFit="1" customWidth="1"/>
    <col min="12561" max="12561" width="10.7109375" style="184" customWidth="1"/>
    <col min="12562" max="12563" width="8.42578125" style="184" bestFit="1" customWidth="1"/>
    <col min="12564" max="12564" width="10.7109375" style="184" customWidth="1"/>
    <col min="12565" max="12566" width="8.42578125" style="184" bestFit="1" customWidth="1"/>
    <col min="12567" max="12567" width="10.7109375" style="184" customWidth="1"/>
    <col min="12568" max="12568" width="8.42578125" style="184" bestFit="1" customWidth="1"/>
    <col min="12569" max="12569" width="5.425781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15.85546875" style="184" customWidth="1"/>
    <col min="12802" max="12802" width="9.140625" style="184" bestFit="1" customWidth="1"/>
    <col min="12803" max="12804" width="8.42578125" style="184" bestFit="1" customWidth="1"/>
    <col min="12805" max="12805" width="10.7109375" style="184" customWidth="1"/>
    <col min="12806" max="12807" width="8.42578125" style="184" bestFit="1" customWidth="1"/>
    <col min="12808" max="12808" width="10.7109375" style="184" customWidth="1"/>
    <col min="12809" max="12810" width="8.42578125" style="184" bestFit="1" customWidth="1"/>
    <col min="12811" max="12811" width="10.7109375" style="184" customWidth="1"/>
    <col min="12812" max="12813" width="8.42578125" style="184" bestFit="1" customWidth="1"/>
    <col min="12814" max="12814" width="10.7109375" style="184" customWidth="1"/>
    <col min="12815" max="12816" width="8.42578125" style="184" bestFit="1" customWidth="1"/>
    <col min="12817" max="12817" width="10.7109375" style="184" customWidth="1"/>
    <col min="12818" max="12819" width="8.42578125" style="184" bestFit="1" customWidth="1"/>
    <col min="12820" max="12820" width="10.7109375" style="184" customWidth="1"/>
    <col min="12821" max="12822" width="8.42578125" style="184" bestFit="1" customWidth="1"/>
    <col min="12823" max="12823" width="10.7109375" style="184" customWidth="1"/>
    <col min="12824" max="12824" width="8.42578125" style="184" bestFit="1" customWidth="1"/>
    <col min="12825" max="12825" width="5.425781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15.85546875" style="184" customWidth="1"/>
    <col min="13058" max="13058" width="9.140625" style="184" bestFit="1" customWidth="1"/>
    <col min="13059" max="13060" width="8.42578125" style="184" bestFit="1" customWidth="1"/>
    <col min="13061" max="13061" width="10.7109375" style="184" customWidth="1"/>
    <col min="13062" max="13063" width="8.42578125" style="184" bestFit="1" customWidth="1"/>
    <col min="13064" max="13064" width="10.7109375" style="184" customWidth="1"/>
    <col min="13065" max="13066" width="8.42578125" style="184" bestFit="1" customWidth="1"/>
    <col min="13067" max="13067" width="10.7109375" style="184" customWidth="1"/>
    <col min="13068" max="13069" width="8.42578125" style="184" bestFit="1" customWidth="1"/>
    <col min="13070" max="13070" width="10.7109375" style="184" customWidth="1"/>
    <col min="13071" max="13072" width="8.42578125" style="184" bestFit="1" customWidth="1"/>
    <col min="13073" max="13073" width="10.7109375" style="184" customWidth="1"/>
    <col min="13074" max="13075" width="8.42578125" style="184" bestFit="1" customWidth="1"/>
    <col min="13076" max="13076" width="10.7109375" style="184" customWidth="1"/>
    <col min="13077" max="13078" width="8.42578125" style="184" bestFit="1" customWidth="1"/>
    <col min="13079" max="13079" width="10.7109375" style="184" customWidth="1"/>
    <col min="13080" max="13080" width="8.42578125" style="184" bestFit="1" customWidth="1"/>
    <col min="13081" max="13081" width="5.425781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15.85546875" style="184" customWidth="1"/>
    <col min="13314" max="13314" width="9.140625" style="184" bestFit="1" customWidth="1"/>
    <col min="13315" max="13316" width="8.42578125" style="184" bestFit="1" customWidth="1"/>
    <col min="13317" max="13317" width="10.7109375" style="184" customWidth="1"/>
    <col min="13318" max="13319" width="8.42578125" style="184" bestFit="1" customWidth="1"/>
    <col min="13320" max="13320" width="10.7109375" style="184" customWidth="1"/>
    <col min="13321" max="13322" width="8.42578125" style="184" bestFit="1" customWidth="1"/>
    <col min="13323" max="13323" width="10.7109375" style="184" customWidth="1"/>
    <col min="13324" max="13325" width="8.42578125" style="184" bestFit="1" customWidth="1"/>
    <col min="13326" max="13326" width="10.7109375" style="184" customWidth="1"/>
    <col min="13327" max="13328" width="8.42578125" style="184" bestFit="1" customWidth="1"/>
    <col min="13329" max="13329" width="10.7109375" style="184" customWidth="1"/>
    <col min="13330" max="13331" width="8.42578125" style="184" bestFit="1" customWidth="1"/>
    <col min="13332" max="13332" width="10.7109375" style="184" customWidth="1"/>
    <col min="13333" max="13334" width="8.42578125" style="184" bestFit="1" customWidth="1"/>
    <col min="13335" max="13335" width="10.7109375" style="184" customWidth="1"/>
    <col min="13336" max="13336" width="8.42578125" style="184" bestFit="1" customWidth="1"/>
    <col min="13337" max="13337" width="5.425781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15.85546875" style="184" customWidth="1"/>
    <col min="13570" max="13570" width="9.140625" style="184" bestFit="1" customWidth="1"/>
    <col min="13571" max="13572" width="8.42578125" style="184" bestFit="1" customWidth="1"/>
    <col min="13573" max="13573" width="10.7109375" style="184" customWidth="1"/>
    <col min="13574" max="13575" width="8.42578125" style="184" bestFit="1" customWidth="1"/>
    <col min="13576" max="13576" width="10.7109375" style="184" customWidth="1"/>
    <col min="13577" max="13578" width="8.42578125" style="184" bestFit="1" customWidth="1"/>
    <col min="13579" max="13579" width="10.7109375" style="184" customWidth="1"/>
    <col min="13580" max="13581" width="8.42578125" style="184" bestFit="1" customWidth="1"/>
    <col min="13582" max="13582" width="10.7109375" style="184" customWidth="1"/>
    <col min="13583" max="13584" width="8.42578125" style="184" bestFit="1" customWidth="1"/>
    <col min="13585" max="13585" width="10.7109375" style="184" customWidth="1"/>
    <col min="13586" max="13587" width="8.42578125" style="184" bestFit="1" customWidth="1"/>
    <col min="13588" max="13588" width="10.7109375" style="184" customWidth="1"/>
    <col min="13589" max="13590" width="8.42578125" style="184" bestFit="1" customWidth="1"/>
    <col min="13591" max="13591" width="10.7109375" style="184" customWidth="1"/>
    <col min="13592" max="13592" width="8.42578125" style="184" bestFit="1" customWidth="1"/>
    <col min="13593" max="13593" width="5.425781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15.85546875" style="184" customWidth="1"/>
    <col min="13826" max="13826" width="9.140625" style="184" bestFit="1" customWidth="1"/>
    <col min="13827" max="13828" width="8.42578125" style="184" bestFit="1" customWidth="1"/>
    <col min="13829" max="13829" width="10.7109375" style="184" customWidth="1"/>
    <col min="13830" max="13831" width="8.42578125" style="184" bestFit="1" customWidth="1"/>
    <col min="13832" max="13832" width="10.7109375" style="184" customWidth="1"/>
    <col min="13833" max="13834" width="8.42578125" style="184" bestFit="1" customWidth="1"/>
    <col min="13835" max="13835" width="10.7109375" style="184" customWidth="1"/>
    <col min="13836" max="13837" width="8.42578125" style="184" bestFit="1" customWidth="1"/>
    <col min="13838" max="13838" width="10.7109375" style="184" customWidth="1"/>
    <col min="13839" max="13840" width="8.42578125" style="184" bestFit="1" customWidth="1"/>
    <col min="13841" max="13841" width="10.7109375" style="184" customWidth="1"/>
    <col min="13842" max="13843" width="8.42578125" style="184" bestFit="1" customWidth="1"/>
    <col min="13844" max="13844" width="10.7109375" style="184" customWidth="1"/>
    <col min="13845" max="13846" width="8.42578125" style="184" bestFit="1" customWidth="1"/>
    <col min="13847" max="13847" width="10.7109375" style="184" customWidth="1"/>
    <col min="13848" max="13848" width="8.42578125" style="184" bestFit="1" customWidth="1"/>
    <col min="13849" max="13849" width="5.425781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15.85546875" style="184" customWidth="1"/>
    <col min="14082" max="14082" width="9.140625" style="184" bestFit="1" customWidth="1"/>
    <col min="14083" max="14084" width="8.42578125" style="184" bestFit="1" customWidth="1"/>
    <col min="14085" max="14085" width="10.7109375" style="184" customWidth="1"/>
    <col min="14086" max="14087" width="8.42578125" style="184" bestFit="1" customWidth="1"/>
    <col min="14088" max="14088" width="10.7109375" style="184" customWidth="1"/>
    <col min="14089" max="14090" width="8.42578125" style="184" bestFit="1" customWidth="1"/>
    <col min="14091" max="14091" width="10.7109375" style="184" customWidth="1"/>
    <col min="14092" max="14093" width="8.42578125" style="184" bestFit="1" customWidth="1"/>
    <col min="14094" max="14094" width="10.7109375" style="184" customWidth="1"/>
    <col min="14095" max="14096" width="8.42578125" style="184" bestFit="1" customWidth="1"/>
    <col min="14097" max="14097" width="10.7109375" style="184" customWidth="1"/>
    <col min="14098" max="14099" width="8.42578125" style="184" bestFit="1" customWidth="1"/>
    <col min="14100" max="14100" width="10.7109375" style="184" customWidth="1"/>
    <col min="14101" max="14102" width="8.42578125" style="184" bestFit="1" customWidth="1"/>
    <col min="14103" max="14103" width="10.7109375" style="184" customWidth="1"/>
    <col min="14104" max="14104" width="8.42578125" style="184" bestFit="1" customWidth="1"/>
    <col min="14105" max="14105" width="5.425781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15.85546875" style="184" customWidth="1"/>
    <col min="14338" max="14338" width="9.140625" style="184" bestFit="1" customWidth="1"/>
    <col min="14339" max="14340" width="8.42578125" style="184" bestFit="1" customWidth="1"/>
    <col min="14341" max="14341" width="10.7109375" style="184" customWidth="1"/>
    <col min="14342" max="14343" width="8.42578125" style="184" bestFit="1" customWidth="1"/>
    <col min="14344" max="14344" width="10.7109375" style="184" customWidth="1"/>
    <col min="14345" max="14346" width="8.42578125" style="184" bestFit="1" customWidth="1"/>
    <col min="14347" max="14347" width="10.7109375" style="184" customWidth="1"/>
    <col min="14348" max="14349" width="8.42578125" style="184" bestFit="1" customWidth="1"/>
    <col min="14350" max="14350" width="10.7109375" style="184" customWidth="1"/>
    <col min="14351" max="14352" width="8.42578125" style="184" bestFit="1" customWidth="1"/>
    <col min="14353" max="14353" width="10.7109375" style="184" customWidth="1"/>
    <col min="14354" max="14355" width="8.42578125" style="184" bestFit="1" customWidth="1"/>
    <col min="14356" max="14356" width="10.7109375" style="184" customWidth="1"/>
    <col min="14357" max="14358" width="8.42578125" style="184" bestFit="1" customWidth="1"/>
    <col min="14359" max="14359" width="10.7109375" style="184" customWidth="1"/>
    <col min="14360" max="14360" width="8.42578125" style="184" bestFit="1" customWidth="1"/>
    <col min="14361" max="14361" width="5.425781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15.85546875" style="184" customWidth="1"/>
    <col min="14594" max="14594" width="9.140625" style="184" bestFit="1" customWidth="1"/>
    <col min="14595" max="14596" width="8.42578125" style="184" bestFit="1" customWidth="1"/>
    <col min="14597" max="14597" width="10.7109375" style="184" customWidth="1"/>
    <col min="14598" max="14599" width="8.42578125" style="184" bestFit="1" customWidth="1"/>
    <col min="14600" max="14600" width="10.7109375" style="184" customWidth="1"/>
    <col min="14601" max="14602" width="8.42578125" style="184" bestFit="1" customWidth="1"/>
    <col min="14603" max="14603" width="10.7109375" style="184" customWidth="1"/>
    <col min="14604" max="14605" width="8.42578125" style="184" bestFit="1" customWidth="1"/>
    <col min="14606" max="14606" width="10.7109375" style="184" customWidth="1"/>
    <col min="14607" max="14608" width="8.42578125" style="184" bestFit="1" customWidth="1"/>
    <col min="14609" max="14609" width="10.7109375" style="184" customWidth="1"/>
    <col min="14610" max="14611" width="8.42578125" style="184" bestFit="1" customWidth="1"/>
    <col min="14612" max="14612" width="10.7109375" style="184" customWidth="1"/>
    <col min="14613" max="14614" width="8.42578125" style="184" bestFit="1" customWidth="1"/>
    <col min="14615" max="14615" width="10.7109375" style="184" customWidth="1"/>
    <col min="14616" max="14616" width="8.42578125" style="184" bestFit="1" customWidth="1"/>
    <col min="14617" max="14617" width="5.425781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15.85546875" style="184" customWidth="1"/>
    <col min="14850" max="14850" width="9.140625" style="184" bestFit="1" customWidth="1"/>
    <col min="14851" max="14852" width="8.42578125" style="184" bestFit="1" customWidth="1"/>
    <col min="14853" max="14853" width="10.7109375" style="184" customWidth="1"/>
    <col min="14854" max="14855" width="8.42578125" style="184" bestFit="1" customWidth="1"/>
    <col min="14856" max="14856" width="10.7109375" style="184" customWidth="1"/>
    <col min="14857" max="14858" width="8.42578125" style="184" bestFit="1" customWidth="1"/>
    <col min="14859" max="14859" width="10.7109375" style="184" customWidth="1"/>
    <col min="14860" max="14861" width="8.42578125" style="184" bestFit="1" customWidth="1"/>
    <col min="14862" max="14862" width="10.7109375" style="184" customWidth="1"/>
    <col min="14863" max="14864" width="8.42578125" style="184" bestFit="1" customWidth="1"/>
    <col min="14865" max="14865" width="10.7109375" style="184" customWidth="1"/>
    <col min="14866" max="14867" width="8.42578125" style="184" bestFit="1" customWidth="1"/>
    <col min="14868" max="14868" width="10.7109375" style="184" customWidth="1"/>
    <col min="14869" max="14870" width="8.42578125" style="184" bestFit="1" customWidth="1"/>
    <col min="14871" max="14871" width="10.7109375" style="184" customWidth="1"/>
    <col min="14872" max="14872" width="8.42578125" style="184" bestFit="1" customWidth="1"/>
    <col min="14873" max="14873" width="5.425781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15.85546875" style="184" customWidth="1"/>
    <col min="15106" max="15106" width="9.140625" style="184" bestFit="1" customWidth="1"/>
    <col min="15107" max="15108" width="8.42578125" style="184" bestFit="1" customWidth="1"/>
    <col min="15109" max="15109" width="10.7109375" style="184" customWidth="1"/>
    <col min="15110" max="15111" width="8.42578125" style="184" bestFit="1" customWidth="1"/>
    <col min="15112" max="15112" width="10.7109375" style="184" customWidth="1"/>
    <col min="15113" max="15114" width="8.42578125" style="184" bestFit="1" customWidth="1"/>
    <col min="15115" max="15115" width="10.7109375" style="184" customWidth="1"/>
    <col min="15116" max="15117" width="8.42578125" style="184" bestFit="1" customWidth="1"/>
    <col min="15118" max="15118" width="10.7109375" style="184" customWidth="1"/>
    <col min="15119" max="15120" width="8.42578125" style="184" bestFit="1" customWidth="1"/>
    <col min="15121" max="15121" width="10.7109375" style="184" customWidth="1"/>
    <col min="15122" max="15123" width="8.42578125" style="184" bestFit="1" customWidth="1"/>
    <col min="15124" max="15124" width="10.7109375" style="184" customWidth="1"/>
    <col min="15125" max="15126" width="8.42578125" style="184" bestFit="1" customWidth="1"/>
    <col min="15127" max="15127" width="10.7109375" style="184" customWidth="1"/>
    <col min="15128" max="15128" width="8.42578125" style="184" bestFit="1" customWidth="1"/>
    <col min="15129" max="15129" width="5.425781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15.85546875" style="184" customWidth="1"/>
    <col min="15362" max="15362" width="9.140625" style="184" bestFit="1" customWidth="1"/>
    <col min="15363" max="15364" width="8.42578125" style="184" bestFit="1" customWidth="1"/>
    <col min="15365" max="15365" width="10.7109375" style="184" customWidth="1"/>
    <col min="15366" max="15367" width="8.42578125" style="184" bestFit="1" customWidth="1"/>
    <col min="15368" max="15368" width="10.7109375" style="184" customWidth="1"/>
    <col min="15369" max="15370" width="8.42578125" style="184" bestFit="1" customWidth="1"/>
    <col min="15371" max="15371" width="10.7109375" style="184" customWidth="1"/>
    <col min="15372" max="15373" width="8.42578125" style="184" bestFit="1" customWidth="1"/>
    <col min="15374" max="15374" width="10.7109375" style="184" customWidth="1"/>
    <col min="15375" max="15376" width="8.42578125" style="184" bestFit="1" customWidth="1"/>
    <col min="15377" max="15377" width="10.7109375" style="184" customWidth="1"/>
    <col min="15378" max="15379" width="8.42578125" style="184" bestFit="1" customWidth="1"/>
    <col min="15380" max="15380" width="10.7109375" style="184" customWidth="1"/>
    <col min="15381" max="15382" width="8.42578125" style="184" bestFit="1" customWidth="1"/>
    <col min="15383" max="15383" width="10.7109375" style="184" customWidth="1"/>
    <col min="15384" max="15384" width="8.42578125" style="184" bestFit="1" customWidth="1"/>
    <col min="15385" max="15385" width="5.425781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15.85546875" style="184" customWidth="1"/>
    <col min="15618" max="15618" width="9.140625" style="184" bestFit="1" customWidth="1"/>
    <col min="15619" max="15620" width="8.42578125" style="184" bestFit="1" customWidth="1"/>
    <col min="15621" max="15621" width="10.7109375" style="184" customWidth="1"/>
    <col min="15622" max="15623" width="8.42578125" style="184" bestFit="1" customWidth="1"/>
    <col min="15624" max="15624" width="10.7109375" style="184" customWidth="1"/>
    <col min="15625" max="15626" width="8.42578125" style="184" bestFit="1" customWidth="1"/>
    <col min="15627" max="15627" width="10.7109375" style="184" customWidth="1"/>
    <col min="15628" max="15629" width="8.42578125" style="184" bestFit="1" customWidth="1"/>
    <col min="15630" max="15630" width="10.7109375" style="184" customWidth="1"/>
    <col min="15631" max="15632" width="8.42578125" style="184" bestFit="1" customWidth="1"/>
    <col min="15633" max="15633" width="10.7109375" style="184" customWidth="1"/>
    <col min="15634" max="15635" width="8.42578125" style="184" bestFit="1" customWidth="1"/>
    <col min="15636" max="15636" width="10.7109375" style="184" customWidth="1"/>
    <col min="15637" max="15638" width="8.42578125" style="184" bestFit="1" customWidth="1"/>
    <col min="15639" max="15639" width="10.7109375" style="184" customWidth="1"/>
    <col min="15640" max="15640" width="8.42578125" style="184" bestFit="1" customWidth="1"/>
    <col min="15641" max="15641" width="5.425781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15.85546875" style="184" customWidth="1"/>
    <col min="15874" max="15874" width="9.140625" style="184" bestFit="1" customWidth="1"/>
    <col min="15875" max="15876" width="8.42578125" style="184" bestFit="1" customWidth="1"/>
    <col min="15877" max="15877" width="10.7109375" style="184" customWidth="1"/>
    <col min="15878" max="15879" width="8.42578125" style="184" bestFit="1" customWidth="1"/>
    <col min="15880" max="15880" width="10.7109375" style="184" customWidth="1"/>
    <col min="15881" max="15882" width="8.42578125" style="184" bestFit="1" customWidth="1"/>
    <col min="15883" max="15883" width="10.7109375" style="184" customWidth="1"/>
    <col min="15884" max="15885" width="8.42578125" style="184" bestFit="1" customWidth="1"/>
    <col min="15886" max="15886" width="10.7109375" style="184" customWidth="1"/>
    <col min="15887" max="15888" width="8.42578125" style="184" bestFit="1" customWidth="1"/>
    <col min="15889" max="15889" width="10.7109375" style="184" customWidth="1"/>
    <col min="15890" max="15891" width="8.42578125" style="184" bestFit="1" customWidth="1"/>
    <col min="15892" max="15892" width="10.7109375" style="184" customWidth="1"/>
    <col min="15893" max="15894" width="8.42578125" style="184" bestFit="1" customWidth="1"/>
    <col min="15895" max="15895" width="10.7109375" style="184" customWidth="1"/>
    <col min="15896" max="15896" width="8.42578125" style="184" bestFit="1" customWidth="1"/>
    <col min="15897" max="15897" width="5.425781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15.85546875" style="184" customWidth="1"/>
    <col min="16130" max="16130" width="9.140625" style="184" bestFit="1" customWidth="1"/>
    <col min="16131" max="16132" width="8.42578125" style="184" bestFit="1" customWidth="1"/>
    <col min="16133" max="16133" width="10.7109375" style="184" customWidth="1"/>
    <col min="16134" max="16135" width="8.42578125" style="184" bestFit="1" customWidth="1"/>
    <col min="16136" max="16136" width="10.7109375" style="184" customWidth="1"/>
    <col min="16137" max="16138" width="8.42578125" style="184" bestFit="1" customWidth="1"/>
    <col min="16139" max="16139" width="10.7109375" style="184" customWidth="1"/>
    <col min="16140" max="16141" width="8.42578125" style="184" bestFit="1" customWidth="1"/>
    <col min="16142" max="16142" width="10.7109375" style="184" customWidth="1"/>
    <col min="16143" max="16144" width="8.42578125" style="184" bestFit="1" customWidth="1"/>
    <col min="16145" max="16145" width="10.7109375" style="184" customWidth="1"/>
    <col min="16146" max="16147" width="8.42578125" style="184" bestFit="1" customWidth="1"/>
    <col min="16148" max="16148" width="10.7109375" style="184" customWidth="1"/>
    <col min="16149" max="16150" width="8.42578125" style="184" bestFit="1" customWidth="1"/>
    <col min="16151" max="16151" width="10.7109375" style="184" customWidth="1"/>
    <col min="16152" max="16152" width="8.42578125" style="184" bestFit="1" customWidth="1"/>
    <col min="16153" max="16153" width="5.42578125" style="184" bestFit="1" customWidth="1"/>
    <col min="16154" max="16154" width="10.7109375" style="184" customWidth="1"/>
    <col min="16155" max="16384" width="11.42578125" style="184"/>
  </cols>
  <sheetData>
    <row r="1" spans="1:47" s="186" customFormat="1" ht="66" customHeight="1" x14ac:dyDescent="0.2">
      <c r="A1" s="5682" t="s">
        <v>1213</v>
      </c>
      <c r="B1" s="568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7" s="186" customFormat="1" ht="15" customHeight="1" x14ac:dyDescent="0.35">
      <c r="A2" s="191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2008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</row>
    <row r="3" spans="1:47" s="186" customFormat="1" ht="15" customHeight="1" x14ac:dyDescent="0.2">
      <c r="A3" s="5653" t="s">
        <v>16</v>
      </c>
      <c r="B3" s="5653" t="s">
        <v>4</v>
      </c>
      <c r="C3" s="5641">
        <v>2003</v>
      </c>
      <c r="D3" s="5642"/>
      <c r="E3" s="5643"/>
      <c r="F3" s="5641">
        <v>2004</v>
      </c>
      <c r="G3" s="5642"/>
      <c r="H3" s="5643"/>
      <c r="I3" s="5641">
        <v>2005</v>
      </c>
      <c r="J3" s="5642"/>
      <c r="K3" s="5643"/>
      <c r="L3" s="5641">
        <v>2006</v>
      </c>
      <c r="M3" s="5642"/>
      <c r="N3" s="5643"/>
      <c r="O3" s="5641">
        <v>2007</v>
      </c>
      <c r="P3" s="5642"/>
      <c r="Q3" s="5643"/>
      <c r="R3" s="5641">
        <v>2008</v>
      </c>
      <c r="S3" s="5642"/>
      <c r="T3" s="5643"/>
      <c r="U3" s="5641">
        <v>2009</v>
      </c>
      <c r="V3" s="5642"/>
      <c r="W3" s="5643"/>
      <c r="X3" s="5641">
        <v>2010</v>
      </c>
      <c r="Y3" s="5642"/>
      <c r="Z3" s="5643"/>
      <c r="AA3" s="5641">
        <v>2011</v>
      </c>
      <c r="AB3" s="5642"/>
      <c r="AC3" s="5643"/>
      <c r="AD3" s="5641">
        <v>2012</v>
      </c>
      <c r="AE3" s="5642"/>
      <c r="AF3" s="5643"/>
      <c r="AG3" s="5641">
        <v>2013</v>
      </c>
      <c r="AH3" s="5642"/>
      <c r="AI3" s="5643"/>
      <c r="AJ3" s="5641">
        <v>2014</v>
      </c>
      <c r="AK3" s="5642"/>
      <c r="AL3" s="5643"/>
      <c r="AM3" s="5641">
        <v>2015</v>
      </c>
      <c r="AN3" s="5642"/>
      <c r="AO3" s="5643"/>
      <c r="AP3" s="5641">
        <v>2016</v>
      </c>
      <c r="AQ3" s="5642"/>
      <c r="AR3" s="5643"/>
      <c r="AS3" s="5641">
        <v>2017</v>
      </c>
      <c r="AT3" s="5642"/>
      <c r="AU3" s="5643"/>
    </row>
    <row r="4" spans="1:47" s="189" customFormat="1" ht="15.75" x14ac:dyDescent="0.2">
      <c r="A4" s="5654"/>
      <c r="B4" s="5654"/>
      <c r="C4" s="557" t="s">
        <v>651</v>
      </c>
      <c r="D4" s="558" t="s">
        <v>652</v>
      </c>
      <c r="E4" s="996" t="s">
        <v>160</v>
      </c>
      <c r="F4" s="557" t="s">
        <v>651</v>
      </c>
      <c r="G4" s="558" t="s">
        <v>652</v>
      </c>
      <c r="H4" s="996" t="s">
        <v>160</v>
      </c>
      <c r="I4" s="557" t="s">
        <v>651</v>
      </c>
      <c r="J4" s="558" t="s">
        <v>652</v>
      </c>
      <c r="K4" s="996" t="s">
        <v>160</v>
      </c>
      <c r="L4" s="557" t="s">
        <v>651</v>
      </c>
      <c r="M4" s="558" t="s">
        <v>652</v>
      </c>
      <c r="N4" s="996" t="s">
        <v>160</v>
      </c>
      <c r="O4" s="557" t="s">
        <v>651</v>
      </c>
      <c r="P4" s="558" t="s">
        <v>652</v>
      </c>
      <c r="Q4" s="996" t="s">
        <v>160</v>
      </c>
      <c r="R4" s="557" t="s">
        <v>651</v>
      </c>
      <c r="S4" s="558" t="s">
        <v>652</v>
      </c>
      <c r="T4" s="996" t="s">
        <v>160</v>
      </c>
      <c r="U4" s="557" t="s">
        <v>651</v>
      </c>
      <c r="V4" s="558" t="s">
        <v>652</v>
      </c>
      <c r="W4" s="996" t="s">
        <v>160</v>
      </c>
      <c r="X4" s="557" t="s">
        <v>651</v>
      </c>
      <c r="Y4" s="558" t="s">
        <v>652</v>
      </c>
      <c r="Z4" s="996" t="s">
        <v>160</v>
      </c>
      <c r="AA4" s="557" t="s">
        <v>651</v>
      </c>
      <c r="AB4" s="558" t="s">
        <v>652</v>
      </c>
      <c r="AC4" s="996" t="s">
        <v>160</v>
      </c>
      <c r="AD4" s="557" t="s">
        <v>651</v>
      </c>
      <c r="AE4" s="558" t="s">
        <v>652</v>
      </c>
      <c r="AF4" s="996" t="s">
        <v>160</v>
      </c>
      <c r="AG4" s="557" t="s">
        <v>651</v>
      </c>
      <c r="AH4" s="558" t="s">
        <v>652</v>
      </c>
      <c r="AI4" s="996" t="s">
        <v>160</v>
      </c>
      <c r="AJ4" s="557" t="s">
        <v>651</v>
      </c>
      <c r="AK4" s="558" t="s">
        <v>652</v>
      </c>
      <c r="AL4" s="996" t="s">
        <v>160</v>
      </c>
      <c r="AM4" s="557" t="s">
        <v>651</v>
      </c>
      <c r="AN4" s="558" t="s">
        <v>652</v>
      </c>
      <c r="AO4" s="996" t="s">
        <v>160</v>
      </c>
      <c r="AP4" s="557" t="s">
        <v>651</v>
      </c>
      <c r="AQ4" s="558" t="s">
        <v>652</v>
      </c>
      <c r="AR4" s="996" t="s">
        <v>160</v>
      </c>
      <c r="AS4" s="557" t="s">
        <v>651</v>
      </c>
      <c r="AT4" s="558" t="s">
        <v>652</v>
      </c>
      <c r="AU4" s="996" t="s">
        <v>160</v>
      </c>
    </row>
    <row r="5" spans="1:47" s="186" customFormat="1" ht="15" customHeight="1" x14ac:dyDescent="0.2"/>
    <row r="6" spans="1:47" s="186" customFormat="1" ht="15" customHeight="1" x14ac:dyDescent="0.2">
      <c r="A6" s="5689" t="s">
        <v>3</v>
      </c>
      <c r="B6" s="492" t="s">
        <v>5</v>
      </c>
      <c r="C6" s="465">
        <v>983</v>
      </c>
      <c r="D6" s="464">
        <v>3792</v>
      </c>
      <c r="E6" s="493">
        <v>4775</v>
      </c>
      <c r="F6" s="465">
        <v>1626</v>
      </c>
      <c r="G6" s="464">
        <v>4865</v>
      </c>
      <c r="H6" s="493">
        <v>6491</v>
      </c>
      <c r="I6" s="465">
        <v>1842</v>
      </c>
      <c r="J6" s="464">
        <v>4634</v>
      </c>
      <c r="K6" s="494">
        <v>6476</v>
      </c>
      <c r="L6" s="464">
        <v>1847</v>
      </c>
      <c r="M6" s="464">
        <v>3951</v>
      </c>
      <c r="N6" s="494">
        <v>5798</v>
      </c>
      <c r="O6" s="464">
        <v>1602</v>
      </c>
      <c r="P6" s="464">
        <v>4194</v>
      </c>
      <c r="Q6" s="494">
        <v>5796</v>
      </c>
      <c r="R6" s="464">
        <v>1910</v>
      </c>
      <c r="S6" s="464">
        <v>4434</v>
      </c>
      <c r="T6" s="494">
        <v>6344</v>
      </c>
      <c r="U6" s="465">
        <v>2077</v>
      </c>
      <c r="V6" s="464">
        <v>4916</v>
      </c>
      <c r="W6" s="494">
        <v>6993</v>
      </c>
      <c r="X6" s="465">
        <v>2514</v>
      </c>
      <c r="Y6" s="464">
        <v>5779</v>
      </c>
      <c r="Z6" s="494">
        <f>SUM(X6:Y6)</f>
        <v>8293</v>
      </c>
      <c r="AA6" s="465">
        <v>2734</v>
      </c>
      <c r="AB6" s="464">
        <v>5448</v>
      </c>
      <c r="AC6" s="494">
        <f>SUM(AA6:AB6)</f>
        <v>8182</v>
      </c>
      <c r="AD6" s="465">
        <f>SUM('Aspirantes plan'!AE6:AE15)</f>
        <v>2816</v>
      </c>
      <c r="AE6" s="464">
        <f>SUM('Aspirantes plan'!AF6:AF15)</f>
        <v>6205</v>
      </c>
      <c r="AF6" s="494">
        <f>SUM(AD6:AE6)</f>
        <v>9021</v>
      </c>
      <c r="AG6" s="465">
        <f>SUM('Aspirantes plan'!AH6:AH15)</f>
        <v>2446</v>
      </c>
      <c r="AH6" s="464">
        <f>SUM('Aspirantes plan'!AI6:AI15)</f>
        <v>6503</v>
      </c>
      <c r="AI6" s="494">
        <f>SUM(AG6:AH6)</f>
        <v>8949</v>
      </c>
      <c r="AJ6" s="465">
        <f>SUM('Aspirantes plan'!AK6:AK15)</f>
        <v>2244</v>
      </c>
      <c r="AK6" s="464">
        <f>SUM('Aspirantes plan'!AL6:AL15)</f>
        <v>6852</v>
      </c>
      <c r="AL6" s="494">
        <f>SUM(AJ6:AK6)</f>
        <v>9096</v>
      </c>
      <c r="AM6" s="465">
        <f>SUM('Aspirantes plan'!AN6:AN15)</f>
        <v>2565</v>
      </c>
      <c r="AN6" s="464">
        <f>SUM('Aspirantes plan'!AO6:AO15)</f>
        <v>7543</v>
      </c>
      <c r="AO6" s="494">
        <f>SUM(AM6:AN6)</f>
        <v>10108</v>
      </c>
      <c r="AP6" s="465">
        <f>SUM('Aspirantes plan'!AQ6:AQ15)</f>
        <v>2767</v>
      </c>
      <c r="AQ6" s="464">
        <f>SUM('Aspirantes plan'!AR6:AR15)</f>
        <v>7593</v>
      </c>
      <c r="AR6" s="494">
        <f>SUM(AP6:AQ6)</f>
        <v>10360</v>
      </c>
      <c r="AS6" s="465">
        <f>SUM('Aspirantes plan'!AT6:AT15)</f>
        <v>2752</v>
      </c>
      <c r="AT6" s="464">
        <f>SUM('Aspirantes plan'!AU6:AU15)</f>
        <v>7599</v>
      </c>
      <c r="AU6" s="494">
        <f>SUM(AS6:AT6)</f>
        <v>10351</v>
      </c>
    </row>
    <row r="7" spans="1:47" s="186" customFormat="1" ht="15" customHeight="1" x14ac:dyDescent="0.2">
      <c r="A7" s="5690"/>
      <c r="B7" s="498" t="s">
        <v>6</v>
      </c>
      <c r="C7" s="468">
        <v>2549</v>
      </c>
      <c r="D7" s="467">
        <v>6571</v>
      </c>
      <c r="E7" s="499">
        <v>9120</v>
      </c>
      <c r="F7" s="468">
        <v>2550</v>
      </c>
      <c r="G7" s="467">
        <v>6937</v>
      </c>
      <c r="H7" s="499">
        <v>9487</v>
      </c>
      <c r="I7" s="468">
        <v>2840</v>
      </c>
      <c r="J7" s="467">
        <v>6836</v>
      </c>
      <c r="K7" s="500">
        <v>9676</v>
      </c>
      <c r="L7" s="467">
        <v>2952</v>
      </c>
      <c r="M7" s="467">
        <v>6157</v>
      </c>
      <c r="N7" s="500">
        <v>9109</v>
      </c>
      <c r="O7" s="467">
        <v>2807</v>
      </c>
      <c r="P7" s="467">
        <v>6644</v>
      </c>
      <c r="Q7" s="500">
        <v>9451</v>
      </c>
      <c r="R7" s="467">
        <v>3132</v>
      </c>
      <c r="S7" s="467">
        <v>6571</v>
      </c>
      <c r="T7" s="500">
        <v>9703</v>
      </c>
      <c r="U7" s="468">
        <v>3107</v>
      </c>
      <c r="V7" s="467">
        <v>6959</v>
      </c>
      <c r="W7" s="500">
        <v>10066</v>
      </c>
      <c r="X7" s="468">
        <v>3292</v>
      </c>
      <c r="Y7" s="467">
        <v>7583</v>
      </c>
      <c r="Z7" s="500">
        <f>SUM(X7:Y7)</f>
        <v>10875</v>
      </c>
      <c r="AA7" s="468">
        <v>3646</v>
      </c>
      <c r="AB7" s="467">
        <v>7200</v>
      </c>
      <c r="AC7" s="500">
        <f>SUM(AA7:AB7)</f>
        <v>10846</v>
      </c>
      <c r="AD7" s="468">
        <f>SUM('Aspirantes plan'!AE17:AE20)</f>
        <v>3555</v>
      </c>
      <c r="AE7" s="467">
        <f>SUM('Aspirantes plan'!AF17:AF20)</f>
        <v>8158</v>
      </c>
      <c r="AF7" s="500">
        <f>SUM(AD7:AE7)</f>
        <v>11713</v>
      </c>
      <c r="AG7" s="468">
        <f>SUM('Aspirantes plan'!AH17:AH20)</f>
        <v>3275</v>
      </c>
      <c r="AH7" s="467">
        <f>SUM('Aspirantes plan'!AI17:AI20)</f>
        <v>8110</v>
      </c>
      <c r="AI7" s="500">
        <f>SUM(AG7:AH7)</f>
        <v>11385</v>
      </c>
      <c r="AJ7" s="468">
        <f>SUM('Aspirantes plan'!AK17:AK20)</f>
        <v>2753</v>
      </c>
      <c r="AK7" s="467">
        <f>SUM('Aspirantes plan'!AL17:AL20)</f>
        <v>7999</v>
      </c>
      <c r="AL7" s="500">
        <f>SUM(AJ7:AK7)</f>
        <v>10752</v>
      </c>
      <c r="AM7" s="468">
        <f>SUM('Aspirantes plan'!AN17:AN20)</f>
        <v>3059</v>
      </c>
      <c r="AN7" s="467">
        <f>SUM('Aspirantes plan'!AO17:AO20)</f>
        <v>8359</v>
      </c>
      <c r="AO7" s="500">
        <f>SUM(AM7:AN7)</f>
        <v>11418</v>
      </c>
      <c r="AP7" s="468">
        <f>SUM('Aspirantes plan'!AQ17:AQ20)</f>
        <v>3060</v>
      </c>
      <c r="AQ7" s="467">
        <f>SUM('Aspirantes plan'!AR17:AR20)</f>
        <v>8231</v>
      </c>
      <c r="AR7" s="500">
        <f>SUM(AP7:AQ7)</f>
        <v>11291</v>
      </c>
      <c r="AS7" s="468">
        <f>SUM('Aspirantes plan'!AT17:AT20)</f>
        <v>2889</v>
      </c>
      <c r="AT7" s="467">
        <f>SUM('Aspirantes plan'!AU17:AU20)</f>
        <v>8089</v>
      </c>
      <c r="AU7" s="500">
        <f>SUM(AS7:AT7)</f>
        <v>10978</v>
      </c>
    </row>
    <row r="8" spans="1:47" s="186" customFormat="1" ht="15" customHeight="1" x14ac:dyDescent="0.2">
      <c r="A8" s="5690"/>
      <c r="B8" s="274" t="s">
        <v>7</v>
      </c>
      <c r="C8" s="275">
        <v>1427</v>
      </c>
      <c r="D8" s="276">
        <v>3655</v>
      </c>
      <c r="E8" s="585">
        <v>5082</v>
      </c>
      <c r="F8" s="275">
        <v>1519</v>
      </c>
      <c r="G8" s="276">
        <v>3865</v>
      </c>
      <c r="H8" s="585">
        <v>5384</v>
      </c>
      <c r="I8" s="275">
        <v>1635</v>
      </c>
      <c r="J8" s="276">
        <v>4043</v>
      </c>
      <c r="K8" s="586">
        <v>5678</v>
      </c>
      <c r="L8" s="276">
        <v>1712</v>
      </c>
      <c r="M8" s="276">
        <v>3677</v>
      </c>
      <c r="N8" s="586">
        <v>5389</v>
      </c>
      <c r="O8" s="276">
        <v>1774</v>
      </c>
      <c r="P8" s="276">
        <v>4347</v>
      </c>
      <c r="Q8" s="586">
        <v>6121</v>
      </c>
      <c r="R8" s="276">
        <v>2301</v>
      </c>
      <c r="S8" s="276">
        <v>4621</v>
      </c>
      <c r="T8" s="586">
        <v>6922</v>
      </c>
      <c r="U8" s="275">
        <v>2373</v>
      </c>
      <c r="V8" s="276">
        <v>5031</v>
      </c>
      <c r="W8" s="586">
        <v>7404</v>
      </c>
      <c r="X8" s="275">
        <v>2570</v>
      </c>
      <c r="Y8" s="276">
        <v>5798</v>
      </c>
      <c r="Z8" s="586">
        <f>SUM(X8:Y8)</f>
        <v>8368</v>
      </c>
      <c r="AA8" s="275">
        <v>2925</v>
      </c>
      <c r="AB8" s="276">
        <v>5433</v>
      </c>
      <c r="AC8" s="586">
        <f>SUM(AA8:AB8)</f>
        <v>8358</v>
      </c>
      <c r="AD8" s="275">
        <f>SUM('Aspirantes plan'!AE22:AE24)</f>
        <v>2899</v>
      </c>
      <c r="AE8" s="276">
        <f>SUM('Aspirantes plan'!AF22:AF24)</f>
        <v>6579</v>
      </c>
      <c r="AF8" s="586">
        <f>SUM(AD8:AE8)</f>
        <v>9478</v>
      </c>
      <c r="AG8" s="275">
        <f>SUM('Aspirantes plan'!AH22:AH24)</f>
        <v>2605</v>
      </c>
      <c r="AH8" s="276">
        <f>SUM('Aspirantes plan'!AI22:AI24)</f>
        <v>6052</v>
      </c>
      <c r="AI8" s="586">
        <f>SUM(AG8:AH8)</f>
        <v>8657</v>
      </c>
      <c r="AJ8" s="275">
        <f>SUM('Aspirantes plan'!AK22:AK24)</f>
        <v>2266</v>
      </c>
      <c r="AK8" s="276">
        <f>SUM('Aspirantes plan'!AL22:AL24)</f>
        <v>5719</v>
      </c>
      <c r="AL8" s="586">
        <f>SUM(AJ8:AK8)</f>
        <v>7985</v>
      </c>
      <c r="AM8" s="275">
        <f>SUM('Aspirantes plan'!AN22:AN24)</f>
        <v>2298</v>
      </c>
      <c r="AN8" s="276">
        <f>SUM('Aspirantes plan'!AO22:AO24)</f>
        <v>5473</v>
      </c>
      <c r="AO8" s="586">
        <f>SUM(AM8:AN8)</f>
        <v>7771</v>
      </c>
      <c r="AP8" s="275">
        <f>SUM('Aspirantes plan'!AQ22:AQ24)</f>
        <v>2211</v>
      </c>
      <c r="AQ8" s="276">
        <f>SUM('Aspirantes plan'!AR22:AR24)</f>
        <v>5501</v>
      </c>
      <c r="AR8" s="586">
        <f>SUM(AP8:AQ8)</f>
        <v>7712</v>
      </c>
      <c r="AS8" s="275">
        <f>SUM('Aspirantes plan'!AT22:AT24)</f>
        <v>2087</v>
      </c>
      <c r="AT8" s="276">
        <f>SUM('Aspirantes plan'!AU22:AU24)</f>
        <v>5266</v>
      </c>
      <c r="AU8" s="586">
        <f>SUM(AS8:AT8)</f>
        <v>7353</v>
      </c>
    </row>
    <row r="9" spans="1:47" s="188" customFormat="1" ht="15" customHeight="1" x14ac:dyDescent="0.2">
      <c r="A9" s="5691"/>
      <c r="B9" s="2231" t="s">
        <v>12</v>
      </c>
      <c r="C9" s="2232">
        <v>4959</v>
      </c>
      <c r="D9" s="2315">
        <v>14018</v>
      </c>
      <c r="E9" s="2315">
        <v>18977</v>
      </c>
      <c r="F9" s="2232">
        <v>5695</v>
      </c>
      <c r="G9" s="2315">
        <v>15667</v>
      </c>
      <c r="H9" s="2315">
        <v>21362</v>
      </c>
      <c r="I9" s="2232">
        <v>6317</v>
      </c>
      <c r="J9" s="2315">
        <v>15513</v>
      </c>
      <c r="K9" s="2316">
        <v>21830</v>
      </c>
      <c r="L9" s="2315">
        <v>6511</v>
      </c>
      <c r="M9" s="2315">
        <v>13785</v>
      </c>
      <c r="N9" s="2316">
        <v>20296</v>
      </c>
      <c r="O9" s="2315">
        <v>6183</v>
      </c>
      <c r="P9" s="2315">
        <v>15185</v>
      </c>
      <c r="Q9" s="2316">
        <v>21368</v>
      </c>
      <c r="R9" s="2315">
        <v>7343</v>
      </c>
      <c r="S9" s="2315">
        <v>15626</v>
      </c>
      <c r="T9" s="2316">
        <v>22969</v>
      </c>
      <c r="U9" s="2232">
        <v>7557</v>
      </c>
      <c r="V9" s="2315">
        <v>16906</v>
      </c>
      <c r="W9" s="2316">
        <v>24463</v>
      </c>
      <c r="X9" s="2232">
        <f>SUM(X6:X8)</f>
        <v>8376</v>
      </c>
      <c r="Y9" s="2315">
        <v>19160</v>
      </c>
      <c r="Z9" s="2316">
        <f>SUM(X9:Y9)</f>
        <v>27536</v>
      </c>
      <c r="AA9" s="2232">
        <f>SUM(AA6:AA8)</f>
        <v>9305</v>
      </c>
      <c r="AB9" s="2315">
        <v>18081</v>
      </c>
      <c r="AC9" s="2316">
        <f>SUM(AA9:AB9)</f>
        <v>27386</v>
      </c>
      <c r="AD9" s="2232">
        <f t="shared" ref="AD9:AI9" si="0">SUM(AD6:AD8)</f>
        <v>9270</v>
      </c>
      <c r="AE9" s="2315">
        <f t="shared" si="0"/>
        <v>20942</v>
      </c>
      <c r="AF9" s="2316">
        <f t="shared" si="0"/>
        <v>30212</v>
      </c>
      <c r="AG9" s="2232">
        <f t="shared" si="0"/>
        <v>8326</v>
      </c>
      <c r="AH9" s="2315">
        <f t="shared" si="0"/>
        <v>20665</v>
      </c>
      <c r="AI9" s="2316">
        <f t="shared" si="0"/>
        <v>28991</v>
      </c>
      <c r="AJ9" s="2232">
        <f t="shared" ref="AJ9:AO9" si="1">SUM(AJ6:AJ8)</f>
        <v>7263</v>
      </c>
      <c r="AK9" s="2315">
        <f t="shared" si="1"/>
        <v>20570</v>
      </c>
      <c r="AL9" s="2316">
        <f t="shared" si="1"/>
        <v>27833</v>
      </c>
      <c r="AM9" s="2232">
        <f t="shared" si="1"/>
        <v>7922</v>
      </c>
      <c r="AN9" s="2315">
        <f t="shared" si="1"/>
        <v>21375</v>
      </c>
      <c r="AO9" s="2316">
        <f t="shared" si="1"/>
        <v>29297</v>
      </c>
      <c r="AP9" s="2232">
        <f t="shared" ref="AP9:AU9" si="2">SUM(AP6:AP8)</f>
        <v>8038</v>
      </c>
      <c r="AQ9" s="2315">
        <f t="shared" si="2"/>
        <v>21325</v>
      </c>
      <c r="AR9" s="2316">
        <f t="shared" si="2"/>
        <v>29363</v>
      </c>
      <c r="AS9" s="2232">
        <f t="shared" si="2"/>
        <v>7728</v>
      </c>
      <c r="AT9" s="2315">
        <f t="shared" si="2"/>
        <v>20954</v>
      </c>
      <c r="AU9" s="2316">
        <f t="shared" si="2"/>
        <v>28682</v>
      </c>
    </row>
    <row r="10" spans="1:47" s="188" customFormat="1" ht="15" customHeight="1" x14ac:dyDescent="0.2">
      <c r="A10" s="1002"/>
      <c r="B10" s="757"/>
      <c r="C10" s="757"/>
      <c r="D10" s="757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</row>
    <row r="11" spans="1:47" s="188" customFormat="1" ht="15" customHeight="1" x14ac:dyDescent="0.2">
      <c r="A11" s="5693" t="s">
        <v>8</v>
      </c>
      <c r="B11" s="707" t="s">
        <v>6</v>
      </c>
      <c r="C11" s="465"/>
      <c r="D11" s="464"/>
      <c r="E11" s="493"/>
      <c r="F11" s="465"/>
      <c r="G11" s="464"/>
      <c r="H11" s="493"/>
      <c r="I11" s="465"/>
      <c r="J11" s="464">
        <v>482</v>
      </c>
      <c r="K11" s="494">
        <v>482</v>
      </c>
      <c r="L11" s="464"/>
      <c r="M11" s="464">
        <v>103</v>
      </c>
      <c r="N11" s="494">
        <v>103</v>
      </c>
      <c r="O11" s="464"/>
      <c r="P11" s="464">
        <v>170</v>
      </c>
      <c r="Q11" s="494">
        <v>170</v>
      </c>
      <c r="R11" s="464"/>
      <c r="S11" s="464">
        <v>222</v>
      </c>
      <c r="T11" s="494">
        <v>222</v>
      </c>
      <c r="U11" s="465"/>
      <c r="V11" s="464">
        <v>242</v>
      </c>
      <c r="W11" s="494">
        <v>242</v>
      </c>
      <c r="X11" s="465"/>
      <c r="Y11" s="464">
        <v>306</v>
      </c>
      <c r="Z11" s="494">
        <v>306</v>
      </c>
      <c r="AA11" s="465"/>
      <c r="AB11" s="464">
        <v>321</v>
      </c>
      <c r="AC11" s="494">
        <v>321</v>
      </c>
      <c r="AD11" s="465">
        <f>SUM('Aspirantes plan'!AE80:AE83)</f>
        <v>0</v>
      </c>
      <c r="AE11" s="464">
        <f>SUM('Aspirantes plan'!AF80:AF83)</f>
        <v>334</v>
      </c>
      <c r="AF11" s="494">
        <f>SUM(AD11:AE11)</f>
        <v>334</v>
      </c>
      <c r="AG11" s="465">
        <f>SUM('Aspirantes plan'!AH80:AH83)</f>
        <v>0</v>
      </c>
      <c r="AH11" s="464">
        <f>SUM('Aspirantes plan'!AI80:AI83)</f>
        <v>716</v>
      </c>
      <c r="AI11" s="494">
        <f>SUM(AG11:AH11)</f>
        <v>716</v>
      </c>
      <c r="AJ11" s="465">
        <f>SUM('Aspirantes plan'!AK80:AK83)</f>
        <v>363</v>
      </c>
      <c r="AK11" s="464">
        <f>SUM('Aspirantes plan'!AL80:AL83)</f>
        <v>788</v>
      </c>
      <c r="AL11" s="494">
        <f>SUM(AJ11:AK11)</f>
        <v>1151</v>
      </c>
      <c r="AM11" s="465">
        <f>SUM('Aspirantes plan'!AN80:AN83)</f>
        <v>458</v>
      </c>
      <c r="AN11" s="464">
        <f>SUM('Aspirantes plan'!AO80:AO83)</f>
        <v>1130</v>
      </c>
      <c r="AO11" s="494">
        <f>SUM(AM11:AN11)</f>
        <v>1588</v>
      </c>
      <c r="AP11" s="465">
        <f>SUM('Aspirantes plan'!AQ80:AQ83)</f>
        <v>470</v>
      </c>
      <c r="AQ11" s="464">
        <f>SUM('Aspirantes plan'!AR80:AR83)</f>
        <v>1572</v>
      </c>
      <c r="AR11" s="494">
        <f>SUM(AP11:AQ11)</f>
        <v>2042</v>
      </c>
      <c r="AS11" s="465">
        <f>SUM('Aspirantes plan'!AT80:AT83)</f>
        <v>385</v>
      </c>
      <c r="AT11" s="464">
        <f>SUM('Aspirantes plan'!AU80:AU83)</f>
        <v>1608</v>
      </c>
      <c r="AU11" s="494">
        <f>SUM(AS11:AT11)</f>
        <v>1993</v>
      </c>
    </row>
    <row r="12" spans="1:47" s="188" customFormat="1" ht="15" customHeight="1" x14ac:dyDescent="0.2">
      <c r="A12" s="5694"/>
      <c r="B12" s="708" t="s">
        <v>9</v>
      </c>
      <c r="C12" s="468"/>
      <c r="D12" s="467"/>
      <c r="E12" s="499"/>
      <c r="F12" s="468"/>
      <c r="G12" s="467"/>
      <c r="H12" s="499"/>
      <c r="I12" s="468"/>
      <c r="J12" s="467">
        <v>135</v>
      </c>
      <c r="K12" s="500">
        <v>135</v>
      </c>
      <c r="L12" s="467"/>
      <c r="M12" s="467">
        <v>89</v>
      </c>
      <c r="N12" s="500">
        <v>89</v>
      </c>
      <c r="O12" s="467"/>
      <c r="P12" s="467">
        <v>588</v>
      </c>
      <c r="Q12" s="500">
        <v>588</v>
      </c>
      <c r="R12" s="467"/>
      <c r="S12" s="467">
        <v>685</v>
      </c>
      <c r="T12" s="500">
        <v>685</v>
      </c>
      <c r="U12" s="468"/>
      <c r="V12" s="467">
        <v>879</v>
      </c>
      <c r="W12" s="500">
        <v>879</v>
      </c>
      <c r="X12" s="468"/>
      <c r="Y12" s="467">
        <v>1094</v>
      </c>
      <c r="Z12" s="500">
        <v>1094</v>
      </c>
      <c r="AA12" s="468"/>
      <c r="AB12" s="467">
        <v>1011</v>
      </c>
      <c r="AC12" s="500">
        <v>1011</v>
      </c>
      <c r="AD12" s="468">
        <f>SUM('Aspirantes plan'!AE85:AE87)</f>
        <v>0</v>
      </c>
      <c r="AE12" s="467">
        <f>SUM('Aspirantes plan'!AF85:AF87)</f>
        <v>1001</v>
      </c>
      <c r="AF12" s="500">
        <f>SUM(AD12:AE12)</f>
        <v>1001</v>
      </c>
      <c r="AG12" s="468">
        <f>SUM('Aspirantes plan'!AH85:AH87)</f>
        <v>0</v>
      </c>
      <c r="AH12" s="467">
        <f>SUM('Aspirantes plan'!AI85:AI87)</f>
        <v>1887</v>
      </c>
      <c r="AI12" s="500">
        <f>SUM(AG12:AH12)</f>
        <v>1887</v>
      </c>
      <c r="AJ12" s="468">
        <f>SUM('Aspirantes plan'!AK85:AK87)</f>
        <v>0</v>
      </c>
      <c r="AK12" s="467">
        <f>SUM('Aspirantes plan'!AL85:AL87)</f>
        <v>1920</v>
      </c>
      <c r="AL12" s="500">
        <f>SUM(AJ12:AK12)</f>
        <v>1920</v>
      </c>
      <c r="AM12" s="468">
        <f>SUM('Aspirantes plan'!AN85:AN87)</f>
        <v>0</v>
      </c>
      <c r="AN12" s="467">
        <f>SUM('Aspirantes plan'!AO85:AO87)</f>
        <v>1926</v>
      </c>
      <c r="AO12" s="500">
        <f>SUM(AM12:AN12)</f>
        <v>1926</v>
      </c>
      <c r="AP12" s="468">
        <f>SUM('Aspirantes plan'!AQ85:AQ87)</f>
        <v>0</v>
      </c>
      <c r="AQ12" s="467">
        <f>SUM('Aspirantes plan'!AR85:AR87)</f>
        <v>1866</v>
      </c>
      <c r="AR12" s="500">
        <f>SUM(AP12:AQ12)</f>
        <v>1866</v>
      </c>
      <c r="AS12" s="468">
        <f>SUM('Aspirantes plan'!AT85:AT87)</f>
        <v>0</v>
      </c>
      <c r="AT12" s="467">
        <f>SUM('Aspirantes plan'!AU85:AU87)</f>
        <v>1892</v>
      </c>
      <c r="AU12" s="500">
        <f>SUM(AS12:AT12)</f>
        <v>1892</v>
      </c>
    </row>
    <row r="13" spans="1:47" s="188" customFormat="1" ht="15" customHeight="1" x14ac:dyDescent="0.2">
      <c r="A13" s="5694"/>
      <c r="B13" s="274" t="s">
        <v>74</v>
      </c>
      <c r="C13" s="275"/>
      <c r="D13" s="276"/>
      <c r="E13" s="585"/>
      <c r="F13" s="275"/>
      <c r="G13" s="276"/>
      <c r="H13" s="585"/>
      <c r="I13" s="275"/>
      <c r="J13" s="276">
        <v>209</v>
      </c>
      <c r="K13" s="586">
        <v>209</v>
      </c>
      <c r="L13" s="276"/>
      <c r="M13" s="276">
        <v>94</v>
      </c>
      <c r="N13" s="586">
        <v>94</v>
      </c>
      <c r="O13" s="276"/>
      <c r="P13" s="276">
        <v>169</v>
      </c>
      <c r="Q13" s="586">
        <v>169</v>
      </c>
      <c r="R13" s="276"/>
      <c r="S13" s="276">
        <v>246</v>
      </c>
      <c r="T13" s="586">
        <v>246</v>
      </c>
      <c r="U13" s="275"/>
      <c r="V13" s="276">
        <v>241</v>
      </c>
      <c r="W13" s="586">
        <v>241</v>
      </c>
      <c r="X13" s="275"/>
      <c r="Y13" s="276">
        <v>444</v>
      </c>
      <c r="Z13" s="586">
        <v>444</v>
      </c>
      <c r="AA13" s="275"/>
      <c r="AB13" s="276">
        <v>380</v>
      </c>
      <c r="AC13" s="500">
        <v>380</v>
      </c>
      <c r="AD13" s="275">
        <f>SUM('Aspirantes plan'!AE89:AE92)</f>
        <v>0</v>
      </c>
      <c r="AE13" s="276">
        <f>SUM('Aspirantes plan'!AF89:AF92)</f>
        <v>363</v>
      </c>
      <c r="AF13" s="586">
        <f>SUM(AD13:AE13)</f>
        <v>363</v>
      </c>
      <c r="AG13" s="275">
        <f>SUM('Aspirantes plan'!AH89:AH92)</f>
        <v>0</v>
      </c>
      <c r="AH13" s="276">
        <f>SUM('Aspirantes plan'!AI89:AI92)</f>
        <v>770</v>
      </c>
      <c r="AI13" s="586">
        <f>SUM(AG13:AH13)</f>
        <v>770</v>
      </c>
      <c r="AJ13" s="275">
        <f>SUM('Aspirantes plan'!AK89:AK92)</f>
        <v>0</v>
      </c>
      <c r="AK13" s="276">
        <f>SUM('Aspirantes plan'!AL89:AL92)</f>
        <v>849</v>
      </c>
      <c r="AL13" s="586">
        <f>SUM(AJ13:AK13)</f>
        <v>849</v>
      </c>
      <c r="AM13" s="275">
        <f>SUM('Aspirantes plan'!AN89:AN92)</f>
        <v>0</v>
      </c>
      <c r="AN13" s="276">
        <f>SUM('Aspirantes plan'!AO89:AO92)</f>
        <v>955</v>
      </c>
      <c r="AO13" s="586">
        <f>SUM(AM13:AN13)</f>
        <v>955</v>
      </c>
      <c r="AP13" s="275">
        <f>SUM('Aspirantes plan'!AQ89:AQ92)</f>
        <v>0</v>
      </c>
      <c r="AQ13" s="276">
        <f>SUM('Aspirantes plan'!AR89:AR92)</f>
        <v>1005</v>
      </c>
      <c r="AR13" s="586">
        <f>SUM(AP13:AQ13)</f>
        <v>1005</v>
      </c>
      <c r="AS13" s="275">
        <f>SUM('Aspirantes plan'!AT89:AT92)</f>
        <v>0</v>
      </c>
      <c r="AT13" s="276">
        <f>SUM('Aspirantes plan'!AU89:AU92)</f>
        <v>993</v>
      </c>
      <c r="AU13" s="586">
        <f>SUM(AS13:AT13)</f>
        <v>993</v>
      </c>
    </row>
    <row r="14" spans="1:47" s="188" customFormat="1" ht="15" customHeight="1" x14ac:dyDescent="0.2">
      <c r="A14" s="5695"/>
      <c r="B14" s="2228" t="s">
        <v>12</v>
      </c>
      <c r="C14" s="2229"/>
      <c r="D14" s="2317"/>
      <c r="E14" s="2317"/>
      <c r="F14" s="2229"/>
      <c r="G14" s="2317"/>
      <c r="H14" s="2317"/>
      <c r="I14" s="2229"/>
      <c r="J14" s="2317">
        <v>826</v>
      </c>
      <c r="K14" s="2318">
        <v>826</v>
      </c>
      <c r="L14" s="2317"/>
      <c r="M14" s="2317">
        <v>286</v>
      </c>
      <c r="N14" s="2318">
        <v>286</v>
      </c>
      <c r="O14" s="2317"/>
      <c r="P14" s="2317">
        <v>927</v>
      </c>
      <c r="Q14" s="2318">
        <v>927</v>
      </c>
      <c r="R14" s="2317"/>
      <c r="S14" s="2317">
        <v>1153</v>
      </c>
      <c r="T14" s="2318">
        <v>1153</v>
      </c>
      <c r="U14" s="2229"/>
      <c r="V14" s="2317">
        <v>1362</v>
      </c>
      <c r="W14" s="2318">
        <v>1362</v>
      </c>
      <c r="X14" s="2229"/>
      <c r="Y14" s="2317">
        <v>1844</v>
      </c>
      <c r="Z14" s="2318">
        <v>1844</v>
      </c>
      <c r="AA14" s="2229"/>
      <c r="AB14" s="2317">
        <v>1712</v>
      </c>
      <c r="AC14" s="2318">
        <v>1712</v>
      </c>
      <c r="AD14" s="2229">
        <f t="shared" ref="AD14:AI14" si="3">SUM(AD11:AD13)</f>
        <v>0</v>
      </c>
      <c r="AE14" s="2317">
        <f t="shared" si="3"/>
        <v>1698</v>
      </c>
      <c r="AF14" s="2318">
        <f t="shared" si="3"/>
        <v>1698</v>
      </c>
      <c r="AG14" s="2229">
        <f t="shared" si="3"/>
        <v>0</v>
      </c>
      <c r="AH14" s="2317">
        <f t="shared" si="3"/>
        <v>3373</v>
      </c>
      <c r="AI14" s="2318">
        <f t="shared" si="3"/>
        <v>3373</v>
      </c>
      <c r="AJ14" s="2229">
        <f t="shared" ref="AJ14:AO14" si="4">SUM(AJ11:AJ13)</f>
        <v>363</v>
      </c>
      <c r="AK14" s="2317">
        <f t="shared" si="4"/>
        <v>3557</v>
      </c>
      <c r="AL14" s="2318">
        <f t="shared" si="4"/>
        <v>3920</v>
      </c>
      <c r="AM14" s="2229">
        <f t="shared" si="4"/>
        <v>458</v>
      </c>
      <c r="AN14" s="2317">
        <f t="shared" si="4"/>
        <v>4011</v>
      </c>
      <c r="AO14" s="2318">
        <f t="shared" si="4"/>
        <v>4469</v>
      </c>
      <c r="AP14" s="2229">
        <f t="shared" ref="AP14:AU14" si="5">SUM(AP11:AP13)</f>
        <v>470</v>
      </c>
      <c r="AQ14" s="2317">
        <f t="shared" si="5"/>
        <v>4443</v>
      </c>
      <c r="AR14" s="2318">
        <f t="shared" si="5"/>
        <v>4913</v>
      </c>
      <c r="AS14" s="2229">
        <f t="shared" si="5"/>
        <v>385</v>
      </c>
      <c r="AT14" s="2317">
        <f t="shared" si="5"/>
        <v>4493</v>
      </c>
      <c r="AU14" s="2318">
        <f t="shared" si="5"/>
        <v>4878</v>
      </c>
    </row>
    <row r="15" spans="1:47" s="188" customFormat="1" ht="15" customHeight="1" x14ac:dyDescent="0.2"/>
    <row r="16" spans="1:47" s="186" customFormat="1" ht="15" customHeight="1" x14ac:dyDescent="0.2">
      <c r="A16" s="5686" t="s">
        <v>75</v>
      </c>
      <c r="B16" s="492" t="s">
        <v>5</v>
      </c>
      <c r="C16" s="465">
        <v>1159</v>
      </c>
      <c r="D16" s="464">
        <v>2440</v>
      </c>
      <c r="E16" s="493">
        <v>3599</v>
      </c>
      <c r="F16" s="465">
        <v>902</v>
      </c>
      <c r="G16" s="464">
        <v>2050</v>
      </c>
      <c r="H16" s="493">
        <v>2952</v>
      </c>
      <c r="I16" s="465">
        <v>978</v>
      </c>
      <c r="J16" s="464">
        <v>2254</v>
      </c>
      <c r="K16" s="494">
        <v>3232</v>
      </c>
      <c r="L16" s="464">
        <v>1062</v>
      </c>
      <c r="M16" s="464">
        <v>1947</v>
      </c>
      <c r="N16" s="494">
        <v>3009</v>
      </c>
      <c r="O16" s="464">
        <v>850</v>
      </c>
      <c r="P16" s="464">
        <v>2003</v>
      </c>
      <c r="Q16" s="494">
        <v>2853</v>
      </c>
      <c r="R16" s="464">
        <v>965</v>
      </c>
      <c r="S16" s="464">
        <v>2088</v>
      </c>
      <c r="T16" s="494">
        <v>3053</v>
      </c>
      <c r="U16" s="465">
        <v>983</v>
      </c>
      <c r="V16" s="464">
        <v>2386</v>
      </c>
      <c r="W16" s="494">
        <v>3369</v>
      </c>
      <c r="X16" s="465">
        <v>269</v>
      </c>
      <c r="Y16" s="464">
        <v>2835</v>
      </c>
      <c r="Z16" s="494">
        <f>SUM(X16:Y16)</f>
        <v>3104</v>
      </c>
      <c r="AA16" s="465">
        <v>316</v>
      </c>
      <c r="AB16" s="464">
        <v>2765</v>
      </c>
      <c r="AC16" s="494">
        <f>SUM(AA16:AB16)</f>
        <v>3081</v>
      </c>
      <c r="AD16" s="465">
        <f>SUM('Aspirantes plan'!AE27:AE35)</f>
        <v>320</v>
      </c>
      <c r="AE16" s="464">
        <f>SUM('Aspirantes plan'!AF27:AF35)</f>
        <v>3270</v>
      </c>
      <c r="AF16" s="494">
        <f>SUM(AD16:AE16)</f>
        <v>3590</v>
      </c>
      <c r="AG16" s="465">
        <f>SUM('Aspirantes plan'!AH27:AH35)</f>
        <v>385</v>
      </c>
      <c r="AH16" s="464">
        <f>SUM('Aspirantes plan'!AI27:AI35)</f>
        <v>3268</v>
      </c>
      <c r="AI16" s="494">
        <f>SUM(AG16:AH16)</f>
        <v>3653</v>
      </c>
      <c r="AJ16" s="465">
        <f>SUM('Aspirantes plan'!AK27:AK35)</f>
        <v>360</v>
      </c>
      <c r="AK16" s="464">
        <f>SUM('Aspirantes plan'!AL27:AL35)</f>
        <v>3274</v>
      </c>
      <c r="AL16" s="494">
        <f>SUM(AJ16:AK16)</f>
        <v>3634</v>
      </c>
      <c r="AM16" s="465">
        <f>SUM('Aspirantes plan'!AN27:AN35)</f>
        <v>436</v>
      </c>
      <c r="AN16" s="464">
        <f>SUM('Aspirantes plan'!AO27:AO35)</f>
        <v>3695</v>
      </c>
      <c r="AO16" s="494">
        <f>SUM(AM16:AN16)</f>
        <v>4131</v>
      </c>
      <c r="AP16" s="465">
        <f>SUM('Aspirantes plan'!AQ27:AQ35)</f>
        <v>396</v>
      </c>
      <c r="AQ16" s="464">
        <f>SUM('Aspirantes plan'!AR27:AR36)</f>
        <v>3979</v>
      </c>
      <c r="AR16" s="494">
        <f>SUM(AP16:AQ16)</f>
        <v>4375</v>
      </c>
      <c r="AS16" s="465">
        <f>SUM('Aspirantes plan'!AT27:AT35)</f>
        <v>0</v>
      </c>
      <c r="AT16" s="464">
        <f>SUM('Aspirantes plan'!AU27:AU36)</f>
        <v>3933</v>
      </c>
      <c r="AU16" s="494">
        <f>SUM(AS16:AT16)</f>
        <v>3933</v>
      </c>
    </row>
    <row r="17" spans="1:47" s="186" customFormat="1" ht="15" customHeight="1" x14ac:dyDescent="0.2">
      <c r="A17" s="5687"/>
      <c r="B17" s="498" t="s">
        <v>6</v>
      </c>
      <c r="C17" s="468">
        <v>1046</v>
      </c>
      <c r="D17" s="467">
        <v>3757</v>
      </c>
      <c r="E17" s="499">
        <v>4803</v>
      </c>
      <c r="F17" s="468">
        <v>913</v>
      </c>
      <c r="G17" s="467">
        <v>3561</v>
      </c>
      <c r="H17" s="499">
        <v>4474</v>
      </c>
      <c r="I17" s="468">
        <v>1024</v>
      </c>
      <c r="J17" s="467">
        <v>3941</v>
      </c>
      <c r="K17" s="500">
        <v>4965</v>
      </c>
      <c r="L17" s="467">
        <v>1060</v>
      </c>
      <c r="M17" s="467">
        <v>4203</v>
      </c>
      <c r="N17" s="500">
        <v>5263</v>
      </c>
      <c r="O17" s="467">
        <v>1072</v>
      </c>
      <c r="P17" s="467">
        <v>4348</v>
      </c>
      <c r="Q17" s="500">
        <v>5420</v>
      </c>
      <c r="R17" s="467">
        <v>1146</v>
      </c>
      <c r="S17" s="467">
        <v>4829</v>
      </c>
      <c r="T17" s="500">
        <v>5975</v>
      </c>
      <c r="U17" s="468">
        <v>1197</v>
      </c>
      <c r="V17" s="467">
        <v>5275</v>
      </c>
      <c r="W17" s="500">
        <v>6472</v>
      </c>
      <c r="X17" s="468">
        <v>1376</v>
      </c>
      <c r="Y17" s="467">
        <v>6022</v>
      </c>
      <c r="Z17" s="500">
        <f>SUM(X17:Y17)</f>
        <v>7398</v>
      </c>
      <c r="AA17" s="468">
        <v>1523</v>
      </c>
      <c r="AB17" s="467">
        <v>5800</v>
      </c>
      <c r="AC17" s="500">
        <f>SUM(AA17:AB17)</f>
        <v>7323</v>
      </c>
      <c r="AD17" s="468">
        <f>SUM('Aspirantes plan'!AE38:AE48)</f>
        <v>1555</v>
      </c>
      <c r="AE17" s="467">
        <f>SUM('Aspirantes plan'!AF38:AF48)</f>
        <v>6758</v>
      </c>
      <c r="AF17" s="500">
        <f>SUM(AD17:AE17)</f>
        <v>8313</v>
      </c>
      <c r="AG17" s="468">
        <f>SUM('Aspirantes plan'!AH38:AH48)</f>
        <v>1470</v>
      </c>
      <c r="AH17" s="467">
        <f>SUM('Aspirantes plan'!AI38:AI48)</f>
        <v>6737</v>
      </c>
      <c r="AI17" s="500">
        <f>SUM(AG17:AH17)</f>
        <v>8207</v>
      </c>
      <c r="AJ17" s="468">
        <f>SUM('Aspirantes plan'!AK38:AK48)</f>
        <v>1292</v>
      </c>
      <c r="AK17" s="467">
        <f>SUM('Aspirantes plan'!AL38:AL48)</f>
        <v>6544</v>
      </c>
      <c r="AL17" s="500">
        <f>SUM(AJ17:AK17)</f>
        <v>7836</v>
      </c>
      <c r="AM17" s="468">
        <f>SUM('Aspirantes plan'!AN38:AN48)</f>
        <v>1416</v>
      </c>
      <c r="AN17" s="467">
        <f>SUM('Aspirantes plan'!AO38:AO48)</f>
        <v>6739</v>
      </c>
      <c r="AO17" s="500">
        <f>SUM(AM17:AN17)</f>
        <v>8155</v>
      </c>
      <c r="AP17" s="468">
        <f>SUM('Aspirantes plan'!AQ38:AQ48)</f>
        <v>1421</v>
      </c>
      <c r="AQ17" s="467">
        <f>SUM('Aspirantes plan'!AR38:AR48)</f>
        <v>6678</v>
      </c>
      <c r="AR17" s="500">
        <f>SUM(AP17:AQ17)</f>
        <v>8099</v>
      </c>
      <c r="AS17" s="468">
        <f>SUM('Aspirantes plan'!AT38:AT48)</f>
        <v>1298</v>
      </c>
      <c r="AT17" s="467">
        <f>SUM('Aspirantes plan'!AU38:AU48)</f>
        <v>6545</v>
      </c>
      <c r="AU17" s="500">
        <f>SUM(AS17:AT17)</f>
        <v>7843</v>
      </c>
    </row>
    <row r="18" spans="1:47" s="186" customFormat="1" ht="15" customHeight="1" x14ac:dyDescent="0.2">
      <c r="A18" s="5687"/>
      <c r="B18" s="274" t="s">
        <v>11</v>
      </c>
      <c r="C18" s="275">
        <v>340</v>
      </c>
      <c r="D18" s="276">
        <v>854</v>
      </c>
      <c r="E18" s="585">
        <v>1194</v>
      </c>
      <c r="F18" s="275">
        <v>332</v>
      </c>
      <c r="G18" s="276">
        <v>917</v>
      </c>
      <c r="H18" s="585">
        <v>1249</v>
      </c>
      <c r="I18" s="275">
        <v>339</v>
      </c>
      <c r="J18" s="276">
        <v>1021</v>
      </c>
      <c r="K18" s="586">
        <v>1360</v>
      </c>
      <c r="L18" s="276">
        <v>414</v>
      </c>
      <c r="M18" s="276">
        <v>1070</v>
      </c>
      <c r="N18" s="586">
        <v>1484</v>
      </c>
      <c r="O18" s="276">
        <v>401</v>
      </c>
      <c r="P18" s="276">
        <v>1044</v>
      </c>
      <c r="Q18" s="586">
        <v>1445</v>
      </c>
      <c r="R18" s="276">
        <v>498</v>
      </c>
      <c r="S18" s="276">
        <v>1398</v>
      </c>
      <c r="T18" s="586">
        <v>1896</v>
      </c>
      <c r="U18" s="275">
        <v>581</v>
      </c>
      <c r="V18" s="276">
        <v>1615</v>
      </c>
      <c r="W18" s="586">
        <v>2196</v>
      </c>
      <c r="X18" s="275">
        <v>664</v>
      </c>
      <c r="Y18" s="276">
        <v>1730</v>
      </c>
      <c r="Z18" s="586">
        <f>SUM(X18:Y18)</f>
        <v>2394</v>
      </c>
      <c r="AA18" s="275">
        <v>886</v>
      </c>
      <c r="AB18" s="276">
        <v>1718</v>
      </c>
      <c r="AC18" s="500">
        <f>SUM(AA18:AB18)</f>
        <v>2604</v>
      </c>
      <c r="AD18" s="275">
        <f>SUM('Aspirantes plan'!AE50:AE55)</f>
        <v>858</v>
      </c>
      <c r="AE18" s="276">
        <f>SUM('Aspirantes plan'!AF50:AF55)</f>
        <v>1970</v>
      </c>
      <c r="AF18" s="586">
        <f>SUM(AD18:AE18)</f>
        <v>2828</v>
      </c>
      <c r="AG18" s="275">
        <f>SUM('Aspirantes plan'!AH50:AH55)</f>
        <v>810</v>
      </c>
      <c r="AH18" s="276">
        <f>SUM('Aspirantes plan'!AI50:AI55)</f>
        <v>2020</v>
      </c>
      <c r="AI18" s="586">
        <f>SUM(AG18:AH18)</f>
        <v>2830</v>
      </c>
      <c r="AJ18" s="275">
        <f>SUM('Aspirantes plan'!AK50:AK55)</f>
        <v>782</v>
      </c>
      <c r="AK18" s="276">
        <f>SUM('Aspirantes plan'!AL50:AL55)</f>
        <v>2191</v>
      </c>
      <c r="AL18" s="586">
        <f>SUM(AJ18:AK18)</f>
        <v>2973</v>
      </c>
      <c r="AM18" s="275">
        <f>SUM('Aspirantes plan'!AN50:AN55)</f>
        <v>887</v>
      </c>
      <c r="AN18" s="276">
        <f>SUM('Aspirantes plan'!AO50:AO55)</f>
        <v>2228</v>
      </c>
      <c r="AO18" s="586">
        <f>SUM(AM18:AN18)</f>
        <v>3115</v>
      </c>
      <c r="AP18" s="275">
        <f>SUM('Aspirantes plan'!AQ50:AQ55)</f>
        <v>910</v>
      </c>
      <c r="AQ18" s="276">
        <f>SUM('Aspirantes plan'!AR50:AR55)</f>
        <v>2257</v>
      </c>
      <c r="AR18" s="586">
        <f>SUM(AP18:AQ18)</f>
        <v>3167</v>
      </c>
      <c r="AS18" s="275">
        <f>SUM('Aspirantes plan'!AT50:AT55)</f>
        <v>923</v>
      </c>
      <c r="AT18" s="276">
        <f>SUM('Aspirantes plan'!AU50:AU55)</f>
        <v>2276</v>
      </c>
      <c r="AU18" s="586">
        <f>SUM(AS18:AT18)</f>
        <v>3199</v>
      </c>
    </row>
    <row r="19" spans="1:47" s="188" customFormat="1" ht="15" customHeight="1" x14ac:dyDescent="0.2">
      <c r="A19" s="5688"/>
      <c r="B19" s="2225" t="s">
        <v>12</v>
      </c>
      <c r="C19" s="2226">
        <v>2545</v>
      </c>
      <c r="D19" s="2313">
        <v>7051</v>
      </c>
      <c r="E19" s="2313">
        <v>9596</v>
      </c>
      <c r="F19" s="2226">
        <v>2147</v>
      </c>
      <c r="G19" s="2313">
        <v>6528</v>
      </c>
      <c r="H19" s="2313">
        <v>8675</v>
      </c>
      <c r="I19" s="2226">
        <v>2341</v>
      </c>
      <c r="J19" s="2313">
        <v>7216</v>
      </c>
      <c r="K19" s="2314">
        <v>9557</v>
      </c>
      <c r="L19" s="2313">
        <v>2536</v>
      </c>
      <c r="M19" s="2313">
        <v>7220</v>
      </c>
      <c r="N19" s="2314">
        <v>9756</v>
      </c>
      <c r="O19" s="2313">
        <v>2323</v>
      </c>
      <c r="P19" s="2313">
        <v>7395</v>
      </c>
      <c r="Q19" s="2314">
        <v>9718</v>
      </c>
      <c r="R19" s="2313">
        <v>2609</v>
      </c>
      <c r="S19" s="2313">
        <v>8315</v>
      </c>
      <c r="T19" s="2314">
        <v>10924</v>
      </c>
      <c r="U19" s="2226">
        <v>2761</v>
      </c>
      <c r="V19" s="2313">
        <v>9276</v>
      </c>
      <c r="W19" s="2314">
        <v>12037</v>
      </c>
      <c r="X19" s="2226">
        <f>SUM(X16:X18)</f>
        <v>2309</v>
      </c>
      <c r="Y19" s="2313">
        <v>10587</v>
      </c>
      <c r="Z19" s="2314">
        <f>SUM(X19:Y19)</f>
        <v>12896</v>
      </c>
      <c r="AA19" s="2226">
        <f>SUM(AA16:AA18)</f>
        <v>2725</v>
      </c>
      <c r="AB19" s="2313">
        <v>10283</v>
      </c>
      <c r="AC19" s="2314">
        <f>SUM(AA19:AB19)</f>
        <v>13008</v>
      </c>
      <c r="AD19" s="2226">
        <f t="shared" ref="AD19:AI19" si="6">SUM(AD16:AD18)</f>
        <v>2733</v>
      </c>
      <c r="AE19" s="2313">
        <f t="shared" si="6"/>
        <v>11998</v>
      </c>
      <c r="AF19" s="2314">
        <f t="shared" si="6"/>
        <v>14731</v>
      </c>
      <c r="AG19" s="2226">
        <f t="shared" si="6"/>
        <v>2665</v>
      </c>
      <c r="AH19" s="2313">
        <f t="shared" si="6"/>
        <v>12025</v>
      </c>
      <c r="AI19" s="2314">
        <f t="shared" si="6"/>
        <v>14690</v>
      </c>
      <c r="AJ19" s="2226">
        <f t="shared" ref="AJ19:AO19" si="7">SUM(AJ16:AJ18)</f>
        <v>2434</v>
      </c>
      <c r="AK19" s="2313">
        <f t="shared" si="7"/>
        <v>12009</v>
      </c>
      <c r="AL19" s="2314">
        <f t="shared" si="7"/>
        <v>14443</v>
      </c>
      <c r="AM19" s="2226">
        <f t="shared" si="7"/>
        <v>2739</v>
      </c>
      <c r="AN19" s="2313">
        <f t="shared" si="7"/>
        <v>12662</v>
      </c>
      <c r="AO19" s="2314">
        <f t="shared" si="7"/>
        <v>15401</v>
      </c>
      <c r="AP19" s="2226">
        <f t="shared" ref="AP19:AU19" si="8">SUM(AP16:AP18)</f>
        <v>2727</v>
      </c>
      <c r="AQ19" s="2313">
        <f t="shared" si="8"/>
        <v>12914</v>
      </c>
      <c r="AR19" s="2314">
        <f t="shared" si="8"/>
        <v>15641</v>
      </c>
      <c r="AS19" s="2226">
        <f t="shared" si="8"/>
        <v>2221</v>
      </c>
      <c r="AT19" s="2313">
        <f t="shared" si="8"/>
        <v>12754</v>
      </c>
      <c r="AU19" s="2314">
        <f t="shared" si="8"/>
        <v>14975</v>
      </c>
    </row>
    <row r="20" spans="1:47" s="188" customFormat="1" ht="15" customHeight="1" x14ac:dyDescent="0.2"/>
    <row r="21" spans="1:47" s="186" customFormat="1" ht="15" customHeight="1" x14ac:dyDescent="0.2">
      <c r="A21" s="5692" t="s">
        <v>325</v>
      </c>
      <c r="B21" s="492" t="s">
        <v>5</v>
      </c>
      <c r="C21" s="699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4"/>
      <c r="AA21" s="465">
        <v>21</v>
      </c>
      <c r="AB21" s="464">
        <v>46</v>
      </c>
      <c r="AC21" s="494">
        <f>SUM(AA21:AB21)</f>
        <v>67</v>
      </c>
      <c r="AD21" s="465">
        <f>SUM('Aspirantes plan'!AE95)</f>
        <v>0</v>
      </c>
      <c r="AE21" s="464">
        <f>SUM('Aspirantes plan'!AF95)</f>
        <v>33</v>
      </c>
      <c r="AF21" s="494">
        <f>SUM(AD21:AE21)</f>
        <v>33</v>
      </c>
      <c r="AG21" s="465">
        <f>SUM('Aspirantes plan'!AH95)</f>
        <v>20</v>
      </c>
      <c r="AH21" s="464">
        <f>SUM('Aspirantes plan'!AI95)</f>
        <v>40</v>
      </c>
      <c r="AI21" s="494">
        <f>SUM(AG21:AH21)</f>
        <v>60</v>
      </c>
      <c r="AJ21" s="465">
        <f>SUM('Aspirantes plan'!AK95)</f>
        <v>21</v>
      </c>
      <c r="AK21" s="464">
        <f>SUM('Aspirantes plan'!AL95)</f>
        <v>45</v>
      </c>
      <c r="AL21" s="494">
        <f>SUM(AJ21:AK21)</f>
        <v>66</v>
      </c>
      <c r="AM21" s="465">
        <f>SUM('Aspirantes plan'!AN95)</f>
        <v>23</v>
      </c>
      <c r="AN21" s="464">
        <f>SUM('Aspirantes plan'!AO95)</f>
        <v>56</v>
      </c>
      <c r="AO21" s="494">
        <f>SUM(AM21:AN21)</f>
        <v>79</v>
      </c>
      <c r="AP21" s="465">
        <f>SUM('Aspirantes plan'!AQ95)</f>
        <v>19</v>
      </c>
      <c r="AQ21" s="464">
        <f>SUM('Aspirantes plan'!AR95)</f>
        <v>63</v>
      </c>
      <c r="AR21" s="494">
        <f>SUM(AP21:AQ21)</f>
        <v>82</v>
      </c>
      <c r="AS21" s="465">
        <f>+'Aspirantes plan'!AT97</f>
        <v>111</v>
      </c>
      <c r="AT21" s="464">
        <f>+'Aspirantes plan'!AU97</f>
        <v>229</v>
      </c>
      <c r="AU21" s="494">
        <f>SUM(AS21:AT21)</f>
        <v>340</v>
      </c>
    </row>
    <row r="22" spans="1:47" s="186" customFormat="1" ht="15" customHeight="1" x14ac:dyDescent="0.2">
      <c r="A22" s="5692"/>
      <c r="B22" s="498" t="s">
        <v>6</v>
      </c>
      <c r="C22" s="700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500"/>
      <c r="AA22" s="468">
        <v>49</v>
      </c>
      <c r="AB22" s="467">
        <v>119</v>
      </c>
      <c r="AC22" s="500">
        <f>SUM(AA22:AB22)</f>
        <v>168</v>
      </c>
      <c r="AD22" s="468">
        <f>SUM('Aspirantes plan'!AE98)</f>
        <v>0</v>
      </c>
      <c r="AE22" s="467">
        <f>SUM('Aspirantes plan'!AF98)</f>
        <v>67</v>
      </c>
      <c r="AF22" s="500">
        <f>SUM(AD22:AE22)</f>
        <v>67</v>
      </c>
      <c r="AG22" s="468">
        <f>'Aspirantes plan'!AH100</f>
        <v>30</v>
      </c>
      <c r="AH22" s="467">
        <f>'Aspirantes plan'!AI100</f>
        <v>164</v>
      </c>
      <c r="AI22" s="500">
        <f>SUM(AG22:AH22)</f>
        <v>194</v>
      </c>
      <c r="AJ22" s="468">
        <f>'Aspirantes plan'!AK100</f>
        <v>0</v>
      </c>
      <c r="AK22" s="467">
        <f>'Aspirantes plan'!AL100</f>
        <v>285</v>
      </c>
      <c r="AL22" s="500">
        <f>SUM(AJ22:AK22)</f>
        <v>285</v>
      </c>
      <c r="AM22" s="468">
        <f>'Aspirantes plan'!AN100</f>
        <v>0</v>
      </c>
      <c r="AN22" s="467">
        <f>'Aspirantes plan'!AO100</f>
        <v>395</v>
      </c>
      <c r="AO22" s="500">
        <f>SUM(AM22:AN22)</f>
        <v>395</v>
      </c>
      <c r="AP22" s="468">
        <f>'Aspirantes plan'!AQ100</f>
        <v>48</v>
      </c>
      <c r="AQ22" s="467">
        <f>'Aspirantes plan'!AR100</f>
        <v>415</v>
      </c>
      <c r="AR22" s="500">
        <f>SUM(AP22:AQ22)</f>
        <v>463</v>
      </c>
      <c r="AS22" s="468">
        <f>+'Aspirantes plan'!AT100</f>
        <v>39</v>
      </c>
      <c r="AT22" s="467">
        <f>+'Aspirantes plan'!AU100</f>
        <v>347</v>
      </c>
      <c r="AU22" s="500">
        <f>SUM(AS22:AT22)</f>
        <v>386</v>
      </c>
    </row>
    <row r="23" spans="1:47" s="186" customFormat="1" ht="15" customHeight="1" x14ac:dyDescent="0.2">
      <c r="A23" s="5692"/>
      <c r="B23" s="274" t="s">
        <v>11</v>
      </c>
      <c r="C23" s="700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500"/>
      <c r="AA23" s="275">
        <v>34</v>
      </c>
      <c r="AB23" s="276">
        <v>133</v>
      </c>
      <c r="AC23" s="500">
        <f>SUM(AA23:AB23)</f>
        <v>167</v>
      </c>
      <c r="AD23" s="275">
        <f>SUM('Aspirantes plan'!AE101)</f>
        <v>0</v>
      </c>
      <c r="AE23" s="276">
        <f>SUM('Aspirantes plan'!AF101)</f>
        <v>63</v>
      </c>
      <c r="AF23" s="586">
        <f>SUM(AD23:AE23)</f>
        <v>63</v>
      </c>
      <c r="AG23" s="275">
        <f>SUM('Aspirantes plan'!AH101)</f>
        <v>32</v>
      </c>
      <c r="AH23" s="276">
        <f>SUM('Aspirantes plan'!AI101)</f>
        <v>115</v>
      </c>
      <c r="AI23" s="586">
        <f>SUM(AG23:AH23)</f>
        <v>147</v>
      </c>
      <c r="AJ23" s="275">
        <f>SUM('Aspirantes plan'!AK101)</f>
        <v>43</v>
      </c>
      <c r="AK23" s="276">
        <f>SUM('Aspirantes plan'!AL101)</f>
        <v>39</v>
      </c>
      <c r="AL23" s="586">
        <f>SUM(AJ23:AK23)</f>
        <v>82</v>
      </c>
      <c r="AM23" s="275">
        <f>SUM('Aspirantes plan'!AN101)</f>
        <v>38</v>
      </c>
      <c r="AN23" s="276">
        <f>SUM('Aspirantes plan'!AO101)</f>
        <v>133</v>
      </c>
      <c r="AO23" s="586">
        <f>SUM(AM23:AN23)</f>
        <v>171</v>
      </c>
      <c r="AP23" s="275">
        <f>SUM('Aspirantes plan'!AQ101)</f>
        <v>51</v>
      </c>
      <c r="AQ23" s="276">
        <f>SUM('Aspirantes plan'!AR101)</f>
        <v>171</v>
      </c>
      <c r="AR23" s="586">
        <f>SUM(AP23:AQ23)</f>
        <v>222</v>
      </c>
      <c r="AS23" s="275">
        <f>+'Aspirantes plan'!AT103</f>
        <v>45</v>
      </c>
      <c r="AT23" s="276">
        <f>+'Aspirantes plan'!AU103</f>
        <v>397</v>
      </c>
      <c r="AU23" s="586">
        <f>SUM(AS23:AT23)</f>
        <v>442</v>
      </c>
    </row>
    <row r="24" spans="1:47" s="188" customFormat="1" ht="15" customHeight="1" x14ac:dyDescent="0.2">
      <c r="A24" s="5692"/>
      <c r="B24" s="2223" t="s">
        <v>12</v>
      </c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2"/>
      <c r="V24" s="2302"/>
      <c r="W24" s="2302"/>
      <c r="X24" s="2302"/>
      <c r="Y24" s="2302"/>
      <c r="Z24" s="2303"/>
      <c r="AA24" s="2224">
        <f>SUM(AA21:AA23)</f>
        <v>104</v>
      </c>
      <c r="AB24" s="2319">
        <v>298</v>
      </c>
      <c r="AC24" s="2234">
        <f>SUM(AA24:AB24)</f>
        <v>402</v>
      </c>
      <c r="AD24" s="2224">
        <f t="shared" ref="AD24:AI24" si="9">SUM(AD21:AD23)</f>
        <v>0</v>
      </c>
      <c r="AE24" s="2319">
        <f t="shared" si="9"/>
        <v>163</v>
      </c>
      <c r="AF24" s="2234">
        <f t="shared" si="9"/>
        <v>163</v>
      </c>
      <c r="AG24" s="2224">
        <f t="shared" si="9"/>
        <v>82</v>
      </c>
      <c r="AH24" s="2319">
        <f t="shared" si="9"/>
        <v>319</v>
      </c>
      <c r="AI24" s="2234">
        <f t="shared" si="9"/>
        <v>401</v>
      </c>
      <c r="AJ24" s="2224">
        <f t="shared" ref="AJ24:AO24" si="10">SUM(AJ21:AJ23)</f>
        <v>64</v>
      </c>
      <c r="AK24" s="2319">
        <f t="shared" si="10"/>
        <v>369</v>
      </c>
      <c r="AL24" s="2234">
        <f t="shared" si="10"/>
        <v>433</v>
      </c>
      <c r="AM24" s="2224">
        <f t="shared" si="10"/>
        <v>61</v>
      </c>
      <c r="AN24" s="2319">
        <f t="shared" si="10"/>
        <v>584</v>
      </c>
      <c r="AO24" s="2234">
        <f t="shared" si="10"/>
        <v>645</v>
      </c>
      <c r="AP24" s="2224">
        <f t="shared" ref="AP24:AU24" si="11">SUM(AP21:AP23)</f>
        <v>118</v>
      </c>
      <c r="AQ24" s="2319">
        <f t="shared" si="11"/>
        <v>649</v>
      </c>
      <c r="AR24" s="2234">
        <f t="shared" si="11"/>
        <v>767</v>
      </c>
      <c r="AS24" s="2224">
        <f t="shared" si="11"/>
        <v>195</v>
      </c>
      <c r="AT24" s="2319">
        <f t="shared" si="11"/>
        <v>973</v>
      </c>
      <c r="AU24" s="2234">
        <f t="shared" si="11"/>
        <v>1168</v>
      </c>
    </row>
    <row r="25" spans="1:47" s="188" customFormat="1" ht="15" customHeight="1" x14ac:dyDescent="0.2">
      <c r="A25" s="1002"/>
      <c r="B25" s="698"/>
      <c r="C25" s="698"/>
      <c r="D25" s="698"/>
      <c r="E25" s="698"/>
      <c r="F25" s="698"/>
      <c r="G25" s="698"/>
      <c r="H25" s="698"/>
      <c r="I25" s="698"/>
      <c r="J25" s="698"/>
      <c r="K25" s="698"/>
      <c r="L25" s="698"/>
      <c r="M25" s="698"/>
      <c r="N25" s="698"/>
      <c r="O25" s="698"/>
      <c r="P25" s="698"/>
      <c r="Q25" s="698"/>
      <c r="R25" s="698"/>
      <c r="S25" s="698"/>
      <c r="T25" s="698"/>
      <c r="U25" s="698"/>
      <c r="V25" s="698"/>
      <c r="W25" s="698"/>
      <c r="X25" s="698"/>
      <c r="Y25" s="698"/>
      <c r="Z25" s="698"/>
      <c r="AA25" s="698"/>
      <c r="AB25" s="698"/>
      <c r="AC25" s="698"/>
      <c r="AD25" s="698"/>
      <c r="AE25" s="698"/>
      <c r="AF25" s="698"/>
      <c r="AG25" s="698"/>
      <c r="AH25" s="698"/>
      <c r="AI25" s="698"/>
      <c r="AJ25" s="698"/>
      <c r="AK25" s="698"/>
      <c r="AL25" s="698"/>
      <c r="AM25" s="698"/>
      <c r="AN25" s="698"/>
      <c r="AO25" s="698"/>
      <c r="AP25" s="698"/>
      <c r="AQ25" s="698"/>
      <c r="AR25" s="698"/>
      <c r="AS25" s="698"/>
      <c r="AT25" s="698"/>
      <c r="AU25" s="698"/>
    </row>
    <row r="26" spans="1:47" s="188" customFormat="1" ht="15" customHeight="1" x14ac:dyDescent="0.2">
      <c r="A26" s="5696" t="s">
        <v>10</v>
      </c>
      <c r="B26" s="492" t="s">
        <v>6</v>
      </c>
      <c r="C26" s="465">
        <v>3214</v>
      </c>
      <c r="D26" s="464">
        <v>6695</v>
      </c>
      <c r="E26" s="493">
        <v>9909</v>
      </c>
      <c r="F26" s="465">
        <v>3067</v>
      </c>
      <c r="G26" s="464">
        <v>6419</v>
      </c>
      <c r="H26" s="493">
        <v>9486</v>
      </c>
      <c r="I26" s="465">
        <v>3424</v>
      </c>
      <c r="J26" s="464">
        <v>6962</v>
      </c>
      <c r="K26" s="494">
        <v>10386</v>
      </c>
      <c r="L26" s="464">
        <v>3466</v>
      </c>
      <c r="M26" s="464">
        <v>6227</v>
      </c>
      <c r="N26" s="494">
        <v>9693</v>
      </c>
      <c r="O26" s="464">
        <v>3426</v>
      </c>
      <c r="P26" s="464">
        <v>6365</v>
      </c>
      <c r="Q26" s="494">
        <v>9791</v>
      </c>
      <c r="R26" s="464">
        <v>3760</v>
      </c>
      <c r="S26" s="464">
        <v>6538</v>
      </c>
      <c r="T26" s="494">
        <v>10298</v>
      </c>
      <c r="U26" s="465">
        <v>4082</v>
      </c>
      <c r="V26" s="464">
        <v>6936</v>
      </c>
      <c r="W26" s="494">
        <v>11018</v>
      </c>
      <c r="X26" s="465">
        <v>4056</v>
      </c>
      <c r="Y26" s="464">
        <v>7614</v>
      </c>
      <c r="Z26" s="494">
        <f>SUM(X26:Y26)</f>
        <v>11670</v>
      </c>
      <c r="AA26" s="465">
        <v>4430</v>
      </c>
      <c r="AB26" s="464">
        <v>7553</v>
      </c>
      <c r="AC26" s="494">
        <f>SUM(AA26:AB26)</f>
        <v>11983</v>
      </c>
      <c r="AD26" s="465">
        <f>SUM('Aspirantes plan'!AE58:AE63)</f>
        <v>4532</v>
      </c>
      <c r="AE26" s="464">
        <f>SUM('Aspirantes plan'!AF58:AF63)</f>
        <v>8284</v>
      </c>
      <c r="AF26" s="494">
        <f>SUM(AD26:AE26)</f>
        <v>12816</v>
      </c>
      <c r="AG26" s="465">
        <f>SUM('Aspirantes plan'!AH58:AH63)</f>
        <v>4055</v>
      </c>
      <c r="AH26" s="464">
        <f>SUM('Aspirantes plan'!AI58:AI63)</f>
        <v>8088</v>
      </c>
      <c r="AI26" s="494">
        <f>SUM(AG26:AH26)</f>
        <v>12143</v>
      </c>
      <c r="AJ26" s="465">
        <f>SUM('Aspirantes plan'!AK58:AK63)</f>
        <v>3460</v>
      </c>
      <c r="AK26" s="464">
        <f>SUM('Aspirantes plan'!AL58:AL63)</f>
        <v>7870</v>
      </c>
      <c r="AL26" s="494">
        <f>SUM(AJ26:AK26)</f>
        <v>11330</v>
      </c>
      <c r="AM26" s="465">
        <f>SUM('Aspirantes plan'!AN58:AN63)</f>
        <v>3758</v>
      </c>
      <c r="AN26" s="464">
        <f>SUM('Aspirantes plan'!AO58:AO63)</f>
        <v>7845</v>
      </c>
      <c r="AO26" s="494">
        <f>SUM(AM26:AN26)</f>
        <v>11603</v>
      </c>
      <c r="AP26" s="465">
        <f>SUM('Aspirantes plan'!AQ58:AQ63)</f>
        <v>3692</v>
      </c>
      <c r="AQ26" s="464">
        <f>SUM('Aspirantes plan'!AR58:AR63)</f>
        <v>7669</v>
      </c>
      <c r="AR26" s="494">
        <f>SUM(AP26:AQ26)</f>
        <v>11361</v>
      </c>
      <c r="AS26" s="465">
        <f>SUM('Aspirantes plan'!AT58:AT63)</f>
        <v>3422</v>
      </c>
      <c r="AT26" s="464">
        <f>SUM('Aspirantes plan'!AU58:AU63)</f>
        <v>7586</v>
      </c>
      <c r="AU26" s="494">
        <f>SUM(AS26:AT26)</f>
        <v>11008</v>
      </c>
    </row>
    <row r="27" spans="1:47" s="188" customFormat="1" ht="15" customHeight="1" x14ac:dyDescent="0.2">
      <c r="A27" s="5697"/>
      <c r="B27" s="498" t="s">
        <v>11</v>
      </c>
      <c r="C27" s="468">
        <v>3113</v>
      </c>
      <c r="D27" s="467">
        <v>7519</v>
      </c>
      <c r="E27" s="499">
        <v>10632</v>
      </c>
      <c r="F27" s="468">
        <v>3317</v>
      </c>
      <c r="G27" s="467">
        <v>8198</v>
      </c>
      <c r="H27" s="499">
        <v>11515</v>
      </c>
      <c r="I27" s="468">
        <v>3987</v>
      </c>
      <c r="J27" s="467">
        <v>8833</v>
      </c>
      <c r="K27" s="500">
        <v>12820</v>
      </c>
      <c r="L27" s="467">
        <v>4142</v>
      </c>
      <c r="M27" s="467">
        <v>8088</v>
      </c>
      <c r="N27" s="500">
        <v>12230</v>
      </c>
      <c r="O27" s="467">
        <v>3944</v>
      </c>
      <c r="P27" s="467">
        <v>8994</v>
      </c>
      <c r="Q27" s="500">
        <v>12938</v>
      </c>
      <c r="R27" s="467">
        <v>4808</v>
      </c>
      <c r="S27" s="467">
        <v>9456</v>
      </c>
      <c r="T27" s="500">
        <v>14264</v>
      </c>
      <c r="U27" s="468">
        <v>4993</v>
      </c>
      <c r="V27" s="467">
        <v>10161</v>
      </c>
      <c r="W27" s="500">
        <v>15154</v>
      </c>
      <c r="X27" s="468">
        <v>5014</v>
      </c>
      <c r="Y27" s="467">
        <v>11298</v>
      </c>
      <c r="Z27" s="500">
        <f>SUM(X27:Y27)</f>
        <v>16312</v>
      </c>
      <c r="AA27" s="468">
        <v>6087</v>
      </c>
      <c r="AB27" s="467">
        <v>11494</v>
      </c>
      <c r="AC27" s="500">
        <f>SUM(AA27:AB27)</f>
        <v>17581</v>
      </c>
      <c r="AD27" s="468">
        <f>SUM('Aspirantes plan'!AE65:AE72)</f>
        <v>6380</v>
      </c>
      <c r="AE27" s="467">
        <f>SUM('Aspirantes plan'!AF65:AF72)</f>
        <v>13392</v>
      </c>
      <c r="AF27" s="500">
        <f>SUM(AD27:AE27)</f>
        <v>19772</v>
      </c>
      <c r="AG27" s="468">
        <f>SUM('Aspirantes plan'!AH65:AH72)</f>
        <v>6342</v>
      </c>
      <c r="AH27" s="467">
        <f>SUM('Aspirantes plan'!AI65:AI72)</f>
        <v>14912</v>
      </c>
      <c r="AI27" s="500">
        <f>SUM(AG27:AH27)</f>
        <v>21254</v>
      </c>
      <c r="AJ27" s="468">
        <f>SUM('Aspirantes plan'!AK65:AK72)</f>
        <v>6027</v>
      </c>
      <c r="AK27" s="467">
        <f>SUM('Aspirantes plan'!AL65:AL72)</f>
        <v>15702</v>
      </c>
      <c r="AL27" s="500">
        <f>SUM(AJ27:AK27)</f>
        <v>21729</v>
      </c>
      <c r="AM27" s="468">
        <f>SUM('Aspirantes plan'!AN65:AN72)</f>
        <v>6965</v>
      </c>
      <c r="AN27" s="467">
        <f>SUM('Aspirantes plan'!AO65:AO72)</f>
        <v>17629</v>
      </c>
      <c r="AO27" s="500">
        <f>SUM(AM27:AN27)</f>
        <v>24594</v>
      </c>
      <c r="AP27" s="468">
        <f>SUM('Aspirantes plan'!AQ65:AQ72)</f>
        <v>7521</v>
      </c>
      <c r="AQ27" s="467">
        <f>SUM('Aspirantes plan'!AR65:AR72)</f>
        <v>17501</v>
      </c>
      <c r="AR27" s="500">
        <f>SUM(AP27:AQ27)</f>
        <v>25022</v>
      </c>
      <c r="AS27" s="468">
        <f>SUM('Aspirantes plan'!AT65:AT72)</f>
        <v>7524</v>
      </c>
      <c r="AT27" s="467">
        <f>SUM('Aspirantes plan'!AU65:AU72)</f>
        <v>18614</v>
      </c>
      <c r="AU27" s="500">
        <f>SUM(AS27:AT27)</f>
        <v>26138</v>
      </c>
    </row>
    <row r="28" spans="1:47" s="188" customFormat="1" ht="15" customHeight="1" x14ac:dyDescent="0.2">
      <c r="A28" s="5697"/>
      <c r="B28" s="274" t="s">
        <v>7</v>
      </c>
      <c r="C28" s="275">
        <v>1274</v>
      </c>
      <c r="D28" s="276">
        <v>2892</v>
      </c>
      <c r="E28" s="585">
        <v>4166</v>
      </c>
      <c r="F28" s="275">
        <v>1272</v>
      </c>
      <c r="G28" s="276">
        <v>3013</v>
      </c>
      <c r="H28" s="585">
        <v>4285</v>
      </c>
      <c r="I28" s="275">
        <v>1377</v>
      </c>
      <c r="J28" s="276">
        <v>2968</v>
      </c>
      <c r="K28" s="586">
        <v>4345</v>
      </c>
      <c r="L28" s="276">
        <v>1469</v>
      </c>
      <c r="M28" s="276">
        <v>2805</v>
      </c>
      <c r="N28" s="586">
        <v>4274</v>
      </c>
      <c r="O28" s="276">
        <v>1523</v>
      </c>
      <c r="P28" s="276">
        <v>3318</v>
      </c>
      <c r="Q28" s="586">
        <v>4841</v>
      </c>
      <c r="R28" s="276">
        <v>1996</v>
      </c>
      <c r="S28" s="276">
        <v>3591</v>
      </c>
      <c r="T28" s="586">
        <v>5587</v>
      </c>
      <c r="U28" s="275">
        <v>2024</v>
      </c>
      <c r="V28" s="276">
        <v>3932</v>
      </c>
      <c r="W28" s="586">
        <v>5956</v>
      </c>
      <c r="X28" s="275">
        <v>2205</v>
      </c>
      <c r="Y28" s="276">
        <v>4528</v>
      </c>
      <c r="Z28" s="586">
        <f>SUM(X28:Y28)</f>
        <v>6733</v>
      </c>
      <c r="AA28" s="275">
        <v>2499</v>
      </c>
      <c r="AB28" s="276">
        <v>4456</v>
      </c>
      <c r="AC28" s="500">
        <f>SUM(AA28:AB28)</f>
        <v>6955</v>
      </c>
      <c r="AD28" s="275">
        <f>SUM('Aspirantes plan'!AE74:AE77)</f>
        <v>2570</v>
      </c>
      <c r="AE28" s="276">
        <f>SUM('Aspirantes plan'!AF74:AF77)</f>
        <v>5107</v>
      </c>
      <c r="AF28" s="586">
        <f>SUM(AD28:AE28)</f>
        <v>7677</v>
      </c>
      <c r="AG28" s="275">
        <f>SUM('Aspirantes plan'!AH74:AH77)</f>
        <v>2401</v>
      </c>
      <c r="AH28" s="276">
        <f>SUM('Aspirantes plan'!AI74:AI77)</f>
        <v>4865</v>
      </c>
      <c r="AI28" s="586">
        <f>SUM(AG28:AH28)</f>
        <v>7266</v>
      </c>
      <c r="AJ28" s="275">
        <f>SUM('Aspirantes plan'!AK74:AK77)</f>
        <v>1904</v>
      </c>
      <c r="AK28" s="276">
        <f>SUM('Aspirantes plan'!AL74:AL77)</f>
        <v>4561</v>
      </c>
      <c r="AL28" s="586">
        <f>SUM(AJ28:AK28)</f>
        <v>6465</v>
      </c>
      <c r="AM28" s="275">
        <f>SUM('Aspirantes plan'!AN74:AN77)</f>
        <v>2054</v>
      </c>
      <c r="AN28" s="276">
        <f>SUM('Aspirantes plan'!AO74:AO77)</f>
        <v>4627</v>
      </c>
      <c r="AO28" s="586">
        <f>SUM(AM28:AN28)</f>
        <v>6681</v>
      </c>
      <c r="AP28" s="275">
        <f>SUM('Aspirantes plan'!AQ74:AQ77)</f>
        <v>2025</v>
      </c>
      <c r="AQ28" s="276">
        <f>SUM('Aspirantes plan'!AR74:AR77)</f>
        <v>4660</v>
      </c>
      <c r="AR28" s="586">
        <f>SUM(AP28:AQ28)</f>
        <v>6685</v>
      </c>
      <c r="AS28" s="275">
        <f>SUM('Aspirantes plan'!AT74:AT77)</f>
        <v>1897</v>
      </c>
      <c r="AT28" s="276">
        <f>SUM('Aspirantes plan'!AU74:AU77)</f>
        <v>4261</v>
      </c>
      <c r="AU28" s="586">
        <f>SUM(AS28:AT28)</f>
        <v>6158</v>
      </c>
    </row>
    <row r="29" spans="1:47" s="188" customFormat="1" ht="15" customHeight="1" x14ac:dyDescent="0.2">
      <c r="A29" s="5698"/>
      <c r="B29" s="2235" t="s">
        <v>12</v>
      </c>
      <c r="C29" s="2236">
        <v>7601</v>
      </c>
      <c r="D29" s="2311">
        <v>17106</v>
      </c>
      <c r="E29" s="2311">
        <v>24707</v>
      </c>
      <c r="F29" s="2236">
        <v>7656</v>
      </c>
      <c r="G29" s="2311">
        <v>17630</v>
      </c>
      <c r="H29" s="2311">
        <v>25286</v>
      </c>
      <c r="I29" s="2236">
        <v>8788</v>
      </c>
      <c r="J29" s="2311">
        <v>18763</v>
      </c>
      <c r="K29" s="2312">
        <v>27551</v>
      </c>
      <c r="L29" s="2311">
        <v>9077</v>
      </c>
      <c r="M29" s="2311">
        <v>17120</v>
      </c>
      <c r="N29" s="2312">
        <v>26197</v>
      </c>
      <c r="O29" s="2311">
        <v>8893</v>
      </c>
      <c r="P29" s="2311">
        <v>18677</v>
      </c>
      <c r="Q29" s="2312">
        <v>27570</v>
      </c>
      <c r="R29" s="2311">
        <v>10564</v>
      </c>
      <c r="S29" s="2311">
        <v>19585</v>
      </c>
      <c r="T29" s="2312">
        <v>30149</v>
      </c>
      <c r="U29" s="2236">
        <v>11099</v>
      </c>
      <c r="V29" s="2311">
        <v>21029</v>
      </c>
      <c r="W29" s="2312">
        <v>32128</v>
      </c>
      <c r="X29" s="2236">
        <f>SUM(X26:X28)</f>
        <v>11275</v>
      </c>
      <c r="Y29" s="2311">
        <v>23440</v>
      </c>
      <c r="Z29" s="2312">
        <f>SUM(X29:Y29)</f>
        <v>34715</v>
      </c>
      <c r="AA29" s="2236">
        <f>SUM(AA26:AA28)</f>
        <v>13016</v>
      </c>
      <c r="AB29" s="2311">
        <v>23503</v>
      </c>
      <c r="AC29" s="2312">
        <f>SUM(AA29:AB29)</f>
        <v>36519</v>
      </c>
      <c r="AD29" s="2236">
        <f t="shared" ref="AD29:AI29" si="12">SUM(AD26:AD28)</f>
        <v>13482</v>
      </c>
      <c r="AE29" s="2311">
        <f t="shared" si="12"/>
        <v>26783</v>
      </c>
      <c r="AF29" s="2312">
        <f t="shared" si="12"/>
        <v>40265</v>
      </c>
      <c r="AG29" s="2236">
        <f t="shared" si="12"/>
        <v>12798</v>
      </c>
      <c r="AH29" s="2311">
        <f t="shared" si="12"/>
        <v>27865</v>
      </c>
      <c r="AI29" s="2312">
        <f t="shared" si="12"/>
        <v>40663</v>
      </c>
      <c r="AJ29" s="2236">
        <f t="shared" ref="AJ29:AO29" si="13">SUM(AJ26:AJ28)</f>
        <v>11391</v>
      </c>
      <c r="AK29" s="2311">
        <f t="shared" si="13"/>
        <v>28133</v>
      </c>
      <c r="AL29" s="2312">
        <f t="shared" si="13"/>
        <v>39524</v>
      </c>
      <c r="AM29" s="2236">
        <f t="shared" si="13"/>
        <v>12777</v>
      </c>
      <c r="AN29" s="2311">
        <f t="shared" si="13"/>
        <v>30101</v>
      </c>
      <c r="AO29" s="2312">
        <f t="shared" si="13"/>
        <v>42878</v>
      </c>
      <c r="AP29" s="2236">
        <f t="shared" ref="AP29:AU29" si="14">SUM(AP26:AP28)</f>
        <v>13238</v>
      </c>
      <c r="AQ29" s="2311">
        <f t="shared" si="14"/>
        <v>29830</v>
      </c>
      <c r="AR29" s="2312">
        <f t="shared" si="14"/>
        <v>43068</v>
      </c>
      <c r="AS29" s="2236">
        <f t="shared" si="14"/>
        <v>12843</v>
      </c>
      <c r="AT29" s="2311">
        <f t="shared" si="14"/>
        <v>30461</v>
      </c>
      <c r="AU29" s="2312">
        <f t="shared" si="14"/>
        <v>43304</v>
      </c>
    </row>
    <row r="30" spans="1:47" s="186" customFormat="1" ht="15" customHeight="1" x14ac:dyDescent="0.2">
      <c r="AC30" s="188"/>
      <c r="AF30" s="188"/>
      <c r="AI30" s="188"/>
      <c r="AL30" s="188"/>
      <c r="AO30" s="188"/>
      <c r="AR30" s="188"/>
      <c r="AU30" s="188"/>
    </row>
    <row r="31" spans="1:47" s="186" customFormat="1" ht="15" customHeight="1" x14ac:dyDescent="0.2">
      <c r="A31" s="5683" t="s">
        <v>60</v>
      </c>
      <c r="B31" s="492" t="s">
        <v>5</v>
      </c>
      <c r="C31" s="465">
        <v>2142</v>
      </c>
      <c r="D31" s="464">
        <v>6232</v>
      </c>
      <c r="E31" s="493">
        <v>8374</v>
      </c>
      <c r="F31" s="465">
        <v>2528</v>
      </c>
      <c r="G31" s="464">
        <v>6915</v>
      </c>
      <c r="H31" s="493">
        <v>9443</v>
      </c>
      <c r="I31" s="465">
        <v>2820</v>
      </c>
      <c r="J31" s="464">
        <v>6888</v>
      </c>
      <c r="K31" s="494">
        <v>9708</v>
      </c>
      <c r="L31" s="464">
        <v>2909</v>
      </c>
      <c r="M31" s="464">
        <v>5898</v>
      </c>
      <c r="N31" s="494">
        <v>8807</v>
      </c>
      <c r="O31" s="464">
        <v>2452</v>
      </c>
      <c r="P31" s="464">
        <v>6197</v>
      </c>
      <c r="Q31" s="494">
        <v>8649</v>
      </c>
      <c r="R31" s="464">
        <v>2875</v>
      </c>
      <c r="S31" s="464">
        <v>6522</v>
      </c>
      <c r="T31" s="494">
        <v>9397</v>
      </c>
      <c r="U31" s="465">
        <v>3060</v>
      </c>
      <c r="V31" s="464">
        <v>7302</v>
      </c>
      <c r="W31" s="494">
        <v>10362</v>
      </c>
      <c r="X31" s="465">
        <f>X6+X16</f>
        <v>2783</v>
      </c>
      <c r="Y31" s="464">
        <v>8614</v>
      </c>
      <c r="Z31" s="494">
        <f t="shared" ref="Z31:Z36" si="15">SUM(X31:Y31)</f>
        <v>11397</v>
      </c>
      <c r="AA31" s="465">
        <f>SUM(AA6,AA16,AA21)</f>
        <v>3071</v>
      </c>
      <c r="AB31" s="464">
        <f>SUM(AB6,AB16,AB21)</f>
        <v>8259</v>
      </c>
      <c r="AC31" s="494">
        <f>SUM(AA31:AB31)</f>
        <v>11330</v>
      </c>
      <c r="AD31" s="465">
        <f>SUM(AD6,AD16,AD21)</f>
        <v>3136</v>
      </c>
      <c r="AE31" s="464">
        <f>SUM(AE6,AE16,AE21)</f>
        <v>9508</v>
      </c>
      <c r="AF31" s="494">
        <f t="shared" ref="AF31:AF36" si="16">SUM(AD31:AE31)</f>
        <v>12644</v>
      </c>
      <c r="AG31" s="465">
        <f>SUM(AG6,AG16,AG21)</f>
        <v>2851</v>
      </c>
      <c r="AH31" s="464">
        <f>SUM(AH6,AH16,AH21)</f>
        <v>9811</v>
      </c>
      <c r="AI31" s="494">
        <f t="shared" ref="AI31:AI36" si="17">SUM(AG31:AH31)</f>
        <v>12662</v>
      </c>
      <c r="AJ31" s="465">
        <f>SUM(AJ6,AJ16,AJ21)</f>
        <v>2625</v>
      </c>
      <c r="AK31" s="464">
        <f>SUM(AK6,AK16,AK21)</f>
        <v>10171</v>
      </c>
      <c r="AL31" s="494">
        <f t="shared" ref="AL31:AL36" si="18">SUM(AJ31:AK31)</f>
        <v>12796</v>
      </c>
      <c r="AM31" s="465">
        <f>SUM(AM6,AM16,AM21)</f>
        <v>3024</v>
      </c>
      <c r="AN31" s="464">
        <f>SUM(AN6,AN16,AN21)</f>
        <v>11294</v>
      </c>
      <c r="AO31" s="494">
        <f t="shared" ref="AO31:AO36" si="19">SUM(AM31:AN31)</f>
        <v>14318</v>
      </c>
      <c r="AP31" s="465">
        <f>SUM(AP6,AP16,AP21)</f>
        <v>3182</v>
      </c>
      <c r="AQ31" s="464">
        <f>SUM(AQ6,AQ16,AQ21)</f>
        <v>11635</v>
      </c>
      <c r="AR31" s="494">
        <f t="shared" ref="AR31:AR36" si="20">SUM(AP31:AQ31)</f>
        <v>14817</v>
      </c>
      <c r="AS31" s="465">
        <f>SUM(AS6,AS16,AS21)</f>
        <v>2863</v>
      </c>
      <c r="AT31" s="464">
        <f>SUM(AT6,AT16,AT21)</f>
        <v>11761</v>
      </c>
      <c r="AU31" s="494">
        <f t="shared" ref="AU31:AU36" si="21">SUM(AS31:AT31)</f>
        <v>14624</v>
      </c>
    </row>
    <row r="32" spans="1:47" s="186" customFormat="1" ht="15" customHeight="1" x14ac:dyDescent="0.2">
      <c r="A32" s="5684"/>
      <c r="B32" s="498" t="s">
        <v>6</v>
      </c>
      <c r="C32" s="468">
        <v>6809</v>
      </c>
      <c r="D32" s="467">
        <v>17023</v>
      </c>
      <c r="E32" s="499">
        <v>23832</v>
      </c>
      <c r="F32" s="468">
        <v>6530</v>
      </c>
      <c r="G32" s="467">
        <v>16917</v>
      </c>
      <c r="H32" s="499">
        <v>23447</v>
      </c>
      <c r="I32" s="468">
        <v>7288</v>
      </c>
      <c r="J32" s="467">
        <v>18221</v>
      </c>
      <c r="K32" s="500">
        <v>25509</v>
      </c>
      <c r="L32" s="467">
        <v>7478</v>
      </c>
      <c r="M32" s="467">
        <v>16690</v>
      </c>
      <c r="N32" s="500">
        <v>24168</v>
      </c>
      <c r="O32" s="467">
        <v>7305</v>
      </c>
      <c r="P32" s="467">
        <v>17527</v>
      </c>
      <c r="Q32" s="500">
        <v>24832</v>
      </c>
      <c r="R32" s="467">
        <v>8038</v>
      </c>
      <c r="S32" s="467">
        <v>18160</v>
      </c>
      <c r="T32" s="500">
        <v>26198</v>
      </c>
      <c r="U32" s="468">
        <v>8386</v>
      </c>
      <c r="V32" s="467">
        <v>19412</v>
      </c>
      <c r="W32" s="500">
        <v>27798</v>
      </c>
      <c r="X32" s="468">
        <f>SUM(X7,X17,X26,X11,X22)</f>
        <v>8724</v>
      </c>
      <c r="Y32" s="467">
        <v>21525</v>
      </c>
      <c r="Z32" s="500">
        <f t="shared" si="15"/>
        <v>30249</v>
      </c>
      <c r="AA32" s="468">
        <f>SUM(AA7,AA17,AA26,AA11,AA22)</f>
        <v>9648</v>
      </c>
      <c r="AB32" s="467">
        <f>SUM(AB7,AB17,AB26,AB11,AB22)</f>
        <v>20993</v>
      </c>
      <c r="AC32" s="500">
        <f>SUM(AC7,AC17,AC26,AC11,AC22)</f>
        <v>30641</v>
      </c>
      <c r="AD32" s="468">
        <f>SUM(AD7,AD11,AD17,AD22,AD26)</f>
        <v>9642</v>
      </c>
      <c r="AE32" s="467">
        <f>SUM(AE7,AE11,AE17,AE22,AE26)</f>
        <v>23601</v>
      </c>
      <c r="AF32" s="500">
        <f t="shared" si="16"/>
        <v>33243</v>
      </c>
      <c r="AG32" s="468">
        <f>SUM(AG7,AG11,AG17,AG22,AG26)</f>
        <v>8830</v>
      </c>
      <c r="AH32" s="467">
        <f>SUM(AH7,AH11,AH17,AH22,AH26)</f>
        <v>23815</v>
      </c>
      <c r="AI32" s="500">
        <f t="shared" si="17"/>
        <v>32645</v>
      </c>
      <c r="AJ32" s="468">
        <f>SUM(AJ7,AJ11,AJ17,AJ22,AJ26)</f>
        <v>7868</v>
      </c>
      <c r="AK32" s="467">
        <f>SUM(AK7,AK11,AK17,AK22,AK26)</f>
        <v>23486</v>
      </c>
      <c r="AL32" s="500">
        <f t="shared" si="18"/>
        <v>31354</v>
      </c>
      <c r="AM32" s="468">
        <f>SUM(AM7,AM11,AM17,AM22,AM26)</f>
        <v>8691</v>
      </c>
      <c r="AN32" s="467">
        <f>SUM(AN7,AN11,AN17,AN22,AN26)</f>
        <v>24468</v>
      </c>
      <c r="AO32" s="500">
        <f t="shared" si="19"/>
        <v>33159</v>
      </c>
      <c r="AP32" s="468">
        <f>SUM(AP7,AP11,AP17,AP22,AP26)</f>
        <v>8691</v>
      </c>
      <c r="AQ32" s="467">
        <f>SUM(AQ7,AQ11,AQ17,AQ22,AQ26)</f>
        <v>24565</v>
      </c>
      <c r="AR32" s="500">
        <f t="shared" si="20"/>
        <v>33256</v>
      </c>
      <c r="AS32" s="468">
        <f>SUM(AS7,AS11,AS17,AS22,AS26)</f>
        <v>8033</v>
      </c>
      <c r="AT32" s="467">
        <f>SUM(AT7,AT11,AT17,AT22,AT26)</f>
        <v>24175</v>
      </c>
      <c r="AU32" s="500">
        <f t="shared" si="21"/>
        <v>32208</v>
      </c>
    </row>
    <row r="33" spans="1:47" s="186" customFormat="1" ht="15" customHeight="1" x14ac:dyDescent="0.2">
      <c r="A33" s="5684"/>
      <c r="B33" s="498" t="s">
        <v>11</v>
      </c>
      <c r="C33" s="468">
        <v>3453</v>
      </c>
      <c r="D33" s="467">
        <v>8373</v>
      </c>
      <c r="E33" s="499">
        <v>11826</v>
      </c>
      <c r="F33" s="468">
        <v>3649</v>
      </c>
      <c r="G33" s="467">
        <v>9115</v>
      </c>
      <c r="H33" s="499">
        <v>12764</v>
      </c>
      <c r="I33" s="468">
        <v>4326</v>
      </c>
      <c r="J33" s="467">
        <v>9854</v>
      </c>
      <c r="K33" s="500">
        <v>14180</v>
      </c>
      <c r="L33" s="467">
        <v>4556</v>
      </c>
      <c r="M33" s="467">
        <v>9158</v>
      </c>
      <c r="N33" s="500">
        <v>13714</v>
      </c>
      <c r="O33" s="467">
        <v>4345</v>
      </c>
      <c r="P33" s="467">
        <v>10038</v>
      </c>
      <c r="Q33" s="500">
        <v>14383</v>
      </c>
      <c r="R33" s="467">
        <v>5306</v>
      </c>
      <c r="S33" s="467">
        <v>10854</v>
      </c>
      <c r="T33" s="500">
        <v>16160</v>
      </c>
      <c r="U33" s="468">
        <v>5574</v>
      </c>
      <c r="V33" s="467">
        <v>11776</v>
      </c>
      <c r="W33" s="500">
        <v>17350</v>
      </c>
      <c r="X33" s="468">
        <f>X18+X27</f>
        <v>5678</v>
      </c>
      <c r="Y33" s="467">
        <v>13028</v>
      </c>
      <c r="Z33" s="500">
        <f t="shared" si="15"/>
        <v>18706</v>
      </c>
      <c r="AA33" s="468">
        <f>SUM(AA18,AA27,AA23)</f>
        <v>7007</v>
      </c>
      <c r="AB33" s="467">
        <f>SUM(AB18,AB27,AB23)</f>
        <v>13345</v>
      </c>
      <c r="AC33" s="500">
        <f>SUM(AA33:AB33)</f>
        <v>20352</v>
      </c>
      <c r="AD33" s="468">
        <f>SUM(AD18,AD23,AD27)</f>
        <v>7238</v>
      </c>
      <c r="AE33" s="467">
        <f>SUM(AE18,AE23,AE27)</f>
        <v>15425</v>
      </c>
      <c r="AF33" s="500">
        <f t="shared" si="16"/>
        <v>22663</v>
      </c>
      <c r="AG33" s="468">
        <f>SUM(AG18,AG23,AG27)</f>
        <v>7184</v>
      </c>
      <c r="AH33" s="467">
        <f>SUM(AH18,AH23,AH27)</f>
        <v>17047</v>
      </c>
      <c r="AI33" s="500">
        <f t="shared" si="17"/>
        <v>24231</v>
      </c>
      <c r="AJ33" s="468">
        <f>SUM(AJ18,AJ23,AJ27)</f>
        <v>6852</v>
      </c>
      <c r="AK33" s="467">
        <f>SUM(AK18,AK23,AK27)</f>
        <v>17932</v>
      </c>
      <c r="AL33" s="500">
        <f t="shared" si="18"/>
        <v>24784</v>
      </c>
      <c r="AM33" s="468">
        <f>SUM(AM18,AM23,AM27)</f>
        <v>7890</v>
      </c>
      <c r="AN33" s="467">
        <f>SUM(AN18,AN23,AN27)</f>
        <v>19990</v>
      </c>
      <c r="AO33" s="500">
        <f t="shared" si="19"/>
        <v>27880</v>
      </c>
      <c r="AP33" s="468">
        <f>SUM(AP18,AP23,AP27)</f>
        <v>8482</v>
      </c>
      <c r="AQ33" s="467">
        <f>SUM(AQ18,AQ23,AQ27)</f>
        <v>19929</v>
      </c>
      <c r="AR33" s="500">
        <f t="shared" si="20"/>
        <v>28411</v>
      </c>
      <c r="AS33" s="468">
        <f>SUM(AS18,AS23,AS27)</f>
        <v>8492</v>
      </c>
      <c r="AT33" s="467">
        <f>SUM(AT18,AT23,AT27)</f>
        <v>21287</v>
      </c>
      <c r="AU33" s="500">
        <f t="shared" si="21"/>
        <v>29779</v>
      </c>
    </row>
    <row r="34" spans="1:47" s="186" customFormat="1" ht="15" customHeight="1" x14ac:dyDescent="0.2">
      <c r="A34" s="5684"/>
      <c r="B34" s="498" t="s">
        <v>7</v>
      </c>
      <c r="C34" s="468">
        <v>2701</v>
      </c>
      <c r="D34" s="467">
        <v>6547</v>
      </c>
      <c r="E34" s="499">
        <v>9248</v>
      </c>
      <c r="F34" s="468">
        <v>2791</v>
      </c>
      <c r="G34" s="467">
        <v>6878</v>
      </c>
      <c r="H34" s="499">
        <v>9669</v>
      </c>
      <c r="I34" s="468">
        <v>3012</v>
      </c>
      <c r="J34" s="467">
        <v>7011</v>
      </c>
      <c r="K34" s="500">
        <v>10023</v>
      </c>
      <c r="L34" s="467">
        <v>3181</v>
      </c>
      <c r="M34" s="467">
        <v>6482</v>
      </c>
      <c r="N34" s="500">
        <v>9663</v>
      </c>
      <c r="O34" s="467">
        <v>3297</v>
      </c>
      <c r="P34" s="467">
        <v>7665</v>
      </c>
      <c r="Q34" s="500">
        <v>10962</v>
      </c>
      <c r="R34" s="467">
        <v>4297</v>
      </c>
      <c r="S34" s="467">
        <v>8212</v>
      </c>
      <c r="T34" s="500">
        <v>12509</v>
      </c>
      <c r="U34" s="468">
        <v>4397</v>
      </c>
      <c r="V34" s="467">
        <v>8963</v>
      </c>
      <c r="W34" s="500">
        <v>13360</v>
      </c>
      <c r="X34" s="468">
        <f>X8+X28</f>
        <v>4775</v>
      </c>
      <c r="Y34" s="467">
        <v>10326</v>
      </c>
      <c r="Z34" s="500">
        <f t="shared" si="15"/>
        <v>15101</v>
      </c>
      <c r="AA34" s="468">
        <f>SUM(AA8,AA28)</f>
        <v>5424</v>
      </c>
      <c r="AB34" s="467">
        <f>SUM(AB8,AB28)</f>
        <v>9889</v>
      </c>
      <c r="AC34" s="500">
        <f>SUM(AA34:AB34)</f>
        <v>15313</v>
      </c>
      <c r="AD34" s="468">
        <f>SUM(AD8,AD28)</f>
        <v>5469</v>
      </c>
      <c r="AE34" s="467">
        <f>SUM(AE8,AE28)</f>
        <v>11686</v>
      </c>
      <c r="AF34" s="500">
        <f t="shared" si="16"/>
        <v>17155</v>
      </c>
      <c r="AG34" s="468">
        <f>SUM(AG8,AG28)</f>
        <v>5006</v>
      </c>
      <c r="AH34" s="467">
        <f>SUM(AH8,AH28)</f>
        <v>10917</v>
      </c>
      <c r="AI34" s="500">
        <f t="shared" si="17"/>
        <v>15923</v>
      </c>
      <c r="AJ34" s="468">
        <f>SUM(AJ8,AJ28)</f>
        <v>4170</v>
      </c>
      <c r="AK34" s="467">
        <f>SUM(AK8,AK28)</f>
        <v>10280</v>
      </c>
      <c r="AL34" s="500">
        <f t="shared" si="18"/>
        <v>14450</v>
      </c>
      <c r="AM34" s="468">
        <f>SUM(AM8,AM28)</f>
        <v>4352</v>
      </c>
      <c r="AN34" s="467">
        <f>SUM(AN8,AN28)</f>
        <v>10100</v>
      </c>
      <c r="AO34" s="500">
        <f t="shared" si="19"/>
        <v>14452</v>
      </c>
      <c r="AP34" s="468">
        <f>SUM(AP8,AP28)</f>
        <v>4236</v>
      </c>
      <c r="AQ34" s="467">
        <f>SUM(AQ8,AQ28)</f>
        <v>10161</v>
      </c>
      <c r="AR34" s="500">
        <f t="shared" si="20"/>
        <v>14397</v>
      </c>
      <c r="AS34" s="468">
        <f>SUM(AS8,AS28)</f>
        <v>3984</v>
      </c>
      <c r="AT34" s="467">
        <f>SUM(AT8,AT28)</f>
        <v>9527</v>
      </c>
      <c r="AU34" s="500">
        <f t="shared" si="21"/>
        <v>13511</v>
      </c>
    </row>
    <row r="35" spans="1:47" s="186" customFormat="1" ht="15" customHeight="1" x14ac:dyDescent="0.2">
      <c r="A35" s="5684"/>
      <c r="B35" s="498" t="s">
        <v>9</v>
      </c>
      <c r="C35" s="468"/>
      <c r="D35" s="467"/>
      <c r="E35" s="499"/>
      <c r="F35" s="468"/>
      <c r="G35" s="467"/>
      <c r="H35" s="499">
        <v>0</v>
      </c>
      <c r="I35" s="468"/>
      <c r="J35" s="467">
        <v>135</v>
      </c>
      <c r="K35" s="500">
        <v>135</v>
      </c>
      <c r="L35" s="467"/>
      <c r="M35" s="467">
        <v>89</v>
      </c>
      <c r="N35" s="500">
        <v>89</v>
      </c>
      <c r="O35" s="467"/>
      <c r="P35" s="467">
        <v>588</v>
      </c>
      <c r="Q35" s="500">
        <v>588</v>
      </c>
      <c r="R35" s="467"/>
      <c r="S35" s="467">
        <v>685</v>
      </c>
      <c r="T35" s="500">
        <v>685</v>
      </c>
      <c r="U35" s="468"/>
      <c r="V35" s="467">
        <v>879</v>
      </c>
      <c r="W35" s="500">
        <v>879</v>
      </c>
      <c r="X35" s="468"/>
      <c r="Y35" s="467">
        <v>1094</v>
      </c>
      <c r="Z35" s="500">
        <f t="shared" si="15"/>
        <v>1094</v>
      </c>
      <c r="AA35" s="468"/>
      <c r="AB35" s="467">
        <f>SUM(AB12)</f>
        <v>1011</v>
      </c>
      <c r="AC35" s="500">
        <f>SUM(AA35:AB35)</f>
        <v>1011</v>
      </c>
      <c r="AD35" s="468">
        <f>SUM(AD12)</f>
        <v>0</v>
      </c>
      <c r="AE35" s="467">
        <f>SUM(AE12)</f>
        <v>1001</v>
      </c>
      <c r="AF35" s="500">
        <f t="shared" si="16"/>
        <v>1001</v>
      </c>
      <c r="AG35" s="468">
        <f>SUM(AG12)</f>
        <v>0</v>
      </c>
      <c r="AH35" s="467">
        <f>SUM(AH12)</f>
        <v>1887</v>
      </c>
      <c r="AI35" s="500">
        <f t="shared" si="17"/>
        <v>1887</v>
      </c>
      <c r="AJ35" s="468">
        <f>SUM(AJ12)</f>
        <v>0</v>
      </c>
      <c r="AK35" s="467">
        <f>SUM(AK12)</f>
        <v>1920</v>
      </c>
      <c r="AL35" s="500">
        <f t="shared" si="18"/>
        <v>1920</v>
      </c>
      <c r="AM35" s="468">
        <f>SUM(AM12)</f>
        <v>0</v>
      </c>
      <c r="AN35" s="467">
        <f>SUM(AN12)</f>
        <v>1926</v>
      </c>
      <c r="AO35" s="500">
        <f t="shared" si="19"/>
        <v>1926</v>
      </c>
      <c r="AP35" s="468">
        <f>SUM(AP12)</f>
        <v>0</v>
      </c>
      <c r="AQ35" s="467">
        <f>SUM(AQ12)</f>
        <v>1866</v>
      </c>
      <c r="AR35" s="500">
        <f t="shared" si="20"/>
        <v>1866</v>
      </c>
      <c r="AS35" s="468">
        <f>SUM(AS12)</f>
        <v>0</v>
      </c>
      <c r="AT35" s="467">
        <f>SUM(AT12)</f>
        <v>1892</v>
      </c>
      <c r="AU35" s="500">
        <f t="shared" si="21"/>
        <v>1892</v>
      </c>
    </row>
    <row r="36" spans="1:47" s="186" customFormat="1" ht="15" customHeight="1" x14ac:dyDescent="0.2">
      <c r="A36" s="5684"/>
      <c r="B36" s="504" t="s">
        <v>74</v>
      </c>
      <c r="C36" s="471"/>
      <c r="D36" s="470"/>
      <c r="E36" s="505"/>
      <c r="F36" s="471"/>
      <c r="G36" s="470"/>
      <c r="H36" s="505">
        <v>0</v>
      </c>
      <c r="I36" s="471"/>
      <c r="J36" s="470">
        <v>209</v>
      </c>
      <c r="K36" s="506">
        <v>209</v>
      </c>
      <c r="L36" s="470"/>
      <c r="M36" s="470">
        <v>94</v>
      </c>
      <c r="N36" s="506">
        <v>94</v>
      </c>
      <c r="O36" s="470"/>
      <c r="P36" s="470">
        <v>169</v>
      </c>
      <c r="Q36" s="506">
        <v>169</v>
      </c>
      <c r="R36" s="470"/>
      <c r="S36" s="470">
        <v>246</v>
      </c>
      <c r="T36" s="506">
        <v>246</v>
      </c>
      <c r="U36" s="471"/>
      <c r="V36" s="470">
        <v>241</v>
      </c>
      <c r="W36" s="506">
        <v>241</v>
      </c>
      <c r="X36" s="471"/>
      <c r="Y36" s="470">
        <v>444</v>
      </c>
      <c r="Z36" s="506">
        <f t="shared" si="15"/>
        <v>444</v>
      </c>
      <c r="AA36" s="471"/>
      <c r="AB36" s="470">
        <f>SUM(AB13)</f>
        <v>380</v>
      </c>
      <c r="AC36" s="506">
        <f>SUM(AA36:AB36)</f>
        <v>380</v>
      </c>
      <c r="AD36" s="471">
        <f>SUM(AD13)</f>
        <v>0</v>
      </c>
      <c r="AE36" s="470">
        <f>SUM(AE13)</f>
        <v>363</v>
      </c>
      <c r="AF36" s="506">
        <f t="shared" si="16"/>
        <v>363</v>
      </c>
      <c r="AG36" s="471">
        <f>SUM(AG13)</f>
        <v>0</v>
      </c>
      <c r="AH36" s="470">
        <f>SUM(AH13)</f>
        <v>770</v>
      </c>
      <c r="AI36" s="506">
        <f t="shared" si="17"/>
        <v>770</v>
      </c>
      <c r="AJ36" s="471">
        <f>SUM(AJ13)</f>
        <v>0</v>
      </c>
      <c r="AK36" s="470">
        <f>SUM(AK13)</f>
        <v>849</v>
      </c>
      <c r="AL36" s="506">
        <f t="shared" si="18"/>
        <v>849</v>
      </c>
      <c r="AM36" s="471">
        <f>SUM(AM13)</f>
        <v>0</v>
      </c>
      <c r="AN36" s="470">
        <f>SUM(AN13)</f>
        <v>955</v>
      </c>
      <c r="AO36" s="506">
        <f t="shared" si="19"/>
        <v>955</v>
      </c>
      <c r="AP36" s="471">
        <f>SUM(AP13)</f>
        <v>0</v>
      </c>
      <c r="AQ36" s="470">
        <f>SUM(AQ13)</f>
        <v>1005</v>
      </c>
      <c r="AR36" s="506">
        <f t="shared" si="20"/>
        <v>1005</v>
      </c>
      <c r="AS36" s="471">
        <f>SUM(AS13)</f>
        <v>0</v>
      </c>
      <c r="AT36" s="470">
        <f>SUM(AT13)</f>
        <v>993</v>
      </c>
      <c r="AU36" s="506">
        <f t="shared" si="21"/>
        <v>993</v>
      </c>
    </row>
    <row r="37" spans="1:47" s="188" customFormat="1" ht="15.75" customHeight="1" x14ac:dyDescent="0.2">
      <c r="A37" s="5685"/>
      <c r="B37" s="564" t="s">
        <v>12</v>
      </c>
      <c r="C37" s="565">
        <f>SUM(C31:C36)</f>
        <v>15105</v>
      </c>
      <c r="D37" s="566">
        <f>SUM(D31:D36)</f>
        <v>38175</v>
      </c>
      <c r="E37" s="566">
        <f>SUM(E31:E36)</f>
        <v>53280</v>
      </c>
      <c r="F37" s="565">
        <f>SUM(F31:F36)</f>
        <v>15498</v>
      </c>
      <c r="G37" s="566">
        <f t="shared" ref="G37:AC37" si="22">SUM(G31:G36)</f>
        <v>39825</v>
      </c>
      <c r="H37" s="566">
        <f t="shared" si="22"/>
        <v>55323</v>
      </c>
      <c r="I37" s="565">
        <f t="shared" si="22"/>
        <v>17446</v>
      </c>
      <c r="J37" s="566">
        <f t="shared" si="22"/>
        <v>42318</v>
      </c>
      <c r="K37" s="566">
        <f t="shared" si="22"/>
        <v>59764</v>
      </c>
      <c r="L37" s="565">
        <f t="shared" si="22"/>
        <v>18124</v>
      </c>
      <c r="M37" s="566">
        <f t="shared" si="22"/>
        <v>38411</v>
      </c>
      <c r="N37" s="566">
        <f t="shared" si="22"/>
        <v>56535</v>
      </c>
      <c r="O37" s="565">
        <f t="shared" si="22"/>
        <v>17399</v>
      </c>
      <c r="P37" s="566">
        <f t="shared" si="22"/>
        <v>42184</v>
      </c>
      <c r="Q37" s="566">
        <f t="shared" si="22"/>
        <v>59583</v>
      </c>
      <c r="R37" s="565">
        <f t="shared" si="22"/>
        <v>20516</v>
      </c>
      <c r="S37" s="566">
        <f t="shared" si="22"/>
        <v>44679</v>
      </c>
      <c r="T37" s="566">
        <f t="shared" si="22"/>
        <v>65195</v>
      </c>
      <c r="U37" s="565">
        <f t="shared" si="22"/>
        <v>21417</v>
      </c>
      <c r="V37" s="566">
        <f t="shared" si="22"/>
        <v>48573</v>
      </c>
      <c r="W37" s="566">
        <f t="shared" si="22"/>
        <v>69990</v>
      </c>
      <c r="X37" s="565">
        <f t="shared" si="22"/>
        <v>21960</v>
      </c>
      <c r="Y37" s="566">
        <f t="shared" si="22"/>
        <v>55031</v>
      </c>
      <c r="Z37" s="566">
        <f t="shared" si="22"/>
        <v>76991</v>
      </c>
      <c r="AA37" s="565">
        <f t="shared" si="22"/>
        <v>25150</v>
      </c>
      <c r="AB37" s="566">
        <f t="shared" si="22"/>
        <v>53877</v>
      </c>
      <c r="AC37" s="567">
        <f t="shared" si="22"/>
        <v>79027</v>
      </c>
      <c r="AD37" s="565">
        <f t="shared" ref="AD37:AI37" si="23">SUM(AD31:AD36)</f>
        <v>25485</v>
      </c>
      <c r="AE37" s="566">
        <f t="shared" si="23"/>
        <v>61584</v>
      </c>
      <c r="AF37" s="567">
        <f t="shared" si="23"/>
        <v>87069</v>
      </c>
      <c r="AG37" s="565">
        <f t="shared" si="23"/>
        <v>23871</v>
      </c>
      <c r="AH37" s="566">
        <f t="shared" si="23"/>
        <v>64247</v>
      </c>
      <c r="AI37" s="567">
        <f t="shared" si="23"/>
        <v>88118</v>
      </c>
      <c r="AJ37" s="565">
        <f t="shared" ref="AJ37:AO37" si="24">SUM(AJ31:AJ36)</f>
        <v>21515</v>
      </c>
      <c r="AK37" s="566">
        <f t="shared" si="24"/>
        <v>64638</v>
      </c>
      <c r="AL37" s="567">
        <f t="shared" si="24"/>
        <v>86153</v>
      </c>
      <c r="AM37" s="565">
        <f t="shared" si="24"/>
        <v>23957</v>
      </c>
      <c r="AN37" s="566">
        <f t="shared" si="24"/>
        <v>68733</v>
      </c>
      <c r="AO37" s="567">
        <f t="shared" si="24"/>
        <v>92690</v>
      </c>
      <c r="AP37" s="565">
        <f t="shared" ref="AP37:AU37" si="25">SUM(AP31:AP36)</f>
        <v>24591</v>
      </c>
      <c r="AQ37" s="566">
        <f t="shared" si="25"/>
        <v>69161</v>
      </c>
      <c r="AR37" s="567">
        <f t="shared" si="25"/>
        <v>93752</v>
      </c>
      <c r="AS37" s="565">
        <f t="shared" si="25"/>
        <v>23372</v>
      </c>
      <c r="AT37" s="566">
        <f t="shared" si="25"/>
        <v>69635</v>
      </c>
      <c r="AU37" s="567">
        <f t="shared" si="25"/>
        <v>93007</v>
      </c>
    </row>
    <row r="38" spans="1:47" ht="13.5" customHeight="1" x14ac:dyDescent="0.2">
      <c r="B38" s="375"/>
      <c r="C38" s="375"/>
      <c r="D38" s="375"/>
      <c r="E38" s="375"/>
    </row>
    <row r="39" spans="1:47" ht="12.75" customHeight="1" x14ac:dyDescent="0.2">
      <c r="A39" s="240" t="s">
        <v>648</v>
      </c>
      <c r="B39" s="563"/>
      <c r="C39" s="563"/>
      <c r="D39" s="563"/>
      <c r="E39" s="563"/>
    </row>
    <row r="40" spans="1:47" x14ac:dyDescent="0.2">
      <c r="A40" s="563"/>
      <c r="B40" s="563"/>
      <c r="C40" s="563"/>
      <c r="D40" s="563"/>
      <c r="E40" s="563"/>
    </row>
    <row r="46" spans="1:47" x14ac:dyDescent="0.2">
      <c r="S46" s="3544"/>
    </row>
    <row r="47" spans="1:47" x14ac:dyDescent="0.2">
      <c r="S47" s="3544"/>
    </row>
    <row r="48" spans="1:47" x14ac:dyDescent="0.2">
      <c r="S48" s="3544"/>
    </row>
    <row r="49" spans="19:19" x14ac:dyDescent="0.2">
      <c r="S49" s="3544"/>
    </row>
    <row r="50" spans="19:19" x14ac:dyDescent="0.2">
      <c r="S50" s="3544"/>
    </row>
    <row r="51" spans="19:19" x14ac:dyDescent="0.2">
      <c r="S51" s="3544">
        <v>2003</v>
      </c>
    </row>
    <row r="52" spans="19:19" x14ac:dyDescent="0.2">
      <c r="S52" s="3544">
        <v>2004</v>
      </c>
    </row>
    <row r="53" spans="19:19" x14ac:dyDescent="0.2">
      <c r="S53" s="3544">
        <v>2005</v>
      </c>
    </row>
    <row r="54" spans="19:19" x14ac:dyDescent="0.2">
      <c r="S54" s="3544">
        <v>2006</v>
      </c>
    </row>
    <row r="55" spans="19:19" x14ac:dyDescent="0.2">
      <c r="S55" s="3544">
        <v>2007</v>
      </c>
    </row>
    <row r="56" spans="19:19" x14ac:dyDescent="0.2">
      <c r="S56" s="3544">
        <v>2008</v>
      </c>
    </row>
    <row r="57" spans="19:19" x14ac:dyDescent="0.2">
      <c r="S57" s="3544">
        <v>2009</v>
      </c>
    </row>
    <row r="58" spans="19:19" x14ac:dyDescent="0.2">
      <c r="S58" s="3544">
        <v>2010</v>
      </c>
    </row>
    <row r="59" spans="19:19" x14ac:dyDescent="0.2">
      <c r="S59" s="3544">
        <v>2011</v>
      </c>
    </row>
    <row r="60" spans="19:19" x14ac:dyDescent="0.2">
      <c r="S60" s="3544">
        <v>2012</v>
      </c>
    </row>
    <row r="61" spans="19:19" x14ac:dyDescent="0.2">
      <c r="S61" s="3544">
        <v>2013</v>
      </c>
    </row>
    <row r="62" spans="19:19" x14ac:dyDescent="0.2">
      <c r="S62" s="3544">
        <v>2014</v>
      </c>
    </row>
    <row r="63" spans="19:19" x14ac:dyDescent="0.2">
      <c r="S63" s="3544">
        <v>2015</v>
      </c>
    </row>
    <row r="64" spans="19:19" x14ac:dyDescent="0.2">
      <c r="S64" s="3544">
        <v>2016</v>
      </c>
    </row>
    <row r="65" spans="19:23" x14ac:dyDescent="0.2">
      <c r="S65" s="3544">
        <v>2017</v>
      </c>
    </row>
    <row r="69" spans="19:23" x14ac:dyDescent="0.2">
      <c r="S69" s="3544"/>
    </row>
    <row r="70" spans="19:23" x14ac:dyDescent="0.2">
      <c r="S70" s="3544" t="s">
        <v>161</v>
      </c>
    </row>
    <row r="71" spans="19:23" x14ac:dyDescent="0.2">
      <c r="S71" s="3544" t="s">
        <v>407</v>
      </c>
    </row>
    <row r="72" spans="19:23" x14ac:dyDescent="0.2">
      <c r="S72" s="3544" t="s">
        <v>162</v>
      </c>
    </row>
    <row r="73" spans="19:23" x14ac:dyDescent="0.2">
      <c r="S73" s="3544" t="s">
        <v>408</v>
      </c>
    </row>
    <row r="74" spans="19:23" x14ac:dyDescent="0.2">
      <c r="S74" s="3544" t="s">
        <v>163</v>
      </c>
      <c r="W74" s="2211"/>
    </row>
    <row r="75" spans="19:23" x14ac:dyDescent="0.2">
      <c r="W75" s="2211"/>
    </row>
  </sheetData>
  <sheetProtection algorithmName="SHA-512" hashValue="qQW0dSolmvI6LYXv9R/PAagVxJNyRihJ0qyyIl3BwT8xnYKz57sypixAoLgERmgbJFzjai7qS/PvQwL6X6b68A==" saltValue="5ct0ZLTjj1tzBJyR70dA/g==" spinCount="100000" sheet="1" objects="1" scenarios="1"/>
  <mergeCells count="24">
    <mergeCell ref="A1:B1"/>
    <mergeCell ref="A31:A37"/>
    <mergeCell ref="A16:A19"/>
    <mergeCell ref="A6:A9"/>
    <mergeCell ref="A21:A24"/>
    <mergeCell ref="A11:A14"/>
    <mergeCell ref="A26:A29"/>
    <mergeCell ref="A3:A4"/>
    <mergeCell ref="B3:B4"/>
    <mergeCell ref="AS3:AU3"/>
    <mergeCell ref="AP3:AR3"/>
    <mergeCell ref="AM3:AO3"/>
    <mergeCell ref="O3:Q3"/>
    <mergeCell ref="C3:E3"/>
    <mergeCell ref="AJ3:AL3"/>
    <mergeCell ref="F3:H3"/>
    <mergeCell ref="I3:K3"/>
    <mergeCell ref="L3:N3"/>
    <mergeCell ref="AG3:AI3"/>
    <mergeCell ref="X3:Z3"/>
    <mergeCell ref="AA3:AC3"/>
    <mergeCell ref="AD3:AF3"/>
    <mergeCell ref="R3:T3"/>
    <mergeCell ref="U3:W3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40" max="43" man="1"/>
  </rowBreaks>
  <colBreaks count="2" manualBreakCount="2">
    <brk id="20" max="76" man="1"/>
    <brk id="38" max="76" man="1"/>
  </colBreaks>
  <ignoredErrors>
    <ignoredError sqref="Z6:Z9 Z16:Z19 Z35:Z36 Z26:Z28 AK12:AK13" formulaRange="1"/>
    <ignoredError sqref="AC31:AC36 AF31:AF36 AI31:AI36 AL31:AL36 AO31:AO36 AR31:AR36" formula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AA100"/>
  <sheetViews>
    <sheetView showGridLines="0" topLeftCell="D1" zoomScaleNormal="100" zoomScaleSheetLayoutView="70" workbookViewId="0">
      <selection activeCell="H23" sqref="H23"/>
    </sheetView>
  </sheetViews>
  <sheetFormatPr baseColWidth="10" defaultRowHeight="12.75" x14ac:dyDescent="0.2"/>
  <cols>
    <col min="1" max="1" width="1.42578125" style="209" customWidth="1"/>
    <col min="2" max="2" width="13" style="209" customWidth="1"/>
    <col min="3" max="3" width="54.140625" style="210" customWidth="1"/>
    <col min="4" max="24" width="7.7109375" style="211" customWidth="1"/>
    <col min="25" max="27" width="7.7109375" style="209" customWidth="1"/>
    <col min="28" max="255" width="11.42578125" style="209"/>
    <col min="256" max="256" width="1.42578125" style="209" customWidth="1"/>
    <col min="257" max="257" width="14.85546875" style="209" bestFit="1" customWidth="1"/>
    <col min="258" max="258" width="13" style="209" customWidth="1"/>
    <col min="259" max="259" width="54.140625" style="209" customWidth="1"/>
    <col min="260" max="283" width="7.7109375" style="209" customWidth="1"/>
    <col min="284" max="511" width="11.42578125" style="209"/>
    <col min="512" max="512" width="1.42578125" style="209" customWidth="1"/>
    <col min="513" max="513" width="14.85546875" style="209" bestFit="1" customWidth="1"/>
    <col min="514" max="514" width="13" style="209" customWidth="1"/>
    <col min="515" max="515" width="54.140625" style="209" customWidth="1"/>
    <col min="516" max="539" width="7.7109375" style="209" customWidth="1"/>
    <col min="540" max="767" width="11.42578125" style="209"/>
    <col min="768" max="768" width="1.42578125" style="209" customWidth="1"/>
    <col min="769" max="769" width="14.85546875" style="209" bestFit="1" customWidth="1"/>
    <col min="770" max="770" width="13" style="209" customWidth="1"/>
    <col min="771" max="771" width="54.140625" style="209" customWidth="1"/>
    <col min="772" max="795" width="7.7109375" style="209" customWidth="1"/>
    <col min="796" max="1023" width="11.42578125" style="209"/>
    <col min="1024" max="1024" width="1.42578125" style="209" customWidth="1"/>
    <col min="1025" max="1025" width="14.85546875" style="209" bestFit="1" customWidth="1"/>
    <col min="1026" max="1026" width="13" style="209" customWidth="1"/>
    <col min="1027" max="1027" width="54.140625" style="209" customWidth="1"/>
    <col min="1028" max="1051" width="7.7109375" style="209" customWidth="1"/>
    <col min="1052" max="1279" width="11.42578125" style="209"/>
    <col min="1280" max="1280" width="1.42578125" style="209" customWidth="1"/>
    <col min="1281" max="1281" width="14.85546875" style="209" bestFit="1" customWidth="1"/>
    <col min="1282" max="1282" width="13" style="209" customWidth="1"/>
    <col min="1283" max="1283" width="54.140625" style="209" customWidth="1"/>
    <col min="1284" max="1307" width="7.7109375" style="209" customWidth="1"/>
    <col min="1308" max="1535" width="11.42578125" style="209"/>
    <col min="1536" max="1536" width="1.42578125" style="209" customWidth="1"/>
    <col min="1537" max="1537" width="14.85546875" style="209" bestFit="1" customWidth="1"/>
    <col min="1538" max="1538" width="13" style="209" customWidth="1"/>
    <col min="1539" max="1539" width="54.140625" style="209" customWidth="1"/>
    <col min="1540" max="1563" width="7.7109375" style="209" customWidth="1"/>
    <col min="1564" max="1791" width="11.42578125" style="209"/>
    <col min="1792" max="1792" width="1.42578125" style="209" customWidth="1"/>
    <col min="1793" max="1793" width="14.85546875" style="209" bestFit="1" customWidth="1"/>
    <col min="1794" max="1794" width="13" style="209" customWidth="1"/>
    <col min="1795" max="1795" width="54.140625" style="209" customWidth="1"/>
    <col min="1796" max="1819" width="7.7109375" style="209" customWidth="1"/>
    <col min="1820" max="2047" width="11.42578125" style="209"/>
    <col min="2048" max="2048" width="1.42578125" style="209" customWidth="1"/>
    <col min="2049" max="2049" width="14.85546875" style="209" bestFit="1" customWidth="1"/>
    <col min="2050" max="2050" width="13" style="209" customWidth="1"/>
    <col min="2051" max="2051" width="54.140625" style="209" customWidth="1"/>
    <col min="2052" max="2075" width="7.7109375" style="209" customWidth="1"/>
    <col min="2076" max="2303" width="11.42578125" style="209"/>
    <col min="2304" max="2304" width="1.42578125" style="209" customWidth="1"/>
    <col min="2305" max="2305" width="14.85546875" style="209" bestFit="1" customWidth="1"/>
    <col min="2306" max="2306" width="13" style="209" customWidth="1"/>
    <col min="2307" max="2307" width="54.140625" style="209" customWidth="1"/>
    <col min="2308" max="2331" width="7.7109375" style="209" customWidth="1"/>
    <col min="2332" max="2559" width="11.42578125" style="209"/>
    <col min="2560" max="2560" width="1.42578125" style="209" customWidth="1"/>
    <col min="2561" max="2561" width="14.85546875" style="209" bestFit="1" customWidth="1"/>
    <col min="2562" max="2562" width="13" style="209" customWidth="1"/>
    <col min="2563" max="2563" width="54.140625" style="209" customWidth="1"/>
    <col min="2564" max="2587" width="7.7109375" style="209" customWidth="1"/>
    <col min="2588" max="2815" width="11.42578125" style="209"/>
    <col min="2816" max="2816" width="1.42578125" style="209" customWidth="1"/>
    <col min="2817" max="2817" width="14.85546875" style="209" bestFit="1" customWidth="1"/>
    <col min="2818" max="2818" width="13" style="209" customWidth="1"/>
    <col min="2819" max="2819" width="54.140625" style="209" customWidth="1"/>
    <col min="2820" max="2843" width="7.7109375" style="209" customWidth="1"/>
    <col min="2844" max="3071" width="11.42578125" style="209"/>
    <col min="3072" max="3072" width="1.42578125" style="209" customWidth="1"/>
    <col min="3073" max="3073" width="14.85546875" style="209" bestFit="1" customWidth="1"/>
    <col min="3074" max="3074" width="13" style="209" customWidth="1"/>
    <col min="3075" max="3075" width="54.140625" style="209" customWidth="1"/>
    <col min="3076" max="3099" width="7.7109375" style="209" customWidth="1"/>
    <col min="3100" max="3327" width="11.42578125" style="209"/>
    <col min="3328" max="3328" width="1.42578125" style="209" customWidth="1"/>
    <col min="3329" max="3329" width="14.85546875" style="209" bestFit="1" customWidth="1"/>
    <col min="3330" max="3330" width="13" style="209" customWidth="1"/>
    <col min="3331" max="3331" width="54.140625" style="209" customWidth="1"/>
    <col min="3332" max="3355" width="7.7109375" style="209" customWidth="1"/>
    <col min="3356" max="3583" width="11.42578125" style="209"/>
    <col min="3584" max="3584" width="1.42578125" style="209" customWidth="1"/>
    <col min="3585" max="3585" width="14.85546875" style="209" bestFit="1" customWidth="1"/>
    <col min="3586" max="3586" width="13" style="209" customWidth="1"/>
    <col min="3587" max="3587" width="54.140625" style="209" customWidth="1"/>
    <col min="3588" max="3611" width="7.7109375" style="209" customWidth="1"/>
    <col min="3612" max="3839" width="11.42578125" style="209"/>
    <col min="3840" max="3840" width="1.42578125" style="209" customWidth="1"/>
    <col min="3841" max="3841" width="14.85546875" style="209" bestFit="1" customWidth="1"/>
    <col min="3842" max="3842" width="13" style="209" customWidth="1"/>
    <col min="3843" max="3843" width="54.140625" style="209" customWidth="1"/>
    <col min="3844" max="3867" width="7.7109375" style="209" customWidth="1"/>
    <col min="3868" max="4095" width="11.42578125" style="209"/>
    <col min="4096" max="4096" width="1.42578125" style="209" customWidth="1"/>
    <col min="4097" max="4097" width="14.85546875" style="209" bestFit="1" customWidth="1"/>
    <col min="4098" max="4098" width="13" style="209" customWidth="1"/>
    <col min="4099" max="4099" width="54.140625" style="209" customWidth="1"/>
    <col min="4100" max="4123" width="7.7109375" style="209" customWidth="1"/>
    <col min="4124" max="4351" width="11.42578125" style="209"/>
    <col min="4352" max="4352" width="1.42578125" style="209" customWidth="1"/>
    <col min="4353" max="4353" width="14.85546875" style="209" bestFit="1" customWidth="1"/>
    <col min="4354" max="4354" width="13" style="209" customWidth="1"/>
    <col min="4355" max="4355" width="54.140625" style="209" customWidth="1"/>
    <col min="4356" max="4379" width="7.7109375" style="209" customWidth="1"/>
    <col min="4380" max="4607" width="11.42578125" style="209"/>
    <col min="4608" max="4608" width="1.42578125" style="209" customWidth="1"/>
    <col min="4609" max="4609" width="14.85546875" style="209" bestFit="1" customWidth="1"/>
    <col min="4610" max="4610" width="13" style="209" customWidth="1"/>
    <col min="4611" max="4611" width="54.140625" style="209" customWidth="1"/>
    <col min="4612" max="4635" width="7.7109375" style="209" customWidth="1"/>
    <col min="4636" max="4863" width="11.42578125" style="209"/>
    <col min="4864" max="4864" width="1.42578125" style="209" customWidth="1"/>
    <col min="4865" max="4865" width="14.85546875" style="209" bestFit="1" customWidth="1"/>
    <col min="4866" max="4866" width="13" style="209" customWidth="1"/>
    <col min="4867" max="4867" width="54.140625" style="209" customWidth="1"/>
    <col min="4868" max="4891" width="7.7109375" style="209" customWidth="1"/>
    <col min="4892" max="5119" width="11.42578125" style="209"/>
    <col min="5120" max="5120" width="1.42578125" style="209" customWidth="1"/>
    <col min="5121" max="5121" width="14.85546875" style="209" bestFit="1" customWidth="1"/>
    <col min="5122" max="5122" width="13" style="209" customWidth="1"/>
    <col min="5123" max="5123" width="54.140625" style="209" customWidth="1"/>
    <col min="5124" max="5147" width="7.7109375" style="209" customWidth="1"/>
    <col min="5148" max="5375" width="11.42578125" style="209"/>
    <col min="5376" max="5376" width="1.42578125" style="209" customWidth="1"/>
    <col min="5377" max="5377" width="14.85546875" style="209" bestFit="1" customWidth="1"/>
    <col min="5378" max="5378" width="13" style="209" customWidth="1"/>
    <col min="5379" max="5379" width="54.140625" style="209" customWidth="1"/>
    <col min="5380" max="5403" width="7.7109375" style="209" customWidth="1"/>
    <col min="5404" max="5631" width="11.42578125" style="209"/>
    <col min="5632" max="5632" width="1.42578125" style="209" customWidth="1"/>
    <col min="5633" max="5633" width="14.85546875" style="209" bestFit="1" customWidth="1"/>
    <col min="5634" max="5634" width="13" style="209" customWidth="1"/>
    <col min="5635" max="5635" width="54.140625" style="209" customWidth="1"/>
    <col min="5636" max="5659" width="7.7109375" style="209" customWidth="1"/>
    <col min="5660" max="5887" width="11.42578125" style="209"/>
    <col min="5888" max="5888" width="1.42578125" style="209" customWidth="1"/>
    <col min="5889" max="5889" width="14.85546875" style="209" bestFit="1" customWidth="1"/>
    <col min="5890" max="5890" width="13" style="209" customWidth="1"/>
    <col min="5891" max="5891" width="54.140625" style="209" customWidth="1"/>
    <col min="5892" max="5915" width="7.7109375" style="209" customWidth="1"/>
    <col min="5916" max="6143" width="11.42578125" style="209"/>
    <col min="6144" max="6144" width="1.42578125" style="209" customWidth="1"/>
    <col min="6145" max="6145" width="14.85546875" style="209" bestFit="1" customWidth="1"/>
    <col min="6146" max="6146" width="13" style="209" customWidth="1"/>
    <col min="6147" max="6147" width="54.140625" style="209" customWidth="1"/>
    <col min="6148" max="6171" width="7.7109375" style="209" customWidth="1"/>
    <col min="6172" max="6399" width="11.42578125" style="209"/>
    <col min="6400" max="6400" width="1.42578125" style="209" customWidth="1"/>
    <col min="6401" max="6401" width="14.85546875" style="209" bestFit="1" customWidth="1"/>
    <col min="6402" max="6402" width="13" style="209" customWidth="1"/>
    <col min="6403" max="6403" width="54.140625" style="209" customWidth="1"/>
    <col min="6404" max="6427" width="7.7109375" style="209" customWidth="1"/>
    <col min="6428" max="6655" width="11.42578125" style="209"/>
    <col min="6656" max="6656" width="1.42578125" style="209" customWidth="1"/>
    <col min="6657" max="6657" width="14.85546875" style="209" bestFit="1" customWidth="1"/>
    <col min="6658" max="6658" width="13" style="209" customWidth="1"/>
    <col min="6659" max="6659" width="54.140625" style="209" customWidth="1"/>
    <col min="6660" max="6683" width="7.7109375" style="209" customWidth="1"/>
    <col min="6684" max="6911" width="11.42578125" style="209"/>
    <col min="6912" max="6912" width="1.42578125" style="209" customWidth="1"/>
    <col min="6913" max="6913" width="14.85546875" style="209" bestFit="1" customWidth="1"/>
    <col min="6914" max="6914" width="13" style="209" customWidth="1"/>
    <col min="6915" max="6915" width="54.140625" style="209" customWidth="1"/>
    <col min="6916" max="6939" width="7.7109375" style="209" customWidth="1"/>
    <col min="6940" max="7167" width="11.42578125" style="209"/>
    <col min="7168" max="7168" width="1.42578125" style="209" customWidth="1"/>
    <col min="7169" max="7169" width="14.85546875" style="209" bestFit="1" customWidth="1"/>
    <col min="7170" max="7170" width="13" style="209" customWidth="1"/>
    <col min="7171" max="7171" width="54.140625" style="209" customWidth="1"/>
    <col min="7172" max="7195" width="7.7109375" style="209" customWidth="1"/>
    <col min="7196" max="7423" width="11.42578125" style="209"/>
    <col min="7424" max="7424" width="1.42578125" style="209" customWidth="1"/>
    <col min="7425" max="7425" width="14.85546875" style="209" bestFit="1" customWidth="1"/>
    <col min="7426" max="7426" width="13" style="209" customWidth="1"/>
    <col min="7427" max="7427" width="54.140625" style="209" customWidth="1"/>
    <col min="7428" max="7451" width="7.7109375" style="209" customWidth="1"/>
    <col min="7452" max="7679" width="11.42578125" style="209"/>
    <col min="7680" max="7680" width="1.42578125" style="209" customWidth="1"/>
    <col min="7681" max="7681" width="14.85546875" style="209" bestFit="1" customWidth="1"/>
    <col min="7682" max="7682" width="13" style="209" customWidth="1"/>
    <col min="7683" max="7683" width="54.140625" style="209" customWidth="1"/>
    <col min="7684" max="7707" width="7.7109375" style="209" customWidth="1"/>
    <col min="7708" max="7935" width="11.42578125" style="209"/>
    <col min="7936" max="7936" width="1.42578125" style="209" customWidth="1"/>
    <col min="7937" max="7937" width="14.85546875" style="209" bestFit="1" customWidth="1"/>
    <col min="7938" max="7938" width="13" style="209" customWidth="1"/>
    <col min="7939" max="7939" width="54.140625" style="209" customWidth="1"/>
    <col min="7940" max="7963" width="7.7109375" style="209" customWidth="1"/>
    <col min="7964" max="8191" width="11.42578125" style="209"/>
    <col min="8192" max="8192" width="1.42578125" style="209" customWidth="1"/>
    <col min="8193" max="8193" width="14.85546875" style="209" bestFit="1" customWidth="1"/>
    <col min="8194" max="8194" width="13" style="209" customWidth="1"/>
    <col min="8195" max="8195" width="54.140625" style="209" customWidth="1"/>
    <col min="8196" max="8219" width="7.7109375" style="209" customWidth="1"/>
    <col min="8220" max="8447" width="11.42578125" style="209"/>
    <col min="8448" max="8448" width="1.42578125" style="209" customWidth="1"/>
    <col min="8449" max="8449" width="14.85546875" style="209" bestFit="1" customWidth="1"/>
    <col min="8450" max="8450" width="13" style="209" customWidth="1"/>
    <col min="8451" max="8451" width="54.140625" style="209" customWidth="1"/>
    <col min="8452" max="8475" width="7.7109375" style="209" customWidth="1"/>
    <col min="8476" max="8703" width="11.42578125" style="209"/>
    <col min="8704" max="8704" width="1.42578125" style="209" customWidth="1"/>
    <col min="8705" max="8705" width="14.85546875" style="209" bestFit="1" customWidth="1"/>
    <col min="8706" max="8706" width="13" style="209" customWidth="1"/>
    <col min="8707" max="8707" width="54.140625" style="209" customWidth="1"/>
    <col min="8708" max="8731" width="7.7109375" style="209" customWidth="1"/>
    <col min="8732" max="8959" width="11.42578125" style="209"/>
    <col min="8960" max="8960" width="1.42578125" style="209" customWidth="1"/>
    <col min="8961" max="8961" width="14.85546875" style="209" bestFit="1" customWidth="1"/>
    <col min="8962" max="8962" width="13" style="209" customWidth="1"/>
    <col min="8963" max="8963" width="54.140625" style="209" customWidth="1"/>
    <col min="8964" max="8987" width="7.7109375" style="209" customWidth="1"/>
    <col min="8988" max="9215" width="11.42578125" style="209"/>
    <col min="9216" max="9216" width="1.42578125" style="209" customWidth="1"/>
    <col min="9217" max="9217" width="14.85546875" style="209" bestFit="1" customWidth="1"/>
    <col min="9218" max="9218" width="13" style="209" customWidth="1"/>
    <col min="9219" max="9219" width="54.140625" style="209" customWidth="1"/>
    <col min="9220" max="9243" width="7.7109375" style="209" customWidth="1"/>
    <col min="9244" max="9471" width="11.42578125" style="209"/>
    <col min="9472" max="9472" width="1.42578125" style="209" customWidth="1"/>
    <col min="9473" max="9473" width="14.85546875" style="209" bestFit="1" customWidth="1"/>
    <col min="9474" max="9474" width="13" style="209" customWidth="1"/>
    <col min="9475" max="9475" width="54.140625" style="209" customWidth="1"/>
    <col min="9476" max="9499" width="7.7109375" style="209" customWidth="1"/>
    <col min="9500" max="9727" width="11.42578125" style="209"/>
    <col min="9728" max="9728" width="1.42578125" style="209" customWidth="1"/>
    <col min="9729" max="9729" width="14.85546875" style="209" bestFit="1" customWidth="1"/>
    <col min="9730" max="9730" width="13" style="209" customWidth="1"/>
    <col min="9731" max="9731" width="54.140625" style="209" customWidth="1"/>
    <col min="9732" max="9755" width="7.7109375" style="209" customWidth="1"/>
    <col min="9756" max="9983" width="11.42578125" style="209"/>
    <col min="9984" max="9984" width="1.42578125" style="209" customWidth="1"/>
    <col min="9985" max="9985" width="14.85546875" style="209" bestFit="1" customWidth="1"/>
    <col min="9986" max="9986" width="13" style="209" customWidth="1"/>
    <col min="9987" max="9987" width="54.140625" style="209" customWidth="1"/>
    <col min="9988" max="10011" width="7.7109375" style="209" customWidth="1"/>
    <col min="10012" max="10239" width="11.42578125" style="209"/>
    <col min="10240" max="10240" width="1.42578125" style="209" customWidth="1"/>
    <col min="10241" max="10241" width="14.85546875" style="209" bestFit="1" customWidth="1"/>
    <col min="10242" max="10242" width="13" style="209" customWidth="1"/>
    <col min="10243" max="10243" width="54.140625" style="209" customWidth="1"/>
    <col min="10244" max="10267" width="7.7109375" style="209" customWidth="1"/>
    <col min="10268" max="10495" width="11.42578125" style="209"/>
    <col min="10496" max="10496" width="1.42578125" style="209" customWidth="1"/>
    <col min="10497" max="10497" width="14.85546875" style="209" bestFit="1" customWidth="1"/>
    <col min="10498" max="10498" width="13" style="209" customWidth="1"/>
    <col min="10499" max="10499" width="54.140625" style="209" customWidth="1"/>
    <col min="10500" max="10523" width="7.7109375" style="209" customWidth="1"/>
    <col min="10524" max="10751" width="11.42578125" style="209"/>
    <col min="10752" max="10752" width="1.42578125" style="209" customWidth="1"/>
    <col min="10753" max="10753" width="14.85546875" style="209" bestFit="1" customWidth="1"/>
    <col min="10754" max="10754" width="13" style="209" customWidth="1"/>
    <col min="10755" max="10755" width="54.140625" style="209" customWidth="1"/>
    <col min="10756" max="10779" width="7.7109375" style="209" customWidth="1"/>
    <col min="10780" max="11007" width="11.42578125" style="209"/>
    <col min="11008" max="11008" width="1.42578125" style="209" customWidth="1"/>
    <col min="11009" max="11009" width="14.85546875" style="209" bestFit="1" customWidth="1"/>
    <col min="11010" max="11010" width="13" style="209" customWidth="1"/>
    <col min="11011" max="11011" width="54.140625" style="209" customWidth="1"/>
    <col min="11012" max="11035" width="7.7109375" style="209" customWidth="1"/>
    <col min="11036" max="11263" width="11.42578125" style="209"/>
    <col min="11264" max="11264" width="1.42578125" style="209" customWidth="1"/>
    <col min="11265" max="11265" width="14.85546875" style="209" bestFit="1" customWidth="1"/>
    <col min="11266" max="11266" width="13" style="209" customWidth="1"/>
    <col min="11267" max="11267" width="54.140625" style="209" customWidth="1"/>
    <col min="11268" max="11291" width="7.7109375" style="209" customWidth="1"/>
    <col min="11292" max="11519" width="11.42578125" style="209"/>
    <col min="11520" max="11520" width="1.42578125" style="209" customWidth="1"/>
    <col min="11521" max="11521" width="14.85546875" style="209" bestFit="1" customWidth="1"/>
    <col min="11522" max="11522" width="13" style="209" customWidth="1"/>
    <col min="11523" max="11523" width="54.140625" style="209" customWidth="1"/>
    <col min="11524" max="11547" width="7.7109375" style="209" customWidth="1"/>
    <col min="11548" max="11775" width="11.42578125" style="209"/>
    <col min="11776" max="11776" width="1.42578125" style="209" customWidth="1"/>
    <col min="11777" max="11777" width="14.85546875" style="209" bestFit="1" customWidth="1"/>
    <col min="11778" max="11778" width="13" style="209" customWidth="1"/>
    <col min="11779" max="11779" width="54.140625" style="209" customWidth="1"/>
    <col min="11780" max="11803" width="7.7109375" style="209" customWidth="1"/>
    <col min="11804" max="12031" width="11.42578125" style="209"/>
    <col min="12032" max="12032" width="1.42578125" style="209" customWidth="1"/>
    <col min="12033" max="12033" width="14.85546875" style="209" bestFit="1" customWidth="1"/>
    <col min="12034" max="12034" width="13" style="209" customWidth="1"/>
    <col min="12035" max="12035" width="54.140625" style="209" customWidth="1"/>
    <col min="12036" max="12059" width="7.7109375" style="209" customWidth="1"/>
    <col min="12060" max="12287" width="11.42578125" style="209"/>
    <col min="12288" max="12288" width="1.42578125" style="209" customWidth="1"/>
    <col min="12289" max="12289" width="14.85546875" style="209" bestFit="1" customWidth="1"/>
    <col min="12290" max="12290" width="13" style="209" customWidth="1"/>
    <col min="12291" max="12291" width="54.140625" style="209" customWidth="1"/>
    <col min="12292" max="12315" width="7.7109375" style="209" customWidth="1"/>
    <col min="12316" max="12543" width="11.42578125" style="209"/>
    <col min="12544" max="12544" width="1.42578125" style="209" customWidth="1"/>
    <col min="12545" max="12545" width="14.85546875" style="209" bestFit="1" customWidth="1"/>
    <col min="12546" max="12546" width="13" style="209" customWidth="1"/>
    <col min="12547" max="12547" width="54.140625" style="209" customWidth="1"/>
    <col min="12548" max="12571" width="7.7109375" style="209" customWidth="1"/>
    <col min="12572" max="12799" width="11.42578125" style="209"/>
    <col min="12800" max="12800" width="1.42578125" style="209" customWidth="1"/>
    <col min="12801" max="12801" width="14.85546875" style="209" bestFit="1" customWidth="1"/>
    <col min="12802" max="12802" width="13" style="209" customWidth="1"/>
    <col min="12803" max="12803" width="54.140625" style="209" customWidth="1"/>
    <col min="12804" max="12827" width="7.7109375" style="209" customWidth="1"/>
    <col min="12828" max="13055" width="11.42578125" style="209"/>
    <col min="13056" max="13056" width="1.42578125" style="209" customWidth="1"/>
    <col min="13057" max="13057" width="14.85546875" style="209" bestFit="1" customWidth="1"/>
    <col min="13058" max="13058" width="13" style="209" customWidth="1"/>
    <col min="13059" max="13059" width="54.140625" style="209" customWidth="1"/>
    <col min="13060" max="13083" width="7.7109375" style="209" customWidth="1"/>
    <col min="13084" max="13311" width="11.42578125" style="209"/>
    <col min="13312" max="13312" width="1.42578125" style="209" customWidth="1"/>
    <col min="13313" max="13313" width="14.85546875" style="209" bestFit="1" customWidth="1"/>
    <col min="13314" max="13314" width="13" style="209" customWidth="1"/>
    <col min="13315" max="13315" width="54.140625" style="209" customWidth="1"/>
    <col min="13316" max="13339" width="7.7109375" style="209" customWidth="1"/>
    <col min="13340" max="13567" width="11.42578125" style="209"/>
    <col min="13568" max="13568" width="1.42578125" style="209" customWidth="1"/>
    <col min="13569" max="13569" width="14.85546875" style="209" bestFit="1" customWidth="1"/>
    <col min="13570" max="13570" width="13" style="209" customWidth="1"/>
    <col min="13571" max="13571" width="54.140625" style="209" customWidth="1"/>
    <col min="13572" max="13595" width="7.7109375" style="209" customWidth="1"/>
    <col min="13596" max="13823" width="11.42578125" style="209"/>
    <col min="13824" max="13824" width="1.42578125" style="209" customWidth="1"/>
    <col min="13825" max="13825" width="14.85546875" style="209" bestFit="1" customWidth="1"/>
    <col min="13826" max="13826" width="13" style="209" customWidth="1"/>
    <col min="13827" max="13827" width="54.140625" style="209" customWidth="1"/>
    <col min="13828" max="13851" width="7.7109375" style="209" customWidth="1"/>
    <col min="13852" max="14079" width="11.42578125" style="209"/>
    <col min="14080" max="14080" width="1.42578125" style="209" customWidth="1"/>
    <col min="14081" max="14081" width="14.85546875" style="209" bestFit="1" customWidth="1"/>
    <col min="14082" max="14082" width="13" style="209" customWidth="1"/>
    <col min="14083" max="14083" width="54.140625" style="209" customWidth="1"/>
    <col min="14084" max="14107" width="7.7109375" style="209" customWidth="1"/>
    <col min="14108" max="14335" width="11.42578125" style="209"/>
    <col min="14336" max="14336" width="1.42578125" style="209" customWidth="1"/>
    <col min="14337" max="14337" width="14.85546875" style="209" bestFit="1" customWidth="1"/>
    <col min="14338" max="14338" width="13" style="209" customWidth="1"/>
    <col min="14339" max="14339" width="54.140625" style="209" customWidth="1"/>
    <col min="14340" max="14363" width="7.7109375" style="209" customWidth="1"/>
    <col min="14364" max="14591" width="11.42578125" style="209"/>
    <col min="14592" max="14592" width="1.42578125" style="209" customWidth="1"/>
    <col min="14593" max="14593" width="14.85546875" style="209" bestFit="1" customWidth="1"/>
    <col min="14594" max="14594" width="13" style="209" customWidth="1"/>
    <col min="14595" max="14595" width="54.140625" style="209" customWidth="1"/>
    <col min="14596" max="14619" width="7.7109375" style="209" customWidth="1"/>
    <col min="14620" max="14847" width="11.42578125" style="209"/>
    <col min="14848" max="14848" width="1.42578125" style="209" customWidth="1"/>
    <col min="14849" max="14849" width="14.85546875" style="209" bestFit="1" customWidth="1"/>
    <col min="14850" max="14850" width="13" style="209" customWidth="1"/>
    <col min="14851" max="14851" width="54.140625" style="209" customWidth="1"/>
    <col min="14852" max="14875" width="7.7109375" style="209" customWidth="1"/>
    <col min="14876" max="15103" width="11.42578125" style="209"/>
    <col min="15104" max="15104" width="1.42578125" style="209" customWidth="1"/>
    <col min="15105" max="15105" width="14.85546875" style="209" bestFit="1" customWidth="1"/>
    <col min="15106" max="15106" width="13" style="209" customWidth="1"/>
    <col min="15107" max="15107" width="54.140625" style="209" customWidth="1"/>
    <col min="15108" max="15131" width="7.7109375" style="209" customWidth="1"/>
    <col min="15132" max="15359" width="11.42578125" style="209"/>
    <col min="15360" max="15360" width="1.42578125" style="209" customWidth="1"/>
    <col min="15361" max="15361" width="14.85546875" style="209" bestFit="1" customWidth="1"/>
    <col min="15362" max="15362" width="13" style="209" customWidth="1"/>
    <col min="15363" max="15363" width="54.140625" style="209" customWidth="1"/>
    <col min="15364" max="15387" width="7.7109375" style="209" customWidth="1"/>
    <col min="15388" max="15615" width="11.42578125" style="209"/>
    <col min="15616" max="15616" width="1.42578125" style="209" customWidth="1"/>
    <col min="15617" max="15617" width="14.85546875" style="209" bestFit="1" customWidth="1"/>
    <col min="15618" max="15618" width="13" style="209" customWidth="1"/>
    <col min="15619" max="15619" width="54.140625" style="209" customWidth="1"/>
    <col min="15620" max="15643" width="7.7109375" style="209" customWidth="1"/>
    <col min="15644" max="15871" width="11.42578125" style="209"/>
    <col min="15872" max="15872" width="1.42578125" style="209" customWidth="1"/>
    <col min="15873" max="15873" width="14.85546875" style="209" bestFit="1" customWidth="1"/>
    <col min="15874" max="15874" width="13" style="209" customWidth="1"/>
    <col min="15875" max="15875" width="54.140625" style="209" customWidth="1"/>
    <col min="15876" max="15899" width="7.7109375" style="209" customWidth="1"/>
    <col min="15900" max="16127" width="11.42578125" style="209"/>
    <col min="16128" max="16128" width="1.42578125" style="209" customWidth="1"/>
    <col min="16129" max="16129" width="14.85546875" style="209" bestFit="1" customWidth="1"/>
    <col min="16130" max="16130" width="13" style="209" customWidth="1"/>
    <col min="16131" max="16131" width="54.140625" style="209" customWidth="1"/>
    <col min="16132" max="16155" width="7.7109375" style="209" customWidth="1"/>
    <col min="16156" max="16384" width="11.42578125" style="209"/>
  </cols>
  <sheetData>
    <row r="1" spans="2:27" ht="20.25" x14ac:dyDescent="0.2">
      <c r="B1" s="579"/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T1" s="629"/>
      <c r="U1" s="629"/>
      <c r="V1" s="629"/>
      <c r="W1" s="629"/>
      <c r="X1" s="629"/>
    </row>
    <row r="2" spans="2:27" ht="18" x14ac:dyDescent="0.2">
      <c r="B2" s="191" t="s">
        <v>350</v>
      </c>
      <c r="C2" s="648"/>
      <c r="D2" s="648"/>
      <c r="E2" s="648"/>
      <c r="F2" s="648"/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</row>
    <row r="3" spans="2:27" ht="18" customHeight="1" x14ac:dyDescent="0.2">
      <c r="B3" s="191" t="s">
        <v>336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</row>
    <row r="4" spans="2:27" ht="18" customHeight="1" x14ac:dyDescent="0.2"/>
    <row r="5" spans="2:27" ht="12.75" customHeight="1" x14ac:dyDescent="0.2">
      <c r="B5" s="6275" t="s">
        <v>164</v>
      </c>
      <c r="C5" s="6275" t="s">
        <v>77</v>
      </c>
      <c r="D5" s="6273" t="s">
        <v>156</v>
      </c>
      <c r="E5" s="6273" t="s">
        <v>154</v>
      </c>
      <c r="F5" s="6273" t="s">
        <v>155</v>
      </c>
      <c r="G5" s="6273" t="s">
        <v>73</v>
      </c>
      <c r="H5" s="6273" t="s">
        <v>71</v>
      </c>
      <c r="I5" s="6273" t="s">
        <v>70</v>
      </c>
      <c r="J5" s="6276" t="s">
        <v>72</v>
      </c>
      <c r="K5" s="6273" t="s">
        <v>24</v>
      </c>
      <c r="L5" s="6273" t="s">
        <v>23</v>
      </c>
      <c r="M5" s="6273" t="s">
        <v>69</v>
      </c>
      <c r="N5" s="6273" t="s">
        <v>59</v>
      </c>
      <c r="O5" s="6273" t="s">
        <v>21</v>
      </c>
      <c r="P5" s="6276" t="s">
        <v>22</v>
      </c>
      <c r="Q5" s="6273" t="s">
        <v>17</v>
      </c>
      <c r="R5" s="6278" t="s">
        <v>18</v>
      </c>
      <c r="S5" s="6273" t="s">
        <v>150</v>
      </c>
      <c r="T5" s="6273" t="s">
        <v>148</v>
      </c>
      <c r="U5" s="6273" t="s">
        <v>149</v>
      </c>
      <c r="V5" s="6273" t="s">
        <v>324</v>
      </c>
      <c r="W5" s="6273" t="s">
        <v>323</v>
      </c>
      <c r="X5" s="6273" t="s">
        <v>322</v>
      </c>
      <c r="Y5" s="6273" t="s">
        <v>337</v>
      </c>
      <c r="Z5" s="6273" t="s">
        <v>334</v>
      </c>
      <c r="AA5" s="6273" t="s">
        <v>335</v>
      </c>
    </row>
    <row r="6" spans="2:27" x14ac:dyDescent="0.2">
      <c r="B6" s="6275"/>
      <c r="C6" s="6275"/>
      <c r="D6" s="6274"/>
      <c r="E6" s="6274"/>
      <c r="F6" s="6274"/>
      <c r="G6" s="6274"/>
      <c r="H6" s="6274"/>
      <c r="I6" s="6274"/>
      <c r="J6" s="6277"/>
      <c r="K6" s="6274"/>
      <c r="L6" s="6274"/>
      <c r="M6" s="6274"/>
      <c r="N6" s="6274"/>
      <c r="O6" s="6274"/>
      <c r="P6" s="6277"/>
      <c r="Q6" s="6274"/>
      <c r="R6" s="6279"/>
      <c r="S6" s="6274"/>
      <c r="T6" s="6274"/>
      <c r="U6" s="6274"/>
      <c r="V6" s="6274"/>
      <c r="W6" s="6274"/>
      <c r="X6" s="6274"/>
      <c r="Y6" s="6274"/>
      <c r="Z6" s="6274"/>
      <c r="AA6" s="6274"/>
    </row>
    <row r="7" spans="2:27" s="212" customFormat="1" x14ac:dyDescent="0.2">
      <c r="B7" s="6280" t="s">
        <v>5</v>
      </c>
      <c r="C7" s="230" t="s">
        <v>235</v>
      </c>
      <c r="D7" s="519">
        <v>27</v>
      </c>
      <c r="E7" s="390">
        <v>21</v>
      </c>
      <c r="F7" s="390">
        <v>22</v>
      </c>
      <c r="G7" s="520">
        <v>28</v>
      </c>
      <c r="H7" s="390">
        <v>24</v>
      </c>
      <c r="I7" s="390">
        <v>21</v>
      </c>
      <c r="J7" s="390">
        <v>18</v>
      </c>
      <c r="K7" s="520">
        <v>18</v>
      </c>
      <c r="L7" s="390">
        <v>13</v>
      </c>
      <c r="M7" s="390">
        <v>12</v>
      </c>
      <c r="N7" s="390">
        <v>16</v>
      </c>
      <c r="O7" s="520">
        <v>12</v>
      </c>
      <c r="P7" s="390">
        <v>12</v>
      </c>
      <c r="Q7" s="390">
        <v>9</v>
      </c>
      <c r="R7" s="390">
        <v>3</v>
      </c>
      <c r="S7" s="519">
        <v>3</v>
      </c>
      <c r="T7" s="390">
        <v>3</v>
      </c>
      <c r="U7" s="520">
        <v>2</v>
      </c>
      <c r="V7" s="519">
        <v>8</v>
      </c>
      <c r="W7" s="390">
        <v>7</v>
      </c>
      <c r="X7" s="520">
        <v>14</v>
      </c>
      <c r="Y7" s="519">
        <v>18</v>
      </c>
      <c r="Z7" s="390">
        <v>20</v>
      </c>
      <c r="AA7" s="520">
        <v>17</v>
      </c>
    </row>
    <row r="8" spans="2:27" s="212" customFormat="1" ht="24" x14ac:dyDescent="0.2">
      <c r="B8" s="6281"/>
      <c r="C8" s="230" t="s">
        <v>231</v>
      </c>
      <c r="D8" s="521">
        <v>51</v>
      </c>
      <c r="E8" s="391">
        <v>56</v>
      </c>
      <c r="F8" s="391">
        <v>43</v>
      </c>
      <c r="G8" s="522">
        <v>49</v>
      </c>
      <c r="H8" s="391">
        <v>44</v>
      </c>
      <c r="I8" s="391">
        <v>43</v>
      </c>
      <c r="J8" s="391">
        <v>49</v>
      </c>
      <c r="K8" s="522">
        <v>58</v>
      </c>
      <c r="L8" s="391">
        <v>46</v>
      </c>
      <c r="M8" s="391">
        <v>60</v>
      </c>
      <c r="N8" s="391">
        <v>66</v>
      </c>
      <c r="O8" s="522">
        <v>63</v>
      </c>
      <c r="P8" s="391">
        <v>66</v>
      </c>
      <c r="Q8" s="391">
        <v>56</v>
      </c>
      <c r="R8" s="391">
        <v>46</v>
      </c>
      <c r="S8" s="521">
        <v>30</v>
      </c>
      <c r="T8" s="391">
        <v>27</v>
      </c>
      <c r="U8" s="522">
        <v>13</v>
      </c>
      <c r="V8" s="521">
        <v>35</v>
      </c>
      <c r="W8" s="391">
        <v>36</v>
      </c>
      <c r="X8" s="522">
        <v>35</v>
      </c>
      <c r="Y8" s="521">
        <v>54</v>
      </c>
      <c r="Z8" s="391">
        <v>63</v>
      </c>
      <c r="AA8" s="522">
        <v>56</v>
      </c>
    </row>
    <row r="9" spans="2:27" s="212" customFormat="1" x14ac:dyDescent="0.2">
      <c r="B9" s="6281"/>
      <c r="C9" s="230" t="s">
        <v>304</v>
      </c>
      <c r="D9" s="521">
        <v>9</v>
      </c>
      <c r="E9" s="391">
        <v>8</v>
      </c>
      <c r="F9" s="391">
        <v>6</v>
      </c>
      <c r="G9" s="522">
        <v>8</v>
      </c>
      <c r="H9" s="391">
        <v>8</v>
      </c>
      <c r="I9" s="391">
        <v>8</v>
      </c>
      <c r="J9" s="391">
        <v>13</v>
      </c>
      <c r="K9" s="522">
        <v>12</v>
      </c>
      <c r="L9" s="391">
        <v>10</v>
      </c>
      <c r="M9" s="391">
        <v>18</v>
      </c>
      <c r="N9" s="391">
        <v>14</v>
      </c>
      <c r="O9" s="522">
        <v>8</v>
      </c>
      <c r="P9" s="391">
        <v>13</v>
      </c>
      <c r="Q9" s="391">
        <v>14</v>
      </c>
      <c r="R9" s="391">
        <v>11</v>
      </c>
      <c r="S9" s="521">
        <v>14</v>
      </c>
      <c r="T9" s="391">
        <v>15</v>
      </c>
      <c r="U9" s="522">
        <v>12</v>
      </c>
      <c r="V9" s="521">
        <v>13</v>
      </c>
      <c r="W9" s="391">
        <v>12</v>
      </c>
      <c r="X9" s="522">
        <v>6</v>
      </c>
      <c r="Y9" s="521">
        <v>12</v>
      </c>
      <c r="Z9" s="391">
        <v>11</v>
      </c>
      <c r="AA9" s="522">
        <v>10</v>
      </c>
    </row>
    <row r="10" spans="2:27" s="212" customFormat="1" ht="24" x14ac:dyDescent="0.2">
      <c r="B10" s="6281"/>
      <c r="C10" s="231" t="s">
        <v>305</v>
      </c>
      <c r="D10" s="521">
        <v>19</v>
      </c>
      <c r="E10" s="391">
        <v>17</v>
      </c>
      <c r="F10" s="391">
        <v>19</v>
      </c>
      <c r="G10" s="522">
        <v>18</v>
      </c>
      <c r="H10" s="391">
        <v>17</v>
      </c>
      <c r="I10" s="391">
        <v>21</v>
      </c>
      <c r="J10" s="391">
        <v>20</v>
      </c>
      <c r="K10" s="522">
        <v>20</v>
      </c>
      <c r="L10" s="391">
        <v>12</v>
      </c>
      <c r="M10" s="391">
        <v>12</v>
      </c>
      <c r="N10" s="391">
        <v>11</v>
      </c>
      <c r="O10" s="522">
        <v>12</v>
      </c>
      <c r="P10" s="391">
        <v>12</v>
      </c>
      <c r="Q10" s="391">
        <v>18</v>
      </c>
      <c r="R10" s="391">
        <v>21</v>
      </c>
      <c r="S10" s="521">
        <v>26</v>
      </c>
      <c r="T10" s="391">
        <v>26</v>
      </c>
      <c r="U10" s="522">
        <v>29</v>
      </c>
      <c r="V10" s="521">
        <v>27</v>
      </c>
      <c r="W10" s="391">
        <v>29</v>
      </c>
      <c r="X10" s="522">
        <v>27</v>
      </c>
      <c r="Y10" s="521">
        <v>27</v>
      </c>
      <c r="Z10" s="391">
        <v>24</v>
      </c>
      <c r="AA10" s="522">
        <v>23</v>
      </c>
    </row>
    <row r="11" spans="2:27" s="212" customFormat="1" x14ac:dyDescent="0.2">
      <c r="B11" s="6281"/>
      <c r="C11" s="231" t="s">
        <v>306</v>
      </c>
      <c r="D11" s="521">
        <v>1</v>
      </c>
      <c r="E11" s="391">
        <v>1</v>
      </c>
      <c r="F11" s="391">
        <v>1</v>
      </c>
      <c r="G11" s="522">
        <v>6</v>
      </c>
      <c r="H11" s="391">
        <v>6</v>
      </c>
      <c r="I11" s="391">
        <v>6</v>
      </c>
      <c r="J11" s="391">
        <v>7</v>
      </c>
      <c r="K11" s="522">
        <v>7</v>
      </c>
      <c r="L11" s="391">
        <v>7</v>
      </c>
      <c r="M11" s="391">
        <v>9</v>
      </c>
      <c r="N11" s="391">
        <v>9</v>
      </c>
      <c r="O11" s="522">
        <v>8</v>
      </c>
      <c r="P11" s="391">
        <v>10</v>
      </c>
      <c r="Q11" s="391">
        <v>9</v>
      </c>
      <c r="R11" s="391">
        <v>10</v>
      </c>
      <c r="S11" s="521">
        <v>8</v>
      </c>
      <c r="T11" s="391">
        <v>9</v>
      </c>
      <c r="U11" s="522">
        <v>9</v>
      </c>
      <c r="V11" s="521">
        <v>9</v>
      </c>
      <c r="W11" s="391">
        <v>8</v>
      </c>
      <c r="X11" s="522">
        <v>9</v>
      </c>
      <c r="Y11" s="521">
        <v>9</v>
      </c>
      <c r="Z11" s="391">
        <v>9</v>
      </c>
      <c r="AA11" s="522">
        <v>8</v>
      </c>
    </row>
    <row r="12" spans="2:27" s="212" customFormat="1" x14ac:dyDescent="0.2">
      <c r="B12" s="6280" t="s">
        <v>6</v>
      </c>
      <c r="C12" s="386" t="s">
        <v>236</v>
      </c>
      <c r="D12" s="519">
        <v>14</v>
      </c>
      <c r="E12" s="390">
        <v>13</v>
      </c>
      <c r="F12" s="390">
        <v>4</v>
      </c>
      <c r="G12" s="520">
        <v>26</v>
      </c>
      <c r="H12" s="390">
        <v>24</v>
      </c>
      <c r="I12" s="390">
        <v>2</v>
      </c>
      <c r="J12" s="390">
        <v>18</v>
      </c>
      <c r="K12" s="520">
        <v>17</v>
      </c>
      <c r="L12" s="390" t="s">
        <v>227</v>
      </c>
      <c r="M12" s="390">
        <v>18</v>
      </c>
      <c r="N12" s="390">
        <v>21</v>
      </c>
      <c r="O12" s="520" t="s">
        <v>227</v>
      </c>
      <c r="P12" s="390">
        <v>12</v>
      </c>
      <c r="Q12" s="390">
        <v>15</v>
      </c>
      <c r="R12" s="390" t="s">
        <v>227</v>
      </c>
      <c r="S12" s="519">
        <v>17</v>
      </c>
      <c r="T12" s="390">
        <v>16</v>
      </c>
      <c r="U12" s="520">
        <v>1</v>
      </c>
      <c r="V12" s="519">
        <v>18</v>
      </c>
      <c r="W12" s="390">
        <v>17</v>
      </c>
      <c r="X12" s="520"/>
      <c r="Y12" s="519">
        <v>14</v>
      </c>
      <c r="Z12" s="390">
        <v>15</v>
      </c>
      <c r="AA12" s="520">
        <v>1</v>
      </c>
    </row>
    <row r="13" spans="2:27" s="212" customFormat="1" ht="12" customHeight="1" x14ac:dyDescent="0.2">
      <c r="B13" s="6281"/>
      <c r="C13" s="230" t="s">
        <v>237</v>
      </c>
      <c r="D13" s="521" t="s">
        <v>227</v>
      </c>
      <c r="E13" s="523" t="s">
        <v>227</v>
      </c>
      <c r="F13" s="523" t="s">
        <v>227</v>
      </c>
      <c r="G13" s="524" t="s">
        <v>227</v>
      </c>
      <c r="H13" s="393" t="s">
        <v>227</v>
      </c>
      <c r="I13" s="393" t="s">
        <v>227</v>
      </c>
      <c r="J13" s="393">
        <v>17</v>
      </c>
      <c r="K13" s="524">
        <v>15</v>
      </c>
      <c r="L13" s="393" t="s">
        <v>227</v>
      </c>
      <c r="M13" s="393">
        <v>7</v>
      </c>
      <c r="N13" s="393">
        <v>7</v>
      </c>
      <c r="O13" s="524" t="s">
        <v>227</v>
      </c>
      <c r="P13" s="393">
        <v>17</v>
      </c>
      <c r="Q13" s="393">
        <v>17</v>
      </c>
      <c r="R13" s="393" t="s">
        <v>227</v>
      </c>
      <c r="S13" s="525">
        <v>9</v>
      </c>
      <c r="T13" s="393">
        <v>10</v>
      </c>
      <c r="U13" s="524">
        <v>2</v>
      </c>
      <c r="V13" s="525">
        <v>12</v>
      </c>
      <c r="W13" s="393">
        <v>9</v>
      </c>
      <c r="X13" s="524"/>
      <c r="Y13" s="525"/>
      <c r="Z13" s="393"/>
      <c r="AA13" s="524"/>
    </row>
    <row r="14" spans="2:27" s="212" customFormat="1" x14ac:dyDescent="0.2">
      <c r="B14" s="6281"/>
      <c r="C14" s="230" t="s">
        <v>329</v>
      </c>
      <c r="D14" s="521"/>
      <c r="E14" s="523"/>
      <c r="F14" s="523"/>
      <c r="G14" s="524"/>
      <c r="H14" s="393"/>
      <c r="I14" s="393"/>
      <c r="J14" s="393"/>
      <c r="K14" s="524"/>
      <c r="L14" s="393"/>
      <c r="M14" s="393"/>
      <c r="N14" s="393"/>
      <c r="O14" s="524"/>
      <c r="P14" s="393"/>
      <c r="Q14" s="393"/>
      <c r="R14" s="393"/>
      <c r="S14" s="525"/>
      <c r="T14" s="393"/>
      <c r="U14" s="524"/>
      <c r="V14" s="525">
        <v>1</v>
      </c>
      <c r="W14" s="393">
        <v>1</v>
      </c>
      <c r="X14" s="524">
        <v>1</v>
      </c>
      <c r="Y14" s="525"/>
      <c r="Z14" s="393"/>
      <c r="AA14" s="524"/>
    </row>
    <row r="15" spans="2:27" s="212" customFormat="1" x14ac:dyDescent="0.2">
      <c r="B15" s="6281"/>
      <c r="C15" s="230" t="s">
        <v>246</v>
      </c>
      <c r="D15" s="521">
        <v>18</v>
      </c>
      <c r="E15" s="523">
        <v>12</v>
      </c>
      <c r="F15" s="523">
        <v>12</v>
      </c>
      <c r="G15" s="524">
        <v>7</v>
      </c>
      <c r="H15" s="393">
        <v>9</v>
      </c>
      <c r="I15" s="393">
        <v>10</v>
      </c>
      <c r="J15" s="393">
        <v>9</v>
      </c>
      <c r="K15" s="524">
        <v>16</v>
      </c>
      <c r="L15" s="393">
        <v>16</v>
      </c>
      <c r="M15" s="393">
        <v>7</v>
      </c>
      <c r="N15" s="393">
        <v>8</v>
      </c>
      <c r="O15" s="524">
        <v>8</v>
      </c>
      <c r="P15" s="393">
        <v>5</v>
      </c>
      <c r="Q15" s="393">
        <v>15</v>
      </c>
      <c r="R15" s="393">
        <v>16</v>
      </c>
      <c r="S15" s="525">
        <v>17</v>
      </c>
      <c r="T15" s="393">
        <v>27</v>
      </c>
      <c r="U15" s="524">
        <v>26</v>
      </c>
      <c r="V15" s="525">
        <v>9</v>
      </c>
      <c r="W15" s="393">
        <v>14</v>
      </c>
      <c r="X15" s="524">
        <v>11</v>
      </c>
      <c r="Y15" s="525">
        <v>22</v>
      </c>
      <c r="Z15" s="393">
        <v>16</v>
      </c>
      <c r="AA15" s="524">
        <v>16</v>
      </c>
    </row>
    <row r="16" spans="2:27" s="212" customFormat="1" ht="24" x14ac:dyDescent="0.2">
      <c r="B16" s="6281"/>
      <c r="C16" s="230" t="s">
        <v>247</v>
      </c>
      <c r="D16" s="521">
        <v>20</v>
      </c>
      <c r="E16" s="523">
        <v>20</v>
      </c>
      <c r="F16" s="523" t="s">
        <v>227</v>
      </c>
      <c r="G16" s="524" t="s">
        <v>227</v>
      </c>
      <c r="H16" s="393">
        <v>7</v>
      </c>
      <c r="I16" s="393">
        <v>7</v>
      </c>
      <c r="J16" s="393">
        <v>7</v>
      </c>
      <c r="K16" s="524">
        <v>7</v>
      </c>
      <c r="L16" s="393">
        <v>7</v>
      </c>
      <c r="M16" s="393" t="s">
        <v>227</v>
      </c>
      <c r="N16" s="393">
        <v>15</v>
      </c>
      <c r="O16" s="524">
        <v>15</v>
      </c>
      <c r="P16" s="393">
        <v>16</v>
      </c>
      <c r="Q16" s="393">
        <v>15</v>
      </c>
      <c r="R16" s="393">
        <v>15</v>
      </c>
      <c r="S16" s="525"/>
      <c r="T16" s="393">
        <v>16</v>
      </c>
      <c r="U16" s="524">
        <v>15</v>
      </c>
      <c r="V16" s="525">
        <v>15</v>
      </c>
      <c r="W16" s="393">
        <v>13</v>
      </c>
      <c r="X16" s="524">
        <v>13</v>
      </c>
      <c r="Y16" s="525">
        <v>18</v>
      </c>
      <c r="Z16" s="393">
        <v>16</v>
      </c>
      <c r="AA16" s="524">
        <v>16</v>
      </c>
    </row>
    <row r="17" spans="2:27" s="212" customFormat="1" x14ac:dyDescent="0.2">
      <c r="B17" s="6281"/>
      <c r="C17" s="230" t="s">
        <v>241</v>
      </c>
      <c r="D17" s="521">
        <v>13</v>
      </c>
      <c r="E17" s="523">
        <v>16</v>
      </c>
      <c r="F17" s="523">
        <v>14</v>
      </c>
      <c r="G17" s="524">
        <v>13</v>
      </c>
      <c r="H17" s="393">
        <v>13</v>
      </c>
      <c r="I17" s="393">
        <v>2</v>
      </c>
      <c r="J17" s="393">
        <v>21</v>
      </c>
      <c r="K17" s="524">
        <v>20</v>
      </c>
      <c r="L17" s="393">
        <v>17</v>
      </c>
      <c r="M17" s="393">
        <v>17</v>
      </c>
      <c r="N17" s="393">
        <v>17</v>
      </c>
      <c r="O17" s="524" t="s">
        <v>227</v>
      </c>
      <c r="P17" s="393" t="s">
        <v>227</v>
      </c>
      <c r="Q17" s="393" t="s">
        <v>227</v>
      </c>
      <c r="R17" s="393" t="s">
        <v>227</v>
      </c>
      <c r="S17" s="525">
        <v>23</v>
      </c>
      <c r="T17" s="393">
        <v>23</v>
      </c>
      <c r="U17" s="524">
        <v>21</v>
      </c>
      <c r="V17" s="525">
        <v>8</v>
      </c>
      <c r="W17" s="393">
        <v>8</v>
      </c>
      <c r="X17" s="524">
        <v>8</v>
      </c>
      <c r="Y17" s="525">
        <v>1</v>
      </c>
      <c r="Z17" s="393"/>
      <c r="AA17" s="524">
        <v>1</v>
      </c>
    </row>
    <row r="18" spans="2:27" s="212" customFormat="1" x14ac:dyDescent="0.2">
      <c r="B18" s="6281"/>
      <c r="C18" s="230" t="s">
        <v>345</v>
      </c>
      <c r="D18" s="521"/>
      <c r="E18" s="523"/>
      <c r="F18" s="523"/>
      <c r="G18" s="524"/>
      <c r="H18" s="393"/>
      <c r="I18" s="393"/>
      <c r="J18" s="393"/>
      <c r="K18" s="524"/>
      <c r="L18" s="393"/>
      <c r="M18" s="393"/>
      <c r="N18" s="393"/>
      <c r="O18" s="524"/>
      <c r="P18" s="393"/>
      <c r="Q18" s="393"/>
      <c r="R18" s="393"/>
      <c r="S18" s="525"/>
      <c r="T18" s="393"/>
      <c r="U18" s="524"/>
      <c r="V18" s="525"/>
      <c r="W18" s="393"/>
      <c r="X18" s="524"/>
      <c r="Y18" s="525">
        <v>21</v>
      </c>
      <c r="Z18" s="393">
        <v>19</v>
      </c>
      <c r="AA18" s="524">
        <v>16</v>
      </c>
    </row>
    <row r="19" spans="2:27" s="212" customFormat="1" x14ac:dyDescent="0.2">
      <c r="B19" s="6281"/>
      <c r="C19" s="230" t="s">
        <v>307</v>
      </c>
      <c r="D19" s="521" t="s">
        <v>227</v>
      </c>
      <c r="E19" s="523" t="s">
        <v>227</v>
      </c>
      <c r="F19" s="523" t="s">
        <v>227</v>
      </c>
      <c r="G19" s="524" t="s">
        <v>227</v>
      </c>
      <c r="H19" s="393" t="s">
        <v>227</v>
      </c>
      <c r="I19" s="393" t="s">
        <v>227</v>
      </c>
      <c r="J19" s="393" t="s">
        <v>227</v>
      </c>
      <c r="K19" s="524" t="s">
        <v>227</v>
      </c>
      <c r="L19" s="393">
        <v>1</v>
      </c>
      <c r="M19" s="393" t="s">
        <v>227</v>
      </c>
      <c r="N19" s="393" t="s">
        <v>227</v>
      </c>
      <c r="O19" s="524">
        <v>1</v>
      </c>
      <c r="P19" s="393">
        <v>1</v>
      </c>
      <c r="Q19" s="393" t="s">
        <v>227</v>
      </c>
      <c r="R19" s="393">
        <v>11</v>
      </c>
      <c r="S19" s="525"/>
      <c r="T19" s="393"/>
      <c r="U19" s="524">
        <v>14</v>
      </c>
      <c r="V19" s="525"/>
      <c r="W19" s="393"/>
      <c r="X19" s="524">
        <v>19</v>
      </c>
      <c r="Y19" s="525"/>
      <c r="Z19" s="393"/>
      <c r="AA19" s="524">
        <v>25</v>
      </c>
    </row>
    <row r="20" spans="2:27" s="212" customFormat="1" x14ac:dyDescent="0.2">
      <c r="B20" s="6281"/>
      <c r="C20" s="230" t="s">
        <v>308</v>
      </c>
      <c r="D20" s="521" t="s">
        <v>227</v>
      </c>
      <c r="E20" s="523" t="s">
        <v>227</v>
      </c>
      <c r="F20" s="523" t="s">
        <v>227</v>
      </c>
      <c r="G20" s="524" t="s">
        <v>227</v>
      </c>
      <c r="H20" s="393" t="s">
        <v>227</v>
      </c>
      <c r="I20" s="393" t="s">
        <v>227</v>
      </c>
      <c r="J20" s="393" t="s">
        <v>227</v>
      </c>
      <c r="K20" s="524" t="s">
        <v>227</v>
      </c>
      <c r="L20" s="393" t="s">
        <v>227</v>
      </c>
      <c r="M20" s="393">
        <v>19</v>
      </c>
      <c r="N20" s="393">
        <v>19</v>
      </c>
      <c r="O20" s="524">
        <v>19</v>
      </c>
      <c r="P20" s="393">
        <v>19</v>
      </c>
      <c r="Q20" s="393">
        <v>19</v>
      </c>
      <c r="R20" s="393">
        <v>3</v>
      </c>
      <c r="S20" s="525">
        <v>24</v>
      </c>
      <c r="T20" s="393">
        <v>22</v>
      </c>
      <c r="U20" s="524">
        <v>22</v>
      </c>
      <c r="V20" s="525">
        <v>22</v>
      </c>
      <c r="W20" s="393">
        <v>21</v>
      </c>
      <c r="X20" s="524">
        <v>2</v>
      </c>
      <c r="Y20" s="525">
        <v>13</v>
      </c>
      <c r="Z20" s="393">
        <v>14</v>
      </c>
      <c r="AA20" s="524">
        <v>15</v>
      </c>
    </row>
    <row r="21" spans="2:27" s="212" customFormat="1" x14ac:dyDescent="0.2">
      <c r="B21" s="6281"/>
      <c r="C21" s="231" t="s">
        <v>309</v>
      </c>
      <c r="D21" s="521">
        <v>6</v>
      </c>
      <c r="E21" s="523" t="s">
        <v>227</v>
      </c>
      <c r="F21" s="523" t="s">
        <v>227</v>
      </c>
      <c r="G21" s="524" t="s">
        <v>227</v>
      </c>
      <c r="H21" s="393">
        <v>5</v>
      </c>
      <c r="I21" s="393">
        <v>4</v>
      </c>
      <c r="J21" s="393">
        <v>1</v>
      </c>
      <c r="K21" s="524" t="s">
        <v>227</v>
      </c>
      <c r="L21" s="393">
        <v>5</v>
      </c>
      <c r="M21" s="393" t="s">
        <v>227</v>
      </c>
      <c r="N21" s="393">
        <v>1</v>
      </c>
      <c r="O21" s="524">
        <v>4</v>
      </c>
      <c r="P21" s="393">
        <v>8</v>
      </c>
      <c r="Q21" s="393" t="s">
        <v>227</v>
      </c>
      <c r="R21" s="393">
        <v>23</v>
      </c>
      <c r="S21" s="525"/>
      <c r="T21" s="393"/>
      <c r="U21" s="524">
        <v>18</v>
      </c>
      <c r="V21" s="525"/>
      <c r="W21" s="393"/>
      <c r="X21" s="524">
        <v>30</v>
      </c>
      <c r="Y21" s="525"/>
      <c r="Z21" s="393"/>
      <c r="AA21" s="524">
        <v>40</v>
      </c>
    </row>
    <row r="22" spans="2:27" s="212" customFormat="1" x14ac:dyDescent="0.2">
      <c r="B22" s="6281"/>
      <c r="C22" s="231" t="s">
        <v>310</v>
      </c>
      <c r="D22" s="526" t="s">
        <v>227</v>
      </c>
      <c r="E22" s="523" t="s">
        <v>227</v>
      </c>
      <c r="F22" s="523" t="s">
        <v>227</v>
      </c>
      <c r="G22" s="524" t="s">
        <v>227</v>
      </c>
      <c r="H22" s="393" t="s">
        <v>227</v>
      </c>
      <c r="I22" s="393" t="s">
        <v>227</v>
      </c>
      <c r="J22" s="393" t="s">
        <v>227</v>
      </c>
      <c r="K22" s="524" t="s">
        <v>227</v>
      </c>
      <c r="L22" s="393" t="s">
        <v>227</v>
      </c>
      <c r="M22" s="393">
        <v>12</v>
      </c>
      <c r="N22" s="393">
        <v>11</v>
      </c>
      <c r="O22" s="524">
        <v>10</v>
      </c>
      <c r="P22" s="393">
        <v>9</v>
      </c>
      <c r="Q22" s="393">
        <v>8</v>
      </c>
      <c r="R22" s="393">
        <v>8</v>
      </c>
      <c r="S22" s="525">
        <v>21</v>
      </c>
      <c r="T22" s="393">
        <v>21</v>
      </c>
      <c r="U22" s="524">
        <v>13</v>
      </c>
      <c r="V22" s="525">
        <v>13</v>
      </c>
      <c r="W22" s="393">
        <v>14</v>
      </c>
      <c r="X22" s="524">
        <v>13</v>
      </c>
      <c r="Y22" s="525">
        <v>11</v>
      </c>
      <c r="Z22" s="393">
        <v>17</v>
      </c>
      <c r="AA22" s="524">
        <v>23</v>
      </c>
    </row>
    <row r="23" spans="2:27" s="212" customFormat="1" x14ac:dyDescent="0.2">
      <c r="B23" s="6282"/>
      <c r="C23" s="387" t="s">
        <v>330</v>
      </c>
      <c r="D23" s="527"/>
      <c r="E23" s="528"/>
      <c r="F23" s="528"/>
      <c r="G23" s="529"/>
      <c r="H23" s="394"/>
      <c r="I23" s="394"/>
      <c r="J23" s="394"/>
      <c r="K23" s="529"/>
      <c r="L23" s="394"/>
      <c r="M23" s="394"/>
      <c r="N23" s="394"/>
      <c r="O23" s="529"/>
      <c r="P23" s="394"/>
      <c r="Q23" s="394"/>
      <c r="R23" s="394"/>
      <c r="S23" s="530"/>
      <c r="T23" s="394"/>
      <c r="U23" s="529"/>
      <c r="V23" s="530">
        <v>12</v>
      </c>
      <c r="W23" s="394">
        <v>12</v>
      </c>
      <c r="X23" s="529">
        <v>11</v>
      </c>
      <c r="Y23" s="530">
        <v>18</v>
      </c>
      <c r="Z23" s="394">
        <v>16</v>
      </c>
      <c r="AA23" s="529">
        <v>6</v>
      </c>
    </row>
    <row r="24" spans="2:27" s="212" customFormat="1" x14ac:dyDescent="0.2">
      <c r="B24" s="6281" t="s">
        <v>7</v>
      </c>
      <c r="C24" s="531" t="s">
        <v>248</v>
      </c>
      <c r="D24" s="526">
        <v>29</v>
      </c>
      <c r="E24" s="523">
        <v>28</v>
      </c>
      <c r="F24" s="523">
        <v>9</v>
      </c>
      <c r="G24" s="524">
        <v>16</v>
      </c>
      <c r="H24" s="393">
        <v>13</v>
      </c>
      <c r="I24" s="393">
        <v>4</v>
      </c>
      <c r="J24" s="393">
        <v>16</v>
      </c>
      <c r="K24" s="524">
        <v>14</v>
      </c>
      <c r="L24" s="393">
        <v>2</v>
      </c>
      <c r="M24" s="393">
        <v>8</v>
      </c>
      <c r="N24" s="393">
        <v>7</v>
      </c>
      <c r="O24" s="524">
        <v>2</v>
      </c>
      <c r="P24" s="393">
        <v>36</v>
      </c>
      <c r="Q24" s="393">
        <v>17</v>
      </c>
      <c r="R24" s="393" t="s">
        <v>227</v>
      </c>
      <c r="S24" s="525">
        <v>16</v>
      </c>
      <c r="T24" s="393">
        <v>11</v>
      </c>
      <c r="U24" s="524">
        <v>1</v>
      </c>
      <c r="V24" s="525">
        <v>9</v>
      </c>
      <c r="W24" s="393">
        <v>10</v>
      </c>
      <c r="X24" s="524">
        <v>1</v>
      </c>
      <c r="Y24" s="525">
        <v>17</v>
      </c>
      <c r="Z24" s="393">
        <v>12</v>
      </c>
      <c r="AA24" s="524">
        <v>5</v>
      </c>
    </row>
    <row r="25" spans="2:27" s="212" customFormat="1" x14ac:dyDescent="0.2">
      <c r="B25" s="6281"/>
      <c r="C25" s="531" t="s">
        <v>249</v>
      </c>
      <c r="D25" s="526">
        <v>26</v>
      </c>
      <c r="E25" s="523">
        <v>21</v>
      </c>
      <c r="F25" s="523">
        <v>8</v>
      </c>
      <c r="G25" s="524">
        <v>26</v>
      </c>
      <c r="H25" s="393">
        <v>21</v>
      </c>
      <c r="I25" s="393">
        <v>20</v>
      </c>
      <c r="J25" s="393">
        <v>25</v>
      </c>
      <c r="K25" s="524">
        <v>22</v>
      </c>
      <c r="L25" s="393">
        <v>7</v>
      </c>
      <c r="M25" s="393">
        <v>34</v>
      </c>
      <c r="N25" s="393">
        <v>22</v>
      </c>
      <c r="O25" s="524">
        <v>18</v>
      </c>
      <c r="P25" s="393">
        <v>23</v>
      </c>
      <c r="Q25" s="393">
        <v>37</v>
      </c>
      <c r="R25" s="393">
        <v>23</v>
      </c>
      <c r="S25" s="525">
        <v>46</v>
      </c>
      <c r="T25" s="393">
        <v>42</v>
      </c>
      <c r="U25" s="524">
        <v>28</v>
      </c>
      <c r="V25" s="525">
        <v>72</v>
      </c>
      <c r="W25" s="393">
        <v>72</v>
      </c>
      <c r="X25" s="524">
        <v>55</v>
      </c>
      <c r="Y25" s="525">
        <v>80</v>
      </c>
      <c r="Z25" s="393">
        <v>75</v>
      </c>
      <c r="AA25" s="524">
        <v>46</v>
      </c>
    </row>
    <row r="26" spans="2:27" s="212" customFormat="1" x14ac:dyDescent="0.2">
      <c r="B26" s="6281"/>
      <c r="C26" s="531" t="s">
        <v>250</v>
      </c>
      <c r="D26" s="526">
        <v>17</v>
      </c>
      <c r="E26" s="523">
        <v>17</v>
      </c>
      <c r="F26" s="523">
        <v>7</v>
      </c>
      <c r="G26" s="524">
        <v>4</v>
      </c>
      <c r="H26" s="393">
        <v>4</v>
      </c>
      <c r="I26" s="393">
        <v>1</v>
      </c>
      <c r="J26" s="393">
        <v>1</v>
      </c>
      <c r="K26" s="524">
        <v>1</v>
      </c>
      <c r="L26" s="393">
        <v>2</v>
      </c>
      <c r="M26" s="393">
        <v>6</v>
      </c>
      <c r="N26" s="393">
        <v>6</v>
      </c>
      <c r="O26" s="524">
        <v>8</v>
      </c>
      <c r="P26" s="393">
        <v>9</v>
      </c>
      <c r="Q26" s="393">
        <v>11</v>
      </c>
      <c r="R26" s="393">
        <v>8</v>
      </c>
      <c r="S26" s="525">
        <v>13</v>
      </c>
      <c r="T26" s="393">
        <v>11</v>
      </c>
      <c r="U26" s="524">
        <v>13</v>
      </c>
      <c r="V26" s="525">
        <v>20</v>
      </c>
      <c r="W26" s="393">
        <v>19</v>
      </c>
      <c r="X26" s="524">
        <v>19</v>
      </c>
      <c r="Y26" s="525">
        <v>32</v>
      </c>
      <c r="Z26" s="393">
        <v>34</v>
      </c>
      <c r="AA26" s="524">
        <v>36</v>
      </c>
    </row>
    <row r="27" spans="2:27" s="212" customFormat="1" x14ac:dyDescent="0.2">
      <c r="B27" s="6285" t="s">
        <v>332</v>
      </c>
      <c r="C27" s="6286"/>
      <c r="D27" s="649">
        <f>SUM(D7:D26)</f>
        <v>250</v>
      </c>
      <c r="E27" s="650">
        <f t="shared" ref="E27:AA27" si="0">SUM(E7:E26)</f>
        <v>230</v>
      </c>
      <c r="F27" s="650">
        <f t="shared" si="0"/>
        <v>145</v>
      </c>
      <c r="G27" s="650">
        <f t="shared" si="0"/>
        <v>201</v>
      </c>
      <c r="H27" s="649">
        <f t="shared" si="0"/>
        <v>195</v>
      </c>
      <c r="I27" s="650">
        <f t="shared" si="0"/>
        <v>149</v>
      </c>
      <c r="J27" s="650">
        <f t="shared" si="0"/>
        <v>222</v>
      </c>
      <c r="K27" s="651">
        <f t="shared" si="0"/>
        <v>227</v>
      </c>
      <c r="L27" s="650">
        <f t="shared" si="0"/>
        <v>145</v>
      </c>
      <c r="M27" s="650">
        <f t="shared" si="0"/>
        <v>239</v>
      </c>
      <c r="N27" s="650">
        <f t="shared" si="0"/>
        <v>250</v>
      </c>
      <c r="O27" s="650">
        <f t="shared" si="0"/>
        <v>188</v>
      </c>
      <c r="P27" s="649">
        <f t="shared" si="0"/>
        <v>268</v>
      </c>
      <c r="Q27" s="650">
        <f t="shared" si="0"/>
        <v>260</v>
      </c>
      <c r="R27" s="651">
        <f t="shared" si="0"/>
        <v>198</v>
      </c>
      <c r="S27" s="650">
        <f t="shared" si="0"/>
        <v>267</v>
      </c>
      <c r="T27" s="650">
        <f t="shared" si="0"/>
        <v>279</v>
      </c>
      <c r="U27" s="650">
        <f t="shared" si="0"/>
        <v>239</v>
      </c>
      <c r="V27" s="649">
        <f t="shared" si="0"/>
        <v>303</v>
      </c>
      <c r="W27" s="650">
        <f t="shared" si="0"/>
        <v>302</v>
      </c>
      <c r="X27" s="651">
        <f t="shared" si="0"/>
        <v>274</v>
      </c>
      <c r="Y27" s="650">
        <f t="shared" si="0"/>
        <v>367</v>
      </c>
      <c r="Z27" s="650">
        <f t="shared" si="0"/>
        <v>361</v>
      </c>
      <c r="AA27" s="651">
        <f t="shared" si="0"/>
        <v>360</v>
      </c>
    </row>
    <row r="28" spans="2:27" s="212" customFormat="1" x14ac:dyDescent="0.2">
      <c r="B28" s="6280" t="s">
        <v>5</v>
      </c>
      <c r="C28" s="386" t="s">
        <v>251</v>
      </c>
      <c r="D28" s="526">
        <v>6</v>
      </c>
      <c r="E28" s="523">
        <v>3</v>
      </c>
      <c r="F28" s="523">
        <v>3</v>
      </c>
      <c r="G28" s="524">
        <v>2</v>
      </c>
      <c r="H28" s="393">
        <v>3</v>
      </c>
      <c r="I28" s="393">
        <v>2</v>
      </c>
      <c r="J28" s="393">
        <v>2</v>
      </c>
      <c r="K28" s="524">
        <v>3</v>
      </c>
      <c r="L28" s="393">
        <v>2</v>
      </c>
      <c r="M28" s="393">
        <v>3</v>
      </c>
      <c r="N28" s="393">
        <v>2</v>
      </c>
      <c r="O28" s="524">
        <v>3</v>
      </c>
      <c r="P28" s="393">
        <v>15</v>
      </c>
      <c r="Q28" s="393">
        <v>9</v>
      </c>
      <c r="R28" s="393">
        <v>10</v>
      </c>
      <c r="S28" s="525">
        <v>9</v>
      </c>
      <c r="T28" s="393">
        <v>9</v>
      </c>
      <c r="U28" s="524">
        <v>11</v>
      </c>
      <c r="V28" s="525">
        <v>9</v>
      </c>
      <c r="W28" s="393">
        <v>9</v>
      </c>
      <c r="X28" s="524">
        <v>7</v>
      </c>
      <c r="Y28" s="525">
        <v>9</v>
      </c>
      <c r="Z28" s="393">
        <v>9</v>
      </c>
      <c r="AA28" s="524">
        <v>10</v>
      </c>
    </row>
    <row r="29" spans="2:27" s="212" customFormat="1" x14ac:dyDescent="0.2">
      <c r="B29" s="6281"/>
      <c r="C29" s="230" t="s">
        <v>303</v>
      </c>
      <c r="D29" s="526">
        <v>9</v>
      </c>
      <c r="E29" s="523">
        <v>10</v>
      </c>
      <c r="F29" s="523">
        <v>10</v>
      </c>
      <c r="G29" s="524">
        <v>10</v>
      </c>
      <c r="H29" s="393">
        <v>9</v>
      </c>
      <c r="I29" s="393">
        <v>11</v>
      </c>
      <c r="J29" s="393">
        <v>21</v>
      </c>
      <c r="K29" s="524">
        <v>24</v>
      </c>
      <c r="L29" s="393">
        <v>32</v>
      </c>
      <c r="M29" s="393">
        <v>42</v>
      </c>
      <c r="N29" s="393">
        <v>42</v>
      </c>
      <c r="O29" s="524">
        <v>43</v>
      </c>
      <c r="P29" s="393">
        <v>59</v>
      </c>
      <c r="Q29" s="393">
        <v>49</v>
      </c>
      <c r="R29" s="393">
        <v>41</v>
      </c>
      <c r="S29" s="525">
        <v>43</v>
      </c>
      <c r="T29" s="393">
        <v>43</v>
      </c>
      <c r="U29" s="524">
        <v>40</v>
      </c>
      <c r="V29" s="525">
        <v>46</v>
      </c>
      <c r="W29" s="393">
        <v>39</v>
      </c>
      <c r="X29" s="524">
        <v>33</v>
      </c>
      <c r="Y29" s="525">
        <v>38</v>
      </c>
      <c r="Z29" s="393">
        <v>34</v>
      </c>
      <c r="AA29" s="524">
        <v>32</v>
      </c>
    </row>
    <row r="30" spans="2:27" s="212" customFormat="1" x14ac:dyDescent="0.2">
      <c r="B30" s="6281"/>
      <c r="C30" s="230" t="s">
        <v>254</v>
      </c>
      <c r="D30" s="526">
        <v>8</v>
      </c>
      <c r="E30" s="523">
        <v>7</v>
      </c>
      <c r="F30" s="523">
        <v>7</v>
      </c>
      <c r="G30" s="524">
        <v>9</v>
      </c>
      <c r="H30" s="393">
        <v>10</v>
      </c>
      <c r="I30" s="393">
        <v>10</v>
      </c>
      <c r="J30" s="393">
        <v>13</v>
      </c>
      <c r="K30" s="524">
        <v>10</v>
      </c>
      <c r="L30" s="393">
        <v>8</v>
      </c>
      <c r="M30" s="393">
        <v>10</v>
      </c>
      <c r="N30" s="393">
        <v>9</v>
      </c>
      <c r="O30" s="524">
        <v>10</v>
      </c>
      <c r="P30" s="393">
        <v>37</v>
      </c>
      <c r="Q30" s="393">
        <v>11</v>
      </c>
      <c r="R30" s="393">
        <v>9</v>
      </c>
      <c r="S30" s="525">
        <v>9</v>
      </c>
      <c r="T30" s="393">
        <v>9</v>
      </c>
      <c r="U30" s="524">
        <v>10</v>
      </c>
      <c r="V30" s="525">
        <v>11</v>
      </c>
      <c r="W30" s="393">
        <v>9</v>
      </c>
      <c r="X30" s="524">
        <v>6</v>
      </c>
      <c r="Y30" s="525">
        <v>9</v>
      </c>
      <c r="Z30" s="393">
        <v>11</v>
      </c>
      <c r="AA30" s="524">
        <v>8</v>
      </c>
    </row>
    <row r="31" spans="2:27" s="212" customFormat="1" x14ac:dyDescent="0.2">
      <c r="B31" s="6281"/>
      <c r="C31" s="230" t="s">
        <v>256</v>
      </c>
      <c r="D31" s="526">
        <v>20</v>
      </c>
      <c r="E31" s="523">
        <v>18</v>
      </c>
      <c r="F31" s="523">
        <v>17</v>
      </c>
      <c r="G31" s="524">
        <v>20</v>
      </c>
      <c r="H31" s="393">
        <v>17</v>
      </c>
      <c r="I31" s="393">
        <v>16</v>
      </c>
      <c r="J31" s="393">
        <v>18</v>
      </c>
      <c r="K31" s="524">
        <v>15</v>
      </c>
      <c r="L31" s="393">
        <v>11</v>
      </c>
      <c r="M31" s="393">
        <v>15</v>
      </c>
      <c r="N31" s="393">
        <v>13</v>
      </c>
      <c r="O31" s="524">
        <v>11</v>
      </c>
      <c r="P31" s="393">
        <v>22</v>
      </c>
      <c r="Q31" s="393">
        <v>15</v>
      </c>
      <c r="R31" s="393">
        <v>13</v>
      </c>
      <c r="S31" s="525">
        <v>15</v>
      </c>
      <c r="T31" s="393">
        <v>14</v>
      </c>
      <c r="U31" s="524">
        <v>11</v>
      </c>
      <c r="V31" s="525">
        <v>17</v>
      </c>
      <c r="W31" s="393">
        <v>17</v>
      </c>
      <c r="X31" s="524">
        <v>16</v>
      </c>
      <c r="Y31" s="525">
        <v>28</v>
      </c>
      <c r="Z31" s="393">
        <v>28</v>
      </c>
      <c r="AA31" s="524">
        <v>21</v>
      </c>
    </row>
    <row r="32" spans="2:27" s="212" customFormat="1" x14ac:dyDescent="0.2">
      <c r="B32" s="6281"/>
      <c r="C32" s="231" t="s">
        <v>258</v>
      </c>
      <c r="D32" s="526">
        <v>7</v>
      </c>
      <c r="E32" s="523">
        <v>8</v>
      </c>
      <c r="F32" s="523">
        <v>12</v>
      </c>
      <c r="G32" s="524">
        <v>20</v>
      </c>
      <c r="H32" s="393">
        <v>21</v>
      </c>
      <c r="I32" s="393">
        <v>26</v>
      </c>
      <c r="J32" s="393">
        <v>26</v>
      </c>
      <c r="K32" s="524">
        <v>32</v>
      </c>
      <c r="L32" s="393">
        <v>33</v>
      </c>
      <c r="M32" s="393">
        <v>36</v>
      </c>
      <c r="N32" s="393">
        <v>41</v>
      </c>
      <c r="O32" s="524">
        <v>44</v>
      </c>
      <c r="P32" s="393">
        <v>44</v>
      </c>
      <c r="Q32" s="393">
        <v>43</v>
      </c>
      <c r="R32" s="393">
        <v>44</v>
      </c>
      <c r="S32" s="525">
        <v>45</v>
      </c>
      <c r="T32" s="393">
        <v>41</v>
      </c>
      <c r="U32" s="524">
        <v>33</v>
      </c>
      <c r="V32" s="525">
        <v>32</v>
      </c>
      <c r="W32" s="393">
        <v>35</v>
      </c>
      <c r="X32" s="524">
        <v>30</v>
      </c>
      <c r="Y32" s="525">
        <v>32</v>
      </c>
      <c r="Z32" s="393">
        <v>35</v>
      </c>
      <c r="AA32" s="524">
        <v>35</v>
      </c>
    </row>
    <row r="33" spans="2:27" s="212" customFormat="1" x14ac:dyDescent="0.2">
      <c r="B33" s="6281"/>
      <c r="C33" s="231" t="s">
        <v>260</v>
      </c>
      <c r="D33" s="526" t="s">
        <v>227</v>
      </c>
      <c r="E33" s="523" t="s">
        <v>227</v>
      </c>
      <c r="F33" s="523" t="s">
        <v>227</v>
      </c>
      <c r="G33" s="524" t="s">
        <v>227</v>
      </c>
      <c r="H33" s="393" t="s">
        <v>227</v>
      </c>
      <c r="I33" s="393" t="s">
        <v>227</v>
      </c>
      <c r="J33" s="393" t="s">
        <v>227</v>
      </c>
      <c r="K33" s="524" t="s">
        <v>227</v>
      </c>
      <c r="L33" s="393" t="s">
        <v>227</v>
      </c>
      <c r="M33" s="393">
        <v>9</v>
      </c>
      <c r="N33" s="393">
        <v>9</v>
      </c>
      <c r="O33" s="524">
        <v>8</v>
      </c>
      <c r="P33" s="393">
        <v>17</v>
      </c>
      <c r="Q33" s="393">
        <v>16</v>
      </c>
      <c r="R33" s="393">
        <v>10</v>
      </c>
      <c r="S33" s="525">
        <v>14</v>
      </c>
      <c r="T33" s="393">
        <v>14</v>
      </c>
      <c r="U33" s="524">
        <v>13</v>
      </c>
      <c r="V33" s="525">
        <v>21</v>
      </c>
      <c r="W33" s="393">
        <v>21</v>
      </c>
      <c r="X33" s="524">
        <v>16</v>
      </c>
      <c r="Y33" s="525">
        <v>30</v>
      </c>
      <c r="Z33" s="393">
        <v>30</v>
      </c>
      <c r="AA33" s="524">
        <v>28</v>
      </c>
    </row>
    <row r="34" spans="2:27" s="212" customFormat="1" x14ac:dyDescent="0.2">
      <c r="B34" s="6281"/>
      <c r="C34" s="231" t="s">
        <v>261</v>
      </c>
      <c r="D34" s="526">
        <v>43</v>
      </c>
      <c r="E34" s="523">
        <v>33</v>
      </c>
      <c r="F34" s="523">
        <v>30</v>
      </c>
      <c r="G34" s="524">
        <v>23</v>
      </c>
      <c r="H34" s="393">
        <v>11</v>
      </c>
      <c r="I34" s="393">
        <v>4</v>
      </c>
      <c r="J34" s="393">
        <v>3</v>
      </c>
      <c r="K34" s="524">
        <v>1</v>
      </c>
      <c r="L34" s="393">
        <v>1</v>
      </c>
      <c r="M34" s="393">
        <v>1</v>
      </c>
      <c r="N34" s="393">
        <v>1</v>
      </c>
      <c r="O34" s="524" t="s">
        <v>227</v>
      </c>
      <c r="P34" s="393" t="s">
        <v>227</v>
      </c>
      <c r="Q34" s="393" t="s">
        <v>227</v>
      </c>
      <c r="R34" s="393" t="s">
        <v>227</v>
      </c>
      <c r="S34" s="525"/>
      <c r="T34" s="393"/>
      <c r="U34" s="524">
        <v>2</v>
      </c>
      <c r="V34" s="525">
        <v>2</v>
      </c>
      <c r="W34" s="393">
        <v>4</v>
      </c>
      <c r="X34" s="524">
        <v>7</v>
      </c>
      <c r="Y34" s="525">
        <v>7</v>
      </c>
      <c r="Z34" s="393">
        <v>6</v>
      </c>
      <c r="AA34" s="524">
        <v>1</v>
      </c>
    </row>
    <row r="35" spans="2:27" s="212" customFormat="1" x14ac:dyDescent="0.2">
      <c r="B35" s="6281"/>
      <c r="C35" s="231" t="s">
        <v>252</v>
      </c>
      <c r="D35" s="526">
        <v>28</v>
      </c>
      <c r="E35" s="523">
        <v>32</v>
      </c>
      <c r="F35" s="523">
        <v>30</v>
      </c>
      <c r="G35" s="524">
        <v>30</v>
      </c>
      <c r="H35" s="393">
        <v>27</v>
      </c>
      <c r="I35" s="393">
        <v>27</v>
      </c>
      <c r="J35" s="393">
        <v>29</v>
      </c>
      <c r="K35" s="524">
        <v>29</v>
      </c>
      <c r="L35" s="393">
        <v>29</v>
      </c>
      <c r="M35" s="393">
        <v>32</v>
      </c>
      <c r="N35" s="393">
        <v>32</v>
      </c>
      <c r="O35" s="524">
        <v>33</v>
      </c>
      <c r="P35" s="393">
        <v>25</v>
      </c>
      <c r="Q35" s="393">
        <v>30</v>
      </c>
      <c r="R35" s="393">
        <v>30</v>
      </c>
      <c r="S35" s="525">
        <v>33</v>
      </c>
      <c r="T35" s="393">
        <v>31</v>
      </c>
      <c r="U35" s="524">
        <v>29</v>
      </c>
      <c r="V35" s="525">
        <v>34</v>
      </c>
      <c r="W35" s="393">
        <v>31</v>
      </c>
      <c r="X35" s="524">
        <v>28</v>
      </c>
      <c r="Y35" s="525">
        <v>26</v>
      </c>
      <c r="Z35" s="393">
        <v>20</v>
      </c>
      <c r="AA35" s="524">
        <v>25</v>
      </c>
    </row>
    <row r="36" spans="2:27" s="212" customFormat="1" x14ac:dyDescent="0.2">
      <c r="B36" s="6281"/>
      <c r="C36" s="231" t="s">
        <v>253</v>
      </c>
      <c r="D36" s="526">
        <v>16</v>
      </c>
      <c r="E36" s="523">
        <v>16</v>
      </c>
      <c r="F36" s="523">
        <v>17</v>
      </c>
      <c r="G36" s="524">
        <v>20</v>
      </c>
      <c r="H36" s="393">
        <v>23</v>
      </c>
      <c r="I36" s="393">
        <v>24</v>
      </c>
      <c r="J36" s="393">
        <v>23</v>
      </c>
      <c r="K36" s="524">
        <v>25</v>
      </c>
      <c r="L36" s="393">
        <v>26</v>
      </c>
      <c r="M36" s="393">
        <v>27</v>
      </c>
      <c r="N36" s="393">
        <v>29</v>
      </c>
      <c r="O36" s="524">
        <v>28</v>
      </c>
      <c r="P36" s="393">
        <v>22</v>
      </c>
      <c r="Q36" s="393">
        <v>30</v>
      </c>
      <c r="R36" s="393">
        <v>30</v>
      </c>
      <c r="S36" s="525">
        <v>33</v>
      </c>
      <c r="T36" s="393">
        <v>34</v>
      </c>
      <c r="U36" s="524">
        <v>34</v>
      </c>
      <c r="V36" s="525">
        <v>36</v>
      </c>
      <c r="W36" s="393">
        <v>33</v>
      </c>
      <c r="X36" s="524">
        <v>38</v>
      </c>
      <c r="Y36" s="525">
        <v>43</v>
      </c>
      <c r="Z36" s="393">
        <v>45</v>
      </c>
      <c r="AA36" s="524">
        <v>42</v>
      </c>
    </row>
    <row r="37" spans="2:27" s="212" customFormat="1" x14ac:dyDescent="0.2">
      <c r="B37" s="6281"/>
      <c r="C37" s="231" t="s">
        <v>255</v>
      </c>
      <c r="D37" s="526">
        <v>67</v>
      </c>
      <c r="E37" s="523">
        <v>70</v>
      </c>
      <c r="F37" s="523">
        <v>67</v>
      </c>
      <c r="G37" s="524">
        <v>69</v>
      </c>
      <c r="H37" s="393">
        <v>77</v>
      </c>
      <c r="I37" s="393">
        <v>79</v>
      </c>
      <c r="J37" s="393">
        <v>78</v>
      </c>
      <c r="K37" s="524">
        <v>86</v>
      </c>
      <c r="L37" s="393">
        <v>89</v>
      </c>
      <c r="M37" s="393">
        <v>92</v>
      </c>
      <c r="N37" s="393">
        <v>89</v>
      </c>
      <c r="O37" s="524">
        <v>86</v>
      </c>
      <c r="P37" s="393">
        <v>64</v>
      </c>
      <c r="Q37" s="393">
        <v>85</v>
      </c>
      <c r="R37" s="393">
        <v>78</v>
      </c>
      <c r="S37" s="525">
        <v>74</v>
      </c>
      <c r="T37" s="393">
        <v>69</v>
      </c>
      <c r="U37" s="524">
        <v>66</v>
      </c>
      <c r="V37" s="525">
        <v>69</v>
      </c>
      <c r="W37" s="393">
        <v>72</v>
      </c>
      <c r="X37" s="524">
        <v>66</v>
      </c>
      <c r="Y37" s="525">
        <v>71</v>
      </c>
      <c r="Z37" s="393">
        <v>83</v>
      </c>
      <c r="AA37" s="524">
        <v>82</v>
      </c>
    </row>
    <row r="38" spans="2:27" s="212" customFormat="1" x14ac:dyDescent="0.2">
      <c r="B38" s="6281"/>
      <c r="C38" s="231" t="s">
        <v>257</v>
      </c>
      <c r="D38" s="526">
        <v>48</v>
      </c>
      <c r="E38" s="523">
        <v>46</v>
      </c>
      <c r="F38" s="523">
        <v>45</v>
      </c>
      <c r="G38" s="524">
        <v>49</v>
      </c>
      <c r="H38" s="393">
        <v>50</v>
      </c>
      <c r="I38" s="393">
        <v>50</v>
      </c>
      <c r="J38" s="393">
        <v>53</v>
      </c>
      <c r="K38" s="524">
        <v>53</v>
      </c>
      <c r="L38" s="393">
        <v>48</v>
      </c>
      <c r="M38" s="393">
        <v>50</v>
      </c>
      <c r="N38" s="393">
        <v>50</v>
      </c>
      <c r="O38" s="524">
        <v>49</v>
      </c>
      <c r="P38" s="393">
        <v>48</v>
      </c>
      <c r="Q38" s="393">
        <v>50</v>
      </c>
      <c r="R38" s="393">
        <v>44</v>
      </c>
      <c r="S38" s="525">
        <v>41</v>
      </c>
      <c r="T38" s="393">
        <v>40</v>
      </c>
      <c r="U38" s="524">
        <v>36</v>
      </c>
      <c r="V38" s="525">
        <v>34</v>
      </c>
      <c r="W38" s="393">
        <v>33</v>
      </c>
      <c r="X38" s="524">
        <v>33</v>
      </c>
      <c r="Y38" s="525">
        <v>30</v>
      </c>
      <c r="Z38" s="393">
        <v>27</v>
      </c>
      <c r="AA38" s="524">
        <v>27</v>
      </c>
    </row>
    <row r="39" spans="2:27" s="212" customFormat="1" x14ac:dyDescent="0.2">
      <c r="B39" s="6282"/>
      <c r="C39" s="389" t="s">
        <v>259</v>
      </c>
      <c r="D39" s="527">
        <v>14</v>
      </c>
      <c r="E39" s="528">
        <v>16</v>
      </c>
      <c r="F39" s="528">
        <v>12</v>
      </c>
      <c r="G39" s="529">
        <v>10</v>
      </c>
      <c r="H39" s="394">
        <v>11</v>
      </c>
      <c r="I39" s="394">
        <v>10</v>
      </c>
      <c r="J39" s="394">
        <v>9</v>
      </c>
      <c r="K39" s="529">
        <v>11</v>
      </c>
      <c r="L39" s="394">
        <v>12</v>
      </c>
      <c r="M39" s="394">
        <v>14</v>
      </c>
      <c r="N39" s="394">
        <v>11</v>
      </c>
      <c r="O39" s="529">
        <v>15</v>
      </c>
      <c r="P39" s="394">
        <v>11</v>
      </c>
      <c r="Q39" s="394">
        <v>11</v>
      </c>
      <c r="R39" s="394">
        <v>12</v>
      </c>
      <c r="S39" s="530">
        <v>15</v>
      </c>
      <c r="T39" s="394">
        <v>12</v>
      </c>
      <c r="U39" s="529">
        <v>13</v>
      </c>
      <c r="V39" s="530">
        <v>13</v>
      </c>
      <c r="W39" s="394">
        <v>14</v>
      </c>
      <c r="X39" s="529">
        <v>15</v>
      </c>
      <c r="Y39" s="530">
        <v>17</v>
      </c>
      <c r="Z39" s="394">
        <v>16</v>
      </c>
      <c r="AA39" s="529">
        <v>16</v>
      </c>
    </row>
    <row r="40" spans="2:27" s="212" customFormat="1" x14ac:dyDescent="0.2">
      <c r="B40" s="6281" t="s">
        <v>6</v>
      </c>
      <c r="C40" s="231" t="s">
        <v>262</v>
      </c>
      <c r="D40" s="526">
        <v>6</v>
      </c>
      <c r="E40" s="523">
        <v>5</v>
      </c>
      <c r="F40" s="523">
        <v>3</v>
      </c>
      <c r="G40" s="524">
        <v>41</v>
      </c>
      <c r="H40" s="393">
        <v>32</v>
      </c>
      <c r="I40" s="393">
        <v>3</v>
      </c>
      <c r="J40" s="393">
        <v>73</v>
      </c>
      <c r="K40" s="524">
        <v>65</v>
      </c>
      <c r="L40" s="393">
        <v>1</v>
      </c>
      <c r="M40" s="393" t="s">
        <v>227</v>
      </c>
      <c r="N40" s="393">
        <v>82</v>
      </c>
      <c r="O40" s="524">
        <v>68</v>
      </c>
      <c r="P40" s="393" t="s">
        <v>227</v>
      </c>
      <c r="Q40" s="393">
        <v>81</v>
      </c>
      <c r="R40" s="393">
        <v>81</v>
      </c>
      <c r="S40" s="525">
        <v>1</v>
      </c>
      <c r="T40" s="393">
        <v>89</v>
      </c>
      <c r="U40" s="524">
        <v>85</v>
      </c>
      <c r="V40" s="525"/>
      <c r="W40" s="393"/>
      <c r="X40" s="524">
        <v>100</v>
      </c>
      <c r="Y40" s="525">
        <v>67</v>
      </c>
      <c r="Z40" s="393"/>
      <c r="AA40" s="524"/>
    </row>
    <row r="41" spans="2:27" s="212" customFormat="1" x14ac:dyDescent="0.2">
      <c r="B41" s="6281"/>
      <c r="C41" s="231" t="s">
        <v>319</v>
      </c>
      <c r="D41" s="526"/>
      <c r="E41" s="523"/>
      <c r="F41" s="523"/>
      <c r="G41" s="524"/>
      <c r="H41" s="393"/>
      <c r="I41" s="393"/>
      <c r="J41" s="393"/>
      <c r="K41" s="524"/>
      <c r="L41" s="393"/>
      <c r="M41" s="393"/>
      <c r="N41" s="393"/>
      <c r="O41" s="524"/>
      <c r="P41" s="393"/>
      <c r="Q41" s="393"/>
      <c r="R41" s="393"/>
      <c r="S41" s="525"/>
      <c r="T41" s="393"/>
      <c r="U41" s="524"/>
      <c r="V41" s="525"/>
      <c r="W41" s="393"/>
      <c r="X41" s="524">
        <v>1</v>
      </c>
      <c r="Y41" s="525">
        <v>1</v>
      </c>
      <c r="Z41" s="393">
        <v>1</v>
      </c>
      <c r="AA41" s="524">
        <v>1</v>
      </c>
    </row>
    <row r="42" spans="2:27" s="212" customFormat="1" x14ac:dyDescent="0.2">
      <c r="B42" s="6281"/>
      <c r="C42" s="231" t="s">
        <v>320</v>
      </c>
      <c r="D42" s="526"/>
      <c r="E42" s="523"/>
      <c r="F42" s="523"/>
      <c r="G42" s="524"/>
      <c r="H42" s="393"/>
      <c r="I42" s="393"/>
      <c r="J42" s="393"/>
      <c r="K42" s="524"/>
      <c r="L42" s="393"/>
      <c r="M42" s="393"/>
      <c r="N42" s="393"/>
      <c r="O42" s="524"/>
      <c r="P42" s="393"/>
      <c r="Q42" s="393"/>
      <c r="R42" s="393"/>
      <c r="S42" s="525"/>
      <c r="T42" s="393"/>
      <c r="U42" s="524"/>
      <c r="V42" s="525"/>
      <c r="W42" s="393"/>
      <c r="X42" s="524">
        <v>1</v>
      </c>
      <c r="Y42" s="525"/>
      <c r="Z42" s="393"/>
      <c r="AA42" s="524"/>
    </row>
    <row r="43" spans="2:27" s="212" customFormat="1" x14ac:dyDescent="0.2">
      <c r="B43" s="6281"/>
      <c r="C43" s="231" t="s">
        <v>263</v>
      </c>
      <c r="D43" s="526">
        <v>7</v>
      </c>
      <c r="E43" s="523">
        <v>8</v>
      </c>
      <c r="F43" s="523">
        <v>6</v>
      </c>
      <c r="G43" s="524">
        <v>6</v>
      </c>
      <c r="H43" s="393">
        <v>5</v>
      </c>
      <c r="I43" s="393">
        <v>4</v>
      </c>
      <c r="J43" s="393">
        <v>6</v>
      </c>
      <c r="K43" s="524">
        <v>4</v>
      </c>
      <c r="L43" s="393">
        <v>2</v>
      </c>
      <c r="M43" s="393">
        <v>6</v>
      </c>
      <c r="N43" s="393">
        <v>7</v>
      </c>
      <c r="O43" s="524">
        <v>5</v>
      </c>
      <c r="P43" s="393">
        <v>20</v>
      </c>
      <c r="Q43" s="393">
        <v>11</v>
      </c>
      <c r="R43" s="393">
        <v>7</v>
      </c>
      <c r="S43" s="525">
        <v>20</v>
      </c>
      <c r="T43" s="393">
        <v>21</v>
      </c>
      <c r="U43" s="524">
        <v>20</v>
      </c>
      <c r="V43" s="525">
        <v>5</v>
      </c>
      <c r="W43" s="393">
        <v>5</v>
      </c>
      <c r="X43" s="524">
        <v>2</v>
      </c>
      <c r="Y43" s="525">
        <v>16</v>
      </c>
      <c r="Z43" s="393">
        <v>16</v>
      </c>
      <c r="AA43" s="524">
        <v>15</v>
      </c>
    </row>
    <row r="44" spans="2:27" s="212" customFormat="1" x14ac:dyDescent="0.2">
      <c r="B44" s="6281"/>
      <c r="C44" s="231" t="s">
        <v>265</v>
      </c>
      <c r="D44" s="526">
        <v>13</v>
      </c>
      <c r="E44" s="523">
        <v>10</v>
      </c>
      <c r="F44" s="523">
        <v>8</v>
      </c>
      <c r="G44" s="524">
        <v>18</v>
      </c>
      <c r="H44" s="393">
        <v>17</v>
      </c>
      <c r="I44" s="393">
        <v>18</v>
      </c>
      <c r="J44" s="393">
        <v>17</v>
      </c>
      <c r="K44" s="524">
        <v>17</v>
      </c>
      <c r="L44" s="393">
        <v>10</v>
      </c>
      <c r="M44" s="393">
        <v>18</v>
      </c>
      <c r="N44" s="393">
        <v>14</v>
      </c>
      <c r="O44" s="524">
        <v>12</v>
      </c>
      <c r="P44" s="393">
        <v>14</v>
      </c>
      <c r="Q44" s="393">
        <v>11</v>
      </c>
      <c r="R44" s="393">
        <v>10</v>
      </c>
      <c r="S44" s="525">
        <v>20</v>
      </c>
      <c r="T44" s="393">
        <v>18</v>
      </c>
      <c r="U44" s="524">
        <v>16</v>
      </c>
      <c r="V44" s="525">
        <v>36</v>
      </c>
      <c r="W44" s="393">
        <v>35</v>
      </c>
      <c r="X44" s="524">
        <v>20</v>
      </c>
      <c r="Y44" s="525">
        <v>32</v>
      </c>
      <c r="Z44" s="393">
        <v>32</v>
      </c>
      <c r="AA44" s="524">
        <v>23</v>
      </c>
    </row>
    <row r="45" spans="2:27" s="212" customFormat="1" x14ac:dyDescent="0.2">
      <c r="B45" s="6281"/>
      <c r="C45" s="231" t="s">
        <v>267</v>
      </c>
      <c r="D45" s="526">
        <v>63</v>
      </c>
      <c r="E45" s="523">
        <v>45</v>
      </c>
      <c r="F45" s="523">
        <v>48</v>
      </c>
      <c r="G45" s="524">
        <v>47</v>
      </c>
      <c r="H45" s="393">
        <v>39</v>
      </c>
      <c r="I45" s="393">
        <v>29</v>
      </c>
      <c r="J45" s="393">
        <v>23</v>
      </c>
      <c r="K45" s="524">
        <v>72</v>
      </c>
      <c r="L45" s="393">
        <v>66</v>
      </c>
      <c r="M45" s="393">
        <v>60</v>
      </c>
      <c r="N45" s="393">
        <v>60</v>
      </c>
      <c r="O45" s="524">
        <v>49</v>
      </c>
      <c r="P45" s="393">
        <v>40</v>
      </c>
      <c r="Q45" s="393">
        <v>89</v>
      </c>
      <c r="R45" s="393">
        <v>75</v>
      </c>
      <c r="S45" s="525">
        <v>71</v>
      </c>
      <c r="T45" s="393">
        <v>68</v>
      </c>
      <c r="U45" s="524">
        <v>66</v>
      </c>
      <c r="V45" s="525">
        <v>132</v>
      </c>
      <c r="W45" s="393">
        <v>134</v>
      </c>
      <c r="X45" s="524">
        <v>124</v>
      </c>
      <c r="Y45" s="525">
        <v>120</v>
      </c>
      <c r="Z45" s="393">
        <v>111</v>
      </c>
      <c r="AA45" s="524">
        <v>98</v>
      </c>
    </row>
    <row r="46" spans="2:27" s="212" customFormat="1" x14ac:dyDescent="0.2">
      <c r="B46" s="6281"/>
      <c r="C46" s="231" t="s">
        <v>269</v>
      </c>
      <c r="D46" s="526">
        <v>32</v>
      </c>
      <c r="E46" s="523">
        <v>27</v>
      </c>
      <c r="F46" s="523">
        <v>24</v>
      </c>
      <c r="G46" s="524">
        <v>30</v>
      </c>
      <c r="H46" s="393">
        <v>26</v>
      </c>
      <c r="I46" s="393">
        <v>21</v>
      </c>
      <c r="J46" s="393">
        <v>29</v>
      </c>
      <c r="K46" s="524">
        <v>22</v>
      </c>
      <c r="L46" s="393">
        <v>19</v>
      </c>
      <c r="M46" s="393">
        <v>26</v>
      </c>
      <c r="N46" s="393">
        <v>25</v>
      </c>
      <c r="O46" s="524">
        <v>18</v>
      </c>
      <c r="P46" s="393">
        <v>45</v>
      </c>
      <c r="Q46" s="393">
        <v>40</v>
      </c>
      <c r="R46" s="393">
        <v>33</v>
      </c>
      <c r="S46" s="525">
        <v>37</v>
      </c>
      <c r="T46" s="393">
        <v>37</v>
      </c>
      <c r="U46" s="524">
        <v>27</v>
      </c>
      <c r="V46" s="525">
        <v>42</v>
      </c>
      <c r="W46" s="393">
        <v>38</v>
      </c>
      <c r="X46" s="524">
        <v>33</v>
      </c>
      <c r="Y46" s="525">
        <v>21</v>
      </c>
      <c r="Z46" s="393">
        <v>20</v>
      </c>
      <c r="AA46" s="524">
        <v>9</v>
      </c>
    </row>
    <row r="47" spans="2:27" s="212" customFormat="1" x14ac:dyDescent="0.2">
      <c r="B47" s="6281"/>
      <c r="C47" s="231" t="s">
        <v>242</v>
      </c>
      <c r="D47" s="526" t="s">
        <v>227</v>
      </c>
      <c r="E47" s="523" t="s">
        <v>227</v>
      </c>
      <c r="F47" s="523" t="s">
        <v>227</v>
      </c>
      <c r="G47" s="524" t="s">
        <v>227</v>
      </c>
      <c r="H47" s="393" t="s">
        <v>227</v>
      </c>
      <c r="I47" s="393">
        <v>1</v>
      </c>
      <c r="J47" s="393">
        <v>3</v>
      </c>
      <c r="K47" s="524" t="s">
        <v>227</v>
      </c>
      <c r="L47" s="393" t="s">
        <v>227</v>
      </c>
      <c r="M47" s="393">
        <v>2</v>
      </c>
      <c r="N47" s="393" t="s">
        <v>227</v>
      </c>
      <c r="O47" s="524">
        <v>1</v>
      </c>
      <c r="P47" s="393">
        <v>2</v>
      </c>
      <c r="Q47" s="393" t="s">
        <v>227</v>
      </c>
      <c r="R47" s="393" t="s">
        <v>227</v>
      </c>
      <c r="S47" s="525">
        <v>7</v>
      </c>
      <c r="T47" s="393"/>
      <c r="U47" s="524"/>
      <c r="V47" s="525">
        <v>9</v>
      </c>
      <c r="W47" s="393"/>
      <c r="X47" s="524"/>
      <c r="Y47" s="525">
        <v>11</v>
      </c>
      <c r="Z47" s="393"/>
      <c r="AA47" s="524"/>
    </row>
    <row r="48" spans="2:27" s="212" customFormat="1" ht="24" x14ac:dyDescent="0.2">
      <c r="B48" s="6281"/>
      <c r="C48" s="231" t="s">
        <v>311</v>
      </c>
      <c r="D48" s="526">
        <v>62</v>
      </c>
      <c r="E48" s="523">
        <v>60</v>
      </c>
      <c r="F48" s="523">
        <v>49</v>
      </c>
      <c r="G48" s="524">
        <v>53</v>
      </c>
      <c r="H48" s="393">
        <v>50</v>
      </c>
      <c r="I48" s="393">
        <v>43</v>
      </c>
      <c r="J48" s="393">
        <v>54</v>
      </c>
      <c r="K48" s="524">
        <v>52</v>
      </c>
      <c r="L48" s="393">
        <v>40</v>
      </c>
      <c r="M48" s="393">
        <v>50</v>
      </c>
      <c r="N48" s="393">
        <v>48</v>
      </c>
      <c r="O48" s="524">
        <v>37</v>
      </c>
      <c r="P48" s="393">
        <v>33</v>
      </c>
      <c r="Q48" s="393">
        <v>43</v>
      </c>
      <c r="R48" s="393">
        <v>42</v>
      </c>
      <c r="S48" s="525">
        <v>49</v>
      </c>
      <c r="T48" s="393">
        <v>47</v>
      </c>
      <c r="U48" s="524">
        <v>43</v>
      </c>
      <c r="V48" s="525">
        <v>63</v>
      </c>
      <c r="W48" s="393">
        <v>62</v>
      </c>
      <c r="X48" s="524">
        <v>52</v>
      </c>
      <c r="Y48" s="525">
        <v>67</v>
      </c>
      <c r="Z48" s="393">
        <v>66</v>
      </c>
      <c r="AA48" s="524">
        <v>61</v>
      </c>
    </row>
    <row r="49" spans="2:27" s="212" customFormat="1" x14ac:dyDescent="0.2">
      <c r="B49" s="6281"/>
      <c r="C49" s="231" t="s">
        <v>266</v>
      </c>
      <c r="D49" s="526">
        <v>71</v>
      </c>
      <c r="E49" s="523">
        <v>70</v>
      </c>
      <c r="F49" s="523">
        <v>63</v>
      </c>
      <c r="G49" s="524">
        <v>71</v>
      </c>
      <c r="H49" s="393">
        <v>64</v>
      </c>
      <c r="I49" s="393">
        <v>81</v>
      </c>
      <c r="J49" s="393">
        <v>83</v>
      </c>
      <c r="K49" s="524">
        <v>83</v>
      </c>
      <c r="L49" s="393">
        <v>78</v>
      </c>
      <c r="M49" s="393">
        <v>81</v>
      </c>
      <c r="N49" s="393">
        <v>77</v>
      </c>
      <c r="O49" s="524">
        <v>71</v>
      </c>
      <c r="P49" s="393">
        <v>62</v>
      </c>
      <c r="Q49" s="393">
        <v>60</v>
      </c>
      <c r="R49" s="393">
        <v>41</v>
      </c>
      <c r="S49" s="525">
        <v>47</v>
      </c>
      <c r="T49" s="393">
        <v>39</v>
      </c>
      <c r="U49" s="524">
        <v>30</v>
      </c>
      <c r="V49" s="525">
        <v>41</v>
      </c>
      <c r="W49" s="393">
        <v>42</v>
      </c>
      <c r="X49" s="524">
        <v>52</v>
      </c>
      <c r="Y49" s="525">
        <v>54</v>
      </c>
      <c r="Z49" s="393">
        <v>53</v>
      </c>
      <c r="AA49" s="524">
        <v>48</v>
      </c>
    </row>
    <row r="50" spans="2:27" s="212" customFormat="1" x14ac:dyDescent="0.2">
      <c r="B50" s="6281"/>
      <c r="C50" s="231" t="s">
        <v>268</v>
      </c>
      <c r="D50" s="526">
        <v>43</v>
      </c>
      <c r="E50" s="523">
        <v>40</v>
      </c>
      <c r="F50" s="523">
        <v>34</v>
      </c>
      <c r="G50" s="524">
        <v>32</v>
      </c>
      <c r="H50" s="393">
        <v>27</v>
      </c>
      <c r="I50" s="393">
        <v>10</v>
      </c>
      <c r="J50" s="393">
        <v>9</v>
      </c>
      <c r="K50" s="524">
        <v>15</v>
      </c>
      <c r="L50" s="393">
        <v>13</v>
      </c>
      <c r="M50" s="393">
        <v>13</v>
      </c>
      <c r="N50" s="393">
        <v>23</v>
      </c>
      <c r="O50" s="524">
        <v>19</v>
      </c>
      <c r="P50" s="393">
        <v>19</v>
      </c>
      <c r="Q50" s="393">
        <v>37</v>
      </c>
      <c r="R50" s="393">
        <v>36</v>
      </c>
      <c r="S50" s="525">
        <v>35</v>
      </c>
      <c r="T50" s="393">
        <v>28</v>
      </c>
      <c r="U50" s="524">
        <v>29</v>
      </c>
      <c r="V50" s="525">
        <v>60</v>
      </c>
      <c r="W50" s="393">
        <v>67</v>
      </c>
      <c r="X50" s="524">
        <v>67</v>
      </c>
      <c r="Y50" s="525">
        <v>81</v>
      </c>
      <c r="Z50" s="393">
        <v>77</v>
      </c>
      <c r="AA50" s="524">
        <v>73</v>
      </c>
    </row>
    <row r="51" spans="2:27" s="212" customFormat="1" x14ac:dyDescent="0.2">
      <c r="B51" s="6281"/>
      <c r="C51" s="231" t="s">
        <v>270</v>
      </c>
      <c r="D51" s="526">
        <v>47</v>
      </c>
      <c r="E51" s="523">
        <v>44</v>
      </c>
      <c r="F51" s="523">
        <v>38</v>
      </c>
      <c r="G51" s="524">
        <v>40</v>
      </c>
      <c r="H51" s="393">
        <v>40</v>
      </c>
      <c r="I51" s="393">
        <v>27</v>
      </c>
      <c r="J51" s="393">
        <v>37</v>
      </c>
      <c r="K51" s="524">
        <v>39</v>
      </c>
      <c r="L51" s="393">
        <v>34</v>
      </c>
      <c r="M51" s="393">
        <v>34</v>
      </c>
      <c r="N51" s="393">
        <v>34</v>
      </c>
      <c r="O51" s="524">
        <v>27</v>
      </c>
      <c r="P51" s="393">
        <v>36</v>
      </c>
      <c r="Q51" s="393">
        <v>35</v>
      </c>
      <c r="R51" s="393">
        <v>31</v>
      </c>
      <c r="S51" s="525">
        <v>37</v>
      </c>
      <c r="T51" s="393">
        <v>34</v>
      </c>
      <c r="U51" s="524">
        <v>29</v>
      </c>
      <c r="V51" s="525">
        <v>51</v>
      </c>
      <c r="W51" s="393">
        <v>49</v>
      </c>
      <c r="X51" s="524">
        <v>46</v>
      </c>
      <c r="Y51" s="525">
        <v>50</v>
      </c>
      <c r="Z51" s="393">
        <v>49</v>
      </c>
      <c r="AA51" s="524">
        <v>38</v>
      </c>
    </row>
    <row r="52" spans="2:27" s="212" customFormat="1" x14ac:dyDescent="0.2">
      <c r="B52" s="6281"/>
      <c r="C52" s="231" t="s">
        <v>243</v>
      </c>
      <c r="D52" s="526">
        <v>1</v>
      </c>
      <c r="E52" s="523">
        <v>7</v>
      </c>
      <c r="F52" s="523">
        <v>2</v>
      </c>
      <c r="G52" s="524">
        <v>2</v>
      </c>
      <c r="H52" s="393">
        <v>1</v>
      </c>
      <c r="I52" s="393">
        <v>16</v>
      </c>
      <c r="J52" s="393">
        <v>18</v>
      </c>
      <c r="K52" s="524">
        <v>5</v>
      </c>
      <c r="L52" s="393">
        <v>4</v>
      </c>
      <c r="M52" s="393">
        <v>6</v>
      </c>
      <c r="N52" s="393">
        <v>3</v>
      </c>
      <c r="O52" s="524">
        <v>1</v>
      </c>
      <c r="P52" s="393">
        <v>5</v>
      </c>
      <c r="Q52" s="393" t="s">
        <v>227</v>
      </c>
      <c r="R52" s="393" t="s">
        <v>227</v>
      </c>
      <c r="S52" s="525">
        <v>17</v>
      </c>
      <c r="T52" s="393"/>
      <c r="U52" s="524"/>
      <c r="V52" s="525">
        <v>25</v>
      </c>
      <c r="W52" s="393">
        <v>1</v>
      </c>
      <c r="X52" s="524"/>
      <c r="Y52" s="525">
        <v>35</v>
      </c>
      <c r="Z52" s="393"/>
      <c r="AA52" s="524"/>
    </row>
    <row r="53" spans="2:27" s="212" customFormat="1" x14ac:dyDescent="0.2">
      <c r="B53" s="6280" t="s">
        <v>11</v>
      </c>
      <c r="C53" s="388" t="s">
        <v>271</v>
      </c>
      <c r="D53" s="532">
        <v>6</v>
      </c>
      <c r="E53" s="533">
        <v>7</v>
      </c>
      <c r="F53" s="533">
        <v>3</v>
      </c>
      <c r="G53" s="534">
        <v>5</v>
      </c>
      <c r="H53" s="392">
        <v>4</v>
      </c>
      <c r="I53" s="392">
        <v>1</v>
      </c>
      <c r="J53" s="392">
        <v>5</v>
      </c>
      <c r="K53" s="534">
        <v>5</v>
      </c>
      <c r="L53" s="392">
        <v>6</v>
      </c>
      <c r="M53" s="392">
        <v>11</v>
      </c>
      <c r="N53" s="392">
        <v>17</v>
      </c>
      <c r="O53" s="534">
        <v>18</v>
      </c>
      <c r="P53" s="392">
        <v>14</v>
      </c>
      <c r="Q53" s="392">
        <v>16</v>
      </c>
      <c r="R53" s="392">
        <v>11</v>
      </c>
      <c r="S53" s="535">
        <v>21</v>
      </c>
      <c r="T53" s="392">
        <v>17</v>
      </c>
      <c r="U53" s="534">
        <v>16</v>
      </c>
      <c r="V53" s="535">
        <v>16</v>
      </c>
      <c r="W53" s="392">
        <v>14</v>
      </c>
      <c r="X53" s="534">
        <v>10</v>
      </c>
      <c r="Y53" s="535">
        <v>18</v>
      </c>
      <c r="Z53" s="392">
        <v>18</v>
      </c>
      <c r="AA53" s="534">
        <v>17</v>
      </c>
    </row>
    <row r="54" spans="2:27" s="212" customFormat="1" x14ac:dyDescent="0.2">
      <c r="B54" s="6281"/>
      <c r="C54" s="231" t="s">
        <v>274</v>
      </c>
      <c r="D54" s="526">
        <v>22</v>
      </c>
      <c r="E54" s="523">
        <v>20</v>
      </c>
      <c r="F54" s="523">
        <v>8</v>
      </c>
      <c r="G54" s="524">
        <v>22</v>
      </c>
      <c r="H54" s="393">
        <v>23</v>
      </c>
      <c r="I54" s="393">
        <v>19</v>
      </c>
      <c r="J54" s="393">
        <v>26</v>
      </c>
      <c r="K54" s="524">
        <v>24</v>
      </c>
      <c r="L54" s="393">
        <v>14</v>
      </c>
      <c r="M54" s="393">
        <v>19</v>
      </c>
      <c r="N54" s="393">
        <v>18</v>
      </c>
      <c r="O54" s="524">
        <v>13</v>
      </c>
      <c r="P54" s="393">
        <v>14</v>
      </c>
      <c r="Q54" s="393">
        <v>10</v>
      </c>
      <c r="R54" s="393">
        <v>22</v>
      </c>
      <c r="S54" s="525">
        <v>18</v>
      </c>
      <c r="T54" s="393">
        <v>14</v>
      </c>
      <c r="U54" s="524">
        <v>14</v>
      </c>
      <c r="V54" s="525">
        <v>23</v>
      </c>
      <c r="W54" s="393">
        <v>19</v>
      </c>
      <c r="X54" s="524">
        <v>14</v>
      </c>
      <c r="Y54" s="525">
        <v>18</v>
      </c>
      <c r="Z54" s="393">
        <v>17</v>
      </c>
      <c r="AA54" s="524">
        <v>12</v>
      </c>
    </row>
    <row r="55" spans="2:27" s="212" customFormat="1" x14ac:dyDescent="0.2">
      <c r="B55" s="6281"/>
      <c r="C55" s="230" t="s">
        <v>275</v>
      </c>
      <c r="D55" s="526">
        <v>5</v>
      </c>
      <c r="E55" s="523">
        <v>5</v>
      </c>
      <c r="F55" s="523">
        <v>5</v>
      </c>
      <c r="G55" s="524">
        <v>1</v>
      </c>
      <c r="H55" s="393">
        <v>1</v>
      </c>
      <c r="I55" s="393">
        <v>1</v>
      </c>
      <c r="J55" s="393" t="s">
        <v>227</v>
      </c>
      <c r="K55" s="524" t="s">
        <v>227</v>
      </c>
      <c r="L55" s="393" t="s">
        <v>227</v>
      </c>
      <c r="M55" s="393" t="s">
        <v>227</v>
      </c>
      <c r="N55" s="393" t="s">
        <v>227</v>
      </c>
      <c r="O55" s="524" t="s">
        <v>227</v>
      </c>
      <c r="P55" s="393" t="s">
        <v>227</v>
      </c>
      <c r="Q55" s="393" t="s">
        <v>227</v>
      </c>
      <c r="R55" s="393" t="s">
        <v>227</v>
      </c>
      <c r="S55" s="525"/>
      <c r="T55" s="393"/>
      <c r="U55" s="524"/>
      <c r="V55" s="525">
        <v>0</v>
      </c>
      <c r="W55" s="393">
        <v>1</v>
      </c>
      <c r="X55" s="524">
        <v>1</v>
      </c>
      <c r="Y55" s="525">
        <v>1</v>
      </c>
      <c r="Z55" s="393"/>
      <c r="AA55" s="524"/>
    </row>
    <row r="56" spans="2:27" s="212" customFormat="1" x14ac:dyDescent="0.2">
      <c r="B56" s="6281"/>
      <c r="C56" s="230" t="s">
        <v>272</v>
      </c>
      <c r="D56" s="526">
        <v>38</v>
      </c>
      <c r="E56" s="523">
        <v>38</v>
      </c>
      <c r="F56" s="523">
        <v>31</v>
      </c>
      <c r="G56" s="524">
        <v>47</v>
      </c>
      <c r="H56" s="393">
        <v>47</v>
      </c>
      <c r="I56" s="393">
        <v>32</v>
      </c>
      <c r="J56" s="393">
        <v>30</v>
      </c>
      <c r="K56" s="524">
        <v>28</v>
      </c>
      <c r="L56" s="393">
        <v>25</v>
      </c>
      <c r="M56" s="393">
        <v>30</v>
      </c>
      <c r="N56" s="393">
        <v>30</v>
      </c>
      <c r="O56" s="524">
        <v>24</v>
      </c>
      <c r="P56" s="393">
        <v>46</v>
      </c>
      <c r="Q56" s="393">
        <v>38</v>
      </c>
      <c r="R56" s="393">
        <v>34</v>
      </c>
      <c r="S56" s="525">
        <v>43</v>
      </c>
      <c r="T56" s="393">
        <v>40</v>
      </c>
      <c r="U56" s="524">
        <v>41</v>
      </c>
      <c r="V56" s="525">
        <v>49</v>
      </c>
      <c r="W56" s="393">
        <v>47</v>
      </c>
      <c r="X56" s="524">
        <v>43</v>
      </c>
      <c r="Y56" s="525">
        <v>43</v>
      </c>
      <c r="Z56" s="393">
        <v>33</v>
      </c>
      <c r="AA56" s="524">
        <v>32</v>
      </c>
    </row>
    <row r="57" spans="2:27" s="212" customFormat="1" x14ac:dyDescent="0.2">
      <c r="B57" s="6281"/>
      <c r="C57" s="230" t="s">
        <v>276</v>
      </c>
      <c r="D57" s="526">
        <v>18</v>
      </c>
      <c r="E57" s="523">
        <v>24</v>
      </c>
      <c r="F57" s="523">
        <v>22</v>
      </c>
      <c r="G57" s="524">
        <v>18</v>
      </c>
      <c r="H57" s="393">
        <v>22</v>
      </c>
      <c r="I57" s="393">
        <v>20</v>
      </c>
      <c r="J57" s="393">
        <v>16</v>
      </c>
      <c r="K57" s="524">
        <v>18</v>
      </c>
      <c r="L57" s="393">
        <v>16</v>
      </c>
      <c r="M57" s="393">
        <v>17</v>
      </c>
      <c r="N57" s="393">
        <v>15</v>
      </c>
      <c r="O57" s="524">
        <v>15</v>
      </c>
      <c r="P57" s="393">
        <v>20</v>
      </c>
      <c r="Q57" s="393">
        <v>18</v>
      </c>
      <c r="R57" s="393">
        <v>17</v>
      </c>
      <c r="S57" s="525">
        <v>30</v>
      </c>
      <c r="T57" s="393">
        <v>27</v>
      </c>
      <c r="U57" s="524">
        <v>26</v>
      </c>
      <c r="V57" s="525">
        <v>30</v>
      </c>
      <c r="W57" s="393">
        <v>29</v>
      </c>
      <c r="X57" s="524">
        <v>27</v>
      </c>
      <c r="Y57" s="525">
        <v>44</v>
      </c>
      <c r="Z57" s="393">
        <v>39</v>
      </c>
      <c r="AA57" s="524">
        <v>38</v>
      </c>
    </row>
    <row r="58" spans="2:27" s="212" customFormat="1" x14ac:dyDescent="0.2">
      <c r="B58" s="6281"/>
      <c r="C58" s="231" t="s">
        <v>278</v>
      </c>
      <c r="D58" s="526">
        <v>33</v>
      </c>
      <c r="E58" s="523">
        <v>33</v>
      </c>
      <c r="F58" s="523">
        <v>31</v>
      </c>
      <c r="G58" s="524">
        <v>33</v>
      </c>
      <c r="H58" s="393">
        <v>27</v>
      </c>
      <c r="I58" s="393">
        <v>24</v>
      </c>
      <c r="J58" s="393">
        <v>23</v>
      </c>
      <c r="K58" s="524">
        <v>20</v>
      </c>
      <c r="L58" s="393">
        <v>16</v>
      </c>
      <c r="M58" s="393">
        <v>19</v>
      </c>
      <c r="N58" s="393">
        <v>17</v>
      </c>
      <c r="O58" s="524">
        <v>16</v>
      </c>
      <c r="P58" s="393">
        <v>22</v>
      </c>
      <c r="Q58" s="393">
        <v>22</v>
      </c>
      <c r="R58" s="393">
        <v>19</v>
      </c>
      <c r="S58" s="525">
        <v>32</v>
      </c>
      <c r="T58" s="393">
        <v>27</v>
      </c>
      <c r="U58" s="524">
        <v>25</v>
      </c>
      <c r="V58" s="525">
        <v>44</v>
      </c>
      <c r="W58" s="393">
        <v>45</v>
      </c>
      <c r="X58" s="524">
        <v>38</v>
      </c>
      <c r="Y58" s="525">
        <v>46</v>
      </c>
      <c r="Z58" s="393">
        <v>42</v>
      </c>
      <c r="AA58" s="524">
        <v>37</v>
      </c>
    </row>
    <row r="59" spans="2:27" s="212" customFormat="1" x14ac:dyDescent="0.2">
      <c r="B59" s="6281"/>
      <c r="C59" s="231" t="s">
        <v>273</v>
      </c>
      <c r="D59" s="526">
        <v>53</v>
      </c>
      <c r="E59" s="523">
        <v>50</v>
      </c>
      <c r="F59" s="523">
        <v>46</v>
      </c>
      <c r="G59" s="524">
        <v>44</v>
      </c>
      <c r="H59" s="393">
        <v>45</v>
      </c>
      <c r="I59" s="393">
        <v>38</v>
      </c>
      <c r="J59" s="393">
        <v>51</v>
      </c>
      <c r="K59" s="524">
        <v>61</v>
      </c>
      <c r="L59" s="393">
        <v>59</v>
      </c>
      <c r="M59" s="393">
        <v>60</v>
      </c>
      <c r="N59" s="393">
        <v>68</v>
      </c>
      <c r="O59" s="524">
        <v>63</v>
      </c>
      <c r="P59" s="393">
        <v>64</v>
      </c>
      <c r="Q59" s="393">
        <v>71</v>
      </c>
      <c r="R59" s="393">
        <v>64</v>
      </c>
      <c r="S59" s="525">
        <v>70</v>
      </c>
      <c r="T59" s="393">
        <v>68</v>
      </c>
      <c r="U59" s="524">
        <v>70</v>
      </c>
      <c r="V59" s="525">
        <v>76</v>
      </c>
      <c r="W59" s="393">
        <v>77</v>
      </c>
      <c r="X59" s="524">
        <v>71</v>
      </c>
      <c r="Y59" s="525">
        <v>80</v>
      </c>
      <c r="Z59" s="393">
        <v>86</v>
      </c>
      <c r="AA59" s="524">
        <v>82</v>
      </c>
    </row>
    <row r="60" spans="2:27" s="212" customFormat="1" x14ac:dyDescent="0.2">
      <c r="B60" s="6281"/>
      <c r="C60" s="230" t="s">
        <v>279</v>
      </c>
      <c r="D60" s="526">
        <v>71</v>
      </c>
      <c r="E60" s="523">
        <v>77</v>
      </c>
      <c r="F60" s="523">
        <v>65</v>
      </c>
      <c r="G60" s="524">
        <v>69</v>
      </c>
      <c r="H60" s="393">
        <v>72</v>
      </c>
      <c r="I60" s="393">
        <v>53</v>
      </c>
      <c r="J60" s="393">
        <v>51</v>
      </c>
      <c r="K60" s="524">
        <v>63</v>
      </c>
      <c r="L60" s="393">
        <v>52</v>
      </c>
      <c r="M60" s="393">
        <v>51</v>
      </c>
      <c r="N60" s="393">
        <v>47</v>
      </c>
      <c r="O60" s="524">
        <v>49</v>
      </c>
      <c r="P60" s="393">
        <v>49</v>
      </c>
      <c r="Q60" s="393">
        <v>44</v>
      </c>
      <c r="R60" s="393">
        <v>36</v>
      </c>
      <c r="S60" s="525">
        <v>36</v>
      </c>
      <c r="T60" s="393">
        <v>33</v>
      </c>
      <c r="U60" s="524">
        <v>31</v>
      </c>
      <c r="V60" s="525">
        <v>41</v>
      </c>
      <c r="W60" s="393">
        <v>47</v>
      </c>
      <c r="X60" s="524">
        <v>41</v>
      </c>
      <c r="Y60" s="525">
        <v>42</v>
      </c>
      <c r="Z60" s="393">
        <v>51</v>
      </c>
      <c r="AA60" s="524">
        <v>48</v>
      </c>
    </row>
    <row r="61" spans="2:27" s="212" customFormat="1" x14ac:dyDescent="0.2">
      <c r="B61" s="6282"/>
      <c r="C61" s="387" t="s">
        <v>277</v>
      </c>
      <c r="D61" s="527">
        <v>10</v>
      </c>
      <c r="E61" s="528">
        <v>21</v>
      </c>
      <c r="F61" s="528">
        <v>21</v>
      </c>
      <c r="G61" s="529">
        <v>21</v>
      </c>
      <c r="H61" s="394">
        <v>26</v>
      </c>
      <c r="I61" s="394">
        <v>24</v>
      </c>
      <c r="J61" s="394">
        <v>23</v>
      </c>
      <c r="K61" s="529">
        <v>31</v>
      </c>
      <c r="L61" s="394">
        <v>30</v>
      </c>
      <c r="M61" s="394">
        <v>32</v>
      </c>
      <c r="N61" s="394">
        <v>32</v>
      </c>
      <c r="O61" s="529">
        <v>30</v>
      </c>
      <c r="P61" s="394">
        <v>29</v>
      </c>
      <c r="Q61" s="394">
        <v>36</v>
      </c>
      <c r="R61" s="394">
        <v>36</v>
      </c>
      <c r="S61" s="530">
        <v>33</v>
      </c>
      <c r="T61" s="394">
        <v>33</v>
      </c>
      <c r="U61" s="529">
        <v>31</v>
      </c>
      <c r="V61" s="530">
        <v>35</v>
      </c>
      <c r="W61" s="394">
        <v>37</v>
      </c>
      <c r="X61" s="529">
        <v>35</v>
      </c>
      <c r="Y61" s="530">
        <v>39</v>
      </c>
      <c r="Z61" s="394">
        <v>41</v>
      </c>
      <c r="AA61" s="529">
        <v>39</v>
      </c>
    </row>
    <row r="62" spans="2:27" s="212" customFormat="1" x14ac:dyDescent="0.2">
      <c r="B62" s="6287" t="s">
        <v>134</v>
      </c>
      <c r="C62" s="6288"/>
      <c r="D62" s="649">
        <f>SUM(D28:D61)</f>
        <v>867</v>
      </c>
      <c r="E62" s="650">
        <f t="shared" ref="E62:AA62" si="1">SUM(E28:E61)</f>
        <v>850</v>
      </c>
      <c r="F62" s="650">
        <f t="shared" si="1"/>
        <v>757</v>
      </c>
      <c r="G62" s="650">
        <f t="shared" si="1"/>
        <v>862</v>
      </c>
      <c r="H62" s="649">
        <f t="shared" si="1"/>
        <v>827</v>
      </c>
      <c r="I62" s="650">
        <f t="shared" si="1"/>
        <v>724</v>
      </c>
      <c r="J62" s="650">
        <f t="shared" si="1"/>
        <v>852</v>
      </c>
      <c r="K62" s="651">
        <f t="shared" si="1"/>
        <v>913</v>
      </c>
      <c r="L62" s="650">
        <f t="shared" si="1"/>
        <v>776</v>
      </c>
      <c r="M62" s="650">
        <f t="shared" si="1"/>
        <v>866</v>
      </c>
      <c r="N62" s="650">
        <f t="shared" si="1"/>
        <v>945</v>
      </c>
      <c r="O62" s="650">
        <f t="shared" si="1"/>
        <v>866</v>
      </c>
      <c r="P62" s="649">
        <f t="shared" si="1"/>
        <v>898</v>
      </c>
      <c r="Q62" s="650">
        <f t="shared" si="1"/>
        <v>1011</v>
      </c>
      <c r="R62" s="651">
        <f t="shared" si="1"/>
        <v>916</v>
      </c>
      <c r="S62" s="650">
        <f t="shared" si="1"/>
        <v>955</v>
      </c>
      <c r="T62" s="650">
        <f t="shared" si="1"/>
        <v>956</v>
      </c>
      <c r="U62" s="650">
        <f t="shared" si="1"/>
        <v>897</v>
      </c>
      <c r="V62" s="649">
        <f t="shared" si="1"/>
        <v>1102</v>
      </c>
      <c r="W62" s="650">
        <f t="shared" si="1"/>
        <v>1066</v>
      </c>
      <c r="X62" s="651">
        <f t="shared" si="1"/>
        <v>1073</v>
      </c>
      <c r="Y62" s="650">
        <f t="shared" si="1"/>
        <v>1226</v>
      </c>
      <c r="Z62" s="650">
        <f t="shared" si="1"/>
        <v>1096</v>
      </c>
      <c r="AA62" s="651">
        <f t="shared" si="1"/>
        <v>998</v>
      </c>
    </row>
    <row r="63" spans="2:27" s="212" customFormat="1" x14ac:dyDescent="0.2">
      <c r="B63" s="6281" t="s">
        <v>6</v>
      </c>
      <c r="C63" s="231" t="s">
        <v>280</v>
      </c>
      <c r="D63" s="526">
        <v>7</v>
      </c>
      <c r="E63" s="523">
        <v>6</v>
      </c>
      <c r="F63" s="523" t="s">
        <v>227</v>
      </c>
      <c r="G63" s="524" t="s">
        <v>227</v>
      </c>
      <c r="H63" s="393" t="s">
        <v>227</v>
      </c>
      <c r="I63" s="393" t="s">
        <v>227</v>
      </c>
      <c r="J63" s="393">
        <v>3</v>
      </c>
      <c r="K63" s="524">
        <v>3</v>
      </c>
      <c r="L63" s="393" t="s">
        <v>227</v>
      </c>
      <c r="M63" s="393" t="s">
        <v>227</v>
      </c>
      <c r="N63" s="393" t="s">
        <v>227</v>
      </c>
      <c r="O63" s="524" t="s">
        <v>227</v>
      </c>
      <c r="P63" s="393">
        <v>16</v>
      </c>
      <c r="Q63" s="393">
        <v>2</v>
      </c>
      <c r="R63" s="393" t="s">
        <v>227</v>
      </c>
      <c r="S63" s="525">
        <v>4</v>
      </c>
      <c r="T63" s="393">
        <v>4</v>
      </c>
      <c r="U63" s="524">
        <v>1</v>
      </c>
      <c r="V63" s="525">
        <v>2</v>
      </c>
      <c r="W63" s="393">
        <v>2</v>
      </c>
      <c r="X63" s="524"/>
      <c r="Y63" s="525"/>
      <c r="Z63" s="393"/>
      <c r="AA63" s="524"/>
    </row>
    <row r="64" spans="2:27" s="212" customFormat="1" x14ac:dyDescent="0.2">
      <c r="B64" s="6281"/>
      <c r="C64" s="231" t="s">
        <v>282</v>
      </c>
      <c r="D64" s="526">
        <v>17</v>
      </c>
      <c r="E64" s="523">
        <v>16</v>
      </c>
      <c r="F64" s="523">
        <v>16</v>
      </c>
      <c r="G64" s="524" t="s">
        <v>227</v>
      </c>
      <c r="H64" s="393" t="s">
        <v>227</v>
      </c>
      <c r="I64" s="393">
        <v>1</v>
      </c>
      <c r="J64" s="393">
        <v>1</v>
      </c>
      <c r="K64" s="524">
        <v>1</v>
      </c>
      <c r="L64" s="393" t="s">
        <v>227</v>
      </c>
      <c r="M64" s="393" t="s">
        <v>227</v>
      </c>
      <c r="N64" s="393" t="s">
        <v>227</v>
      </c>
      <c r="O64" s="524" t="s">
        <v>227</v>
      </c>
      <c r="P64" s="393" t="s">
        <v>227</v>
      </c>
      <c r="Q64" s="393" t="s">
        <v>227</v>
      </c>
      <c r="R64" s="393" t="s">
        <v>227</v>
      </c>
      <c r="S64" s="525"/>
      <c r="T64" s="393"/>
      <c r="U64" s="524"/>
      <c r="V64" s="525"/>
      <c r="W64" s="393"/>
      <c r="X64" s="524"/>
      <c r="Y64" s="525"/>
      <c r="Z64" s="393"/>
      <c r="AA64" s="524"/>
    </row>
    <row r="65" spans="2:27" s="212" customFormat="1" x14ac:dyDescent="0.2">
      <c r="B65" s="6281"/>
      <c r="C65" s="230" t="s">
        <v>285</v>
      </c>
      <c r="D65" s="526">
        <v>4</v>
      </c>
      <c r="E65" s="523" t="s">
        <v>227</v>
      </c>
      <c r="F65" s="523">
        <v>13</v>
      </c>
      <c r="G65" s="524">
        <v>15</v>
      </c>
      <c r="H65" s="393">
        <v>11</v>
      </c>
      <c r="I65" s="393">
        <v>11</v>
      </c>
      <c r="J65" s="393">
        <v>26</v>
      </c>
      <c r="K65" s="524">
        <v>14</v>
      </c>
      <c r="L65" s="393">
        <v>18</v>
      </c>
      <c r="M65" s="393">
        <v>15</v>
      </c>
      <c r="N65" s="393">
        <v>15</v>
      </c>
      <c r="O65" s="524">
        <v>2</v>
      </c>
      <c r="P65" s="393">
        <v>24</v>
      </c>
      <c r="Q65" s="393">
        <v>23</v>
      </c>
      <c r="R65" s="393">
        <v>23</v>
      </c>
      <c r="S65" s="525">
        <v>22</v>
      </c>
      <c r="T65" s="393">
        <v>23</v>
      </c>
      <c r="U65" s="524">
        <v>5</v>
      </c>
      <c r="V65" s="525">
        <v>30</v>
      </c>
      <c r="W65" s="393">
        <v>33</v>
      </c>
      <c r="X65" s="524">
        <v>34</v>
      </c>
      <c r="Y65" s="525">
        <v>32</v>
      </c>
      <c r="Z65" s="393">
        <v>31</v>
      </c>
      <c r="AA65" s="524">
        <v>11</v>
      </c>
    </row>
    <row r="66" spans="2:27" s="212" customFormat="1" ht="12" customHeight="1" x14ac:dyDescent="0.2">
      <c r="B66" s="6281"/>
      <c r="C66" s="230" t="s">
        <v>286</v>
      </c>
      <c r="D66" s="526">
        <v>23</v>
      </c>
      <c r="E66" s="523">
        <v>20</v>
      </c>
      <c r="F66" s="523">
        <v>19</v>
      </c>
      <c r="G66" s="524">
        <v>20</v>
      </c>
      <c r="H66" s="393">
        <v>23</v>
      </c>
      <c r="I66" s="393">
        <v>1</v>
      </c>
      <c r="J66" s="393">
        <v>18</v>
      </c>
      <c r="K66" s="524">
        <v>17</v>
      </c>
      <c r="L66" s="393">
        <v>17</v>
      </c>
      <c r="M66" s="393">
        <v>17</v>
      </c>
      <c r="N66" s="393">
        <v>17</v>
      </c>
      <c r="O66" s="524" t="s">
        <v>227</v>
      </c>
      <c r="P66" s="393">
        <v>12</v>
      </c>
      <c r="Q66" s="393">
        <v>10</v>
      </c>
      <c r="R66" s="393">
        <v>10</v>
      </c>
      <c r="S66" s="525">
        <v>10</v>
      </c>
      <c r="T66" s="393">
        <v>11</v>
      </c>
      <c r="U66" s="524">
        <v>7</v>
      </c>
      <c r="V66" s="525">
        <v>24</v>
      </c>
      <c r="W66" s="393">
        <v>23</v>
      </c>
      <c r="X66" s="524">
        <v>25</v>
      </c>
      <c r="Y66" s="525">
        <v>21</v>
      </c>
      <c r="Z66" s="393">
        <v>28</v>
      </c>
      <c r="AA66" s="524">
        <v>5</v>
      </c>
    </row>
    <row r="67" spans="2:27" s="212" customFormat="1" x14ac:dyDescent="0.2">
      <c r="B67" s="6281"/>
      <c r="C67" s="231" t="s">
        <v>281</v>
      </c>
      <c r="D67" s="526">
        <v>14</v>
      </c>
      <c r="E67" s="523">
        <v>14</v>
      </c>
      <c r="F67" s="523">
        <v>14</v>
      </c>
      <c r="G67" s="524">
        <v>14</v>
      </c>
      <c r="H67" s="393">
        <v>14</v>
      </c>
      <c r="I67" s="393" t="s">
        <v>227</v>
      </c>
      <c r="J67" s="393">
        <v>20</v>
      </c>
      <c r="K67" s="524">
        <v>20</v>
      </c>
      <c r="L67" s="393">
        <v>20</v>
      </c>
      <c r="M67" s="393">
        <v>20</v>
      </c>
      <c r="N67" s="393">
        <v>20</v>
      </c>
      <c r="O67" s="524" t="s">
        <v>227</v>
      </c>
      <c r="P67" s="393" t="s">
        <v>227</v>
      </c>
      <c r="Q67" s="393">
        <v>12</v>
      </c>
      <c r="R67" s="393">
        <v>12</v>
      </c>
      <c r="S67" s="525">
        <v>21</v>
      </c>
      <c r="T67" s="393">
        <v>21</v>
      </c>
      <c r="U67" s="524">
        <v>9</v>
      </c>
      <c r="V67" s="525">
        <v>27</v>
      </c>
      <c r="W67" s="393">
        <v>26</v>
      </c>
      <c r="X67" s="524">
        <v>18</v>
      </c>
      <c r="Y67" s="525">
        <v>17</v>
      </c>
      <c r="Z67" s="393">
        <v>18</v>
      </c>
      <c r="AA67" s="524">
        <v>3</v>
      </c>
    </row>
    <row r="68" spans="2:27" s="212" customFormat="1" ht="12" customHeight="1" x14ac:dyDescent="0.2">
      <c r="B68" s="6281"/>
      <c r="C68" s="231" t="s">
        <v>287</v>
      </c>
      <c r="D68" s="526">
        <v>26</v>
      </c>
      <c r="E68" s="523">
        <v>26</v>
      </c>
      <c r="F68" s="523">
        <v>25</v>
      </c>
      <c r="G68" s="524">
        <v>26</v>
      </c>
      <c r="H68" s="393">
        <v>25</v>
      </c>
      <c r="I68" s="393">
        <v>4</v>
      </c>
      <c r="J68" s="393">
        <v>20</v>
      </c>
      <c r="K68" s="524">
        <v>18</v>
      </c>
      <c r="L68" s="393">
        <v>17</v>
      </c>
      <c r="M68" s="393">
        <v>14</v>
      </c>
      <c r="N68" s="393">
        <v>14</v>
      </c>
      <c r="O68" s="524">
        <v>2</v>
      </c>
      <c r="P68" s="393">
        <v>25</v>
      </c>
      <c r="Q68" s="393">
        <v>23</v>
      </c>
      <c r="R68" s="393">
        <v>23</v>
      </c>
      <c r="S68" s="525">
        <v>22</v>
      </c>
      <c r="T68" s="393">
        <v>21</v>
      </c>
      <c r="U68" s="524">
        <v>4</v>
      </c>
      <c r="V68" s="525">
        <v>32</v>
      </c>
      <c r="W68" s="393">
        <v>29</v>
      </c>
      <c r="X68" s="524">
        <v>30</v>
      </c>
      <c r="Y68" s="525">
        <v>27</v>
      </c>
      <c r="Z68" s="393">
        <v>26</v>
      </c>
      <c r="AA68" s="524">
        <v>2</v>
      </c>
    </row>
    <row r="69" spans="2:27" s="212" customFormat="1" x14ac:dyDescent="0.2">
      <c r="B69" s="6281"/>
      <c r="C69" s="231" t="s">
        <v>288</v>
      </c>
      <c r="D69" s="526">
        <v>23</v>
      </c>
      <c r="E69" s="523">
        <v>23</v>
      </c>
      <c r="F69" s="523">
        <v>23</v>
      </c>
      <c r="G69" s="524">
        <v>24</v>
      </c>
      <c r="H69" s="393">
        <v>24</v>
      </c>
      <c r="I69" s="393" t="s">
        <v>227</v>
      </c>
      <c r="J69" s="393">
        <v>12</v>
      </c>
      <c r="K69" s="524">
        <v>16</v>
      </c>
      <c r="L69" s="393">
        <v>15</v>
      </c>
      <c r="M69" s="393">
        <v>12</v>
      </c>
      <c r="N69" s="393">
        <v>12</v>
      </c>
      <c r="O69" s="524">
        <v>2</v>
      </c>
      <c r="P69" s="393">
        <v>23</v>
      </c>
      <c r="Q69" s="393">
        <v>17</v>
      </c>
      <c r="R69" s="393">
        <v>16</v>
      </c>
      <c r="S69" s="525">
        <v>17</v>
      </c>
      <c r="T69" s="393">
        <v>18</v>
      </c>
      <c r="U69" s="524">
        <v>3</v>
      </c>
      <c r="V69" s="525">
        <v>21</v>
      </c>
      <c r="W69" s="393">
        <v>22</v>
      </c>
      <c r="X69" s="524">
        <v>23</v>
      </c>
      <c r="Y69" s="525">
        <v>21</v>
      </c>
      <c r="Z69" s="393">
        <v>22</v>
      </c>
      <c r="AA69" s="524">
        <v>1</v>
      </c>
    </row>
    <row r="70" spans="2:27" s="212" customFormat="1" x14ac:dyDescent="0.2">
      <c r="B70" s="6281"/>
      <c r="C70" s="231" t="s">
        <v>289</v>
      </c>
      <c r="D70" s="526">
        <v>26</v>
      </c>
      <c r="E70" s="523">
        <v>30</v>
      </c>
      <c r="F70" s="523">
        <v>23</v>
      </c>
      <c r="G70" s="524">
        <v>18</v>
      </c>
      <c r="H70" s="393">
        <v>7</v>
      </c>
      <c r="I70" s="393">
        <v>2</v>
      </c>
      <c r="J70" s="393">
        <v>27</v>
      </c>
      <c r="K70" s="524">
        <v>25</v>
      </c>
      <c r="L70" s="393">
        <v>28</v>
      </c>
      <c r="M70" s="393">
        <v>27</v>
      </c>
      <c r="N70" s="393">
        <v>24</v>
      </c>
      <c r="O70" s="524">
        <v>18</v>
      </c>
      <c r="P70" s="393">
        <v>29</v>
      </c>
      <c r="Q70" s="393">
        <v>17</v>
      </c>
      <c r="R70" s="393">
        <v>14</v>
      </c>
      <c r="S70" s="525">
        <v>14</v>
      </c>
      <c r="T70" s="393">
        <v>12</v>
      </c>
      <c r="U70" s="524">
        <v>9</v>
      </c>
      <c r="V70" s="525">
        <v>23</v>
      </c>
      <c r="W70" s="393">
        <v>21</v>
      </c>
      <c r="X70" s="524">
        <v>20</v>
      </c>
      <c r="Y70" s="525">
        <v>18</v>
      </c>
      <c r="Z70" s="393">
        <v>18</v>
      </c>
      <c r="AA70" s="524">
        <v>4</v>
      </c>
    </row>
    <row r="71" spans="2:27" s="212" customFormat="1" x14ac:dyDescent="0.2">
      <c r="B71" s="6281"/>
      <c r="C71" s="231" t="s">
        <v>312</v>
      </c>
      <c r="D71" s="526">
        <v>2</v>
      </c>
      <c r="E71" s="523">
        <v>2</v>
      </c>
      <c r="F71" s="523">
        <v>2</v>
      </c>
      <c r="G71" s="524" t="s">
        <v>227</v>
      </c>
      <c r="H71" s="393">
        <v>2</v>
      </c>
      <c r="I71" s="393">
        <v>1</v>
      </c>
      <c r="J71" s="393" t="s">
        <v>227</v>
      </c>
      <c r="K71" s="524">
        <v>6</v>
      </c>
      <c r="L71" s="393">
        <v>5</v>
      </c>
      <c r="M71" s="393">
        <v>1</v>
      </c>
      <c r="N71" s="393">
        <v>8</v>
      </c>
      <c r="O71" s="524">
        <v>3</v>
      </c>
      <c r="P71" s="393">
        <v>2</v>
      </c>
      <c r="Q71" s="393">
        <v>10</v>
      </c>
      <c r="R71" s="393" t="s">
        <v>227</v>
      </c>
      <c r="S71" s="525"/>
      <c r="T71" s="393">
        <v>15</v>
      </c>
      <c r="U71" s="524"/>
      <c r="V71" s="525"/>
      <c r="W71" s="393">
        <v>19</v>
      </c>
      <c r="X71" s="524"/>
      <c r="Y71" s="525"/>
      <c r="Z71" s="393">
        <v>25</v>
      </c>
      <c r="AA71" s="524"/>
    </row>
    <row r="72" spans="2:27" s="212" customFormat="1" x14ac:dyDescent="0.2">
      <c r="B72" s="6281"/>
      <c r="C72" s="230" t="s">
        <v>283</v>
      </c>
      <c r="D72" s="526">
        <v>13</v>
      </c>
      <c r="E72" s="523">
        <v>16</v>
      </c>
      <c r="F72" s="523">
        <v>15</v>
      </c>
      <c r="G72" s="524">
        <v>29</v>
      </c>
      <c r="H72" s="393">
        <v>28</v>
      </c>
      <c r="I72" s="393">
        <v>25</v>
      </c>
      <c r="J72" s="393">
        <v>25</v>
      </c>
      <c r="K72" s="524">
        <v>25</v>
      </c>
      <c r="L72" s="393" t="s">
        <v>227</v>
      </c>
      <c r="M72" s="393">
        <v>30</v>
      </c>
      <c r="N72" s="393">
        <v>30</v>
      </c>
      <c r="O72" s="524">
        <v>31</v>
      </c>
      <c r="P72" s="393">
        <v>35</v>
      </c>
      <c r="Q72" s="393">
        <v>31</v>
      </c>
      <c r="R72" s="393" t="s">
        <v>227</v>
      </c>
      <c r="S72" s="525">
        <v>36</v>
      </c>
      <c r="T72" s="393">
        <v>36</v>
      </c>
      <c r="U72" s="524">
        <v>37</v>
      </c>
      <c r="V72" s="525">
        <v>34</v>
      </c>
      <c r="W72" s="393">
        <v>32</v>
      </c>
      <c r="X72" s="524"/>
      <c r="Y72" s="525">
        <v>40</v>
      </c>
      <c r="Z72" s="393">
        <v>40</v>
      </c>
      <c r="AA72" s="524">
        <v>40</v>
      </c>
    </row>
    <row r="73" spans="2:27" s="212" customFormat="1" x14ac:dyDescent="0.2">
      <c r="B73" s="6281"/>
      <c r="C73" s="230" t="s">
        <v>290</v>
      </c>
      <c r="D73" s="526">
        <v>40</v>
      </c>
      <c r="E73" s="523">
        <v>76</v>
      </c>
      <c r="F73" s="523">
        <v>75</v>
      </c>
      <c r="G73" s="524">
        <v>57</v>
      </c>
      <c r="H73" s="393">
        <v>51</v>
      </c>
      <c r="I73" s="393">
        <v>52</v>
      </c>
      <c r="J73" s="393">
        <v>50</v>
      </c>
      <c r="K73" s="524">
        <v>87</v>
      </c>
      <c r="L73" s="393">
        <v>89</v>
      </c>
      <c r="M73" s="393">
        <v>64</v>
      </c>
      <c r="N73" s="393">
        <v>58</v>
      </c>
      <c r="O73" s="524">
        <v>58</v>
      </c>
      <c r="P73" s="393">
        <v>62</v>
      </c>
      <c r="Q73" s="393">
        <v>111</v>
      </c>
      <c r="R73" s="393">
        <v>120</v>
      </c>
      <c r="S73" s="525">
        <v>106</v>
      </c>
      <c r="T73" s="393">
        <v>114</v>
      </c>
      <c r="U73" s="524">
        <v>108</v>
      </c>
      <c r="V73" s="525">
        <v>99</v>
      </c>
      <c r="W73" s="393">
        <v>154</v>
      </c>
      <c r="X73" s="524">
        <v>152</v>
      </c>
      <c r="Y73" s="525">
        <v>121</v>
      </c>
      <c r="Z73" s="393">
        <v>120</v>
      </c>
      <c r="AA73" s="524">
        <v>111</v>
      </c>
    </row>
    <row r="74" spans="2:27" s="212" customFormat="1" x14ac:dyDescent="0.2">
      <c r="B74" s="6281"/>
      <c r="C74" s="230" t="s">
        <v>243</v>
      </c>
      <c r="D74" s="526">
        <v>19</v>
      </c>
      <c r="E74" s="523">
        <v>22</v>
      </c>
      <c r="F74" s="523">
        <v>25</v>
      </c>
      <c r="G74" s="524">
        <v>21</v>
      </c>
      <c r="H74" s="393">
        <v>24</v>
      </c>
      <c r="I74" s="393">
        <v>12</v>
      </c>
      <c r="J74" s="393">
        <v>4</v>
      </c>
      <c r="K74" s="524">
        <v>29</v>
      </c>
      <c r="L74" s="393">
        <v>23</v>
      </c>
      <c r="M74" s="393">
        <v>16</v>
      </c>
      <c r="N74" s="393">
        <v>24</v>
      </c>
      <c r="O74" s="524">
        <v>20</v>
      </c>
      <c r="P74" s="393">
        <v>10</v>
      </c>
      <c r="Q74" s="393">
        <v>23</v>
      </c>
      <c r="R74" s="393" t="s">
        <v>227</v>
      </c>
      <c r="S74" s="525"/>
      <c r="T74" s="393">
        <v>19</v>
      </c>
      <c r="U74" s="524"/>
      <c r="V74" s="525"/>
      <c r="W74" s="393">
        <v>32</v>
      </c>
      <c r="X74" s="524"/>
      <c r="Y74" s="525"/>
      <c r="Z74" s="393">
        <v>39</v>
      </c>
      <c r="AA74" s="524"/>
    </row>
    <row r="75" spans="2:27" s="212" customFormat="1" x14ac:dyDescent="0.2">
      <c r="B75" s="6281"/>
      <c r="C75" s="230" t="s">
        <v>284</v>
      </c>
      <c r="D75" s="526">
        <v>15</v>
      </c>
      <c r="E75" s="523">
        <v>15</v>
      </c>
      <c r="F75" s="523">
        <v>15</v>
      </c>
      <c r="G75" s="524">
        <v>28</v>
      </c>
      <c r="H75" s="393">
        <v>28</v>
      </c>
      <c r="I75" s="393">
        <v>27</v>
      </c>
      <c r="J75" s="393">
        <v>20</v>
      </c>
      <c r="K75" s="524">
        <v>19</v>
      </c>
      <c r="L75" s="393">
        <v>19</v>
      </c>
      <c r="M75" s="393">
        <v>28</v>
      </c>
      <c r="N75" s="393">
        <v>26</v>
      </c>
      <c r="O75" s="524">
        <v>22</v>
      </c>
      <c r="P75" s="393">
        <v>24</v>
      </c>
      <c r="Q75" s="393">
        <v>20</v>
      </c>
      <c r="R75" s="393">
        <v>15</v>
      </c>
      <c r="S75" s="525">
        <v>25</v>
      </c>
      <c r="T75" s="393">
        <v>25</v>
      </c>
      <c r="U75" s="524">
        <v>19</v>
      </c>
      <c r="V75" s="525">
        <v>20</v>
      </c>
      <c r="W75" s="393">
        <v>20</v>
      </c>
      <c r="X75" s="524">
        <v>23</v>
      </c>
      <c r="Y75" s="525">
        <v>32</v>
      </c>
      <c r="Z75" s="393">
        <v>32</v>
      </c>
      <c r="AA75" s="524">
        <v>30</v>
      </c>
    </row>
    <row r="76" spans="2:27" s="212" customFormat="1" x14ac:dyDescent="0.2">
      <c r="B76" s="6280" t="s">
        <v>11</v>
      </c>
      <c r="C76" s="386" t="s">
        <v>331</v>
      </c>
      <c r="D76" s="532" t="s">
        <v>227</v>
      </c>
      <c r="E76" s="533">
        <v>8</v>
      </c>
      <c r="F76" s="533">
        <v>6</v>
      </c>
      <c r="G76" s="534" t="s">
        <v>227</v>
      </c>
      <c r="H76" s="392">
        <v>10</v>
      </c>
      <c r="I76" s="392">
        <v>10</v>
      </c>
      <c r="J76" s="392" t="s">
        <v>227</v>
      </c>
      <c r="K76" s="534" t="s">
        <v>227</v>
      </c>
      <c r="L76" s="392" t="s">
        <v>227</v>
      </c>
      <c r="M76" s="392" t="s">
        <v>227</v>
      </c>
      <c r="N76" s="392">
        <v>11</v>
      </c>
      <c r="O76" s="534">
        <v>11</v>
      </c>
      <c r="P76" s="392" t="s">
        <v>227</v>
      </c>
      <c r="Q76" s="392">
        <v>8</v>
      </c>
      <c r="R76" s="392">
        <v>8</v>
      </c>
      <c r="S76" s="535"/>
      <c r="T76" s="392">
        <v>12</v>
      </c>
      <c r="U76" s="534">
        <v>12</v>
      </c>
      <c r="V76" s="535"/>
      <c r="W76" s="392">
        <v>8</v>
      </c>
      <c r="X76" s="534">
        <v>7</v>
      </c>
      <c r="Y76" s="535">
        <v>1</v>
      </c>
      <c r="Z76" s="392"/>
      <c r="AA76" s="534"/>
    </row>
    <row r="77" spans="2:27" s="212" customFormat="1" x14ac:dyDescent="0.2">
      <c r="B77" s="6281"/>
      <c r="C77" s="231" t="s">
        <v>346</v>
      </c>
      <c r="D77" s="526"/>
      <c r="E77" s="523"/>
      <c r="F77" s="523"/>
      <c r="G77" s="524"/>
      <c r="H77" s="393"/>
      <c r="I77" s="393"/>
      <c r="J77" s="393"/>
      <c r="K77" s="524"/>
      <c r="L77" s="393"/>
      <c r="M77" s="393"/>
      <c r="N77" s="393"/>
      <c r="O77" s="524"/>
      <c r="P77" s="393"/>
      <c r="Q77" s="393"/>
      <c r="R77" s="393"/>
      <c r="S77" s="525"/>
      <c r="T77" s="393"/>
      <c r="U77" s="524"/>
      <c r="V77" s="525"/>
      <c r="W77" s="393"/>
      <c r="X77" s="524"/>
      <c r="Y77" s="525">
        <v>1</v>
      </c>
      <c r="Z77" s="393">
        <v>6</v>
      </c>
      <c r="AA77" s="524">
        <v>6</v>
      </c>
    </row>
    <row r="78" spans="2:27" s="212" customFormat="1" x14ac:dyDescent="0.2">
      <c r="B78" s="6281"/>
      <c r="C78" s="231" t="s">
        <v>294</v>
      </c>
      <c r="D78" s="526">
        <v>16</v>
      </c>
      <c r="E78" s="523">
        <v>16</v>
      </c>
      <c r="F78" s="523">
        <v>1</v>
      </c>
      <c r="G78" s="524">
        <v>14</v>
      </c>
      <c r="H78" s="393">
        <v>14</v>
      </c>
      <c r="I78" s="393">
        <v>13</v>
      </c>
      <c r="J78" s="393">
        <v>13</v>
      </c>
      <c r="K78" s="524">
        <v>13</v>
      </c>
      <c r="L78" s="393" t="s">
        <v>227</v>
      </c>
      <c r="M78" s="393">
        <v>12</v>
      </c>
      <c r="N78" s="393">
        <v>11</v>
      </c>
      <c r="O78" s="524">
        <v>11</v>
      </c>
      <c r="P78" s="393">
        <v>11</v>
      </c>
      <c r="Q78" s="393">
        <v>11</v>
      </c>
      <c r="R78" s="393">
        <v>1</v>
      </c>
      <c r="S78" s="525">
        <v>15</v>
      </c>
      <c r="T78" s="393">
        <v>15</v>
      </c>
      <c r="U78" s="524">
        <v>14</v>
      </c>
      <c r="V78" s="525">
        <v>15</v>
      </c>
      <c r="W78" s="393">
        <v>17</v>
      </c>
      <c r="X78" s="524">
        <v>3</v>
      </c>
      <c r="Y78" s="525">
        <v>15</v>
      </c>
      <c r="Z78" s="393">
        <v>14</v>
      </c>
      <c r="AA78" s="524">
        <v>14</v>
      </c>
    </row>
    <row r="79" spans="2:27" s="212" customFormat="1" x14ac:dyDescent="0.2">
      <c r="B79" s="6281"/>
      <c r="C79" s="231" t="s">
        <v>295</v>
      </c>
      <c r="D79" s="526">
        <v>14</v>
      </c>
      <c r="E79" s="523">
        <v>18</v>
      </c>
      <c r="F79" s="523">
        <v>7</v>
      </c>
      <c r="G79" s="524">
        <v>7</v>
      </c>
      <c r="H79" s="393">
        <v>19</v>
      </c>
      <c r="I79" s="393">
        <v>13</v>
      </c>
      <c r="J79" s="393">
        <v>13</v>
      </c>
      <c r="K79" s="524">
        <v>13</v>
      </c>
      <c r="L79" s="393">
        <v>12</v>
      </c>
      <c r="M79" s="393">
        <v>25</v>
      </c>
      <c r="N79" s="393">
        <v>24</v>
      </c>
      <c r="O79" s="524">
        <v>12</v>
      </c>
      <c r="P79" s="393">
        <v>22</v>
      </c>
      <c r="Q79" s="393">
        <v>20</v>
      </c>
      <c r="R79" s="393">
        <v>20</v>
      </c>
      <c r="S79" s="525">
        <v>20</v>
      </c>
      <c r="T79" s="393">
        <v>19</v>
      </c>
      <c r="U79" s="524">
        <v>20</v>
      </c>
      <c r="V79" s="525">
        <v>26</v>
      </c>
      <c r="W79" s="393">
        <v>26</v>
      </c>
      <c r="X79" s="524">
        <v>13</v>
      </c>
      <c r="Y79" s="525">
        <v>30</v>
      </c>
      <c r="Z79" s="393">
        <v>30</v>
      </c>
      <c r="AA79" s="524">
        <v>17</v>
      </c>
    </row>
    <row r="80" spans="2:27" s="212" customFormat="1" x14ac:dyDescent="0.2">
      <c r="B80" s="6281"/>
      <c r="C80" s="231" t="s">
        <v>296</v>
      </c>
      <c r="D80" s="526">
        <v>8</v>
      </c>
      <c r="E80" s="523" t="s">
        <v>227</v>
      </c>
      <c r="F80" s="523">
        <v>14</v>
      </c>
      <c r="G80" s="524">
        <v>6</v>
      </c>
      <c r="H80" s="393">
        <v>6</v>
      </c>
      <c r="I80" s="393">
        <v>6</v>
      </c>
      <c r="J80" s="393" t="s">
        <v>227</v>
      </c>
      <c r="K80" s="524">
        <v>10</v>
      </c>
      <c r="L80" s="393">
        <v>10</v>
      </c>
      <c r="M80" s="393">
        <v>10</v>
      </c>
      <c r="N80" s="393">
        <v>10</v>
      </c>
      <c r="O80" s="524">
        <v>4</v>
      </c>
      <c r="P80" s="393">
        <v>15</v>
      </c>
      <c r="Q80" s="393">
        <v>8</v>
      </c>
      <c r="R80" s="393">
        <v>8</v>
      </c>
      <c r="S80" s="525">
        <v>9</v>
      </c>
      <c r="T80" s="393">
        <v>1</v>
      </c>
      <c r="U80" s="524">
        <v>14</v>
      </c>
      <c r="V80" s="525">
        <v>9</v>
      </c>
      <c r="W80" s="393">
        <v>9</v>
      </c>
      <c r="X80" s="524">
        <v>9</v>
      </c>
      <c r="Y80" s="525">
        <v>1</v>
      </c>
      <c r="Z80" s="393">
        <v>16</v>
      </c>
      <c r="AA80" s="524">
        <v>11</v>
      </c>
    </row>
    <row r="81" spans="1:27" s="212" customFormat="1" ht="24" x14ac:dyDescent="0.2">
      <c r="B81" s="6281"/>
      <c r="C81" s="230" t="s">
        <v>297</v>
      </c>
      <c r="D81" s="526">
        <v>7</v>
      </c>
      <c r="E81" s="523">
        <v>7</v>
      </c>
      <c r="F81" s="523">
        <v>1</v>
      </c>
      <c r="G81" s="524">
        <v>10</v>
      </c>
      <c r="H81" s="393">
        <v>10</v>
      </c>
      <c r="I81" s="393">
        <v>10</v>
      </c>
      <c r="J81" s="393">
        <v>9</v>
      </c>
      <c r="K81" s="524">
        <v>9</v>
      </c>
      <c r="L81" s="393" t="s">
        <v>227</v>
      </c>
      <c r="M81" s="393">
        <v>5</v>
      </c>
      <c r="N81" s="393">
        <v>4</v>
      </c>
      <c r="O81" s="524">
        <v>4</v>
      </c>
      <c r="P81" s="393">
        <v>5</v>
      </c>
      <c r="Q81" s="393">
        <v>4</v>
      </c>
      <c r="R81" s="393">
        <v>5</v>
      </c>
      <c r="S81" s="525">
        <v>9</v>
      </c>
      <c r="T81" s="393">
        <v>9</v>
      </c>
      <c r="U81" s="524">
        <v>8</v>
      </c>
      <c r="V81" s="525">
        <v>7</v>
      </c>
      <c r="W81" s="393">
        <v>8</v>
      </c>
      <c r="X81" s="524">
        <v>6</v>
      </c>
      <c r="Y81" s="525">
        <v>1</v>
      </c>
      <c r="Z81" s="393"/>
      <c r="AA81" s="524"/>
    </row>
    <row r="82" spans="1:27" s="212" customFormat="1" x14ac:dyDescent="0.2">
      <c r="B82" s="6281"/>
      <c r="C82" s="230" t="s">
        <v>298</v>
      </c>
      <c r="D82" s="526">
        <v>14</v>
      </c>
      <c r="E82" s="523">
        <v>16</v>
      </c>
      <c r="F82" s="523">
        <v>17</v>
      </c>
      <c r="G82" s="524">
        <v>13</v>
      </c>
      <c r="H82" s="393">
        <v>15</v>
      </c>
      <c r="I82" s="393">
        <v>13</v>
      </c>
      <c r="J82" s="393">
        <v>17</v>
      </c>
      <c r="K82" s="524">
        <v>16</v>
      </c>
      <c r="L82" s="393">
        <v>21</v>
      </c>
      <c r="M82" s="393">
        <v>20</v>
      </c>
      <c r="N82" s="393">
        <v>23</v>
      </c>
      <c r="O82" s="524">
        <v>22</v>
      </c>
      <c r="P82" s="393">
        <v>17</v>
      </c>
      <c r="Q82" s="393">
        <v>19</v>
      </c>
      <c r="R82" s="393">
        <v>21</v>
      </c>
      <c r="S82" s="525">
        <v>20</v>
      </c>
      <c r="T82" s="393">
        <v>21</v>
      </c>
      <c r="U82" s="524">
        <v>23</v>
      </c>
      <c r="V82" s="525">
        <v>34</v>
      </c>
      <c r="W82" s="393">
        <v>38</v>
      </c>
      <c r="X82" s="524">
        <v>39</v>
      </c>
      <c r="Y82" s="525">
        <v>40</v>
      </c>
      <c r="Z82" s="393">
        <v>41</v>
      </c>
      <c r="AA82" s="524">
        <v>37</v>
      </c>
    </row>
    <row r="83" spans="1:27" s="212" customFormat="1" ht="18" customHeight="1" x14ac:dyDescent="0.2">
      <c r="B83" s="6281"/>
      <c r="C83" s="230" t="s">
        <v>299</v>
      </c>
      <c r="D83" s="526">
        <v>14</v>
      </c>
      <c r="E83" s="523">
        <v>12</v>
      </c>
      <c r="F83" s="523">
        <v>12</v>
      </c>
      <c r="G83" s="524">
        <v>16</v>
      </c>
      <c r="H83" s="393">
        <v>15</v>
      </c>
      <c r="I83" s="393">
        <v>11</v>
      </c>
      <c r="J83" s="393">
        <v>16</v>
      </c>
      <c r="K83" s="524">
        <v>16</v>
      </c>
      <c r="L83" s="393">
        <v>8</v>
      </c>
      <c r="M83" s="393">
        <v>30</v>
      </c>
      <c r="N83" s="393">
        <v>29</v>
      </c>
      <c r="O83" s="524">
        <v>22</v>
      </c>
      <c r="P83" s="393">
        <v>42</v>
      </c>
      <c r="Q83" s="393">
        <v>40</v>
      </c>
      <c r="R83" s="393">
        <v>21</v>
      </c>
      <c r="S83" s="525">
        <v>30</v>
      </c>
      <c r="T83" s="393">
        <v>31</v>
      </c>
      <c r="U83" s="524">
        <v>15</v>
      </c>
      <c r="V83" s="525">
        <v>32</v>
      </c>
      <c r="W83" s="393">
        <v>32</v>
      </c>
      <c r="X83" s="524">
        <v>24</v>
      </c>
      <c r="Y83" s="525">
        <v>39</v>
      </c>
      <c r="Z83" s="393">
        <v>36</v>
      </c>
      <c r="AA83" s="524">
        <v>21</v>
      </c>
    </row>
    <row r="84" spans="1:27" s="222" customFormat="1" x14ac:dyDescent="0.2">
      <c r="A84" s="212"/>
      <c r="B84" s="6281"/>
      <c r="C84" s="230" t="s">
        <v>279</v>
      </c>
      <c r="D84" s="526">
        <v>55</v>
      </c>
      <c r="E84" s="523">
        <v>56</v>
      </c>
      <c r="F84" s="523">
        <v>48</v>
      </c>
      <c r="G84" s="524">
        <v>45</v>
      </c>
      <c r="H84" s="393">
        <v>46</v>
      </c>
      <c r="I84" s="393">
        <v>43</v>
      </c>
      <c r="J84" s="393">
        <v>39</v>
      </c>
      <c r="K84" s="524">
        <v>41</v>
      </c>
      <c r="L84" s="393">
        <v>36</v>
      </c>
      <c r="M84" s="393">
        <v>32</v>
      </c>
      <c r="N84" s="393">
        <v>28</v>
      </c>
      <c r="O84" s="524">
        <v>29</v>
      </c>
      <c r="P84" s="393">
        <v>42</v>
      </c>
      <c r="Q84" s="393">
        <v>41</v>
      </c>
      <c r="R84" s="393">
        <v>34</v>
      </c>
      <c r="S84" s="525">
        <v>38</v>
      </c>
      <c r="T84" s="393">
        <v>35</v>
      </c>
      <c r="U84" s="524">
        <v>33</v>
      </c>
      <c r="V84" s="525">
        <v>36</v>
      </c>
      <c r="W84" s="393">
        <v>43</v>
      </c>
      <c r="X84" s="524">
        <v>41</v>
      </c>
      <c r="Y84" s="525">
        <v>55</v>
      </c>
      <c r="Z84" s="393">
        <v>54</v>
      </c>
      <c r="AA84" s="524">
        <v>51</v>
      </c>
    </row>
    <row r="85" spans="1:27" x14ac:dyDescent="0.2">
      <c r="A85" s="212"/>
      <c r="B85" s="6282"/>
      <c r="C85" s="387" t="s">
        <v>300</v>
      </c>
      <c r="D85" s="527" t="s">
        <v>227</v>
      </c>
      <c r="E85" s="528" t="s">
        <v>227</v>
      </c>
      <c r="F85" s="528" t="s">
        <v>227</v>
      </c>
      <c r="G85" s="529">
        <v>10</v>
      </c>
      <c r="H85" s="394">
        <v>10</v>
      </c>
      <c r="I85" s="394">
        <v>10</v>
      </c>
      <c r="J85" s="394">
        <v>14</v>
      </c>
      <c r="K85" s="529">
        <v>14</v>
      </c>
      <c r="L85" s="394">
        <v>14</v>
      </c>
      <c r="M85" s="394">
        <v>18</v>
      </c>
      <c r="N85" s="394">
        <v>20</v>
      </c>
      <c r="O85" s="529">
        <v>22</v>
      </c>
      <c r="P85" s="394">
        <v>30</v>
      </c>
      <c r="Q85" s="394">
        <v>23</v>
      </c>
      <c r="R85" s="394">
        <v>24</v>
      </c>
      <c r="S85" s="530">
        <v>32</v>
      </c>
      <c r="T85" s="394">
        <v>31</v>
      </c>
      <c r="U85" s="529">
        <v>32</v>
      </c>
      <c r="V85" s="530">
        <v>29</v>
      </c>
      <c r="W85" s="394">
        <v>35</v>
      </c>
      <c r="X85" s="529">
        <v>31</v>
      </c>
      <c r="Y85" s="530">
        <v>26</v>
      </c>
      <c r="Z85" s="394">
        <v>19</v>
      </c>
      <c r="AA85" s="529">
        <v>16</v>
      </c>
    </row>
    <row r="86" spans="1:27" x14ac:dyDescent="0.2">
      <c r="A86" s="222"/>
      <c r="B86" s="6281" t="s">
        <v>7</v>
      </c>
      <c r="C86" s="230" t="s">
        <v>301</v>
      </c>
      <c r="D86" s="526">
        <v>20</v>
      </c>
      <c r="E86" s="523">
        <v>19</v>
      </c>
      <c r="F86" s="523">
        <v>19</v>
      </c>
      <c r="G86" s="524">
        <v>37</v>
      </c>
      <c r="H86" s="393">
        <v>37</v>
      </c>
      <c r="I86" s="393">
        <v>23</v>
      </c>
      <c r="J86" s="393">
        <v>47</v>
      </c>
      <c r="K86" s="524">
        <v>44</v>
      </c>
      <c r="L86" s="393">
        <v>27</v>
      </c>
      <c r="M86" s="393">
        <v>47</v>
      </c>
      <c r="N86" s="393">
        <v>44</v>
      </c>
      <c r="O86" s="524">
        <v>20</v>
      </c>
      <c r="P86" s="393">
        <v>44</v>
      </c>
      <c r="Q86" s="393">
        <v>42</v>
      </c>
      <c r="R86" s="393">
        <v>21</v>
      </c>
      <c r="S86" s="525">
        <v>42</v>
      </c>
      <c r="T86" s="393">
        <v>42</v>
      </c>
      <c r="U86" s="524">
        <v>21</v>
      </c>
      <c r="V86" s="525">
        <v>39</v>
      </c>
      <c r="W86" s="393">
        <v>36</v>
      </c>
      <c r="X86" s="524">
        <v>24</v>
      </c>
      <c r="Y86" s="525">
        <v>41</v>
      </c>
      <c r="Z86" s="393">
        <v>44</v>
      </c>
      <c r="AA86" s="524">
        <v>21</v>
      </c>
    </row>
    <row r="87" spans="1:27" x14ac:dyDescent="0.2">
      <c r="A87" s="222"/>
      <c r="B87" s="6281"/>
      <c r="C87" s="230" t="s">
        <v>327</v>
      </c>
      <c r="D87" s="526"/>
      <c r="E87" s="523"/>
      <c r="F87" s="523"/>
      <c r="G87" s="524"/>
      <c r="H87" s="393"/>
      <c r="I87" s="393"/>
      <c r="J87" s="393"/>
      <c r="K87" s="524"/>
      <c r="L87" s="393"/>
      <c r="M87" s="393"/>
      <c r="N87" s="393"/>
      <c r="O87" s="524"/>
      <c r="P87" s="393"/>
      <c r="Q87" s="393"/>
      <c r="R87" s="393"/>
      <c r="S87" s="525"/>
      <c r="T87" s="393"/>
      <c r="U87" s="524"/>
      <c r="V87" s="525"/>
      <c r="W87" s="393"/>
      <c r="X87" s="524">
        <v>17</v>
      </c>
      <c r="Y87" s="525">
        <v>17</v>
      </c>
      <c r="Z87" s="393">
        <v>17</v>
      </c>
      <c r="AA87" s="524">
        <v>17</v>
      </c>
    </row>
    <row r="88" spans="1:27" x14ac:dyDescent="0.2">
      <c r="A88" s="222"/>
      <c r="B88" s="6281"/>
      <c r="C88" s="230" t="s">
        <v>328</v>
      </c>
      <c r="D88" s="526"/>
      <c r="E88" s="523"/>
      <c r="F88" s="523"/>
      <c r="G88" s="524"/>
      <c r="H88" s="393"/>
      <c r="I88" s="393"/>
      <c r="J88" s="393"/>
      <c r="K88" s="524"/>
      <c r="L88" s="393"/>
      <c r="M88" s="393"/>
      <c r="N88" s="393"/>
      <c r="O88" s="524"/>
      <c r="P88" s="393"/>
      <c r="Q88" s="393"/>
      <c r="R88" s="393"/>
      <c r="S88" s="525"/>
      <c r="T88" s="393"/>
      <c r="U88" s="524"/>
      <c r="V88" s="525"/>
      <c r="W88" s="393"/>
      <c r="X88" s="524"/>
      <c r="Y88" s="525">
        <v>33</v>
      </c>
      <c r="Z88" s="393">
        <v>33</v>
      </c>
      <c r="AA88" s="524">
        <v>33</v>
      </c>
    </row>
    <row r="89" spans="1:27" x14ac:dyDescent="0.2">
      <c r="B89" s="6282"/>
      <c r="C89" s="230" t="s">
        <v>302</v>
      </c>
      <c r="D89" s="526">
        <v>11</v>
      </c>
      <c r="E89" s="523">
        <v>11</v>
      </c>
      <c r="F89" s="523">
        <v>10</v>
      </c>
      <c r="G89" s="524">
        <v>10</v>
      </c>
      <c r="H89" s="393">
        <v>10</v>
      </c>
      <c r="I89" s="393">
        <v>9</v>
      </c>
      <c r="J89" s="393">
        <v>19</v>
      </c>
      <c r="K89" s="524">
        <v>19</v>
      </c>
      <c r="L89" s="393">
        <v>15</v>
      </c>
      <c r="M89" s="393">
        <v>12</v>
      </c>
      <c r="N89" s="393">
        <v>26</v>
      </c>
      <c r="O89" s="524">
        <v>27</v>
      </c>
      <c r="P89" s="393">
        <v>27</v>
      </c>
      <c r="Q89" s="393">
        <v>31</v>
      </c>
      <c r="R89" s="393">
        <v>29</v>
      </c>
      <c r="S89" s="525">
        <v>26</v>
      </c>
      <c r="T89" s="393">
        <v>34</v>
      </c>
      <c r="U89" s="524">
        <v>32</v>
      </c>
      <c r="V89" s="525">
        <v>32</v>
      </c>
      <c r="W89" s="393">
        <v>39</v>
      </c>
      <c r="X89" s="524">
        <v>38</v>
      </c>
      <c r="Y89" s="525">
        <v>28</v>
      </c>
      <c r="Z89" s="393">
        <v>35</v>
      </c>
      <c r="AA89" s="524">
        <v>33</v>
      </c>
    </row>
    <row r="90" spans="1:27" x14ac:dyDescent="0.2">
      <c r="B90" s="6289" t="s">
        <v>67</v>
      </c>
      <c r="C90" s="6290"/>
      <c r="D90" s="649">
        <f>SUM(D63:D89)</f>
        <v>388</v>
      </c>
      <c r="E90" s="650">
        <f t="shared" ref="E90:AA90" si="2">SUM(E63:E89)</f>
        <v>429</v>
      </c>
      <c r="F90" s="650">
        <f t="shared" si="2"/>
        <v>400</v>
      </c>
      <c r="G90" s="650">
        <f t="shared" si="2"/>
        <v>420</v>
      </c>
      <c r="H90" s="649">
        <f t="shared" si="2"/>
        <v>429</v>
      </c>
      <c r="I90" s="650">
        <f t="shared" si="2"/>
        <v>297</v>
      </c>
      <c r="J90" s="650">
        <f t="shared" si="2"/>
        <v>413</v>
      </c>
      <c r="K90" s="651">
        <f t="shared" si="2"/>
        <v>475</v>
      </c>
      <c r="L90" s="650">
        <f t="shared" si="2"/>
        <v>394</v>
      </c>
      <c r="M90" s="650">
        <f t="shared" si="2"/>
        <v>455</v>
      </c>
      <c r="N90" s="650">
        <f t="shared" si="2"/>
        <v>478</v>
      </c>
      <c r="O90" s="650">
        <f t="shared" si="2"/>
        <v>342</v>
      </c>
      <c r="P90" s="649">
        <f t="shared" si="2"/>
        <v>517</v>
      </c>
      <c r="Q90" s="650">
        <f t="shared" si="2"/>
        <v>546</v>
      </c>
      <c r="R90" s="651">
        <f t="shared" si="2"/>
        <v>425</v>
      </c>
      <c r="S90" s="650">
        <f t="shared" si="2"/>
        <v>518</v>
      </c>
      <c r="T90" s="650">
        <f t="shared" si="2"/>
        <v>569</v>
      </c>
      <c r="U90" s="650">
        <f t="shared" si="2"/>
        <v>426</v>
      </c>
      <c r="V90" s="649">
        <f t="shared" si="2"/>
        <v>571</v>
      </c>
      <c r="W90" s="650">
        <f t="shared" si="2"/>
        <v>704</v>
      </c>
      <c r="X90" s="651">
        <f t="shared" si="2"/>
        <v>577</v>
      </c>
      <c r="Y90" s="650">
        <f t="shared" si="2"/>
        <v>657</v>
      </c>
      <c r="Z90" s="650">
        <f t="shared" si="2"/>
        <v>744</v>
      </c>
      <c r="AA90" s="651">
        <f t="shared" si="2"/>
        <v>484</v>
      </c>
    </row>
    <row r="91" spans="1:27" x14ac:dyDescent="0.2">
      <c r="C91" s="209"/>
      <c r="D91" s="209"/>
      <c r="E91" s="209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</row>
    <row r="92" spans="1:27" ht="15" x14ac:dyDescent="0.2">
      <c r="B92" s="6283" t="s">
        <v>76</v>
      </c>
      <c r="C92" s="6284"/>
      <c r="D92" s="633">
        <f>SUM(D90,D62,D27)</f>
        <v>1505</v>
      </c>
      <c r="E92" s="634">
        <f t="shared" ref="E92:AA92" si="3">SUM(E90,E62,E27)</f>
        <v>1509</v>
      </c>
      <c r="F92" s="634">
        <f t="shared" si="3"/>
        <v>1302</v>
      </c>
      <c r="G92" s="634">
        <f t="shared" si="3"/>
        <v>1483</v>
      </c>
      <c r="H92" s="633">
        <f t="shared" si="3"/>
        <v>1451</v>
      </c>
      <c r="I92" s="634">
        <f t="shared" si="3"/>
        <v>1170</v>
      </c>
      <c r="J92" s="634">
        <f t="shared" si="3"/>
        <v>1487</v>
      </c>
      <c r="K92" s="635">
        <f t="shared" si="3"/>
        <v>1615</v>
      </c>
      <c r="L92" s="634">
        <f t="shared" si="3"/>
        <v>1315</v>
      </c>
      <c r="M92" s="634">
        <f t="shared" si="3"/>
        <v>1560</v>
      </c>
      <c r="N92" s="634">
        <f t="shared" si="3"/>
        <v>1673</v>
      </c>
      <c r="O92" s="634">
        <f t="shared" si="3"/>
        <v>1396</v>
      </c>
      <c r="P92" s="633">
        <f t="shared" si="3"/>
        <v>1683</v>
      </c>
      <c r="Q92" s="634">
        <f t="shared" si="3"/>
        <v>1817</v>
      </c>
      <c r="R92" s="635">
        <f t="shared" si="3"/>
        <v>1539</v>
      </c>
      <c r="S92" s="634">
        <f t="shared" si="3"/>
        <v>1740</v>
      </c>
      <c r="T92" s="634">
        <f t="shared" si="3"/>
        <v>1804</v>
      </c>
      <c r="U92" s="634">
        <f t="shared" si="3"/>
        <v>1562</v>
      </c>
      <c r="V92" s="633">
        <f t="shared" si="3"/>
        <v>1976</v>
      </c>
      <c r="W92" s="634">
        <f t="shared" si="3"/>
        <v>2072</v>
      </c>
      <c r="X92" s="635">
        <f t="shared" si="3"/>
        <v>1924</v>
      </c>
      <c r="Y92" s="634">
        <f t="shared" si="3"/>
        <v>2250</v>
      </c>
      <c r="Z92" s="634">
        <f t="shared" si="3"/>
        <v>2201</v>
      </c>
      <c r="AA92" s="635">
        <f t="shared" si="3"/>
        <v>1842</v>
      </c>
    </row>
    <row r="93" spans="1:27" x14ac:dyDescent="0.2">
      <c r="C93" s="240"/>
      <c r="G93" s="236"/>
      <c r="K93" s="236"/>
      <c r="O93" s="236"/>
    </row>
    <row r="94" spans="1:27" x14ac:dyDescent="0.2">
      <c r="B94" s="240" t="s">
        <v>0</v>
      </c>
    </row>
    <row r="97" spans="2:3" x14ac:dyDescent="0.2">
      <c r="B97" s="212"/>
      <c r="C97" s="213"/>
    </row>
    <row r="98" spans="2:3" x14ac:dyDescent="0.2">
      <c r="B98" s="212"/>
      <c r="C98" s="213"/>
    </row>
    <row r="99" spans="2:3" x14ac:dyDescent="0.2">
      <c r="B99" s="212"/>
      <c r="C99" s="213"/>
    </row>
    <row r="100" spans="2:3" x14ac:dyDescent="0.2">
      <c r="B100" s="212"/>
      <c r="C100" s="213"/>
    </row>
  </sheetData>
  <mergeCells count="39">
    <mergeCell ref="B76:B85"/>
    <mergeCell ref="B86:B89"/>
    <mergeCell ref="I5:I6"/>
    <mergeCell ref="H5:H6"/>
    <mergeCell ref="B92:C92"/>
    <mergeCell ref="B27:C27"/>
    <mergeCell ref="B62:C62"/>
    <mergeCell ref="B90:C90"/>
    <mergeCell ref="B28:B39"/>
    <mergeCell ref="B40:B52"/>
    <mergeCell ref="B53:B61"/>
    <mergeCell ref="B63:B75"/>
    <mergeCell ref="AA5:AA6"/>
    <mergeCell ref="B7:B11"/>
    <mergeCell ref="B12:B23"/>
    <mergeCell ref="B24:B26"/>
    <mergeCell ref="S5:S6"/>
    <mergeCell ref="T5:T6"/>
    <mergeCell ref="U5:U6"/>
    <mergeCell ref="V5:V6"/>
    <mergeCell ref="W5:W6"/>
    <mergeCell ref="X5:X6"/>
    <mergeCell ref="M5:M6"/>
    <mergeCell ref="N5:N6"/>
    <mergeCell ref="O5:O6"/>
    <mergeCell ref="J5:J6"/>
    <mergeCell ref="Y5:Y6"/>
    <mergeCell ref="K5:K6"/>
    <mergeCell ref="Z5:Z6"/>
    <mergeCell ref="B5:B6"/>
    <mergeCell ref="C5:C6"/>
    <mergeCell ref="D5:D6"/>
    <mergeCell ref="E5:E6"/>
    <mergeCell ref="F5:F6"/>
    <mergeCell ref="P5:P6"/>
    <mergeCell ref="Q5:Q6"/>
    <mergeCell ref="R5:R6"/>
    <mergeCell ref="G5:G6"/>
    <mergeCell ref="L5:L6"/>
  </mergeCells>
  <printOptions horizontalCentered="1" verticalCentered="1"/>
  <pageMargins left="0.31496062992125984" right="0.27559055118110237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2008&amp;CCOBERTURA EDUCATIVA&amp;R&amp;G</oddHeader>
    <oddFooter>&amp;R31</oddFooter>
  </headerFooter>
  <ignoredErrors>
    <ignoredError sqref="D27 E27:AA27 D90:AA90 D62:AA62" unlockedFormula="1"/>
  </ignoredError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A123"/>
  <sheetViews>
    <sheetView showGridLines="0" zoomScale="90" zoomScaleNormal="90" zoomScaleSheetLayoutView="70" workbookViewId="0">
      <selection activeCell="H23" sqref="H23"/>
    </sheetView>
  </sheetViews>
  <sheetFormatPr baseColWidth="10" defaultRowHeight="12.75" x14ac:dyDescent="0.2"/>
  <cols>
    <col min="1" max="1" width="1.7109375" style="209" customWidth="1"/>
    <col min="2" max="2" width="15.7109375" style="209" customWidth="1"/>
    <col min="3" max="3" width="24.85546875" style="210" customWidth="1"/>
    <col min="4" max="6" width="9.7109375" style="210" customWidth="1"/>
    <col min="7" max="27" width="9.7109375" style="209" customWidth="1"/>
    <col min="28" max="256" width="11.42578125" style="209"/>
    <col min="257" max="257" width="20.5703125" style="209" customWidth="1"/>
    <col min="258" max="258" width="11.28515625" style="209" bestFit="1" customWidth="1"/>
    <col min="259" max="259" width="24.85546875" style="209" customWidth="1"/>
    <col min="260" max="283" width="9.7109375" style="209" customWidth="1"/>
    <col min="284" max="512" width="11.42578125" style="209"/>
    <col min="513" max="513" width="20.5703125" style="209" customWidth="1"/>
    <col min="514" max="514" width="11.28515625" style="209" bestFit="1" customWidth="1"/>
    <col min="515" max="515" width="24.85546875" style="209" customWidth="1"/>
    <col min="516" max="539" width="9.7109375" style="209" customWidth="1"/>
    <col min="540" max="768" width="11.42578125" style="209"/>
    <col min="769" max="769" width="20.5703125" style="209" customWidth="1"/>
    <col min="770" max="770" width="11.28515625" style="209" bestFit="1" customWidth="1"/>
    <col min="771" max="771" width="24.85546875" style="209" customWidth="1"/>
    <col min="772" max="795" width="9.7109375" style="209" customWidth="1"/>
    <col min="796" max="1024" width="11.42578125" style="209"/>
    <col min="1025" max="1025" width="20.5703125" style="209" customWidth="1"/>
    <col min="1026" max="1026" width="11.28515625" style="209" bestFit="1" customWidth="1"/>
    <col min="1027" max="1027" width="24.85546875" style="209" customWidth="1"/>
    <col min="1028" max="1051" width="9.7109375" style="209" customWidth="1"/>
    <col min="1052" max="1280" width="11.42578125" style="209"/>
    <col min="1281" max="1281" width="20.5703125" style="209" customWidth="1"/>
    <col min="1282" max="1282" width="11.28515625" style="209" bestFit="1" customWidth="1"/>
    <col min="1283" max="1283" width="24.85546875" style="209" customWidth="1"/>
    <col min="1284" max="1307" width="9.7109375" style="209" customWidth="1"/>
    <col min="1308" max="1536" width="11.42578125" style="209"/>
    <col min="1537" max="1537" width="20.5703125" style="209" customWidth="1"/>
    <col min="1538" max="1538" width="11.28515625" style="209" bestFit="1" customWidth="1"/>
    <col min="1539" max="1539" width="24.85546875" style="209" customWidth="1"/>
    <col min="1540" max="1563" width="9.7109375" style="209" customWidth="1"/>
    <col min="1564" max="1792" width="11.42578125" style="209"/>
    <col min="1793" max="1793" width="20.5703125" style="209" customWidth="1"/>
    <col min="1794" max="1794" width="11.28515625" style="209" bestFit="1" customWidth="1"/>
    <col min="1795" max="1795" width="24.85546875" style="209" customWidth="1"/>
    <col min="1796" max="1819" width="9.7109375" style="209" customWidth="1"/>
    <col min="1820" max="2048" width="11.42578125" style="209"/>
    <col min="2049" max="2049" width="20.5703125" style="209" customWidth="1"/>
    <col min="2050" max="2050" width="11.28515625" style="209" bestFit="1" customWidth="1"/>
    <col min="2051" max="2051" width="24.85546875" style="209" customWidth="1"/>
    <col min="2052" max="2075" width="9.7109375" style="209" customWidth="1"/>
    <col min="2076" max="2304" width="11.42578125" style="209"/>
    <col min="2305" max="2305" width="20.5703125" style="209" customWidth="1"/>
    <col min="2306" max="2306" width="11.28515625" style="209" bestFit="1" customWidth="1"/>
    <col min="2307" max="2307" width="24.85546875" style="209" customWidth="1"/>
    <col min="2308" max="2331" width="9.7109375" style="209" customWidth="1"/>
    <col min="2332" max="2560" width="11.42578125" style="209"/>
    <col min="2561" max="2561" width="20.5703125" style="209" customWidth="1"/>
    <col min="2562" max="2562" width="11.28515625" style="209" bestFit="1" customWidth="1"/>
    <col min="2563" max="2563" width="24.85546875" style="209" customWidth="1"/>
    <col min="2564" max="2587" width="9.7109375" style="209" customWidth="1"/>
    <col min="2588" max="2816" width="11.42578125" style="209"/>
    <col min="2817" max="2817" width="20.5703125" style="209" customWidth="1"/>
    <col min="2818" max="2818" width="11.28515625" style="209" bestFit="1" customWidth="1"/>
    <col min="2819" max="2819" width="24.85546875" style="209" customWidth="1"/>
    <col min="2820" max="2843" width="9.7109375" style="209" customWidth="1"/>
    <col min="2844" max="3072" width="11.42578125" style="209"/>
    <col min="3073" max="3073" width="20.5703125" style="209" customWidth="1"/>
    <col min="3074" max="3074" width="11.28515625" style="209" bestFit="1" customWidth="1"/>
    <col min="3075" max="3075" width="24.85546875" style="209" customWidth="1"/>
    <col min="3076" max="3099" width="9.7109375" style="209" customWidth="1"/>
    <col min="3100" max="3328" width="11.42578125" style="209"/>
    <col min="3329" max="3329" width="20.5703125" style="209" customWidth="1"/>
    <col min="3330" max="3330" width="11.28515625" style="209" bestFit="1" customWidth="1"/>
    <col min="3331" max="3331" width="24.85546875" style="209" customWidth="1"/>
    <col min="3332" max="3355" width="9.7109375" style="209" customWidth="1"/>
    <col min="3356" max="3584" width="11.42578125" style="209"/>
    <col min="3585" max="3585" width="20.5703125" style="209" customWidth="1"/>
    <col min="3586" max="3586" width="11.28515625" style="209" bestFit="1" customWidth="1"/>
    <col min="3587" max="3587" width="24.85546875" style="209" customWidth="1"/>
    <col min="3588" max="3611" width="9.7109375" style="209" customWidth="1"/>
    <col min="3612" max="3840" width="11.42578125" style="209"/>
    <col min="3841" max="3841" width="20.5703125" style="209" customWidth="1"/>
    <col min="3842" max="3842" width="11.28515625" style="209" bestFit="1" customWidth="1"/>
    <col min="3843" max="3843" width="24.85546875" style="209" customWidth="1"/>
    <col min="3844" max="3867" width="9.7109375" style="209" customWidth="1"/>
    <col min="3868" max="4096" width="11.42578125" style="209"/>
    <col min="4097" max="4097" width="20.5703125" style="209" customWidth="1"/>
    <col min="4098" max="4098" width="11.28515625" style="209" bestFit="1" customWidth="1"/>
    <col min="4099" max="4099" width="24.85546875" style="209" customWidth="1"/>
    <col min="4100" max="4123" width="9.7109375" style="209" customWidth="1"/>
    <col min="4124" max="4352" width="11.42578125" style="209"/>
    <col min="4353" max="4353" width="20.5703125" style="209" customWidth="1"/>
    <col min="4354" max="4354" width="11.28515625" style="209" bestFit="1" customWidth="1"/>
    <col min="4355" max="4355" width="24.85546875" style="209" customWidth="1"/>
    <col min="4356" max="4379" width="9.7109375" style="209" customWidth="1"/>
    <col min="4380" max="4608" width="11.42578125" style="209"/>
    <col min="4609" max="4609" width="20.5703125" style="209" customWidth="1"/>
    <col min="4610" max="4610" width="11.28515625" style="209" bestFit="1" customWidth="1"/>
    <col min="4611" max="4611" width="24.85546875" style="209" customWidth="1"/>
    <col min="4612" max="4635" width="9.7109375" style="209" customWidth="1"/>
    <col min="4636" max="4864" width="11.42578125" style="209"/>
    <col min="4865" max="4865" width="20.5703125" style="209" customWidth="1"/>
    <col min="4866" max="4866" width="11.28515625" style="209" bestFit="1" customWidth="1"/>
    <col min="4867" max="4867" width="24.85546875" style="209" customWidth="1"/>
    <col min="4868" max="4891" width="9.7109375" style="209" customWidth="1"/>
    <col min="4892" max="5120" width="11.42578125" style="209"/>
    <col min="5121" max="5121" width="20.5703125" style="209" customWidth="1"/>
    <col min="5122" max="5122" width="11.28515625" style="209" bestFit="1" customWidth="1"/>
    <col min="5123" max="5123" width="24.85546875" style="209" customWidth="1"/>
    <col min="5124" max="5147" width="9.7109375" style="209" customWidth="1"/>
    <col min="5148" max="5376" width="11.42578125" style="209"/>
    <col min="5377" max="5377" width="20.5703125" style="209" customWidth="1"/>
    <col min="5378" max="5378" width="11.28515625" style="209" bestFit="1" customWidth="1"/>
    <col min="5379" max="5379" width="24.85546875" style="209" customWidth="1"/>
    <col min="5380" max="5403" width="9.7109375" style="209" customWidth="1"/>
    <col min="5404" max="5632" width="11.42578125" style="209"/>
    <col min="5633" max="5633" width="20.5703125" style="209" customWidth="1"/>
    <col min="5634" max="5634" width="11.28515625" style="209" bestFit="1" customWidth="1"/>
    <col min="5635" max="5635" width="24.85546875" style="209" customWidth="1"/>
    <col min="5636" max="5659" width="9.7109375" style="209" customWidth="1"/>
    <col min="5660" max="5888" width="11.42578125" style="209"/>
    <col min="5889" max="5889" width="20.5703125" style="209" customWidth="1"/>
    <col min="5890" max="5890" width="11.28515625" style="209" bestFit="1" customWidth="1"/>
    <col min="5891" max="5891" width="24.85546875" style="209" customWidth="1"/>
    <col min="5892" max="5915" width="9.7109375" style="209" customWidth="1"/>
    <col min="5916" max="6144" width="11.42578125" style="209"/>
    <col min="6145" max="6145" width="20.5703125" style="209" customWidth="1"/>
    <col min="6146" max="6146" width="11.28515625" style="209" bestFit="1" customWidth="1"/>
    <col min="6147" max="6147" width="24.85546875" style="209" customWidth="1"/>
    <col min="6148" max="6171" width="9.7109375" style="209" customWidth="1"/>
    <col min="6172" max="6400" width="11.42578125" style="209"/>
    <col min="6401" max="6401" width="20.5703125" style="209" customWidth="1"/>
    <col min="6402" max="6402" width="11.28515625" style="209" bestFit="1" customWidth="1"/>
    <col min="6403" max="6403" width="24.85546875" style="209" customWidth="1"/>
    <col min="6404" max="6427" width="9.7109375" style="209" customWidth="1"/>
    <col min="6428" max="6656" width="11.42578125" style="209"/>
    <col min="6657" max="6657" width="20.5703125" style="209" customWidth="1"/>
    <col min="6658" max="6658" width="11.28515625" style="209" bestFit="1" customWidth="1"/>
    <col min="6659" max="6659" width="24.85546875" style="209" customWidth="1"/>
    <col min="6660" max="6683" width="9.7109375" style="209" customWidth="1"/>
    <col min="6684" max="6912" width="11.42578125" style="209"/>
    <col min="6913" max="6913" width="20.5703125" style="209" customWidth="1"/>
    <col min="6914" max="6914" width="11.28515625" style="209" bestFit="1" customWidth="1"/>
    <col min="6915" max="6915" width="24.85546875" style="209" customWidth="1"/>
    <col min="6916" max="6939" width="9.7109375" style="209" customWidth="1"/>
    <col min="6940" max="7168" width="11.42578125" style="209"/>
    <col min="7169" max="7169" width="20.5703125" style="209" customWidth="1"/>
    <col min="7170" max="7170" width="11.28515625" style="209" bestFit="1" customWidth="1"/>
    <col min="7171" max="7171" width="24.85546875" style="209" customWidth="1"/>
    <col min="7172" max="7195" width="9.7109375" style="209" customWidth="1"/>
    <col min="7196" max="7424" width="11.42578125" style="209"/>
    <col min="7425" max="7425" width="20.5703125" style="209" customWidth="1"/>
    <col min="7426" max="7426" width="11.28515625" style="209" bestFit="1" customWidth="1"/>
    <col min="7427" max="7427" width="24.85546875" style="209" customWidth="1"/>
    <col min="7428" max="7451" width="9.7109375" style="209" customWidth="1"/>
    <col min="7452" max="7680" width="11.42578125" style="209"/>
    <col min="7681" max="7681" width="20.5703125" style="209" customWidth="1"/>
    <col min="7682" max="7682" width="11.28515625" style="209" bestFit="1" customWidth="1"/>
    <col min="7683" max="7683" width="24.85546875" style="209" customWidth="1"/>
    <col min="7684" max="7707" width="9.7109375" style="209" customWidth="1"/>
    <col min="7708" max="7936" width="11.42578125" style="209"/>
    <col min="7937" max="7937" width="20.5703125" style="209" customWidth="1"/>
    <col min="7938" max="7938" width="11.28515625" style="209" bestFit="1" customWidth="1"/>
    <col min="7939" max="7939" width="24.85546875" style="209" customWidth="1"/>
    <col min="7940" max="7963" width="9.7109375" style="209" customWidth="1"/>
    <col min="7964" max="8192" width="11.42578125" style="209"/>
    <col min="8193" max="8193" width="20.5703125" style="209" customWidth="1"/>
    <col min="8194" max="8194" width="11.28515625" style="209" bestFit="1" customWidth="1"/>
    <col min="8195" max="8195" width="24.85546875" style="209" customWidth="1"/>
    <col min="8196" max="8219" width="9.7109375" style="209" customWidth="1"/>
    <col min="8220" max="8448" width="11.42578125" style="209"/>
    <col min="8449" max="8449" width="20.5703125" style="209" customWidth="1"/>
    <col min="8450" max="8450" width="11.28515625" style="209" bestFit="1" customWidth="1"/>
    <col min="8451" max="8451" width="24.85546875" style="209" customWidth="1"/>
    <col min="8452" max="8475" width="9.7109375" style="209" customWidth="1"/>
    <col min="8476" max="8704" width="11.42578125" style="209"/>
    <col min="8705" max="8705" width="20.5703125" style="209" customWidth="1"/>
    <col min="8706" max="8706" width="11.28515625" style="209" bestFit="1" customWidth="1"/>
    <col min="8707" max="8707" width="24.85546875" style="209" customWidth="1"/>
    <col min="8708" max="8731" width="9.7109375" style="209" customWidth="1"/>
    <col min="8732" max="8960" width="11.42578125" style="209"/>
    <col min="8961" max="8961" width="20.5703125" style="209" customWidth="1"/>
    <col min="8962" max="8962" width="11.28515625" style="209" bestFit="1" customWidth="1"/>
    <col min="8963" max="8963" width="24.85546875" style="209" customWidth="1"/>
    <col min="8964" max="8987" width="9.7109375" style="209" customWidth="1"/>
    <col min="8988" max="9216" width="11.42578125" style="209"/>
    <col min="9217" max="9217" width="20.5703125" style="209" customWidth="1"/>
    <col min="9218" max="9218" width="11.28515625" style="209" bestFit="1" customWidth="1"/>
    <col min="9219" max="9219" width="24.85546875" style="209" customWidth="1"/>
    <col min="9220" max="9243" width="9.7109375" style="209" customWidth="1"/>
    <col min="9244" max="9472" width="11.42578125" style="209"/>
    <col min="9473" max="9473" width="20.5703125" style="209" customWidth="1"/>
    <col min="9474" max="9474" width="11.28515625" style="209" bestFit="1" customWidth="1"/>
    <col min="9475" max="9475" width="24.85546875" style="209" customWidth="1"/>
    <col min="9476" max="9499" width="9.7109375" style="209" customWidth="1"/>
    <col min="9500" max="9728" width="11.42578125" style="209"/>
    <col min="9729" max="9729" width="20.5703125" style="209" customWidth="1"/>
    <col min="9730" max="9730" width="11.28515625" style="209" bestFit="1" customWidth="1"/>
    <col min="9731" max="9731" width="24.85546875" style="209" customWidth="1"/>
    <col min="9732" max="9755" width="9.7109375" style="209" customWidth="1"/>
    <col min="9756" max="9984" width="11.42578125" style="209"/>
    <col min="9985" max="9985" width="20.5703125" style="209" customWidth="1"/>
    <col min="9986" max="9986" width="11.28515625" style="209" bestFit="1" customWidth="1"/>
    <col min="9987" max="9987" width="24.85546875" style="209" customWidth="1"/>
    <col min="9988" max="10011" width="9.7109375" style="209" customWidth="1"/>
    <col min="10012" max="10240" width="11.42578125" style="209"/>
    <col min="10241" max="10241" width="20.5703125" style="209" customWidth="1"/>
    <col min="10242" max="10242" width="11.28515625" style="209" bestFit="1" customWidth="1"/>
    <col min="10243" max="10243" width="24.85546875" style="209" customWidth="1"/>
    <col min="10244" max="10267" width="9.7109375" style="209" customWidth="1"/>
    <col min="10268" max="10496" width="11.42578125" style="209"/>
    <col min="10497" max="10497" width="20.5703125" style="209" customWidth="1"/>
    <col min="10498" max="10498" width="11.28515625" style="209" bestFit="1" customWidth="1"/>
    <col min="10499" max="10499" width="24.85546875" style="209" customWidth="1"/>
    <col min="10500" max="10523" width="9.7109375" style="209" customWidth="1"/>
    <col min="10524" max="10752" width="11.42578125" style="209"/>
    <col min="10753" max="10753" width="20.5703125" style="209" customWidth="1"/>
    <col min="10754" max="10754" width="11.28515625" style="209" bestFit="1" customWidth="1"/>
    <col min="10755" max="10755" width="24.85546875" style="209" customWidth="1"/>
    <col min="10756" max="10779" width="9.7109375" style="209" customWidth="1"/>
    <col min="10780" max="11008" width="11.42578125" style="209"/>
    <col min="11009" max="11009" width="20.5703125" style="209" customWidth="1"/>
    <col min="11010" max="11010" width="11.28515625" style="209" bestFit="1" customWidth="1"/>
    <col min="11011" max="11011" width="24.85546875" style="209" customWidth="1"/>
    <col min="11012" max="11035" width="9.7109375" style="209" customWidth="1"/>
    <col min="11036" max="11264" width="11.42578125" style="209"/>
    <col min="11265" max="11265" width="20.5703125" style="209" customWidth="1"/>
    <col min="11266" max="11266" width="11.28515625" style="209" bestFit="1" customWidth="1"/>
    <col min="11267" max="11267" width="24.85546875" style="209" customWidth="1"/>
    <col min="11268" max="11291" width="9.7109375" style="209" customWidth="1"/>
    <col min="11292" max="11520" width="11.42578125" style="209"/>
    <col min="11521" max="11521" width="20.5703125" style="209" customWidth="1"/>
    <col min="11522" max="11522" width="11.28515625" style="209" bestFit="1" customWidth="1"/>
    <col min="11523" max="11523" width="24.85546875" style="209" customWidth="1"/>
    <col min="11524" max="11547" width="9.7109375" style="209" customWidth="1"/>
    <col min="11548" max="11776" width="11.42578125" style="209"/>
    <col min="11777" max="11777" width="20.5703125" style="209" customWidth="1"/>
    <col min="11778" max="11778" width="11.28515625" style="209" bestFit="1" customWidth="1"/>
    <col min="11779" max="11779" width="24.85546875" style="209" customWidth="1"/>
    <col min="11780" max="11803" width="9.7109375" style="209" customWidth="1"/>
    <col min="11804" max="12032" width="11.42578125" style="209"/>
    <col min="12033" max="12033" width="20.5703125" style="209" customWidth="1"/>
    <col min="12034" max="12034" width="11.28515625" style="209" bestFit="1" customWidth="1"/>
    <col min="12035" max="12035" width="24.85546875" style="209" customWidth="1"/>
    <col min="12036" max="12059" width="9.7109375" style="209" customWidth="1"/>
    <col min="12060" max="12288" width="11.42578125" style="209"/>
    <col min="12289" max="12289" width="20.5703125" style="209" customWidth="1"/>
    <col min="12290" max="12290" width="11.28515625" style="209" bestFit="1" customWidth="1"/>
    <col min="12291" max="12291" width="24.85546875" style="209" customWidth="1"/>
    <col min="12292" max="12315" width="9.7109375" style="209" customWidth="1"/>
    <col min="12316" max="12544" width="11.42578125" style="209"/>
    <col min="12545" max="12545" width="20.5703125" style="209" customWidth="1"/>
    <col min="12546" max="12546" width="11.28515625" style="209" bestFit="1" customWidth="1"/>
    <col min="12547" max="12547" width="24.85546875" style="209" customWidth="1"/>
    <col min="12548" max="12571" width="9.7109375" style="209" customWidth="1"/>
    <col min="12572" max="12800" width="11.42578125" style="209"/>
    <col min="12801" max="12801" width="20.5703125" style="209" customWidth="1"/>
    <col min="12802" max="12802" width="11.28515625" style="209" bestFit="1" customWidth="1"/>
    <col min="12803" max="12803" width="24.85546875" style="209" customWidth="1"/>
    <col min="12804" max="12827" width="9.7109375" style="209" customWidth="1"/>
    <col min="12828" max="13056" width="11.42578125" style="209"/>
    <col min="13057" max="13057" width="20.5703125" style="209" customWidth="1"/>
    <col min="13058" max="13058" width="11.28515625" style="209" bestFit="1" customWidth="1"/>
    <col min="13059" max="13059" width="24.85546875" style="209" customWidth="1"/>
    <col min="13060" max="13083" width="9.7109375" style="209" customWidth="1"/>
    <col min="13084" max="13312" width="11.42578125" style="209"/>
    <col min="13313" max="13313" width="20.5703125" style="209" customWidth="1"/>
    <col min="13314" max="13314" width="11.28515625" style="209" bestFit="1" customWidth="1"/>
    <col min="13315" max="13315" width="24.85546875" style="209" customWidth="1"/>
    <col min="13316" max="13339" width="9.7109375" style="209" customWidth="1"/>
    <col min="13340" max="13568" width="11.42578125" style="209"/>
    <col min="13569" max="13569" width="20.5703125" style="209" customWidth="1"/>
    <col min="13570" max="13570" width="11.28515625" style="209" bestFit="1" customWidth="1"/>
    <col min="13571" max="13571" width="24.85546875" style="209" customWidth="1"/>
    <col min="13572" max="13595" width="9.7109375" style="209" customWidth="1"/>
    <col min="13596" max="13824" width="11.42578125" style="209"/>
    <col min="13825" max="13825" width="20.5703125" style="209" customWidth="1"/>
    <col min="13826" max="13826" width="11.28515625" style="209" bestFit="1" customWidth="1"/>
    <col min="13827" max="13827" width="24.85546875" style="209" customWidth="1"/>
    <col min="13828" max="13851" width="9.7109375" style="209" customWidth="1"/>
    <col min="13852" max="14080" width="11.42578125" style="209"/>
    <col min="14081" max="14081" width="20.5703125" style="209" customWidth="1"/>
    <col min="14082" max="14082" width="11.28515625" style="209" bestFit="1" customWidth="1"/>
    <col min="14083" max="14083" width="24.85546875" style="209" customWidth="1"/>
    <col min="14084" max="14107" width="9.7109375" style="209" customWidth="1"/>
    <col min="14108" max="14336" width="11.42578125" style="209"/>
    <col min="14337" max="14337" width="20.5703125" style="209" customWidth="1"/>
    <col min="14338" max="14338" width="11.28515625" style="209" bestFit="1" customWidth="1"/>
    <col min="14339" max="14339" width="24.85546875" style="209" customWidth="1"/>
    <col min="14340" max="14363" width="9.7109375" style="209" customWidth="1"/>
    <col min="14364" max="14592" width="11.42578125" style="209"/>
    <col min="14593" max="14593" width="20.5703125" style="209" customWidth="1"/>
    <col min="14594" max="14594" width="11.28515625" style="209" bestFit="1" customWidth="1"/>
    <col min="14595" max="14595" width="24.85546875" style="209" customWidth="1"/>
    <col min="14596" max="14619" width="9.7109375" style="209" customWidth="1"/>
    <col min="14620" max="14848" width="11.42578125" style="209"/>
    <col min="14849" max="14849" width="20.5703125" style="209" customWidth="1"/>
    <col min="14850" max="14850" width="11.28515625" style="209" bestFit="1" customWidth="1"/>
    <col min="14851" max="14851" width="24.85546875" style="209" customWidth="1"/>
    <col min="14852" max="14875" width="9.7109375" style="209" customWidth="1"/>
    <col min="14876" max="15104" width="11.42578125" style="209"/>
    <col min="15105" max="15105" width="20.5703125" style="209" customWidth="1"/>
    <col min="15106" max="15106" width="11.28515625" style="209" bestFit="1" customWidth="1"/>
    <col min="15107" max="15107" width="24.85546875" style="209" customWidth="1"/>
    <col min="15108" max="15131" width="9.7109375" style="209" customWidth="1"/>
    <col min="15132" max="15360" width="11.42578125" style="209"/>
    <col min="15361" max="15361" width="20.5703125" style="209" customWidth="1"/>
    <col min="15362" max="15362" width="11.28515625" style="209" bestFit="1" customWidth="1"/>
    <col min="15363" max="15363" width="24.85546875" style="209" customWidth="1"/>
    <col min="15364" max="15387" width="9.7109375" style="209" customWidth="1"/>
    <col min="15388" max="15616" width="11.42578125" style="209"/>
    <col min="15617" max="15617" width="20.5703125" style="209" customWidth="1"/>
    <col min="15618" max="15618" width="11.28515625" style="209" bestFit="1" customWidth="1"/>
    <col min="15619" max="15619" width="24.85546875" style="209" customWidth="1"/>
    <col min="15620" max="15643" width="9.7109375" style="209" customWidth="1"/>
    <col min="15644" max="15872" width="11.42578125" style="209"/>
    <col min="15873" max="15873" width="20.5703125" style="209" customWidth="1"/>
    <col min="15874" max="15874" width="11.28515625" style="209" bestFit="1" customWidth="1"/>
    <col min="15875" max="15875" width="24.85546875" style="209" customWidth="1"/>
    <col min="15876" max="15899" width="9.7109375" style="209" customWidth="1"/>
    <col min="15900" max="16128" width="11.42578125" style="209"/>
    <col min="16129" max="16129" width="20.5703125" style="209" customWidth="1"/>
    <col min="16130" max="16130" width="11.28515625" style="209" bestFit="1" customWidth="1"/>
    <col min="16131" max="16131" width="24.85546875" style="209" customWidth="1"/>
    <col min="16132" max="16155" width="9.7109375" style="209" customWidth="1"/>
    <col min="16156" max="16384" width="11.42578125" style="209"/>
  </cols>
  <sheetData>
    <row r="1" spans="2:27" ht="15.75" x14ac:dyDescent="0.2">
      <c r="B1" s="579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2:27" ht="18" x14ac:dyDescent="0.2">
      <c r="B2" s="191" t="s">
        <v>350</v>
      </c>
      <c r="C2" s="215"/>
      <c r="D2" s="215"/>
      <c r="E2" s="215"/>
      <c r="F2" s="215"/>
      <c r="G2" s="627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</row>
    <row r="3" spans="2:27" ht="18" x14ac:dyDescent="0.2">
      <c r="B3" s="191" t="s">
        <v>336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  <c r="S3" s="648"/>
      <c r="T3" s="648"/>
      <c r="U3" s="648"/>
      <c r="V3" s="648"/>
      <c r="W3" s="648"/>
      <c r="X3" s="648"/>
    </row>
    <row r="4" spans="2:27" ht="18" customHeight="1" x14ac:dyDescent="0.2"/>
    <row r="5" spans="2:27" ht="13.5" customHeight="1" x14ac:dyDescent="0.2">
      <c r="B5" s="6291" t="s">
        <v>164</v>
      </c>
      <c r="C5" s="6275" t="s">
        <v>25</v>
      </c>
      <c r="D5" s="6273" t="s">
        <v>156</v>
      </c>
      <c r="E5" s="6273" t="s">
        <v>154</v>
      </c>
      <c r="F5" s="6273" t="s">
        <v>155</v>
      </c>
      <c r="G5" s="6273" t="s">
        <v>73</v>
      </c>
      <c r="H5" s="6273" t="s">
        <v>71</v>
      </c>
      <c r="I5" s="6278" t="s">
        <v>70</v>
      </c>
      <c r="J5" s="6273" t="s">
        <v>72</v>
      </c>
      <c r="K5" s="6273" t="s">
        <v>24</v>
      </c>
      <c r="L5" s="6273" t="s">
        <v>23</v>
      </c>
      <c r="M5" s="6273" t="s">
        <v>69</v>
      </c>
      <c r="N5" s="6273" t="s">
        <v>59</v>
      </c>
      <c r="O5" s="6278" t="s">
        <v>21</v>
      </c>
      <c r="P5" s="6273" t="s">
        <v>22</v>
      </c>
      <c r="Q5" s="6273" t="s">
        <v>17</v>
      </c>
      <c r="R5" s="6273" t="s">
        <v>18</v>
      </c>
      <c r="S5" s="6273" t="s">
        <v>150</v>
      </c>
      <c r="T5" s="6273" t="s">
        <v>148</v>
      </c>
      <c r="U5" s="6273" t="s">
        <v>149</v>
      </c>
      <c r="V5" s="6273" t="s">
        <v>324</v>
      </c>
      <c r="W5" s="6274" t="s">
        <v>323</v>
      </c>
      <c r="X5" s="6274" t="s">
        <v>322</v>
      </c>
      <c r="Y5" s="6273" t="s">
        <v>337</v>
      </c>
      <c r="Z5" s="6274" t="s">
        <v>334</v>
      </c>
      <c r="AA5" s="6274" t="s">
        <v>335</v>
      </c>
    </row>
    <row r="6" spans="2:27" x14ac:dyDescent="0.2">
      <c r="B6" s="6292"/>
      <c r="C6" s="6275"/>
      <c r="D6" s="6273"/>
      <c r="E6" s="6273"/>
      <c r="F6" s="6273"/>
      <c r="G6" s="6273"/>
      <c r="H6" s="6273"/>
      <c r="I6" s="6278"/>
      <c r="J6" s="6273"/>
      <c r="K6" s="6273"/>
      <c r="L6" s="6273"/>
      <c r="M6" s="6273"/>
      <c r="N6" s="6273"/>
      <c r="O6" s="6278"/>
      <c r="P6" s="6273"/>
      <c r="Q6" s="6273"/>
      <c r="R6" s="6273"/>
      <c r="S6" s="6273"/>
      <c r="T6" s="6273"/>
      <c r="U6" s="6273"/>
      <c r="V6" s="6273"/>
      <c r="W6" s="6293"/>
      <c r="X6" s="6293"/>
      <c r="Y6" s="6273"/>
      <c r="Z6" s="6293"/>
      <c r="AA6" s="6293"/>
    </row>
    <row r="7" spans="2:27" ht="12.75" customHeight="1" x14ac:dyDescent="0.2">
      <c r="C7" s="209"/>
      <c r="D7" s="209"/>
      <c r="E7" s="209"/>
      <c r="F7" s="209"/>
    </row>
    <row r="8" spans="2:27" ht="12.75" customHeight="1" x14ac:dyDescent="0.2">
      <c r="B8" s="6294" t="s">
        <v>5</v>
      </c>
      <c r="C8" s="395" t="s">
        <v>26</v>
      </c>
      <c r="D8" s="396"/>
      <c r="E8" s="397"/>
      <c r="F8" s="397"/>
      <c r="G8" s="396"/>
      <c r="H8" s="397"/>
      <c r="I8" s="397"/>
      <c r="J8" s="396"/>
      <c r="K8" s="397"/>
      <c r="L8" s="398"/>
      <c r="M8" s="396"/>
      <c r="N8" s="397"/>
      <c r="O8" s="397"/>
      <c r="P8" s="396"/>
      <c r="Q8" s="397"/>
      <c r="R8" s="398"/>
      <c r="S8" s="396"/>
      <c r="T8" s="397"/>
      <c r="U8" s="398"/>
      <c r="V8" s="396"/>
      <c r="W8" s="397"/>
      <c r="X8" s="398"/>
      <c r="Y8" s="396"/>
      <c r="Z8" s="397"/>
      <c r="AA8" s="398"/>
    </row>
    <row r="9" spans="2:27" ht="12.75" customHeight="1" x14ac:dyDescent="0.2">
      <c r="B9" s="6295"/>
      <c r="C9" s="218" t="s">
        <v>27</v>
      </c>
      <c r="D9" s="219">
        <v>87</v>
      </c>
      <c r="E9" s="220">
        <v>85</v>
      </c>
      <c r="F9" s="220">
        <v>71</v>
      </c>
      <c r="G9" s="219">
        <v>85</v>
      </c>
      <c r="H9" s="220">
        <v>76</v>
      </c>
      <c r="I9" s="220">
        <v>72</v>
      </c>
      <c r="J9" s="219">
        <v>80</v>
      </c>
      <c r="K9" s="220">
        <v>88</v>
      </c>
      <c r="L9" s="221">
        <v>69</v>
      </c>
      <c r="M9" s="219">
        <v>90</v>
      </c>
      <c r="N9" s="220">
        <v>96</v>
      </c>
      <c r="O9" s="220">
        <v>83</v>
      </c>
      <c r="P9" s="219">
        <v>91</v>
      </c>
      <c r="Q9" s="220">
        <v>79</v>
      </c>
      <c r="R9" s="221">
        <v>60</v>
      </c>
      <c r="S9" s="219">
        <v>47</v>
      </c>
      <c r="T9" s="220">
        <v>45</v>
      </c>
      <c r="U9" s="221">
        <v>27</v>
      </c>
      <c r="V9" s="219">
        <v>56</v>
      </c>
      <c r="W9" s="220">
        <v>55</v>
      </c>
      <c r="X9" s="221">
        <v>55</v>
      </c>
      <c r="Y9" s="219">
        <v>84</v>
      </c>
      <c r="Z9" s="220">
        <v>94</v>
      </c>
      <c r="AA9" s="221">
        <v>83</v>
      </c>
    </row>
    <row r="10" spans="2:27" s="222" customFormat="1" ht="12.75" customHeight="1" x14ac:dyDescent="0.2">
      <c r="B10" s="6295"/>
      <c r="C10" s="218" t="s">
        <v>28</v>
      </c>
      <c r="D10" s="219">
        <v>20</v>
      </c>
      <c r="E10" s="220">
        <v>18</v>
      </c>
      <c r="F10" s="220">
        <v>20</v>
      </c>
      <c r="G10" s="219">
        <v>24</v>
      </c>
      <c r="H10" s="220">
        <v>23</v>
      </c>
      <c r="I10" s="220">
        <v>27</v>
      </c>
      <c r="J10" s="219">
        <v>27</v>
      </c>
      <c r="K10" s="220">
        <v>27</v>
      </c>
      <c r="L10" s="221">
        <v>19</v>
      </c>
      <c r="M10" s="219">
        <v>21</v>
      </c>
      <c r="N10" s="220">
        <v>20</v>
      </c>
      <c r="O10" s="220">
        <v>20</v>
      </c>
      <c r="P10" s="219">
        <v>22</v>
      </c>
      <c r="Q10" s="220">
        <v>27</v>
      </c>
      <c r="R10" s="221">
        <v>31</v>
      </c>
      <c r="S10" s="219">
        <v>34</v>
      </c>
      <c r="T10" s="220">
        <v>35</v>
      </c>
      <c r="U10" s="221">
        <v>38</v>
      </c>
      <c r="V10" s="219">
        <v>36</v>
      </c>
      <c r="W10" s="220">
        <v>37</v>
      </c>
      <c r="X10" s="221">
        <v>36</v>
      </c>
      <c r="Y10" s="219">
        <v>36</v>
      </c>
      <c r="Z10" s="220">
        <v>33</v>
      </c>
      <c r="AA10" s="221">
        <v>31</v>
      </c>
    </row>
    <row r="11" spans="2:27" s="222" customFormat="1" ht="12.75" customHeight="1" x14ac:dyDescent="0.2">
      <c r="B11" s="6296"/>
      <c r="C11" s="658" t="s">
        <v>13</v>
      </c>
      <c r="D11" s="638">
        <f>SUM(D8:D10)</f>
        <v>107</v>
      </c>
      <c r="E11" s="639">
        <f>SUM(E8:E10)</f>
        <v>103</v>
      </c>
      <c r="F11" s="639">
        <f>SUM(F8:F10)</f>
        <v>91</v>
      </c>
      <c r="G11" s="638">
        <f t="shared" ref="G11:R11" si="0">SUM(G8:G10)</f>
        <v>109</v>
      </c>
      <c r="H11" s="639">
        <f t="shared" si="0"/>
        <v>99</v>
      </c>
      <c r="I11" s="639">
        <f t="shared" si="0"/>
        <v>99</v>
      </c>
      <c r="J11" s="638">
        <f t="shared" si="0"/>
        <v>107</v>
      </c>
      <c r="K11" s="639">
        <f t="shared" si="0"/>
        <v>115</v>
      </c>
      <c r="L11" s="640">
        <f t="shared" si="0"/>
        <v>88</v>
      </c>
      <c r="M11" s="638">
        <f t="shared" si="0"/>
        <v>111</v>
      </c>
      <c r="N11" s="639">
        <f t="shared" si="0"/>
        <v>116</v>
      </c>
      <c r="O11" s="639">
        <f t="shared" si="0"/>
        <v>103</v>
      </c>
      <c r="P11" s="638">
        <f t="shared" si="0"/>
        <v>113</v>
      </c>
      <c r="Q11" s="639">
        <f t="shared" si="0"/>
        <v>106</v>
      </c>
      <c r="R11" s="640">
        <f t="shared" si="0"/>
        <v>91</v>
      </c>
      <c r="S11" s="638">
        <v>81</v>
      </c>
      <c r="T11" s="639">
        <v>80</v>
      </c>
      <c r="U11" s="640">
        <v>65</v>
      </c>
      <c r="V11" s="638">
        <f t="shared" ref="V11:AA11" si="1">SUM(V8:V10)</f>
        <v>92</v>
      </c>
      <c r="W11" s="639">
        <f t="shared" si="1"/>
        <v>92</v>
      </c>
      <c r="X11" s="640">
        <f t="shared" si="1"/>
        <v>91</v>
      </c>
      <c r="Y11" s="638">
        <f t="shared" si="1"/>
        <v>120</v>
      </c>
      <c r="Z11" s="639">
        <f t="shared" si="1"/>
        <v>127</v>
      </c>
      <c r="AA11" s="640">
        <f t="shared" si="1"/>
        <v>114</v>
      </c>
    </row>
    <row r="12" spans="2:27" ht="12.75" customHeight="1" x14ac:dyDescent="0.2">
      <c r="B12" s="6295" t="s">
        <v>6</v>
      </c>
      <c r="C12" s="218" t="s">
        <v>26</v>
      </c>
      <c r="D12" s="219">
        <v>14</v>
      </c>
      <c r="E12" s="220">
        <v>13</v>
      </c>
      <c r="F12" s="220">
        <v>4</v>
      </c>
      <c r="G12" s="219">
        <v>26</v>
      </c>
      <c r="H12" s="220">
        <v>24</v>
      </c>
      <c r="I12" s="220">
        <v>2</v>
      </c>
      <c r="J12" s="219">
        <v>35</v>
      </c>
      <c r="K12" s="220">
        <v>32</v>
      </c>
      <c r="L12" s="221">
        <v>0</v>
      </c>
      <c r="M12" s="219">
        <v>25</v>
      </c>
      <c r="N12" s="220">
        <v>28</v>
      </c>
      <c r="O12" s="220">
        <v>0</v>
      </c>
      <c r="P12" s="219">
        <v>29</v>
      </c>
      <c r="Q12" s="220">
        <v>32</v>
      </c>
      <c r="R12" s="221"/>
      <c r="S12" s="219">
        <v>26</v>
      </c>
      <c r="T12" s="220">
        <v>26</v>
      </c>
      <c r="U12" s="221">
        <v>3</v>
      </c>
      <c r="V12" s="219">
        <v>31</v>
      </c>
      <c r="W12" s="220">
        <v>27</v>
      </c>
      <c r="X12" s="221">
        <v>1</v>
      </c>
      <c r="Y12" s="219">
        <v>14</v>
      </c>
      <c r="Z12" s="220">
        <v>15</v>
      </c>
      <c r="AA12" s="221">
        <v>1</v>
      </c>
    </row>
    <row r="13" spans="2:27" ht="12.75" customHeight="1" x14ac:dyDescent="0.2">
      <c r="B13" s="6295"/>
      <c r="C13" s="218" t="s">
        <v>27</v>
      </c>
      <c r="D13" s="219">
        <v>51</v>
      </c>
      <c r="E13" s="220">
        <v>48</v>
      </c>
      <c r="F13" s="220">
        <v>26</v>
      </c>
      <c r="G13" s="219">
        <v>20</v>
      </c>
      <c r="H13" s="220">
        <v>29</v>
      </c>
      <c r="I13" s="220">
        <v>19</v>
      </c>
      <c r="J13" s="219">
        <v>37</v>
      </c>
      <c r="K13" s="220">
        <v>43</v>
      </c>
      <c r="L13" s="221">
        <v>41</v>
      </c>
      <c r="M13" s="219">
        <v>43</v>
      </c>
      <c r="N13" s="220">
        <v>59</v>
      </c>
      <c r="O13" s="220">
        <v>43</v>
      </c>
      <c r="P13" s="219">
        <v>41</v>
      </c>
      <c r="Q13" s="220">
        <v>49</v>
      </c>
      <c r="R13" s="221">
        <v>45</v>
      </c>
      <c r="S13" s="219">
        <v>64</v>
      </c>
      <c r="T13" s="220">
        <v>88</v>
      </c>
      <c r="U13" s="221">
        <v>98</v>
      </c>
      <c r="V13" s="219">
        <v>54</v>
      </c>
      <c r="W13" s="220">
        <v>56</v>
      </c>
      <c r="X13" s="221">
        <v>53</v>
      </c>
      <c r="Y13" s="219">
        <v>75</v>
      </c>
      <c r="Z13" s="220">
        <v>65</v>
      </c>
      <c r="AA13" s="221">
        <v>89</v>
      </c>
    </row>
    <row r="14" spans="2:27" ht="12.75" customHeight="1" x14ac:dyDescent="0.2">
      <c r="B14" s="6295"/>
      <c r="C14" s="218" t="s">
        <v>28</v>
      </c>
      <c r="D14" s="219">
        <v>6</v>
      </c>
      <c r="E14" s="220">
        <v>0</v>
      </c>
      <c r="F14" s="220">
        <v>0</v>
      </c>
      <c r="G14" s="219">
        <v>0</v>
      </c>
      <c r="H14" s="220">
        <v>5</v>
      </c>
      <c r="I14" s="220">
        <v>4</v>
      </c>
      <c r="J14" s="219">
        <v>1</v>
      </c>
      <c r="K14" s="220">
        <v>0</v>
      </c>
      <c r="L14" s="221">
        <v>5</v>
      </c>
      <c r="M14" s="219">
        <v>12</v>
      </c>
      <c r="N14" s="220">
        <v>12</v>
      </c>
      <c r="O14" s="220">
        <v>14</v>
      </c>
      <c r="P14" s="219">
        <v>17</v>
      </c>
      <c r="Q14" s="220">
        <v>8</v>
      </c>
      <c r="R14" s="221">
        <v>31</v>
      </c>
      <c r="S14" s="219">
        <v>21</v>
      </c>
      <c r="T14" s="220">
        <v>21</v>
      </c>
      <c r="U14" s="221">
        <v>31</v>
      </c>
      <c r="V14" s="219">
        <v>25</v>
      </c>
      <c r="W14" s="220">
        <v>26</v>
      </c>
      <c r="X14" s="221">
        <v>54</v>
      </c>
      <c r="Y14" s="219">
        <v>29</v>
      </c>
      <c r="Z14" s="220">
        <v>33</v>
      </c>
      <c r="AA14" s="221">
        <v>69</v>
      </c>
    </row>
    <row r="15" spans="2:27" s="222" customFormat="1" ht="12.75" customHeight="1" x14ac:dyDescent="0.2">
      <c r="B15" s="6296"/>
      <c r="C15" s="658" t="s">
        <v>14</v>
      </c>
      <c r="D15" s="638">
        <f>SUM(D12:D14)</f>
        <v>71</v>
      </c>
      <c r="E15" s="639">
        <f>SUM(E12:E14)</f>
        <v>61</v>
      </c>
      <c r="F15" s="639">
        <f>SUM(F12:F14)</f>
        <v>30</v>
      </c>
      <c r="G15" s="638">
        <f t="shared" ref="G15:R15" si="2">SUM(G12:G14)</f>
        <v>46</v>
      </c>
      <c r="H15" s="639">
        <f t="shared" si="2"/>
        <v>58</v>
      </c>
      <c r="I15" s="639">
        <f t="shared" si="2"/>
        <v>25</v>
      </c>
      <c r="J15" s="638">
        <f t="shared" si="2"/>
        <v>73</v>
      </c>
      <c r="K15" s="639">
        <f t="shared" si="2"/>
        <v>75</v>
      </c>
      <c r="L15" s="640">
        <f t="shared" si="2"/>
        <v>46</v>
      </c>
      <c r="M15" s="638">
        <f t="shared" si="2"/>
        <v>80</v>
      </c>
      <c r="N15" s="639">
        <f t="shared" si="2"/>
        <v>99</v>
      </c>
      <c r="O15" s="639">
        <f t="shared" si="2"/>
        <v>57</v>
      </c>
      <c r="P15" s="638">
        <f t="shared" si="2"/>
        <v>87</v>
      </c>
      <c r="Q15" s="639">
        <f t="shared" si="2"/>
        <v>89</v>
      </c>
      <c r="R15" s="640">
        <f t="shared" si="2"/>
        <v>76</v>
      </c>
      <c r="S15" s="638">
        <v>111</v>
      </c>
      <c r="T15" s="639">
        <v>135</v>
      </c>
      <c r="U15" s="640">
        <v>132</v>
      </c>
      <c r="V15" s="638">
        <f t="shared" ref="V15:AA15" si="3">SUM(V12:V14)</f>
        <v>110</v>
      </c>
      <c r="W15" s="639">
        <f t="shared" si="3"/>
        <v>109</v>
      </c>
      <c r="X15" s="640">
        <f t="shared" si="3"/>
        <v>108</v>
      </c>
      <c r="Y15" s="638">
        <f t="shared" si="3"/>
        <v>118</v>
      </c>
      <c r="Z15" s="639">
        <f t="shared" si="3"/>
        <v>113</v>
      </c>
      <c r="AA15" s="640">
        <f t="shared" si="3"/>
        <v>159</v>
      </c>
    </row>
    <row r="16" spans="2:27" ht="12.75" customHeight="1" x14ac:dyDescent="0.2">
      <c r="B16" s="6295" t="s">
        <v>7</v>
      </c>
      <c r="C16" s="218" t="s">
        <v>26</v>
      </c>
      <c r="D16" s="219">
        <v>29</v>
      </c>
      <c r="E16" s="220">
        <v>28</v>
      </c>
      <c r="F16" s="220">
        <v>9</v>
      </c>
      <c r="G16" s="219">
        <v>16</v>
      </c>
      <c r="H16" s="220">
        <v>13</v>
      </c>
      <c r="I16" s="220">
        <v>4</v>
      </c>
      <c r="J16" s="219">
        <v>16</v>
      </c>
      <c r="K16" s="220">
        <v>14</v>
      </c>
      <c r="L16" s="221">
        <v>2</v>
      </c>
      <c r="M16" s="219">
        <v>8</v>
      </c>
      <c r="N16" s="220">
        <v>7</v>
      </c>
      <c r="O16" s="220">
        <v>2</v>
      </c>
      <c r="P16" s="219">
        <v>36</v>
      </c>
      <c r="Q16" s="220">
        <v>17</v>
      </c>
      <c r="R16" s="221"/>
      <c r="S16" s="219">
        <v>16</v>
      </c>
      <c r="T16" s="220">
        <v>11</v>
      </c>
      <c r="U16" s="221">
        <v>1</v>
      </c>
      <c r="V16" s="219">
        <v>9</v>
      </c>
      <c r="W16" s="220">
        <v>10</v>
      </c>
      <c r="X16" s="221">
        <v>1</v>
      </c>
      <c r="Y16" s="219">
        <v>17</v>
      </c>
      <c r="Z16" s="220">
        <v>12</v>
      </c>
      <c r="AA16" s="221">
        <v>5</v>
      </c>
    </row>
    <row r="17" spans="2:27" ht="12.75" customHeight="1" x14ac:dyDescent="0.2">
      <c r="B17" s="6295"/>
      <c r="C17" s="218" t="s">
        <v>27</v>
      </c>
      <c r="D17" s="219">
        <v>26</v>
      </c>
      <c r="E17" s="220">
        <v>21</v>
      </c>
      <c r="F17" s="220">
        <v>8</v>
      </c>
      <c r="G17" s="219">
        <v>26</v>
      </c>
      <c r="H17" s="220">
        <v>21</v>
      </c>
      <c r="I17" s="220">
        <v>20</v>
      </c>
      <c r="J17" s="219">
        <v>25</v>
      </c>
      <c r="K17" s="220">
        <v>22</v>
      </c>
      <c r="L17" s="221">
        <v>7</v>
      </c>
      <c r="M17" s="219">
        <v>34</v>
      </c>
      <c r="N17" s="220">
        <v>22</v>
      </c>
      <c r="O17" s="220">
        <v>18</v>
      </c>
      <c r="P17" s="219">
        <v>23</v>
      </c>
      <c r="Q17" s="220">
        <v>37</v>
      </c>
      <c r="R17" s="221">
        <v>23</v>
      </c>
      <c r="S17" s="219">
        <v>46</v>
      </c>
      <c r="T17" s="220">
        <v>42</v>
      </c>
      <c r="U17" s="221">
        <v>28</v>
      </c>
      <c r="V17" s="219">
        <v>72</v>
      </c>
      <c r="W17" s="220">
        <v>72</v>
      </c>
      <c r="X17" s="221">
        <v>55</v>
      </c>
      <c r="Y17" s="219">
        <v>80</v>
      </c>
      <c r="Z17" s="220">
        <v>75</v>
      </c>
      <c r="AA17" s="221">
        <v>46</v>
      </c>
    </row>
    <row r="18" spans="2:27" ht="12.75" customHeight="1" x14ac:dyDescent="0.2">
      <c r="B18" s="6295"/>
      <c r="C18" s="218" t="s">
        <v>28</v>
      </c>
      <c r="D18" s="219">
        <v>17</v>
      </c>
      <c r="E18" s="220">
        <v>17</v>
      </c>
      <c r="F18" s="220">
        <v>7</v>
      </c>
      <c r="G18" s="219">
        <v>4</v>
      </c>
      <c r="H18" s="220">
        <v>4</v>
      </c>
      <c r="I18" s="220">
        <v>1</v>
      </c>
      <c r="J18" s="219">
        <v>1</v>
      </c>
      <c r="K18" s="220">
        <v>1</v>
      </c>
      <c r="L18" s="221">
        <v>2</v>
      </c>
      <c r="M18" s="219">
        <v>6</v>
      </c>
      <c r="N18" s="220">
        <v>6</v>
      </c>
      <c r="O18" s="220">
        <v>8</v>
      </c>
      <c r="P18" s="219">
        <v>9</v>
      </c>
      <c r="Q18" s="220">
        <v>11</v>
      </c>
      <c r="R18" s="221">
        <v>8</v>
      </c>
      <c r="S18" s="219">
        <v>13</v>
      </c>
      <c r="T18" s="220">
        <v>11</v>
      </c>
      <c r="U18" s="221">
        <v>13</v>
      </c>
      <c r="V18" s="219">
        <v>20</v>
      </c>
      <c r="W18" s="220">
        <v>19</v>
      </c>
      <c r="X18" s="221">
        <v>19</v>
      </c>
      <c r="Y18" s="219">
        <v>32</v>
      </c>
      <c r="Z18" s="220">
        <v>34</v>
      </c>
      <c r="AA18" s="221">
        <v>36</v>
      </c>
    </row>
    <row r="19" spans="2:27" s="222" customFormat="1" ht="12.75" customHeight="1" x14ac:dyDescent="0.2">
      <c r="B19" s="6296"/>
      <c r="C19" s="658" t="s">
        <v>15</v>
      </c>
      <c r="D19" s="638">
        <f>SUM(D16:D18)</f>
        <v>72</v>
      </c>
      <c r="E19" s="639">
        <f>SUM(E16:E18)</f>
        <v>66</v>
      </c>
      <c r="F19" s="639">
        <f>SUM(F16:F18)</f>
        <v>24</v>
      </c>
      <c r="G19" s="638">
        <f t="shared" ref="G19:R19" si="4">SUM(G16:G18)</f>
        <v>46</v>
      </c>
      <c r="H19" s="639">
        <f t="shared" si="4"/>
        <v>38</v>
      </c>
      <c r="I19" s="639">
        <f t="shared" si="4"/>
        <v>25</v>
      </c>
      <c r="J19" s="638">
        <f t="shared" si="4"/>
        <v>42</v>
      </c>
      <c r="K19" s="639">
        <f t="shared" si="4"/>
        <v>37</v>
      </c>
      <c r="L19" s="640">
        <f t="shared" si="4"/>
        <v>11</v>
      </c>
      <c r="M19" s="638">
        <f t="shared" si="4"/>
        <v>48</v>
      </c>
      <c r="N19" s="639">
        <f t="shared" si="4"/>
        <v>35</v>
      </c>
      <c r="O19" s="639">
        <f t="shared" si="4"/>
        <v>28</v>
      </c>
      <c r="P19" s="638">
        <f t="shared" si="4"/>
        <v>68</v>
      </c>
      <c r="Q19" s="639">
        <f t="shared" si="4"/>
        <v>65</v>
      </c>
      <c r="R19" s="640">
        <f t="shared" si="4"/>
        <v>31</v>
      </c>
      <c r="S19" s="638">
        <v>75</v>
      </c>
      <c r="T19" s="639">
        <v>64</v>
      </c>
      <c r="U19" s="640">
        <v>42</v>
      </c>
      <c r="V19" s="638">
        <f t="shared" ref="V19:AA19" si="5">SUM(V16:V18)</f>
        <v>101</v>
      </c>
      <c r="W19" s="639">
        <f t="shared" si="5"/>
        <v>101</v>
      </c>
      <c r="X19" s="640">
        <f t="shared" si="5"/>
        <v>75</v>
      </c>
      <c r="Y19" s="638">
        <f t="shared" si="5"/>
        <v>129</v>
      </c>
      <c r="Z19" s="639">
        <f t="shared" si="5"/>
        <v>121</v>
      </c>
      <c r="AA19" s="640">
        <f t="shared" si="5"/>
        <v>87</v>
      </c>
    </row>
    <row r="20" spans="2:27" ht="12.75" customHeight="1" x14ac:dyDescent="0.2">
      <c r="B20" s="6297" t="s">
        <v>332</v>
      </c>
      <c r="C20" s="218" t="s">
        <v>26</v>
      </c>
      <c r="D20" s="219">
        <f t="shared" ref="D20:R20" si="6">D8+D12+D16</f>
        <v>43</v>
      </c>
      <c r="E20" s="220">
        <f t="shared" si="6"/>
        <v>41</v>
      </c>
      <c r="F20" s="220">
        <f t="shared" si="6"/>
        <v>13</v>
      </c>
      <c r="G20" s="219">
        <f t="shared" si="6"/>
        <v>42</v>
      </c>
      <c r="H20" s="220">
        <f t="shared" si="6"/>
        <v>37</v>
      </c>
      <c r="I20" s="220">
        <f t="shared" si="6"/>
        <v>6</v>
      </c>
      <c r="J20" s="219">
        <f t="shared" si="6"/>
        <v>51</v>
      </c>
      <c r="K20" s="220">
        <f t="shared" si="6"/>
        <v>46</v>
      </c>
      <c r="L20" s="221">
        <f t="shared" si="6"/>
        <v>2</v>
      </c>
      <c r="M20" s="219">
        <f t="shared" si="6"/>
        <v>33</v>
      </c>
      <c r="N20" s="220">
        <f t="shared" si="6"/>
        <v>35</v>
      </c>
      <c r="O20" s="220">
        <f t="shared" si="6"/>
        <v>2</v>
      </c>
      <c r="P20" s="219">
        <f t="shared" si="6"/>
        <v>65</v>
      </c>
      <c r="Q20" s="220">
        <f t="shared" si="6"/>
        <v>49</v>
      </c>
      <c r="R20" s="221">
        <f t="shared" si="6"/>
        <v>0</v>
      </c>
      <c r="S20" s="219">
        <v>42</v>
      </c>
      <c r="T20" s="220">
        <v>37</v>
      </c>
      <c r="U20" s="221">
        <v>4</v>
      </c>
      <c r="V20" s="219">
        <f t="shared" ref="V20:AA23" si="7">V8+V12+V16</f>
        <v>40</v>
      </c>
      <c r="W20" s="220">
        <f t="shared" si="7"/>
        <v>37</v>
      </c>
      <c r="X20" s="221">
        <f t="shared" si="7"/>
        <v>2</v>
      </c>
      <c r="Y20" s="219">
        <f t="shared" si="7"/>
        <v>31</v>
      </c>
      <c r="Z20" s="220">
        <f t="shared" si="7"/>
        <v>27</v>
      </c>
      <c r="AA20" s="221">
        <f t="shared" si="7"/>
        <v>6</v>
      </c>
    </row>
    <row r="21" spans="2:27" ht="12.75" customHeight="1" x14ac:dyDescent="0.2">
      <c r="B21" s="6297"/>
      <c r="C21" s="218" t="s">
        <v>27</v>
      </c>
      <c r="D21" s="219">
        <f t="shared" ref="D21:R21" si="8">D9+D13+D17</f>
        <v>164</v>
      </c>
      <c r="E21" s="220">
        <f t="shared" si="8"/>
        <v>154</v>
      </c>
      <c r="F21" s="220">
        <f t="shared" si="8"/>
        <v>105</v>
      </c>
      <c r="G21" s="219">
        <f t="shared" si="8"/>
        <v>131</v>
      </c>
      <c r="H21" s="220">
        <f t="shared" si="8"/>
        <v>126</v>
      </c>
      <c r="I21" s="220">
        <f t="shared" si="8"/>
        <v>111</v>
      </c>
      <c r="J21" s="219">
        <f t="shared" si="8"/>
        <v>142</v>
      </c>
      <c r="K21" s="220">
        <f t="shared" si="8"/>
        <v>153</v>
      </c>
      <c r="L21" s="221">
        <f t="shared" si="8"/>
        <v>117</v>
      </c>
      <c r="M21" s="219">
        <f t="shared" si="8"/>
        <v>167</v>
      </c>
      <c r="N21" s="220">
        <f t="shared" si="8"/>
        <v>177</v>
      </c>
      <c r="O21" s="220">
        <f t="shared" si="8"/>
        <v>144</v>
      </c>
      <c r="P21" s="219">
        <f t="shared" si="8"/>
        <v>155</v>
      </c>
      <c r="Q21" s="220">
        <f t="shared" si="8"/>
        <v>165</v>
      </c>
      <c r="R21" s="221">
        <f t="shared" si="8"/>
        <v>128</v>
      </c>
      <c r="S21" s="219">
        <v>157</v>
      </c>
      <c r="T21" s="220">
        <v>175</v>
      </c>
      <c r="U21" s="221">
        <v>153</v>
      </c>
      <c r="V21" s="219">
        <f t="shared" si="7"/>
        <v>182</v>
      </c>
      <c r="W21" s="220">
        <f t="shared" si="7"/>
        <v>183</v>
      </c>
      <c r="X21" s="221">
        <f t="shared" si="7"/>
        <v>163</v>
      </c>
      <c r="Y21" s="219">
        <f t="shared" si="7"/>
        <v>239</v>
      </c>
      <c r="Z21" s="220">
        <f t="shared" si="7"/>
        <v>234</v>
      </c>
      <c r="AA21" s="221">
        <f t="shared" si="7"/>
        <v>218</v>
      </c>
    </row>
    <row r="22" spans="2:27" ht="12.75" customHeight="1" x14ac:dyDescent="0.2">
      <c r="B22" s="6297"/>
      <c r="C22" s="218" t="s">
        <v>28</v>
      </c>
      <c r="D22" s="219">
        <f t="shared" ref="D22:R22" si="9">D10+D14+D18</f>
        <v>43</v>
      </c>
      <c r="E22" s="220">
        <f t="shared" si="9"/>
        <v>35</v>
      </c>
      <c r="F22" s="220">
        <f t="shared" si="9"/>
        <v>27</v>
      </c>
      <c r="G22" s="219">
        <f t="shared" si="9"/>
        <v>28</v>
      </c>
      <c r="H22" s="220">
        <f t="shared" si="9"/>
        <v>32</v>
      </c>
      <c r="I22" s="220">
        <f t="shared" si="9"/>
        <v>32</v>
      </c>
      <c r="J22" s="219">
        <f t="shared" si="9"/>
        <v>29</v>
      </c>
      <c r="K22" s="220">
        <f t="shared" si="9"/>
        <v>28</v>
      </c>
      <c r="L22" s="221">
        <f t="shared" si="9"/>
        <v>26</v>
      </c>
      <c r="M22" s="219">
        <f t="shared" si="9"/>
        <v>39</v>
      </c>
      <c r="N22" s="220">
        <f t="shared" si="9"/>
        <v>38</v>
      </c>
      <c r="O22" s="220">
        <f t="shared" si="9"/>
        <v>42</v>
      </c>
      <c r="P22" s="219">
        <f t="shared" si="9"/>
        <v>48</v>
      </c>
      <c r="Q22" s="220">
        <f t="shared" si="9"/>
        <v>46</v>
      </c>
      <c r="R22" s="221">
        <f t="shared" si="9"/>
        <v>70</v>
      </c>
      <c r="S22" s="219">
        <v>68</v>
      </c>
      <c r="T22" s="220">
        <v>67</v>
      </c>
      <c r="U22" s="221">
        <v>82</v>
      </c>
      <c r="V22" s="219">
        <f t="shared" si="7"/>
        <v>81</v>
      </c>
      <c r="W22" s="220">
        <f t="shared" si="7"/>
        <v>82</v>
      </c>
      <c r="X22" s="221">
        <f t="shared" si="7"/>
        <v>109</v>
      </c>
      <c r="Y22" s="219">
        <f t="shared" si="7"/>
        <v>97</v>
      </c>
      <c r="Z22" s="220">
        <f t="shared" si="7"/>
        <v>100</v>
      </c>
      <c r="AA22" s="221">
        <f t="shared" si="7"/>
        <v>136</v>
      </c>
    </row>
    <row r="23" spans="2:27" s="224" customFormat="1" ht="12.75" customHeight="1" x14ac:dyDescent="0.2">
      <c r="B23" s="6298"/>
      <c r="C23" s="628" t="s">
        <v>12</v>
      </c>
      <c r="D23" s="653">
        <f>D20+D21+D22</f>
        <v>250</v>
      </c>
      <c r="E23" s="654">
        <f>E20+E21+E22</f>
        <v>230</v>
      </c>
      <c r="F23" s="654">
        <f>F20+F21+F22</f>
        <v>145</v>
      </c>
      <c r="G23" s="653">
        <f t="shared" ref="G23:R23" si="10">G20+G21+G22</f>
        <v>201</v>
      </c>
      <c r="H23" s="654">
        <f t="shared" si="10"/>
        <v>195</v>
      </c>
      <c r="I23" s="654">
        <f t="shared" si="10"/>
        <v>149</v>
      </c>
      <c r="J23" s="653">
        <f t="shared" si="10"/>
        <v>222</v>
      </c>
      <c r="K23" s="654">
        <f t="shared" si="10"/>
        <v>227</v>
      </c>
      <c r="L23" s="655">
        <f t="shared" si="10"/>
        <v>145</v>
      </c>
      <c r="M23" s="653">
        <f t="shared" si="10"/>
        <v>239</v>
      </c>
      <c r="N23" s="654">
        <f t="shared" si="10"/>
        <v>250</v>
      </c>
      <c r="O23" s="654">
        <f t="shared" si="10"/>
        <v>188</v>
      </c>
      <c r="P23" s="653">
        <f t="shared" si="10"/>
        <v>268</v>
      </c>
      <c r="Q23" s="654">
        <f t="shared" si="10"/>
        <v>260</v>
      </c>
      <c r="R23" s="655">
        <f t="shared" si="10"/>
        <v>198</v>
      </c>
      <c r="S23" s="653">
        <v>267</v>
      </c>
      <c r="T23" s="654">
        <v>279</v>
      </c>
      <c r="U23" s="655">
        <v>239</v>
      </c>
      <c r="V23" s="633">
        <f t="shared" si="7"/>
        <v>303</v>
      </c>
      <c r="W23" s="634">
        <f t="shared" si="7"/>
        <v>302</v>
      </c>
      <c r="X23" s="635">
        <f t="shared" si="7"/>
        <v>274</v>
      </c>
      <c r="Y23" s="633">
        <f t="shared" si="7"/>
        <v>367</v>
      </c>
      <c r="Z23" s="634">
        <f t="shared" si="7"/>
        <v>361</v>
      </c>
      <c r="AA23" s="635">
        <f t="shared" si="7"/>
        <v>360</v>
      </c>
    </row>
    <row r="24" spans="2:27" x14ac:dyDescent="0.2">
      <c r="C24" s="209"/>
      <c r="D24" s="209"/>
      <c r="E24" s="209"/>
      <c r="F24" s="209"/>
    </row>
    <row r="25" spans="2:27" x14ac:dyDescent="0.2">
      <c r="B25" s="6294" t="s">
        <v>5</v>
      </c>
      <c r="C25" s="395" t="s">
        <v>26</v>
      </c>
      <c r="D25" s="396"/>
      <c r="E25" s="397"/>
      <c r="F25" s="397"/>
      <c r="G25" s="396"/>
      <c r="H25" s="397"/>
      <c r="I25" s="397"/>
      <c r="J25" s="396"/>
      <c r="K25" s="397"/>
      <c r="L25" s="398"/>
      <c r="M25" s="396"/>
      <c r="N25" s="397"/>
      <c r="O25" s="397"/>
      <c r="P25" s="396"/>
      <c r="Q25" s="397"/>
      <c r="R25" s="398"/>
      <c r="S25" s="396"/>
      <c r="T25" s="397"/>
      <c r="U25" s="398"/>
      <c r="V25" s="396"/>
      <c r="W25" s="397"/>
      <c r="X25" s="398"/>
      <c r="Y25" s="396"/>
      <c r="Z25" s="397"/>
      <c r="AA25" s="398"/>
    </row>
    <row r="26" spans="2:27" x14ac:dyDescent="0.2">
      <c r="B26" s="6295"/>
      <c r="C26" s="218" t="s">
        <v>27</v>
      </c>
      <c r="D26" s="219">
        <v>50</v>
      </c>
      <c r="E26" s="220">
        <v>46</v>
      </c>
      <c r="F26" s="220">
        <v>49</v>
      </c>
      <c r="G26" s="219">
        <v>61</v>
      </c>
      <c r="H26" s="220">
        <v>60</v>
      </c>
      <c r="I26" s="220">
        <v>65</v>
      </c>
      <c r="J26" s="219">
        <v>80</v>
      </c>
      <c r="K26" s="220">
        <v>84</v>
      </c>
      <c r="L26" s="221">
        <v>86</v>
      </c>
      <c r="M26" s="219">
        <v>115</v>
      </c>
      <c r="N26" s="220">
        <v>116</v>
      </c>
      <c r="O26" s="220">
        <v>119</v>
      </c>
      <c r="P26" s="219">
        <v>194</v>
      </c>
      <c r="Q26" s="220">
        <v>143</v>
      </c>
      <c r="R26" s="221">
        <v>127</v>
      </c>
      <c r="S26" s="219">
        <v>135</v>
      </c>
      <c r="T26" s="220">
        <v>130</v>
      </c>
      <c r="U26" s="221">
        <v>118</v>
      </c>
      <c r="V26" s="219">
        <v>136</v>
      </c>
      <c r="W26" s="220">
        <v>130</v>
      </c>
      <c r="X26" s="221">
        <v>108</v>
      </c>
      <c r="Y26" s="219">
        <v>146</v>
      </c>
      <c r="Z26" s="220">
        <v>147</v>
      </c>
      <c r="AA26" s="221">
        <v>134</v>
      </c>
    </row>
    <row r="27" spans="2:27" x14ac:dyDescent="0.2">
      <c r="B27" s="6295"/>
      <c r="C27" s="218" t="s">
        <v>28</v>
      </c>
      <c r="D27" s="219">
        <v>216</v>
      </c>
      <c r="E27" s="220">
        <v>213</v>
      </c>
      <c r="F27" s="220">
        <v>201</v>
      </c>
      <c r="G27" s="219">
        <v>201</v>
      </c>
      <c r="H27" s="220">
        <v>199</v>
      </c>
      <c r="I27" s="220">
        <v>194</v>
      </c>
      <c r="J27" s="219">
        <v>195</v>
      </c>
      <c r="K27" s="220">
        <v>205</v>
      </c>
      <c r="L27" s="221">
        <v>205</v>
      </c>
      <c r="M27" s="219">
        <v>216</v>
      </c>
      <c r="N27" s="220">
        <v>212</v>
      </c>
      <c r="O27" s="220">
        <v>211</v>
      </c>
      <c r="P27" s="219">
        <v>170</v>
      </c>
      <c r="Q27" s="220">
        <v>206</v>
      </c>
      <c r="R27" s="221">
        <v>194</v>
      </c>
      <c r="S27" s="219">
        <v>196</v>
      </c>
      <c r="T27" s="220">
        <v>186</v>
      </c>
      <c r="U27" s="221">
        <v>180</v>
      </c>
      <c r="V27" s="219">
        <v>188</v>
      </c>
      <c r="W27" s="220">
        <v>187</v>
      </c>
      <c r="X27" s="221">
        <v>187</v>
      </c>
      <c r="Y27" s="219">
        <v>194</v>
      </c>
      <c r="Z27" s="220">
        <v>197</v>
      </c>
      <c r="AA27" s="221">
        <v>193</v>
      </c>
    </row>
    <row r="28" spans="2:27" s="222" customFormat="1" x14ac:dyDescent="0.2">
      <c r="B28" s="6296"/>
      <c r="C28" s="658" t="s">
        <v>13</v>
      </c>
      <c r="D28" s="638">
        <f>SUM(D25:D27)</f>
        <v>266</v>
      </c>
      <c r="E28" s="639">
        <f>SUM(E25:E27)</f>
        <v>259</v>
      </c>
      <c r="F28" s="639">
        <f>SUM(F25:F27)</f>
        <v>250</v>
      </c>
      <c r="G28" s="638">
        <f t="shared" ref="G28:R28" si="11">SUM(G25:G27)</f>
        <v>262</v>
      </c>
      <c r="H28" s="639">
        <f t="shared" si="11"/>
        <v>259</v>
      </c>
      <c r="I28" s="639">
        <f t="shared" si="11"/>
        <v>259</v>
      </c>
      <c r="J28" s="638">
        <f t="shared" si="11"/>
        <v>275</v>
      </c>
      <c r="K28" s="639">
        <f t="shared" si="11"/>
        <v>289</v>
      </c>
      <c r="L28" s="640">
        <f t="shared" si="11"/>
        <v>291</v>
      </c>
      <c r="M28" s="638">
        <f t="shared" si="11"/>
        <v>331</v>
      </c>
      <c r="N28" s="639">
        <f t="shared" si="11"/>
        <v>328</v>
      </c>
      <c r="O28" s="639">
        <f t="shared" si="11"/>
        <v>330</v>
      </c>
      <c r="P28" s="638">
        <f t="shared" si="11"/>
        <v>364</v>
      </c>
      <c r="Q28" s="639">
        <f t="shared" si="11"/>
        <v>349</v>
      </c>
      <c r="R28" s="640">
        <f t="shared" si="11"/>
        <v>321</v>
      </c>
      <c r="S28" s="638">
        <v>331</v>
      </c>
      <c r="T28" s="639">
        <v>316</v>
      </c>
      <c r="U28" s="640">
        <v>298</v>
      </c>
      <c r="V28" s="638">
        <f t="shared" ref="V28:AA28" si="12">SUM(V25:V27)</f>
        <v>324</v>
      </c>
      <c r="W28" s="639">
        <f t="shared" si="12"/>
        <v>317</v>
      </c>
      <c r="X28" s="640">
        <f t="shared" si="12"/>
        <v>295</v>
      </c>
      <c r="Y28" s="638">
        <f t="shared" si="12"/>
        <v>340</v>
      </c>
      <c r="Z28" s="639">
        <f t="shared" si="12"/>
        <v>344</v>
      </c>
      <c r="AA28" s="640">
        <f t="shared" si="12"/>
        <v>327</v>
      </c>
    </row>
    <row r="29" spans="2:27" x14ac:dyDescent="0.2">
      <c r="B29" s="6295" t="s">
        <v>6</v>
      </c>
      <c r="C29" s="218" t="s">
        <v>26</v>
      </c>
      <c r="D29" s="219">
        <v>6</v>
      </c>
      <c r="E29" s="220">
        <v>5</v>
      </c>
      <c r="F29" s="220">
        <v>3</v>
      </c>
      <c r="G29" s="219">
        <v>41</v>
      </c>
      <c r="H29" s="220">
        <v>32</v>
      </c>
      <c r="I29" s="220">
        <v>3</v>
      </c>
      <c r="J29" s="219">
        <v>73</v>
      </c>
      <c r="K29" s="220">
        <v>65</v>
      </c>
      <c r="L29" s="221">
        <v>1</v>
      </c>
      <c r="M29" s="219"/>
      <c r="N29" s="220">
        <v>82</v>
      </c>
      <c r="O29" s="220">
        <v>68</v>
      </c>
      <c r="P29" s="219"/>
      <c r="Q29" s="220">
        <v>81</v>
      </c>
      <c r="R29" s="221">
        <v>81</v>
      </c>
      <c r="S29" s="219">
        <v>1</v>
      </c>
      <c r="T29" s="220">
        <v>89</v>
      </c>
      <c r="U29" s="221">
        <v>85</v>
      </c>
      <c r="V29" s="219"/>
      <c r="W29" s="220"/>
      <c r="X29" s="221">
        <v>100</v>
      </c>
      <c r="Y29" s="219">
        <v>67</v>
      </c>
      <c r="Z29" s="220"/>
      <c r="AA29" s="221"/>
    </row>
    <row r="30" spans="2:27" x14ac:dyDescent="0.2">
      <c r="B30" s="6295"/>
      <c r="C30" s="218" t="s">
        <v>27</v>
      </c>
      <c r="D30" s="219">
        <v>115</v>
      </c>
      <c r="E30" s="220">
        <v>90</v>
      </c>
      <c r="F30" s="220">
        <v>86</v>
      </c>
      <c r="G30" s="219">
        <v>101</v>
      </c>
      <c r="H30" s="220">
        <v>87</v>
      </c>
      <c r="I30" s="220">
        <v>73</v>
      </c>
      <c r="J30" s="219">
        <v>78</v>
      </c>
      <c r="K30" s="220">
        <v>115</v>
      </c>
      <c r="L30" s="221">
        <v>97</v>
      </c>
      <c r="M30" s="219">
        <v>112</v>
      </c>
      <c r="N30" s="220">
        <v>106</v>
      </c>
      <c r="O30" s="220">
        <v>85</v>
      </c>
      <c r="P30" s="219">
        <v>121</v>
      </c>
      <c r="Q30" s="220">
        <v>151</v>
      </c>
      <c r="R30" s="221">
        <v>125</v>
      </c>
      <c r="S30" s="219">
        <v>155</v>
      </c>
      <c r="T30" s="220">
        <v>144</v>
      </c>
      <c r="U30" s="221">
        <v>129</v>
      </c>
      <c r="V30" s="219">
        <v>224</v>
      </c>
      <c r="W30" s="220">
        <v>212</v>
      </c>
      <c r="X30" s="221">
        <v>181</v>
      </c>
      <c r="Y30" s="219">
        <v>201</v>
      </c>
      <c r="Z30" s="220">
        <v>180</v>
      </c>
      <c r="AA30" s="221">
        <v>146</v>
      </c>
    </row>
    <row r="31" spans="2:27" x14ac:dyDescent="0.2">
      <c r="B31" s="6295"/>
      <c r="C31" s="218" t="s">
        <v>28</v>
      </c>
      <c r="D31" s="219">
        <v>224</v>
      </c>
      <c r="E31" s="220">
        <v>221</v>
      </c>
      <c r="F31" s="220">
        <v>186</v>
      </c>
      <c r="G31" s="219">
        <v>198</v>
      </c>
      <c r="H31" s="220">
        <v>182</v>
      </c>
      <c r="I31" s="220">
        <v>177</v>
      </c>
      <c r="J31" s="219">
        <v>201</v>
      </c>
      <c r="K31" s="220">
        <v>194</v>
      </c>
      <c r="L31" s="221">
        <v>169</v>
      </c>
      <c r="M31" s="219">
        <v>184</v>
      </c>
      <c r="N31" s="220">
        <v>185</v>
      </c>
      <c r="O31" s="220">
        <v>155</v>
      </c>
      <c r="P31" s="219">
        <v>155</v>
      </c>
      <c r="Q31" s="220">
        <v>175</v>
      </c>
      <c r="R31" s="221">
        <v>150</v>
      </c>
      <c r="S31" s="219">
        <v>185</v>
      </c>
      <c r="T31" s="220">
        <v>148</v>
      </c>
      <c r="U31" s="221">
        <v>131</v>
      </c>
      <c r="V31" s="219">
        <v>240</v>
      </c>
      <c r="W31" s="220">
        <v>221</v>
      </c>
      <c r="X31" s="221">
        <v>217</v>
      </c>
      <c r="Y31" s="219">
        <v>287</v>
      </c>
      <c r="Z31" s="220">
        <v>245</v>
      </c>
      <c r="AA31" s="221">
        <v>220</v>
      </c>
    </row>
    <row r="32" spans="2:27" s="222" customFormat="1" x14ac:dyDescent="0.2">
      <c r="B32" s="6296"/>
      <c r="C32" s="658" t="s">
        <v>14</v>
      </c>
      <c r="D32" s="638">
        <f>SUM(D29:D31)</f>
        <v>345</v>
      </c>
      <c r="E32" s="639">
        <f>SUM(E29:E31)</f>
        <v>316</v>
      </c>
      <c r="F32" s="639">
        <f>SUM(F29:F31)</f>
        <v>275</v>
      </c>
      <c r="G32" s="638">
        <f t="shared" ref="G32:R32" si="13">SUM(G29:G31)</f>
        <v>340</v>
      </c>
      <c r="H32" s="639">
        <f t="shared" si="13"/>
        <v>301</v>
      </c>
      <c r="I32" s="639">
        <f t="shared" si="13"/>
        <v>253</v>
      </c>
      <c r="J32" s="638">
        <f t="shared" si="13"/>
        <v>352</v>
      </c>
      <c r="K32" s="639">
        <f t="shared" si="13"/>
        <v>374</v>
      </c>
      <c r="L32" s="640">
        <f t="shared" si="13"/>
        <v>267</v>
      </c>
      <c r="M32" s="638">
        <f t="shared" si="13"/>
        <v>296</v>
      </c>
      <c r="N32" s="639">
        <f t="shared" si="13"/>
        <v>373</v>
      </c>
      <c r="O32" s="639">
        <f t="shared" si="13"/>
        <v>308</v>
      </c>
      <c r="P32" s="638">
        <f t="shared" si="13"/>
        <v>276</v>
      </c>
      <c r="Q32" s="639">
        <f t="shared" si="13"/>
        <v>407</v>
      </c>
      <c r="R32" s="640">
        <f t="shared" si="13"/>
        <v>356</v>
      </c>
      <c r="S32" s="638">
        <v>341</v>
      </c>
      <c r="T32" s="639">
        <v>381</v>
      </c>
      <c r="U32" s="640">
        <v>345</v>
      </c>
      <c r="V32" s="638">
        <f t="shared" ref="V32:AA32" si="14">SUM(V29:V31)</f>
        <v>464</v>
      </c>
      <c r="W32" s="639">
        <f t="shared" si="14"/>
        <v>433</v>
      </c>
      <c r="X32" s="640">
        <f t="shared" si="14"/>
        <v>498</v>
      </c>
      <c r="Y32" s="638">
        <f t="shared" si="14"/>
        <v>555</v>
      </c>
      <c r="Z32" s="639">
        <f t="shared" si="14"/>
        <v>425</v>
      </c>
      <c r="AA32" s="640">
        <f t="shared" si="14"/>
        <v>366</v>
      </c>
    </row>
    <row r="33" spans="2:27" x14ac:dyDescent="0.2">
      <c r="B33" s="6295" t="s">
        <v>11</v>
      </c>
      <c r="C33" s="218" t="s">
        <v>26</v>
      </c>
      <c r="D33" s="219">
        <v>28</v>
      </c>
      <c r="E33" s="220">
        <v>27</v>
      </c>
      <c r="F33" s="220">
        <v>11</v>
      </c>
      <c r="G33" s="219">
        <v>27</v>
      </c>
      <c r="H33" s="220">
        <v>27</v>
      </c>
      <c r="I33" s="220">
        <v>20</v>
      </c>
      <c r="J33" s="219">
        <v>31</v>
      </c>
      <c r="K33" s="220">
        <v>29</v>
      </c>
      <c r="L33" s="221">
        <v>20</v>
      </c>
      <c r="M33" s="219">
        <v>30</v>
      </c>
      <c r="N33" s="220">
        <v>35</v>
      </c>
      <c r="O33" s="220">
        <v>31</v>
      </c>
      <c r="P33" s="219">
        <v>28</v>
      </c>
      <c r="Q33" s="220">
        <v>26</v>
      </c>
      <c r="R33" s="221">
        <v>33</v>
      </c>
      <c r="S33" s="219">
        <v>39</v>
      </c>
      <c r="T33" s="220">
        <v>31</v>
      </c>
      <c r="U33" s="221">
        <v>30</v>
      </c>
      <c r="V33" s="219">
        <v>39</v>
      </c>
      <c r="W33" s="220">
        <v>33</v>
      </c>
      <c r="X33" s="221">
        <v>24</v>
      </c>
      <c r="Y33" s="219">
        <v>36</v>
      </c>
      <c r="Z33" s="220">
        <v>35</v>
      </c>
      <c r="AA33" s="221">
        <v>29</v>
      </c>
    </row>
    <row r="34" spans="2:27" x14ac:dyDescent="0.2">
      <c r="B34" s="6295"/>
      <c r="C34" s="218" t="s">
        <v>27</v>
      </c>
      <c r="D34" s="219">
        <v>94</v>
      </c>
      <c r="E34" s="220">
        <v>100</v>
      </c>
      <c r="F34" s="220">
        <v>89</v>
      </c>
      <c r="G34" s="219">
        <v>99</v>
      </c>
      <c r="H34" s="220">
        <v>97</v>
      </c>
      <c r="I34" s="220">
        <v>77</v>
      </c>
      <c r="J34" s="219">
        <v>69</v>
      </c>
      <c r="K34" s="220">
        <v>66</v>
      </c>
      <c r="L34" s="221">
        <v>57</v>
      </c>
      <c r="M34" s="219">
        <v>66</v>
      </c>
      <c r="N34" s="220">
        <v>62</v>
      </c>
      <c r="O34" s="220">
        <v>55</v>
      </c>
      <c r="P34" s="219">
        <v>88</v>
      </c>
      <c r="Q34" s="220">
        <v>78</v>
      </c>
      <c r="R34" s="221">
        <v>70</v>
      </c>
      <c r="S34" s="219">
        <v>105</v>
      </c>
      <c r="T34" s="220">
        <v>94</v>
      </c>
      <c r="U34" s="221">
        <v>92</v>
      </c>
      <c r="V34" s="219">
        <v>123</v>
      </c>
      <c r="W34" s="220">
        <v>122</v>
      </c>
      <c r="X34" s="221">
        <v>109</v>
      </c>
      <c r="Y34" s="219">
        <v>134</v>
      </c>
      <c r="Z34" s="220">
        <v>114</v>
      </c>
      <c r="AA34" s="221">
        <v>107</v>
      </c>
    </row>
    <row r="35" spans="2:27" x14ac:dyDescent="0.2">
      <c r="B35" s="6295"/>
      <c r="C35" s="218" t="s">
        <v>28</v>
      </c>
      <c r="D35" s="219">
        <v>134</v>
      </c>
      <c r="E35" s="220">
        <v>148</v>
      </c>
      <c r="F35" s="220">
        <v>132</v>
      </c>
      <c r="G35" s="219">
        <v>134</v>
      </c>
      <c r="H35" s="220">
        <v>143</v>
      </c>
      <c r="I35" s="220">
        <v>115</v>
      </c>
      <c r="J35" s="219">
        <v>125</v>
      </c>
      <c r="K35" s="220">
        <v>155</v>
      </c>
      <c r="L35" s="221">
        <v>141</v>
      </c>
      <c r="M35" s="219">
        <v>143</v>
      </c>
      <c r="N35" s="220">
        <v>147</v>
      </c>
      <c r="O35" s="220">
        <v>142</v>
      </c>
      <c r="P35" s="219">
        <v>142</v>
      </c>
      <c r="Q35" s="220">
        <v>151</v>
      </c>
      <c r="R35" s="221">
        <v>136</v>
      </c>
      <c r="S35" s="219">
        <v>139</v>
      </c>
      <c r="T35" s="220">
        <v>134</v>
      </c>
      <c r="U35" s="221">
        <v>132</v>
      </c>
      <c r="V35" s="219">
        <v>152</v>
      </c>
      <c r="W35" s="220">
        <v>161</v>
      </c>
      <c r="X35" s="221">
        <v>147</v>
      </c>
      <c r="Y35" s="219">
        <v>161</v>
      </c>
      <c r="Z35" s="220">
        <v>178</v>
      </c>
      <c r="AA35" s="221">
        <v>169</v>
      </c>
    </row>
    <row r="36" spans="2:27" s="222" customFormat="1" x14ac:dyDescent="0.2">
      <c r="B36" s="6296"/>
      <c r="C36" s="658" t="s">
        <v>30</v>
      </c>
      <c r="D36" s="638">
        <f>SUM(D33:D35)</f>
        <v>256</v>
      </c>
      <c r="E36" s="639">
        <f>SUM(E33:E35)</f>
        <v>275</v>
      </c>
      <c r="F36" s="639">
        <f>SUM(F33:F35)</f>
        <v>232</v>
      </c>
      <c r="G36" s="638">
        <f t="shared" ref="G36:R36" si="15">SUM(G33:G35)</f>
        <v>260</v>
      </c>
      <c r="H36" s="639">
        <f t="shared" si="15"/>
        <v>267</v>
      </c>
      <c r="I36" s="639">
        <f t="shared" si="15"/>
        <v>212</v>
      </c>
      <c r="J36" s="638">
        <f t="shared" si="15"/>
        <v>225</v>
      </c>
      <c r="K36" s="639">
        <f t="shared" si="15"/>
        <v>250</v>
      </c>
      <c r="L36" s="640">
        <f t="shared" si="15"/>
        <v>218</v>
      </c>
      <c r="M36" s="638">
        <f t="shared" si="15"/>
        <v>239</v>
      </c>
      <c r="N36" s="639">
        <f t="shared" si="15"/>
        <v>244</v>
      </c>
      <c r="O36" s="639">
        <f t="shared" si="15"/>
        <v>228</v>
      </c>
      <c r="P36" s="638">
        <f t="shared" si="15"/>
        <v>258</v>
      </c>
      <c r="Q36" s="639">
        <f t="shared" si="15"/>
        <v>255</v>
      </c>
      <c r="R36" s="640">
        <f t="shared" si="15"/>
        <v>239</v>
      </c>
      <c r="S36" s="638">
        <v>283</v>
      </c>
      <c r="T36" s="639">
        <v>259</v>
      </c>
      <c r="U36" s="640">
        <v>254</v>
      </c>
      <c r="V36" s="638">
        <f t="shared" ref="V36:AA36" si="16">SUM(V33:V35)</f>
        <v>314</v>
      </c>
      <c r="W36" s="639">
        <f t="shared" si="16"/>
        <v>316</v>
      </c>
      <c r="X36" s="640">
        <f t="shared" si="16"/>
        <v>280</v>
      </c>
      <c r="Y36" s="638">
        <f t="shared" si="16"/>
        <v>331</v>
      </c>
      <c r="Z36" s="639">
        <f t="shared" si="16"/>
        <v>327</v>
      </c>
      <c r="AA36" s="640">
        <f t="shared" si="16"/>
        <v>305</v>
      </c>
    </row>
    <row r="37" spans="2:27" x14ac:dyDescent="0.2">
      <c r="B37" s="6305" t="s">
        <v>134</v>
      </c>
      <c r="C37" s="218" t="s">
        <v>26</v>
      </c>
      <c r="D37" s="219">
        <f t="shared" ref="D37:R37" si="17">D25+D29+D33</f>
        <v>34</v>
      </c>
      <c r="E37" s="220">
        <f t="shared" si="17"/>
        <v>32</v>
      </c>
      <c r="F37" s="220">
        <f t="shared" si="17"/>
        <v>14</v>
      </c>
      <c r="G37" s="219">
        <f t="shared" si="17"/>
        <v>68</v>
      </c>
      <c r="H37" s="220">
        <f t="shared" si="17"/>
        <v>59</v>
      </c>
      <c r="I37" s="220">
        <f t="shared" si="17"/>
        <v>23</v>
      </c>
      <c r="J37" s="219">
        <f t="shared" si="17"/>
        <v>104</v>
      </c>
      <c r="K37" s="220">
        <f t="shared" si="17"/>
        <v>94</v>
      </c>
      <c r="L37" s="221">
        <f t="shared" si="17"/>
        <v>21</v>
      </c>
      <c r="M37" s="219">
        <f t="shared" si="17"/>
        <v>30</v>
      </c>
      <c r="N37" s="220">
        <f t="shared" si="17"/>
        <v>117</v>
      </c>
      <c r="O37" s="220">
        <f t="shared" si="17"/>
        <v>99</v>
      </c>
      <c r="P37" s="219">
        <f t="shared" si="17"/>
        <v>28</v>
      </c>
      <c r="Q37" s="220">
        <f t="shared" si="17"/>
        <v>107</v>
      </c>
      <c r="R37" s="221">
        <f t="shared" si="17"/>
        <v>114</v>
      </c>
      <c r="S37" s="219">
        <v>40</v>
      </c>
      <c r="T37" s="220">
        <v>120</v>
      </c>
      <c r="U37" s="221">
        <v>115</v>
      </c>
      <c r="V37" s="219">
        <f t="shared" ref="V37:AA40" si="18">V25+V29+V33</f>
        <v>39</v>
      </c>
      <c r="W37" s="220">
        <f t="shared" si="18"/>
        <v>33</v>
      </c>
      <c r="X37" s="221">
        <f t="shared" si="18"/>
        <v>124</v>
      </c>
      <c r="Y37" s="219">
        <f t="shared" si="18"/>
        <v>103</v>
      </c>
      <c r="Z37" s="220">
        <f t="shared" si="18"/>
        <v>35</v>
      </c>
      <c r="AA37" s="221">
        <f t="shared" si="18"/>
        <v>29</v>
      </c>
    </row>
    <row r="38" spans="2:27" x14ac:dyDescent="0.2">
      <c r="B38" s="6306"/>
      <c r="C38" s="218" t="s">
        <v>27</v>
      </c>
      <c r="D38" s="219">
        <f t="shared" ref="D38:R38" si="19">D26+D30+D34</f>
        <v>259</v>
      </c>
      <c r="E38" s="220">
        <f t="shared" si="19"/>
        <v>236</v>
      </c>
      <c r="F38" s="220">
        <f t="shared" si="19"/>
        <v>224</v>
      </c>
      <c r="G38" s="219">
        <f t="shared" si="19"/>
        <v>261</v>
      </c>
      <c r="H38" s="220">
        <f t="shared" si="19"/>
        <v>244</v>
      </c>
      <c r="I38" s="220">
        <f t="shared" si="19"/>
        <v>215</v>
      </c>
      <c r="J38" s="219">
        <f t="shared" si="19"/>
        <v>227</v>
      </c>
      <c r="K38" s="220">
        <f t="shared" si="19"/>
        <v>265</v>
      </c>
      <c r="L38" s="221">
        <f t="shared" si="19"/>
        <v>240</v>
      </c>
      <c r="M38" s="219">
        <f t="shared" si="19"/>
        <v>293</v>
      </c>
      <c r="N38" s="220">
        <f t="shared" si="19"/>
        <v>284</v>
      </c>
      <c r="O38" s="220">
        <f t="shared" si="19"/>
        <v>259</v>
      </c>
      <c r="P38" s="219">
        <f t="shared" si="19"/>
        <v>403</v>
      </c>
      <c r="Q38" s="220">
        <f t="shared" si="19"/>
        <v>372</v>
      </c>
      <c r="R38" s="221">
        <f t="shared" si="19"/>
        <v>322</v>
      </c>
      <c r="S38" s="219">
        <v>395</v>
      </c>
      <c r="T38" s="220">
        <v>368</v>
      </c>
      <c r="U38" s="221">
        <v>339</v>
      </c>
      <c r="V38" s="219">
        <f t="shared" si="18"/>
        <v>483</v>
      </c>
      <c r="W38" s="220">
        <f t="shared" si="18"/>
        <v>464</v>
      </c>
      <c r="X38" s="221">
        <f t="shared" si="18"/>
        <v>398</v>
      </c>
      <c r="Y38" s="219">
        <f t="shared" si="18"/>
        <v>481</v>
      </c>
      <c r="Z38" s="220">
        <f t="shared" si="18"/>
        <v>441</v>
      </c>
      <c r="AA38" s="221">
        <f t="shared" si="18"/>
        <v>387</v>
      </c>
    </row>
    <row r="39" spans="2:27" x14ac:dyDescent="0.2">
      <c r="B39" s="6306"/>
      <c r="C39" s="656" t="s">
        <v>28</v>
      </c>
      <c r="D39" s="517">
        <f t="shared" ref="D39:R39" si="20">D27+D31+D35</f>
        <v>574</v>
      </c>
      <c r="E39" s="636">
        <f t="shared" si="20"/>
        <v>582</v>
      </c>
      <c r="F39" s="636">
        <f t="shared" si="20"/>
        <v>519</v>
      </c>
      <c r="G39" s="517">
        <f t="shared" si="20"/>
        <v>533</v>
      </c>
      <c r="H39" s="636">
        <f t="shared" si="20"/>
        <v>524</v>
      </c>
      <c r="I39" s="636">
        <f t="shared" si="20"/>
        <v>486</v>
      </c>
      <c r="J39" s="517">
        <f t="shared" si="20"/>
        <v>521</v>
      </c>
      <c r="K39" s="636">
        <f t="shared" si="20"/>
        <v>554</v>
      </c>
      <c r="L39" s="637">
        <f t="shared" si="20"/>
        <v>515</v>
      </c>
      <c r="M39" s="517">
        <f t="shared" si="20"/>
        <v>543</v>
      </c>
      <c r="N39" s="636">
        <f t="shared" si="20"/>
        <v>544</v>
      </c>
      <c r="O39" s="636">
        <f t="shared" si="20"/>
        <v>508</v>
      </c>
      <c r="P39" s="517">
        <f t="shared" si="20"/>
        <v>467</v>
      </c>
      <c r="Q39" s="636">
        <f t="shared" si="20"/>
        <v>532</v>
      </c>
      <c r="R39" s="637">
        <f t="shared" si="20"/>
        <v>480</v>
      </c>
      <c r="S39" s="517">
        <v>520</v>
      </c>
      <c r="T39" s="636">
        <v>468</v>
      </c>
      <c r="U39" s="637">
        <v>443</v>
      </c>
      <c r="V39" s="517">
        <f t="shared" si="18"/>
        <v>580</v>
      </c>
      <c r="W39" s="636">
        <f t="shared" si="18"/>
        <v>569</v>
      </c>
      <c r="X39" s="637">
        <f t="shared" si="18"/>
        <v>551</v>
      </c>
      <c r="Y39" s="517">
        <f t="shared" si="18"/>
        <v>642</v>
      </c>
      <c r="Z39" s="636">
        <f t="shared" si="18"/>
        <v>620</v>
      </c>
      <c r="AA39" s="637">
        <f t="shared" si="18"/>
        <v>582</v>
      </c>
    </row>
    <row r="40" spans="2:27" s="222" customFormat="1" ht="15" x14ac:dyDescent="0.2">
      <c r="B40" s="6307"/>
      <c r="C40" s="628" t="s">
        <v>12</v>
      </c>
      <c r="D40" s="653">
        <f>D37+D38+D39</f>
        <v>867</v>
      </c>
      <c r="E40" s="654">
        <f>E37+E38+E39</f>
        <v>850</v>
      </c>
      <c r="F40" s="654">
        <f>F37+F38+F39</f>
        <v>757</v>
      </c>
      <c r="G40" s="653">
        <f t="shared" ref="G40:R40" si="21">G37+G38+G39</f>
        <v>862</v>
      </c>
      <c r="H40" s="654">
        <f t="shared" si="21"/>
        <v>827</v>
      </c>
      <c r="I40" s="654">
        <f t="shared" si="21"/>
        <v>724</v>
      </c>
      <c r="J40" s="653">
        <f t="shared" si="21"/>
        <v>852</v>
      </c>
      <c r="K40" s="654">
        <f t="shared" si="21"/>
        <v>913</v>
      </c>
      <c r="L40" s="655">
        <f t="shared" si="21"/>
        <v>776</v>
      </c>
      <c r="M40" s="653">
        <f t="shared" si="21"/>
        <v>866</v>
      </c>
      <c r="N40" s="654">
        <f t="shared" si="21"/>
        <v>945</v>
      </c>
      <c r="O40" s="654">
        <f t="shared" si="21"/>
        <v>866</v>
      </c>
      <c r="P40" s="653">
        <f t="shared" si="21"/>
        <v>898</v>
      </c>
      <c r="Q40" s="654">
        <f t="shared" si="21"/>
        <v>1011</v>
      </c>
      <c r="R40" s="655">
        <f t="shared" si="21"/>
        <v>916</v>
      </c>
      <c r="S40" s="653">
        <v>955</v>
      </c>
      <c r="T40" s="654">
        <v>956</v>
      </c>
      <c r="U40" s="655">
        <v>897</v>
      </c>
      <c r="V40" s="633">
        <f t="shared" si="18"/>
        <v>1102</v>
      </c>
      <c r="W40" s="634">
        <f t="shared" si="18"/>
        <v>1066</v>
      </c>
      <c r="X40" s="635">
        <f t="shared" si="18"/>
        <v>1073</v>
      </c>
      <c r="Y40" s="633">
        <f t="shared" si="18"/>
        <v>1226</v>
      </c>
      <c r="Z40" s="634">
        <f t="shared" si="18"/>
        <v>1096</v>
      </c>
      <c r="AA40" s="635">
        <f t="shared" si="18"/>
        <v>998</v>
      </c>
    </row>
    <row r="41" spans="2:27" x14ac:dyDescent="0.2">
      <c r="C41" s="209"/>
      <c r="D41" s="209"/>
      <c r="E41" s="209"/>
      <c r="F41" s="209"/>
    </row>
    <row r="42" spans="2:27" x14ac:dyDescent="0.2">
      <c r="B42" s="6294" t="s">
        <v>6</v>
      </c>
      <c r="C42" s="395" t="s">
        <v>26</v>
      </c>
      <c r="D42" s="396">
        <v>24</v>
      </c>
      <c r="E42" s="397">
        <v>22</v>
      </c>
      <c r="F42" s="397">
        <v>16</v>
      </c>
      <c r="G42" s="396">
        <v>0</v>
      </c>
      <c r="H42" s="397">
        <v>0</v>
      </c>
      <c r="I42" s="397">
        <v>1</v>
      </c>
      <c r="J42" s="396">
        <v>4</v>
      </c>
      <c r="K42" s="397">
        <v>4</v>
      </c>
      <c r="L42" s="398">
        <v>0</v>
      </c>
      <c r="M42" s="396">
        <v>0</v>
      </c>
      <c r="N42" s="397">
        <v>0</v>
      </c>
      <c r="O42" s="397">
        <v>0</v>
      </c>
      <c r="P42" s="396">
        <v>16</v>
      </c>
      <c r="Q42" s="397">
        <v>2</v>
      </c>
      <c r="R42" s="398">
        <v>0</v>
      </c>
      <c r="S42" s="396">
        <v>4</v>
      </c>
      <c r="T42" s="397">
        <v>4</v>
      </c>
      <c r="U42" s="398">
        <v>1</v>
      </c>
      <c r="V42" s="396">
        <v>2</v>
      </c>
      <c r="W42" s="397">
        <v>2</v>
      </c>
      <c r="X42" s="398">
        <v>0</v>
      </c>
      <c r="Y42" s="396"/>
      <c r="Z42" s="397"/>
      <c r="AA42" s="398"/>
    </row>
    <row r="43" spans="2:27" x14ac:dyDescent="0.2">
      <c r="B43" s="6295"/>
      <c r="C43" s="218" t="s">
        <v>27</v>
      </c>
      <c r="D43" s="219">
        <v>131</v>
      </c>
      <c r="E43" s="220">
        <v>131</v>
      </c>
      <c r="F43" s="220">
        <v>134</v>
      </c>
      <c r="G43" s="219">
        <v>146</v>
      </c>
      <c r="H43" s="220">
        <v>134</v>
      </c>
      <c r="I43" s="220">
        <v>44</v>
      </c>
      <c r="J43" s="219">
        <v>148</v>
      </c>
      <c r="K43" s="220">
        <v>141</v>
      </c>
      <c r="L43" s="221">
        <v>120</v>
      </c>
      <c r="M43" s="219">
        <v>136</v>
      </c>
      <c r="N43" s="220">
        <v>140</v>
      </c>
      <c r="O43" s="220">
        <v>58</v>
      </c>
      <c r="P43" s="219">
        <v>150</v>
      </c>
      <c r="Q43" s="220">
        <v>143</v>
      </c>
      <c r="R43" s="221">
        <v>98</v>
      </c>
      <c r="S43" s="219">
        <v>142</v>
      </c>
      <c r="T43" s="220">
        <v>157</v>
      </c>
      <c r="U43" s="221">
        <v>74</v>
      </c>
      <c r="V43" s="219">
        <v>191</v>
      </c>
      <c r="W43" s="220">
        <v>205</v>
      </c>
      <c r="X43" s="221">
        <v>150</v>
      </c>
      <c r="Y43" s="219">
        <v>176</v>
      </c>
      <c r="Z43" s="220">
        <v>208</v>
      </c>
      <c r="AA43" s="221">
        <v>66</v>
      </c>
    </row>
    <row r="44" spans="2:27" x14ac:dyDescent="0.2">
      <c r="B44" s="6295"/>
      <c r="C44" s="218" t="s">
        <v>28</v>
      </c>
      <c r="D44" s="219">
        <v>74</v>
      </c>
      <c r="E44" s="220">
        <v>113</v>
      </c>
      <c r="F44" s="220">
        <v>115</v>
      </c>
      <c r="G44" s="219">
        <v>106</v>
      </c>
      <c r="H44" s="220">
        <v>103</v>
      </c>
      <c r="I44" s="220">
        <v>91</v>
      </c>
      <c r="J44" s="219">
        <v>74</v>
      </c>
      <c r="K44" s="220">
        <v>135</v>
      </c>
      <c r="L44" s="221">
        <v>131</v>
      </c>
      <c r="M44" s="219">
        <v>108</v>
      </c>
      <c r="N44" s="220">
        <v>108</v>
      </c>
      <c r="O44" s="220">
        <v>100</v>
      </c>
      <c r="P44" s="219">
        <v>96</v>
      </c>
      <c r="Q44" s="220">
        <v>154</v>
      </c>
      <c r="R44" s="221">
        <v>135</v>
      </c>
      <c r="S44" s="219">
        <v>131</v>
      </c>
      <c r="T44" s="220">
        <v>158</v>
      </c>
      <c r="U44" s="221">
        <v>127</v>
      </c>
      <c r="V44" s="219">
        <v>119</v>
      </c>
      <c r="W44" s="220">
        <v>206</v>
      </c>
      <c r="X44" s="221">
        <v>175</v>
      </c>
      <c r="Y44" s="219">
        <v>153</v>
      </c>
      <c r="Z44" s="220">
        <v>191</v>
      </c>
      <c r="AA44" s="221">
        <v>141</v>
      </c>
    </row>
    <row r="45" spans="2:27" s="222" customFormat="1" x14ac:dyDescent="0.2">
      <c r="B45" s="6296"/>
      <c r="C45" s="658" t="s">
        <v>14</v>
      </c>
      <c r="D45" s="638">
        <f>SUM(D42:D44)</f>
        <v>229</v>
      </c>
      <c r="E45" s="639">
        <f>SUM(E42:E44)</f>
        <v>266</v>
      </c>
      <c r="F45" s="639">
        <f>SUM(F42:F44)</f>
        <v>265</v>
      </c>
      <c r="G45" s="638">
        <f t="shared" ref="G45:R45" si="22">SUM(G42:G44)</f>
        <v>252</v>
      </c>
      <c r="H45" s="639">
        <f t="shared" si="22"/>
        <v>237</v>
      </c>
      <c r="I45" s="639">
        <f t="shared" si="22"/>
        <v>136</v>
      </c>
      <c r="J45" s="638">
        <f t="shared" si="22"/>
        <v>226</v>
      </c>
      <c r="K45" s="639">
        <f t="shared" si="22"/>
        <v>280</v>
      </c>
      <c r="L45" s="640">
        <f t="shared" si="22"/>
        <v>251</v>
      </c>
      <c r="M45" s="638">
        <f t="shared" si="22"/>
        <v>244</v>
      </c>
      <c r="N45" s="639">
        <f t="shared" si="22"/>
        <v>248</v>
      </c>
      <c r="O45" s="639">
        <f t="shared" si="22"/>
        <v>158</v>
      </c>
      <c r="P45" s="638">
        <f t="shared" si="22"/>
        <v>262</v>
      </c>
      <c r="Q45" s="639">
        <f t="shared" si="22"/>
        <v>299</v>
      </c>
      <c r="R45" s="640">
        <f t="shared" si="22"/>
        <v>233</v>
      </c>
      <c r="S45" s="638">
        <v>277</v>
      </c>
      <c r="T45" s="639">
        <v>319</v>
      </c>
      <c r="U45" s="640">
        <v>202</v>
      </c>
      <c r="V45" s="638">
        <f t="shared" ref="V45:AA45" si="23">SUM(V42:V44)</f>
        <v>312</v>
      </c>
      <c r="W45" s="639">
        <f t="shared" si="23"/>
        <v>413</v>
      </c>
      <c r="X45" s="640">
        <f t="shared" si="23"/>
        <v>325</v>
      </c>
      <c r="Y45" s="638">
        <f t="shared" si="23"/>
        <v>329</v>
      </c>
      <c r="Z45" s="639">
        <f t="shared" si="23"/>
        <v>399</v>
      </c>
      <c r="AA45" s="640">
        <f t="shared" si="23"/>
        <v>207</v>
      </c>
    </row>
    <row r="46" spans="2:27" x14ac:dyDescent="0.2">
      <c r="B46" s="6295" t="s">
        <v>11</v>
      </c>
      <c r="C46" s="218" t="s">
        <v>26</v>
      </c>
      <c r="D46" s="219"/>
      <c r="E46" s="220">
        <v>8</v>
      </c>
      <c r="F46" s="220">
        <v>6</v>
      </c>
      <c r="G46" s="219"/>
      <c r="H46" s="220">
        <v>10</v>
      </c>
      <c r="I46" s="220">
        <v>10</v>
      </c>
      <c r="J46" s="219"/>
      <c r="K46" s="220"/>
      <c r="L46" s="221"/>
      <c r="M46" s="219"/>
      <c r="N46" s="220">
        <v>11</v>
      </c>
      <c r="O46" s="220">
        <v>11</v>
      </c>
      <c r="P46" s="219"/>
      <c r="Q46" s="220">
        <v>8</v>
      </c>
      <c r="R46" s="221">
        <v>8</v>
      </c>
      <c r="S46" s="219">
        <v>0</v>
      </c>
      <c r="T46" s="220">
        <v>12</v>
      </c>
      <c r="U46" s="221">
        <v>12</v>
      </c>
      <c r="V46" s="219">
        <v>0</v>
      </c>
      <c r="W46" s="220">
        <v>8</v>
      </c>
      <c r="X46" s="221">
        <v>7</v>
      </c>
      <c r="Y46" s="219">
        <v>1</v>
      </c>
      <c r="Z46" s="220"/>
      <c r="AA46" s="221"/>
    </row>
    <row r="47" spans="2:27" x14ac:dyDescent="0.2">
      <c r="B47" s="6295"/>
      <c r="C47" s="218" t="s">
        <v>27</v>
      </c>
      <c r="D47" s="219">
        <v>73</v>
      </c>
      <c r="E47" s="220">
        <v>69</v>
      </c>
      <c r="F47" s="220">
        <v>52</v>
      </c>
      <c r="G47" s="219">
        <v>66</v>
      </c>
      <c r="H47" s="220">
        <v>79</v>
      </c>
      <c r="I47" s="220">
        <v>66</v>
      </c>
      <c r="J47" s="219">
        <v>68</v>
      </c>
      <c r="K47" s="220">
        <v>77</v>
      </c>
      <c r="L47" s="221">
        <v>51</v>
      </c>
      <c r="M47" s="219">
        <v>102</v>
      </c>
      <c r="N47" s="220">
        <v>101</v>
      </c>
      <c r="O47" s="220">
        <v>75</v>
      </c>
      <c r="P47" s="219">
        <v>112</v>
      </c>
      <c r="Q47" s="220">
        <v>102</v>
      </c>
      <c r="R47" s="221">
        <v>76</v>
      </c>
      <c r="S47" s="219">
        <v>103</v>
      </c>
      <c r="T47" s="220">
        <v>96</v>
      </c>
      <c r="U47" s="221">
        <v>94</v>
      </c>
      <c r="V47" s="219">
        <v>123</v>
      </c>
      <c r="W47" s="220">
        <v>130</v>
      </c>
      <c r="X47" s="221">
        <v>94</v>
      </c>
      <c r="Y47" s="219">
        <v>127</v>
      </c>
      <c r="Z47" s="220">
        <v>143</v>
      </c>
      <c r="AA47" s="221">
        <v>106</v>
      </c>
    </row>
    <row r="48" spans="2:27" x14ac:dyDescent="0.2">
      <c r="B48" s="6295"/>
      <c r="C48" s="218" t="s">
        <v>28</v>
      </c>
      <c r="D48" s="219">
        <v>55</v>
      </c>
      <c r="E48" s="220">
        <v>56</v>
      </c>
      <c r="F48" s="220">
        <v>48</v>
      </c>
      <c r="G48" s="219">
        <v>55</v>
      </c>
      <c r="H48" s="220">
        <v>56</v>
      </c>
      <c r="I48" s="220">
        <v>53</v>
      </c>
      <c r="J48" s="219">
        <v>53</v>
      </c>
      <c r="K48" s="220">
        <v>55</v>
      </c>
      <c r="L48" s="221">
        <v>50</v>
      </c>
      <c r="M48" s="219">
        <v>50</v>
      </c>
      <c r="N48" s="220">
        <v>48</v>
      </c>
      <c r="O48" s="220">
        <v>51</v>
      </c>
      <c r="P48" s="219">
        <v>72</v>
      </c>
      <c r="Q48" s="220">
        <v>64</v>
      </c>
      <c r="R48" s="221">
        <v>58</v>
      </c>
      <c r="S48" s="219">
        <v>70</v>
      </c>
      <c r="T48" s="220">
        <v>66</v>
      </c>
      <c r="U48" s="221">
        <v>65</v>
      </c>
      <c r="V48" s="219">
        <v>65</v>
      </c>
      <c r="W48" s="220">
        <v>78</v>
      </c>
      <c r="X48" s="221">
        <v>72</v>
      </c>
      <c r="Y48" s="219">
        <v>81</v>
      </c>
      <c r="Z48" s="220">
        <v>73</v>
      </c>
      <c r="AA48" s="221">
        <v>67</v>
      </c>
    </row>
    <row r="49" spans="2:27" s="222" customFormat="1" x14ac:dyDescent="0.2">
      <c r="B49" s="6296"/>
      <c r="C49" s="658" t="s">
        <v>30</v>
      </c>
      <c r="D49" s="638">
        <f>SUM(D46:D48)</f>
        <v>128</v>
      </c>
      <c r="E49" s="639">
        <f>SUM(E46:E48)</f>
        <v>133</v>
      </c>
      <c r="F49" s="639">
        <f>SUM(F46:F48)</f>
        <v>106</v>
      </c>
      <c r="G49" s="638">
        <f t="shared" ref="G49:R49" si="24">SUM(G46:G48)</f>
        <v>121</v>
      </c>
      <c r="H49" s="639">
        <f t="shared" si="24"/>
        <v>145</v>
      </c>
      <c r="I49" s="639">
        <f t="shared" si="24"/>
        <v>129</v>
      </c>
      <c r="J49" s="638">
        <f t="shared" si="24"/>
        <v>121</v>
      </c>
      <c r="K49" s="639">
        <f t="shared" si="24"/>
        <v>132</v>
      </c>
      <c r="L49" s="640">
        <f t="shared" si="24"/>
        <v>101</v>
      </c>
      <c r="M49" s="638">
        <f t="shared" si="24"/>
        <v>152</v>
      </c>
      <c r="N49" s="639">
        <f t="shared" si="24"/>
        <v>160</v>
      </c>
      <c r="O49" s="639">
        <f t="shared" si="24"/>
        <v>137</v>
      </c>
      <c r="P49" s="638">
        <f t="shared" si="24"/>
        <v>184</v>
      </c>
      <c r="Q49" s="639">
        <f t="shared" si="24"/>
        <v>174</v>
      </c>
      <c r="R49" s="640">
        <f t="shared" si="24"/>
        <v>142</v>
      </c>
      <c r="S49" s="638">
        <v>173</v>
      </c>
      <c r="T49" s="639">
        <v>174</v>
      </c>
      <c r="U49" s="640">
        <v>171</v>
      </c>
      <c r="V49" s="638">
        <f t="shared" ref="V49:AA49" si="25">SUM(V46:V48)</f>
        <v>188</v>
      </c>
      <c r="W49" s="639">
        <f t="shared" si="25"/>
        <v>216</v>
      </c>
      <c r="X49" s="640">
        <f t="shared" si="25"/>
        <v>173</v>
      </c>
      <c r="Y49" s="638">
        <f t="shared" si="25"/>
        <v>209</v>
      </c>
      <c r="Z49" s="639">
        <f t="shared" si="25"/>
        <v>216</v>
      </c>
      <c r="AA49" s="640">
        <f t="shared" si="25"/>
        <v>173</v>
      </c>
    </row>
    <row r="50" spans="2:27" x14ac:dyDescent="0.2">
      <c r="B50" s="6295" t="s">
        <v>7</v>
      </c>
      <c r="C50" s="218" t="s">
        <v>26</v>
      </c>
      <c r="D50" s="219"/>
      <c r="E50" s="220"/>
      <c r="F50" s="220"/>
      <c r="G50" s="219"/>
      <c r="H50" s="220"/>
      <c r="I50" s="220"/>
      <c r="J50" s="219"/>
      <c r="K50" s="220"/>
      <c r="L50" s="221"/>
      <c r="M50" s="219"/>
      <c r="N50" s="220"/>
      <c r="O50" s="220"/>
      <c r="P50" s="219"/>
      <c r="Q50" s="220"/>
      <c r="R50" s="221"/>
      <c r="S50" s="219"/>
      <c r="T50" s="220"/>
      <c r="U50" s="221"/>
      <c r="V50" s="219"/>
      <c r="W50" s="220"/>
      <c r="X50" s="221"/>
      <c r="Y50" s="219"/>
      <c r="Z50" s="220"/>
      <c r="AA50" s="221"/>
    </row>
    <row r="51" spans="2:27" x14ac:dyDescent="0.2">
      <c r="B51" s="6295"/>
      <c r="C51" s="218" t="s">
        <v>27</v>
      </c>
      <c r="D51" s="219">
        <v>20</v>
      </c>
      <c r="E51" s="220">
        <v>19</v>
      </c>
      <c r="F51" s="220">
        <v>19</v>
      </c>
      <c r="G51" s="219">
        <v>37</v>
      </c>
      <c r="H51" s="220">
        <v>37</v>
      </c>
      <c r="I51" s="220">
        <v>23</v>
      </c>
      <c r="J51" s="219">
        <v>47</v>
      </c>
      <c r="K51" s="220">
        <v>44</v>
      </c>
      <c r="L51" s="221">
        <v>27</v>
      </c>
      <c r="M51" s="219">
        <v>47</v>
      </c>
      <c r="N51" s="220">
        <v>44</v>
      </c>
      <c r="O51" s="220">
        <v>20</v>
      </c>
      <c r="P51" s="219">
        <v>44</v>
      </c>
      <c r="Q51" s="220">
        <v>42</v>
      </c>
      <c r="R51" s="221">
        <v>21</v>
      </c>
      <c r="S51" s="219">
        <v>42</v>
      </c>
      <c r="T51" s="220">
        <v>42</v>
      </c>
      <c r="U51" s="221">
        <v>21</v>
      </c>
      <c r="V51" s="219">
        <v>39</v>
      </c>
      <c r="W51" s="220">
        <v>36</v>
      </c>
      <c r="X51" s="221">
        <v>41</v>
      </c>
      <c r="Y51" s="219">
        <v>91</v>
      </c>
      <c r="Z51" s="220">
        <v>94</v>
      </c>
      <c r="AA51" s="221">
        <v>71</v>
      </c>
    </row>
    <row r="52" spans="2:27" x14ac:dyDescent="0.2">
      <c r="B52" s="6295"/>
      <c r="C52" s="218" t="s">
        <v>28</v>
      </c>
      <c r="D52" s="219">
        <v>11</v>
      </c>
      <c r="E52" s="220">
        <v>11</v>
      </c>
      <c r="F52" s="220">
        <v>10</v>
      </c>
      <c r="G52" s="219">
        <v>10</v>
      </c>
      <c r="H52" s="220">
        <v>10</v>
      </c>
      <c r="I52" s="220">
        <v>9</v>
      </c>
      <c r="J52" s="219">
        <v>19</v>
      </c>
      <c r="K52" s="220">
        <v>19</v>
      </c>
      <c r="L52" s="221">
        <v>15</v>
      </c>
      <c r="M52" s="219">
        <v>12</v>
      </c>
      <c r="N52" s="220">
        <v>26</v>
      </c>
      <c r="O52" s="220">
        <v>27</v>
      </c>
      <c r="P52" s="219">
        <v>27</v>
      </c>
      <c r="Q52" s="220">
        <v>31</v>
      </c>
      <c r="R52" s="221">
        <v>29</v>
      </c>
      <c r="S52" s="219">
        <v>26</v>
      </c>
      <c r="T52" s="220">
        <v>34</v>
      </c>
      <c r="U52" s="221">
        <v>32</v>
      </c>
      <c r="V52" s="219">
        <v>32</v>
      </c>
      <c r="W52" s="220">
        <v>39</v>
      </c>
      <c r="X52" s="221">
        <v>38</v>
      </c>
      <c r="Y52" s="219">
        <v>28</v>
      </c>
      <c r="Z52" s="220">
        <v>35</v>
      </c>
      <c r="AA52" s="221">
        <v>33</v>
      </c>
    </row>
    <row r="53" spans="2:27" s="222" customFormat="1" x14ac:dyDescent="0.2">
      <c r="B53" s="6296"/>
      <c r="C53" s="658" t="s">
        <v>15</v>
      </c>
      <c r="D53" s="638">
        <f>SUM(D50:D52)</f>
        <v>31</v>
      </c>
      <c r="E53" s="639">
        <f>SUM(E50:E52)</f>
        <v>30</v>
      </c>
      <c r="F53" s="639">
        <f>SUM(F50:F52)</f>
        <v>29</v>
      </c>
      <c r="G53" s="638">
        <f t="shared" ref="G53:R53" si="26">SUM(G50:G52)</f>
        <v>47</v>
      </c>
      <c r="H53" s="639">
        <f t="shared" si="26"/>
        <v>47</v>
      </c>
      <c r="I53" s="639">
        <f t="shared" si="26"/>
        <v>32</v>
      </c>
      <c r="J53" s="638">
        <f t="shared" si="26"/>
        <v>66</v>
      </c>
      <c r="K53" s="639">
        <f t="shared" si="26"/>
        <v>63</v>
      </c>
      <c r="L53" s="640">
        <f t="shared" si="26"/>
        <v>42</v>
      </c>
      <c r="M53" s="638">
        <f t="shared" si="26"/>
        <v>59</v>
      </c>
      <c r="N53" s="639">
        <f t="shared" si="26"/>
        <v>70</v>
      </c>
      <c r="O53" s="639">
        <f t="shared" si="26"/>
        <v>47</v>
      </c>
      <c r="P53" s="638">
        <f t="shared" si="26"/>
        <v>71</v>
      </c>
      <c r="Q53" s="639">
        <f t="shared" si="26"/>
        <v>73</v>
      </c>
      <c r="R53" s="640">
        <f t="shared" si="26"/>
        <v>50</v>
      </c>
      <c r="S53" s="638"/>
      <c r="T53" s="639"/>
      <c r="U53" s="640"/>
      <c r="V53" s="638">
        <f t="shared" ref="V53:AA53" si="27">SUM(V50:V52)</f>
        <v>71</v>
      </c>
      <c r="W53" s="639">
        <f t="shared" si="27"/>
        <v>75</v>
      </c>
      <c r="X53" s="640">
        <f t="shared" si="27"/>
        <v>79</v>
      </c>
      <c r="Y53" s="638">
        <f t="shared" si="27"/>
        <v>119</v>
      </c>
      <c r="Z53" s="639">
        <f t="shared" si="27"/>
        <v>129</v>
      </c>
      <c r="AA53" s="640">
        <f t="shared" si="27"/>
        <v>104</v>
      </c>
    </row>
    <row r="54" spans="2:27" x14ac:dyDescent="0.2">
      <c r="B54" s="6299" t="s">
        <v>67</v>
      </c>
      <c r="C54" s="218" t="s">
        <v>26</v>
      </c>
      <c r="D54" s="219">
        <f t="shared" ref="D54:R54" si="28">D42+D46+D50</f>
        <v>24</v>
      </c>
      <c r="E54" s="220">
        <f t="shared" si="28"/>
        <v>30</v>
      </c>
      <c r="F54" s="220">
        <f t="shared" si="28"/>
        <v>22</v>
      </c>
      <c r="G54" s="219">
        <f t="shared" si="28"/>
        <v>0</v>
      </c>
      <c r="H54" s="220">
        <f t="shared" si="28"/>
        <v>10</v>
      </c>
      <c r="I54" s="220">
        <f t="shared" si="28"/>
        <v>11</v>
      </c>
      <c r="J54" s="219">
        <f t="shared" si="28"/>
        <v>4</v>
      </c>
      <c r="K54" s="220">
        <f t="shared" si="28"/>
        <v>4</v>
      </c>
      <c r="L54" s="221">
        <f t="shared" si="28"/>
        <v>0</v>
      </c>
      <c r="M54" s="219">
        <f t="shared" si="28"/>
        <v>0</v>
      </c>
      <c r="N54" s="220">
        <f t="shared" si="28"/>
        <v>11</v>
      </c>
      <c r="O54" s="220">
        <f t="shared" si="28"/>
        <v>11</v>
      </c>
      <c r="P54" s="219">
        <f t="shared" si="28"/>
        <v>16</v>
      </c>
      <c r="Q54" s="220">
        <f t="shared" si="28"/>
        <v>10</v>
      </c>
      <c r="R54" s="221">
        <f t="shared" si="28"/>
        <v>8</v>
      </c>
      <c r="S54" s="219">
        <v>4</v>
      </c>
      <c r="T54" s="220">
        <v>16</v>
      </c>
      <c r="U54" s="221">
        <v>13</v>
      </c>
      <c r="V54" s="219">
        <f t="shared" ref="V54:AA57" si="29">V42+V46+V50</f>
        <v>2</v>
      </c>
      <c r="W54" s="220">
        <f t="shared" si="29"/>
        <v>10</v>
      </c>
      <c r="X54" s="221">
        <f t="shared" si="29"/>
        <v>7</v>
      </c>
      <c r="Y54" s="219">
        <f t="shared" si="29"/>
        <v>1</v>
      </c>
      <c r="Z54" s="220">
        <f t="shared" si="29"/>
        <v>0</v>
      </c>
      <c r="AA54" s="221">
        <f t="shared" si="29"/>
        <v>0</v>
      </c>
    </row>
    <row r="55" spans="2:27" x14ac:dyDescent="0.2">
      <c r="B55" s="6300"/>
      <c r="C55" s="218" t="s">
        <v>27</v>
      </c>
      <c r="D55" s="219">
        <f t="shared" ref="D55:R55" si="30">D43+D47+D51</f>
        <v>224</v>
      </c>
      <c r="E55" s="220">
        <f t="shared" si="30"/>
        <v>219</v>
      </c>
      <c r="F55" s="220">
        <f t="shared" si="30"/>
        <v>205</v>
      </c>
      <c r="G55" s="219">
        <f t="shared" si="30"/>
        <v>249</v>
      </c>
      <c r="H55" s="220">
        <f t="shared" si="30"/>
        <v>250</v>
      </c>
      <c r="I55" s="220">
        <f t="shared" si="30"/>
        <v>133</v>
      </c>
      <c r="J55" s="219">
        <f t="shared" si="30"/>
        <v>263</v>
      </c>
      <c r="K55" s="220">
        <f t="shared" si="30"/>
        <v>262</v>
      </c>
      <c r="L55" s="221">
        <f t="shared" si="30"/>
        <v>198</v>
      </c>
      <c r="M55" s="219">
        <f t="shared" si="30"/>
        <v>285</v>
      </c>
      <c r="N55" s="220">
        <f t="shared" si="30"/>
        <v>285</v>
      </c>
      <c r="O55" s="220">
        <f t="shared" si="30"/>
        <v>153</v>
      </c>
      <c r="P55" s="219">
        <f t="shared" si="30"/>
        <v>306</v>
      </c>
      <c r="Q55" s="220">
        <f t="shared" si="30"/>
        <v>287</v>
      </c>
      <c r="R55" s="221">
        <f t="shared" si="30"/>
        <v>195</v>
      </c>
      <c r="S55" s="219">
        <v>287</v>
      </c>
      <c r="T55" s="220">
        <v>295</v>
      </c>
      <c r="U55" s="221">
        <v>189</v>
      </c>
      <c r="V55" s="219">
        <f t="shared" si="29"/>
        <v>353</v>
      </c>
      <c r="W55" s="220">
        <f t="shared" si="29"/>
        <v>371</v>
      </c>
      <c r="X55" s="221">
        <f t="shared" si="29"/>
        <v>285</v>
      </c>
      <c r="Y55" s="219">
        <f t="shared" si="29"/>
        <v>394</v>
      </c>
      <c r="Z55" s="220">
        <f t="shared" si="29"/>
        <v>445</v>
      </c>
      <c r="AA55" s="221">
        <f t="shared" si="29"/>
        <v>243</v>
      </c>
    </row>
    <row r="56" spans="2:27" x14ac:dyDescent="0.2">
      <c r="B56" s="6300"/>
      <c r="C56" s="656" t="s">
        <v>28</v>
      </c>
      <c r="D56" s="517">
        <f t="shared" ref="D56:R56" si="31">D44+D48+D52</f>
        <v>140</v>
      </c>
      <c r="E56" s="636">
        <f t="shared" si="31"/>
        <v>180</v>
      </c>
      <c r="F56" s="636">
        <f t="shared" si="31"/>
        <v>173</v>
      </c>
      <c r="G56" s="517">
        <f t="shared" si="31"/>
        <v>171</v>
      </c>
      <c r="H56" s="636">
        <f t="shared" si="31"/>
        <v>169</v>
      </c>
      <c r="I56" s="636">
        <f t="shared" si="31"/>
        <v>153</v>
      </c>
      <c r="J56" s="517">
        <f t="shared" si="31"/>
        <v>146</v>
      </c>
      <c r="K56" s="636">
        <f t="shared" si="31"/>
        <v>209</v>
      </c>
      <c r="L56" s="637">
        <f t="shared" si="31"/>
        <v>196</v>
      </c>
      <c r="M56" s="517">
        <f t="shared" si="31"/>
        <v>170</v>
      </c>
      <c r="N56" s="636">
        <f t="shared" si="31"/>
        <v>182</v>
      </c>
      <c r="O56" s="636">
        <f t="shared" si="31"/>
        <v>178</v>
      </c>
      <c r="P56" s="517">
        <f t="shared" si="31"/>
        <v>195</v>
      </c>
      <c r="Q56" s="636">
        <f t="shared" si="31"/>
        <v>249</v>
      </c>
      <c r="R56" s="637">
        <f t="shared" si="31"/>
        <v>222</v>
      </c>
      <c r="S56" s="517">
        <v>227</v>
      </c>
      <c r="T56" s="636">
        <v>258</v>
      </c>
      <c r="U56" s="637">
        <v>224</v>
      </c>
      <c r="V56" s="517">
        <f t="shared" si="29"/>
        <v>216</v>
      </c>
      <c r="W56" s="636">
        <f t="shared" si="29"/>
        <v>323</v>
      </c>
      <c r="X56" s="637">
        <f t="shared" si="29"/>
        <v>285</v>
      </c>
      <c r="Y56" s="517">
        <f t="shared" si="29"/>
        <v>262</v>
      </c>
      <c r="Z56" s="636">
        <f t="shared" si="29"/>
        <v>299</v>
      </c>
      <c r="AA56" s="637">
        <f t="shared" si="29"/>
        <v>241</v>
      </c>
    </row>
    <row r="57" spans="2:27" s="222" customFormat="1" ht="15" x14ac:dyDescent="0.2">
      <c r="B57" s="6301"/>
      <c r="C57" s="628" t="s">
        <v>12</v>
      </c>
      <c r="D57" s="653">
        <f>D54+D55+D56</f>
        <v>388</v>
      </c>
      <c r="E57" s="654">
        <f>E54+E55+E56</f>
        <v>429</v>
      </c>
      <c r="F57" s="654">
        <f>F54+F55+F56</f>
        <v>400</v>
      </c>
      <c r="G57" s="653">
        <f t="shared" ref="G57:R57" si="32">G54+G55+G56</f>
        <v>420</v>
      </c>
      <c r="H57" s="654">
        <f t="shared" si="32"/>
        <v>429</v>
      </c>
      <c r="I57" s="654">
        <f t="shared" si="32"/>
        <v>297</v>
      </c>
      <c r="J57" s="653">
        <f t="shared" si="32"/>
        <v>413</v>
      </c>
      <c r="K57" s="654">
        <f t="shared" si="32"/>
        <v>475</v>
      </c>
      <c r="L57" s="655">
        <f t="shared" si="32"/>
        <v>394</v>
      </c>
      <c r="M57" s="653">
        <f t="shared" si="32"/>
        <v>455</v>
      </c>
      <c r="N57" s="654">
        <f t="shared" si="32"/>
        <v>478</v>
      </c>
      <c r="O57" s="654">
        <f t="shared" si="32"/>
        <v>342</v>
      </c>
      <c r="P57" s="653">
        <f t="shared" si="32"/>
        <v>517</v>
      </c>
      <c r="Q57" s="654">
        <f t="shared" si="32"/>
        <v>546</v>
      </c>
      <c r="R57" s="655">
        <f t="shared" si="32"/>
        <v>425</v>
      </c>
      <c r="S57" s="653">
        <v>518</v>
      </c>
      <c r="T57" s="654">
        <v>569</v>
      </c>
      <c r="U57" s="655">
        <v>426</v>
      </c>
      <c r="V57" s="633">
        <f t="shared" si="29"/>
        <v>571</v>
      </c>
      <c r="W57" s="634">
        <f t="shared" si="29"/>
        <v>704</v>
      </c>
      <c r="X57" s="635">
        <f t="shared" si="29"/>
        <v>577</v>
      </c>
      <c r="Y57" s="633">
        <f t="shared" si="29"/>
        <v>657</v>
      </c>
      <c r="Z57" s="634">
        <f t="shared" si="29"/>
        <v>744</v>
      </c>
      <c r="AA57" s="635">
        <f t="shared" si="29"/>
        <v>484</v>
      </c>
    </row>
    <row r="58" spans="2:27" x14ac:dyDescent="0.2">
      <c r="C58" s="218"/>
      <c r="D58" s="219"/>
      <c r="E58" s="220"/>
      <c r="F58" s="220"/>
      <c r="G58" s="219"/>
      <c r="H58" s="220"/>
      <c r="I58" s="220"/>
      <c r="J58" s="219"/>
      <c r="K58" s="220"/>
      <c r="L58" s="221"/>
      <c r="M58" s="219"/>
      <c r="N58" s="220"/>
      <c r="O58" s="220"/>
      <c r="P58" s="219"/>
      <c r="Q58" s="220"/>
      <c r="R58" s="221"/>
      <c r="S58" s="219"/>
      <c r="T58" s="220"/>
      <c r="U58" s="221"/>
      <c r="V58" s="219"/>
      <c r="W58" s="220"/>
      <c r="X58" s="221"/>
      <c r="Y58" s="219"/>
      <c r="Z58" s="220"/>
      <c r="AA58" s="221"/>
    </row>
    <row r="59" spans="2:27" x14ac:dyDescent="0.2">
      <c r="B59" s="6302" t="s">
        <v>76</v>
      </c>
      <c r="C59" s="395" t="s">
        <v>26</v>
      </c>
      <c r="D59" s="396">
        <f t="shared" ref="D59:AA59" si="33">D20+D37+D54</f>
        <v>101</v>
      </c>
      <c r="E59" s="397">
        <f t="shared" si="33"/>
        <v>103</v>
      </c>
      <c r="F59" s="397">
        <f t="shared" si="33"/>
        <v>49</v>
      </c>
      <c r="G59" s="396">
        <f t="shared" si="33"/>
        <v>110</v>
      </c>
      <c r="H59" s="397">
        <f t="shared" si="33"/>
        <v>106</v>
      </c>
      <c r="I59" s="397">
        <f t="shared" si="33"/>
        <v>40</v>
      </c>
      <c r="J59" s="396">
        <f t="shared" si="33"/>
        <v>159</v>
      </c>
      <c r="K59" s="397">
        <f t="shared" si="33"/>
        <v>144</v>
      </c>
      <c r="L59" s="398">
        <f t="shared" si="33"/>
        <v>23</v>
      </c>
      <c r="M59" s="396">
        <f t="shared" si="33"/>
        <v>63</v>
      </c>
      <c r="N59" s="397">
        <f t="shared" si="33"/>
        <v>163</v>
      </c>
      <c r="O59" s="397">
        <f t="shared" si="33"/>
        <v>112</v>
      </c>
      <c r="P59" s="396">
        <f t="shared" si="33"/>
        <v>109</v>
      </c>
      <c r="Q59" s="397">
        <f t="shared" si="33"/>
        <v>166</v>
      </c>
      <c r="R59" s="398">
        <f t="shared" si="33"/>
        <v>122</v>
      </c>
      <c r="S59" s="396">
        <f t="shared" si="33"/>
        <v>86</v>
      </c>
      <c r="T59" s="397">
        <f t="shared" si="33"/>
        <v>173</v>
      </c>
      <c r="U59" s="398">
        <f t="shared" si="33"/>
        <v>132</v>
      </c>
      <c r="V59" s="396">
        <f t="shared" si="33"/>
        <v>81</v>
      </c>
      <c r="W59" s="397">
        <f t="shared" si="33"/>
        <v>80</v>
      </c>
      <c r="X59" s="398">
        <f t="shared" si="33"/>
        <v>133</v>
      </c>
      <c r="Y59" s="396">
        <f t="shared" si="33"/>
        <v>135</v>
      </c>
      <c r="Z59" s="397">
        <f t="shared" si="33"/>
        <v>62</v>
      </c>
      <c r="AA59" s="398">
        <f t="shared" si="33"/>
        <v>35</v>
      </c>
    </row>
    <row r="60" spans="2:27" x14ac:dyDescent="0.2">
      <c r="B60" s="6303"/>
      <c r="C60" s="218" t="s">
        <v>27</v>
      </c>
      <c r="D60" s="219">
        <f t="shared" ref="D60:AA60" si="34">D21+D38+D55</f>
        <v>647</v>
      </c>
      <c r="E60" s="220">
        <f t="shared" si="34"/>
        <v>609</v>
      </c>
      <c r="F60" s="220">
        <f t="shared" si="34"/>
        <v>534</v>
      </c>
      <c r="G60" s="219">
        <f t="shared" si="34"/>
        <v>641</v>
      </c>
      <c r="H60" s="220">
        <f t="shared" si="34"/>
        <v>620</v>
      </c>
      <c r="I60" s="220">
        <f t="shared" si="34"/>
        <v>459</v>
      </c>
      <c r="J60" s="219">
        <f t="shared" si="34"/>
        <v>632</v>
      </c>
      <c r="K60" s="220">
        <f t="shared" si="34"/>
        <v>680</v>
      </c>
      <c r="L60" s="221">
        <f t="shared" si="34"/>
        <v>555</v>
      </c>
      <c r="M60" s="219">
        <f t="shared" si="34"/>
        <v>745</v>
      </c>
      <c r="N60" s="220">
        <f t="shared" si="34"/>
        <v>746</v>
      </c>
      <c r="O60" s="220">
        <f t="shared" si="34"/>
        <v>556</v>
      </c>
      <c r="P60" s="219">
        <f t="shared" si="34"/>
        <v>864</v>
      </c>
      <c r="Q60" s="220">
        <f t="shared" si="34"/>
        <v>824</v>
      </c>
      <c r="R60" s="221">
        <f t="shared" si="34"/>
        <v>645</v>
      </c>
      <c r="S60" s="219">
        <f t="shared" si="34"/>
        <v>839</v>
      </c>
      <c r="T60" s="220">
        <f t="shared" si="34"/>
        <v>838</v>
      </c>
      <c r="U60" s="221">
        <f t="shared" si="34"/>
        <v>681</v>
      </c>
      <c r="V60" s="219">
        <f t="shared" si="34"/>
        <v>1018</v>
      </c>
      <c r="W60" s="220">
        <f t="shared" si="34"/>
        <v>1018</v>
      </c>
      <c r="X60" s="221">
        <f t="shared" si="34"/>
        <v>846</v>
      </c>
      <c r="Y60" s="219">
        <f t="shared" si="34"/>
        <v>1114</v>
      </c>
      <c r="Z60" s="220">
        <f t="shared" si="34"/>
        <v>1120</v>
      </c>
      <c r="AA60" s="221">
        <f t="shared" si="34"/>
        <v>848</v>
      </c>
    </row>
    <row r="61" spans="2:27" x14ac:dyDescent="0.2">
      <c r="B61" s="6303"/>
      <c r="C61" s="656" t="s">
        <v>28</v>
      </c>
      <c r="D61" s="517">
        <f t="shared" ref="D61:AA61" si="35">D22+D39+D56</f>
        <v>757</v>
      </c>
      <c r="E61" s="636">
        <f t="shared" si="35"/>
        <v>797</v>
      </c>
      <c r="F61" s="636">
        <f t="shared" si="35"/>
        <v>719</v>
      </c>
      <c r="G61" s="517">
        <f t="shared" si="35"/>
        <v>732</v>
      </c>
      <c r="H61" s="636">
        <f t="shared" si="35"/>
        <v>725</v>
      </c>
      <c r="I61" s="636">
        <f t="shared" si="35"/>
        <v>671</v>
      </c>
      <c r="J61" s="517">
        <f t="shared" si="35"/>
        <v>696</v>
      </c>
      <c r="K61" s="636">
        <f t="shared" si="35"/>
        <v>791</v>
      </c>
      <c r="L61" s="637">
        <f t="shared" si="35"/>
        <v>737</v>
      </c>
      <c r="M61" s="517">
        <f t="shared" si="35"/>
        <v>752</v>
      </c>
      <c r="N61" s="636">
        <f t="shared" si="35"/>
        <v>764</v>
      </c>
      <c r="O61" s="636">
        <f t="shared" si="35"/>
        <v>728</v>
      </c>
      <c r="P61" s="517">
        <f t="shared" si="35"/>
        <v>710</v>
      </c>
      <c r="Q61" s="636">
        <f t="shared" si="35"/>
        <v>827</v>
      </c>
      <c r="R61" s="637">
        <f t="shared" si="35"/>
        <v>772</v>
      </c>
      <c r="S61" s="517">
        <f t="shared" si="35"/>
        <v>815</v>
      </c>
      <c r="T61" s="636">
        <f t="shared" si="35"/>
        <v>793</v>
      </c>
      <c r="U61" s="637">
        <f t="shared" si="35"/>
        <v>749</v>
      </c>
      <c r="V61" s="517">
        <f t="shared" si="35"/>
        <v>877</v>
      </c>
      <c r="W61" s="636">
        <f t="shared" si="35"/>
        <v>974</v>
      </c>
      <c r="X61" s="637">
        <f t="shared" si="35"/>
        <v>945</v>
      </c>
      <c r="Y61" s="517">
        <f t="shared" si="35"/>
        <v>1001</v>
      </c>
      <c r="Z61" s="636">
        <f t="shared" si="35"/>
        <v>1019</v>
      </c>
      <c r="AA61" s="637">
        <f t="shared" si="35"/>
        <v>959</v>
      </c>
    </row>
    <row r="62" spans="2:27" s="224" customFormat="1" ht="15" x14ac:dyDescent="0.2">
      <c r="B62" s="6304"/>
      <c r="C62" s="628" t="s">
        <v>12</v>
      </c>
      <c r="D62" s="653">
        <f t="shared" ref="D62:R62" si="36">D23+D40+D57</f>
        <v>1505</v>
      </c>
      <c r="E62" s="654">
        <f t="shared" si="36"/>
        <v>1509</v>
      </c>
      <c r="F62" s="654">
        <f t="shared" si="36"/>
        <v>1302</v>
      </c>
      <c r="G62" s="653">
        <f t="shared" si="36"/>
        <v>1483</v>
      </c>
      <c r="H62" s="654">
        <f t="shared" si="36"/>
        <v>1451</v>
      </c>
      <c r="I62" s="654">
        <f t="shared" si="36"/>
        <v>1170</v>
      </c>
      <c r="J62" s="653">
        <f t="shared" si="36"/>
        <v>1487</v>
      </c>
      <c r="K62" s="654">
        <f t="shared" si="36"/>
        <v>1615</v>
      </c>
      <c r="L62" s="655">
        <f t="shared" si="36"/>
        <v>1315</v>
      </c>
      <c r="M62" s="653">
        <f t="shared" si="36"/>
        <v>1560</v>
      </c>
      <c r="N62" s="654">
        <f t="shared" si="36"/>
        <v>1673</v>
      </c>
      <c r="O62" s="654">
        <f t="shared" si="36"/>
        <v>1396</v>
      </c>
      <c r="P62" s="653">
        <f t="shared" si="36"/>
        <v>1683</v>
      </c>
      <c r="Q62" s="654">
        <f t="shared" si="36"/>
        <v>1817</v>
      </c>
      <c r="R62" s="655">
        <f t="shared" si="36"/>
        <v>1539</v>
      </c>
      <c r="S62" s="653">
        <v>1740</v>
      </c>
      <c r="T62" s="654">
        <v>1804</v>
      </c>
      <c r="U62" s="655">
        <v>1562</v>
      </c>
      <c r="V62" s="633">
        <f t="shared" ref="V62:AA62" si="37">V23+V40+V57</f>
        <v>1976</v>
      </c>
      <c r="W62" s="634">
        <f t="shared" si="37"/>
        <v>2072</v>
      </c>
      <c r="X62" s="635">
        <f t="shared" si="37"/>
        <v>1924</v>
      </c>
      <c r="Y62" s="633">
        <f t="shared" si="37"/>
        <v>2250</v>
      </c>
      <c r="Z62" s="634">
        <f t="shared" si="37"/>
        <v>2201</v>
      </c>
      <c r="AA62" s="635">
        <f t="shared" si="37"/>
        <v>1842</v>
      </c>
    </row>
    <row r="63" spans="2:27" ht="13.5" x14ac:dyDescent="0.2">
      <c r="D63" s="516"/>
      <c r="E63" s="516"/>
      <c r="F63" s="516"/>
      <c r="G63" s="216"/>
      <c r="H63" s="216"/>
      <c r="I63" s="216"/>
      <c r="J63" s="216"/>
      <c r="K63" s="216"/>
      <c r="L63" s="216"/>
      <c r="M63" s="223"/>
      <c r="N63" s="216"/>
      <c r="O63" s="216"/>
      <c r="P63" s="216"/>
      <c r="Q63" s="223"/>
      <c r="R63" s="223"/>
      <c r="S63" s="216"/>
      <c r="T63" s="216"/>
      <c r="U63" s="223"/>
      <c r="V63" s="216"/>
      <c r="W63" s="216"/>
      <c r="X63" s="223"/>
    </row>
    <row r="64" spans="2:27" s="212" customFormat="1" ht="13.5" x14ac:dyDescent="0.2">
      <c r="B64" s="232" t="s">
        <v>0</v>
      </c>
      <c r="C64" s="232"/>
      <c r="D64" s="232"/>
      <c r="E64" s="657"/>
      <c r="F64" s="213"/>
      <c r="G64" s="225"/>
      <c r="H64" s="225"/>
      <c r="I64" s="225"/>
      <c r="J64" s="225"/>
      <c r="K64" s="225"/>
      <c r="L64" s="225"/>
      <c r="M64" s="226"/>
      <c r="N64" s="225"/>
      <c r="O64" s="225"/>
      <c r="P64" s="225"/>
      <c r="Q64" s="226"/>
      <c r="R64" s="226"/>
      <c r="S64" s="225"/>
      <c r="T64" s="225"/>
      <c r="U64" s="226"/>
      <c r="V64" s="225"/>
      <c r="W64" s="225"/>
      <c r="X64" s="226"/>
    </row>
    <row r="65" spans="2:22" x14ac:dyDescent="0.2">
      <c r="B65" s="210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V65" s="211"/>
    </row>
    <row r="66" spans="2:22" x14ac:dyDescent="0.2"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V66" s="227"/>
    </row>
    <row r="69" spans="2:22" ht="12.75" customHeight="1" x14ac:dyDescent="0.2"/>
    <row r="99" ht="12.75" customHeight="1" x14ac:dyDescent="0.2"/>
    <row r="100" ht="12.75" customHeight="1" x14ac:dyDescent="0.2"/>
    <row r="101" ht="12.75" customHeight="1" x14ac:dyDescent="0.2"/>
    <row r="120" ht="12.75" customHeight="1" x14ac:dyDescent="0.2"/>
    <row r="123" ht="15" customHeight="1" x14ac:dyDescent="0.2"/>
  </sheetData>
  <mergeCells count="39">
    <mergeCell ref="B54:B57"/>
    <mergeCell ref="B25:B28"/>
    <mergeCell ref="B42:B45"/>
    <mergeCell ref="B59:B62"/>
    <mergeCell ref="B29:B32"/>
    <mergeCell ref="B33:B36"/>
    <mergeCell ref="B37:B40"/>
    <mergeCell ref="B46:B49"/>
    <mergeCell ref="B50:B53"/>
    <mergeCell ref="AA5:AA6"/>
    <mergeCell ref="B8:B11"/>
    <mergeCell ref="B12:B15"/>
    <mergeCell ref="B16:B19"/>
    <mergeCell ref="B20:B23"/>
    <mergeCell ref="S5:S6"/>
    <mergeCell ref="T5:T6"/>
    <mergeCell ref="U5:U6"/>
    <mergeCell ref="V5:V6"/>
    <mergeCell ref="W5:W6"/>
    <mergeCell ref="X5:X6"/>
    <mergeCell ref="M5:M6"/>
    <mergeCell ref="N5:N6"/>
    <mergeCell ref="I5:I6"/>
    <mergeCell ref="Q5:Q6"/>
    <mergeCell ref="Z5:Z6"/>
    <mergeCell ref="J5:J6"/>
    <mergeCell ref="K5:K6"/>
    <mergeCell ref="L5:L6"/>
    <mergeCell ref="Y5:Y6"/>
    <mergeCell ref="O5:O6"/>
    <mergeCell ref="P5:P6"/>
    <mergeCell ref="R5:R6"/>
    <mergeCell ref="G5:G6"/>
    <mergeCell ref="H5:H6"/>
    <mergeCell ref="B5:B6"/>
    <mergeCell ref="C5:C6"/>
    <mergeCell ref="D5:D6"/>
    <mergeCell ref="E5:E6"/>
    <mergeCell ref="F5:F6"/>
  </mergeCells>
  <printOptions horizontalCentered="1" verticalCentered="1"/>
  <pageMargins left="0.511811023622047" right="0.27559055118110198" top="0.511811023622047" bottom="0.59055118110236204" header="0.43307086614173201" footer="0.31496062992126"/>
  <pageSetup scale="45" orientation="landscape" horizontalDpi="1200" verticalDpi="1200" r:id="rId1"/>
  <headerFooter alignWithMargins="0">
    <oddHeader>&amp;LANEXO ESTADÍSTICO 2008&amp;CCOBERTURA EDUCATIVA&amp;R&amp;G</oddHeader>
    <oddFooter>&amp;R32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W153"/>
  <sheetViews>
    <sheetView showGridLines="0" zoomScale="110" zoomScaleNormal="110" zoomScaleSheetLayoutView="50" workbookViewId="0">
      <pane xSplit="4" ySplit="4" topLeftCell="AJ5" activePane="bottomRight" state="frozen"/>
      <selection sqref="A1:C1"/>
      <selection pane="topRight" sqref="A1:C1"/>
      <selection pane="bottomLeft" sqref="A1:C1"/>
      <selection pane="bottomRight"/>
    </sheetView>
  </sheetViews>
  <sheetFormatPr baseColWidth="10" defaultRowHeight="12.75" x14ac:dyDescent="0.2"/>
  <cols>
    <col min="1" max="1" width="9.28515625" style="209" customWidth="1"/>
    <col min="2" max="2" width="9.28515625" style="228" bestFit="1" customWidth="1"/>
    <col min="3" max="3" width="9.28515625" style="228" customWidth="1"/>
    <col min="4" max="4" width="65.7109375" style="210" customWidth="1"/>
    <col min="5" max="18" width="7.7109375" style="228" customWidth="1"/>
    <col min="19" max="19" width="9.42578125" style="228" customWidth="1"/>
    <col min="20" max="21" width="7.7109375" style="228" customWidth="1"/>
    <col min="22" max="22" width="9.42578125" style="228" customWidth="1"/>
    <col min="23" max="24" width="7.7109375" style="228" customWidth="1"/>
    <col min="25" max="25" width="9.42578125" style="228" customWidth="1"/>
    <col min="26" max="34" width="7.7109375" style="228" customWidth="1"/>
    <col min="35" max="49" width="7.7109375" style="209" customWidth="1"/>
    <col min="50" max="256" width="11.42578125" style="209"/>
    <col min="257" max="257" width="2.28515625" style="209" customWidth="1"/>
    <col min="258" max="258" width="17.7109375" style="209" bestFit="1" customWidth="1"/>
    <col min="259" max="259" width="8.140625" style="209" bestFit="1" customWidth="1"/>
    <col min="260" max="260" width="52.85546875" style="209" customWidth="1"/>
    <col min="261" max="274" width="7.7109375" style="209" customWidth="1"/>
    <col min="275" max="275" width="9.42578125" style="209" customWidth="1"/>
    <col min="276" max="277" width="7.7109375" style="209" customWidth="1"/>
    <col min="278" max="278" width="9.42578125" style="209" customWidth="1"/>
    <col min="279" max="280" width="7.7109375" style="209" customWidth="1"/>
    <col min="281" max="281" width="9.42578125" style="209" customWidth="1"/>
    <col min="282" max="284" width="7.7109375" style="209" customWidth="1"/>
    <col min="285" max="512" width="11.42578125" style="209"/>
    <col min="513" max="513" width="2.28515625" style="209" customWidth="1"/>
    <col min="514" max="514" width="17.7109375" style="209" bestFit="1" customWidth="1"/>
    <col min="515" max="515" width="8.140625" style="209" bestFit="1" customWidth="1"/>
    <col min="516" max="516" width="52.85546875" style="209" customWidth="1"/>
    <col min="517" max="530" width="7.7109375" style="209" customWidth="1"/>
    <col min="531" max="531" width="9.42578125" style="209" customWidth="1"/>
    <col min="532" max="533" width="7.7109375" style="209" customWidth="1"/>
    <col min="534" max="534" width="9.42578125" style="209" customWidth="1"/>
    <col min="535" max="536" width="7.7109375" style="209" customWidth="1"/>
    <col min="537" max="537" width="9.42578125" style="209" customWidth="1"/>
    <col min="538" max="540" width="7.7109375" style="209" customWidth="1"/>
    <col min="541" max="768" width="11.42578125" style="209"/>
    <col min="769" max="769" width="2.28515625" style="209" customWidth="1"/>
    <col min="770" max="770" width="17.7109375" style="209" bestFit="1" customWidth="1"/>
    <col min="771" max="771" width="8.140625" style="209" bestFit="1" customWidth="1"/>
    <col min="772" max="772" width="52.85546875" style="209" customWidth="1"/>
    <col min="773" max="786" width="7.7109375" style="209" customWidth="1"/>
    <col min="787" max="787" width="9.42578125" style="209" customWidth="1"/>
    <col min="788" max="789" width="7.7109375" style="209" customWidth="1"/>
    <col min="790" max="790" width="9.42578125" style="209" customWidth="1"/>
    <col min="791" max="792" width="7.7109375" style="209" customWidth="1"/>
    <col min="793" max="793" width="9.42578125" style="209" customWidth="1"/>
    <col min="794" max="796" width="7.7109375" style="209" customWidth="1"/>
    <col min="797" max="1024" width="11.42578125" style="209"/>
    <col min="1025" max="1025" width="2.28515625" style="209" customWidth="1"/>
    <col min="1026" max="1026" width="17.7109375" style="209" bestFit="1" customWidth="1"/>
    <col min="1027" max="1027" width="8.140625" style="209" bestFit="1" customWidth="1"/>
    <col min="1028" max="1028" width="52.85546875" style="209" customWidth="1"/>
    <col min="1029" max="1042" width="7.7109375" style="209" customWidth="1"/>
    <col min="1043" max="1043" width="9.42578125" style="209" customWidth="1"/>
    <col min="1044" max="1045" width="7.7109375" style="209" customWidth="1"/>
    <col min="1046" max="1046" width="9.42578125" style="209" customWidth="1"/>
    <col min="1047" max="1048" width="7.7109375" style="209" customWidth="1"/>
    <col min="1049" max="1049" width="9.42578125" style="209" customWidth="1"/>
    <col min="1050" max="1052" width="7.7109375" style="209" customWidth="1"/>
    <col min="1053" max="1280" width="11.42578125" style="209"/>
    <col min="1281" max="1281" width="2.28515625" style="209" customWidth="1"/>
    <col min="1282" max="1282" width="17.7109375" style="209" bestFit="1" customWidth="1"/>
    <col min="1283" max="1283" width="8.140625" style="209" bestFit="1" customWidth="1"/>
    <col min="1284" max="1284" width="52.85546875" style="209" customWidth="1"/>
    <col min="1285" max="1298" width="7.7109375" style="209" customWidth="1"/>
    <col min="1299" max="1299" width="9.42578125" style="209" customWidth="1"/>
    <col min="1300" max="1301" width="7.7109375" style="209" customWidth="1"/>
    <col min="1302" max="1302" width="9.42578125" style="209" customWidth="1"/>
    <col min="1303" max="1304" width="7.7109375" style="209" customWidth="1"/>
    <col min="1305" max="1305" width="9.42578125" style="209" customWidth="1"/>
    <col min="1306" max="1308" width="7.7109375" style="209" customWidth="1"/>
    <col min="1309" max="1536" width="11.42578125" style="209"/>
    <col min="1537" max="1537" width="2.28515625" style="209" customWidth="1"/>
    <col min="1538" max="1538" width="17.7109375" style="209" bestFit="1" customWidth="1"/>
    <col min="1539" max="1539" width="8.140625" style="209" bestFit="1" customWidth="1"/>
    <col min="1540" max="1540" width="52.85546875" style="209" customWidth="1"/>
    <col min="1541" max="1554" width="7.7109375" style="209" customWidth="1"/>
    <col min="1555" max="1555" width="9.42578125" style="209" customWidth="1"/>
    <col min="1556" max="1557" width="7.7109375" style="209" customWidth="1"/>
    <col min="1558" max="1558" width="9.42578125" style="209" customWidth="1"/>
    <col min="1559" max="1560" width="7.7109375" style="209" customWidth="1"/>
    <col min="1561" max="1561" width="9.42578125" style="209" customWidth="1"/>
    <col min="1562" max="1564" width="7.7109375" style="209" customWidth="1"/>
    <col min="1565" max="1792" width="11.42578125" style="209"/>
    <col min="1793" max="1793" width="2.28515625" style="209" customWidth="1"/>
    <col min="1794" max="1794" width="17.7109375" style="209" bestFit="1" customWidth="1"/>
    <col min="1795" max="1795" width="8.140625" style="209" bestFit="1" customWidth="1"/>
    <col min="1796" max="1796" width="52.85546875" style="209" customWidth="1"/>
    <col min="1797" max="1810" width="7.7109375" style="209" customWidth="1"/>
    <col min="1811" max="1811" width="9.42578125" style="209" customWidth="1"/>
    <col min="1812" max="1813" width="7.7109375" style="209" customWidth="1"/>
    <col min="1814" max="1814" width="9.42578125" style="209" customWidth="1"/>
    <col min="1815" max="1816" width="7.7109375" style="209" customWidth="1"/>
    <col min="1817" max="1817" width="9.42578125" style="209" customWidth="1"/>
    <col min="1818" max="1820" width="7.7109375" style="209" customWidth="1"/>
    <col min="1821" max="2048" width="11.42578125" style="209"/>
    <col min="2049" max="2049" width="2.28515625" style="209" customWidth="1"/>
    <col min="2050" max="2050" width="17.7109375" style="209" bestFit="1" customWidth="1"/>
    <col min="2051" max="2051" width="8.140625" style="209" bestFit="1" customWidth="1"/>
    <col min="2052" max="2052" width="52.85546875" style="209" customWidth="1"/>
    <col min="2053" max="2066" width="7.7109375" style="209" customWidth="1"/>
    <col min="2067" max="2067" width="9.42578125" style="209" customWidth="1"/>
    <col min="2068" max="2069" width="7.7109375" style="209" customWidth="1"/>
    <col min="2070" max="2070" width="9.42578125" style="209" customWidth="1"/>
    <col min="2071" max="2072" width="7.7109375" style="209" customWidth="1"/>
    <col min="2073" max="2073" width="9.42578125" style="209" customWidth="1"/>
    <col min="2074" max="2076" width="7.7109375" style="209" customWidth="1"/>
    <col min="2077" max="2304" width="11.42578125" style="209"/>
    <col min="2305" max="2305" width="2.28515625" style="209" customWidth="1"/>
    <col min="2306" max="2306" width="17.7109375" style="209" bestFit="1" customWidth="1"/>
    <col min="2307" max="2307" width="8.140625" style="209" bestFit="1" customWidth="1"/>
    <col min="2308" max="2308" width="52.85546875" style="209" customWidth="1"/>
    <col min="2309" max="2322" width="7.7109375" style="209" customWidth="1"/>
    <col min="2323" max="2323" width="9.42578125" style="209" customWidth="1"/>
    <col min="2324" max="2325" width="7.7109375" style="209" customWidth="1"/>
    <col min="2326" max="2326" width="9.42578125" style="209" customWidth="1"/>
    <col min="2327" max="2328" width="7.7109375" style="209" customWidth="1"/>
    <col min="2329" max="2329" width="9.42578125" style="209" customWidth="1"/>
    <col min="2330" max="2332" width="7.7109375" style="209" customWidth="1"/>
    <col min="2333" max="2560" width="11.42578125" style="209"/>
    <col min="2561" max="2561" width="2.28515625" style="209" customWidth="1"/>
    <col min="2562" max="2562" width="17.7109375" style="209" bestFit="1" customWidth="1"/>
    <col min="2563" max="2563" width="8.140625" style="209" bestFit="1" customWidth="1"/>
    <col min="2564" max="2564" width="52.85546875" style="209" customWidth="1"/>
    <col min="2565" max="2578" width="7.7109375" style="209" customWidth="1"/>
    <col min="2579" max="2579" width="9.42578125" style="209" customWidth="1"/>
    <col min="2580" max="2581" width="7.7109375" style="209" customWidth="1"/>
    <col min="2582" max="2582" width="9.42578125" style="209" customWidth="1"/>
    <col min="2583" max="2584" width="7.7109375" style="209" customWidth="1"/>
    <col min="2585" max="2585" width="9.42578125" style="209" customWidth="1"/>
    <col min="2586" max="2588" width="7.7109375" style="209" customWidth="1"/>
    <col min="2589" max="2816" width="11.42578125" style="209"/>
    <col min="2817" max="2817" width="2.28515625" style="209" customWidth="1"/>
    <col min="2818" max="2818" width="17.7109375" style="209" bestFit="1" customWidth="1"/>
    <col min="2819" max="2819" width="8.140625" style="209" bestFit="1" customWidth="1"/>
    <col min="2820" max="2820" width="52.85546875" style="209" customWidth="1"/>
    <col min="2821" max="2834" width="7.7109375" style="209" customWidth="1"/>
    <col min="2835" max="2835" width="9.42578125" style="209" customWidth="1"/>
    <col min="2836" max="2837" width="7.7109375" style="209" customWidth="1"/>
    <col min="2838" max="2838" width="9.42578125" style="209" customWidth="1"/>
    <col min="2839" max="2840" width="7.7109375" style="209" customWidth="1"/>
    <col min="2841" max="2841" width="9.42578125" style="209" customWidth="1"/>
    <col min="2842" max="2844" width="7.7109375" style="209" customWidth="1"/>
    <col min="2845" max="3072" width="11.42578125" style="209"/>
    <col min="3073" max="3073" width="2.28515625" style="209" customWidth="1"/>
    <col min="3074" max="3074" width="17.7109375" style="209" bestFit="1" customWidth="1"/>
    <col min="3075" max="3075" width="8.140625" style="209" bestFit="1" customWidth="1"/>
    <col min="3076" max="3076" width="52.85546875" style="209" customWidth="1"/>
    <col min="3077" max="3090" width="7.7109375" style="209" customWidth="1"/>
    <col min="3091" max="3091" width="9.42578125" style="209" customWidth="1"/>
    <col min="3092" max="3093" width="7.7109375" style="209" customWidth="1"/>
    <col min="3094" max="3094" width="9.42578125" style="209" customWidth="1"/>
    <col min="3095" max="3096" width="7.7109375" style="209" customWidth="1"/>
    <col min="3097" max="3097" width="9.42578125" style="209" customWidth="1"/>
    <col min="3098" max="3100" width="7.7109375" style="209" customWidth="1"/>
    <col min="3101" max="3328" width="11.42578125" style="209"/>
    <col min="3329" max="3329" width="2.28515625" style="209" customWidth="1"/>
    <col min="3330" max="3330" width="17.7109375" style="209" bestFit="1" customWidth="1"/>
    <col min="3331" max="3331" width="8.140625" style="209" bestFit="1" customWidth="1"/>
    <col min="3332" max="3332" width="52.85546875" style="209" customWidth="1"/>
    <col min="3333" max="3346" width="7.7109375" style="209" customWidth="1"/>
    <col min="3347" max="3347" width="9.42578125" style="209" customWidth="1"/>
    <col min="3348" max="3349" width="7.7109375" style="209" customWidth="1"/>
    <col min="3350" max="3350" width="9.42578125" style="209" customWidth="1"/>
    <col min="3351" max="3352" width="7.7109375" style="209" customWidth="1"/>
    <col min="3353" max="3353" width="9.42578125" style="209" customWidth="1"/>
    <col min="3354" max="3356" width="7.7109375" style="209" customWidth="1"/>
    <col min="3357" max="3584" width="11.42578125" style="209"/>
    <col min="3585" max="3585" width="2.28515625" style="209" customWidth="1"/>
    <col min="3586" max="3586" width="17.7109375" style="209" bestFit="1" customWidth="1"/>
    <col min="3587" max="3587" width="8.140625" style="209" bestFit="1" customWidth="1"/>
    <col min="3588" max="3588" width="52.85546875" style="209" customWidth="1"/>
    <col min="3589" max="3602" width="7.7109375" style="209" customWidth="1"/>
    <col min="3603" max="3603" width="9.42578125" style="209" customWidth="1"/>
    <col min="3604" max="3605" width="7.7109375" style="209" customWidth="1"/>
    <col min="3606" max="3606" width="9.42578125" style="209" customWidth="1"/>
    <col min="3607" max="3608" width="7.7109375" style="209" customWidth="1"/>
    <col min="3609" max="3609" width="9.42578125" style="209" customWidth="1"/>
    <col min="3610" max="3612" width="7.7109375" style="209" customWidth="1"/>
    <col min="3613" max="3840" width="11.42578125" style="209"/>
    <col min="3841" max="3841" width="2.28515625" style="209" customWidth="1"/>
    <col min="3842" max="3842" width="17.7109375" style="209" bestFit="1" customWidth="1"/>
    <col min="3843" max="3843" width="8.140625" style="209" bestFit="1" customWidth="1"/>
    <col min="3844" max="3844" width="52.85546875" style="209" customWidth="1"/>
    <col min="3845" max="3858" width="7.7109375" style="209" customWidth="1"/>
    <col min="3859" max="3859" width="9.42578125" style="209" customWidth="1"/>
    <col min="3860" max="3861" width="7.7109375" style="209" customWidth="1"/>
    <col min="3862" max="3862" width="9.42578125" style="209" customWidth="1"/>
    <col min="3863" max="3864" width="7.7109375" style="209" customWidth="1"/>
    <col min="3865" max="3865" width="9.42578125" style="209" customWidth="1"/>
    <col min="3866" max="3868" width="7.7109375" style="209" customWidth="1"/>
    <col min="3869" max="4096" width="11.42578125" style="209"/>
    <col min="4097" max="4097" width="2.28515625" style="209" customWidth="1"/>
    <col min="4098" max="4098" width="17.7109375" style="209" bestFit="1" customWidth="1"/>
    <col min="4099" max="4099" width="8.140625" style="209" bestFit="1" customWidth="1"/>
    <col min="4100" max="4100" width="52.85546875" style="209" customWidth="1"/>
    <col min="4101" max="4114" width="7.7109375" style="209" customWidth="1"/>
    <col min="4115" max="4115" width="9.42578125" style="209" customWidth="1"/>
    <col min="4116" max="4117" width="7.7109375" style="209" customWidth="1"/>
    <col min="4118" max="4118" width="9.42578125" style="209" customWidth="1"/>
    <col min="4119" max="4120" width="7.7109375" style="209" customWidth="1"/>
    <col min="4121" max="4121" width="9.42578125" style="209" customWidth="1"/>
    <col min="4122" max="4124" width="7.7109375" style="209" customWidth="1"/>
    <col min="4125" max="4352" width="11.42578125" style="209"/>
    <col min="4353" max="4353" width="2.28515625" style="209" customWidth="1"/>
    <col min="4354" max="4354" width="17.7109375" style="209" bestFit="1" customWidth="1"/>
    <col min="4355" max="4355" width="8.140625" style="209" bestFit="1" customWidth="1"/>
    <col min="4356" max="4356" width="52.85546875" style="209" customWidth="1"/>
    <col min="4357" max="4370" width="7.7109375" style="209" customWidth="1"/>
    <col min="4371" max="4371" width="9.42578125" style="209" customWidth="1"/>
    <col min="4372" max="4373" width="7.7109375" style="209" customWidth="1"/>
    <col min="4374" max="4374" width="9.42578125" style="209" customWidth="1"/>
    <col min="4375" max="4376" width="7.7109375" style="209" customWidth="1"/>
    <col min="4377" max="4377" width="9.42578125" style="209" customWidth="1"/>
    <col min="4378" max="4380" width="7.7109375" style="209" customWidth="1"/>
    <col min="4381" max="4608" width="11.42578125" style="209"/>
    <col min="4609" max="4609" width="2.28515625" style="209" customWidth="1"/>
    <col min="4610" max="4610" width="17.7109375" style="209" bestFit="1" customWidth="1"/>
    <col min="4611" max="4611" width="8.140625" style="209" bestFit="1" customWidth="1"/>
    <col min="4612" max="4612" width="52.85546875" style="209" customWidth="1"/>
    <col min="4613" max="4626" width="7.7109375" style="209" customWidth="1"/>
    <col min="4627" max="4627" width="9.42578125" style="209" customWidth="1"/>
    <col min="4628" max="4629" width="7.7109375" style="209" customWidth="1"/>
    <col min="4630" max="4630" width="9.42578125" style="209" customWidth="1"/>
    <col min="4631" max="4632" width="7.7109375" style="209" customWidth="1"/>
    <col min="4633" max="4633" width="9.42578125" style="209" customWidth="1"/>
    <col min="4634" max="4636" width="7.7109375" style="209" customWidth="1"/>
    <col min="4637" max="4864" width="11.42578125" style="209"/>
    <col min="4865" max="4865" width="2.28515625" style="209" customWidth="1"/>
    <col min="4866" max="4866" width="17.7109375" style="209" bestFit="1" customWidth="1"/>
    <col min="4867" max="4867" width="8.140625" style="209" bestFit="1" customWidth="1"/>
    <col min="4868" max="4868" width="52.85546875" style="209" customWidth="1"/>
    <col min="4869" max="4882" width="7.7109375" style="209" customWidth="1"/>
    <col min="4883" max="4883" width="9.42578125" style="209" customWidth="1"/>
    <col min="4884" max="4885" width="7.7109375" style="209" customWidth="1"/>
    <col min="4886" max="4886" width="9.42578125" style="209" customWidth="1"/>
    <col min="4887" max="4888" width="7.7109375" style="209" customWidth="1"/>
    <col min="4889" max="4889" width="9.42578125" style="209" customWidth="1"/>
    <col min="4890" max="4892" width="7.7109375" style="209" customWidth="1"/>
    <col min="4893" max="5120" width="11.42578125" style="209"/>
    <col min="5121" max="5121" width="2.28515625" style="209" customWidth="1"/>
    <col min="5122" max="5122" width="17.7109375" style="209" bestFit="1" customWidth="1"/>
    <col min="5123" max="5123" width="8.140625" style="209" bestFit="1" customWidth="1"/>
    <col min="5124" max="5124" width="52.85546875" style="209" customWidth="1"/>
    <col min="5125" max="5138" width="7.7109375" style="209" customWidth="1"/>
    <col min="5139" max="5139" width="9.42578125" style="209" customWidth="1"/>
    <col min="5140" max="5141" width="7.7109375" style="209" customWidth="1"/>
    <col min="5142" max="5142" width="9.42578125" style="209" customWidth="1"/>
    <col min="5143" max="5144" width="7.7109375" style="209" customWidth="1"/>
    <col min="5145" max="5145" width="9.42578125" style="209" customWidth="1"/>
    <col min="5146" max="5148" width="7.7109375" style="209" customWidth="1"/>
    <col min="5149" max="5376" width="11.42578125" style="209"/>
    <col min="5377" max="5377" width="2.28515625" style="209" customWidth="1"/>
    <col min="5378" max="5378" width="17.7109375" style="209" bestFit="1" customWidth="1"/>
    <col min="5379" max="5379" width="8.140625" style="209" bestFit="1" customWidth="1"/>
    <col min="5380" max="5380" width="52.85546875" style="209" customWidth="1"/>
    <col min="5381" max="5394" width="7.7109375" style="209" customWidth="1"/>
    <col min="5395" max="5395" width="9.42578125" style="209" customWidth="1"/>
    <col min="5396" max="5397" width="7.7109375" style="209" customWidth="1"/>
    <col min="5398" max="5398" width="9.42578125" style="209" customWidth="1"/>
    <col min="5399" max="5400" width="7.7109375" style="209" customWidth="1"/>
    <col min="5401" max="5401" width="9.42578125" style="209" customWidth="1"/>
    <col min="5402" max="5404" width="7.7109375" style="209" customWidth="1"/>
    <col min="5405" max="5632" width="11.42578125" style="209"/>
    <col min="5633" max="5633" width="2.28515625" style="209" customWidth="1"/>
    <col min="5634" max="5634" width="17.7109375" style="209" bestFit="1" customWidth="1"/>
    <col min="5635" max="5635" width="8.140625" style="209" bestFit="1" customWidth="1"/>
    <col min="5636" max="5636" width="52.85546875" style="209" customWidth="1"/>
    <col min="5637" max="5650" width="7.7109375" style="209" customWidth="1"/>
    <col min="5651" max="5651" width="9.42578125" style="209" customWidth="1"/>
    <col min="5652" max="5653" width="7.7109375" style="209" customWidth="1"/>
    <col min="5654" max="5654" width="9.42578125" style="209" customWidth="1"/>
    <col min="5655" max="5656" width="7.7109375" style="209" customWidth="1"/>
    <col min="5657" max="5657" width="9.42578125" style="209" customWidth="1"/>
    <col min="5658" max="5660" width="7.7109375" style="209" customWidth="1"/>
    <col min="5661" max="5888" width="11.42578125" style="209"/>
    <col min="5889" max="5889" width="2.28515625" style="209" customWidth="1"/>
    <col min="5890" max="5890" width="17.7109375" style="209" bestFit="1" customWidth="1"/>
    <col min="5891" max="5891" width="8.140625" style="209" bestFit="1" customWidth="1"/>
    <col min="5892" max="5892" width="52.85546875" style="209" customWidth="1"/>
    <col min="5893" max="5906" width="7.7109375" style="209" customWidth="1"/>
    <col min="5907" max="5907" width="9.42578125" style="209" customWidth="1"/>
    <col min="5908" max="5909" width="7.7109375" style="209" customWidth="1"/>
    <col min="5910" max="5910" width="9.42578125" style="209" customWidth="1"/>
    <col min="5911" max="5912" width="7.7109375" style="209" customWidth="1"/>
    <col min="5913" max="5913" width="9.42578125" style="209" customWidth="1"/>
    <col min="5914" max="5916" width="7.7109375" style="209" customWidth="1"/>
    <col min="5917" max="6144" width="11.42578125" style="209"/>
    <col min="6145" max="6145" width="2.28515625" style="209" customWidth="1"/>
    <col min="6146" max="6146" width="17.7109375" style="209" bestFit="1" customWidth="1"/>
    <col min="6147" max="6147" width="8.140625" style="209" bestFit="1" customWidth="1"/>
    <col min="6148" max="6148" width="52.85546875" style="209" customWidth="1"/>
    <col min="6149" max="6162" width="7.7109375" style="209" customWidth="1"/>
    <col min="6163" max="6163" width="9.42578125" style="209" customWidth="1"/>
    <col min="6164" max="6165" width="7.7109375" style="209" customWidth="1"/>
    <col min="6166" max="6166" width="9.42578125" style="209" customWidth="1"/>
    <col min="6167" max="6168" width="7.7109375" style="209" customWidth="1"/>
    <col min="6169" max="6169" width="9.42578125" style="209" customWidth="1"/>
    <col min="6170" max="6172" width="7.7109375" style="209" customWidth="1"/>
    <col min="6173" max="6400" width="11.42578125" style="209"/>
    <col min="6401" max="6401" width="2.28515625" style="209" customWidth="1"/>
    <col min="6402" max="6402" width="17.7109375" style="209" bestFit="1" customWidth="1"/>
    <col min="6403" max="6403" width="8.140625" style="209" bestFit="1" customWidth="1"/>
    <col min="6404" max="6404" width="52.85546875" style="209" customWidth="1"/>
    <col min="6405" max="6418" width="7.7109375" style="209" customWidth="1"/>
    <col min="6419" max="6419" width="9.42578125" style="209" customWidth="1"/>
    <col min="6420" max="6421" width="7.7109375" style="209" customWidth="1"/>
    <col min="6422" max="6422" width="9.42578125" style="209" customWidth="1"/>
    <col min="6423" max="6424" width="7.7109375" style="209" customWidth="1"/>
    <col min="6425" max="6425" width="9.42578125" style="209" customWidth="1"/>
    <col min="6426" max="6428" width="7.7109375" style="209" customWidth="1"/>
    <col min="6429" max="6656" width="11.42578125" style="209"/>
    <col min="6657" max="6657" width="2.28515625" style="209" customWidth="1"/>
    <col min="6658" max="6658" width="17.7109375" style="209" bestFit="1" customWidth="1"/>
    <col min="6659" max="6659" width="8.140625" style="209" bestFit="1" customWidth="1"/>
    <col min="6660" max="6660" width="52.85546875" style="209" customWidth="1"/>
    <col min="6661" max="6674" width="7.7109375" style="209" customWidth="1"/>
    <col min="6675" max="6675" width="9.42578125" style="209" customWidth="1"/>
    <col min="6676" max="6677" width="7.7109375" style="209" customWidth="1"/>
    <col min="6678" max="6678" width="9.42578125" style="209" customWidth="1"/>
    <col min="6679" max="6680" width="7.7109375" style="209" customWidth="1"/>
    <col min="6681" max="6681" width="9.42578125" style="209" customWidth="1"/>
    <col min="6682" max="6684" width="7.7109375" style="209" customWidth="1"/>
    <col min="6685" max="6912" width="11.42578125" style="209"/>
    <col min="6913" max="6913" width="2.28515625" style="209" customWidth="1"/>
    <col min="6914" max="6914" width="17.7109375" style="209" bestFit="1" customWidth="1"/>
    <col min="6915" max="6915" width="8.140625" style="209" bestFit="1" customWidth="1"/>
    <col min="6916" max="6916" width="52.85546875" style="209" customWidth="1"/>
    <col min="6917" max="6930" width="7.7109375" style="209" customWidth="1"/>
    <col min="6931" max="6931" width="9.42578125" style="209" customWidth="1"/>
    <col min="6932" max="6933" width="7.7109375" style="209" customWidth="1"/>
    <col min="6934" max="6934" width="9.42578125" style="209" customWidth="1"/>
    <col min="6935" max="6936" width="7.7109375" style="209" customWidth="1"/>
    <col min="6937" max="6937" width="9.42578125" style="209" customWidth="1"/>
    <col min="6938" max="6940" width="7.7109375" style="209" customWidth="1"/>
    <col min="6941" max="7168" width="11.42578125" style="209"/>
    <col min="7169" max="7169" width="2.28515625" style="209" customWidth="1"/>
    <col min="7170" max="7170" width="17.7109375" style="209" bestFit="1" customWidth="1"/>
    <col min="7171" max="7171" width="8.140625" style="209" bestFit="1" customWidth="1"/>
    <col min="7172" max="7172" width="52.85546875" style="209" customWidth="1"/>
    <col min="7173" max="7186" width="7.7109375" style="209" customWidth="1"/>
    <col min="7187" max="7187" width="9.42578125" style="209" customWidth="1"/>
    <col min="7188" max="7189" width="7.7109375" style="209" customWidth="1"/>
    <col min="7190" max="7190" width="9.42578125" style="209" customWidth="1"/>
    <col min="7191" max="7192" width="7.7109375" style="209" customWidth="1"/>
    <col min="7193" max="7193" width="9.42578125" style="209" customWidth="1"/>
    <col min="7194" max="7196" width="7.7109375" style="209" customWidth="1"/>
    <col min="7197" max="7424" width="11.42578125" style="209"/>
    <col min="7425" max="7425" width="2.28515625" style="209" customWidth="1"/>
    <col min="7426" max="7426" width="17.7109375" style="209" bestFit="1" customWidth="1"/>
    <col min="7427" max="7427" width="8.140625" style="209" bestFit="1" customWidth="1"/>
    <col min="7428" max="7428" width="52.85546875" style="209" customWidth="1"/>
    <col min="7429" max="7442" width="7.7109375" style="209" customWidth="1"/>
    <col min="7443" max="7443" width="9.42578125" style="209" customWidth="1"/>
    <col min="7444" max="7445" width="7.7109375" style="209" customWidth="1"/>
    <col min="7446" max="7446" width="9.42578125" style="209" customWidth="1"/>
    <col min="7447" max="7448" width="7.7109375" style="209" customWidth="1"/>
    <col min="7449" max="7449" width="9.42578125" style="209" customWidth="1"/>
    <col min="7450" max="7452" width="7.7109375" style="209" customWidth="1"/>
    <col min="7453" max="7680" width="11.42578125" style="209"/>
    <col min="7681" max="7681" width="2.28515625" style="209" customWidth="1"/>
    <col min="7682" max="7682" width="17.7109375" style="209" bestFit="1" customWidth="1"/>
    <col min="7683" max="7683" width="8.140625" style="209" bestFit="1" customWidth="1"/>
    <col min="7684" max="7684" width="52.85546875" style="209" customWidth="1"/>
    <col min="7685" max="7698" width="7.7109375" style="209" customWidth="1"/>
    <col min="7699" max="7699" width="9.42578125" style="209" customWidth="1"/>
    <col min="7700" max="7701" width="7.7109375" style="209" customWidth="1"/>
    <col min="7702" max="7702" width="9.42578125" style="209" customWidth="1"/>
    <col min="7703" max="7704" width="7.7109375" style="209" customWidth="1"/>
    <col min="7705" max="7705" width="9.42578125" style="209" customWidth="1"/>
    <col min="7706" max="7708" width="7.7109375" style="209" customWidth="1"/>
    <col min="7709" max="7936" width="11.42578125" style="209"/>
    <col min="7937" max="7937" width="2.28515625" style="209" customWidth="1"/>
    <col min="7938" max="7938" width="17.7109375" style="209" bestFit="1" customWidth="1"/>
    <col min="7939" max="7939" width="8.140625" style="209" bestFit="1" customWidth="1"/>
    <col min="7940" max="7940" width="52.85546875" style="209" customWidth="1"/>
    <col min="7941" max="7954" width="7.7109375" style="209" customWidth="1"/>
    <col min="7955" max="7955" width="9.42578125" style="209" customWidth="1"/>
    <col min="7956" max="7957" width="7.7109375" style="209" customWidth="1"/>
    <col min="7958" max="7958" width="9.42578125" style="209" customWidth="1"/>
    <col min="7959" max="7960" width="7.7109375" style="209" customWidth="1"/>
    <col min="7961" max="7961" width="9.42578125" style="209" customWidth="1"/>
    <col min="7962" max="7964" width="7.7109375" style="209" customWidth="1"/>
    <col min="7965" max="8192" width="11.42578125" style="209"/>
    <col min="8193" max="8193" width="2.28515625" style="209" customWidth="1"/>
    <col min="8194" max="8194" width="17.7109375" style="209" bestFit="1" customWidth="1"/>
    <col min="8195" max="8195" width="8.140625" style="209" bestFit="1" customWidth="1"/>
    <col min="8196" max="8196" width="52.85546875" style="209" customWidth="1"/>
    <col min="8197" max="8210" width="7.7109375" style="209" customWidth="1"/>
    <col min="8211" max="8211" width="9.42578125" style="209" customWidth="1"/>
    <col min="8212" max="8213" width="7.7109375" style="209" customWidth="1"/>
    <col min="8214" max="8214" width="9.42578125" style="209" customWidth="1"/>
    <col min="8215" max="8216" width="7.7109375" style="209" customWidth="1"/>
    <col min="8217" max="8217" width="9.42578125" style="209" customWidth="1"/>
    <col min="8218" max="8220" width="7.7109375" style="209" customWidth="1"/>
    <col min="8221" max="8448" width="11.42578125" style="209"/>
    <col min="8449" max="8449" width="2.28515625" style="209" customWidth="1"/>
    <col min="8450" max="8450" width="17.7109375" style="209" bestFit="1" customWidth="1"/>
    <col min="8451" max="8451" width="8.140625" style="209" bestFit="1" customWidth="1"/>
    <col min="8452" max="8452" width="52.85546875" style="209" customWidth="1"/>
    <col min="8453" max="8466" width="7.7109375" style="209" customWidth="1"/>
    <col min="8467" max="8467" width="9.42578125" style="209" customWidth="1"/>
    <col min="8468" max="8469" width="7.7109375" style="209" customWidth="1"/>
    <col min="8470" max="8470" width="9.42578125" style="209" customWidth="1"/>
    <col min="8471" max="8472" width="7.7109375" style="209" customWidth="1"/>
    <col min="8473" max="8473" width="9.42578125" style="209" customWidth="1"/>
    <col min="8474" max="8476" width="7.7109375" style="209" customWidth="1"/>
    <col min="8477" max="8704" width="11.42578125" style="209"/>
    <col min="8705" max="8705" width="2.28515625" style="209" customWidth="1"/>
    <col min="8706" max="8706" width="17.7109375" style="209" bestFit="1" customWidth="1"/>
    <col min="8707" max="8707" width="8.140625" style="209" bestFit="1" customWidth="1"/>
    <col min="8708" max="8708" width="52.85546875" style="209" customWidth="1"/>
    <col min="8709" max="8722" width="7.7109375" style="209" customWidth="1"/>
    <col min="8723" max="8723" width="9.42578125" style="209" customWidth="1"/>
    <col min="8724" max="8725" width="7.7109375" style="209" customWidth="1"/>
    <col min="8726" max="8726" width="9.42578125" style="209" customWidth="1"/>
    <col min="8727" max="8728" width="7.7109375" style="209" customWidth="1"/>
    <col min="8729" max="8729" width="9.42578125" style="209" customWidth="1"/>
    <col min="8730" max="8732" width="7.7109375" style="209" customWidth="1"/>
    <col min="8733" max="8960" width="11.42578125" style="209"/>
    <col min="8961" max="8961" width="2.28515625" style="209" customWidth="1"/>
    <col min="8962" max="8962" width="17.7109375" style="209" bestFit="1" customWidth="1"/>
    <col min="8963" max="8963" width="8.140625" style="209" bestFit="1" customWidth="1"/>
    <col min="8964" max="8964" width="52.85546875" style="209" customWidth="1"/>
    <col min="8965" max="8978" width="7.7109375" style="209" customWidth="1"/>
    <col min="8979" max="8979" width="9.42578125" style="209" customWidth="1"/>
    <col min="8980" max="8981" width="7.7109375" style="209" customWidth="1"/>
    <col min="8982" max="8982" width="9.42578125" style="209" customWidth="1"/>
    <col min="8983" max="8984" width="7.7109375" style="209" customWidth="1"/>
    <col min="8985" max="8985" width="9.42578125" style="209" customWidth="1"/>
    <col min="8986" max="8988" width="7.7109375" style="209" customWidth="1"/>
    <col min="8989" max="9216" width="11.42578125" style="209"/>
    <col min="9217" max="9217" width="2.28515625" style="209" customWidth="1"/>
    <col min="9218" max="9218" width="17.7109375" style="209" bestFit="1" customWidth="1"/>
    <col min="9219" max="9219" width="8.140625" style="209" bestFit="1" customWidth="1"/>
    <col min="9220" max="9220" width="52.85546875" style="209" customWidth="1"/>
    <col min="9221" max="9234" width="7.7109375" style="209" customWidth="1"/>
    <col min="9235" max="9235" width="9.42578125" style="209" customWidth="1"/>
    <col min="9236" max="9237" width="7.7109375" style="209" customWidth="1"/>
    <col min="9238" max="9238" width="9.42578125" style="209" customWidth="1"/>
    <col min="9239" max="9240" width="7.7109375" style="209" customWidth="1"/>
    <col min="9241" max="9241" width="9.42578125" style="209" customWidth="1"/>
    <col min="9242" max="9244" width="7.7109375" style="209" customWidth="1"/>
    <col min="9245" max="9472" width="11.42578125" style="209"/>
    <col min="9473" max="9473" width="2.28515625" style="209" customWidth="1"/>
    <col min="9474" max="9474" width="17.7109375" style="209" bestFit="1" customWidth="1"/>
    <col min="9475" max="9475" width="8.140625" style="209" bestFit="1" customWidth="1"/>
    <col min="9476" max="9476" width="52.85546875" style="209" customWidth="1"/>
    <col min="9477" max="9490" width="7.7109375" style="209" customWidth="1"/>
    <col min="9491" max="9491" width="9.42578125" style="209" customWidth="1"/>
    <col min="9492" max="9493" width="7.7109375" style="209" customWidth="1"/>
    <col min="9494" max="9494" width="9.42578125" style="209" customWidth="1"/>
    <col min="9495" max="9496" width="7.7109375" style="209" customWidth="1"/>
    <col min="9497" max="9497" width="9.42578125" style="209" customWidth="1"/>
    <col min="9498" max="9500" width="7.7109375" style="209" customWidth="1"/>
    <col min="9501" max="9728" width="11.42578125" style="209"/>
    <col min="9729" max="9729" width="2.28515625" style="209" customWidth="1"/>
    <col min="9730" max="9730" width="17.7109375" style="209" bestFit="1" customWidth="1"/>
    <col min="9731" max="9731" width="8.140625" style="209" bestFit="1" customWidth="1"/>
    <col min="9732" max="9732" width="52.85546875" style="209" customWidth="1"/>
    <col min="9733" max="9746" width="7.7109375" style="209" customWidth="1"/>
    <col min="9747" max="9747" width="9.42578125" style="209" customWidth="1"/>
    <col min="9748" max="9749" width="7.7109375" style="209" customWidth="1"/>
    <col min="9750" max="9750" width="9.42578125" style="209" customWidth="1"/>
    <col min="9751" max="9752" width="7.7109375" style="209" customWidth="1"/>
    <col min="9753" max="9753" width="9.42578125" style="209" customWidth="1"/>
    <col min="9754" max="9756" width="7.7109375" style="209" customWidth="1"/>
    <col min="9757" max="9984" width="11.42578125" style="209"/>
    <col min="9985" max="9985" width="2.28515625" style="209" customWidth="1"/>
    <col min="9986" max="9986" width="17.7109375" style="209" bestFit="1" customWidth="1"/>
    <col min="9987" max="9987" width="8.140625" style="209" bestFit="1" customWidth="1"/>
    <col min="9988" max="9988" width="52.85546875" style="209" customWidth="1"/>
    <col min="9989" max="10002" width="7.7109375" style="209" customWidth="1"/>
    <col min="10003" max="10003" width="9.42578125" style="209" customWidth="1"/>
    <col min="10004" max="10005" width="7.7109375" style="209" customWidth="1"/>
    <col min="10006" max="10006" width="9.42578125" style="209" customWidth="1"/>
    <col min="10007" max="10008" width="7.7109375" style="209" customWidth="1"/>
    <col min="10009" max="10009" width="9.42578125" style="209" customWidth="1"/>
    <col min="10010" max="10012" width="7.7109375" style="209" customWidth="1"/>
    <col min="10013" max="10240" width="11.42578125" style="209"/>
    <col min="10241" max="10241" width="2.28515625" style="209" customWidth="1"/>
    <col min="10242" max="10242" width="17.7109375" style="209" bestFit="1" customWidth="1"/>
    <col min="10243" max="10243" width="8.140625" style="209" bestFit="1" customWidth="1"/>
    <col min="10244" max="10244" width="52.85546875" style="209" customWidth="1"/>
    <col min="10245" max="10258" width="7.7109375" style="209" customWidth="1"/>
    <col min="10259" max="10259" width="9.42578125" style="209" customWidth="1"/>
    <col min="10260" max="10261" width="7.7109375" style="209" customWidth="1"/>
    <col min="10262" max="10262" width="9.42578125" style="209" customWidth="1"/>
    <col min="10263" max="10264" width="7.7109375" style="209" customWidth="1"/>
    <col min="10265" max="10265" width="9.42578125" style="209" customWidth="1"/>
    <col min="10266" max="10268" width="7.7109375" style="209" customWidth="1"/>
    <col min="10269" max="10496" width="11.42578125" style="209"/>
    <col min="10497" max="10497" width="2.28515625" style="209" customWidth="1"/>
    <col min="10498" max="10498" width="17.7109375" style="209" bestFit="1" customWidth="1"/>
    <col min="10499" max="10499" width="8.140625" style="209" bestFit="1" customWidth="1"/>
    <col min="10500" max="10500" width="52.85546875" style="209" customWidth="1"/>
    <col min="10501" max="10514" width="7.7109375" style="209" customWidth="1"/>
    <col min="10515" max="10515" width="9.42578125" style="209" customWidth="1"/>
    <col min="10516" max="10517" width="7.7109375" style="209" customWidth="1"/>
    <col min="10518" max="10518" width="9.42578125" style="209" customWidth="1"/>
    <col min="10519" max="10520" width="7.7109375" style="209" customWidth="1"/>
    <col min="10521" max="10521" width="9.42578125" style="209" customWidth="1"/>
    <col min="10522" max="10524" width="7.7109375" style="209" customWidth="1"/>
    <col min="10525" max="10752" width="11.42578125" style="209"/>
    <col min="10753" max="10753" width="2.28515625" style="209" customWidth="1"/>
    <col min="10754" max="10754" width="17.7109375" style="209" bestFit="1" customWidth="1"/>
    <col min="10755" max="10755" width="8.140625" style="209" bestFit="1" customWidth="1"/>
    <col min="10756" max="10756" width="52.85546875" style="209" customWidth="1"/>
    <col min="10757" max="10770" width="7.7109375" style="209" customWidth="1"/>
    <col min="10771" max="10771" width="9.42578125" style="209" customWidth="1"/>
    <col min="10772" max="10773" width="7.7109375" style="209" customWidth="1"/>
    <col min="10774" max="10774" width="9.42578125" style="209" customWidth="1"/>
    <col min="10775" max="10776" width="7.7109375" style="209" customWidth="1"/>
    <col min="10777" max="10777" width="9.42578125" style="209" customWidth="1"/>
    <col min="10778" max="10780" width="7.7109375" style="209" customWidth="1"/>
    <col min="10781" max="11008" width="11.42578125" style="209"/>
    <col min="11009" max="11009" width="2.28515625" style="209" customWidth="1"/>
    <col min="11010" max="11010" width="17.7109375" style="209" bestFit="1" customWidth="1"/>
    <col min="11011" max="11011" width="8.140625" style="209" bestFit="1" customWidth="1"/>
    <col min="11012" max="11012" width="52.85546875" style="209" customWidth="1"/>
    <col min="11013" max="11026" width="7.7109375" style="209" customWidth="1"/>
    <col min="11027" max="11027" width="9.42578125" style="209" customWidth="1"/>
    <col min="11028" max="11029" width="7.7109375" style="209" customWidth="1"/>
    <col min="11030" max="11030" width="9.42578125" style="209" customWidth="1"/>
    <col min="11031" max="11032" width="7.7109375" style="209" customWidth="1"/>
    <col min="11033" max="11033" width="9.42578125" style="209" customWidth="1"/>
    <col min="11034" max="11036" width="7.7109375" style="209" customWidth="1"/>
    <col min="11037" max="11264" width="11.42578125" style="209"/>
    <col min="11265" max="11265" width="2.28515625" style="209" customWidth="1"/>
    <col min="11266" max="11266" width="17.7109375" style="209" bestFit="1" customWidth="1"/>
    <col min="11267" max="11267" width="8.140625" style="209" bestFit="1" customWidth="1"/>
    <col min="11268" max="11268" width="52.85546875" style="209" customWidth="1"/>
    <col min="11269" max="11282" width="7.7109375" style="209" customWidth="1"/>
    <col min="11283" max="11283" width="9.42578125" style="209" customWidth="1"/>
    <col min="11284" max="11285" width="7.7109375" style="209" customWidth="1"/>
    <col min="11286" max="11286" width="9.42578125" style="209" customWidth="1"/>
    <col min="11287" max="11288" width="7.7109375" style="209" customWidth="1"/>
    <col min="11289" max="11289" width="9.42578125" style="209" customWidth="1"/>
    <col min="11290" max="11292" width="7.7109375" style="209" customWidth="1"/>
    <col min="11293" max="11520" width="11.42578125" style="209"/>
    <col min="11521" max="11521" width="2.28515625" style="209" customWidth="1"/>
    <col min="11522" max="11522" width="17.7109375" style="209" bestFit="1" customWidth="1"/>
    <col min="11523" max="11523" width="8.140625" style="209" bestFit="1" customWidth="1"/>
    <col min="11524" max="11524" width="52.85546875" style="209" customWidth="1"/>
    <col min="11525" max="11538" width="7.7109375" style="209" customWidth="1"/>
    <col min="11539" max="11539" width="9.42578125" style="209" customWidth="1"/>
    <col min="11540" max="11541" width="7.7109375" style="209" customWidth="1"/>
    <col min="11542" max="11542" width="9.42578125" style="209" customWidth="1"/>
    <col min="11543" max="11544" width="7.7109375" style="209" customWidth="1"/>
    <col min="11545" max="11545" width="9.42578125" style="209" customWidth="1"/>
    <col min="11546" max="11548" width="7.7109375" style="209" customWidth="1"/>
    <col min="11549" max="11776" width="11.42578125" style="209"/>
    <col min="11777" max="11777" width="2.28515625" style="209" customWidth="1"/>
    <col min="11778" max="11778" width="17.7109375" style="209" bestFit="1" customWidth="1"/>
    <col min="11779" max="11779" width="8.140625" style="209" bestFit="1" customWidth="1"/>
    <col min="11780" max="11780" width="52.85546875" style="209" customWidth="1"/>
    <col min="11781" max="11794" width="7.7109375" style="209" customWidth="1"/>
    <col min="11795" max="11795" width="9.42578125" style="209" customWidth="1"/>
    <col min="11796" max="11797" width="7.7109375" style="209" customWidth="1"/>
    <col min="11798" max="11798" width="9.42578125" style="209" customWidth="1"/>
    <col min="11799" max="11800" width="7.7109375" style="209" customWidth="1"/>
    <col min="11801" max="11801" width="9.42578125" style="209" customWidth="1"/>
    <col min="11802" max="11804" width="7.7109375" style="209" customWidth="1"/>
    <col min="11805" max="12032" width="11.42578125" style="209"/>
    <col min="12033" max="12033" width="2.28515625" style="209" customWidth="1"/>
    <col min="12034" max="12034" width="17.7109375" style="209" bestFit="1" customWidth="1"/>
    <col min="12035" max="12035" width="8.140625" style="209" bestFit="1" customWidth="1"/>
    <col min="12036" max="12036" width="52.85546875" style="209" customWidth="1"/>
    <col min="12037" max="12050" width="7.7109375" style="209" customWidth="1"/>
    <col min="12051" max="12051" width="9.42578125" style="209" customWidth="1"/>
    <col min="12052" max="12053" width="7.7109375" style="209" customWidth="1"/>
    <col min="12054" max="12054" width="9.42578125" style="209" customWidth="1"/>
    <col min="12055" max="12056" width="7.7109375" style="209" customWidth="1"/>
    <col min="12057" max="12057" width="9.42578125" style="209" customWidth="1"/>
    <col min="12058" max="12060" width="7.7109375" style="209" customWidth="1"/>
    <col min="12061" max="12288" width="11.42578125" style="209"/>
    <col min="12289" max="12289" width="2.28515625" style="209" customWidth="1"/>
    <col min="12290" max="12290" width="17.7109375" style="209" bestFit="1" customWidth="1"/>
    <col min="12291" max="12291" width="8.140625" style="209" bestFit="1" customWidth="1"/>
    <col min="12292" max="12292" width="52.85546875" style="209" customWidth="1"/>
    <col min="12293" max="12306" width="7.7109375" style="209" customWidth="1"/>
    <col min="12307" max="12307" width="9.42578125" style="209" customWidth="1"/>
    <col min="12308" max="12309" width="7.7109375" style="209" customWidth="1"/>
    <col min="12310" max="12310" width="9.42578125" style="209" customWidth="1"/>
    <col min="12311" max="12312" width="7.7109375" style="209" customWidth="1"/>
    <col min="12313" max="12313" width="9.42578125" style="209" customWidth="1"/>
    <col min="12314" max="12316" width="7.7109375" style="209" customWidth="1"/>
    <col min="12317" max="12544" width="11.42578125" style="209"/>
    <col min="12545" max="12545" width="2.28515625" style="209" customWidth="1"/>
    <col min="12546" max="12546" width="17.7109375" style="209" bestFit="1" customWidth="1"/>
    <col min="12547" max="12547" width="8.140625" style="209" bestFit="1" customWidth="1"/>
    <col min="12548" max="12548" width="52.85546875" style="209" customWidth="1"/>
    <col min="12549" max="12562" width="7.7109375" style="209" customWidth="1"/>
    <col min="12563" max="12563" width="9.42578125" style="209" customWidth="1"/>
    <col min="12564" max="12565" width="7.7109375" style="209" customWidth="1"/>
    <col min="12566" max="12566" width="9.42578125" style="209" customWidth="1"/>
    <col min="12567" max="12568" width="7.7109375" style="209" customWidth="1"/>
    <col min="12569" max="12569" width="9.42578125" style="209" customWidth="1"/>
    <col min="12570" max="12572" width="7.7109375" style="209" customWidth="1"/>
    <col min="12573" max="12800" width="11.42578125" style="209"/>
    <col min="12801" max="12801" width="2.28515625" style="209" customWidth="1"/>
    <col min="12802" max="12802" width="17.7109375" style="209" bestFit="1" customWidth="1"/>
    <col min="12803" max="12803" width="8.140625" style="209" bestFit="1" customWidth="1"/>
    <col min="12804" max="12804" width="52.85546875" style="209" customWidth="1"/>
    <col min="12805" max="12818" width="7.7109375" style="209" customWidth="1"/>
    <col min="12819" max="12819" width="9.42578125" style="209" customWidth="1"/>
    <col min="12820" max="12821" width="7.7109375" style="209" customWidth="1"/>
    <col min="12822" max="12822" width="9.42578125" style="209" customWidth="1"/>
    <col min="12823" max="12824" width="7.7109375" style="209" customWidth="1"/>
    <col min="12825" max="12825" width="9.42578125" style="209" customWidth="1"/>
    <col min="12826" max="12828" width="7.7109375" style="209" customWidth="1"/>
    <col min="12829" max="13056" width="11.42578125" style="209"/>
    <col min="13057" max="13057" width="2.28515625" style="209" customWidth="1"/>
    <col min="13058" max="13058" width="17.7109375" style="209" bestFit="1" customWidth="1"/>
    <col min="13059" max="13059" width="8.140625" style="209" bestFit="1" customWidth="1"/>
    <col min="13060" max="13060" width="52.85546875" style="209" customWidth="1"/>
    <col min="13061" max="13074" width="7.7109375" style="209" customWidth="1"/>
    <col min="13075" max="13075" width="9.42578125" style="209" customWidth="1"/>
    <col min="13076" max="13077" width="7.7109375" style="209" customWidth="1"/>
    <col min="13078" max="13078" width="9.42578125" style="209" customWidth="1"/>
    <col min="13079" max="13080" width="7.7109375" style="209" customWidth="1"/>
    <col min="13081" max="13081" width="9.42578125" style="209" customWidth="1"/>
    <col min="13082" max="13084" width="7.7109375" style="209" customWidth="1"/>
    <col min="13085" max="13312" width="11.42578125" style="209"/>
    <col min="13313" max="13313" width="2.28515625" style="209" customWidth="1"/>
    <col min="13314" max="13314" width="17.7109375" style="209" bestFit="1" customWidth="1"/>
    <col min="13315" max="13315" width="8.140625" style="209" bestFit="1" customWidth="1"/>
    <col min="13316" max="13316" width="52.85546875" style="209" customWidth="1"/>
    <col min="13317" max="13330" width="7.7109375" style="209" customWidth="1"/>
    <col min="13331" max="13331" width="9.42578125" style="209" customWidth="1"/>
    <col min="13332" max="13333" width="7.7109375" style="209" customWidth="1"/>
    <col min="13334" max="13334" width="9.42578125" style="209" customWidth="1"/>
    <col min="13335" max="13336" width="7.7109375" style="209" customWidth="1"/>
    <col min="13337" max="13337" width="9.42578125" style="209" customWidth="1"/>
    <col min="13338" max="13340" width="7.7109375" style="209" customWidth="1"/>
    <col min="13341" max="13568" width="11.42578125" style="209"/>
    <col min="13569" max="13569" width="2.28515625" style="209" customWidth="1"/>
    <col min="13570" max="13570" width="17.7109375" style="209" bestFit="1" customWidth="1"/>
    <col min="13571" max="13571" width="8.140625" style="209" bestFit="1" customWidth="1"/>
    <col min="13572" max="13572" width="52.85546875" style="209" customWidth="1"/>
    <col min="13573" max="13586" width="7.7109375" style="209" customWidth="1"/>
    <col min="13587" max="13587" width="9.42578125" style="209" customWidth="1"/>
    <col min="13588" max="13589" width="7.7109375" style="209" customWidth="1"/>
    <col min="13590" max="13590" width="9.42578125" style="209" customWidth="1"/>
    <col min="13591" max="13592" width="7.7109375" style="209" customWidth="1"/>
    <col min="13593" max="13593" width="9.42578125" style="209" customWidth="1"/>
    <col min="13594" max="13596" width="7.7109375" style="209" customWidth="1"/>
    <col min="13597" max="13824" width="11.42578125" style="209"/>
    <col min="13825" max="13825" width="2.28515625" style="209" customWidth="1"/>
    <col min="13826" max="13826" width="17.7109375" style="209" bestFit="1" customWidth="1"/>
    <col min="13827" max="13827" width="8.140625" style="209" bestFit="1" customWidth="1"/>
    <col min="13828" max="13828" width="52.85546875" style="209" customWidth="1"/>
    <col min="13829" max="13842" width="7.7109375" style="209" customWidth="1"/>
    <col min="13843" max="13843" width="9.42578125" style="209" customWidth="1"/>
    <col min="13844" max="13845" width="7.7109375" style="209" customWidth="1"/>
    <col min="13846" max="13846" width="9.42578125" style="209" customWidth="1"/>
    <col min="13847" max="13848" width="7.7109375" style="209" customWidth="1"/>
    <col min="13849" max="13849" width="9.42578125" style="209" customWidth="1"/>
    <col min="13850" max="13852" width="7.7109375" style="209" customWidth="1"/>
    <col min="13853" max="14080" width="11.42578125" style="209"/>
    <col min="14081" max="14081" width="2.28515625" style="209" customWidth="1"/>
    <col min="14082" max="14082" width="17.7109375" style="209" bestFit="1" customWidth="1"/>
    <col min="14083" max="14083" width="8.140625" style="209" bestFit="1" customWidth="1"/>
    <col min="14084" max="14084" width="52.85546875" style="209" customWidth="1"/>
    <col min="14085" max="14098" width="7.7109375" style="209" customWidth="1"/>
    <col min="14099" max="14099" width="9.42578125" style="209" customWidth="1"/>
    <col min="14100" max="14101" width="7.7109375" style="209" customWidth="1"/>
    <col min="14102" max="14102" width="9.42578125" style="209" customWidth="1"/>
    <col min="14103" max="14104" width="7.7109375" style="209" customWidth="1"/>
    <col min="14105" max="14105" width="9.42578125" style="209" customWidth="1"/>
    <col min="14106" max="14108" width="7.7109375" style="209" customWidth="1"/>
    <col min="14109" max="14336" width="11.42578125" style="209"/>
    <col min="14337" max="14337" width="2.28515625" style="209" customWidth="1"/>
    <col min="14338" max="14338" width="17.7109375" style="209" bestFit="1" customWidth="1"/>
    <col min="14339" max="14339" width="8.140625" style="209" bestFit="1" customWidth="1"/>
    <col min="14340" max="14340" width="52.85546875" style="209" customWidth="1"/>
    <col min="14341" max="14354" width="7.7109375" style="209" customWidth="1"/>
    <col min="14355" max="14355" width="9.42578125" style="209" customWidth="1"/>
    <col min="14356" max="14357" width="7.7109375" style="209" customWidth="1"/>
    <col min="14358" max="14358" width="9.42578125" style="209" customWidth="1"/>
    <col min="14359" max="14360" width="7.7109375" style="209" customWidth="1"/>
    <col min="14361" max="14361" width="9.42578125" style="209" customWidth="1"/>
    <col min="14362" max="14364" width="7.7109375" style="209" customWidth="1"/>
    <col min="14365" max="14592" width="11.42578125" style="209"/>
    <col min="14593" max="14593" width="2.28515625" style="209" customWidth="1"/>
    <col min="14594" max="14594" width="17.7109375" style="209" bestFit="1" customWidth="1"/>
    <col min="14595" max="14595" width="8.140625" style="209" bestFit="1" customWidth="1"/>
    <col min="14596" max="14596" width="52.85546875" style="209" customWidth="1"/>
    <col min="14597" max="14610" width="7.7109375" style="209" customWidth="1"/>
    <col min="14611" max="14611" width="9.42578125" style="209" customWidth="1"/>
    <col min="14612" max="14613" width="7.7109375" style="209" customWidth="1"/>
    <col min="14614" max="14614" width="9.42578125" style="209" customWidth="1"/>
    <col min="14615" max="14616" width="7.7109375" style="209" customWidth="1"/>
    <col min="14617" max="14617" width="9.42578125" style="209" customWidth="1"/>
    <col min="14618" max="14620" width="7.7109375" style="209" customWidth="1"/>
    <col min="14621" max="14848" width="11.42578125" style="209"/>
    <col min="14849" max="14849" width="2.28515625" style="209" customWidth="1"/>
    <col min="14850" max="14850" width="17.7109375" style="209" bestFit="1" customWidth="1"/>
    <col min="14851" max="14851" width="8.140625" style="209" bestFit="1" customWidth="1"/>
    <col min="14852" max="14852" width="52.85546875" style="209" customWidth="1"/>
    <col min="14853" max="14866" width="7.7109375" style="209" customWidth="1"/>
    <col min="14867" max="14867" width="9.42578125" style="209" customWidth="1"/>
    <col min="14868" max="14869" width="7.7109375" style="209" customWidth="1"/>
    <col min="14870" max="14870" width="9.42578125" style="209" customWidth="1"/>
    <col min="14871" max="14872" width="7.7109375" style="209" customWidth="1"/>
    <col min="14873" max="14873" width="9.42578125" style="209" customWidth="1"/>
    <col min="14874" max="14876" width="7.7109375" style="209" customWidth="1"/>
    <col min="14877" max="15104" width="11.42578125" style="209"/>
    <col min="15105" max="15105" width="2.28515625" style="209" customWidth="1"/>
    <col min="15106" max="15106" width="17.7109375" style="209" bestFit="1" customWidth="1"/>
    <col min="15107" max="15107" width="8.140625" style="209" bestFit="1" customWidth="1"/>
    <col min="15108" max="15108" width="52.85546875" style="209" customWidth="1"/>
    <col min="15109" max="15122" width="7.7109375" style="209" customWidth="1"/>
    <col min="15123" max="15123" width="9.42578125" style="209" customWidth="1"/>
    <col min="15124" max="15125" width="7.7109375" style="209" customWidth="1"/>
    <col min="15126" max="15126" width="9.42578125" style="209" customWidth="1"/>
    <col min="15127" max="15128" width="7.7109375" style="209" customWidth="1"/>
    <col min="15129" max="15129" width="9.42578125" style="209" customWidth="1"/>
    <col min="15130" max="15132" width="7.7109375" style="209" customWidth="1"/>
    <col min="15133" max="15360" width="11.42578125" style="209"/>
    <col min="15361" max="15361" width="2.28515625" style="209" customWidth="1"/>
    <col min="15362" max="15362" width="17.7109375" style="209" bestFit="1" customWidth="1"/>
    <col min="15363" max="15363" width="8.140625" style="209" bestFit="1" customWidth="1"/>
    <col min="15364" max="15364" width="52.85546875" style="209" customWidth="1"/>
    <col min="15365" max="15378" width="7.7109375" style="209" customWidth="1"/>
    <col min="15379" max="15379" width="9.42578125" style="209" customWidth="1"/>
    <col min="15380" max="15381" width="7.7109375" style="209" customWidth="1"/>
    <col min="15382" max="15382" width="9.42578125" style="209" customWidth="1"/>
    <col min="15383" max="15384" width="7.7109375" style="209" customWidth="1"/>
    <col min="15385" max="15385" width="9.42578125" style="209" customWidth="1"/>
    <col min="15386" max="15388" width="7.7109375" style="209" customWidth="1"/>
    <col min="15389" max="15616" width="11.42578125" style="209"/>
    <col min="15617" max="15617" width="2.28515625" style="209" customWidth="1"/>
    <col min="15618" max="15618" width="17.7109375" style="209" bestFit="1" customWidth="1"/>
    <col min="15619" max="15619" width="8.140625" style="209" bestFit="1" customWidth="1"/>
    <col min="15620" max="15620" width="52.85546875" style="209" customWidth="1"/>
    <col min="15621" max="15634" width="7.7109375" style="209" customWidth="1"/>
    <col min="15635" max="15635" width="9.42578125" style="209" customWidth="1"/>
    <col min="15636" max="15637" width="7.7109375" style="209" customWidth="1"/>
    <col min="15638" max="15638" width="9.42578125" style="209" customWidth="1"/>
    <col min="15639" max="15640" width="7.7109375" style="209" customWidth="1"/>
    <col min="15641" max="15641" width="9.42578125" style="209" customWidth="1"/>
    <col min="15642" max="15644" width="7.7109375" style="209" customWidth="1"/>
    <col min="15645" max="15872" width="11.42578125" style="209"/>
    <col min="15873" max="15873" width="2.28515625" style="209" customWidth="1"/>
    <col min="15874" max="15874" width="17.7109375" style="209" bestFit="1" customWidth="1"/>
    <col min="15875" max="15875" width="8.140625" style="209" bestFit="1" customWidth="1"/>
    <col min="15876" max="15876" width="52.85546875" style="209" customWidth="1"/>
    <col min="15877" max="15890" width="7.7109375" style="209" customWidth="1"/>
    <col min="15891" max="15891" width="9.42578125" style="209" customWidth="1"/>
    <col min="15892" max="15893" width="7.7109375" style="209" customWidth="1"/>
    <col min="15894" max="15894" width="9.42578125" style="209" customWidth="1"/>
    <col min="15895" max="15896" width="7.7109375" style="209" customWidth="1"/>
    <col min="15897" max="15897" width="9.42578125" style="209" customWidth="1"/>
    <col min="15898" max="15900" width="7.7109375" style="209" customWidth="1"/>
    <col min="15901" max="16128" width="11.42578125" style="209"/>
    <col min="16129" max="16129" width="2.28515625" style="209" customWidth="1"/>
    <col min="16130" max="16130" width="17.7109375" style="209" bestFit="1" customWidth="1"/>
    <col min="16131" max="16131" width="8.140625" style="209" bestFit="1" customWidth="1"/>
    <col min="16132" max="16132" width="52.85546875" style="209" customWidth="1"/>
    <col min="16133" max="16146" width="7.7109375" style="209" customWidth="1"/>
    <col min="16147" max="16147" width="9.42578125" style="209" customWidth="1"/>
    <col min="16148" max="16149" width="7.7109375" style="209" customWidth="1"/>
    <col min="16150" max="16150" width="9.42578125" style="209" customWidth="1"/>
    <col min="16151" max="16152" width="7.7109375" style="209" customWidth="1"/>
    <col min="16153" max="16153" width="9.42578125" style="209" customWidth="1"/>
    <col min="16154" max="16156" width="7.7109375" style="209" customWidth="1"/>
    <col min="16157" max="16384" width="11.42578125" style="209"/>
  </cols>
  <sheetData>
    <row r="1" spans="1:49" ht="15.75" x14ac:dyDescent="0.2">
      <c r="A1" s="224" t="s">
        <v>1465</v>
      </c>
      <c r="D1" s="191"/>
      <c r="E1" s="1375"/>
      <c r="F1" s="1375"/>
      <c r="G1" s="1375"/>
      <c r="H1" s="1375"/>
      <c r="I1" s="1375"/>
      <c r="J1" s="1375"/>
      <c r="K1" s="1375"/>
      <c r="L1" s="1375"/>
      <c r="M1" s="1375"/>
      <c r="N1" s="1375"/>
      <c r="O1" s="1375"/>
      <c r="P1" s="1375"/>
      <c r="Q1" s="1375"/>
      <c r="R1" s="1375"/>
      <c r="S1" s="1375"/>
      <c r="T1" s="1375"/>
      <c r="U1" s="1375"/>
      <c r="V1" s="1375"/>
      <c r="W1" s="1375"/>
      <c r="X1" s="1375"/>
      <c r="Y1" s="1375"/>
    </row>
    <row r="2" spans="1:49" ht="15.75" x14ac:dyDescent="0.2">
      <c r="A2" s="191"/>
      <c r="D2" s="191"/>
      <c r="E2" s="1375"/>
      <c r="F2" s="1375"/>
      <c r="G2" s="1375"/>
      <c r="H2" s="1375"/>
      <c r="I2" s="1375"/>
      <c r="J2" s="1375"/>
      <c r="K2" s="1375"/>
      <c r="L2" s="1375"/>
      <c r="M2" s="1375"/>
      <c r="N2" s="1375"/>
      <c r="O2" s="1375"/>
      <c r="P2" s="1375"/>
      <c r="Q2" s="1375"/>
      <c r="R2" s="1375"/>
      <c r="S2" s="1375"/>
      <c r="T2" s="1375"/>
      <c r="U2" s="1375"/>
      <c r="V2" s="1375"/>
      <c r="W2" s="1375"/>
      <c r="X2" s="1375"/>
      <c r="Y2" s="1375"/>
    </row>
    <row r="3" spans="1:49" ht="15" customHeight="1" x14ac:dyDescent="0.2">
      <c r="A3" s="6318" t="s">
        <v>16</v>
      </c>
      <c r="B3" s="6318" t="s">
        <v>4</v>
      </c>
      <c r="C3" s="6319" t="s">
        <v>144</v>
      </c>
      <c r="D3" s="6318" t="s">
        <v>349</v>
      </c>
      <c r="E3" s="6312">
        <v>2003</v>
      </c>
      <c r="F3" s="6312"/>
      <c r="G3" s="6312"/>
      <c r="H3" s="6312">
        <v>2004</v>
      </c>
      <c r="I3" s="6312"/>
      <c r="J3" s="6312"/>
      <c r="K3" s="6312">
        <v>2005</v>
      </c>
      <c r="L3" s="6312"/>
      <c r="M3" s="6312"/>
      <c r="N3" s="6312">
        <v>2006</v>
      </c>
      <c r="O3" s="6312"/>
      <c r="P3" s="6312"/>
      <c r="Q3" s="6312">
        <v>2007</v>
      </c>
      <c r="R3" s="6312"/>
      <c r="S3" s="6312"/>
      <c r="T3" s="6312">
        <v>2008</v>
      </c>
      <c r="U3" s="6312"/>
      <c r="V3" s="6312"/>
      <c r="W3" s="6312">
        <v>2009</v>
      </c>
      <c r="X3" s="6312"/>
      <c r="Y3" s="6312"/>
      <c r="Z3" s="6312">
        <v>2010</v>
      </c>
      <c r="AA3" s="6312"/>
      <c r="AB3" s="6312"/>
      <c r="AC3" s="6312">
        <v>2011</v>
      </c>
      <c r="AD3" s="6312"/>
      <c r="AE3" s="6312"/>
      <c r="AF3" s="6312">
        <v>2012</v>
      </c>
      <c r="AG3" s="6312"/>
      <c r="AH3" s="6312"/>
      <c r="AI3" s="6312">
        <v>2013</v>
      </c>
      <c r="AJ3" s="6312"/>
      <c r="AK3" s="6312"/>
      <c r="AL3" s="6312">
        <v>2014</v>
      </c>
      <c r="AM3" s="6312"/>
      <c r="AN3" s="6312"/>
      <c r="AO3" s="6312">
        <v>2015</v>
      </c>
      <c r="AP3" s="6312"/>
      <c r="AQ3" s="6312"/>
      <c r="AR3" s="6312">
        <v>2016</v>
      </c>
      <c r="AS3" s="6312"/>
      <c r="AT3" s="6312"/>
      <c r="AU3" s="6312">
        <v>2017</v>
      </c>
      <c r="AV3" s="6312"/>
      <c r="AW3" s="6312"/>
    </row>
    <row r="4" spans="1:49" ht="15" customHeight="1" x14ac:dyDescent="0.2">
      <c r="A4" s="6318"/>
      <c r="B4" s="6318"/>
      <c r="C4" s="6320"/>
      <c r="D4" s="6318"/>
      <c r="E4" s="1153" t="s">
        <v>517</v>
      </c>
      <c r="F4" s="1154" t="s">
        <v>518</v>
      </c>
      <c r="G4" s="1154" t="s">
        <v>519</v>
      </c>
      <c r="H4" s="1153" t="s">
        <v>517</v>
      </c>
      <c r="I4" s="1154" t="s">
        <v>518</v>
      </c>
      <c r="J4" s="1154" t="s">
        <v>519</v>
      </c>
      <c r="K4" s="1153" t="s">
        <v>517</v>
      </c>
      <c r="L4" s="1154" t="s">
        <v>518</v>
      </c>
      <c r="M4" s="1154" t="s">
        <v>519</v>
      </c>
      <c r="N4" s="1153" t="s">
        <v>517</v>
      </c>
      <c r="O4" s="1154" t="s">
        <v>518</v>
      </c>
      <c r="P4" s="1154" t="s">
        <v>519</v>
      </c>
      <c r="Q4" s="1153" t="s">
        <v>517</v>
      </c>
      <c r="R4" s="1154" t="s">
        <v>518</v>
      </c>
      <c r="S4" s="1154" t="s">
        <v>519</v>
      </c>
      <c r="T4" s="1153" t="s">
        <v>517</v>
      </c>
      <c r="U4" s="1154" t="s">
        <v>518</v>
      </c>
      <c r="V4" s="1154" t="s">
        <v>519</v>
      </c>
      <c r="W4" s="1153" t="s">
        <v>517</v>
      </c>
      <c r="X4" s="1154" t="s">
        <v>518</v>
      </c>
      <c r="Y4" s="1154" t="s">
        <v>519</v>
      </c>
      <c r="Z4" s="1153" t="s">
        <v>517</v>
      </c>
      <c r="AA4" s="1154" t="s">
        <v>518</v>
      </c>
      <c r="AB4" s="1154" t="s">
        <v>519</v>
      </c>
      <c r="AC4" s="1153" t="s">
        <v>517</v>
      </c>
      <c r="AD4" s="1154" t="s">
        <v>518</v>
      </c>
      <c r="AE4" s="1154" t="s">
        <v>519</v>
      </c>
      <c r="AF4" s="4516" t="s">
        <v>517</v>
      </c>
      <c r="AG4" s="4517" t="s">
        <v>518</v>
      </c>
      <c r="AH4" s="4518" t="s">
        <v>519</v>
      </c>
      <c r="AI4" s="4516" t="s">
        <v>517</v>
      </c>
      <c r="AJ4" s="4517" t="s">
        <v>518</v>
      </c>
      <c r="AK4" s="4518" t="s">
        <v>519</v>
      </c>
      <c r="AL4" s="4516" t="s">
        <v>517</v>
      </c>
      <c r="AM4" s="4517" t="s">
        <v>518</v>
      </c>
      <c r="AN4" s="4518" t="s">
        <v>519</v>
      </c>
      <c r="AO4" s="4516" t="s">
        <v>517</v>
      </c>
      <c r="AP4" s="4517" t="s">
        <v>518</v>
      </c>
      <c r="AQ4" s="4518" t="s">
        <v>519</v>
      </c>
      <c r="AR4" s="4516" t="s">
        <v>517</v>
      </c>
      <c r="AS4" s="4517" t="s">
        <v>518</v>
      </c>
      <c r="AT4" s="4518" t="s">
        <v>519</v>
      </c>
      <c r="AU4" s="5114" t="s">
        <v>517</v>
      </c>
      <c r="AV4" s="5115" t="s">
        <v>518</v>
      </c>
      <c r="AW4" s="5116" t="s">
        <v>519</v>
      </c>
    </row>
    <row r="5" spans="1:49" ht="15" customHeight="1" x14ac:dyDescent="0.25">
      <c r="A5" s="6313" t="s">
        <v>3</v>
      </c>
      <c r="B5" s="6316" t="s">
        <v>5</v>
      </c>
      <c r="C5" s="6317" t="s">
        <v>521</v>
      </c>
      <c r="D5" s="4520" t="s">
        <v>1591</v>
      </c>
      <c r="E5" s="1158">
        <v>66</v>
      </c>
      <c r="F5" s="1159">
        <v>56</v>
      </c>
      <c r="G5" s="1159">
        <v>50</v>
      </c>
      <c r="H5" s="1158">
        <v>56</v>
      </c>
      <c r="I5" s="1159">
        <v>49</v>
      </c>
      <c r="J5" s="1159">
        <v>58</v>
      </c>
      <c r="K5" s="1158">
        <v>58</v>
      </c>
      <c r="L5" s="1159">
        <v>58</v>
      </c>
      <c r="M5" s="1160">
        <v>61</v>
      </c>
      <c r="N5" s="1159">
        <v>74</v>
      </c>
      <c r="O5" s="1159">
        <v>66</v>
      </c>
      <c r="P5" s="1160">
        <v>75</v>
      </c>
      <c r="Q5" s="1159">
        <v>68</v>
      </c>
      <c r="R5" s="1159">
        <v>62</v>
      </c>
      <c r="S5" s="1160">
        <v>47</v>
      </c>
      <c r="T5" s="1159">
        <v>32</v>
      </c>
      <c r="U5" s="1159">
        <v>27</v>
      </c>
      <c r="V5" s="1160">
        <v>34</v>
      </c>
      <c r="W5" s="1159">
        <v>44</v>
      </c>
      <c r="X5" s="1159">
        <v>36</v>
      </c>
      <c r="Y5" s="1160">
        <v>54</v>
      </c>
      <c r="Z5" s="1159">
        <v>63</v>
      </c>
      <c r="AA5" s="1159">
        <v>63</v>
      </c>
      <c r="AB5" s="1160">
        <v>63</v>
      </c>
      <c r="AC5" s="1159">
        <v>64</v>
      </c>
      <c r="AD5" s="1159">
        <v>53</v>
      </c>
      <c r="AE5" s="1160">
        <v>55</v>
      </c>
      <c r="AF5" s="1159">
        <v>50</v>
      </c>
      <c r="AG5" s="1159">
        <v>40</v>
      </c>
      <c r="AH5" s="1160">
        <v>43</v>
      </c>
      <c r="AI5" s="1159">
        <v>46</v>
      </c>
      <c r="AJ5" s="1159">
        <v>44</v>
      </c>
      <c r="AK5" s="1160">
        <v>60</v>
      </c>
      <c r="AL5" s="1159">
        <v>64</v>
      </c>
      <c r="AM5" s="1159">
        <v>61</v>
      </c>
      <c r="AN5" s="1160">
        <v>88</v>
      </c>
      <c r="AO5" s="1159">
        <v>77</v>
      </c>
      <c r="AP5" s="1159">
        <v>74</v>
      </c>
      <c r="AQ5" s="1160">
        <v>80</v>
      </c>
      <c r="AR5" s="1159">
        <v>86</v>
      </c>
      <c r="AS5" s="1159">
        <v>71</v>
      </c>
      <c r="AT5" s="1160">
        <v>77</v>
      </c>
      <c r="AU5" s="1159">
        <v>69</v>
      </c>
      <c r="AV5" s="1159">
        <v>67</v>
      </c>
      <c r="AW5" s="1160">
        <v>75</v>
      </c>
    </row>
    <row r="6" spans="1:49" ht="15" customHeight="1" x14ac:dyDescent="0.25">
      <c r="A6" s="6314"/>
      <c r="B6" s="6201"/>
      <c r="C6" s="6174"/>
      <c r="D6" s="4521" t="s">
        <v>136</v>
      </c>
      <c r="E6" s="1161">
        <v>9</v>
      </c>
      <c r="F6" s="1162">
        <v>8</v>
      </c>
      <c r="G6" s="1162">
        <v>10</v>
      </c>
      <c r="H6" s="1161">
        <v>8</v>
      </c>
      <c r="I6" s="1162">
        <v>8</v>
      </c>
      <c r="J6" s="1162">
        <v>17</v>
      </c>
      <c r="K6" s="1161">
        <v>13</v>
      </c>
      <c r="L6" s="1162">
        <v>12</v>
      </c>
      <c r="M6" s="1163">
        <v>20</v>
      </c>
      <c r="N6" s="1162">
        <v>18</v>
      </c>
      <c r="O6" s="1162">
        <v>14</v>
      </c>
      <c r="P6" s="1163">
        <v>11</v>
      </c>
      <c r="Q6" s="1162">
        <v>15</v>
      </c>
      <c r="R6" s="1162">
        <v>14</v>
      </c>
      <c r="S6" s="1163">
        <v>20</v>
      </c>
      <c r="T6" s="1162">
        <v>14</v>
      </c>
      <c r="U6" s="1162">
        <v>15</v>
      </c>
      <c r="V6" s="1163">
        <v>17</v>
      </c>
      <c r="W6" s="1162">
        <v>13</v>
      </c>
      <c r="X6" s="1162">
        <v>12</v>
      </c>
      <c r="Y6" s="1163">
        <v>12</v>
      </c>
      <c r="Z6" s="1162">
        <v>14</v>
      </c>
      <c r="AA6" s="1162">
        <v>11</v>
      </c>
      <c r="AB6" s="1163">
        <v>23</v>
      </c>
      <c r="AC6" s="1162">
        <v>22</v>
      </c>
      <c r="AD6" s="1162">
        <v>20</v>
      </c>
      <c r="AE6" s="1163">
        <v>30</v>
      </c>
      <c r="AF6" s="1162">
        <v>28</v>
      </c>
      <c r="AG6" s="1162">
        <v>27</v>
      </c>
      <c r="AH6" s="1163">
        <v>28</v>
      </c>
      <c r="AI6" s="1162">
        <v>28</v>
      </c>
      <c r="AJ6" s="1162">
        <v>22</v>
      </c>
      <c r="AK6" s="1163">
        <v>32</v>
      </c>
      <c r="AL6" s="1162">
        <v>25</v>
      </c>
      <c r="AM6" s="1162">
        <v>24</v>
      </c>
      <c r="AN6" s="1163">
        <v>38</v>
      </c>
      <c r="AO6" s="1162">
        <v>32</v>
      </c>
      <c r="AP6" s="1162">
        <v>22</v>
      </c>
      <c r="AQ6" s="1163">
        <v>37</v>
      </c>
      <c r="AR6" s="1162">
        <v>36</v>
      </c>
      <c r="AS6" s="1162">
        <v>33</v>
      </c>
      <c r="AT6" s="1163">
        <v>44</v>
      </c>
      <c r="AU6" s="1162">
        <v>38</v>
      </c>
      <c r="AV6" s="1162">
        <v>35</v>
      </c>
      <c r="AW6" s="1163">
        <v>40</v>
      </c>
    </row>
    <row r="7" spans="1:49" ht="15" customHeight="1" x14ac:dyDescent="0.25">
      <c r="A7" s="6314"/>
      <c r="B7" s="6201"/>
      <c r="C7" s="6174"/>
      <c r="D7" s="4521" t="s">
        <v>432</v>
      </c>
      <c r="E7" s="1164"/>
      <c r="F7" s="1165"/>
      <c r="G7" s="1165"/>
      <c r="H7" s="1164"/>
      <c r="I7" s="1165"/>
      <c r="J7" s="1165"/>
      <c r="K7" s="1164"/>
      <c r="L7" s="1165"/>
      <c r="M7" s="1166"/>
      <c r="N7" s="1165"/>
      <c r="O7" s="1165"/>
      <c r="P7" s="1166"/>
      <c r="Q7" s="1165"/>
      <c r="R7" s="1165"/>
      <c r="S7" s="1166"/>
      <c r="T7" s="1165"/>
      <c r="U7" s="1165"/>
      <c r="V7" s="1166"/>
      <c r="W7" s="1165"/>
      <c r="X7" s="1165"/>
      <c r="Y7" s="1166"/>
      <c r="Z7" s="1165"/>
      <c r="AA7" s="1165"/>
      <c r="AB7" s="1166"/>
      <c r="AC7" s="1165"/>
      <c r="AD7" s="1165"/>
      <c r="AE7" s="1166"/>
      <c r="AF7" s="1165"/>
      <c r="AG7" s="1165">
        <v>7</v>
      </c>
      <c r="AH7" s="1166">
        <v>10</v>
      </c>
      <c r="AI7" s="1165">
        <v>15</v>
      </c>
      <c r="AJ7" s="1165">
        <v>15</v>
      </c>
      <c r="AK7" s="1166">
        <v>21</v>
      </c>
      <c r="AL7" s="1165">
        <v>29</v>
      </c>
      <c r="AM7" s="1165">
        <v>29</v>
      </c>
      <c r="AN7" s="1166">
        <v>34</v>
      </c>
      <c r="AO7" s="1165">
        <v>34</v>
      </c>
      <c r="AP7" s="1165">
        <v>31</v>
      </c>
      <c r="AQ7" s="1166">
        <v>34</v>
      </c>
      <c r="AR7" s="1165">
        <v>37</v>
      </c>
      <c r="AS7" s="1165">
        <v>32</v>
      </c>
      <c r="AT7" s="1166">
        <v>36</v>
      </c>
      <c r="AU7" s="1165">
        <v>39</v>
      </c>
      <c r="AV7" s="1165">
        <v>39</v>
      </c>
      <c r="AW7" s="1166">
        <v>33</v>
      </c>
    </row>
    <row r="8" spans="1:49" ht="15" customHeight="1" x14ac:dyDescent="0.25">
      <c r="A8" s="6314"/>
      <c r="B8" s="6201"/>
      <c r="C8" s="6174"/>
      <c r="D8" s="4521" t="s">
        <v>433</v>
      </c>
      <c r="E8" s="1164"/>
      <c r="F8" s="1165"/>
      <c r="G8" s="1165"/>
      <c r="H8" s="1164"/>
      <c r="I8" s="1165"/>
      <c r="J8" s="1165"/>
      <c r="K8" s="1164"/>
      <c r="L8" s="1165"/>
      <c r="M8" s="1166"/>
      <c r="N8" s="1165"/>
      <c r="O8" s="1165"/>
      <c r="P8" s="1166"/>
      <c r="Q8" s="1165"/>
      <c r="R8" s="1165"/>
      <c r="S8" s="1166"/>
      <c r="T8" s="1165"/>
      <c r="U8" s="1165"/>
      <c r="V8" s="1166"/>
      <c r="W8" s="1165"/>
      <c r="X8" s="1165"/>
      <c r="Y8" s="1166"/>
      <c r="Z8" s="1165"/>
      <c r="AA8" s="1165"/>
      <c r="AB8" s="1166"/>
      <c r="AC8" s="1165"/>
      <c r="AD8" s="1165"/>
      <c r="AE8" s="1166"/>
      <c r="AF8" s="1165"/>
      <c r="AG8" s="1165">
        <v>1</v>
      </c>
      <c r="AH8" s="1166">
        <v>4</v>
      </c>
      <c r="AI8" s="1165">
        <v>4</v>
      </c>
      <c r="AJ8" s="1165">
        <v>4</v>
      </c>
      <c r="AK8" s="1166">
        <v>8</v>
      </c>
      <c r="AL8" s="1165">
        <v>8</v>
      </c>
      <c r="AM8" s="1165">
        <v>8</v>
      </c>
      <c r="AN8" s="1166">
        <v>10</v>
      </c>
      <c r="AO8" s="1165">
        <v>11</v>
      </c>
      <c r="AP8" s="1165">
        <v>9</v>
      </c>
      <c r="AQ8" s="1166">
        <v>11</v>
      </c>
      <c r="AR8" s="1165">
        <v>13</v>
      </c>
      <c r="AS8" s="1165">
        <v>10</v>
      </c>
      <c r="AT8" s="1166">
        <v>14</v>
      </c>
      <c r="AU8" s="1165">
        <v>14</v>
      </c>
      <c r="AV8" s="1165">
        <v>13</v>
      </c>
      <c r="AW8" s="1166">
        <v>15</v>
      </c>
    </row>
    <row r="9" spans="1:49" ht="15" customHeight="1" x14ac:dyDescent="0.25">
      <c r="A9" s="6314"/>
      <c r="B9" s="6201"/>
      <c r="C9" s="6175"/>
      <c r="D9" s="4522" t="s">
        <v>135</v>
      </c>
      <c r="E9" s="1164">
        <v>27</v>
      </c>
      <c r="F9" s="1165">
        <v>25</v>
      </c>
      <c r="G9" s="1165">
        <v>28</v>
      </c>
      <c r="H9" s="1164">
        <v>28</v>
      </c>
      <c r="I9" s="1165">
        <v>24</v>
      </c>
      <c r="J9" s="1165">
        <v>21</v>
      </c>
      <c r="K9" s="1164">
        <v>18</v>
      </c>
      <c r="L9" s="1165">
        <v>18</v>
      </c>
      <c r="M9" s="1166">
        <v>17</v>
      </c>
      <c r="N9" s="1165">
        <v>15</v>
      </c>
      <c r="O9" s="1165">
        <v>16</v>
      </c>
      <c r="P9" s="1166">
        <v>12</v>
      </c>
      <c r="Q9" s="1165">
        <v>12</v>
      </c>
      <c r="R9" s="1165">
        <v>9</v>
      </c>
      <c r="S9" s="1166">
        <v>3</v>
      </c>
      <c r="T9" s="1165">
        <v>3</v>
      </c>
      <c r="U9" s="1165">
        <v>3</v>
      </c>
      <c r="V9" s="1166">
        <v>8</v>
      </c>
      <c r="W9" s="1165">
        <v>11</v>
      </c>
      <c r="X9" s="1165">
        <v>7</v>
      </c>
      <c r="Y9" s="1166">
        <v>21</v>
      </c>
      <c r="Z9" s="1165">
        <v>25</v>
      </c>
      <c r="AA9" s="1165">
        <v>20</v>
      </c>
      <c r="AB9" s="1166">
        <v>22</v>
      </c>
      <c r="AC9" s="1165">
        <v>24</v>
      </c>
      <c r="AD9" s="1165">
        <v>17</v>
      </c>
      <c r="AE9" s="1166">
        <v>14</v>
      </c>
      <c r="AF9" s="1165">
        <v>10</v>
      </c>
      <c r="AG9" s="1165">
        <v>9</v>
      </c>
      <c r="AH9" s="1166">
        <v>8</v>
      </c>
      <c r="AI9" s="1165">
        <v>9</v>
      </c>
      <c r="AJ9" s="1165">
        <v>7</v>
      </c>
      <c r="AK9" s="1166">
        <v>5</v>
      </c>
      <c r="AL9" s="1165">
        <v>3</v>
      </c>
      <c r="AM9" s="1165">
        <v>3</v>
      </c>
      <c r="AN9" s="1166">
        <v>1</v>
      </c>
      <c r="AO9" s="1165">
        <v>3</v>
      </c>
      <c r="AP9" s="1165">
        <v>1</v>
      </c>
      <c r="AQ9" s="1166">
        <v>5</v>
      </c>
      <c r="AR9" s="1165">
        <v>8</v>
      </c>
      <c r="AS9" s="1165">
        <v>8</v>
      </c>
      <c r="AT9" s="1166">
        <v>10</v>
      </c>
      <c r="AU9" s="1165">
        <v>13</v>
      </c>
      <c r="AV9" s="1165">
        <v>11</v>
      </c>
      <c r="AW9" s="1166">
        <v>11</v>
      </c>
    </row>
    <row r="10" spans="1:49" ht="15" customHeight="1" x14ac:dyDescent="0.25">
      <c r="A10" s="6314"/>
      <c r="B10" s="6201"/>
      <c r="C10" s="6173" t="s">
        <v>520</v>
      </c>
      <c r="D10" s="4523" t="s">
        <v>1592</v>
      </c>
      <c r="E10" s="1161">
        <v>21</v>
      </c>
      <c r="F10" s="1162">
        <v>18</v>
      </c>
      <c r="G10" s="1162">
        <v>22</v>
      </c>
      <c r="H10" s="1161">
        <v>19</v>
      </c>
      <c r="I10" s="1162">
        <v>19</v>
      </c>
      <c r="J10" s="1162">
        <v>22</v>
      </c>
      <c r="K10" s="1161">
        <v>21</v>
      </c>
      <c r="L10" s="1162">
        <v>20</v>
      </c>
      <c r="M10" s="1163">
        <v>15</v>
      </c>
      <c r="N10" s="1162">
        <v>12</v>
      </c>
      <c r="O10" s="1162">
        <v>12</v>
      </c>
      <c r="P10" s="1163">
        <v>14</v>
      </c>
      <c r="Q10" s="1162">
        <v>17</v>
      </c>
      <c r="R10" s="1162">
        <v>22</v>
      </c>
      <c r="S10" s="1163">
        <v>23</v>
      </c>
      <c r="T10" s="1162">
        <v>26</v>
      </c>
      <c r="U10" s="1162">
        <v>28</v>
      </c>
      <c r="V10" s="1163">
        <v>30</v>
      </c>
      <c r="W10" s="1162">
        <v>29</v>
      </c>
      <c r="X10" s="1162">
        <v>29</v>
      </c>
      <c r="Y10" s="1163">
        <v>28</v>
      </c>
      <c r="Z10" s="1162">
        <v>29</v>
      </c>
      <c r="AA10" s="1162">
        <v>25</v>
      </c>
      <c r="AB10" s="1163">
        <v>23</v>
      </c>
      <c r="AC10" s="1162">
        <v>21</v>
      </c>
      <c r="AD10" s="1162">
        <v>30</v>
      </c>
      <c r="AE10" s="1163">
        <v>24</v>
      </c>
      <c r="AF10" s="1162">
        <v>22</v>
      </c>
      <c r="AG10" s="1162">
        <v>18</v>
      </c>
      <c r="AH10" s="1163">
        <v>21</v>
      </c>
      <c r="AI10" s="1162">
        <v>16</v>
      </c>
      <c r="AJ10" s="1162">
        <v>20</v>
      </c>
      <c r="AK10" s="1163">
        <v>18</v>
      </c>
      <c r="AL10" s="1162">
        <v>14</v>
      </c>
      <c r="AM10" s="1162">
        <v>16</v>
      </c>
      <c r="AN10" s="1163">
        <v>21</v>
      </c>
      <c r="AO10" s="1162">
        <v>24</v>
      </c>
      <c r="AP10" s="1162">
        <v>20</v>
      </c>
      <c r="AQ10" s="1163">
        <v>18</v>
      </c>
      <c r="AR10" s="1162">
        <v>22</v>
      </c>
      <c r="AS10" s="1162">
        <v>24</v>
      </c>
      <c r="AT10" s="1163">
        <v>24</v>
      </c>
      <c r="AU10" s="1162">
        <v>24</v>
      </c>
      <c r="AV10" s="1162">
        <v>22</v>
      </c>
      <c r="AW10" s="1163">
        <v>22</v>
      </c>
    </row>
    <row r="11" spans="1:49" s="212" customFormat="1" ht="15" customHeight="1" x14ac:dyDescent="0.25">
      <c r="A11" s="6314"/>
      <c r="B11" s="6201"/>
      <c r="C11" s="6174"/>
      <c r="D11" s="4521" t="s">
        <v>137</v>
      </c>
      <c r="E11" s="1167">
        <v>1</v>
      </c>
      <c r="F11" s="1072">
        <v>1</v>
      </c>
      <c r="G11" s="1072">
        <v>6</v>
      </c>
      <c r="H11" s="1167">
        <v>6</v>
      </c>
      <c r="I11" s="1072">
        <v>6</v>
      </c>
      <c r="J11" s="1072">
        <v>7</v>
      </c>
      <c r="K11" s="1167">
        <v>7</v>
      </c>
      <c r="L11" s="1072">
        <v>7</v>
      </c>
      <c r="M11" s="1168">
        <v>9</v>
      </c>
      <c r="N11" s="1072">
        <v>9</v>
      </c>
      <c r="O11" s="1072">
        <v>9</v>
      </c>
      <c r="P11" s="1168">
        <v>10</v>
      </c>
      <c r="Q11" s="1072">
        <v>10</v>
      </c>
      <c r="R11" s="1072">
        <v>9</v>
      </c>
      <c r="S11" s="1168">
        <v>10</v>
      </c>
      <c r="T11" s="1072">
        <v>9</v>
      </c>
      <c r="U11" s="1072">
        <v>9</v>
      </c>
      <c r="V11" s="1168">
        <v>10</v>
      </c>
      <c r="W11" s="1072">
        <v>9</v>
      </c>
      <c r="X11" s="1072">
        <v>9</v>
      </c>
      <c r="Y11" s="1168">
        <v>10</v>
      </c>
      <c r="Z11" s="1072">
        <v>9</v>
      </c>
      <c r="AA11" s="1072">
        <v>9</v>
      </c>
      <c r="AB11" s="1168">
        <v>8</v>
      </c>
      <c r="AC11" s="1072">
        <v>7</v>
      </c>
      <c r="AD11" s="1072">
        <v>6</v>
      </c>
      <c r="AE11" s="1168">
        <v>4</v>
      </c>
      <c r="AF11" s="1072">
        <v>4</v>
      </c>
      <c r="AG11" s="1072">
        <v>5</v>
      </c>
      <c r="AH11" s="1168">
        <v>5</v>
      </c>
      <c r="AI11" s="1072">
        <v>5</v>
      </c>
      <c r="AJ11" s="1072">
        <v>5</v>
      </c>
      <c r="AK11" s="1168">
        <v>5</v>
      </c>
      <c r="AL11" s="1072">
        <v>4</v>
      </c>
      <c r="AM11" s="1072">
        <v>4</v>
      </c>
      <c r="AN11" s="1168">
        <v>4</v>
      </c>
      <c r="AO11" s="1072">
        <v>4</v>
      </c>
      <c r="AP11" s="1072">
        <v>4</v>
      </c>
      <c r="AQ11" s="1168">
        <v>4</v>
      </c>
      <c r="AR11" s="1072">
        <v>7</v>
      </c>
      <c r="AS11" s="1072">
        <v>6</v>
      </c>
      <c r="AT11" s="1168">
        <v>6</v>
      </c>
      <c r="AU11" s="1072">
        <v>9</v>
      </c>
      <c r="AV11" s="1072">
        <v>9</v>
      </c>
      <c r="AW11" s="1168">
        <v>11</v>
      </c>
    </row>
    <row r="12" spans="1:49" s="212" customFormat="1" ht="15" customHeight="1" x14ac:dyDescent="0.25">
      <c r="A12" s="6314"/>
      <c r="B12" s="6201"/>
      <c r="C12" s="6174"/>
      <c r="D12" s="4523" t="s">
        <v>618</v>
      </c>
      <c r="E12" s="1161"/>
      <c r="F12" s="1162"/>
      <c r="G12" s="1162"/>
      <c r="H12" s="1161"/>
      <c r="I12" s="1162"/>
      <c r="J12" s="1162"/>
      <c r="K12" s="1161"/>
      <c r="L12" s="1162"/>
      <c r="M12" s="1163"/>
      <c r="N12" s="1162"/>
      <c r="O12" s="1162"/>
      <c r="P12" s="1163"/>
      <c r="Q12" s="1162"/>
      <c r="R12" s="1162"/>
      <c r="S12" s="1163"/>
      <c r="T12" s="1162"/>
      <c r="U12" s="1162"/>
      <c r="V12" s="1163"/>
      <c r="W12" s="1162"/>
      <c r="X12" s="1162"/>
      <c r="Y12" s="1163"/>
      <c r="Z12" s="1162"/>
      <c r="AA12" s="1162"/>
      <c r="AB12" s="1163"/>
      <c r="AC12" s="1162"/>
      <c r="AD12" s="1162"/>
      <c r="AE12" s="1163"/>
      <c r="AF12" s="1162"/>
      <c r="AG12" s="1162"/>
      <c r="AH12" s="1163"/>
      <c r="AI12" s="1162"/>
      <c r="AJ12" s="1162"/>
      <c r="AK12" s="1163">
        <v>3</v>
      </c>
      <c r="AL12" s="1162">
        <v>3</v>
      </c>
      <c r="AM12" s="1162">
        <v>3</v>
      </c>
      <c r="AN12" s="1163">
        <v>3</v>
      </c>
      <c r="AO12" s="1162">
        <v>5</v>
      </c>
      <c r="AP12" s="1162">
        <v>5</v>
      </c>
      <c r="AQ12" s="1163">
        <v>8</v>
      </c>
      <c r="AR12" s="1162">
        <v>9</v>
      </c>
      <c r="AS12" s="1162">
        <v>9</v>
      </c>
      <c r="AT12" s="1163">
        <v>7</v>
      </c>
      <c r="AU12" s="1162">
        <v>7</v>
      </c>
      <c r="AV12" s="1162">
        <v>9</v>
      </c>
      <c r="AW12" s="1163">
        <v>8</v>
      </c>
    </row>
    <row r="13" spans="1:49" s="212" customFormat="1" ht="15" customHeight="1" x14ac:dyDescent="0.25">
      <c r="A13" s="6314"/>
      <c r="B13" s="6201"/>
      <c r="C13" s="6175"/>
      <c r="D13" s="4521" t="s">
        <v>619</v>
      </c>
      <c r="E13" s="1167"/>
      <c r="F13" s="1072"/>
      <c r="G13" s="1072"/>
      <c r="H13" s="1167"/>
      <c r="I13" s="1072"/>
      <c r="J13" s="1072"/>
      <c r="K13" s="1167"/>
      <c r="L13" s="1072"/>
      <c r="M13" s="1168"/>
      <c r="N13" s="1072"/>
      <c r="O13" s="1072"/>
      <c r="P13" s="1168"/>
      <c r="Q13" s="1072"/>
      <c r="R13" s="1072"/>
      <c r="S13" s="1168"/>
      <c r="T13" s="1072"/>
      <c r="U13" s="1072"/>
      <c r="V13" s="1168"/>
      <c r="W13" s="1072"/>
      <c r="X13" s="1072"/>
      <c r="Y13" s="1168"/>
      <c r="Z13" s="1072"/>
      <c r="AA13" s="1072"/>
      <c r="AB13" s="1168"/>
      <c r="AC13" s="1072"/>
      <c r="AD13" s="1072"/>
      <c r="AE13" s="1168"/>
      <c r="AF13" s="1072"/>
      <c r="AG13" s="1072"/>
      <c r="AH13" s="1168"/>
      <c r="AI13" s="1072"/>
      <c r="AJ13" s="1072"/>
      <c r="AK13" s="1168">
        <v>2</v>
      </c>
      <c r="AL13" s="1072">
        <v>2</v>
      </c>
      <c r="AM13" s="1072">
        <v>2</v>
      </c>
      <c r="AN13" s="1168">
        <v>2</v>
      </c>
      <c r="AO13" s="1072">
        <v>3</v>
      </c>
      <c r="AP13" s="1072">
        <v>3</v>
      </c>
      <c r="AQ13" s="1168">
        <v>3</v>
      </c>
      <c r="AR13" s="1072">
        <v>2</v>
      </c>
      <c r="AS13" s="1072">
        <v>4</v>
      </c>
      <c r="AT13" s="1168">
        <v>6</v>
      </c>
      <c r="AU13" s="1072">
        <v>6</v>
      </c>
      <c r="AV13" s="1072">
        <v>3</v>
      </c>
      <c r="AW13" s="1168">
        <v>4</v>
      </c>
    </row>
    <row r="14" spans="1:49" s="212" customFormat="1" ht="15" customHeight="1" x14ac:dyDescent="0.2">
      <c r="A14" s="6314"/>
      <c r="B14" s="6202"/>
      <c r="C14" s="5153"/>
      <c r="D14" s="4538" t="s">
        <v>160</v>
      </c>
      <c r="E14" s="1169">
        <f t="shared" ref="E14:AH14" si="0">SUM(E5:E11)</f>
        <v>124</v>
      </c>
      <c r="F14" s="1170">
        <f t="shared" si="0"/>
        <v>108</v>
      </c>
      <c r="G14" s="1170">
        <f t="shared" si="0"/>
        <v>116</v>
      </c>
      <c r="H14" s="1169">
        <f t="shared" si="0"/>
        <v>117</v>
      </c>
      <c r="I14" s="1170">
        <f t="shared" si="0"/>
        <v>106</v>
      </c>
      <c r="J14" s="1170">
        <f t="shared" si="0"/>
        <v>125</v>
      </c>
      <c r="K14" s="1169">
        <f t="shared" si="0"/>
        <v>117</v>
      </c>
      <c r="L14" s="1170">
        <f t="shared" si="0"/>
        <v>115</v>
      </c>
      <c r="M14" s="1171">
        <f t="shared" si="0"/>
        <v>122</v>
      </c>
      <c r="N14" s="1170">
        <f t="shared" si="0"/>
        <v>128</v>
      </c>
      <c r="O14" s="1170">
        <f t="shared" si="0"/>
        <v>117</v>
      </c>
      <c r="P14" s="1171">
        <f t="shared" si="0"/>
        <v>122</v>
      </c>
      <c r="Q14" s="1170">
        <f t="shared" si="0"/>
        <v>122</v>
      </c>
      <c r="R14" s="1170">
        <f t="shared" si="0"/>
        <v>116</v>
      </c>
      <c r="S14" s="1171">
        <f t="shared" si="0"/>
        <v>103</v>
      </c>
      <c r="T14" s="1170">
        <f t="shared" si="0"/>
        <v>84</v>
      </c>
      <c r="U14" s="1170">
        <f t="shared" si="0"/>
        <v>82</v>
      </c>
      <c r="V14" s="1171">
        <f t="shared" si="0"/>
        <v>99</v>
      </c>
      <c r="W14" s="1170">
        <f t="shared" si="0"/>
        <v>106</v>
      </c>
      <c r="X14" s="1170">
        <f t="shared" si="0"/>
        <v>93</v>
      </c>
      <c r="Y14" s="1171">
        <f t="shared" si="0"/>
        <v>125</v>
      </c>
      <c r="Z14" s="1170">
        <f t="shared" si="0"/>
        <v>140</v>
      </c>
      <c r="AA14" s="1170">
        <f t="shared" si="0"/>
        <v>128</v>
      </c>
      <c r="AB14" s="1171">
        <f t="shared" si="0"/>
        <v>139</v>
      </c>
      <c r="AC14" s="1170">
        <f t="shared" si="0"/>
        <v>138</v>
      </c>
      <c r="AD14" s="1170">
        <f t="shared" si="0"/>
        <v>126</v>
      </c>
      <c r="AE14" s="1171">
        <f t="shared" si="0"/>
        <v>127</v>
      </c>
      <c r="AF14" s="1170">
        <f t="shared" si="0"/>
        <v>114</v>
      </c>
      <c r="AG14" s="1170">
        <f t="shared" si="0"/>
        <v>107</v>
      </c>
      <c r="AH14" s="1171">
        <f t="shared" si="0"/>
        <v>119</v>
      </c>
      <c r="AI14" s="1170">
        <f>SUM(AI5:AI11)</f>
        <v>123</v>
      </c>
      <c r="AJ14" s="1170">
        <f>SUM(AJ5:AJ11)</f>
        <v>117</v>
      </c>
      <c r="AK14" s="1171">
        <f t="shared" ref="AK14:AT14" si="1">SUM(AK5:AK13)</f>
        <v>154</v>
      </c>
      <c r="AL14" s="1170">
        <f t="shared" si="1"/>
        <v>152</v>
      </c>
      <c r="AM14" s="1170">
        <f t="shared" si="1"/>
        <v>150</v>
      </c>
      <c r="AN14" s="1171">
        <f t="shared" si="1"/>
        <v>201</v>
      </c>
      <c r="AO14" s="1170">
        <f t="shared" si="1"/>
        <v>193</v>
      </c>
      <c r="AP14" s="1170">
        <f t="shared" si="1"/>
        <v>169</v>
      </c>
      <c r="AQ14" s="1171">
        <f t="shared" si="1"/>
        <v>200</v>
      </c>
      <c r="AR14" s="1170">
        <f t="shared" si="1"/>
        <v>220</v>
      </c>
      <c r="AS14" s="1170">
        <f>SUM(AS5:AS13)</f>
        <v>197</v>
      </c>
      <c r="AT14" s="1171">
        <f t="shared" si="1"/>
        <v>224</v>
      </c>
      <c r="AU14" s="1170">
        <f>SUM(AU5:AU13)</f>
        <v>219</v>
      </c>
      <c r="AV14" s="1170">
        <f>SUM(AV5:AV13)</f>
        <v>208</v>
      </c>
      <c r="AW14" s="1171">
        <f>SUM(AW5:AW13)</f>
        <v>219</v>
      </c>
    </row>
    <row r="15" spans="1:49" s="212" customFormat="1" ht="15" customHeight="1" x14ac:dyDescent="0.25">
      <c r="A15" s="6314"/>
      <c r="B15" s="6316" t="s">
        <v>6</v>
      </c>
      <c r="C15" s="6317" t="s">
        <v>522</v>
      </c>
      <c r="D15" s="4524" t="s">
        <v>138</v>
      </c>
      <c r="E15" s="1172">
        <v>14</v>
      </c>
      <c r="F15" s="1173">
        <v>13</v>
      </c>
      <c r="G15" s="1173">
        <v>31</v>
      </c>
      <c r="H15" s="1172">
        <v>26</v>
      </c>
      <c r="I15" s="1173">
        <v>24</v>
      </c>
      <c r="J15" s="1173">
        <v>20</v>
      </c>
      <c r="K15" s="1172">
        <v>18</v>
      </c>
      <c r="L15" s="1173">
        <v>17</v>
      </c>
      <c r="M15" s="1174">
        <v>23</v>
      </c>
      <c r="N15" s="1173">
        <v>18</v>
      </c>
      <c r="O15" s="1173">
        <v>21</v>
      </c>
      <c r="P15" s="1174">
        <v>13</v>
      </c>
      <c r="Q15" s="1173">
        <v>12</v>
      </c>
      <c r="R15" s="1173">
        <v>15</v>
      </c>
      <c r="S15" s="1174">
        <v>21</v>
      </c>
      <c r="T15" s="1173">
        <v>17</v>
      </c>
      <c r="U15" s="1173">
        <v>16</v>
      </c>
      <c r="V15" s="1174">
        <v>18</v>
      </c>
      <c r="W15" s="1173">
        <v>18</v>
      </c>
      <c r="X15" s="1173">
        <v>17</v>
      </c>
      <c r="Y15" s="1174">
        <v>18</v>
      </c>
      <c r="Z15" s="1173">
        <v>14</v>
      </c>
      <c r="AA15" s="1173">
        <v>15</v>
      </c>
      <c r="AB15" s="1174">
        <v>15</v>
      </c>
      <c r="AC15" s="1173">
        <v>14</v>
      </c>
      <c r="AD15" s="1173">
        <v>13</v>
      </c>
      <c r="AE15" s="1174">
        <v>17</v>
      </c>
      <c r="AF15" s="1173">
        <v>16</v>
      </c>
      <c r="AG15" s="1173">
        <v>17</v>
      </c>
      <c r="AH15" s="1174">
        <v>18</v>
      </c>
      <c r="AI15" s="1173">
        <v>17</v>
      </c>
      <c r="AJ15" s="1173">
        <v>16</v>
      </c>
      <c r="AK15" s="1174">
        <v>19</v>
      </c>
      <c r="AL15" s="1173">
        <v>18</v>
      </c>
      <c r="AM15" s="1173">
        <v>19</v>
      </c>
      <c r="AN15" s="1174">
        <v>18</v>
      </c>
      <c r="AO15" s="1173">
        <v>17</v>
      </c>
      <c r="AP15" s="1173">
        <v>19</v>
      </c>
      <c r="AQ15" s="1174">
        <v>21</v>
      </c>
      <c r="AR15" s="1173">
        <v>21</v>
      </c>
      <c r="AS15" s="1173">
        <v>23</v>
      </c>
      <c r="AT15" s="1174">
        <v>20</v>
      </c>
      <c r="AU15" s="1173">
        <v>20</v>
      </c>
      <c r="AV15" s="1173">
        <v>20</v>
      </c>
      <c r="AW15" s="1174">
        <v>21</v>
      </c>
    </row>
    <row r="16" spans="1:49" s="212" customFormat="1" ht="15" customHeight="1" x14ac:dyDescent="0.25">
      <c r="A16" s="6314"/>
      <c r="B16" s="6201"/>
      <c r="C16" s="6174"/>
      <c r="D16" s="4525" t="s">
        <v>358</v>
      </c>
      <c r="E16" s="1167"/>
      <c r="F16" s="1072"/>
      <c r="G16" s="1072"/>
      <c r="H16" s="1167"/>
      <c r="I16" s="1072"/>
      <c r="J16" s="1072">
        <v>18</v>
      </c>
      <c r="K16" s="1167">
        <v>17</v>
      </c>
      <c r="L16" s="1072">
        <v>15</v>
      </c>
      <c r="M16" s="1168">
        <v>9</v>
      </c>
      <c r="N16" s="1072">
        <v>7</v>
      </c>
      <c r="O16" s="1072">
        <v>7</v>
      </c>
      <c r="P16" s="1168">
        <v>20</v>
      </c>
      <c r="Q16" s="1072">
        <v>17</v>
      </c>
      <c r="R16" s="1072">
        <v>17</v>
      </c>
      <c r="S16" s="1168">
        <v>13</v>
      </c>
      <c r="T16" s="1072">
        <v>9</v>
      </c>
      <c r="U16" s="1072">
        <v>10</v>
      </c>
      <c r="V16" s="1168">
        <v>13</v>
      </c>
      <c r="W16" s="1072">
        <v>12</v>
      </c>
      <c r="X16" s="1072">
        <v>9</v>
      </c>
      <c r="Y16" s="1168"/>
      <c r="Z16" s="1072" t="s">
        <v>227</v>
      </c>
      <c r="AA16" s="1072" t="s">
        <v>227</v>
      </c>
      <c r="AB16" s="1168">
        <v>12</v>
      </c>
      <c r="AC16" s="1072">
        <v>11</v>
      </c>
      <c r="AD16" s="1072">
        <v>9</v>
      </c>
      <c r="AE16" s="1168">
        <v>10</v>
      </c>
      <c r="AF16" s="1072">
        <v>9</v>
      </c>
      <c r="AG16" s="1072">
        <v>10</v>
      </c>
      <c r="AH16" s="1168"/>
      <c r="AI16" s="1072"/>
      <c r="AJ16" s="1072">
        <v>1</v>
      </c>
      <c r="AK16" s="1168">
        <v>10</v>
      </c>
      <c r="AL16" s="1072">
        <v>9</v>
      </c>
      <c r="AM16" s="1072">
        <v>7</v>
      </c>
      <c r="AN16" s="1168"/>
      <c r="AO16" s="1072"/>
      <c r="AP16" s="1072"/>
      <c r="AQ16" s="1168">
        <v>9</v>
      </c>
      <c r="AR16" s="1072">
        <v>6</v>
      </c>
      <c r="AS16" s="1072">
        <v>5</v>
      </c>
      <c r="AT16" s="1168"/>
      <c r="AU16" s="1072"/>
      <c r="AV16" s="1072"/>
      <c r="AW16" s="1168"/>
    </row>
    <row r="17" spans="1:49" s="212" customFormat="1" ht="15" customHeight="1" x14ac:dyDescent="0.25">
      <c r="A17" s="6314"/>
      <c r="B17" s="6201"/>
      <c r="C17" s="6175"/>
      <c r="D17" s="4525" t="s">
        <v>403</v>
      </c>
      <c r="E17" s="1167"/>
      <c r="F17" s="1072"/>
      <c r="G17" s="1072"/>
      <c r="H17" s="1167"/>
      <c r="I17" s="1072"/>
      <c r="J17" s="1072"/>
      <c r="K17" s="1167"/>
      <c r="L17" s="1072"/>
      <c r="M17" s="1168"/>
      <c r="N17" s="1072"/>
      <c r="O17" s="1072"/>
      <c r="P17" s="1168"/>
      <c r="Q17" s="1072"/>
      <c r="R17" s="1072"/>
      <c r="S17" s="1168">
        <v>5</v>
      </c>
      <c r="T17" s="1072">
        <v>1</v>
      </c>
      <c r="U17" s="1072">
        <v>1</v>
      </c>
      <c r="V17" s="1168"/>
      <c r="W17" s="1072">
        <v>1</v>
      </c>
      <c r="X17" s="1072">
        <v>1</v>
      </c>
      <c r="Y17" s="1168">
        <v>1</v>
      </c>
      <c r="Z17" s="1072"/>
      <c r="AA17" s="1072"/>
      <c r="AB17" s="1168"/>
      <c r="AC17" s="1072">
        <v>1</v>
      </c>
      <c r="AD17" s="1072">
        <v>1</v>
      </c>
      <c r="AE17" s="1168"/>
      <c r="AF17" s="1072"/>
      <c r="AG17" s="1072">
        <v>1</v>
      </c>
      <c r="AH17" s="1168">
        <v>1</v>
      </c>
      <c r="AI17" s="1072">
        <v>1</v>
      </c>
      <c r="AJ17" s="1072">
        <v>1</v>
      </c>
      <c r="AK17" s="1168">
        <v>1</v>
      </c>
      <c r="AL17" s="1072"/>
      <c r="AM17" s="1072"/>
      <c r="AN17" s="1168"/>
      <c r="AO17" s="1072"/>
      <c r="AP17" s="1072"/>
      <c r="AQ17" s="1168"/>
      <c r="AR17" s="1072"/>
      <c r="AS17" s="1072"/>
      <c r="AT17" s="1168"/>
      <c r="AU17" s="1072"/>
      <c r="AV17" s="1072"/>
      <c r="AW17" s="1168"/>
    </row>
    <row r="18" spans="1:49" s="212" customFormat="1" ht="15" customHeight="1" x14ac:dyDescent="0.25">
      <c r="A18" s="6314"/>
      <c r="B18" s="6201"/>
      <c r="C18" s="6173" t="s">
        <v>521</v>
      </c>
      <c r="D18" s="4525" t="s">
        <v>368</v>
      </c>
      <c r="E18" s="1167"/>
      <c r="F18" s="1072"/>
      <c r="G18" s="1072"/>
      <c r="H18" s="1167"/>
      <c r="I18" s="1072"/>
      <c r="J18" s="1072"/>
      <c r="K18" s="1167"/>
      <c r="L18" s="1072"/>
      <c r="M18" s="1168"/>
      <c r="N18" s="1072"/>
      <c r="O18" s="1072"/>
      <c r="P18" s="1168"/>
      <c r="Q18" s="1072"/>
      <c r="R18" s="1072"/>
      <c r="S18" s="1168">
        <v>10</v>
      </c>
      <c r="T18" s="1072">
        <v>10</v>
      </c>
      <c r="U18" s="1072">
        <v>9</v>
      </c>
      <c r="V18" s="1168">
        <v>9</v>
      </c>
      <c r="W18" s="1072">
        <v>8</v>
      </c>
      <c r="X18" s="1072">
        <v>8</v>
      </c>
      <c r="Y18" s="1168">
        <v>22</v>
      </c>
      <c r="Z18" s="1072">
        <v>21</v>
      </c>
      <c r="AA18" s="1072">
        <v>19</v>
      </c>
      <c r="AB18" s="1168">
        <v>16</v>
      </c>
      <c r="AC18" s="1072">
        <v>15</v>
      </c>
      <c r="AD18" s="1072">
        <v>13</v>
      </c>
      <c r="AE18" s="1168">
        <v>15</v>
      </c>
      <c r="AF18" s="1072">
        <v>8</v>
      </c>
      <c r="AG18" s="1072">
        <v>9</v>
      </c>
      <c r="AH18" s="1168">
        <v>8</v>
      </c>
      <c r="AI18" s="1072">
        <v>8</v>
      </c>
      <c r="AJ18" s="1072">
        <v>8</v>
      </c>
      <c r="AK18" s="1168">
        <v>20</v>
      </c>
      <c r="AL18" s="1072">
        <v>18</v>
      </c>
      <c r="AM18" s="1072">
        <v>12</v>
      </c>
      <c r="AN18" s="1168">
        <v>12</v>
      </c>
      <c r="AO18" s="1072">
        <v>12</v>
      </c>
      <c r="AP18" s="1072">
        <v>10</v>
      </c>
      <c r="AQ18" s="1168">
        <v>14</v>
      </c>
      <c r="AR18" s="1072">
        <v>10</v>
      </c>
      <c r="AS18" s="1072">
        <v>9</v>
      </c>
      <c r="AT18" s="1168">
        <v>10</v>
      </c>
      <c r="AU18" s="1072">
        <v>7</v>
      </c>
      <c r="AV18" s="1072">
        <v>8</v>
      </c>
      <c r="AW18" s="1168">
        <v>7</v>
      </c>
    </row>
    <row r="19" spans="1:49" s="212" customFormat="1" ht="15" customHeight="1" x14ac:dyDescent="0.25">
      <c r="A19" s="6314"/>
      <c r="B19" s="6201"/>
      <c r="C19" s="6174"/>
      <c r="D19" s="4525" t="s">
        <v>366</v>
      </c>
      <c r="E19" s="1167">
        <v>13</v>
      </c>
      <c r="F19" s="1072">
        <v>16</v>
      </c>
      <c r="G19" s="1072">
        <v>14</v>
      </c>
      <c r="H19" s="1167">
        <v>13</v>
      </c>
      <c r="I19" s="1072">
        <v>13</v>
      </c>
      <c r="J19" s="1072">
        <v>28</v>
      </c>
      <c r="K19" s="1167">
        <v>21</v>
      </c>
      <c r="L19" s="1072">
        <v>20</v>
      </c>
      <c r="M19" s="1168">
        <v>17</v>
      </c>
      <c r="N19" s="1072">
        <v>17</v>
      </c>
      <c r="O19" s="1072">
        <v>17</v>
      </c>
      <c r="P19" s="1168"/>
      <c r="Q19" s="1072"/>
      <c r="R19" s="1072"/>
      <c r="S19" s="1168"/>
      <c r="T19" s="1072"/>
      <c r="U19" s="1072">
        <v>1</v>
      </c>
      <c r="V19" s="1168"/>
      <c r="W19" s="1072"/>
      <c r="X19" s="1072"/>
      <c r="Y19" s="1168"/>
      <c r="Z19" s="1072">
        <v>18</v>
      </c>
      <c r="AA19" s="1072">
        <v>16</v>
      </c>
      <c r="AB19" s="1168">
        <v>16</v>
      </c>
      <c r="AC19" s="1072">
        <v>1</v>
      </c>
      <c r="AD19" s="1072">
        <v>2</v>
      </c>
      <c r="AE19" s="1168"/>
      <c r="AF19" s="1072"/>
      <c r="AG19" s="1072"/>
      <c r="AH19" s="1168"/>
      <c r="AI19" s="1072"/>
      <c r="AJ19" s="1072"/>
      <c r="AK19" s="1168"/>
      <c r="AL19" s="1072"/>
      <c r="AM19" s="1072"/>
      <c r="AN19" s="1168"/>
      <c r="AO19" s="1072"/>
      <c r="AP19" s="1072"/>
      <c r="AQ19" s="1168"/>
      <c r="AR19" s="1072"/>
      <c r="AS19" s="1072"/>
      <c r="AT19" s="1168"/>
      <c r="AU19" s="1072"/>
      <c r="AV19" s="1072"/>
      <c r="AW19" s="1168"/>
    </row>
    <row r="20" spans="1:49" s="212" customFormat="1" ht="15" customHeight="1" x14ac:dyDescent="0.25">
      <c r="A20" s="6314"/>
      <c r="B20" s="6201"/>
      <c r="C20" s="6174"/>
      <c r="D20" s="4525" t="s">
        <v>139</v>
      </c>
      <c r="E20" s="1167"/>
      <c r="F20" s="1072"/>
      <c r="G20" s="1072"/>
      <c r="H20" s="1167"/>
      <c r="I20" s="1072"/>
      <c r="J20" s="1072"/>
      <c r="K20" s="1167"/>
      <c r="L20" s="1072"/>
      <c r="M20" s="1168">
        <v>1</v>
      </c>
      <c r="N20" s="1072">
        <v>2</v>
      </c>
      <c r="O20" s="1072"/>
      <c r="P20" s="1168">
        <v>1</v>
      </c>
      <c r="Q20" s="1072">
        <v>1</v>
      </c>
      <c r="R20" s="1072"/>
      <c r="S20" s="1168">
        <v>11</v>
      </c>
      <c r="T20" s="1072"/>
      <c r="U20" s="1072"/>
      <c r="V20" s="1168">
        <v>14</v>
      </c>
      <c r="W20" s="1072"/>
      <c r="X20" s="1072"/>
      <c r="Y20" s="1168">
        <v>19</v>
      </c>
      <c r="Z20" s="1072" t="s">
        <v>227</v>
      </c>
      <c r="AA20" s="1072" t="s">
        <v>227</v>
      </c>
      <c r="AB20" s="1168">
        <v>25</v>
      </c>
      <c r="AC20" s="1072">
        <v>1</v>
      </c>
      <c r="AD20" s="1072">
        <v>1</v>
      </c>
      <c r="AE20" s="1168"/>
      <c r="AF20" s="1072">
        <v>1</v>
      </c>
      <c r="AG20" s="1072"/>
      <c r="AH20" s="1168"/>
      <c r="AI20" s="1072"/>
      <c r="AJ20" s="1072"/>
      <c r="AK20" s="1168"/>
      <c r="AL20" s="1072"/>
      <c r="AM20" s="1072"/>
      <c r="AN20" s="1168"/>
      <c r="AO20" s="1072"/>
      <c r="AP20" s="1072"/>
      <c r="AQ20" s="1168"/>
      <c r="AR20" s="1072"/>
      <c r="AS20" s="1072"/>
      <c r="AT20" s="1168"/>
      <c r="AU20" s="1072"/>
      <c r="AV20" s="1072"/>
      <c r="AW20" s="1168"/>
    </row>
    <row r="21" spans="1:49" s="212" customFormat="1" ht="15" customHeight="1" x14ac:dyDescent="0.25">
      <c r="A21" s="6314"/>
      <c r="B21" s="6201"/>
      <c r="C21" s="6174"/>
      <c r="D21" s="4525" t="s">
        <v>367</v>
      </c>
      <c r="E21" s="1167"/>
      <c r="F21" s="1072"/>
      <c r="G21" s="1072"/>
      <c r="H21" s="1167"/>
      <c r="I21" s="1072"/>
      <c r="J21" s="1072"/>
      <c r="K21" s="1167"/>
      <c r="L21" s="1072"/>
      <c r="M21" s="1168">
        <v>20</v>
      </c>
      <c r="N21" s="1072">
        <v>19</v>
      </c>
      <c r="O21" s="1072">
        <v>19</v>
      </c>
      <c r="P21" s="1168">
        <v>19</v>
      </c>
      <c r="Q21" s="1072">
        <v>19</v>
      </c>
      <c r="R21" s="1072">
        <v>19</v>
      </c>
      <c r="S21" s="1168">
        <v>25</v>
      </c>
      <c r="T21" s="1072">
        <v>24</v>
      </c>
      <c r="U21" s="1072">
        <v>22</v>
      </c>
      <c r="V21" s="1168">
        <v>22</v>
      </c>
      <c r="W21" s="1072">
        <v>22</v>
      </c>
      <c r="X21" s="1072">
        <v>21</v>
      </c>
      <c r="Y21" s="1168">
        <v>17</v>
      </c>
      <c r="Z21" s="1072">
        <v>13</v>
      </c>
      <c r="AA21" s="1072">
        <v>14</v>
      </c>
      <c r="AB21" s="1168">
        <v>15</v>
      </c>
      <c r="AC21" s="1072">
        <v>13</v>
      </c>
      <c r="AD21" s="1072">
        <v>13</v>
      </c>
      <c r="AE21" s="1168">
        <v>3</v>
      </c>
      <c r="AF21" s="1072">
        <v>15</v>
      </c>
      <c r="AG21" s="1072">
        <v>14</v>
      </c>
      <c r="AH21" s="1168">
        <v>15</v>
      </c>
      <c r="AI21" s="1072">
        <v>14</v>
      </c>
      <c r="AJ21" s="1072">
        <v>14</v>
      </c>
      <c r="AK21" s="1168">
        <v>14</v>
      </c>
      <c r="AL21" s="1072">
        <v>33</v>
      </c>
      <c r="AM21" s="1072">
        <v>25</v>
      </c>
      <c r="AN21" s="1168">
        <v>24</v>
      </c>
      <c r="AO21" s="1072">
        <v>22</v>
      </c>
      <c r="AP21" s="1072">
        <v>24</v>
      </c>
      <c r="AQ21" s="1168">
        <v>42</v>
      </c>
      <c r="AR21" s="1072">
        <v>39</v>
      </c>
      <c r="AS21" s="1072">
        <v>18</v>
      </c>
      <c r="AT21" s="1168">
        <v>22</v>
      </c>
      <c r="AU21" s="1072">
        <v>19</v>
      </c>
      <c r="AV21" s="1072">
        <v>19</v>
      </c>
      <c r="AW21" s="1168">
        <v>39</v>
      </c>
    </row>
    <row r="22" spans="1:49" s="212" customFormat="1" ht="15" customHeight="1" x14ac:dyDescent="0.25">
      <c r="A22" s="6314"/>
      <c r="B22" s="6201"/>
      <c r="C22" s="6174"/>
      <c r="D22" s="4525" t="s">
        <v>438</v>
      </c>
      <c r="E22" s="1167"/>
      <c r="F22" s="1072"/>
      <c r="G22" s="1072"/>
      <c r="H22" s="1167"/>
      <c r="I22" s="1072"/>
      <c r="J22" s="1072"/>
      <c r="K22" s="1167"/>
      <c r="L22" s="1072"/>
      <c r="M22" s="1168"/>
      <c r="N22" s="1072"/>
      <c r="O22" s="1072"/>
      <c r="P22" s="1168"/>
      <c r="Q22" s="1072"/>
      <c r="R22" s="1072"/>
      <c r="S22" s="1168"/>
      <c r="T22" s="1072"/>
      <c r="U22" s="1072"/>
      <c r="V22" s="1168"/>
      <c r="W22" s="1072"/>
      <c r="X22" s="1072"/>
      <c r="Y22" s="1168"/>
      <c r="Z22" s="1072"/>
      <c r="AA22" s="1072"/>
      <c r="AB22" s="1168"/>
      <c r="AC22" s="1072"/>
      <c r="AD22" s="1072"/>
      <c r="AE22" s="1168"/>
      <c r="AF22" s="1072"/>
      <c r="AG22" s="1072"/>
      <c r="AH22" s="1168">
        <v>8</v>
      </c>
      <c r="AI22" s="1072">
        <v>12</v>
      </c>
      <c r="AJ22" s="1072">
        <v>12</v>
      </c>
      <c r="AK22" s="1168">
        <v>12</v>
      </c>
      <c r="AL22" s="1072">
        <v>12</v>
      </c>
      <c r="AM22" s="1072">
        <v>12</v>
      </c>
      <c r="AN22" s="1168">
        <v>22</v>
      </c>
      <c r="AO22" s="1072">
        <v>19</v>
      </c>
      <c r="AP22" s="1072">
        <v>18</v>
      </c>
      <c r="AQ22" s="1168">
        <v>18</v>
      </c>
      <c r="AR22" s="1072">
        <v>18</v>
      </c>
      <c r="AS22" s="1072">
        <v>18</v>
      </c>
      <c r="AT22" s="1168">
        <v>15</v>
      </c>
      <c r="AU22" s="1072">
        <v>24</v>
      </c>
      <c r="AV22" s="1072">
        <v>20</v>
      </c>
      <c r="AW22" s="1168">
        <v>19</v>
      </c>
    </row>
    <row r="23" spans="1:49" s="212" customFormat="1" ht="15" customHeight="1" x14ac:dyDescent="0.25">
      <c r="A23" s="6314"/>
      <c r="B23" s="6201"/>
      <c r="C23" s="6174"/>
      <c r="D23" s="4525" t="s">
        <v>141</v>
      </c>
      <c r="E23" s="1167">
        <v>18</v>
      </c>
      <c r="F23" s="1072">
        <v>12</v>
      </c>
      <c r="G23" s="1072">
        <v>12</v>
      </c>
      <c r="H23" s="1167">
        <v>16</v>
      </c>
      <c r="I23" s="1072">
        <v>9</v>
      </c>
      <c r="J23" s="1072">
        <v>10</v>
      </c>
      <c r="K23" s="1167">
        <v>17</v>
      </c>
      <c r="L23" s="1072">
        <v>16</v>
      </c>
      <c r="M23" s="1168">
        <v>16</v>
      </c>
      <c r="N23" s="1072">
        <v>7</v>
      </c>
      <c r="O23" s="1072">
        <v>8</v>
      </c>
      <c r="P23" s="1168">
        <v>8</v>
      </c>
      <c r="Q23" s="1072">
        <v>20</v>
      </c>
      <c r="R23" s="1072">
        <v>15</v>
      </c>
      <c r="S23" s="1168">
        <v>16</v>
      </c>
      <c r="T23" s="1072">
        <v>26</v>
      </c>
      <c r="U23" s="1072">
        <v>27</v>
      </c>
      <c r="V23" s="1168">
        <v>26</v>
      </c>
      <c r="W23" s="1072">
        <v>9</v>
      </c>
      <c r="X23" s="1072">
        <v>14</v>
      </c>
      <c r="Y23" s="1168">
        <v>29</v>
      </c>
      <c r="Z23" s="1072">
        <v>22</v>
      </c>
      <c r="AA23" s="1072">
        <v>16</v>
      </c>
      <c r="AB23" s="1168">
        <v>24</v>
      </c>
      <c r="AC23" s="1072">
        <v>24</v>
      </c>
      <c r="AD23" s="1072">
        <v>23</v>
      </c>
      <c r="AE23" s="1168">
        <v>34</v>
      </c>
      <c r="AF23" s="1072">
        <v>25</v>
      </c>
      <c r="AG23" s="1072">
        <v>21</v>
      </c>
      <c r="AH23" s="1168">
        <v>30</v>
      </c>
      <c r="AI23" s="1072">
        <v>25</v>
      </c>
      <c r="AJ23" s="1072">
        <v>25</v>
      </c>
      <c r="AK23" s="1168">
        <v>30</v>
      </c>
      <c r="AL23" s="1072">
        <v>30</v>
      </c>
      <c r="AM23" s="1072">
        <v>32</v>
      </c>
      <c r="AN23" s="1168">
        <v>28</v>
      </c>
      <c r="AO23" s="1072">
        <v>32</v>
      </c>
      <c r="AP23" s="1072">
        <v>30</v>
      </c>
      <c r="AQ23" s="1168">
        <v>22</v>
      </c>
      <c r="AR23" s="1072">
        <v>15</v>
      </c>
      <c r="AS23" s="1072">
        <v>10</v>
      </c>
      <c r="AT23" s="1168">
        <v>16</v>
      </c>
      <c r="AU23" s="1072">
        <v>14</v>
      </c>
      <c r="AV23" s="1072">
        <v>15</v>
      </c>
      <c r="AW23" s="1168">
        <v>25</v>
      </c>
    </row>
    <row r="24" spans="1:49" s="212" customFormat="1" ht="15" customHeight="1" x14ac:dyDescent="0.25">
      <c r="A24" s="6314"/>
      <c r="B24" s="6201"/>
      <c r="C24" s="6174"/>
      <c r="D24" s="4522" t="s">
        <v>140</v>
      </c>
      <c r="E24" s="1164">
        <v>20</v>
      </c>
      <c r="F24" s="1165">
        <v>20</v>
      </c>
      <c r="G24" s="1165"/>
      <c r="H24" s="1164">
        <v>11</v>
      </c>
      <c r="I24" s="1165">
        <v>7</v>
      </c>
      <c r="J24" s="1165">
        <v>7</v>
      </c>
      <c r="K24" s="1164">
        <v>7</v>
      </c>
      <c r="L24" s="1165">
        <v>7</v>
      </c>
      <c r="M24" s="1166">
        <v>7</v>
      </c>
      <c r="N24" s="1165">
        <v>15</v>
      </c>
      <c r="O24" s="1165">
        <v>15</v>
      </c>
      <c r="P24" s="1166">
        <v>15</v>
      </c>
      <c r="Q24" s="1165">
        <v>16</v>
      </c>
      <c r="R24" s="1165">
        <v>15</v>
      </c>
      <c r="S24" s="1166">
        <v>15</v>
      </c>
      <c r="T24" s="1165">
        <v>18</v>
      </c>
      <c r="U24" s="1165">
        <v>16</v>
      </c>
      <c r="V24" s="1166">
        <v>15</v>
      </c>
      <c r="W24" s="1165">
        <v>15</v>
      </c>
      <c r="X24" s="1165">
        <v>13</v>
      </c>
      <c r="Y24" s="1166">
        <v>31</v>
      </c>
      <c r="Z24" s="1165">
        <v>1</v>
      </c>
      <c r="AA24" s="1165"/>
      <c r="AB24" s="1166">
        <v>1</v>
      </c>
      <c r="AC24" s="1165">
        <v>15</v>
      </c>
      <c r="AD24" s="1165">
        <v>15</v>
      </c>
      <c r="AE24" s="1166">
        <v>25</v>
      </c>
      <c r="AF24" s="1165">
        <v>25</v>
      </c>
      <c r="AG24" s="1165">
        <v>24</v>
      </c>
      <c r="AH24" s="1166">
        <v>25</v>
      </c>
      <c r="AI24" s="1165">
        <v>24</v>
      </c>
      <c r="AJ24" s="1165">
        <v>24</v>
      </c>
      <c r="AK24" s="1166">
        <v>25</v>
      </c>
      <c r="AL24" s="1165">
        <v>26</v>
      </c>
      <c r="AM24" s="1165">
        <v>26</v>
      </c>
      <c r="AN24" s="1166">
        <v>23</v>
      </c>
      <c r="AO24" s="1165">
        <v>21</v>
      </c>
      <c r="AP24" s="1165">
        <v>17</v>
      </c>
      <c r="AQ24" s="1166">
        <v>11</v>
      </c>
      <c r="AR24" s="1165">
        <v>11</v>
      </c>
      <c r="AS24" s="1165">
        <v>14</v>
      </c>
      <c r="AT24" s="1166">
        <v>18</v>
      </c>
      <c r="AU24" s="1165">
        <v>17</v>
      </c>
      <c r="AV24" s="1165">
        <v>17</v>
      </c>
      <c r="AW24" s="1166">
        <v>12</v>
      </c>
    </row>
    <row r="25" spans="1:49" s="212" customFormat="1" ht="15" customHeight="1" x14ac:dyDescent="0.25">
      <c r="A25" s="6314"/>
      <c r="B25" s="6201"/>
      <c r="C25" s="6174"/>
      <c r="D25" s="4522" t="s">
        <v>1594</v>
      </c>
      <c r="E25" s="1164"/>
      <c r="F25" s="1165"/>
      <c r="G25" s="1165"/>
      <c r="H25" s="1164"/>
      <c r="I25" s="1165"/>
      <c r="J25" s="1165"/>
      <c r="K25" s="1164"/>
      <c r="L25" s="1165"/>
      <c r="M25" s="1166"/>
      <c r="N25" s="1165"/>
      <c r="O25" s="1165"/>
      <c r="P25" s="1166"/>
      <c r="Q25" s="1165"/>
      <c r="R25" s="1165"/>
      <c r="S25" s="1166"/>
      <c r="T25" s="1165"/>
      <c r="U25" s="1165"/>
      <c r="V25" s="1166"/>
      <c r="W25" s="1165"/>
      <c r="X25" s="1165"/>
      <c r="Y25" s="1166"/>
      <c r="Z25" s="1165"/>
      <c r="AA25" s="1165"/>
      <c r="AB25" s="1166"/>
      <c r="AC25" s="1165"/>
      <c r="AD25" s="1165"/>
      <c r="AE25" s="1166"/>
      <c r="AF25" s="1165"/>
      <c r="AG25" s="1165"/>
      <c r="AH25" s="1166"/>
      <c r="AI25" s="1165"/>
      <c r="AJ25" s="1165"/>
      <c r="AK25" s="1166"/>
      <c r="AL25" s="1165"/>
      <c r="AM25" s="1165"/>
      <c r="AN25" s="1166"/>
      <c r="AO25" s="1165"/>
      <c r="AP25" s="1165"/>
      <c r="AQ25" s="1166"/>
      <c r="AR25" s="1165"/>
      <c r="AS25" s="1165"/>
      <c r="AT25" s="1166"/>
      <c r="AU25" s="1165">
        <v>52</v>
      </c>
      <c r="AV25" s="1165">
        <v>42</v>
      </c>
      <c r="AW25" s="1166">
        <v>38</v>
      </c>
    </row>
    <row r="26" spans="1:49" s="212" customFormat="1" ht="15" customHeight="1" x14ac:dyDescent="0.25">
      <c r="A26" s="6314"/>
      <c r="B26" s="6201"/>
      <c r="C26" s="6175"/>
      <c r="D26" s="4522" t="s">
        <v>1580</v>
      </c>
      <c r="E26" s="1164"/>
      <c r="F26" s="1165"/>
      <c r="G26" s="1165"/>
      <c r="H26" s="1164"/>
      <c r="I26" s="1165"/>
      <c r="J26" s="1165"/>
      <c r="K26" s="1164"/>
      <c r="L26" s="1165"/>
      <c r="M26" s="1166"/>
      <c r="N26" s="1165"/>
      <c r="O26" s="1165"/>
      <c r="P26" s="1166"/>
      <c r="Q26" s="1165"/>
      <c r="R26" s="1165"/>
      <c r="S26" s="1166"/>
      <c r="T26" s="1165"/>
      <c r="U26" s="1165"/>
      <c r="V26" s="1166"/>
      <c r="W26" s="1165"/>
      <c r="X26" s="1165"/>
      <c r="Y26" s="1166"/>
      <c r="Z26" s="1165"/>
      <c r="AA26" s="1165"/>
      <c r="AB26" s="1166"/>
      <c r="AC26" s="1165"/>
      <c r="AD26" s="1165"/>
      <c r="AE26" s="1166"/>
      <c r="AF26" s="1165"/>
      <c r="AG26" s="1165"/>
      <c r="AH26" s="1166"/>
      <c r="AI26" s="1165"/>
      <c r="AJ26" s="1165"/>
      <c r="AK26" s="1166"/>
      <c r="AL26" s="1165"/>
      <c r="AM26" s="1165"/>
      <c r="AN26" s="1166"/>
      <c r="AO26" s="1165"/>
      <c r="AP26" s="1165"/>
      <c r="AQ26" s="1166"/>
      <c r="AR26" s="1165"/>
      <c r="AS26" s="1165"/>
      <c r="AT26" s="1166"/>
      <c r="AU26" s="1165">
        <v>13</v>
      </c>
      <c r="AV26" s="1165">
        <v>16</v>
      </c>
      <c r="AW26" s="1166">
        <v>15</v>
      </c>
    </row>
    <row r="27" spans="1:49" s="212" customFormat="1" ht="15" customHeight="1" x14ac:dyDescent="0.25">
      <c r="A27" s="6314"/>
      <c r="B27" s="6201"/>
      <c r="C27" s="6173" t="s">
        <v>520</v>
      </c>
      <c r="D27" s="4525" t="s">
        <v>369</v>
      </c>
      <c r="E27" s="1167"/>
      <c r="F27" s="1072"/>
      <c r="G27" s="1072"/>
      <c r="H27" s="1167"/>
      <c r="I27" s="1072"/>
      <c r="J27" s="1072"/>
      <c r="K27" s="1167"/>
      <c r="L27" s="1072"/>
      <c r="M27" s="1168"/>
      <c r="N27" s="1072"/>
      <c r="O27" s="1072"/>
      <c r="P27" s="1168"/>
      <c r="Q27" s="1072"/>
      <c r="R27" s="1072"/>
      <c r="S27" s="1168">
        <v>16</v>
      </c>
      <c r="T27" s="1072">
        <v>12</v>
      </c>
      <c r="U27" s="1072">
        <v>12</v>
      </c>
      <c r="V27" s="1168">
        <v>12</v>
      </c>
      <c r="W27" s="1072">
        <v>12</v>
      </c>
      <c r="X27" s="1072">
        <v>12</v>
      </c>
      <c r="Y27" s="1168">
        <v>17</v>
      </c>
      <c r="Z27" s="1072">
        <v>18</v>
      </c>
      <c r="AA27" s="1072">
        <v>16</v>
      </c>
      <c r="AB27" s="1168">
        <v>6</v>
      </c>
      <c r="AC27" s="1072">
        <v>6</v>
      </c>
      <c r="AD27" s="1072">
        <v>6</v>
      </c>
      <c r="AE27" s="1168">
        <v>16</v>
      </c>
      <c r="AF27" s="1072">
        <v>16</v>
      </c>
      <c r="AG27" s="1072">
        <v>15</v>
      </c>
      <c r="AH27" s="1168">
        <v>10</v>
      </c>
      <c r="AI27" s="1072">
        <v>15</v>
      </c>
      <c r="AJ27" s="1072">
        <v>15</v>
      </c>
      <c r="AK27" s="1168">
        <v>24</v>
      </c>
      <c r="AL27" s="1072">
        <v>24</v>
      </c>
      <c r="AM27" s="1072">
        <v>20</v>
      </c>
      <c r="AN27" s="1168">
        <v>20</v>
      </c>
      <c r="AO27" s="1072">
        <v>20</v>
      </c>
      <c r="AP27" s="1072">
        <v>20</v>
      </c>
      <c r="AQ27" s="1168">
        <v>17</v>
      </c>
      <c r="AR27" s="1072">
        <v>17</v>
      </c>
      <c r="AS27" s="1072">
        <v>13</v>
      </c>
      <c r="AT27" s="1168">
        <v>12</v>
      </c>
      <c r="AU27" s="1072">
        <v>12</v>
      </c>
      <c r="AV27" s="1072">
        <v>12</v>
      </c>
      <c r="AW27" s="1168">
        <v>14</v>
      </c>
    </row>
    <row r="28" spans="1:49" s="212" customFormat="1" ht="15" customHeight="1" x14ac:dyDescent="0.25">
      <c r="A28" s="6314"/>
      <c r="B28" s="6201"/>
      <c r="C28" s="6174"/>
      <c r="D28" s="4525" t="s">
        <v>143</v>
      </c>
      <c r="E28" s="1167">
        <v>7</v>
      </c>
      <c r="F28" s="1072"/>
      <c r="G28" s="1072"/>
      <c r="H28" s="1167">
        <v>3</v>
      </c>
      <c r="I28" s="1072">
        <v>5</v>
      </c>
      <c r="J28" s="1072">
        <v>4</v>
      </c>
      <c r="K28" s="1167">
        <v>1</v>
      </c>
      <c r="L28" s="1072"/>
      <c r="M28" s="1168">
        <v>5</v>
      </c>
      <c r="N28" s="1072">
        <v>1</v>
      </c>
      <c r="O28" s="1072">
        <v>1</v>
      </c>
      <c r="P28" s="1168">
        <v>4</v>
      </c>
      <c r="Q28" s="1072">
        <v>8</v>
      </c>
      <c r="R28" s="1072"/>
      <c r="S28" s="1168">
        <v>23</v>
      </c>
      <c r="T28" s="1072"/>
      <c r="U28" s="1072"/>
      <c r="V28" s="1168">
        <v>18</v>
      </c>
      <c r="W28" s="1072"/>
      <c r="X28" s="1072"/>
      <c r="Y28" s="1168">
        <v>30</v>
      </c>
      <c r="Z28" s="1072" t="s">
        <v>227</v>
      </c>
      <c r="AA28" s="1072" t="s">
        <v>227</v>
      </c>
      <c r="AB28" s="1168">
        <v>40</v>
      </c>
      <c r="AC28" s="1072">
        <v>3</v>
      </c>
      <c r="AD28" s="1072">
        <v>2</v>
      </c>
      <c r="AE28" s="1168">
        <v>2</v>
      </c>
      <c r="AF28" s="1072">
        <v>2</v>
      </c>
      <c r="AG28" s="1072">
        <v>1</v>
      </c>
      <c r="AH28" s="1168">
        <v>1</v>
      </c>
      <c r="AI28" s="1072">
        <v>1</v>
      </c>
      <c r="AJ28" s="1072">
        <v>1</v>
      </c>
      <c r="AK28" s="1168">
        <v>1</v>
      </c>
      <c r="AL28" s="1072">
        <v>1</v>
      </c>
      <c r="AM28" s="1072">
        <v>1</v>
      </c>
      <c r="AN28" s="1168">
        <v>1</v>
      </c>
      <c r="AO28" s="1072"/>
      <c r="AP28" s="1072"/>
      <c r="AQ28" s="1168"/>
      <c r="AR28" s="1072"/>
      <c r="AS28" s="1072"/>
      <c r="AT28" s="1168"/>
      <c r="AU28" s="1072"/>
      <c r="AV28" s="1072"/>
      <c r="AW28" s="1168"/>
    </row>
    <row r="29" spans="1:49" s="212" customFormat="1" ht="15" customHeight="1" x14ac:dyDescent="0.25">
      <c r="A29" s="6314"/>
      <c r="B29" s="6201"/>
      <c r="C29" s="6174"/>
      <c r="D29" s="4525" t="s">
        <v>142</v>
      </c>
      <c r="E29" s="1167"/>
      <c r="F29" s="1072"/>
      <c r="G29" s="1072"/>
      <c r="H29" s="1167"/>
      <c r="I29" s="1072"/>
      <c r="J29" s="1072"/>
      <c r="K29" s="1167"/>
      <c r="L29" s="1072"/>
      <c r="M29" s="1168">
        <v>12</v>
      </c>
      <c r="N29" s="1072">
        <v>12</v>
      </c>
      <c r="O29" s="1072">
        <v>11</v>
      </c>
      <c r="P29" s="1168">
        <v>10</v>
      </c>
      <c r="Q29" s="1072">
        <v>9</v>
      </c>
      <c r="R29" s="1072">
        <v>8</v>
      </c>
      <c r="S29" s="1168">
        <v>21</v>
      </c>
      <c r="T29" s="1072">
        <v>21</v>
      </c>
      <c r="U29" s="1072">
        <v>21</v>
      </c>
      <c r="V29" s="1168">
        <v>13</v>
      </c>
      <c r="W29" s="1072">
        <v>13</v>
      </c>
      <c r="X29" s="1072">
        <v>14</v>
      </c>
      <c r="Y29" s="1168">
        <v>13</v>
      </c>
      <c r="Z29" s="1072">
        <v>11</v>
      </c>
      <c r="AA29" s="1072">
        <v>33</v>
      </c>
      <c r="AB29" s="1168">
        <v>23</v>
      </c>
      <c r="AC29" s="1072">
        <v>24</v>
      </c>
      <c r="AD29" s="1072">
        <v>18</v>
      </c>
      <c r="AE29" s="1168">
        <v>19</v>
      </c>
      <c r="AF29" s="1072">
        <v>18</v>
      </c>
      <c r="AG29" s="1072">
        <v>17</v>
      </c>
      <c r="AH29" s="1168">
        <v>28</v>
      </c>
      <c r="AI29" s="1072">
        <v>28</v>
      </c>
      <c r="AJ29" s="1072">
        <v>17</v>
      </c>
      <c r="AK29" s="1168">
        <v>16</v>
      </c>
      <c r="AL29" s="1072">
        <v>14</v>
      </c>
      <c r="AM29" s="1072">
        <v>12</v>
      </c>
      <c r="AN29" s="1168">
        <v>24</v>
      </c>
      <c r="AO29" s="1072">
        <v>22</v>
      </c>
      <c r="AP29" s="1072">
        <v>21</v>
      </c>
      <c r="AQ29" s="1168">
        <v>18</v>
      </c>
      <c r="AR29" s="1072">
        <v>19</v>
      </c>
      <c r="AS29" s="1072">
        <v>18</v>
      </c>
      <c r="AT29" s="1168">
        <v>45</v>
      </c>
      <c r="AU29" s="1072">
        <v>46</v>
      </c>
      <c r="AV29" s="1072">
        <v>43</v>
      </c>
      <c r="AW29" s="1168">
        <v>43</v>
      </c>
    </row>
    <row r="30" spans="1:49" s="212" customFormat="1" ht="15" customHeight="1" x14ac:dyDescent="0.25">
      <c r="A30" s="6314"/>
      <c r="B30" s="6201"/>
      <c r="C30" s="6175"/>
      <c r="D30" s="5131" t="s">
        <v>1580</v>
      </c>
      <c r="E30" s="1178"/>
      <c r="F30" s="1179"/>
      <c r="G30" s="1179"/>
      <c r="H30" s="1178"/>
      <c r="I30" s="1179"/>
      <c r="J30" s="1179"/>
      <c r="K30" s="1178"/>
      <c r="L30" s="1179"/>
      <c r="M30" s="1180"/>
      <c r="N30" s="1179"/>
      <c r="O30" s="1179"/>
      <c r="P30" s="1180"/>
      <c r="Q30" s="1179"/>
      <c r="R30" s="1179"/>
      <c r="S30" s="1180"/>
      <c r="T30" s="1179"/>
      <c r="U30" s="1179"/>
      <c r="V30" s="1180"/>
      <c r="W30" s="1179"/>
      <c r="X30" s="1179"/>
      <c r="Y30" s="1180"/>
      <c r="Z30" s="1179"/>
      <c r="AA30" s="1179"/>
      <c r="AB30" s="1180"/>
      <c r="AC30" s="1179"/>
      <c r="AD30" s="1179"/>
      <c r="AE30" s="1180"/>
      <c r="AF30" s="1179"/>
      <c r="AG30" s="1179"/>
      <c r="AH30" s="1180"/>
      <c r="AI30" s="1179"/>
      <c r="AJ30" s="1179"/>
      <c r="AK30" s="1180"/>
      <c r="AL30" s="1179"/>
      <c r="AM30" s="1179"/>
      <c r="AN30" s="1180"/>
      <c r="AO30" s="1179"/>
      <c r="AP30" s="1179"/>
      <c r="AQ30" s="1180"/>
      <c r="AR30" s="1179"/>
      <c r="AS30" s="1179"/>
      <c r="AT30" s="1180"/>
      <c r="AU30" s="1179">
        <v>3</v>
      </c>
      <c r="AV30" s="1179">
        <v>3</v>
      </c>
      <c r="AW30" s="1180">
        <v>2</v>
      </c>
    </row>
    <row r="31" spans="1:49" s="212" customFormat="1" ht="15" customHeight="1" x14ac:dyDescent="0.2">
      <c r="A31" s="6314"/>
      <c r="B31" s="6202"/>
      <c r="C31" s="5153"/>
      <c r="D31" s="4538" t="s">
        <v>160</v>
      </c>
      <c r="E31" s="1169">
        <f t="shared" ref="E31:AT31" si="2">SUM(E15:E29)</f>
        <v>72</v>
      </c>
      <c r="F31" s="1170">
        <f t="shared" si="2"/>
        <v>61</v>
      </c>
      <c r="G31" s="1170">
        <f t="shared" si="2"/>
        <v>57</v>
      </c>
      <c r="H31" s="1169">
        <f t="shared" si="2"/>
        <v>69</v>
      </c>
      <c r="I31" s="1170">
        <f t="shared" si="2"/>
        <v>58</v>
      </c>
      <c r="J31" s="1170">
        <f t="shared" si="2"/>
        <v>87</v>
      </c>
      <c r="K31" s="1169">
        <f t="shared" si="2"/>
        <v>81</v>
      </c>
      <c r="L31" s="1170">
        <f t="shared" si="2"/>
        <v>75</v>
      </c>
      <c r="M31" s="1171">
        <f t="shared" si="2"/>
        <v>110</v>
      </c>
      <c r="N31" s="1170">
        <f t="shared" si="2"/>
        <v>98</v>
      </c>
      <c r="O31" s="1170">
        <f t="shared" si="2"/>
        <v>99</v>
      </c>
      <c r="P31" s="1171">
        <f t="shared" si="2"/>
        <v>90</v>
      </c>
      <c r="Q31" s="1170">
        <f t="shared" si="2"/>
        <v>102</v>
      </c>
      <c r="R31" s="1170">
        <f t="shared" si="2"/>
        <v>89</v>
      </c>
      <c r="S31" s="1171">
        <f t="shared" si="2"/>
        <v>176</v>
      </c>
      <c r="T31" s="1170">
        <f t="shared" si="2"/>
        <v>138</v>
      </c>
      <c r="U31" s="1170">
        <f t="shared" si="2"/>
        <v>135</v>
      </c>
      <c r="V31" s="1171">
        <f t="shared" si="2"/>
        <v>160</v>
      </c>
      <c r="W31" s="1170">
        <f t="shared" si="2"/>
        <v>110</v>
      </c>
      <c r="X31" s="1170">
        <f t="shared" si="2"/>
        <v>109</v>
      </c>
      <c r="Y31" s="1171">
        <f t="shared" si="2"/>
        <v>197</v>
      </c>
      <c r="Z31" s="1170">
        <f t="shared" si="2"/>
        <v>118</v>
      </c>
      <c r="AA31" s="1170">
        <f t="shared" si="2"/>
        <v>129</v>
      </c>
      <c r="AB31" s="1171">
        <f t="shared" si="2"/>
        <v>193</v>
      </c>
      <c r="AC31" s="1170">
        <f t="shared" si="2"/>
        <v>128</v>
      </c>
      <c r="AD31" s="1170">
        <f t="shared" si="2"/>
        <v>116</v>
      </c>
      <c r="AE31" s="1171">
        <f t="shared" si="2"/>
        <v>141</v>
      </c>
      <c r="AF31" s="1170">
        <f t="shared" si="2"/>
        <v>135</v>
      </c>
      <c r="AG31" s="1170">
        <f t="shared" si="2"/>
        <v>129</v>
      </c>
      <c r="AH31" s="1171">
        <f t="shared" si="2"/>
        <v>144</v>
      </c>
      <c r="AI31" s="1170">
        <f t="shared" si="2"/>
        <v>145</v>
      </c>
      <c r="AJ31" s="1170">
        <f t="shared" si="2"/>
        <v>134</v>
      </c>
      <c r="AK31" s="1171">
        <f t="shared" si="2"/>
        <v>172</v>
      </c>
      <c r="AL31" s="1170">
        <f t="shared" si="2"/>
        <v>185</v>
      </c>
      <c r="AM31" s="1170">
        <f t="shared" si="2"/>
        <v>166</v>
      </c>
      <c r="AN31" s="1171">
        <f t="shared" si="2"/>
        <v>172</v>
      </c>
      <c r="AO31" s="1170">
        <f t="shared" si="2"/>
        <v>165</v>
      </c>
      <c r="AP31" s="1170">
        <f t="shared" si="2"/>
        <v>159</v>
      </c>
      <c r="AQ31" s="1171">
        <f t="shared" si="2"/>
        <v>172</v>
      </c>
      <c r="AR31" s="1170">
        <f t="shared" si="2"/>
        <v>156</v>
      </c>
      <c r="AS31" s="1170">
        <f>SUM(AS15:AS29)</f>
        <v>128</v>
      </c>
      <c r="AT31" s="1171">
        <f t="shared" si="2"/>
        <v>158</v>
      </c>
      <c r="AU31" s="1170">
        <f>SUM(AU15:AU30)</f>
        <v>227</v>
      </c>
      <c r="AV31" s="1170">
        <f>SUM(AV15:AV30)</f>
        <v>215</v>
      </c>
      <c r="AW31" s="1171">
        <f>SUM(AW15:AW30)</f>
        <v>235</v>
      </c>
    </row>
    <row r="32" spans="1:49" s="212" customFormat="1" ht="15" customHeight="1" x14ac:dyDescent="0.25">
      <c r="A32" s="6314"/>
      <c r="B32" s="6316" t="s">
        <v>7</v>
      </c>
      <c r="C32" s="6317" t="s">
        <v>522</v>
      </c>
      <c r="D32" s="4526" t="s">
        <v>400</v>
      </c>
      <c r="E32" s="1175">
        <v>29</v>
      </c>
      <c r="F32" s="1176">
        <v>28</v>
      </c>
      <c r="G32" s="1176">
        <v>19</v>
      </c>
      <c r="H32" s="1175">
        <v>16</v>
      </c>
      <c r="I32" s="1176">
        <v>13</v>
      </c>
      <c r="J32" s="1176">
        <v>25</v>
      </c>
      <c r="K32" s="1175">
        <v>16</v>
      </c>
      <c r="L32" s="1176">
        <v>14</v>
      </c>
      <c r="M32" s="1177">
        <v>14</v>
      </c>
      <c r="N32" s="1176">
        <v>8</v>
      </c>
      <c r="O32" s="1176">
        <v>7</v>
      </c>
      <c r="P32" s="1177">
        <v>25</v>
      </c>
      <c r="Q32" s="1176">
        <v>36</v>
      </c>
      <c r="R32" s="1176">
        <v>17</v>
      </c>
      <c r="S32" s="1177">
        <v>42</v>
      </c>
      <c r="T32" s="1176">
        <v>16</v>
      </c>
      <c r="U32" s="1176">
        <v>11</v>
      </c>
      <c r="V32" s="1177">
        <v>48</v>
      </c>
      <c r="W32" s="1176">
        <v>9</v>
      </c>
      <c r="X32" s="1176">
        <v>10</v>
      </c>
      <c r="Y32" s="1177">
        <v>54</v>
      </c>
      <c r="Z32" s="1176">
        <v>17</v>
      </c>
      <c r="AA32" s="1176">
        <v>12</v>
      </c>
      <c r="AB32" s="1177">
        <v>87</v>
      </c>
      <c r="AC32" s="1176">
        <v>87</v>
      </c>
      <c r="AD32" s="1176">
        <v>75</v>
      </c>
      <c r="AE32" s="1177">
        <v>32</v>
      </c>
      <c r="AF32" s="1176">
        <v>33</v>
      </c>
      <c r="AG32" s="1176">
        <v>31</v>
      </c>
      <c r="AH32" s="1177">
        <v>79</v>
      </c>
      <c r="AI32" s="1176">
        <v>69</v>
      </c>
      <c r="AJ32" s="1176">
        <v>69</v>
      </c>
      <c r="AK32" s="1177">
        <v>45</v>
      </c>
      <c r="AL32" s="1176">
        <v>29</v>
      </c>
      <c r="AM32" s="1176">
        <v>24</v>
      </c>
      <c r="AN32" s="1177">
        <v>95</v>
      </c>
      <c r="AO32" s="1176">
        <v>70</v>
      </c>
      <c r="AP32" s="1176">
        <v>70</v>
      </c>
      <c r="AQ32" s="1177">
        <v>2</v>
      </c>
      <c r="AR32" s="1176"/>
      <c r="AS32" s="1176"/>
      <c r="AT32" s="1177"/>
      <c r="AU32" s="1176"/>
      <c r="AV32" s="1176"/>
      <c r="AW32" s="1177"/>
    </row>
    <row r="33" spans="1:49" s="212" customFormat="1" ht="15" customHeight="1" x14ac:dyDescent="0.2">
      <c r="A33" s="6314"/>
      <c r="B33" s="6201"/>
      <c r="C33" s="6174"/>
      <c r="D33" s="5174" t="s">
        <v>535</v>
      </c>
      <c r="E33" s="1172"/>
      <c r="F33" s="1173"/>
      <c r="G33" s="1173"/>
      <c r="H33" s="1172"/>
      <c r="I33" s="1173"/>
      <c r="J33" s="1173"/>
      <c r="K33" s="1172"/>
      <c r="L33" s="1173"/>
      <c r="M33" s="1174"/>
      <c r="N33" s="1173"/>
      <c r="O33" s="1173"/>
      <c r="P33" s="1174"/>
      <c r="Q33" s="1173"/>
      <c r="R33" s="1173"/>
      <c r="S33" s="1174"/>
      <c r="T33" s="1173"/>
      <c r="U33" s="1173"/>
      <c r="V33" s="1174"/>
      <c r="W33" s="1173"/>
      <c r="X33" s="1173"/>
      <c r="Y33" s="1174"/>
      <c r="Z33" s="1173"/>
      <c r="AA33" s="1173"/>
      <c r="AB33" s="1174"/>
      <c r="AC33" s="1173"/>
      <c r="AD33" s="1173"/>
      <c r="AE33" s="1174"/>
      <c r="AF33" s="1173"/>
      <c r="AG33" s="1173"/>
      <c r="AH33" s="1174"/>
      <c r="AI33" s="1173"/>
      <c r="AJ33" s="1173"/>
      <c r="AK33" s="1174"/>
      <c r="AL33" s="1173"/>
      <c r="AM33" s="1173"/>
      <c r="AN33" s="1174"/>
      <c r="AO33" s="1173"/>
      <c r="AP33" s="1173"/>
      <c r="AQ33" s="1174"/>
      <c r="AR33" s="1173"/>
      <c r="AS33" s="1173"/>
      <c r="AT33" s="1174"/>
      <c r="AU33" s="1173"/>
      <c r="AV33" s="1173"/>
      <c r="AW33" s="1174">
        <v>5</v>
      </c>
    </row>
    <row r="34" spans="1:49" s="212" customFormat="1" ht="15" customHeight="1" x14ac:dyDescent="0.2">
      <c r="A34" s="6314"/>
      <c r="B34" s="6201"/>
      <c r="C34" s="6174"/>
      <c r="D34" s="5174" t="s">
        <v>1304</v>
      </c>
      <c r="E34" s="1172"/>
      <c r="F34" s="1173"/>
      <c r="G34" s="1173"/>
      <c r="H34" s="1172"/>
      <c r="I34" s="1173"/>
      <c r="J34" s="1173"/>
      <c r="K34" s="1172"/>
      <c r="L34" s="1173"/>
      <c r="M34" s="1174"/>
      <c r="N34" s="1173"/>
      <c r="O34" s="1173"/>
      <c r="P34" s="1174"/>
      <c r="Q34" s="1173"/>
      <c r="R34" s="1173"/>
      <c r="S34" s="1174"/>
      <c r="T34" s="1173"/>
      <c r="U34" s="1173"/>
      <c r="V34" s="1174"/>
      <c r="W34" s="1173"/>
      <c r="X34" s="1173"/>
      <c r="Y34" s="1174"/>
      <c r="Z34" s="1173"/>
      <c r="AA34" s="1173"/>
      <c r="AB34" s="1174"/>
      <c r="AC34" s="1173"/>
      <c r="AD34" s="1173"/>
      <c r="AE34" s="1174"/>
      <c r="AF34" s="1173"/>
      <c r="AG34" s="1173"/>
      <c r="AH34" s="1174"/>
      <c r="AI34" s="1173"/>
      <c r="AJ34" s="1173"/>
      <c r="AK34" s="1174"/>
      <c r="AL34" s="1173"/>
      <c r="AM34" s="1173"/>
      <c r="AN34" s="1174"/>
      <c r="AO34" s="1173"/>
      <c r="AP34" s="1173"/>
      <c r="AQ34" s="1174"/>
      <c r="AR34" s="1173"/>
      <c r="AS34" s="1173"/>
      <c r="AT34" s="1174"/>
      <c r="AU34" s="1173"/>
      <c r="AV34" s="1173"/>
      <c r="AW34" s="1174">
        <v>1</v>
      </c>
    </row>
    <row r="35" spans="1:49" s="212" customFormat="1" ht="15" customHeight="1" x14ac:dyDescent="0.2">
      <c r="A35" s="6314"/>
      <c r="B35" s="6201"/>
      <c r="C35" s="6174"/>
      <c r="D35" s="3920" t="s">
        <v>1303</v>
      </c>
      <c r="E35" s="1172"/>
      <c r="F35" s="1173"/>
      <c r="G35" s="1173"/>
      <c r="H35" s="1172"/>
      <c r="I35" s="1173"/>
      <c r="J35" s="1173"/>
      <c r="K35" s="1172"/>
      <c r="L35" s="1173"/>
      <c r="M35" s="1174"/>
      <c r="N35" s="1173"/>
      <c r="O35" s="1173"/>
      <c r="P35" s="1174"/>
      <c r="Q35" s="1173"/>
      <c r="R35" s="1173"/>
      <c r="S35" s="1174"/>
      <c r="T35" s="1173"/>
      <c r="U35" s="1173"/>
      <c r="V35" s="1174"/>
      <c r="W35" s="1173"/>
      <c r="X35" s="1173"/>
      <c r="Y35" s="1174"/>
      <c r="Z35" s="1173"/>
      <c r="AA35" s="1173"/>
      <c r="AB35" s="1174"/>
      <c r="AC35" s="1173"/>
      <c r="AD35" s="1173"/>
      <c r="AE35" s="1174"/>
      <c r="AF35" s="1173"/>
      <c r="AG35" s="1173"/>
      <c r="AH35" s="1174"/>
      <c r="AI35" s="1173"/>
      <c r="AJ35" s="1173"/>
      <c r="AK35" s="1174"/>
      <c r="AL35" s="1173"/>
      <c r="AM35" s="1173"/>
      <c r="AN35" s="1174"/>
      <c r="AO35" s="1173"/>
      <c r="AP35" s="1173"/>
      <c r="AQ35" s="1174"/>
      <c r="AR35" s="1173"/>
      <c r="AS35" s="1173"/>
      <c r="AT35" s="1174">
        <v>10</v>
      </c>
      <c r="AU35" s="1173">
        <v>9</v>
      </c>
      <c r="AV35" s="1173">
        <v>9</v>
      </c>
      <c r="AW35" s="1174">
        <v>14</v>
      </c>
    </row>
    <row r="36" spans="1:49" ht="15" customHeight="1" x14ac:dyDescent="0.25">
      <c r="A36" s="6314"/>
      <c r="B36" s="6201"/>
      <c r="C36" s="6317" t="s">
        <v>521</v>
      </c>
      <c r="D36" s="4527" t="s">
        <v>401</v>
      </c>
      <c r="E36" s="1167">
        <v>26</v>
      </c>
      <c r="F36" s="1072">
        <v>21</v>
      </c>
      <c r="G36" s="1072">
        <v>27</v>
      </c>
      <c r="H36" s="1167">
        <v>26</v>
      </c>
      <c r="I36" s="1072">
        <v>21</v>
      </c>
      <c r="J36" s="1072">
        <v>31</v>
      </c>
      <c r="K36" s="1167">
        <v>25</v>
      </c>
      <c r="L36" s="1072">
        <v>22</v>
      </c>
      <c r="M36" s="1168">
        <v>27</v>
      </c>
      <c r="N36" s="1072">
        <v>34</v>
      </c>
      <c r="O36" s="1072">
        <v>22</v>
      </c>
      <c r="P36" s="1168">
        <v>39</v>
      </c>
      <c r="Q36" s="1072">
        <v>23</v>
      </c>
      <c r="R36" s="1072">
        <v>37</v>
      </c>
      <c r="S36" s="1168">
        <v>28</v>
      </c>
      <c r="T36" s="1072">
        <v>46</v>
      </c>
      <c r="U36" s="1072">
        <v>42</v>
      </c>
      <c r="V36" s="1168">
        <v>34</v>
      </c>
      <c r="W36" s="1072">
        <v>72</v>
      </c>
      <c r="X36" s="1072">
        <v>72</v>
      </c>
      <c r="Y36" s="1168">
        <v>62</v>
      </c>
      <c r="Z36" s="1072">
        <v>80</v>
      </c>
      <c r="AA36" s="1072">
        <v>75</v>
      </c>
      <c r="AB36" s="1168">
        <v>49</v>
      </c>
      <c r="AC36" s="1072">
        <v>53</v>
      </c>
      <c r="AD36" s="1072">
        <v>38</v>
      </c>
      <c r="AE36" s="1168">
        <v>78</v>
      </c>
      <c r="AF36" s="1072">
        <v>74</v>
      </c>
      <c r="AG36" s="1072">
        <v>76</v>
      </c>
      <c r="AH36" s="1168">
        <v>57</v>
      </c>
      <c r="AI36" s="1072">
        <v>43</v>
      </c>
      <c r="AJ36" s="1072">
        <v>49</v>
      </c>
      <c r="AK36" s="1168">
        <v>56</v>
      </c>
      <c r="AL36" s="1072">
        <v>56</v>
      </c>
      <c r="AM36" s="1072">
        <v>59</v>
      </c>
      <c r="AN36" s="1168">
        <v>63</v>
      </c>
      <c r="AO36" s="1072">
        <v>48</v>
      </c>
      <c r="AP36" s="1072">
        <v>40</v>
      </c>
      <c r="AQ36" s="1168"/>
      <c r="AR36" s="1072"/>
      <c r="AS36" s="1072"/>
      <c r="AT36" s="1168"/>
      <c r="AU36" s="1072"/>
      <c r="AV36" s="1072"/>
      <c r="AW36" s="1168"/>
    </row>
    <row r="37" spans="1:49" ht="15" customHeight="1" x14ac:dyDescent="0.2">
      <c r="A37" s="6314"/>
      <c r="B37" s="6201"/>
      <c r="C37" s="6174"/>
      <c r="D37" s="3919" t="s">
        <v>1306</v>
      </c>
      <c r="E37" s="1164"/>
      <c r="F37" s="1165"/>
      <c r="G37" s="1165"/>
      <c r="H37" s="1164"/>
      <c r="I37" s="1165"/>
      <c r="J37" s="1165"/>
      <c r="K37" s="1164"/>
      <c r="L37" s="1165"/>
      <c r="M37" s="1166"/>
      <c r="N37" s="1165"/>
      <c r="O37" s="1165"/>
      <c r="P37" s="1166"/>
      <c r="Q37" s="1165"/>
      <c r="R37" s="1165"/>
      <c r="S37" s="1166"/>
      <c r="T37" s="1165"/>
      <c r="U37" s="1165"/>
      <c r="V37" s="1166"/>
      <c r="W37" s="1165"/>
      <c r="X37" s="1165"/>
      <c r="Y37" s="1166"/>
      <c r="Z37" s="1165"/>
      <c r="AA37" s="1165"/>
      <c r="AB37" s="1166"/>
      <c r="AC37" s="1165"/>
      <c r="AD37" s="1165"/>
      <c r="AE37" s="1166"/>
      <c r="AF37" s="1165"/>
      <c r="AG37" s="1165"/>
      <c r="AH37" s="1166"/>
      <c r="AI37" s="1165"/>
      <c r="AJ37" s="1165"/>
      <c r="AK37" s="1166"/>
      <c r="AL37" s="1165"/>
      <c r="AM37" s="1165"/>
      <c r="AN37" s="1166"/>
      <c r="AO37" s="1165"/>
      <c r="AP37" s="1165"/>
      <c r="AQ37" s="1166">
        <v>16</v>
      </c>
      <c r="AR37" s="1165">
        <v>16</v>
      </c>
      <c r="AS37" s="1165">
        <v>16</v>
      </c>
      <c r="AT37" s="1166">
        <v>15</v>
      </c>
      <c r="AU37" s="1165">
        <v>10</v>
      </c>
      <c r="AV37" s="1165">
        <v>8</v>
      </c>
      <c r="AW37" s="1166">
        <v>6</v>
      </c>
    </row>
    <row r="38" spans="1:49" ht="15" customHeight="1" x14ac:dyDescent="0.2">
      <c r="A38" s="6314"/>
      <c r="B38" s="6201"/>
      <c r="C38" s="6174"/>
      <c r="D38" s="3920" t="s">
        <v>1302</v>
      </c>
      <c r="E38" s="1164"/>
      <c r="F38" s="1165"/>
      <c r="G38" s="1165"/>
      <c r="H38" s="1164"/>
      <c r="I38" s="1165"/>
      <c r="J38" s="1165"/>
      <c r="K38" s="1164"/>
      <c r="L38" s="1165"/>
      <c r="M38" s="1166"/>
      <c r="N38" s="1165"/>
      <c r="O38" s="1165"/>
      <c r="P38" s="1166"/>
      <c r="Q38" s="1165"/>
      <c r="R38" s="1165"/>
      <c r="S38" s="1166"/>
      <c r="T38" s="1165"/>
      <c r="U38" s="1165"/>
      <c r="V38" s="1166"/>
      <c r="W38" s="1165"/>
      <c r="X38" s="1165"/>
      <c r="Y38" s="1166"/>
      <c r="Z38" s="1165"/>
      <c r="AA38" s="1165"/>
      <c r="AB38" s="1166"/>
      <c r="AC38" s="1165"/>
      <c r="AD38" s="1165"/>
      <c r="AE38" s="1166"/>
      <c r="AF38" s="1165"/>
      <c r="AG38" s="1165"/>
      <c r="AH38" s="1166"/>
      <c r="AI38" s="1165"/>
      <c r="AJ38" s="1165"/>
      <c r="AK38" s="1166"/>
      <c r="AL38" s="1165"/>
      <c r="AM38" s="1165"/>
      <c r="AN38" s="1166"/>
      <c r="AO38" s="1165"/>
      <c r="AP38" s="1165"/>
      <c r="AQ38" s="1166">
        <v>21</v>
      </c>
      <c r="AR38" s="1165">
        <v>23</v>
      </c>
      <c r="AS38" s="1165">
        <v>23</v>
      </c>
      <c r="AT38" s="1166">
        <v>21</v>
      </c>
      <c r="AU38" s="1165">
        <v>21</v>
      </c>
      <c r="AV38" s="1165">
        <v>21</v>
      </c>
      <c r="AW38" s="1166">
        <v>18</v>
      </c>
    </row>
    <row r="39" spans="1:49" ht="15" customHeight="1" x14ac:dyDescent="0.2">
      <c r="A39" s="6314"/>
      <c r="B39" s="6201"/>
      <c r="C39" s="6174"/>
      <c r="D39" s="3920" t="s">
        <v>1301</v>
      </c>
      <c r="E39" s="1164"/>
      <c r="F39" s="1165"/>
      <c r="G39" s="1165"/>
      <c r="H39" s="1164"/>
      <c r="I39" s="1165"/>
      <c r="J39" s="1165"/>
      <c r="K39" s="1164"/>
      <c r="L39" s="1165"/>
      <c r="M39" s="1166"/>
      <c r="N39" s="1165"/>
      <c r="O39" s="1165"/>
      <c r="P39" s="1166"/>
      <c r="Q39" s="1165"/>
      <c r="R39" s="1165"/>
      <c r="S39" s="1166"/>
      <c r="T39" s="1165"/>
      <c r="U39" s="1165"/>
      <c r="V39" s="1166"/>
      <c r="W39" s="1165"/>
      <c r="X39" s="1165"/>
      <c r="Y39" s="1166"/>
      <c r="Z39" s="1165"/>
      <c r="AA39" s="1165"/>
      <c r="AB39" s="1166"/>
      <c r="AC39" s="1165"/>
      <c r="AD39" s="1165"/>
      <c r="AE39" s="1166"/>
      <c r="AF39" s="1165"/>
      <c r="AG39" s="1165"/>
      <c r="AH39" s="1166"/>
      <c r="AI39" s="1165"/>
      <c r="AJ39" s="1165"/>
      <c r="AK39" s="1166"/>
      <c r="AL39" s="1165"/>
      <c r="AM39" s="1165"/>
      <c r="AN39" s="1166"/>
      <c r="AO39" s="1165"/>
      <c r="AP39" s="1165"/>
      <c r="AQ39" s="1166">
        <v>14</v>
      </c>
      <c r="AR39" s="1165">
        <v>16</v>
      </c>
      <c r="AS39" s="1165">
        <v>12</v>
      </c>
      <c r="AT39" s="1166">
        <v>15</v>
      </c>
      <c r="AU39" s="1165">
        <v>14</v>
      </c>
      <c r="AV39" s="1165">
        <v>13</v>
      </c>
      <c r="AW39" s="1166">
        <v>16</v>
      </c>
    </row>
    <row r="40" spans="1:49" ht="15" customHeight="1" x14ac:dyDescent="0.2">
      <c r="A40" s="6314"/>
      <c r="B40" s="6201"/>
      <c r="C40" s="6174"/>
      <c r="D40" s="3920" t="s">
        <v>1303</v>
      </c>
      <c r="E40" s="1164"/>
      <c r="F40" s="1165"/>
      <c r="G40" s="1165"/>
      <c r="H40" s="1164"/>
      <c r="I40" s="1165"/>
      <c r="J40" s="1165"/>
      <c r="K40" s="1164"/>
      <c r="L40" s="1165"/>
      <c r="M40" s="1166"/>
      <c r="N40" s="1165"/>
      <c r="O40" s="1165"/>
      <c r="P40" s="1166"/>
      <c r="Q40" s="1165"/>
      <c r="R40" s="1165"/>
      <c r="S40" s="1166"/>
      <c r="T40" s="1165"/>
      <c r="U40" s="1165"/>
      <c r="V40" s="1166"/>
      <c r="W40" s="1165"/>
      <c r="X40" s="1165"/>
      <c r="Y40" s="1166"/>
      <c r="Z40" s="1165"/>
      <c r="AA40" s="1165"/>
      <c r="AB40" s="1166"/>
      <c r="AC40" s="1165"/>
      <c r="AD40" s="1165"/>
      <c r="AE40" s="1166"/>
      <c r="AF40" s="1165"/>
      <c r="AG40" s="1165"/>
      <c r="AH40" s="1166"/>
      <c r="AI40" s="1165"/>
      <c r="AJ40" s="1165"/>
      <c r="AK40" s="1166"/>
      <c r="AL40" s="1165"/>
      <c r="AM40" s="1165"/>
      <c r="AN40" s="1166"/>
      <c r="AO40" s="1165"/>
      <c r="AP40" s="1165"/>
      <c r="AQ40" s="1166">
        <v>9</v>
      </c>
      <c r="AR40" s="1165">
        <v>20</v>
      </c>
      <c r="AS40" s="1165">
        <v>18</v>
      </c>
      <c r="AT40" s="1166">
        <v>19</v>
      </c>
      <c r="AU40" s="1165">
        <v>18</v>
      </c>
      <c r="AV40" s="1165">
        <v>18</v>
      </c>
      <c r="AW40" s="1166">
        <v>22</v>
      </c>
    </row>
    <row r="41" spans="1:49" ht="15" customHeight="1" x14ac:dyDescent="0.25">
      <c r="A41" s="6314"/>
      <c r="B41" s="6201"/>
      <c r="C41" s="6174"/>
      <c r="D41" s="4527" t="s">
        <v>1304</v>
      </c>
      <c r="E41" s="1164"/>
      <c r="F41" s="1165"/>
      <c r="G41" s="1165"/>
      <c r="H41" s="1164"/>
      <c r="I41" s="1165"/>
      <c r="J41" s="1165"/>
      <c r="K41" s="1164"/>
      <c r="L41" s="1165"/>
      <c r="M41" s="1166"/>
      <c r="N41" s="1165"/>
      <c r="O41" s="1165"/>
      <c r="P41" s="1166"/>
      <c r="Q41" s="1165"/>
      <c r="R41" s="1165"/>
      <c r="S41" s="1166"/>
      <c r="T41" s="1165"/>
      <c r="U41" s="1165"/>
      <c r="V41" s="1166"/>
      <c r="W41" s="1165"/>
      <c r="X41" s="1165"/>
      <c r="Y41" s="1166"/>
      <c r="Z41" s="1165"/>
      <c r="AA41" s="1165"/>
      <c r="AB41" s="1166"/>
      <c r="AC41" s="1165"/>
      <c r="AD41" s="1165"/>
      <c r="AE41" s="1166"/>
      <c r="AF41" s="1165"/>
      <c r="AG41" s="1165"/>
      <c r="AH41" s="1166"/>
      <c r="AI41" s="1165"/>
      <c r="AJ41" s="1165"/>
      <c r="AK41" s="1166"/>
      <c r="AL41" s="1165"/>
      <c r="AM41" s="1165"/>
      <c r="AN41" s="1166"/>
      <c r="AO41" s="1165"/>
      <c r="AP41" s="1165"/>
      <c r="AQ41" s="1166">
        <v>12</v>
      </c>
      <c r="AR41" s="1165">
        <v>12</v>
      </c>
      <c r="AS41" s="1165">
        <v>18</v>
      </c>
      <c r="AT41" s="1166">
        <v>20</v>
      </c>
      <c r="AU41" s="1165">
        <v>20</v>
      </c>
      <c r="AV41" s="1165">
        <v>18</v>
      </c>
      <c r="AW41" s="1166">
        <v>18</v>
      </c>
    </row>
    <row r="42" spans="1:49" ht="15" customHeight="1" x14ac:dyDescent="0.2">
      <c r="A42" s="6314"/>
      <c r="B42" s="6201"/>
      <c r="C42" s="6175"/>
      <c r="D42" s="3920" t="s">
        <v>1305</v>
      </c>
      <c r="E42" s="1164"/>
      <c r="F42" s="1165"/>
      <c r="G42" s="1165"/>
      <c r="H42" s="1164"/>
      <c r="I42" s="1165"/>
      <c r="J42" s="1165"/>
      <c r="K42" s="1164"/>
      <c r="L42" s="1165"/>
      <c r="M42" s="1166"/>
      <c r="N42" s="1165"/>
      <c r="O42" s="1165"/>
      <c r="P42" s="1166"/>
      <c r="Q42" s="1165"/>
      <c r="R42" s="1165"/>
      <c r="S42" s="1166"/>
      <c r="T42" s="1165"/>
      <c r="U42" s="1165"/>
      <c r="V42" s="1166"/>
      <c r="W42" s="1165"/>
      <c r="X42" s="1165"/>
      <c r="Y42" s="1166"/>
      <c r="Z42" s="1165"/>
      <c r="AA42" s="1165"/>
      <c r="AB42" s="1166"/>
      <c r="AC42" s="1165"/>
      <c r="AD42" s="1165"/>
      <c r="AE42" s="1166"/>
      <c r="AF42" s="1165"/>
      <c r="AG42" s="1165"/>
      <c r="AH42" s="1166"/>
      <c r="AI42" s="1165"/>
      <c r="AJ42" s="1165"/>
      <c r="AK42" s="1166"/>
      <c r="AL42" s="1165"/>
      <c r="AM42" s="1165"/>
      <c r="AN42" s="1166"/>
      <c r="AO42" s="1165"/>
      <c r="AP42" s="1165"/>
      <c r="AQ42" s="1166">
        <v>7</v>
      </c>
      <c r="AR42" s="1165">
        <v>7</v>
      </c>
      <c r="AS42" s="1165">
        <v>7</v>
      </c>
      <c r="AT42" s="1166">
        <v>9</v>
      </c>
      <c r="AU42" s="1165">
        <v>14</v>
      </c>
      <c r="AV42" s="1165">
        <v>14</v>
      </c>
      <c r="AW42" s="1166">
        <v>13</v>
      </c>
    </row>
    <row r="43" spans="1:49" ht="15" customHeight="1" x14ac:dyDescent="0.25">
      <c r="A43" s="6314"/>
      <c r="B43" s="6201"/>
      <c r="C43" s="6173" t="s">
        <v>520</v>
      </c>
      <c r="D43" s="4527" t="s">
        <v>402</v>
      </c>
      <c r="E43" s="1167">
        <v>17</v>
      </c>
      <c r="F43" s="1072">
        <v>17</v>
      </c>
      <c r="G43" s="1072">
        <v>7</v>
      </c>
      <c r="H43" s="1167">
        <v>4</v>
      </c>
      <c r="I43" s="1072">
        <v>4</v>
      </c>
      <c r="J43" s="1072">
        <v>1</v>
      </c>
      <c r="K43" s="1167">
        <v>1</v>
      </c>
      <c r="L43" s="1072">
        <v>1</v>
      </c>
      <c r="M43" s="1168">
        <v>8</v>
      </c>
      <c r="N43" s="1072">
        <v>6</v>
      </c>
      <c r="O43" s="1072">
        <v>6</v>
      </c>
      <c r="P43" s="1168">
        <v>12</v>
      </c>
      <c r="Q43" s="1072">
        <v>9</v>
      </c>
      <c r="R43" s="1072">
        <v>11</v>
      </c>
      <c r="S43" s="1168">
        <v>16</v>
      </c>
      <c r="T43" s="1072">
        <v>13</v>
      </c>
      <c r="U43" s="1072">
        <v>11</v>
      </c>
      <c r="V43" s="1168">
        <v>24</v>
      </c>
      <c r="W43" s="1072">
        <v>20</v>
      </c>
      <c r="X43" s="1072">
        <v>19</v>
      </c>
      <c r="Y43" s="1168">
        <v>31</v>
      </c>
      <c r="Z43" s="1072">
        <v>32</v>
      </c>
      <c r="AA43" s="1072">
        <v>34</v>
      </c>
      <c r="AB43" s="1168">
        <v>51</v>
      </c>
      <c r="AC43" s="1072">
        <v>51</v>
      </c>
      <c r="AD43" s="1072">
        <v>44</v>
      </c>
      <c r="AE43" s="1168">
        <v>38</v>
      </c>
      <c r="AF43" s="1072">
        <v>35</v>
      </c>
      <c r="AG43" s="1072">
        <v>35</v>
      </c>
      <c r="AH43" s="1168">
        <v>51</v>
      </c>
      <c r="AI43" s="1072">
        <v>46</v>
      </c>
      <c r="AJ43" s="1072">
        <v>49</v>
      </c>
      <c r="AK43" s="1168">
        <v>42</v>
      </c>
      <c r="AL43" s="1072">
        <v>35</v>
      </c>
      <c r="AM43" s="1072">
        <v>34</v>
      </c>
      <c r="AN43" s="1168">
        <v>66</v>
      </c>
      <c r="AO43" s="1072">
        <v>69</v>
      </c>
      <c r="AP43" s="1072">
        <v>65</v>
      </c>
      <c r="AQ43" s="1168"/>
      <c r="AR43" s="1072"/>
      <c r="AS43" s="1072"/>
      <c r="AT43" s="1168"/>
      <c r="AU43" s="1072"/>
      <c r="AV43" s="1072"/>
      <c r="AW43" s="1168"/>
    </row>
    <row r="44" spans="1:49" ht="15" customHeight="1" x14ac:dyDescent="0.2">
      <c r="A44" s="6314"/>
      <c r="B44" s="6201"/>
      <c r="C44" s="6174"/>
      <c r="D44" s="3919" t="s">
        <v>1306</v>
      </c>
      <c r="E44" s="1164"/>
      <c r="F44" s="1165"/>
      <c r="G44" s="1165"/>
      <c r="H44" s="1164"/>
      <c r="I44" s="1165"/>
      <c r="J44" s="1165"/>
      <c r="K44" s="1164"/>
      <c r="L44" s="1165"/>
      <c r="M44" s="1166"/>
      <c r="N44" s="1165"/>
      <c r="O44" s="1165"/>
      <c r="P44" s="1166"/>
      <c r="Q44" s="1165"/>
      <c r="R44" s="1165"/>
      <c r="S44" s="1166"/>
      <c r="T44" s="1165"/>
      <c r="U44" s="1165"/>
      <c r="V44" s="1166"/>
      <c r="W44" s="1165"/>
      <c r="X44" s="1165"/>
      <c r="Y44" s="1166"/>
      <c r="Z44" s="1165"/>
      <c r="AA44" s="1165"/>
      <c r="AB44" s="1166"/>
      <c r="AC44" s="1165"/>
      <c r="AD44" s="1165"/>
      <c r="AE44" s="1166"/>
      <c r="AF44" s="1165"/>
      <c r="AG44" s="1165"/>
      <c r="AH44" s="1166"/>
      <c r="AI44" s="1165"/>
      <c r="AJ44" s="1165"/>
      <c r="AK44" s="1166"/>
      <c r="AL44" s="1165"/>
      <c r="AM44" s="1165"/>
      <c r="AN44" s="1166"/>
      <c r="AO44" s="1165"/>
      <c r="AP44" s="1165"/>
      <c r="AQ44" s="1166">
        <v>4</v>
      </c>
      <c r="AR44" s="1165">
        <v>4</v>
      </c>
      <c r="AS44" s="1165">
        <v>4</v>
      </c>
      <c r="AT44" s="1166">
        <v>3</v>
      </c>
      <c r="AU44" s="1165">
        <v>4</v>
      </c>
      <c r="AV44" s="1165">
        <v>5</v>
      </c>
      <c r="AW44" s="1166">
        <v>6</v>
      </c>
    </row>
    <row r="45" spans="1:49" ht="15" customHeight="1" x14ac:dyDescent="0.2">
      <c r="A45" s="6314"/>
      <c r="B45" s="6201"/>
      <c r="C45" s="6174"/>
      <c r="D45" s="3920" t="s">
        <v>1302</v>
      </c>
      <c r="E45" s="1164"/>
      <c r="F45" s="1165"/>
      <c r="G45" s="1165"/>
      <c r="H45" s="1164"/>
      <c r="I45" s="1165"/>
      <c r="J45" s="1165"/>
      <c r="K45" s="1164"/>
      <c r="L45" s="1165"/>
      <c r="M45" s="1166"/>
      <c r="N45" s="1165"/>
      <c r="O45" s="1165"/>
      <c r="P45" s="1166"/>
      <c r="Q45" s="1165"/>
      <c r="R45" s="1165"/>
      <c r="S45" s="1166"/>
      <c r="T45" s="1165"/>
      <c r="U45" s="1165"/>
      <c r="V45" s="1166"/>
      <c r="W45" s="1165"/>
      <c r="X45" s="1165"/>
      <c r="Y45" s="1166"/>
      <c r="Z45" s="1165"/>
      <c r="AA45" s="1165"/>
      <c r="AB45" s="1166"/>
      <c r="AC45" s="1165"/>
      <c r="AD45" s="1165"/>
      <c r="AE45" s="1166"/>
      <c r="AF45" s="1165"/>
      <c r="AG45" s="1165"/>
      <c r="AH45" s="1166"/>
      <c r="AI45" s="1165"/>
      <c r="AJ45" s="1165"/>
      <c r="AK45" s="1166"/>
      <c r="AL45" s="1165"/>
      <c r="AM45" s="1165"/>
      <c r="AN45" s="1166"/>
      <c r="AO45" s="1165"/>
      <c r="AP45" s="1165"/>
      <c r="AQ45" s="1166">
        <v>23</v>
      </c>
      <c r="AR45" s="1165">
        <v>22</v>
      </c>
      <c r="AS45" s="1165">
        <v>24</v>
      </c>
      <c r="AT45" s="1166">
        <v>22</v>
      </c>
      <c r="AU45" s="1165">
        <v>26</v>
      </c>
      <c r="AV45" s="1165">
        <v>29</v>
      </c>
      <c r="AW45" s="1166">
        <v>29</v>
      </c>
    </row>
    <row r="46" spans="1:49" ht="15" customHeight="1" x14ac:dyDescent="0.2">
      <c r="A46" s="6314"/>
      <c r="B46" s="6201"/>
      <c r="C46" s="6174"/>
      <c r="D46" s="3920" t="s">
        <v>1301</v>
      </c>
      <c r="E46" s="1164"/>
      <c r="F46" s="1165"/>
      <c r="G46" s="1165"/>
      <c r="H46" s="1164"/>
      <c r="I46" s="1165"/>
      <c r="J46" s="1165"/>
      <c r="K46" s="1164"/>
      <c r="L46" s="1165"/>
      <c r="M46" s="1166"/>
      <c r="N46" s="1165"/>
      <c r="O46" s="1165"/>
      <c r="P46" s="1166"/>
      <c r="Q46" s="1165"/>
      <c r="R46" s="1165"/>
      <c r="S46" s="1166"/>
      <c r="T46" s="1165"/>
      <c r="U46" s="1165"/>
      <c r="V46" s="1166"/>
      <c r="W46" s="1165"/>
      <c r="X46" s="1165"/>
      <c r="Y46" s="1166"/>
      <c r="Z46" s="1165"/>
      <c r="AA46" s="1165"/>
      <c r="AB46" s="1166"/>
      <c r="AC46" s="1165"/>
      <c r="AD46" s="1165"/>
      <c r="AE46" s="1166"/>
      <c r="AF46" s="1165"/>
      <c r="AG46" s="1165"/>
      <c r="AH46" s="1166"/>
      <c r="AI46" s="1165"/>
      <c r="AJ46" s="1165"/>
      <c r="AK46" s="1166"/>
      <c r="AL46" s="1165"/>
      <c r="AM46" s="1165"/>
      <c r="AN46" s="1166"/>
      <c r="AO46" s="1165"/>
      <c r="AP46" s="1165"/>
      <c r="AQ46" s="1166">
        <v>9</v>
      </c>
      <c r="AR46" s="1165">
        <v>10</v>
      </c>
      <c r="AS46" s="1165">
        <v>10</v>
      </c>
      <c r="AT46" s="1166">
        <v>8</v>
      </c>
      <c r="AU46" s="1165">
        <v>8</v>
      </c>
      <c r="AV46" s="1165">
        <v>9</v>
      </c>
      <c r="AW46" s="1166">
        <v>8</v>
      </c>
    </row>
    <row r="47" spans="1:49" ht="15" customHeight="1" x14ac:dyDescent="0.2">
      <c r="A47" s="6314"/>
      <c r="B47" s="6201"/>
      <c r="C47" s="6174"/>
      <c r="D47" s="3920" t="s">
        <v>1303</v>
      </c>
      <c r="E47" s="1164"/>
      <c r="F47" s="1165"/>
      <c r="G47" s="1165"/>
      <c r="H47" s="1164"/>
      <c r="I47" s="1165"/>
      <c r="J47" s="1165"/>
      <c r="K47" s="1164"/>
      <c r="L47" s="1165"/>
      <c r="M47" s="1166"/>
      <c r="N47" s="1165"/>
      <c r="O47" s="1165"/>
      <c r="P47" s="1166"/>
      <c r="Q47" s="1165"/>
      <c r="R47" s="1165"/>
      <c r="S47" s="1166"/>
      <c r="T47" s="1165"/>
      <c r="U47" s="1165"/>
      <c r="V47" s="1166"/>
      <c r="W47" s="1165"/>
      <c r="X47" s="1165"/>
      <c r="Y47" s="1166"/>
      <c r="Z47" s="1165"/>
      <c r="AA47" s="1165"/>
      <c r="AB47" s="1166"/>
      <c r="AC47" s="1165"/>
      <c r="AD47" s="1165"/>
      <c r="AE47" s="1166"/>
      <c r="AF47" s="1165"/>
      <c r="AG47" s="1165"/>
      <c r="AH47" s="1166"/>
      <c r="AI47" s="1165"/>
      <c r="AJ47" s="1165"/>
      <c r="AK47" s="1166"/>
      <c r="AL47" s="1165"/>
      <c r="AM47" s="1165"/>
      <c r="AN47" s="1166"/>
      <c r="AO47" s="1165"/>
      <c r="AP47" s="1165"/>
      <c r="AQ47" s="1166">
        <v>2</v>
      </c>
      <c r="AR47" s="1165">
        <v>2</v>
      </c>
      <c r="AS47" s="1165">
        <v>2</v>
      </c>
      <c r="AT47" s="1166">
        <v>2</v>
      </c>
      <c r="AU47" s="1165">
        <v>2</v>
      </c>
      <c r="AV47" s="1165">
        <v>1</v>
      </c>
      <c r="AW47" s="1166">
        <v>4</v>
      </c>
    </row>
    <row r="48" spans="1:49" ht="15" customHeight="1" x14ac:dyDescent="0.25">
      <c r="A48" s="6314"/>
      <c r="B48" s="6201"/>
      <c r="C48" s="6174"/>
      <c r="D48" s="4527" t="s">
        <v>1304</v>
      </c>
      <c r="E48" s="1164"/>
      <c r="F48" s="1165"/>
      <c r="G48" s="1165"/>
      <c r="H48" s="1164"/>
      <c r="I48" s="1165"/>
      <c r="J48" s="1165"/>
      <c r="K48" s="1164"/>
      <c r="L48" s="1165"/>
      <c r="M48" s="1166"/>
      <c r="N48" s="1165"/>
      <c r="O48" s="1165"/>
      <c r="P48" s="1166"/>
      <c r="Q48" s="1165"/>
      <c r="R48" s="1165"/>
      <c r="S48" s="1166"/>
      <c r="T48" s="1165"/>
      <c r="U48" s="1165"/>
      <c r="V48" s="1166"/>
      <c r="W48" s="1165"/>
      <c r="X48" s="1165"/>
      <c r="Y48" s="1166"/>
      <c r="Z48" s="1165"/>
      <c r="AA48" s="1165"/>
      <c r="AB48" s="1166"/>
      <c r="AC48" s="1165"/>
      <c r="AD48" s="1165"/>
      <c r="AE48" s="1166"/>
      <c r="AF48" s="1165"/>
      <c r="AG48" s="1165"/>
      <c r="AH48" s="1166"/>
      <c r="AI48" s="1165"/>
      <c r="AJ48" s="1165"/>
      <c r="AK48" s="1166"/>
      <c r="AL48" s="1165"/>
      <c r="AM48" s="1165"/>
      <c r="AN48" s="1166"/>
      <c r="AO48" s="1165"/>
      <c r="AP48" s="1165"/>
      <c r="AQ48" s="1166">
        <v>18</v>
      </c>
      <c r="AR48" s="1165">
        <v>22</v>
      </c>
      <c r="AS48" s="1165">
        <v>20</v>
      </c>
      <c r="AT48" s="1166">
        <v>22</v>
      </c>
      <c r="AU48" s="1165">
        <v>19</v>
      </c>
      <c r="AV48" s="1165">
        <v>22</v>
      </c>
      <c r="AW48" s="1166">
        <v>20</v>
      </c>
    </row>
    <row r="49" spans="1:49" ht="15" customHeight="1" x14ac:dyDescent="0.2">
      <c r="A49" s="6314"/>
      <c r="B49" s="6201"/>
      <c r="C49" s="6175"/>
      <c r="D49" s="3920" t="s">
        <v>1305</v>
      </c>
      <c r="E49" s="1164"/>
      <c r="F49" s="1165"/>
      <c r="G49" s="1165"/>
      <c r="H49" s="1164"/>
      <c r="I49" s="1165"/>
      <c r="J49" s="1165"/>
      <c r="K49" s="1164"/>
      <c r="L49" s="1165"/>
      <c r="M49" s="1166"/>
      <c r="N49" s="1165"/>
      <c r="O49" s="1165"/>
      <c r="P49" s="1166"/>
      <c r="Q49" s="1165"/>
      <c r="R49" s="1165"/>
      <c r="S49" s="1166"/>
      <c r="T49" s="1165"/>
      <c r="U49" s="1165"/>
      <c r="V49" s="1166"/>
      <c r="W49" s="1165"/>
      <c r="X49" s="1165"/>
      <c r="Y49" s="1166"/>
      <c r="Z49" s="1165"/>
      <c r="AA49" s="1165"/>
      <c r="AB49" s="1166"/>
      <c r="AC49" s="1165"/>
      <c r="AD49" s="1165"/>
      <c r="AE49" s="1166"/>
      <c r="AF49" s="1165"/>
      <c r="AG49" s="1072"/>
      <c r="AH49" s="1168"/>
      <c r="AI49" s="1072"/>
      <c r="AJ49" s="1072"/>
      <c r="AK49" s="1168"/>
      <c r="AL49" s="1072"/>
      <c r="AM49" s="1072"/>
      <c r="AN49" s="1168"/>
      <c r="AO49" s="1072"/>
      <c r="AP49" s="1072"/>
      <c r="AQ49" s="1168"/>
      <c r="AR49" s="1072"/>
      <c r="AS49" s="1072"/>
      <c r="AT49" s="1168"/>
      <c r="AU49" s="1072">
        <v>2</v>
      </c>
      <c r="AV49" s="1072">
        <v>2</v>
      </c>
      <c r="AW49" s="1168">
        <v>3</v>
      </c>
    </row>
    <row r="50" spans="1:49" ht="15" customHeight="1" x14ac:dyDescent="0.2">
      <c r="A50" s="6314"/>
      <c r="B50" s="6202"/>
      <c r="C50" s="5153"/>
      <c r="D50" s="4538" t="s">
        <v>160</v>
      </c>
      <c r="E50" s="4528">
        <f t="shared" ref="E50:AP50" si="3">SUM(E32:E43)</f>
        <v>72</v>
      </c>
      <c r="F50" s="4529">
        <f t="shared" si="3"/>
        <v>66</v>
      </c>
      <c r="G50" s="4529">
        <f t="shared" si="3"/>
        <v>53</v>
      </c>
      <c r="H50" s="4528">
        <f t="shared" si="3"/>
        <v>46</v>
      </c>
      <c r="I50" s="4529">
        <f t="shared" si="3"/>
        <v>38</v>
      </c>
      <c r="J50" s="4529">
        <f t="shared" si="3"/>
        <v>57</v>
      </c>
      <c r="K50" s="4528">
        <f t="shared" si="3"/>
        <v>42</v>
      </c>
      <c r="L50" s="4529">
        <f t="shared" si="3"/>
        <v>37</v>
      </c>
      <c r="M50" s="4530">
        <f t="shared" si="3"/>
        <v>49</v>
      </c>
      <c r="N50" s="4529">
        <f t="shared" si="3"/>
        <v>48</v>
      </c>
      <c r="O50" s="4529">
        <f t="shared" si="3"/>
        <v>35</v>
      </c>
      <c r="P50" s="4530">
        <f t="shared" si="3"/>
        <v>76</v>
      </c>
      <c r="Q50" s="4529">
        <f t="shared" si="3"/>
        <v>68</v>
      </c>
      <c r="R50" s="4529">
        <f t="shared" si="3"/>
        <v>65</v>
      </c>
      <c r="S50" s="4530">
        <f t="shared" si="3"/>
        <v>86</v>
      </c>
      <c r="T50" s="4529">
        <f t="shared" si="3"/>
        <v>75</v>
      </c>
      <c r="U50" s="4529">
        <f t="shared" si="3"/>
        <v>64</v>
      </c>
      <c r="V50" s="4530">
        <f t="shared" si="3"/>
        <v>106</v>
      </c>
      <c r="W50" s="4529">
        <f t="shared" si="3"/>
        <v>101</v>
      </c>
      <c r="X50" s="4529">
        <f t="shared" si="3"/>
        <v>101</v>
      </c>
      <c r="Y50" s="4530">
        <f t="shared" si="3"/>
        <v>147</v>
      </c>
      <c r="Z50" s="4529">
        <f t="shared" si="3"/>
        <v>129</v>
      </c>
      <c r="AA50" s="4529">
        <f t="shared" si="3"/>
        <v>121</v>
      </c>
      <c r="AB50" s="4530">
        <f t="shared" si="3"/>
        <v>187</v>
      </c>
      <c r="AC50" s="4529">
        <f t="shared" si="3"/>
        <v>191</v>
      </c>
      <c r="AD50" s="4529">
        <f t="shared" si="3"/>
        <v>157</v>
      </c>
      <c r="AE50" s="4530">
        <f t="shared" si="3"/>
        <v>148</v>
      </c>
      <c r="AF50" s="4529">
        <f t="shared" si="3"/>
        <v>142</v>
      </c>
      <c r="AG50" s="1626">
        <f t="shared" si="3"/>
        <v>142</v>
      </c>
      <c r="AH50" s="1628">
        <f t="shared" si="3"/>
        <v>187</v>
      </c>
      <c r="AI50" s="1626">
        <f t="shared" si="3"/>
        <v>158</v>
      </c>
      <c r="AJ50" s="1626">
        <f t="shared" si="3"/>
        <v>167</v>
      </c>
      <c r="AK50" s="1628">
        <f t="shared" si="3"/>
        <v>143</v>
      </c>
      <c r="AL50" s="1626">
        <f t="shared" si="3"/>
        <v>120</v>
      </c>
      <c r="AM50" s="1626">
        <f t="shared" si="3"/>
        <v>117</v>
      </c>
      <c r="AN50" s="1628">
        <f t="shared" si="3"/>
        <v>224</v>
      </c>
      <c r="AO50" s="1625">
        <f t="shared" si="3"/>
        <v>187</v>
      </c>
      <c r="AP50" s="1626">
        <f t="shared" si="3"/>
        <v>175</v>
      </c>
      <c r="AQ50" s="1628">
        <f t="shared" ref="AQ50:AW50" si="4">SUM(AQ32:AQ49)</f>
        <v>137</v>
      </c>
      <c r="AR50" s="1625">
        <f t="shared" si="4"/>
        <v>154</v>
      </c>
      <c r="AS50" s="1626">
        <f t="shared" si="4"/>
        <v>154</v>
      </c>
      <c r="AT50" s="1628">
        <f t="shared" si="4"/>
        <v>166</v>
      </c>
      <c r="AU50" s="1625">
        <f t="shared" si="4"/>
        <v>167</v>
      </c>
      <c r="AV50" s="1626">
        <f t="shared" si="4"/>
        <v>169</v>
      </c>
      <c r="AW50" s="1628">
        <f t="shared" si="4"/>
        <v>183</v>
      </c>
    </row>
    <row r="51" spans="1:49" ht="15" customHeight="1" x14ac:dyDescent="0.2">
      <c r="A51" s="6315"/>
      <c r="B51" s="4689"/>
      <c r="C51" s="4689"/>
      <c r="D51" s="4709" t="s">
        <v>444</v>
      </c>
      <c r="E51" s="4673">
        <f t="shared" ref="E51:AT51" si="5">SUM(E50,E31,E14)</f>
        <v>268</v>
      </c>
      <c r="F51" s="4710">
        <f t="shared" si="5"/>
        <v>235</v>
      </c>
      <c r="G51" s="4710">
        <f t="shared" si="5"/>
        <v>226</v>
      </c>
      <c r="H51" s="4673">
        <f t="shared" si="5"/>
        <v>232</v>
      </c>
      <c r="I51" s="4710">
        <f t="shared" si="5"/>
        <v>202</v>
      </c>
      <c r="J51" s="4710">
        <f t="shared" si="5"/>
        <v>269</v>
      </c>
      <c r="K51" s="4673">
        <f t="shared" si="5"/>
        <v>240</v>
      </c>
      <c r="L51" s="4710">
        <f t="shared" si="5"/>
        <v>227</v>
      </c>
      <c r="M51" s="4711">
        <f t="shared" si="5"/>
        <v>281</v>
      </c>
      <c r="N51" s="4710">
        <f t="shared" si="5"/>
        <v>274</v>
      </c>
      <c r="O51" s="4710">
        <f t="shared" si="5"/>
        <v>251</v>
      </c>
      <c r="P51" s="4711">
        <f t="shared" si="5"/>
        <v>288</v>
      </c>
      <c r="Q51" s="4710">
        <f t="shared" si="5"/>
        <v>292</v>
      </c>
      <c r="R51" s="4710">
        <f t="shared" si="5"/>
        <v>270</v>
      </c>
      <c r="S51" s="4711">
        <f t="shared" si="5"/>
        <v>365</v>
      </c>
      <c r="T51" s="4710">
        <f t="shared" si="5"/>
        <v>297</v>
      </c>
      <c r="U51" s="4710">
        <f t="shared" si="5"/>
        <v>281</v>
      </c>
      <c r="V51" s="4711">
        <f t="shared" si="5"/>
        <v>365</v>
      </c>
      <c r="W51" s="4710">
        <f t="shared" si="5"/>
        <v>317</v>
      </c>
      <c r="X51" s="4710">
        <f t="shared" si="5"/>
        <v>303</v>
      </c>
      <c r="Y51" s="4711">
        <f t="shared" si="5"/>
        <v>469</v>
      </c>
      <c r="Z51" s="4710">
        <f t="shared" si="5"/>
        <v>387</v>
      </c>
      <c r="AA51" s="4710">
        <f t="shared" si="5"/>
        <v>378</v>
      </c>
      <c r="AB51" s="4711">
        <f t="shared" si="5"/>
        <v>519</v>
      </c>
      <c r="AC51" s="4710">
        <f t="shared" si="5"/>
        <v>457</v>
      </c>
      <c r="AD51" s="4710">
        <f t="shared" si="5"/>
        <v>399</v>
      </c>
      <c r="AE51" s="4711">
        <f t="shared" si="5"/>
        <v>416</v>
      </c>
      <c r="AF51" s="4710">
        <f t="shared" si="5"/>
        <v>391</v>
      </c>
      <c r="AG51" s="4710">
        <f t="shared" si="5"/>
        <v>378</v>
      </c>
      <c r="AH51" s="4711">
        <f t="shared" si="5"/>
        <v>450</v>
      </c>
      <c r="AI51" s="4710">
        <f t="shared" si="5"/>
        <v>426</v>
      </c>
      <c r="AJ51" s="4710">
        <f t="shared" si="5"/>
        <v>418</v>
      </c>
      <c r="AK51" s="4711">
        <f t="shared" si="5"/>
        <v>469</v>
      </c>
      <c r="AL51" s="4710">
        <f t="shared" si="5"/>
        <v>457</v>
      </c>
      <c r="AM51" s="4710">
        <f t="shared" si="5"/>
        <v>433</v>
      </c>
      <c r="AN51" s="4711">
        <f t="shared" si="5"/>
        <v>597</v>
      </c>
      <c r="AO51" s="4710">
        <f t="shared" si="5"/>
        <v>545</v>
      </c>
      <c r="AP51" s="4710">
        <f t="shared" si="5"/>
        <v>503</v>
      </c>
      <c r="AQ51" s="4711">
        <f t="shared" si="5"/>
        <v>509</v>
      </c>
      <c r="AR51" s="4710">
        <f t="shared" si="5"/>
        <v>530</v>
      </c>
      <c r="AS51" s="4710">
        <f>SUM(AS14,AS31,AS50)</f>
        <v>479</v>
      </c>
      <c r="AT51" s="4711">
        <f t="shared" si="5"/>
        <v>548</v>
      </c>
      <c r="AU51" s="4710">
        <f>SUM(AU50,AU31,AU14)</f>
        <v>613</v>
      </c>
      <c r="AV51" s="4710">
        <f>SUM(AV14,AV31,AV50)</f>
        <v>592</v>
      </c>
      <c r="AW51" s="4711">
        <f>SUM(AW50,AW31,AW14)</f>
        <v>637</v>
      </c>
    </row>
    <row r="52" spans="1:49" ht="15" customHeight="1" x14ac:dyDescent="0.25">
      <c r="A52" s="6327" t="s">
        <v>8</v>
      </c>
      <c r="B52" s="6311" t="s">
        <v>6</v>
      </c>
      <c r="C52" s="4519" t="s">
        <v>521</v>
      </c>
      <c r="D52" s="4526" t="s">
        <v>398</v>
      </c>
      <c r="E52" s="1158"/>
      <c r="F52" s="1159"/>
      <c r="G52" s="1159"/>
      <c r="H52" s="1158"/>
      <c r="I52" s="1159"/>
      <c r="J52" s="1160"/>
      <c r="K52" s="1159"/>
      <c r="L52" s="1159"/>
      <c r="M52" s="1159"/>
      <c r="N52" s="1158"/>
      <c r="O52" s="1159"/>
      <c r="P52" s="1160"/>
      <c r="Q52" s="1159"/>
      <c r="R52" s="1159"/>
      <c r="S52" s="1159"/>
      <c r="T52" s="1158"/>
      <c r="U52" s="1159"/>
      <c r="V52" s="1160"/>
      <c r="W52" s="1159"/>
      <c r="X52" s="1159"/>
      <c r="Y52" s="1159"/>
      <c r="Z52" s="1158"/>
      <c r="AA52" s="1159"/>
      <c r="AB52" s="1160"/>
      <c r="AC52" s="1176">
        <v>20</v>
      </c>
      <c r="AD52" s="1176">
        <v>19</v>
      </c>
      <c r="AE52" s="1177">
        <v>18</v>
      </c>
      <c r="AF52" s="1176">
        <v>31</v>
      </c>
      <c r="AG52" s="1176">
        <v>28</v>
      </c>
      <c r="AH52" s="1177">
        <v>28</v>
      </c>
      <c r="AI52" s="1176">
        <v>39</v>
      </c>
      <c r="AJ52" s="1176">
        <v>37</v>
      </c>
      <c r="AK52" s="1177">
        <v>31</v>
      </c>
      <c r="AL52" s="1176">
        <v>23</v>
      </c>
      <c r="AM52" s="1176">
        <v>21</v>
      </c>
      <c r="AN52" s="1177">
        <v>33</v>
      </c>
      <c r="AO52" s="1176">
        <v>15</v>
      </c>
      <c r="AP52" s="1176">
        <v>14</v>
      </c>
      <c r="AQ52" s="1177">
        <v>33</v>
      </c>
      <c r="AR52" s="1176">
        <v>32</v>
      </c>
      <c r="AS52" s="1176">
        <v>32</v>
      </c>
      <c r="AT52" s="1177">
        <v>31</v>
      </c>
      <c r="AU52" s="1176">
        <v>29</v>
      </c>
      <c r="AV52" s="1176">
        <v>27</v>
      </c>
      <c r="AW52" s="1177">
        <v>26</v>
      </c>
    </row>
    <row r="53" spans="1:49" ht="15" customHeight="1" x14ac:dyDescent="0.25">
      <c r="A53" s="6328"/>
      <c r="B53" s="6190"/>
      <c r="C53" s="5145" t="s">
        <v>520</v>
      </c>
      <c r="D53" s="4522" t="s">
        <v>399</v>
      </c>
      <c r="E53" s="1164"/>
      <c r="F53" s="1165"/>
      <c r="G53" s="1165"/>
      <c r="H53" s="1164"/>
      <c r="I53" s="1165"/>
      <c r="J53" s="1165"/>
      <c r="K53" s="1164"/>
      <c r="L53" s="1165"/>
      <c r="M53" s="1166"/>
      <c r="N53" s="1165"/>
      <c r="O53" s="1165"/>
      <c r="P53" s="1166"/>
      <c r="Q53" s="1165"/>
      <c r="R53" s="1165"/>
      <c r="S53" s="1166"/>
      <c r="T53" s="1165"/>
      <c r="U53" s="1165"/>
      <c r="V53" s="1166"/>
      <c r="W53" s="1165"/>
      <c r="X53" s="1165"/>
      <c r="Y53" s="1166"/>
      <c r="Z53" s="1165"/>
      <c r="AA53" s="1165"/>
      <c r="AB53" s="1166"/>
      <c r="AC53" s="1165">
        <v>12</v>
      </c>
      <c r="AD53" s="1165">
        <v>12</v>
      </c>
      <c r="AE53" s="1166">
        <v>12</v>
      </c>
      <c r="AF53" s="1165">
        <v>22</v>
      </c>
      <c r="AG53" s="1165">
        <v>21</v>
      </c>
      <c r="AH53" s="1166">
        <v>21</v>
      </c>
      <c r="AI53" s="1165">
        <v>19</v>
      </c>
      <c r="AJ53" s="1165">
        <v>18</v>
      </c>
      <c r="AK53" s="1166">
        <v>35</v>
      </c>
      <c r="AL53" s="1165">
        <v>24</v>
      </c>
      <c r="AM53" s="1165">
        <v>25</v>
      </c>
      <c r="AN53" s="1166">
        <v>41</v>
      </c>
      <c r="AO53" s="1165">
        <v>36</v>
      </c>
      <c r="AP53" s="1165">
        <v>36</v>
      </c>
      <c r="AQ53" s="1166">
        <v>54</v>
      </c>
      <c r="AR53" s="1165">
        <v>52</v>
      </c>
      <c r="AS53" s="1165">
        <v>51</v>
      </c>
      <c r="AT53" s="1166">
        <v>48</v>
      </c>
      <c r="AU53" s="1165">
        <v>46</v>
      </c>
      <c r="AV53" s="1165">
        <v>46</v>
      </c>
      <c r="AW53" s="1166">
        <v>48</v>
      </c>
    </row>
    <row r="54" spans="1:49" ht="15" customHeight="1" x14ac:dyDescent="0.2">
      <c r="A54" s="6328"/>
      <c r="B54" s="6189"/>
      <c r="C54" s="5153"/>
      <c r="D54" s="4538" t="s">
        <v>160</v>
      </c>
      <c r="E54" s="1169"/>
      <c r="F54" s="1170"/>
      <c r="G54" s="1170"/>
      <c r="H54" s="1169"/>
      <c r="I54" s="1170"/>
      <c r="J54" s="1170"/>
      <c r="K54" s="1169"/>
      <c r="L54" s="1170"/>
      <c r="M54" s="1171"/>
      <c r="N54" s="1170"/>
      <c r="O54" s="1170"/>
      <c r="P54" s="1171"/>
      <c r="Q54" s="1170"/>
      <c r="R54" s="1170"/>
      <c r="S54" s="1171"/>
      <c r="T54" s="1170"/>
      <c r="U54" s="1170"/>
      <c r="V54" s="1171"/>
      <c r="W54" s="1170"/>
      <c r="X54" s="1170"/>
      <c r="Y54" s="1171"/>
      <c r="Z54" s="1170"/>
      <c r="AA54" s="1170"/>
      <c r="AB54" s="1171"/>
      <c r="AC54" s="1170">
        <f>SUM(AC52:AC53)</f>
        <v>32</v>
      </c>
      <c r="AD54" s="1170">
        <f t="shared" ref="AD54:AT54" si="6">SUM(AD52:AD53)</f>
        <v>31</v>
      </c>
      <c r="AE54" s="1171">
        <f t="shared" si="6"/>
        <v>30</v>
      </c>
      <c r="AF54" s="1170">
        <f t="shared" si="6"/>
        <v>53</v>
      </c>
      <c r="AG54" s="1170">
        <f t="shared" si="6"/>
        <v>49</v>
      </c>
      <c r="AH54" s="1171">
        <f t="shared" si="6"/>
        <v>49</v>
      </c>
      <c r="AI54" s="1170">
        <f t="shared" si="6"/>
        <v>58</v>
      </c>
      <c r="AJ54" s="1170">
        <f t="shared" si="6"/>
        <v>55</v>
      </c>
      <c r="AK54" s="1171">
        <f t="shared" si="6"/>
        <v>66</v>
      </c>
      <c r="AL54" s="1170">
        <f t="shared" si="6"/>
        <v>47</v>
      </c>
      <c r="AM54" s="1170">
        <f t="shared" si="6"/>
        <v>46</v>
      </c>
      <c r="AN54" s="1171">
        <f t="shared" si="6"/>
        <v>74</v>
      </c>
      <c r="AO54" s="1170">
        <f t="shared" si="6"/>
        <v>51</v>
      </c>
      <c r="AP54" s="1170">
        <f t="shared" si="6"/>
        <v>50</v>
      </c>
      <c r="AQ54" s="1171">
        <f t="shared" si="6"/>
        <v>87</v>
      </c>
      <c r="AR54" s="1170">
        <f t="shared" si="6"/>
        <v>84</v>
      </c>
      <c r="AS54" s="1170">
        <f t="shared" si="6"/>
        <v>83</v>
      </c>
      <c r="AT54" s="1171">
        <f t="shared" si="6"/>
        <v>79</v>
      </c>
      <c r="AU54" s="1170">
        <f>SUM(AU52:AU53)</f>
        <v>75</v>
      </c>
      <c r="AV54" s="1170">
        <f>SUM(AV52:AV53)</f>
        <v>73</v>
      </c>
      <c r="AW54" s="1171">
        <f>SUM(AW52:AW53)</f>
        <v>74</v>
      </c>
    </row>
    <row r="55" spans="1:49" ht="15" customHeight="1" x14ac:dyDescent="0.25">
      <c r="A55" s="6328"/>
      <c r="B55" s="6311" t="s">
        <v>9</v>
      </c>
      <c r="C55" s="5145" t="s">
        <v>521</v>
      </c>
      <c r="D55" s="4522" t="s">
        <v>412</v>
      </c>
      <c r="E55" s="1178"/>
      <c r="F55" s="1179"/>
      <c r="G55" s="1179"/>
      <c r="H55" s="1178"/>
      <c r="I55" s="1179"/>
      <c r="J55" s="1179"/>
      <c r="K55" s="1178"/>
      <c r="L55" s="1179"/>
      <c r="M55" s="1180"/>
      <c r="N55" s="1179"/>
      <c r="O55" s="1179"/>
      <c r="P55" s="1180"/>
      <c r="Q55" s="1179"/>
      <c r="R55" s="1179"/>
      <c r="S55" s="1180"/>
      <c r="T55" s="1179"/>
      <c r="U55" s="1179"/>
      <c r="V55" s="1180"/>
      <c r="W55" s="1179"/>
      <c r="X55" s="1179"/>
      <c r="Y55" s="1180"/>
      <c r="Z55" s="1179"/>
      <c r="AA55" s="1179"/>
      <c r="AB55" s="1180"/>
      <c r="AC55" s="1179"/>
      <c r="AD55" s="1179"/>
      <c r="AE55" s="1180"/>
      <c r="AF55" s="1179"/>
      <c r="AG55" s="1179"/>
      <c r="AH55" s="1180">
        <v>12</v>
      </c>
      <c r="AI55" s="1179">
        <v>12</v>
      </c>
      <c r="AJ55" s="1179">
        <v>11</v>
      </c>
      <c r="AK55" s="1180">
        <v>22</v>
      </c>
      <c r="AL55" s="1179">
        <v>20</v>
      </c>
      <c r="AM55" s="1179">
        <v>21</v>
      </c>
      <c r="AN55" s="1180">
        <v>32</v>
      </c>
      <c r="AO55" s="1179">
        <v>32</v>
      </c>
      <c r="AP55" s="1179">
        <v>32</v>
      </c>
      <c r="AQ55" s="1180">
        <v>41</v>
      </c>
      <c r="AR55" s="1179">
        <v>39</v>
      </c>
      <c r="AS55" s="1179">
        <v>39</v>
      </c>
      <c r="AT55" s="1180">
        <v>58</v>
      </c>
      <c r="AU55" s="1179">
        <v>40</v>
      </c>
      <c r="AV55" s="1179">
        <v>39</v>
      </c>
      <c r="AW55" s="1180">
        <v>61</v>
      </c>
    </row>
    <row r="56" spans="1:49" ht="15" customHeight="1" x14ac:dyDescent="0.2">
      <c r="A56" s="6328"/>
      <c r="B56" s="6189"/>
      <c r="C56" s="5153"/>
      <c r="D56" s="4538" t="s">
        <v>160</v>
      </c>
      <c r="E56" s="1169"/>
      <c r="F56" s="1170"/>
      <c r="G56" s="1170"/>
      <c r="H56" s="1169"/>
      <c r="I56" s="1170"/>
      <c r="J56" s="1170"/>
      <c r="K56" s="1169"/>
      <c r="L56" s="1170"/>
      <c r="M56" s="1171"/>
      <c r="N56" s="1170"/>
      <c r="O56" s="1170"/>
      <c r="P56" s="1171"/>
      <c r="Q56" s="1170"/>
      <c r="R56" s="1170"/>
      <c r="S56" s="1171"/>
      <c r="T56" s="1170"/>
      <c r="U56" s="1170"/>
      <c r="V56" s="1171"/>
      <c r="W56" s="1170"/>
      <c r="X56" s="1170"/>
      <c r="Y56" s="1171"/>
      <c r="Z56" s="1170"/>
      <c r="AA56" s="1170"/>
      <c r="AB56" s="1171"/>
      <c r="AC56" s="1170"/>
      <c r="AD56" s="1170"/>
      <c r="AE56" s="1171"/>
      <c r="AF56" s="1170"/>
      <c r="AG56" s="1170"/>
      <c r="AH56" s="1171">
        <f>SUM(AH55)</f>
        <v>12</v>
      </c>
      <c r="AI56" s="1170">
        <f>+AI55</f>
        <v>12</v>
      </c>
      <c r="AJ56" s="1170">
        <f>+AJ55</f>
        <v>11</v>
      </c>
      <c r="AK56" s="1171">
        <f>SUM(AK55)</f>
        <v>22</v>
      </c>
      <c r="AL56" s="1170">
        <f>+AL55</f>
        <v>20</v>
      </c>
      <c r="AM56" s="1170">
        <f>+AM55</f>
        <v>21</v>
      </c>
      <c r="AN56" s="1171">
        <f>SUM(AN55)</f>
        <v>32</v>
      </c>
      <c r="AO56" s="1170">
        <f>+AO55</f>
        <v>32</v>
      </c>
      <c r="AP56" s="1170">
        <f>+AP55</f>
        <v>32</v>
      </c>
      <c r="AQ56" s="1171">
        <f>SUM(AQ55)</f>
        <v>41</v>
      </c>
      <c r="AR56" s="1170">
        <f>+AR55</f>
        <v>39</v>
      </c>
      <c r="AS56" s="1170">
        <f>+AS55</f>
        <v>39</v>
      </c>
      <c r="AT56" s="1171">
        <f>SUM(AT55)</f>
        <v>58</v>
      </c>
      <c r="AU56" s="1170">
        <f>+AU55</f>
        <v>40</v>
      </c>
      <c r="AV56" s="1170">
        <f>+AV55</f>
        <v>39</v>
      </c>
      <c r="AW56" s="1171">
        <f>SUM(AW55)</f>
        <v>61</v>
      </c>
    </row>
    <row r="57" spans="1:49" ht="15" customHeight="1" x14ac:dyDescent="0.25">
      <c r="A57" s="6328"/>
      <c r="B57" s="6311" t="s">
        <v>74</v>
      </c>
      <c r="C57" s="4519" t="s">
        <v>522</v>
      </c>
      <c r="D57" s="4531" t="s">
        <v>434</v>
      </c>
      <c r="E57" s="1175"/>
      <c r="F57" s="1176"/>
      <c r="G57" s="1176"/>
      <c r="H57" s="1175"/>
      <c r="I57" s="1176"/>
      <c r="J57" s="1176"/>
      <c r="K57" s="1175"/>
      <c r="L57" s="1176"/>
      <c r="M57" s="1177"/>
      <c r="N57" s="1176"/>
      <c r="O57" s="1176"/>
      <c r="P57" s="1177"/>
      <c r="Q57" s="1176"/>
      <c r="R57" s="1176"/>
      <c r="S57" s="1177"/>
      <c r="T57" s="1176"/>
      <c r="U57" s="1176"/>
      <c r="V57" s="1177"/>
      <c r="W57" s="1176"/>
      <c r="X57" s="1176"/>
      <c r="Y57" s="1177"/>
      <c r="Z57" s="1176"/>
      <c r="AA57" s="1176"/>
      <c r="AB57" s="1177"/>
      <c r="AC57" s="1176"/>
      <c r="AD57" s="1176"/>
      <c r="AE57" s="1177"/>
      <c r="AF57" s="1176"/>
      <c r="AG57" s="1176">
        <v>2</v>
      </c>
      <c r="AH57" s="1177">
        <v>3</v>
      </c>
      <c r="AI57" s="1176">
        <v>4</v>
      </c>
      <c r="AJ57" s="1176">
        <v>2</v>
      </c>
      <c r="AK57" s="1177">
        <v>1</v>
      </c>
      <c r="AL57" s="1176">
        <v>3</v>
      </c>
      <c r="AM57" s="1176">
        <v>3</v>
      </c>
      <c r="AN57" s="1177">
        <v>2</v>
      </c>
      <c r="AO57" s="1176">
        <v>3</v>
      </c>
      <c r="AP57" s="1176">
        <v>5</v>
      </c>
      <c r="AQ57" s="1177">
        <v>8</v>
      </c>
      <c r="AR57" s="1176">
        <v>6</v>
      </c>
      <c r="AS57" s="1176">
        <v>6</v>
      </c>
      <c r="AT57" s="1177">
        <v>5</v>
      </c>
      <c r="AU57" s="1176">
        <v>5</v>
      </c>
      <c r="AV57" s="1176">
        <v>4</v>
      </c>
      <c r="AW57" s="1177">
        <v>2</v>
      </c>
    </row>
    <row r="58" spans="1:49" ht="15" customHeight="1" x14ac:dyDescent="0.25">
      <c r="A58" s="6328"/>
      <c r="B58" s="6190"/>
      <c r="C58" s="4519" t="s">
        <v>521</v>
      </c>
      <c r="D58" s="4525" t="s">
        <v>435</v>
      </c>
      <c r="E58" s="1167"/>
      <c r="F58" s="1072"/>
      <c r="G58" s="1072"/>
      <c r="H58" s="1167"/>
      <c r="I58" s="1072"/>
      <c r="J58" s="1072"/>
      <c r="K58" s="1167"/>
      <c r="L58" s="1072"/>
      <c r="M58" s="1168"/>
      <c r="N58" s="1072"/>
      <c r="O58" s="1072"/>
      <c r="P58" s="1168"/>
      <c r="Q58" s="1072"/>
      <c r="R58" s="1072"/>
      <c r="S58" s="1168"/>
      <c r="T58" s="1072"/>
      <c r="U58" s="1072"/>
      <c r="V58" s="1168"/>
      <c r="W58" s="1072"/>
      <c r="X58" s="1072"/>
      <c r="Y58" s="1168"/>
      <c r="Z58" s="1072"/>
      <c r="AA58" s="1072"/>
      <c r="AB58" s="1168"/>
      <c r="AC58" s="1072"/>
      <c r="AD58" s="1072"/>
      <c r="AE58" s="1168"/>
      <c r="AF58" s="1072"/>
      <c r="AG58" s="1072"/>
      <c r="AH58" s="1168">
        <v>9</v>
      </c>
      <c r="AI58" s="1072">
        <v>9</v>
      </c>
      <c r="AJ58" s="1072">
        <v>8</v>
      </c>
      <c r="AK58" s="1168">
        <v>21</v>
      </c>
      <c r="AL58" s="1072">
        <v>22</v>
      </c>
      <c r="AM58" s="1072">
        <v>20</v>
      </c>
      <c r="AN58" s="1168">
        <v>31</v>
      </c>
      <c r="AO58" s="1072">
        <v>25</v>
      </c>
      <c r="AP58" s="1072">
        <v>25</v>
      </c>
      <c r="AQ58" s="1168">
        <v>34</v>
      </c>
      <c r="AR58" s="1072">
        <v>30</v>
      </c>
      <c r="AS58" s="1072">
        <v>26</v>
      </c>
      <c r="AT58" s="1168">
        <v>34</v>
      </c>
      <c r="AU58" s="1072">
        <v>27</v>
      </c>
      <c r="AV58" s="1072">
        <v>31</v>
      </c>
      <c r="AW58" s="1168">
        <v>35</v>
      </c>
    </row>
    <row r="59" spans="1:49" ht="15" customHeight="1" x14ac:dyDescent="0.25">
      <c r="A59" s="6328"/>
      <c r="B59" s="6190"/>
      <c r="C59" s="6308" t="s">
        <v>520</v>
      </c>
      <c r="D59" s="4522" t="s">
        <v>436</v>
      </c>
      <c r="E59" s="1164"/>
      <c r="F59" s="1165"/>
      <c r="G59" s="1165"/>
      <c r="H59" s="1164"/>
      <c r="I59" s="1165"/>
      <c r="J59" s="1165"/>
      <c r="K59" s="1164"/>
      <c r="L59" s="1165"/>
      <c r="M59" s="1166"/>
      <c r="N59" s="1165"/>
      <c r="O59" s="1165"/>
      <c r="P59" s="1166"/>
      <c r="Q59" s="1165"/>
      <c r="R59" s="1165"/>
      <c r="S59" s="1166"/>
      <c r="T59" s="1165"/>
      <c r="U59" s="1165"/>
      <c r="V59" s="1166"/>
      <c r="W59" s="1165"/>
      <c r="X59" s="1165"/>
      <c r="Y59" s="1166"/>
      <c r="Z59" s="1165"/>
      <c r="AA59" s="1165"/>
      <c r="AB59" s="1166"/>
      <c r="AC59" s="1165"/>
      <c r="AD59" s="1165"/>
      <c r="AE59" s="1166"/>
      <c r="AF59" s="1165"/>
      <c r="AG59" s="1165">
        <v>2</v>
      </c>
      <c r="AH59" s="1166">
        <v>7</v>
      </c>
      <c r="AI59" s="1165">
        <v>9</v>
      </c>
      <c r="AJ59" s="1165">
        <v>11</v>
      </c>
      <c r="AK59" s="1166">
        <v>13</v>
      </c>
      <c r="AL59" s="1165">
        <v>15</v>
      </c>
      <c r="AM59" s="1165">
        <v>19</v>
      </c>
      <c r="AN59" s="1166">
        <v>21</v>
      </c>
      <c r="AO59" s="1165">
        <v>24</v>
      </c>
      <c r="AP59" s="1165">
        <v>26</v>
      </c>
      <c r="AQ59" s="1166">
        <v>31</v>
      </c>
      <c r="AR59" s="1072">
        <v>30</v>
      </c>
      <c r="AS59" s="1072">
        <v>33</v>
      </c>
      <c r="AT59" s="1168">
        <v>32</v>
      </c>
      <c r="AU59" s="1072">
        <v>27</v>
      </c>
      <c r="AV59" s="1072">
        <v>35</v>
      </c>
      <c r="AW59" s="1168">
        <v>35</v>
      </c>
    </row>
    <row r="60" spans="1:49" ht="15" customHeight="1" x14ac:dyDescent="0.25">
      <c r="A60" s="6328"/>
      <c r="B60" s="6190"/>
      <c r="C60" s="6310"/>
      <c r="D60" s="4522" t="s">
        <v>359</v>
      </c>
      <c r="E60" s="1178"/>
      <c r="F60" s="1179"/>
      <c r="G60" s="1179"/>
      <c r="H60" s="1178"/>
      <c r="I60" s="1179"/>
      <c r="J60" s="1179"/>
      <c r="K60" s="1178"/>
      <c r="L60" s="1179"/>
      <c r="M60" s="1180"/>
      <c r="N60" s="1179"/>
      <c r="O60" s="1179"/>
      <c r="P60" s="1180"/>
      <c r="Q60" s="1179"/>
      <c r="R60" s="1179"/>
      <c r="S60" s="1180"/>
      <c r="T60" s="1179"/>
      <c r="U60" s="1179"/>
      <c r="V60" s="1180"/>
      <c r="W60" s="1179"/>
      <c r="X60" s="1179"/>
      <c r="Y60" s="1180"/>
      <c r="Z60" s="1179"/>
      <c r="AA60" s="1179"/>
      <c r="AB60" s="1180"/>
      <c r="AC60" s="1179"/>
      <c r="AD60" s="1179"/>
      <c r="AE60" s="1180"/>
      <c r="AF60" s="1179"/>
      <c r="AG60" s="1179"/>
      <c r="AH60" s="1180"/>
      <c r="AI60" s="1179"/>
      <c r="AJ60" s="1179"/>
      <c r="AK60" s="1180"/>
      <c r="AL60" s="1179"/>
      <c r="AM60" s="1179"/>
      <c r="AN60" s="1180"/>
      <c r="AO60" s="1179"/>
      <c r="AP60" s="1179"/>
      <c r="AQ60" s="1180"/>
      <c r="AR60" s="1179"/>
      <c r="AS60" s="1179"/>
      <c r="AT60" s="1180">
        <v>2</v>
      </c>
      <c r="AU60" s="1179">
        <v>2</v>
      </c>
      <c r="AV60" s="1179">
        <v>2</v>
      </c>
      <c r="AW60" s="1180">
        <v>2</v>
      </c>
    </row>
    <row r="61" spans="1:49" ht="15" customHeight="1" x14ac:dyDescent="0.2">
      <c r="A61" s="6328"/>
      <c r="B61" s="6189"/>
      <c r="C61" s="5153"/>
      <c r="D61" s="4538" t="s">
        <v>160</v>
      </c>
      <c r="E61" s="1169"/>
      <c r="F61" s="1170"/>
      <c r="G61" s="1170"/>
      <c r="H61" s="1169"/>
      <c r="I61" s="1170"/>
      <c r="J61" s="1170"/>
      <c r="K61" s="1169"/>
      <c r="L61" s="1170"/>
      <c r="M61" s="1171"/>
      <c r="N61" s="1170"/>
      <c r="O61" s="1170"/>
      <c r="P61" s="1171"/>
      <c r="Q61" s="1170"/>
      <c r="R61" s="1170"/>
      <c r="S61" s="1171"/>
      <c r="T61" s="1170"/>
      <c r="U61" s="1170"/>
      <c r="V61" s="1171"/>
      <c r="W61" s="1170"/>
      <c r="X61" s="1170"/>
      <c r="Y61" s="1171"/>
      <c r="Z61" s="1170"/>
      <c r="AA61" s="1170"/>
      <c r="AB61" s="1171"/>
      <c r="AC61" s="1170"/>
      <c r="AD61" s="1170"/>
      <c r="AE61" s="1171"/>
      <c r="AF61" s="1170"/>
      <c r="AG61" s="1170">
        <f t="shared" ref="AG61:AN61" si="7">SUM(AG57:AG59)</f>
        <v>4</v>
      </c>
      <c r="AH61" s="1171">
        <f t="shared" si="7"/>
        <v>19</v>
      </c>
      <c r="AI61" s="1170">
        <f t="shared" si="7"/>
        <v>22</v>
      </c>
      <c r="AJ61" s="1170">
        <f t="shared" si="7"/>
        <v>21</v>
      </c>
      <c r="AK61" s="1171">
        <f t="shared" si="7"/>
        <v>35</v>
      </c>
      <c r="AL61" s="1170">
        <f t="shared" si="7"/>
        <v>40</v>
      </c>
      <c r="AM61" s="1170">
        <f t="shared" si="7"/>
        <v>42</v>
      </c>
      <c r="AN61" s="1171">
        <f t="shared" si="7"/>
        <v>54</v>
      </c>
      <c r="AO61" s="1170">
        <f>SUM(AO57:AO59)</f>
        <v>52</v>
      </c>
      <c r="AP61" s="1170">
        <f>SUM(AP57:AP59)</f>
        <v>56</v>
      </c>
      <c r="AQ61" s="1171">
        <f>SUM(AQ57:AQ59)</f>
        <v>73</v>
      </c>
      <c r="AR61" s="1170">
        <f t="shared" ref="AR61:AW61" si="8">SUM(AR57:AR60)</f>
        <v>66</v>
      </c>
      <c r="AS61" s="1170">
        <f t="shared" si="8"/>
        <v>65</v>
      </c>
      <c r="AT61" s="1171">
        <f t="shared" si="8"/>
        <v>73</v>
      </c>
      <c r="AU61" s="1170">
        <f t="shared" si="8"/>
        <v>61</v>
      </c>
      <c r="AV61" s="1170">
        <f t="shared" si="8"/>
        <v>72</v>
      </c>
      <c r="AW61" s="1171">
        <f t="shared" si="8"/>
        <v>74</v>
      </c>
    </row>
    <row r="62" spans="1:49" ht="15" customHeight="1" x14ac:dyDescent="0.2">
      <c r="A62" s="6329"/>
      <c r="B62" s="4694"/>
      <c r="C62" s="4694"/>
      <c r="D62" s="4713" t="s">
        <v>444</v>
      </c>
      <c r="E62" s="4712"/>
      <c r="F62" s="4714"/>
      <c r="G62" s="4714"/>
      <c r="H62" s="4712"/>
      <c r="I62" s="4714"/>
      <c r="J62" s="4714"/>
      <c r="K62" s="4712"/>
      <c r="L62" s="4714"/>
      <c r="M62" s="4715"/>
      <c r="N62" s="4714"/>
      <c r="O62" s="4714"/>
      <c r="P62" s="4715"/>
      <c r="Q62" s="4714"/>
      <c r="R62" s="4714"/>
      <c r="S62" s="4715"/>
      <c r="T62" s="4714"/>
      <c r="U62" s="4714"/>
      <c r="V62" s="4715"/>
      <c r="W62" s="4714"/>
      <c r="X62" s="4714"/>
      <c r="Y62" s="4715"/>
      <c r="Z62" s="4714"/>
      <c r="AA62" s="4714"/>
      <c r="AB62" s="4715"/>
      <c r="AC62" s="4716">
        <f>SUM(AC54,AC56,AC61)</f>
        <v>32</v>
      </c>
      <c r="AD62" s="4716">
        <f t="shared" ref="AD62:AT62" si="9">SUM(AD54,AD56,AD61)</f>
        <v>31</v>
      </c>
      <c r="AE62" s="4717">
        <f t="shared" si="9"/>
        <v>30</v>
      </c>
      <c r="AF62" s="4716">
        <f t="shared" si="9"/>
        <v>53</v>
      </c>
      <c r="AG62" s="4716">
        <f t="shared" si="9"/>
        <v>53</v>
      </c>
      <c r="AH62" s="4717">
        <f t="shared" si="9"/>
        <v>80</v>
      </c>
      <c r="AI62" s="4716">
        <f t="shared" si="9"/>
        <v>92</v>
      </c>
      <c r="AJ62" s="4716">
        <f t="shared" si="9"/>
        <v>87</v>
      </c>
      <c r="AK62" s="4717">
        <f t="shared" si="9"/>
        <v>123</v>
      </c>
      <c r="AL62" s="4716">
        <f t="shared" si="9"/>
        <v>107</v>
      </c>
      <c r="AM62" s="4716">
        <f t="shared" si="9"/>
        <v>109</v>
      </c>
      <c r="AN62" s="4717">
        <f t="shared" si="9"/>
        <v>160</v>
      </c>
      <c r="AO62" s="4716">
        <f t="shared" si="9"/>
        <v>135</v>
      </c>
      <c r="AP62" s="4716">
        <f t="shared" si="9"/>
        <v>138</v>
      </c>
      <c r="AQ62" s="4717">
        <f t="shared" si="9"/>
        <v>201</v>
      </c>
      <c r="AR62" s="4716">
        <f t="shared" si="9"/>
        <v>189</v>
      </c>
      <c r="AS62" s="4716">
        <f t="shared" si="9"/>
        <v>187</v>
      </c>
      <c r="AT62" s="4717">
        <f t="shared" si="9"/>
        <v>210</v>
      </c>
      <c r="AU62" s="4716">
        <f>SUM(AU54,AU56,AU61)</f>
        <v>176</v>
      </c>
      <c r="AV62" s="4716">
        <f>SUM(AV54,AV56,AV61)</f>
        <v>184</v>
      </c>
      <c r="AW62" s="4717">
        <f>SUM(AW54,AW56,AW61)</f>
        <v>209</v>
      </c>
    </row>
    <row r="63" spans="1:49" ht="15" customHeight="1" x14ac:dyDescent="0.25">
      <c r="A63" s="6321" t="s">
        <v>75</v>
      </c>
      <c r="B63" s="6324" t="s">
        <v>5</v>
      </c>
      <c r="C63" s="4519" t="s">
        <v>522</v>
      </c>
      <c r="D63" s="4531" t="s">
        <v>1462</v>
      </c>
      <c r="E63" s="1175"/>
      <c r="F63" s="1176"/>
      <c r="G63" s="1176"/>
      <c r="H63" s="1175"/>
      <c r="I63" s="1176"/>
      <c r="J63" s="1176"/>
      <c r="K63" s="1175"/>
      <c r="L63" s="1176"/>
      <c r="M63" s="1177"/>
      <c r="N63" s="1176"/>
      <c r="O63" s="1176"/>
      <c r="P63" s="1177"/>
      <c r="Q63" s="1176"/>
      <c r="R63" s="1176"/>
      <c r="S63" s="1177"/>
      <c r="T63" s="1176"/>
      <c r="U63" s="1176"/>
      <c r="V63" s="1177"/>
      <c r="W63" s="1176"/>
      <c r="X63" s="1176"/>
      <c r="Y63" s="1177"/>
      <c r="Z63" s="1176"/>
      <c r="AA63" s="1176"/>
      <c r="AB63" s="1177"/>
      <c r="AC63" s="1176"/>
      <c r="AD63" s="1176"/>
      <c r="AE63" s="1177"/>
      <c r="AF63" s="1176"/>
      <c r="AG63" s="1176"/>
      <c r="AH63" s="1177"/>
      <c r="AI63" s="1176"/>
      <c r="AJ63" s="1176"/>
      <c r="AK63" s="1177"/>
      <c r="AL63" s="1176"/>
      <c r="AM63" s="1176"/>
      <c r="AN63" s="1177"/>
      <c r="AO63" s="1176"/>
      <c r="AP63" s="1176"/>
      <c r="AQ63" s="1177"/>
      <c r="AR63" s="1175"/>
      <c r="AS63" s="1176">
        <v>1</v>
      </c>
      <c r="AT63" s="1177">
        <v>2</v>
      </c>
      <c r="AU63" s="1175">
        <v>2</v>
      </c>
      <c r="AV63" s="1176">
        <v>4</v>
      </c>
      <c r="AW63" s="1177">
        <v>4</v>
      </c>
    </row>
    <row r="64" spans="1:49" ht="15" customHeight="1" x14ac:dyDescent="0.25">
      <c r="A64" s="6322"/>
      <c r="B64" s="6325"/>
      <c r="C64" s="6317" t="s">
        <v>521</v>
      </c>
      <c r="D64" s="4524" t="s">
        <v>370</v>
      </c>
      <c r="E64" s="1181">
        <v>6</v>
      </c>
      <c r="F64" s="1182">
        <v>3</v>
      </c>
      <c r="G64" s="1182">
        <v>3</v>
      </c>
      <c r="H64" s="1181">
        <v>2</v>
      </c>
      <c r="I64" s="1182">
        <v>3</v>
      </c>
      <c r="J64" s="1182">
        <v>2</v>
      </c>
      <c r="K64" s="1181">
        <v>3</v>
      </c>
      <c r="L64" s="1182">
        <v>3</v>
      </c>
      <c r="M64" s="1183">
        <v>3</v>
      </c>
      <c r="N64" s="1182">
        <v>3</v>
      </c>
      <c r="O64" s="1182">
        <v>4</v>
      </c>
      <c r="P64" s="1183">
        <v>8</v>
      </c>
      <c r="Q64" s="1182">
        <v>16</v>
      </c>
      <c r="R64" s="1182">
        <v>10</v>
      </c>
      <c r="S64" s="1183">
        <v>13</v>
      </c>
      <c r="T64" s="1182">
        <v>9</v>
      </c>
      <c r="U64" s="1182">
        <v>12</v>
      </c>
      <c r="V64" s="1183">
        <v>11</v>
      </c>
      <c r="W64" s="1182">
        <v>9</v>
      </c>
      <c r="X64" s="1182">
        <v>9</v>
      </c>
      <c r="Y64" s="1183">
        <v>7</v>
      </c>
      <c r="Z64" s="1182">
        <v>9</v>
      </c>
      <c r="AA64" s="1182">
        <v>11</v>
      </c>
      <c r="AB64" s="1183">
        <v>13</v>
      </c>
      <c r="AC64" s="1182">
        <v>18</v>
      </c>
      <c r="AD64" s="1182">
        <v>18</v>
      </c>
      <c r="AE64" s="1183">
        <v>18</v>
      </c>
      <c r="AF64" s="1182">
        <v>23</v>
      </c>
      <c r="AG64" s="1182">
        <v>21</v>
      </c>
      <c r="AH64" s="1183">
        <v>26</v>
      </c>
      <c r="AI64" s="1182">
        <v>29</v>
      </c>
      <c r="AJ64" s="1182">
        <v>31</v>
      </c>
      <c r="AK64" s="1183">
        <v>29</v>
      </c>
      <c r="AL64" s="1182">
        <v>27</v>
      </c>
      <c r="AM64" s="1182">
        <v>28</v>
      </c>
      <c r="AN64" s="1183">
        <v>33</v>
      </c>
      <c r="AO64" s="1182">
        <v>31</v>
      </c>
      <c r="AP64" s="1182">
        <v>37</v>
      </c>
      <c r="AQ64" s="1183">
        <v>38</v>
      </c>
      <c r="AR64" s="1181">
        <v>37</v>
      </c>
      <c r="AS64" s="1182">
        <v>43</v>
      </c>
      <c r="AT64" s="1183">
        <v>48</v>
      </c>
      <c r="AU64" s="1181">
        <v>50</v>
      </c>
      <c r="AV64" s="1182">
        <v>54</v>
      </c>
      <c r="AW64" s="1183">
        <v>55</v>
      </c>
    </row>
    <row r="65" spans="1:49" ht="15" customHeight="1" x14ac:dyDescent="0.25">
      <c r="A65" s="6322"/>
      <c r="B65" s="6325"/>
      <c r="C65" s="6174"/>
      <c r="D65" s="4525" t="s">
        <v>380</v>
      </c>
      <c r="E65" s="1161">
        <v>10</v>
      </c>
      <c r="F65" s="1162">
        <v>10</v>
      </c>
      <c r="G65" s="1162">
        <v>12</v>
      </c>
      <c r="H65" s="1161">
        <v>10</v>
      </c>
      <c r="I65" s="1162">
        <v>12</v>
      </c>
      <c r="J65" s="1162">
        <v>22</v>
      </c>
      <c r="K65" s="1161">
        <v>27</v>
      </c>
      <c r="L65" s="1162">
        <v>34</v>
      </c>
      <c r="M65" s="1163">
        <v>44</v>
      </c>
      <c r="N65" s="1162">
        <v>42</v>
      </c>
      <c r="O65" s="1162">
        <v>47</v>
      </c>
      <c r="P65" s="1163">
        <v>53</v>
      </c>
      <c r="Q65" s="1162">
        <v>59</v>
      </c>
      <c r="R65" s="1162">
        <v>51</v>
      </c>
      <c r="S65" s="1163">
        <v>46</v>
      </c>
      <c r="T65" s="1162">
        <v>47</v>
      </c>
      <c r="U65" s="1162">
        <v>47</v>
      </c>
      <c r="V65" s="1163">
        <v>55</v>
      </c>
      <c r="W65" s="1162">
        <v>47</v>
      </c>
      <c r="X65" s="1162">
        <v>41</v>
      </c>
      <c r="Y65" s="1163">
        <v>46</v>
      </c>
      <c r="Z65" s="1162">
        <v>39</v>
      </c>
      <c r="AA65" s="1162">
        <v>36</v>
      </c>
      <c r="AB65" s="1163">
        <v>43</v>
      </c>
      <c r="AC65" s="1162">
        <v>64</v>
      </c>
      <c r="AD65" s="1162">
        <v>71</v>
      </c>
      <c r="AE65" s="1163">
        <v>90</v>
      </c>
      <c r="AF65" s="1162">
        <v>86</v>
      </c>
      <c r="AG65" s="1162">
        <v>74</v>
      </c>
      <c r="AH65" s="1163">
        <v>77</v>
      </c>
      <c r="AI65" s="1162">
        <v>75</v>
      </c>
      <c r="AJ65" s="1162">
        <v>80</v>
      </c>
      <c r="AK65" s="1163">
        <v>88</v>
      </c>
      <c r="AL65" s="1162">
        <v>79</v>
      </c>
      <c r="AM65" s="1162">
        <v>75</v>
      </c>
      <c r="AN65" s="1163">
        <v>89</v>
      </c>
      <c r="AO65" s="1162">
        <v>77</v>
      </c>
      <c r="AP65" s="1162">
        <v>78</v>
      </c>
      <c r="AQ65" s="1163">
        <v>82</v>
      </c>
      <c r="AR65" s="1161">
        <v>70</v>
      </c>
      <c r="AS65" s="1162">
        <v>69</v>
      </c>
      <c r="AT65" s="1163">
        <v>67</v>
      </c>
      <c r="AU65" s="1161">
        <v>56</v>
      </c>
      <c r="AV65" s="1162">
        <v>50</v>
      </c>
      <c r="AW65" s="1163">
        <v>63</v>
      </c>
    </row>
    <row r="66" spans="1:49" ht="15" customHeight="1" x14ac:dyDescent="0.25">
      <c r="A66" s="6322"/>
      <c r="B66" s="6325"/>
      <c r="C66" s="6174"/>
      <c r="D66" s="4525" t="s">
        <v>378</v>
      </c>
      <c r="E66" s="1161">
        <v>8</v>
      </c>
      <c r="F66" s="1162">
        <v>9</v>
      </c>
      <c r="G66" s="1162">
        <v>11</v>
      </c>
      <c r="H66" s="1161">
        <v>11</v>
      </c>
      <c r="I66" s="1162">
        <v>11</v>
      </c>
      <c r="J66" s="1162">
        <v>15</v>
      </c>
      <c r="K66" s="1161">
        <v>14</v>
      </c>
      <c r="L66" s="1162">
        <v>10</v>
      </c>
      <c r="M66" s="1163">
        <v>12</v>
      </c>
      <c r="N66" s="1162">
        <v>10</v>
      </c>
      <c r="O66" s="1162">
        <v>10</v>
      </c>
      <c r="P66" s="1163">
        <v>14</v>
      </c>
      <c r="Q66" s="1162">
        <v>44</v>
      </c>
      <c r="R66" s="1162">
        <v>11</v>
      </c>
      <c r="S66" s="1163">
        <v>11</v>
      </c>
      <c r="T66" s="1162">
        <v>11</v>
      </c>
      <c r="U66" s="1162">
        <v>9</v>
      </c>
      <c r="V66" s="1163">
        <v>14</v>
      </c>
      <c r="W66" s="1162">
        <v>13</v>
      </c>
      <c r="X66" s="1162">
        <v>9</v>
      </c>
      <c r="Y66" s="1163">
        <v>12</v>
      </c>
      <c r="Z66" s="1162">
        <v>12</v>
      </c>
      <c r="AA66" s="1162">
        <v>11</v>
      </c>
      <c r="AB66" s="1163">
        <v>13</v>
      </c>
      <c r="AC66" s="1162">
        <v>56</v>
      </c>
      <c r="AD66" s="1162">
        <v>47</v>
      </c>
      <c r="AE66" s="1163">
        <v>54</v>
      </c>
      <c r="AF66" s="1162">
        <v>58</v>
      </c>
      <c r="AG66" s="1162">
        <v>60</v>
      </c>
      <c r="AH66" s="1163">
        <v>62</v>
      </c>
      <c r="AI66" s="1162">
        <v>57</v>
      </c>
      <c r="AJ66" s="1162">
        <v>64</v>
      </c>
      <c r="AK66" s="1163">
        <v>59</v>
      </c>
      <c r="AL66" s="1162">
        <v>59</v>
      </c>
      <c r="AM66" s="1162">
        <v>52</v>
      </c>
      <c r="AN66" s="1163">
        <v>55</v>
      </c>
      <c r="AO66" s="1162">
        <v>48</v>
      </c>
      <c r="AP66" s="1162">
        <v>51</v>
      </c>
      <c r="AQ66" s="1163">
        <v>56</v>
      </c>
      <c r="AR66" s="1161">
        <v>55</v>
      </c>
      <c r="AS66" s="1162">
        <v>47</v>
      </c>
      <c r="AT66" s="1163">
        <v>48</v>
      </c>
      <c r="AU66" s="1161">
        <v>56</v>
      </c>
      <c r="AV66" s="1162">
        <v>54</v>
      </c>
      <c r="AW66" s="1163">
        <v>39</v>
      </c>
    </row>
    <row r="67" spans="1:49" ht="15" customHeight="1" x14ac:dyDescent="0.25">
      <c r="A67" s="6322"/>
      <c r="B67" s="6325"/>
      <c r="C67" s="6174"/>
      <c r="D67" s="4525" t="s">
        <v>376</v>
      </c>
      <c r="E67" s="1161">
        <v>20</v>
      </c>
      <c r="F67" s="1162">
        <v>18</v>
      </c>
      <c r="G67" s="1162">
        <v>25</v>
      </c>
      <c r="H67" s="1161">
        <v>20</v>
      </c>
      <c r="I67" s="1162">
        <v>17</v>
      </c>
      <c r="J67" s="1162">
        <v>20</v>
      </c>
      <c r="K67" s="1161">
        <v>18</v>
      </c>
      <c r="L67" s="1162">
        <v>15</v>
      </c>
      <c r="M67" s="1163">
        <v>17</v>
      </c>
      <c r="N67" s="1162">
        <v>15</v>
      </c>
      <c r="O67" s="1162">
        <v>13</v>
      </c>
      <c r="P67" s="1163">
        <v>20</v>
      </c>
      <c r="Q67" s="1162">
        <v>22</v>
      </c>
      <c r="R67" s="1162">
        <v>15</v>
      </c>
      <c r="S67" s="1163">
        <v>17</v>
      </c>
      <c r="T67" s="1162">
        <v>15</v>
      </c>
      <c r="U67" s="1162">
        <v>14</v>
      </c>
      <c r="V67" s="1163">
        <v>20</v>
      </c>
      <c r="W67" s="1162">
        <v>17</v>
      </c>
      <c r="X67" s="1162">
        <v>17</v>
      </c>
      <c r="Y67" s="1163">
        <v>29</v>
      </c>
      <c r="Z67" s="1162">
        <v>29</v>
      </c>
      <c r="AA67" s="1162">
        <v>28</v>
      </c>
      <c r="AB67" s="1163">
        <v>30</v>
      </c>
      <c r="AC67" s="1162">
        <v>33</v>
      </c>
      <c r="AD67" s="1162">
        <v>30</v>
      </c>
      <c r="AE67" s="1163">
        <v>33</v>
      </c>
      <c r="AF67" s="1162">
        <v>32</v>
      </c>
      <c r="AG67" s="1162">
        <v>27</v>
      </c>
      <c r="AH67" s="1163">
        <v>30</v>
      </c>
      <c r="AI67" s="1162">
        <v>29</v>
      </c>
      <c r="AJ67" s="1162">
        <v>23</v>
      </c>
      <c r="AK67" s="1163">
        <v>30</v>
      </c>
      <c r="AL67" s="1162">
        <v>26</v>
      </c>
      <c r="AM67" s="1162">
        <v>22</v>
      </c>
      <c r="AN67" s="1163">
        <v>30</v>
      </c>
      <c r="AO67" s="1162">
        <v>26</v>
      </c>
      <c r="AP67" s="1162">
        <v>27</v>
      </c>
      <c r="AQ67" s="1163">
        <v>34</v>
      </c>
      <c r="AR67" s="1161">
        <v>30</v>
      </c>
      <c r="AS67" s="1162">
        <v>27</v>
      </c>
      <c r="AT67" s="1163">
        <v>35</v>
      </c>
      <c r="AU67" s="1161">
        <v>30</v>
      </c>
      <c r="AV67" s="1162">
        <v>30</v>
      </c>
      <c r="AW67" s="1163">
        <v>31</v>
      </c>
    </row>
    <row r="68" spans="1:49" ht="15" customHeight="1" x14ac:dyDescent="0.25">
      <c r="A68" s="6322"/>
      <c r="B68" s="6325"/>
      <c r="C68" s="6174"/>
      <c r="D68" s="4525" t="s">
        <v>374</v>
      </c>
      <c r="E68" s="1161">
        <v>8</v>
      </c>
      <c r="F68" s="1162">
        <v>11</v>
      </c>
      <c r="G68" s="1162">
        <v>21</v>
      </c>
      <c r="H68" s="1161">
        <v>24</v>
      </c>
      <c r="I68" s="1162">
        <v>25</v>
      </c>
      <c r="J68" s="1162">
        <v>28</v>
      </c>
      <c r="K68" s="1161">
        <v>32</v>
      </c>
      <c r="L68" s="1162">
        <v>35</v>
      </c>
      <c r="M68" s="1163">
        <v>41</v>
      </c>
      <c r="N68" s="1162">
        <v>43</v>
      </c>
      <c r="O68" s="1162">
        <v>45</v>
      </c>
      <c r="P68" s="1163">
        <v>47</v>
      </c>
      <c r="Q68" s="1162">
        <v>50</v>
      </c>
      <c r="R68" s="1162">
        <v>48</v>
      </c>
      <c r="S68" s="1163">
        <v>50</v>
      </c>
      <c r="T68" s="1162">
        <v>55</v>
      </c>
      <c r="U68" s="1162">
        <v>42</v>
      </c>
      <c r="V68" s="1163">
        <v>37</v>
      </c>
      <c r="W68" s="1162">
        <v>36</v>
      </c>
      <c r="X68" s="1162">
        <v>37</v>
      </c>
      <c r="Y68" s="1163">
        <v>40</v>
      </c>
      <c r="Z68" s="1162">
        <v>39</v>
      </c>
      <c r="AA68" s="1162">
        <v>38</v>
      </c>
      <c r="AB68" s="1163">
        <v>39</v>
      </c>
      <c r="AC68" s="1162">
        <v>48</v>
      </c>
      <c r="AD68" s="1162">
        <v>46</v>
      </c>
      <c r="AE68" s="1163">
        <v>46</v>
      </c>
      <c r="AF68" s="1162">
        <v>44</v>
      </c>
      <c r="AG68" s="1162">
        <v>47</v>
      </c>
      <c r="AH68" s="1163">
        <v>46</v>
      </c>
      <c r="AI68" s="1162">
        <v>42</v>
      </c>
      <c r="AJ68" s="1162">
        <v>44</v>
      </c>
      <c r="AK68" s="1163">
        <v>39</v>
      </c>
      <c r="AL68" s="1162">
        <v>33</v>
      </c>
      <c r="AM68" s="1162">
        <v>27</v>
      </c>
      <c r="AN68" s="1163">
        <v>28</v>
      </c>
      <c r="AO68" s="1162">
        <v>26</v>
      </c>
      <c r="AP68" s="1162">
        <v>26</v>
      </c>
      <c r="AQ68" s="1163">
        <v>30</v>
      </c>
      <c r="AR68" s="1161">
        <v>28</v>
      </c>
      <c r="AS68" s="1162">
        <v>27</v>
      </c>
      <c r="AT68" s="1163">
        <v>28</v>
      </c>
      <c r="AU68" s="1161">
        <v>28</v>
      </c>
      <c r="AV68" s="1162">
        <v>31</v>
      </c>
      <c r="AW68" s="1163">
        <v>29</v>
      </c>
    </row>
    <row r="69" spans="1:49" ht="15" customHeight="1" x14ac:dyDescent="0.25">
      <c r="A69" s="6322"/>
      <c r="B69" s="6325"/>
      <c r="C69" s="6174"/>
      <c r="D69" s="4525" t="s">
        <v>68</v>
      </c>
      <c r="E69" s="1161"/>
      <c r="F69" s="1162"/>
      <c r="G69" s="1162"/>
      <c r="H69" s="1161"/>
      <c r="I69" s="1162"/>
      <c r="J69" s="1162"/>
      <c r="K69" s="1161"/>
      <c r="L69" s="1162"/>
      <c r="M69" s="1163">
        <v>11</v>
      </c>
      <c r="N69" s="1162">
        <v>9</v>
      </c>
      <c r="O69" s="1162">
        <v>9</v>
      </c>
      <c r="P69" s="1163">
        <v>20</v>
      </c>
      <c r="Q69" s="1162">
        <v>17</v>
      </c>
      <c r="R69" s="1162">
        <v>16</v>
      </c>
      <c r="S69" s="1163">
        <v>18</v>
      </c>
      <c r="T69" s="1162">
        <v>14</v>
      </c>
      <c r="U69" s="1162">
        <v>14</v>
      </c>
      <c r="V69" s="1163">
        <v>27</v>
      </c>
      <c r="W69" s="1162">
        <v>21</v>
      </c>
      <c r="X69" s="1162">
        <v>21</v>
      </c>
      <c r="Y69" s="1163">
        <v>32</v>
      </c>
      <c r="Z69" s="1162">
        <v>30</v>
      </c>
      <c r="AA69" s="1162">
        <v>30</v>
      </c>
      <c r="AB69" s="1163">
        <v>43</v>
      </c>
      <c r="AC69" s="1162">
        <v>41</v>
      </c>
      <c r="AD69" s="1162">
        <v>37</v>
      </c>
      <c r="AE69" s="1163">
        <v>46</v>
      </c>
      <c r="AF69" s="1162">
        <v>41</v>
      </c>
      <c r="AG69" s="1162">
        <v>41</v>
      </c>
      <c r="AH69" s="1163">
        <v>54</v>
      </c>
      <c r="AI69" s="1162">
        <v>52</v>
      </c>
      <c r="AJ69" s="1162">
        <v>52</v>
      </c>
      <c r="AK69" s="1163">
        <v>51</v>
      </c>
      <c r="AL69" s="1162">
        <v>45</v>
      </c>
      <c r="AM69" s="1162">
        <v>40</v>
      </c>
      <c r="AN69" s="1163">
        <v>51</v>
      </c>
      <c r="AO69" s="1162">
        <v>36</v>
      </c>
      <c r="AP69" s="1162">
        <v>36</v>
      </c>
      <c r="AQ69" s="1163">
        <v>47</v>
      </c>
      <c r="AR69" s="1161">
        <v>38</v>
      </c>
      <c r="AS69" s="1162">
        <v>38</v>
      </c>
      <c r="AT69" s="1163">
        <v>38</v>
      </c>
      <c r="AU69" s="1161">
        <v>36</v>
      </c>
      <c r="AV69" s="1162">
        <v>34</v>
      </c>
      <c r="AW69" s="1163">
        <v>39</v>
      </c>
    </row>
    <row r="70" spans="1:49" ht="15" customHeight="1" x14ac:dyDescent="0.25">
      <c r="A70" s="6322"/>
      <c r="B70" s="6325"/>
      <c r="C70" s="6175"/>
      <c r="D70" s="4525" t="s">
        <v>580</v>
      </c>
      <c r="E70" s="1161"/>
      <c r="F70" s="1162"/>
      <c r="G70" s="1162"/>
      <c r="H70" s="1161"/>
      <c r="I70" s="1162"/>
      <c r="J70" s="1162"/>
      <c r="K70" s="1161"/>
      <c r="L70" s="1162"/>
      <c r="M70" s="1163"/>
      <c r="N70" s="1162"/>
      <c r="O70" s="1162"/>
      <c r="P70" s="1163"/>
      <c r="Q70" s="1162"/>
      <c r="R70" s="1162"/>
      <c r="S70" s="1163"/>
      <c r="T70" s="1162"/>
      <c r="U70" s="1162"/>
      <c r="V70" s="1163"/>
      <c r="W70" s="1162"/>
      <c r="X70" s="1162"/>
      <c r="Y70" s="1163"/>
      <c r="Z70" s="1162"/>
      <c r="AA70" s="1162"/>
      <c r="AB70" s="1163"/>
      <c r="AC70" s="1162"/>
      <c r="AD70" s="1162"/>
      <c r="AE70" s="1163"/>
      <c r="AF70" s="1162"/>
      <c r="AG70" s="1162"/>
      <c r="AH70" s="1163"/>
      <c r="AI70" s="1162">
        <v>25</v>
      </c>
      <c r="AJ70" s="1162">
        <v>21</v>
      </c>
      <c r="AK70" s="1163">
        <v>21</v>
      </c>
      <c r="AL70" s="1162">
        <v>33</v>
      </c>
      <c r="AM70" s="1162">
        <v>31</v>
      </c>
      <c r="AN70" s="1163">
        <v>30</v>
      </c>
      <c r="AO70" s="1162">
        <v>45</v>
      </c>
      <c r="AP70" s="1162">
        <v>47</v>
      </c>
      <c r="AQ70" s="1163">
        <v>40</v>
      </c>
      <c r="AR70" s="1161">
        <v>66</v>
      </c>
      <c r="AS70" s="1162">
        <v>58</v>
      </c>
      <c r="AT70" s="1163">
        <v>57</v>
      </c>
      <c r="AU70" s="1161">
        <v>65</v>
      </c>
      <c r="AV70" s="1162">
        <v>64</v>
      </c>
      <c r="AW70" s="1163">
        <v>51</v>
      </c>
    </row>
    <row r="71" spans="1:49" ht="15" customHeight="1" x14ac:dyDescent="0.25">
      <c r="A71" s="6322"/>
      <c r="B71" s="6325"/>
      <c r="C71" s="6173" t="s">
        <v>520</v>
      </c>
      <c r="D71" s="4525" t="s">
        <v>371</v>
      </c>
      <c r="E71" s="1161">
        <v>32</v>
      </c>
      <c r="F71" s="1162">
        <v>32</v>
      </c>
      <c r="G71" s="1162">
        <v>31</v>
      </c>
      <c r="H71" s="1161">
        <v>30</v>
      </c>
      <c r="I71" s="1162">
        <v>27</v>
      </c>
      <c r="J71" s="1162">
        <v>31</v>
      </c>
      <c r="K71" s="1161">
        <v>31</v>
      </c>
      <c r="L71" s="1162">
        <v>31</v>
      </c>
      <c r="M71" s="1163">
        <v>32</v>
      </c>
      <c r="N71" s="1162">
        <v>34</v>
      </c>
      <c r="O71" s="1162">
        <v>33</v>
      </c>
      <c r="P71" s="1163">
        <v>33</v>
      </c>
      <c r="Q71" s="1162">
        <v>25</v>
      </c>
      <c r="R71" s="1162">
        <v>31</v>
      </c>
      <c r="S71" s="1163">
        <v>32</v>
      </c>
      <c r="T71" s="1162">
        <v>33</v>
      </c>
      <c r="U71" s="1162">
        <v>31</v>
      </c>
      <c r="V71" s="1163">
        <v>31</v>
      </c>
      <c r="W71" s="1162">
        <v>35</v>
      </c>
      <c r="X71" s="1162">
        <v>31</v>
      </c>
      <c r="Y71" s="1163">
        <v>30</v>
      </c>
      <c r="Z71" s="1162">
        <v>26</v>
      </c>
      <c r="AA71" s="1162">
        <v>21</v>
      </c>
      <c r="AB71" s="1163">
        <v>25</v>
      </c>
      <c r="AC71" s="1162">
        <v>26</v>
      </c>
      <c r="AD71" s="1162">
        <v>19</v>
      </c>
      <c r="AE71" s="1163">
        <v>21</v>
      </c>
      <c r="AF71" s="1162">
        <v>19</v>
      </c>
      <c r="AG71" s="1162">
        <v>20</v>
      </c>
      <c r="AH71" s="1163">
        <v>18</v>
      </c>
      <c r="AI71" s="1162">
        <v>19</v>
      </c>
      <c r="AJ71" s="1162">
        <v>20</v>
      </c>
      <c r="AK71" s="1163">
        <v>21</v>
      </c>
      <c r="AL71" s="1162">
        <v>19</v>
      </c>
      <c r="AM71" s="1162">
        <v>18</v>
      </c>
      <c r="AN71" s="1163">
        <v>20</v>
      </c>
      <c r="AO71" s="1162">
        <v>23</v>
      </c>
      <c r="AP71" s="1162">
        <v>24</v>
      </c>
      <c r="AQ71" s="1163">
        <v>24</v>
      </c>
      <c r="AR71" s="1161">
        <v>24</v>
      </c>
      <c r="AS71" s="1162">
        <v>22</v>
      </c>
      <c r="AT71" s="1163">
        <v>22</v>
      </c>
      <c r="AU71" s="1161">
        <v>23</v>
      </c>
      <c r="AV71" s="1162">
        <v>24</v>
      </c>
      <c r="AW71" s="1163">
        <v>25</v>
      </c>
    </row>
    <row r="72" spans="1:49" ht="15" customHeight="1" x14ac:dyDescent="0.25">
      <c r="A72" s="6322"/>
      <c r="B72" s="6325"/>
      <c r="C72" s="6174"/>
      <c r="D72" s="4525" t="s">
        <v>379</v>
      </c>
      <c r="E72" s="1161">
        <v>17</v>
      </c>
      <c r="F72" s="1162">
        <v>18</v>
      </c>
      <c r="G72" s="1162">
        <v>19</v>
      </c>
      <c r="H72" s="1161">
        <v>22</v>
      </c>
      <c r="I72" s="1162">
        <v>25</v>
      </c>
      <c r="J72" s="1162">
        <v>26</v>
      </c>
      <c r="K72" s="1161">
        <v>25</v>
      </c>
      <c r="L72" s="1162">
        <v>28</v>
      </c>
      <c r="M72" s="1163">
        <v>28</v>
      </c>
      <c r="N72" s="1162">
        <v>29</v>
      </c>
      <c r="O72" s="1162">
        <v>30</v>
      </c>
      <c r="P72" s="1163">
        <v>30</v>
      </c>
      <c r="Q72" s="1162">
        <v>22</v>
      </c>
      <c r="R72" s="1162">
        <v>31</v>
      </c>
      <c r="S72" s="1163">
        <v>32</v>
      </c>
      <c r="T72" s="1162">
        <v>34</v>
      </c>
      <c r="U72" s="1162">
        <v>36</v>
      </c>
      <c r="V72" s="1163">
        <v>36</v>
      </c>
      <c r="W72" s="1162">
        <v>36</v>
      </c>
      <c r="X72" s="1162">
        <v>37</v>
      </c>
      <c r="Y72" s="1163">
        <v>40</v>
      </c>
      <c r="Z72" s="1162">
        <v>46</v>
      </c>
      <c r="AA72" s="1162">
        <v>46</v>
      </c>
      <c r="AB72" s="1163">
        <v>45</v>
      </c>
      <c r="AC72" s="1162">
        <v>50</v>
      </c>
      <c r="AD72" s="1162">
        <v>38</v>
      </c>
      <c r="AE72" s="1163">
        <v>51</v>
      </c>
      <c r="AF72" s="1162">
        <v>52</v>
      </c>
      <c r="AG72" s="1162">
        <v>50</v>
      </c>
      <c r="AH72" s="1163">
        <v>38</v>
      </c>
      <c r="AI72" s="1162">
        <v>52</v>
      </c>
      <c r="AJ72" s="1162">
        <v>54</v>
      </c>
      <c r="AK72" s="1163">
        <v>54</v>
      </c>
      <c r="AL72" s="1162">
        <v>52</v>
      </c>
      <c r="AM72" s="1162">
        <v>52</v>
      </c>
      <c r="AN72" s="1163">
        <v>54</v>
      </c>
      <c r="AO72" s="1162">
        <v>51</v>
      </c>
      <c r="AP72" s="1162">
        <v>55</v>
      </c>
      <c r="AQ72" s="1163">
        <v>59</v>
      </c>
      <c r="AR72" s="1161">
        <v>55</v>
      </c>
      <c r="AS72" s="1162">
        <v>51</v>
      </c>
      <c r="AT72" s="1163">
        <v>50</v>
      </c>
      <c r="AU72" s="1161">
        <v>50</v>
      </c>
      <c r="AV72" s="1162">
        <v>50</v>
      </c>
      <c r="AW72" s="1163">
        <v>46</v>
      </c>
    </row>
    <row r="73" spans="1:49" ht="15" customHeight="1" x14ac:dyDescent="0.25">
      <c r="A73" s="6322"/>
      <c r="B73" s="6325"/>
      <c r="C73" s="6174"/>
      <c r="D73" s="4525" t="s">
        <v>377</v>
      </c>
      <c r="E73" s="1161">
        <v>71</v>
      </c>
      <c r="F73" s="1162">
        <v>76</v>
      </c>
      <c r="G73" s="1162">
        <v>73</v>
      </c>
      <c r="H73" s="1161">
        <v>78</v>
      </c>
      <c r="I73" s="1162">
        <v>84</v>
      </c>
      <c r="J73" s="1162">
        <v>84</v>
      </c>
      <c r="K73" s="1161">
        <v>88</v>
      </c>
      <c r="L73" s="1162">
        <v>92</v>
      </c>
      <c r="M73" s="1163">
        <v>93</v>
      </c>
      <c r="N73" s="1162">
        <v>95</v>
      </c>
      <c r="O73" s="1162">
        <v>89</v>
      </c>
      <c r="P73" s="1163">
        <v>88</v>
      </c>
      <c r="Q73" s="1162">
        <v>65</v>
      </c>
      <c r="R73" s="1162">
        <v>85</v>
      </c>
      <c r="S73" s="1163">
        <v>80</v>
      </c>
      <c r="T73" s="1162">
        <v>75</v>
      </c>
      <c r="U73" s="1162">
        <v>69</v>
      </c>
      <c r="V73" s="1163">
        <v>74</v>
      </c>
      <c r="W73" s="1162">
        <v>72</v>
      </c>
      <c r="X73" s="1162">
        <v>72</v>
      </c>
      <c r="Y73" s="1163">
        <v>72</v>
      </c>
      <c r="Z73" s="1162">
        <v>80</v>
      </c>
      <c r="AA73" s="1162">
        <v>83</v>
      </c>
      <c r="AB73" s="1163">
        <v>87</v>
      </c>
      <c r="AC73" s="1162">
        <v>86</v>
      </c>
      <c r="AD73" s="1162">
        <v>70</v>
      </c>
      <c r="AE73" s="1163">
        <v>79</v>
      </c>
      <c r="AF73" s="1162">
        <v>80</v>
      </c>
      <c r="AG73" s="1162">
        <v>76</v>
      </c>
      <c r="AH73" s="1163">
        <v>40</v>
      </c>
      <c r="AI73" s="1162">
        <v>88</v>
      </c>
      <c r="AJ73" s="1162">
        <v>91</v>
      </c>
      <c r="AK73" s="1163">
        <v>92</v>
      </c>
      <c r="AL73" s="1162">
        <v>92</v>
      </c>
      <c r="AM73" s="1162">
        <v>87</v>
      </c>
      <c r="AN73" s="1163">
        <v>88</v>
      </c>
      <c r="AO73" s="1162">
        <v>83</v>
      </c>
      <c r="AP73" s="1162">
        <v>78</v>
      </c>
      <c r="AQ73" s="1163">
        <v>78</v>
      </c>
      <c r="AR73" s="1161">
        <v>68</v>
      </c>
      <c r="AS73" s="1162">
        <v>60</v>
      </c>
      <c r="AT73" s="1163">
        <v>60</v>
      </c>
      <c r="AU73" s="1161">
        <v>52</v>
      </c>
      <c r="AV73" s="1162">
        <v>48</v>
      </c>
      <c r="AW73" s="1163">
        <v>47</v>
      </c>
    </row>
    <row r="74" spans="1:49" ht="15" customHeight="1" x14ac:dyDescent="0.25">
      <c r="A74" s="6322"/>
      <c r="B74" s="6325"/>
      <c r="C74" s="6174"/>
      <c r="D74" s="4525" t="s">
        <v>375</v>
      </c>
      <c r="E74" s="1161">
        <v>49</v>
      </c>
      <c r="F74" s="1162">
        <v>46</v>
      </c>
      <c r="G74" s="1162">
        <v>53</v>
      </c>
      <c r="H74" s="1161">
        <v>51</v>
      </c>
      <c r="I74" s="1162">
        <v>50</v>
      </c>
      <c r="J74" s="1162">
        <v>56</v>
      </c>
      <c r="K74" s="1161">
        <v>55</v>
      </c>
      <c r="L74" s="1162">
        <v>53</v>
      </c>
      <c r="M74" s="1163">
        <v>50</v>
      </c>
      <c r="N74" s="1162">
        <v>50</v>
      </c>
      <c r="O74" s="1162">
        <v>50</v>
      </c>
      <c r="P74" s="1163">
        <v>51</v>
      </c>
      <c r="Q74" s="1162">
        <v>48</v>
      </c>
      <c r="R74" s="1162">
        <v>50</v>
      </c>
      <c r="S74" s="1163">
        <v>44</v>
      </c>
      <c r="T74" s="1162">
        <v>43</v>
      </c>
      <c r="U74" s="1162">
        <v>40</v>
      </c>
      <c r="V74" s="1163">
        <v>37</v>
      </c>
      <c r="W74" s="1162">
        <v>34</v>
      </c>
      <c r="X74" s="1162">
        <v>33</v>
      </c>
      <c r="Y74" s="1163">
        <v>35</v>
      </c>
      <c r="Z74" s="1162">
        <v>30</v>
      </c>
      <c r="AA74" s="1162">
        <v>27</v>
      </c>
      <c r="AB74" s="1163">
        <v>28</v>
      </c>
      <c r="AC74" s="1162">
        <v>30</v>
      </c>
      <c r="AD74" s="1162">
        <v>28</v>
      </c>
      <c r="AE74" s="1163">
        <v>37</v>
      </c>
      <c r="AF74" s="1162">
        <v>36</v>
      </c>
      <c r="AG74" s="1162">
        <v>36</v>
      </c>
      <c r="AH74" s="1163">
        <v>37</v>
      </c>
      <c r="AI74" s="1162">
        <v>37</v>
      </c>
      <c r="AJ74" s="1162">
        <v>39</v>
      </c>
      <c r="AK74" s="1163">
        <v>37</v>
      </c>
      <c r="AL74" s="1162">
        <v>33</v>
      </c>
      <c r="AM74" s="1162">
        <v>33</v>
      </c>
      <c r="AN74" s="1163">
        <v>36</v>
      </c>
      <c r="AO74" s="1162">
        <v>32</v>
      </c>
      <c r="AP74" s="1162">
        <v>37</v>
      </c>
      <c r="AQ74" s="1163">
        <v>38</v>
      </c>
      <c r="AR74" s="1161">
        <v>37</v>
      </c>
      <c r="AS74" s="1162">
        <v>37</v>
      </c>
      <c r="AT74" s="1163">
        <v>30</v>
      </c>
      <c r="AU74" s="1161">
        <v>30</v>
      </c>
      <c r="AV74" s="1162">
        <v>29</v>
      </c>
      <c r="AW74" s="1163">
        <v>33</v>
      </c>
    </row>
    <row r="75" spans="1:49" ht="15" customHeight="1" x14ac:dyDescent="0.25">
      <c r="A75" s="6322"/>
      <c r="B75" s="6325"/>
      <c r="C75" s="6174"/>
      <c r="D75" s="4525" t="s">
        <v>373</v>
      </c>
      <c r="E75" s="1161">
        <v>15</v>
      </c>
      <c r="F75" s="1162">
        <v>16</v>
      </c>
      <c r="G75" s="1162">
        <v>12</v>
      </c>
      <c r="H75" s="1161">
        <v>10</v>
      </c>
      <c r="I75" s="1162">
        <v>11</v>
      </c>
      <c r="J75" s="1162">
        <v>11</v>
      </c>
      <c r="K75" s="1161">
        <v>10</v>
      </c>
      <c r="L75" s="1162">
        <v>12</v>
      </c>
      <c r="M75" s="1163">
        <v>13</v>
      </c>
      <c r="N75" s="1162">
        <v>14</v>
      </c>
      <c r="O75" s="1162">
        <v>13</v>
      </c>
      <c r="P75" s="1163">
        <v>15</v>
      </c>
      <c r="Q75" s="1162">
        <v>11</v>
      </c>
      <c r="R75" s="1162">
        <v>11</v>
      </c>
      <c r="S75" s="1163">
        <v>13</v>
      </c>
      <c r="T75" s="1162">
        <v>15</v>
      </c>
      <c r="U75" s="1162">
        <v>12</v>
      </c>
      <c r="V75" s="1163">
        <v>14</v>
      </c>
      <c r="W75" s="1162">
        <v>13</v>
      </c>
      <c r="X75" s="1162">
        <v>14</v>
      </c>
      <c r="Y75" s="1163">
        <v>15</v>
      </c>
      <c r="Z75" s="1162">
        <v>18</v>
      </c>
      <c r="AA75" s="1162">
        <v>16</v>
      </c>
      <c r="AB75" s="1163">
        <v>17</v>
      </c>
      <c r="AC75" s="1162">
        <v>17</v>
      </c>
      <c r="AD75" s="1162">
        <v>14</v>
      </c>
      <c r="AE75" s="1163">
        <v>17</v>
      </c>
      <c r="AF75" s="1162">
        <v>17</v>
      </c>
      <c r="AG75" s="1162">
        <v>18</v>
      </c>
      <c r="AH75" s="1163">
        <v>17</v>
      </c>
      <c r="AI75" s="1162">
        <v>22</v>
      </c>
      <c r="AJ75" s="1162">
        <v>24</v>
      </c>
      <c r="AK75" s="1163">
        <v>25</v>
      </c>
      <c r="AL75" s="1162">
        <v>25</v>
      </c>
      <c r="AM75" s="1162">
        <v>28</v>
      </c>
      <c r="AN75" s="1163">
        <v>27</v>
      </c>
      <c r="AO75" s="1162">
        <v>28</v>
      </c>
      <c r="AP75" s="1162">
        <v>29</v>
      </c>
      <c r="AQ75" s="1163">
        <v>30</v>
      </c>
      <c r="AR75" s="1161">
        <v>29</v>
      </c>
      <c r="AS75" s="1162">
        <v>27</v>
      </c>
      <c r="AT75" s="1163">
        <v>24</v>
      </c>
      <c r="AU75" s="1161">
        <v>25</v>
      </c>
      <c r="AV75" s="1162">
        <v>24</v>
      </c>
      <c r="AW75" s="1163">
        <v>22</v>
      </c>
    </row>
    <row r="76" spans="1:49" ht="15" customHeight="1" x14ac:dyDescent="0.25">
      <c r="A76" s="6322"/>
      <c r="B76" s="6325"/>
      <c r="C76" s="6174"/>
      <c r="D76" s="4525" t="s">
        <v>372</v>
      </c>
      <c r="E76" s="1161"/>
      <c r="F76" s="1162"/>
      <c r="G76" s="1162"/>
      <c r="H76" s="1161"/>
      <c r="I76" s="1162"/>
      <c r="J76" s="1162"/>
      <c r="K76" s="1161"/>
      <c r="L76" s="1162"/>
      <c r="M76" s="1163"/>
      <c r="N76" s="1162"/>
      <c r="O76" s="1162"/>
      <c r="P76" s="1163"/>
      <c r="Q76" s="1162"/>
      <c r="R76" s="1162"/>
      <c r="S76" s="1163"/>
      <c r="T76" s="1162"/>
      <c r="U76" s="1162"/>
      <c r="V76" s="1163"/>
      <c r="W76" s="1162"/>
      <c r="X76" s="1162"/>
      <c r="Y76" s="1163"/>
      <c r="Z76" s="1162"/>
      <c r="AA76" s="1162"/>
      <c r="AB76" s="1163"/>
      <c r="AC76" s="1162">
        <v>2</v>
      </c>
      <c r="AD76" s="1162">
        <v>3</v>
      </c>
      <c r="AE76" s="1163">
        <v>6</v>
      </c>
      <c r="AF76" s="1162">
        <v>12</v>
      </c>
      <c r="AG76" s="1162">
        <v>14</v>
      </c>
      <c r="AH76" s="1163">
        <v>6</v>
      </c>
      <c r="AI76" s="1162">
        <v>19</v>
      </c>
      <c r="AJ76" s="1162">
        <v>20</v>
      </c>
      <c r="AK76" s="1163">
        <v>24</v>
      </c>
      <c r="AL76" s="1162">
        <v>26</v>
      </c>
      <c r="AM76" s="1162">
        <v>24</v>
      </c>
      <c r="AN76" s="1163">
        <v>27</v>
      </c>
      <c r="AO76" s="1162">
        <v>26</v>
      </c>
      <c r="AP76" s="1162">
        <v>28</v>
      </c>
      <c r="AQ76" s="1163">
        <v>29</v>
      </c>
      <c r="AR76" s="1161">
        <v>30</v>
      </c>
      <c r="AS76" s="1162">
        <v>28</v>
      </c>
      <c r="AT76" s="1163">
        <v>28</v>
      </c>
      <c r="AU76" s="1161">
        <v>27</v>
      </c>
      <c r="AV76" s="1162">
        <v>26</v>
      </c>
      <c r="AW76" s="1163">
        <v>23</v>
      </c>
    </row>
    <row r="77" spans="1:49" ht="15" customHeight="1" x14ac:dyDescent="0.25">
      <c r="A77" s="6322"/>
      <c r="B77" s="6325"/>
      <c r="C77" s="6174"/>
      <c r="D77" s="4525" t="s">
        <v>649</v>
      </c>
      <c r="E77" s="1161"/>
      <c r="F77" s="1162"/>
      <c r="G77" s="1162"/>
      <c r="H77" s="1161"/>
      <c r="I77" s="1162"/>
      <c r="J77" s="1162"/>
      <c r="K77" s="1161"/>
      <c r="L77" s="1162"/>
      <c r="M77" s="1163"/>
      <c r="N77" s="1162"/>
      <c r="O77" s="1162"/>
      <c r="P77" s="1163"/>
      <c r="Q77" s="1162"/>
      <c r="R77" s="1162"/>
      <c r="S77" s="1163"/>
      <c r="T77" s="1162"/>
      <c r="U77" s="1162"/>
      <c r="V77" s="1163"/>
      <c r="W77" s="1162"/>
      <c r="X77" s="1162"/>
      <c r="Y77" s="1163"/>
      <c r="Z77" s="1162"/>
      <c r="AA77" s="1162"/>
      <c r="AB77" s="1163"/>
      <c r="AC77" s="1162"/>
      <c r="AD77" s="1162"/>
      <c r="AE77" s="1163"/>
      <c r="AF77" s="1162"/>
      <c r="AG77" s="1162"/>
      <c r="AH77" s="1163"/>
      <c r="AI77" s="1162">
        <v>5</v>
      </c>
      <c r="AJ77" s="1162">
        <v>5</v>
      </c>
      <c r="AK77" s="1163">
        <v>5</v>
      </c>
      <c r="AL77" s="1162">
        <v>8</v>
      </c>
      <c r="AM77" s="1162">
        <v>7</v>
      </c>
      <c r="AN77" s="1163">
        <v>7</v>
      </c>
      <c r="AO77" s="1162">
        <v>8</v>
      </c>
      <c r="AP77" s="1162">
        <v>8</v>
      </c>
      <c r="AQ77" s="1163">
        <v>10</v>
      </c>
      <c r="AR77" s="1161">
        <v>14</v>
      </c>
      <c r="AS77" s="1162">
        <v>14</v>
      </c>
      <c r="AT77" s="1163">
        <v>14</v>
      </c>
      <c r="AU77" s="1161">
        <v>14</v>
      </c>
      <c r="AV77" s="1162">
        <v>15</v>
      </c>
      <c r="AW77" s="1163">
        <v>16</v>
      </c>
    </row>
    <row r="78" spans="1:49" ht="15" customHeight="1" x14ac:dyDescent="0.25">
      <c r="A78" s="6322"/>
      <c r="B78" s="6325"/>
      <c r="C78" s="6175"/>
      <c r="D78" s="4522" t="s">
        <v>404</v>
      </c>
      <c r="E78" s="1164">
        <v>43</v>
      </c>
      <c r="F78" s="1165">
        <v>33</v>
      </c>
      <c r="G78" s="1165">
        <v>30</v>
      </c>
      <c r="H78" s="1164">
        <v>23</v>
      </c>
      <c r="I78" s="1165">
        <v>11</v>
      </c>
      <c r="J78" s="1165">
        <v>4</v>
      </c>
      <c r="K78" s="1164">
        <v>3</v>
      </c>
      <c r="L78" s="1165">
        <v>1</v>
      </c>
      <c r="M78" s="1166">
        <v>1</v>
      </c>
      <c r="N78" s="1165">
        <v>1</v>
      </c>
      <c r="O78" s="1165">
        <v>1</v>
      </c>
      <c r="P78" s="1166"/>
      <c r="Q78" s="1165"/>
      <c r="R78" s="1165"/>
      <c r="S78" s="1166"/>
      <c r="T78" s="1165"/>
      <c r="U78" s="1165"/>
      <c r="V78" s="1166">
        <v>2</v>
      </c>
      <c r="W78" s="1165">
        <v>2</v>
      </c>
      <c r="X78" s="1165">
        <v>4</v>
      </c>
      <c r="Y78" s="1166">
        <v>7</v>
      </c>
      <c r="Z78" s="1165">
        <v>7</v>
      </c>
      <c r="AA78" s="1165">
        <v>6</v>
      </c>
      <c r="AB78" s="1166">
        <v>1</v>
      </c>
      <c r="AC78" s="1165"/>
      <c r="AD78" s="1165"/>
      <c r="AE78" s="1166"/>
      <c r="AF78" s="1165"/>
      <c r="AG78" s="1165"/>
      <c r="AH78" s="1166"/>
      <c r="AI78" s="1165"/>
      <c r="AJ78" s="1165"/>
      <c r="AK78" s="1166"/>
      <c r="AL78" s="1165"/>
      <c r="AM78" s="1165"/>
      <c r="AN78" s="1166"/>
      <c r="AO78" s="1165"/>
      <c r="AP78" s="1165"/>
      <c r="AQ78" s="1166"/>
      <c r="AR78" s="1164"/>
      <c r="AS78" s="1165"/>
      <c r="AT78" s="1166"/>
      <c r="AU78" s="1164"/>
      <c r="AV78" s="1165"/>
      <c r="AW78" s="1166"/>
    </row>
    <row r="79" spans="1:49" ht="15" customHeight="1" x14ac:dyDescent="0.2">
      <c r="A79" s="6322"/>
      <c r="B79" s="6196"/>
      <c r="C79" s="5153"/>
      <c r="D79" s="4538" t="s">
        <v>160</v>
      </c>
      <c r="E79" s="1169">
        <f t="shared" ref="E79:AK79" si="10">SUM(E64:E78)</f>
        <v>279</v>
      </c>
      <c r="F79" s="1170">
        <f t="shared" si="10"/>
        <v>272</v>
      </c>
      <c r="G79" s="1170">
        <f t="shared" si="10"/>
        <v>290</v>
      </c>
      <c r="H79" s="1169">
        <f t="shared" si="10"/>
        <v>281</v>
      </c>
      <c r="I79" s="1170">
        <f t="shared" si="10"/>
        <v>276</v>
      </c>
      <c r="J79" s="1170">
        <f t="shared" si="10"/>
        <v>299</v>
      </c>
      <c r="K79" s="1169">
        <f t="shared" si="10"/>
        <v>306</v>
      </c>
      <c r="L79" s="1170">
        <f t="shared" si="10"/>
        <v>314</v>
      </c>
      <c r="M79" s="1171">
        <f t="shared" si="10"/>
        <v>345</v>
      </c>
      <c r="N79" s="1170">
        <f t="shared" si="10"/>
        <v>345</v>
      </c>
      <c r="O79" s="1170">
        <f t="shared" si="10"/>
        <v>344</v>
      </c>
      <c r="P79" s="1171">
        <f t="shared" si="10"/>
        <v>379</v>
      </c>
      <c r="Q79" s="1170">
        <f t="shared" si="10"/>
        <v>379</v>
      </c>
      <c r="R79" s="1170">
        <f t="shared" si="10"/>
        <v>359</v>
      </c>
      <c r="S79" s="1171">
        <f t="shared" si="10"/>
        <v>356</v>
      </c>
      <c r="T79" s="1170">
        <f t="shared" si="10"/>
        <v>351</v>
      </c>
      <c r="U79" s="1170">
        <f t="shared" si="10"/>
        <v>326</v>
      </c>
      <c r="V79" s="1171">
        <f t="shared" si="10"/>
        <v>358</v>
      </c>
      <c r="W79" s="1170">
        <f t="shared" si="10"/>
        <v>335</v>
      </c>
      <c r="X79" s="1170">
        <f t="shared" si="10"/>
        <v>325</v>
      </c>
      <c r="Y79" s="1171">
        <f t="shared" si="10"/>
        <v>365</v>
      </c>
      <c r="Z79" s="1170">
        <f t="shared" si="10"/>
        <v>365</v>
      </c>
      <c r="AA79" s="1170">
        <f t="shared" si="10"/>
        <v>353</v>
      </c>
      <c r="AB79" s="1171">
        <f t="shared" si="10"/>
        <v>384</v>
      </c>
      <c r="AC79" s="1170">
        <f t="shared" si="10"/>
        <v>471</v>
      </c>
      <c r="AD79" s="1170">
        <f t="shared" si="10"/>
        <v>421</v>
      </c>
      <c r="AE79" s="1171">
        <f t="shared" si="10"/>
        <v>498</v>
      </c>
      <c r="AF79" s="1170">
        <f t="shared" si="10"/>
        <v>500</v>
      </c>
      <c r="AG79" s="1170">
        <f t="shared" si="10"/>
        <v>484</v>
      </c>
      <c r="AH79" s="1171">
        <f t="shared" si="10"/>
        <v>451</v>
      </c>
      <c r="AI79" s="1170">
        <f t="shared" si="10"/>
        <v>551</v>
      </c>
      <c r="AJ79" s="1170">
        <f t="shared" si="10"/>
        <v>568</v>
      </c>
      <c r="AK79" s="1171">
        <f t="shared" si="10"/>
        <v>575</v>
      </c>
      <c r="AL79" s="1170">
        <f t="shared" ref="AL79:AQ79" si="11">SUM(AL64:AL78)</f>
        <v>557</v>
      </c>
      <c r="AM79" s="1170">
        <f t="shared" si="11"/>
        <v>524</v>
      </c>
      <c r="AN79" s="1171">
        <f t="shared" si="11"/>
        <v>575</v>
      </c>
      <c r="AO79" s="1170">
        <f t="shared" si="11"/>
        <v>540</v>
      </c>
      <c r="AP79" s="1170">
        <f t="shared" si="11"/>
        <v>561</v>
      </c>
      <c r="AQ79" s="1171">
        <f t="shared" si="11"/>
        <v>595</v>
      </c>
      <c r="AR79" s="1169">
        <f t="shared" ref="AR79:AW79" si="12">SUM(AR63:AR78)</f>
        <v>581</v>
      </c>
      <c r="AS79" s="1170">
        <f t="shared" si="12"/>
        <v>549</v>
      </c>
      <c r="AT79" s="1171">
        <f t="shared" si="12"/>
        <v>551</v>
      </c>
      <c r="AU79" s="1169">
        <f t="shared" si="12"/>
        <v>544</v>
      </c>
      <c r="AV79" s="1170">
        <f t="shared" si="12"/>
        <v>537</v>
      </c>
      <c r="AW79" s="1171">
        <f t="shared" si="12"/>
        <v>523</v>
      </c>
    </row>
    <row r="80" spans="1:49" ht="15" customHeight="1" x14ac:dyDescent="0.25">
      <c r="A80" s="6322"/>
      <c r="B80" s="6194" t="s">
        <v>6</v>
      </c>
      <c r="C80" s="4519" t="s">
        <v>522</v>
      </c>
      <c r="D80" s="4526" t="s">
        <v>78</v>
      </c>
      <c r="E80" s="1158">
        <v>6</v>
      </c>
      <c r="F80" s="1159">
        <v>5</v>
      </c>
      <c r="G80" s="1159">
        <v>44</v>
      </c>
      <c r="H80" s="1158">
        <v>41</v>
      </c>
      <c r="I80" s="1159">
        <v>32</v>
      </c>
      <c r="J80" s="1159">
        <v>76</v>
      </c>
      <c r="K80" s="1158">
        <v>73</v>
      </c>
      <c r="L80" s="1159">
        <v>65</v>
      </c>
      <c r="M80" s="1160">
        <v>1</v>
      </c>
      <c r="N80" s="1159">
        <v>86</v>
      </c>
      <c r="O80" s="1159">
        <v>82</v>
      </c>
      <c r="P80" s="1160">
        <v>68</v>
      </c>
      <c r="Q80" s="1159">
        <v>90</v>
      </c>
      <c r="R80" s="1159">
        <v>81</v>
      </c>
      <c r="S80" s="1160">
        <v>100</v>
      </c>
      <c r="T80" s="1159">
        <v>102</v>
      </c>
      <c r="U80" s="1159">
        <v>89</v>
      </c>
      <c r="V80" s="1160">
        <v>85</v>
      </c>
      <c r="W80" s="1159"/>
      <c r="X80" s="1159">
        <v>99</v>
      </c>
      <c r="Y80" s="1160">
        <v>116</v>
      </c>
      <c r="Z80" s="1159">
        <v>67</v>
      </c>
      <c r="AA80" s="1159" t="s">
        <v>227</v>
      </c>
      <c r="AB80" s="1160">
        <v>104</v>
      </c>
      <c r="AC80" s="1159">
        <v>65</v>
      </c>
      <c r="AD80" s="1159">
        <v>62</v>
      </c>
      <c r="AE80" s="1160">
        <v>92</v>
      </c>
      <c r="AF80" s="1159">
        <v>81</v>
      </c>
      <c r="AG80" s="1159">
        <v>65</v>
      </c>
      <c r="AH80" s="1160">
        <v>3</v>
      </c>
      <c r="AI80" s="1159"/>
      <c r="AJ80" s="1159">
        <v>1</v>
      </c>
      <c r="AK80" s="1160">
        <v>37</v>
      </c>
      <c r="AL80" s="1159">
        <v>29</v>
      </c>
      <c r="AM80" s="1159">
        <v>27</v>
      </c>
      <c r="AN80" s="1160">
        <v>15</v>
      </c>
      <c r="AO80" s="1159">
        <v>49</v>
      </c>
      <c r="AP80" s="1159">
        <v>48</v>
      </c>
      <c r="AQ80" s="1160">
        <v>55</v>
      </c>
      <c r="AR80" s="1159">
        <v>22</v>
      </c>
      <c r="AS80" s="1159">
        <v>20</v>
      </c>
      <c r="AT80" s="1160">
        <v>12</v>
      </c>
      <c r="AU80" s="1159">
        <v>12</v>
      </c>
      <c r="AV80" s="1159">
        <v>73</v>
      </c>
      <c r="AW80" s="1160">
        <v>57</v>
      </c>
    </row>
    <row r="81" spans="1:49" ht="15" customHeight="1" x14ac:dyDescent="0.25">
      <c r="A81" s="6322"/>
      <c r="B81" s="6195"/>
      <c r="C81" s="6308" t="s">
        <v>521</v>
      </c>
      <c r="D81" s="4521" t="s">
        <v>80</v>
      </c>
      <c r="E81" s="1161">
        <v>7</v>
      </c>
      <c r="F81" s="1162">
        <v>8</v>
      </c>
      <c r="G81" s="1162">
        <v>7</v>
      </c>
      <c r="H81" s="1161">
        <v>6</v>
      </c>
      <c r="I81" s="1162">
        <v>5</v>
      </c>
      <c r="J81" s="1162">
        <v>5</v>
      </c>
      <c r="K81" s="1161">
        <v>6</v>
      </c>
      <c r="L81" s="1162">
        <v>4</v>
      </c>
      <c r="M81" s="1163">
        <v>7</v>
      </c>
      <c r="N81" s="1162">
        <v>6</v>
      </c>
      <c r="O81" s="1162">
        <v>7</v>
      </c>
      <c r="P81" s="1163">
        <v>8</v>
      </c>
      <c r="Q81" s="1162">
        <v>23</v>
      </c>
      <c r="R81" s="1162">
        <v>11</v>
      </c>
      <c r="S81" s="1163">
        <v>7</v>
      </c>
      <c r="T81" s="1162">
        <v>20</v>
      </c>
      <c r="U81" s="1162">
        <v>21</v>
      </c>
      <c r="V81" s="1163">
        <v>20</v>
      </c>
      <c r="W81" s="1162">
        <v>5</v>
      </c>
      <c r="X81" s="1162">
        <v>5</v>
      </c>
      <c r="Y81" s="1163">
        <v>2</v>
      </c>
      <c r="Z81" s="1162">
        <v>16</v>
      </c>
      <c r="AA81" s="1162">
        <v>16</v>
      </c>
      <c r="AB81" s="1163">
        <v>15</v>
      </c>
      <c r="AC81" s="1162">
        <v>17</v>
      </c>
      <c r="AD81" s="1162">
        <v>15</v>
      </c>
      <c r="AE81" s="1163">
        <v>4</v>
      </c>
      <c r="AF81" s="1162">
        <v>1</v>
      </c>
      <c r="AG81" s="1162">
        <v>2</v>
      </c>
      <c r="AH81" s="1163">
        <v>14</v>
      </c>
      <c r="AI81" s="1162">
        <v>14</v>
      </c>
      <c r="AJ81" s="1162">
        <v>14</v>
      </c>
      <c r="AK81" s="1163">
        <v>16</v>
      </c>
      <c r="AL81" s="1162">
        <v>16</v>
      </c>
      <c r="AM81" s="1162">
        <v>15</v>
      </c>
      <c r="AN81" s="1163">
        <v>1</v>
      </c>
      <c r="AO81" s="1162"/>
      <c r="AP81" s="1162"/>
      <c r="AQ81" s="1163">
        <v>15</v>
      </c>
      <c r="AR81" s="1162">
        <v>15</v>
      </c>
      <c r="AS81" s="1162">
        <v>15</v>
      </c>
      <c r="AT81" s="1163">
        <v>5</v>
      </c>
      <c r="AU81" s="1162"/>
      <c r="AV81" s="1162"/>
      <c r="AW81" s="1163">
        <v>12</v>
      </c>
    </row>
    <row r="82" spans="1:49" ht="15" customHeight="1" x14ac:dyDescent="0.25">
      <c r="A82" s="6322"/>
      <c r="B82" s="6195"/>
      <c r="C82" s="6309"/>
      <c r="D82" s="4521" t="s">
        <v>381</v>
      </c>
      <c r="E82" s="1161"/>
      <c r="F82" s="1162"/>
      <c r="G82" s="1162"/>
      <c r="H82" s="1161"/>
      <c r="I82" s="1162"/>
      <c r="J82" s="1162"/>
      <c r="K82" s="1161"/>
      <c r="L82" s="1162"/>
      <c r="M82" s="1163"/>
      <c r="N82" s="1162"/>
      <c r="O82" s="1162"/>
      <c r="P82" s="1163"/>
      <c r="Q82" s="1162"/>
      <c r="R82" s="1162"/>
      <c r="S82" s="1163"/>
      <c r="T82" s="1162"/>
      <c r="U82" s="1162"/>
      <c r="V82" s="1163"/>
      <c r="W82" s="1162"/>
      <c r="X82" s="1162"/>
      <c r="Y82" s="1163">
        <v>1</v>
      </c>
      <c r="Z82" s="1162">
        <v>1</v>
      </c>
      <c r="AA82" s="1162">
        <v>1</v>
      </c>
      <c r="AB82" s="1163">
        <v>1</v>
      </c>
      <c r="AC82" s="1162">
        <v>1</v>
      </c>
      <c r="AD82" s="1162">
        <v>1</v>
      </c>
      <c r="AE82" s="1163"/>
      <c r="AF82" s="1162"/>
      <c r="AG82" s="1162"/>
      <c r="AH82" s="1163"/>
      <c r="AI82" s="1162"/>
      <c r="AJ82" s="1162"/>
      <c r="AK82" s="1163"/>
      <c r="AL82" s="1162"/>
      <c r="AM82" s="1162"/>
      <c r="AN82" s="1163"/>
      <c r="AO82" s="1162"/>
      <c r="AP82" s="1162"/>
      <c r="AQ82" s="1163"/>
      <c r="AR82" s="1162"/>
      <c r="AS82" s="1162"/>
      <c r="AT82" s="1163"/>
      <c r="AU82" s="1162"/>
      <c r="AV82" s="1162"/>
      <c r="AW82" s="1163"/>
    </row>
    <row r="83" spans="1:49" ht="15" customHeight="1" x14ac:dyDescent="0.25">
      <c r="A83" s="6322"/>
      <c r="B83" s="6195"/>
      <c r="C83" s="6309"/>
      <c r="D83" s="4521" t="s">
        <v>405</v>
      </c>
      <c r="E83" s="1161"/>
      <c r="F83" s="1162"/>
      <c r="G83" s="1162"/>
      <c r="H83" s="1161"/>
      <c r="I83" s="1162"/>
      <c r="J83" s="1162"/>
      <c r="K83" s="1161"/>
      <c r="L83" s="1162"/>
      <c r="M83" s="1163"/>
      <c r="N83" s="1162"/>
      <c r="O83" s="1162"/>
      <c r="P83" s="1163"/>
      <c r="Q83" s="1162"/>
      <c r="R83" s="1162"/>
      <c r="S83" s="1163"/>
      <c r="T83" s="1162"/>
      <c r="U83" s="1162"/>
      <c r="V83" s="1163"/>
      <c r="W83" s="1162"/>
      <c r="X83" s="1162"/>
      <c r="Y83" s="1163">
        <v>1</v>
      </c>
      <c r="Z83" s="1162"/>
      <c r="AA83" s="1162"/>
      <c r="AB83" s="1163"/>
      <c r="AC83" s="1162"/>
      <c r="AD83" s="1162"/>
      <c r="AE83" s="1163"/>
      <c r="AF83" s="1162"/>
      <c r="AG83" s="1162"/>
      <c r="AH83" s="1163"/>
      <c r="AI83" s="1162"/>
      <c r="AJ83" s="1162"/>
      <c r="AK83" s="1163"/>
      <c r="AL83" s="1162"/>
      <c r="AM83" s="1162"/>
      <c r="AN83" s="1163"/>
      <c r="AO83" s="1162"/>
      <c r="AP83" s="1162"/>
      <c r="AQ83" s="1163"/>
      <c r="AR83" s="1162"/>
      <c r="AS83" s="1162"/>
      <c r="AT83" s="1163"/>
      <c r="AU83" s="1162"/>
      <c r="AV83" s="1162"/>
      <c r="AW83" s="1163"/>
    </row>
    <row r="84" spans="1:49" ht="15" customHeight="1" x14ac:dyDescent="0.25">
      <c r="A84" s="6322"/>
      <c r="B84" s="6195"/>
      <c r="C84" s="6309"/>
      <c r="D84" s="4521" t="s">
        <v>81</v>
      </c>
      <c r="E84" s="1161">
        <v>13</v>
      </c>
      <c r="F84" s="1162">
        <v>10</v>
      </c>
      <c r="G84" s="1162">
        <v>21</v>
      </c>
      <c r="H84" s="1161">
        <v>18</v>
      </c>
      <c r="I84" s="1162">
        <v>17</v>
      </c>
      <c r="J84" s="1162">
        <v>19</v>
      </c>
      <c r="K84" s="1161">
        <v>17</v>
      </c>
      <c r="L84" s="1162">
        <v>17</v>
      </c>
      <c r="M84" s="1163">
        <v>21</v>
      </c>
      <c r="N84" s="1162">
        <v>18</v>
      </c>
      <c r="O84" s="1162">
        <v>14</v>
      </c>
      <c r="P84" s="1163">
        <v>12</v>
      </c>
      <c r="Q84" s="1162">
        <v>14</v>
      </c>
      <c r="R84" s="1162">
        <v>11</v>
      </c>
      <c r="S84" s="1163">
        <v>24</v>
      </c>
      <c r="T84" s="1162">
        <v>20</v>
      </c>
      <c r="U84" s="1162">
        <v>18</v>
      </c>
      <c r="V84" s="1163">
        <v>37</v>
      </c>
      <c r="W84" s="1162">
        <v>36</v>
      </c>
      <c r="X84" s="1162">
        <v>35</v>
      </c>
      <c r="Y84" s="1163">
        <v>34</v>
      </c>
      <c r="Z84" s="1162">
        <v>32</v>
      </c>
      <c r="AA84" s="1162">
        <v>32</v>
      </c>
      <c r="AB84" s="1163">
        <v>23</v>
      </c>
      <c r="AC84" s="1162">
        <v>24</v>
      </c>
      <c r="AD84" s="1162">
        <v>18</v>
      </c>
      <c r="AE84" s="1163">
        <v>36</v>
      </c>
      <c r="AF84" s="1162">
        <v>33</v>
      </c>
      <c r="AG84" s="1162">
        <v>32</v>
      </c>
      <c r="AH84" s="1163">
        <v>27</v>
      </c>
      <c r="AI84" s="1162">
        <v>25</v>
      </c>
      <c r="AJ84" s="1162">
        <v>25</v>
      </c>
      <c r="AK84" s="1163">
        <v>19</v>
      </c>
      <c r="AL84" s="1162">
        <v>16</v>
      </c>
      <c r="AM84" s="1162">
        <v>24</v>
      </c>
      <c r="AN84" s="1163">
        <v>20</v>
      </c>
      <c r="AO84" s="1162">
        <v>14</v>
      </c>
      <c r="AP84" s="1162">
        <v>14</v>
      </c>
      <c r="AQ84" s="1163">
        <v>45</v>
      </c>
      <c r="AR84" s="1162">
        <v>44</v>
      </c>
      <c r="AS84" s="1162">
        <v>29</v>
      </c>
      <c r="AT84" s="1163">
        <v>30</v>
      </c>
      <c r="AU84" s="1162">
        <v>30</v>
      </c>
      <c r="AV84" s="1162">
        <v>30</v>
      </c>
      <c r="AW84" s="1163">
        <v>32</v>
      </c>
    </row>
    <row r="85" spans="1:49" ht="15" customHeight="1" x14ac:dyDescent="0.25">
      <c r="A85" s="6322"/>
      <c r="B85" s="6195"/>
      <c r="C85" s="6309"/>
      <c r="D85" s="4521" t="s">
        <v>79</v>
      </c>
      <c r="E85" s="1161">
        <v>63</v>
      </c>
      <c r="F85" s="1162">
        <v>45</v>
      </c>
      <c r="G85" s="1162">
        <v>48</v>
      </c>
      <c r="H85" s="1161">
        <v>47</v>
      </c>
      <c r="I85" s="1162">
        <v>39</v>
      </c>
      <c r="J85" s="1162">
        <v>29</v>
      </c>
      <c r="K85" s="1161">
        <v>78</v>
      </c>
      <c r="L85" s="1162">
        <v>72</v>
      </c>
      <c r="M85" s="1163">
        <v>66</v>
      </c>
      <c r="N85" s="1162">
        <v>61</v>
      </c>
      <c r="O85" s="1162">
        <v>60</v>
      </c>
      <c r="P85" s="1163">
        <v>49</v>
      </c>
      <c r="Q85" s="1162">
        <v>96</v>
      </c>
      <c r="R85" s="1162">
        <v>89</v>
      </c>
      <c r="S85" s="1163">
        <v>75</v>
      </c>
      <c r="T85" s="1162">
        <v>71</v>
      </c>
      <c r="U85" s="1162">
        <v>68</v>
      </c>
      <c r="V85" s="1163">
        <v>151</v>
      </c>
      <c r="W85" s="1162">
        <v>132</v>
      </c>
      <c r="X85" s="1162">
        <v>134</v>
      </c>
      <c r="Y85" s="1163">
        <v>130</v>
      </c>
      <c r="Z85" s="1162">
        <v>120</v>
      </c>
      <c r="AA85" s="1162">
        <v>111</v>
      </c>
      <c r="AB85" s="1163">
        <v>164</v>
      </c>
      <c r="AC85" s="1162">
        <v>152</v>
      </c>
      <c r="AD85" s="1162">
        <v>104</v>
      </c>
      <c r="AE85" s="1163">
        <v>85</v>
      </c>
      <c r="AF85" s="1162">
        <v>78</v>
      </c>
      <c r="AG85" s="1162">
        <v>73</v>
      </c>
      <c r="AH85" s="1163">
        <v>122</v>
      </c>
      <c r="AI85" s="1162">
        <v>101</v>
      </c>
      <c r="AJ85" s="1162">
        <v>75</v>
      </c>
      <c r="AK85" s="1163">
        <v>71</v>
      </c>
      <c r="AL85" s="1162">
        <v>71</v>
      </c>
      <c r="AM85" s="1162">
        <v>70</v>
      </c>
      <c r="AN85" s="1163">
        <v>118</v>
      </c>
      <c r="AO85" s="1162">
        <v>82</v>
      </c>
      <c r="AP85" s="1162">
        <v>74</v>
      </c>
      <c r="AQ85" s="1163">
        <v>71</v>
      </c>
      <c r="AR85" s="1162">
        <v>67</v>
      </c>
      <c r="AS85" s="1162">
        <v>62</v>
      </c>
      <c r="AT85" s="1163">
        <v>82</v>
      </c>
      <c r="AU85" s="1162">
        <v>61</v>
      </c>
      <c r="AV85" s="1162">
        <v>57</v>
      </c>
      <c r="AW85" s="1163">
        <v>51</v>
      </c>
    </row>
    <row r="86" spans="1:49" ht="15" customHeight="1" x14ac:dyDescent="0.25">
      <c r="A86" s="6322"/>
      <c r="B86" s="6195"/>
      <c r="C86" s="6309"/>
      <c r="D86" s="4521" t="s">
        <v>82</v>
      </c>
      <c r="E86" s="1161">
        <v>32</v>
      </c>
      <c r="F86" s="1162">
        <v>27</v>
      </c>
      <c r="G86" s="1162">
        <v>30</v>
      </c>
      <c r="H86" s="1161">
        <v>30</v>
      </c>
      <c r="I86" s="1162">
        <v>26</v>
      </c>
      <c r="J86" s="1162">
        <v>41</v>
      </c>
      <c r="K86" s="1161">
        <v>29</v>
      </c>
      <c r="L86" s="1162">
        <v>22</v>
      </c>
      <c r="M86" s="1163">
        <v>27</v>
      </c>
      <c r="N86" s="1162">
        <v>26</v>
      </c>
      <c r="O86" s="1162">
        <v>25</v>
      </c>
      <c r="P86" s="1163">
        <v>48</v>
      </c>
      <c r="Q86" s="1162">
        <v>45</v>
      </c>
      <c r="R86" s="1162">
        <v>40</v>
      </c>
      <c r="S86" s="1163">
        <v>41</v>
      </c>
      <c r="T86" s="1162">
        <v>37</v>
      </c>
      <c r="U86" s="1162">
        <v>37</v>
      </c>
      <c r="V86" s="1163">
        <v>58</v>
      </c>
      <c r="W86" s="1162">
        <v>42</v>
      </c>
      <c r="X86" s="1162">
        <v>38</v>
      </c>
      <c r="Y86" s="1163">
        <v>33</v>
      </c>
      <c r="Z86" s="1162">
        <v>21</v>
      </c>
      <c r="AA86" s="1162">
        <v>20</v>
      </c>
      <c r="AB86" s="1163">
        <v>46</v>
      </c>
      <c r="AC86" s="1162">
        <v>43</v>
      </c>
      <c r="AD86" s="1162">
        <v>39</v>
      </c>
      <c r="AE86" s="1163">
        <v>37</v>
      </c>
      <c r="AF86" s="1162">
        <v>37</v>
      </c>
      <c r="AG86" s="1162">
        <v>36</v>
      </c>
      <c r="AH86" s="1163">
        <v>46</v>
      </c>
      <c r="AI86" s="1162">
        <v>28</v>
      </c>
      <c r="AJ86" s="1162">
        <v>26</v>
      </c>
      <c r="AK86" s="1163">
        <v>27</v>
      </c>
      <c r="AL86" s="1162">
        <v>25</v>
      </c>
      <c r="AM86" s="1162">
        <v>25</v>
      </c>
      <c r="AN86" s="1163">
        <v>33</v>
      </c>
      <c r="AO86" s="1162">
        <v>25</v>
      </c>
      <c r="AP86" s="1162">
        <v>25</v>
      </c>
      <c r="AQ86" s="1163">
        <v>23</v>
      </c>
      <c r="AR86" s="1162">
        <v>22</v>
      </c>
      <c r="AS86" s="1162">
        <v>22</v>
      </c>
      <c r="AT86" s="1163">
        <v>26</v>
      </c>
      <c r="AU86" s="1162">
        <v>19</v>
      </c>
      <c r="AV86" s="1162">
        <v>19</v>
      </c>
      <c r="AW86" s="1163">
        <v>19</v>
      </c>
    </row>
    <row r="87" spans="1:49" ht="15" customHeight="1" x14ac:dyDescent="0.25">
      <c r="A87" s="6322"/>
      <c r="B87" s="6195"/>
      <c r="C87" s="6309"/>
      <c r="D87" s="4523" t="s">
        <v>139</v>
      </c>
      <c r="E87" s="1161"/>
      <c r="F87" s="1162"/>
      <c r="G87" s="1162"/>
      <c r="H87" s="1161">
        <v>1</v>
      </c>
      <c r="I87" s="1162"/>
      <c r="J87" s="1162">
        <v>1</v>
      </c>
      <c r="K87" s="1161">
        <v>9</v>
      </c>
      <c r="L87" s="1162"/>
      <c r="M87" s="1163"/>
      <c r="N87" s="1162">
        <v>6</v>
      </c>
      <c r="O87" s="1162"/>
      <c r="P87" s="1163">
        <v>1</v>
      </c>
      <c r="Q87" s="1162">
        <v>9</v>
      </c>
      <c r="R87" s="1162"/>
      <c r="S87" s="1163"/>
      <c r="T87" s="1162">
        <v>17</v>
      </c>
      <c r="U87" s="1162"/>
      <c r="V87" s="1163"/>
      <c r="W87" s="1162">
        <v>22</v>
      </c>
      <c r="X87" s="1162"/>
      <c r="Y87" s="1163"/>
      <c r="Z87" s="1162">
        <v>25</v>
      </c>
      <c r="AA87" s="1162"/>
      <c r="AB87" s="1163" t="s">
        <v>227</v>
      </c>
      <c r="AC87" s="1162">
        <v>32</v>
      </c>
      <c r="AD87" s="1162">
        <v>30</v>
      </c>
      <c r="AE87" s="1163">
        <v>28</v>
      </c>
      <c r="AF87" s="1162">
        <v>32</v>
      </c>
      <c r="AG87" s="1162">
        <v>25</v>
      </c>
      <c r="AH87" s="1163">
        <v>24</v>
      </c>
      <c r="AI87" s="1162">
        <v>50</v>
      </c>
      <c r="AJ87" s="1162">
        <v>44</v>
      </c>
      <c r="AK87" s="1163">
        <v>36</v>
      </c>
      <c r="AL87" s="1162">
        <v>40</v>
      </c>
      <c r="AM87" s="1162">
        <v>32</v>
      </c>
      <c r="AN87" s="1163">
        <v>32</v>
      </c>
      <c r="AO87" s="1162">
        <v>22</v>
      </c>
      <c r="AP87" s="1162">
        <v>23</v>
      </c>
      <c r="AQ87" s="1163">
        <v>22</v>
      </c>
      <c r="AR87" s="1162">
        <v>22</v>
      </c>
      <c r="AS87" s="1162">
        <v>19</v>
      </c>
      <c r="AT87" s="1163">
        <v>19</v>
      </c>
      <c r="AU87" s="1162">
        <v>24</v>
      </c>
      <c r="AV87" s="1162">
        <v>24</v>
      </c>
      <c r="AW87" s="1163">
        <v>23</v>
      </c>
    </row>
    <row r="88" spans="1:49" ht="15" customHeight="1" x14ac:dyDescent="0.25">
      <c r="A88" s="6322"/>
      <c r="B88" s="6195"/>
      <c r="C88" s="6309"/>
      <c r="D88" s="4523" t="s">
        <v>1580</v>
      </c>
      <c r="E88" s="1161"/>
      <c r="F88" s="1162"/>
      <c r="G88" s="1162"/>
      <c r="H88" s="1161"/>
      <c r="I88" s="1162"/>
      <c r="J88" s="1162"/>
      <c r="K88" s="1161"/>
      <c r="L88" s="1162"/>
      <c r="M88" s="1163"/>
      <c r="N88" s="1162"/>
      <c r="O88" s="1162"/>
      <c r="P88" s="1163"/>
      <c r="Q88" s="1162"/>
      <c r="R88" s="1162"/>
      <c r="S88" s="1163"/>
      <c r="T88" s="1162"/>
      <c r="U88" s="1162"/>
      <c r="V88" s="1163"/>
      <c r="W88" s="1162"/>
      <c r="X88" s="1162"/>
      <c r="Y88" s="1163"/>
      <c r="Z88" s="1162"/>
      <c r="AA88" s="1162"/>
      <c r="AB88" s="1163"/>
      <c r="AC88" s="1162"/>
      <c r="AD88" s="1162"/>
      <c r="AE88" s="1163"/>
      <c r="AF88" s="1162"/>
      <c r="AG88" s="1162"/>
      <c r="AH88" s="1163"/>
      <c r="AI88" s="1162"/>
      <c r="AJ88" s="1162"/>
      <c r="AK88" s="1163"/>
      <c r="AL88" s="1162"/>
      <c r="AM88" s="1162"/>
      <c r="AN88" s="1163"/>
      <c r="AO88" s="1162"/>
      <c r="AP88" s="1162"/>
      <c r="AQ88" s="1163"/>
      <c r="AR88" s="1162"/>
      <c r="AS88" s="1162"/>
      <c r="AT88" s="1163"/>
      <c r="AU88" s="1162">
        <v>10</v>
      </c>
      <c r="AV88" s="1162">
        <v>17</v>
      </c>
      <c r="AW88" s="1163">
        <v>17</v>
      </c>
    </row>
    <row r="89" spans="1:49" ht="15" customHeight="1" x14ac:dyDescent="0.25">
      <c r="A89" s="6322"/>
      <c r="B89" s="6195"/>
      <c r="C89" s="6310"/>
      <c r="D89" s="4523" t="s">
        <v>1595</v>
      </c>
      <c r="E89" s="1161"/>
      <c r="F89" s="1162"/>
      <c r="G89" s="1162"/>
      <c r="H89" s="1161"/>
      <c r="I89" s="1162"/>
      <c r="J89" s="1162"/>
      <c r="K89" s="1161"/>
      <c r="L89" s="1162"/>
      <c r="M89" s="1163"/>
      <c r="N89" s="1162"/>
      <c r="O89" s="1162"/>
      <c r="P89" s="1163"/>
      <c r="Q89" s="1162"/>
      <c r="R89" s="1162"/>
      <c r="S89" s="1163"/>
      <c r="T89" s="1162"/>
      <c r="U89" s="1162"/>
      <c r="V89" s="1163"/>
      <c r="W89" s="1162"/>
      <c r="X89" s="1162"/>
      <c r="Y89" s="1163"/>
      <c r="Z89" s="1162"/>
      <c r="AA89" s="1162"/>
      <c r="AB89" s="1163"/>
      <c r="AC89" s="1162"/>
      <c r="AD89" s="1162"/>
      <c r="AE89" s="1163"/>
      <c r="AF89" s="1162"/>
      <c r="AG89" s="1162"/>
      <c r="AH89" s="1163"/>
      <c r="AI89" s="1162"/>
      <c r="AJ89" s="1162"/>
      <c r="AK89" s="1163"/>
      <c r="AL89" s="1162"/>
      <c r="AM89" s="1162"/>
      <c r="AN89" s="1163"/>
      <c r="AO89" s="1162"/>
      <c r="AP89" s="1162"/>
      <c r="AQ89" s="1163"/>
      <c r="AR89" s="1162"/>
      <c r="AS89" s="1162"/>
      <c r="AT89" s="1163"/>
      <c r="AU89" s="1162"/>
      <c r="AV89" s="1162"/>
      <c r="AW89" s="1163">
        <v>9</v>
      </c>
    </row>
    <row r="90" spans="1:49" ht="15" customHeight="1" x14ac:dyDescent="0.25">
      <c r="A90" s="6322"/>
      <c r="B90" s="6325"/>
      <c r="C90" s="6308" t="s">
        <v>520</v>
      </c>
      <c r="D90" s="5175" t="s">
        <v>84</v>
      </c>
      <c r="E90" s="1161">
        <v>62</v>
      </c>
      <c r="F90" s="1162">
        <v>60</v>
      </c>
      <c r="G90" s="1162">
        <v>56</v>
      </c>
      <c r="H90" s="1161">
        <v>53</v>
      </c>
      <c r="I90" s="1162">
        <v>50</v>
      </c>
      <c r="J90" s="1162">
        <v>54</v>
      </c>
      <c r="K90" s="1161">
        <v>54</v>
      </c>
      <c r="L90" s="1162">
        <v>52</v>
      </c>
      <c r="M90" s="1163">
        <v>52</v>
      </c>
      <c r="N90" s="1162">
        <v>50</v>
      </c>
      <c r="O90" s="1162">
        <v>48</v>
      </c>
      <c r="P90" s="1163">
        <v>40</v>
      </c>
      <c r="Q90" s="1162">
        <v>33</v>
      </c>
      <c r="R90" s="1162">
        <v>43</v>
      </c>
      <c r="S90" s="1163">
        <v>48</v>
      </c>
      <c r="T90" s="1162">
        <v>49</v>
      </c>
      <c r="U90" s="1162">
        <v>47</v>
      </c>
      <c r="V90" s="1163">
        <v>49</v>
      </c>
      <c r="W90" s="1162">
        <v>63</v>
      </c>
      <c r="X90" s="1162">
        <v>62</v>
      </c>
      <c r="Y90" s="1163">
        <v>65</v>
      </c>
      <c r="Z90" s="1162">
        <v>67</v>
      </c>
      <c r="AA90" s="1162">
        <v>66</v>
      </c>
      <c r="AB90" s="1163">
        <v>70</v>
      </c>
      <c r="AC90" s="1162">
        <v>65</v>
      </c>
      <c r="AD90" s="1162">
        <v>59</v>
      </c>
      <c r="AE90" s="1163">
        <v>66</v>
      </c>
      <c r="AF90" s="1162">
        <v>60</v>
      </c>
      <c r="AG90" s="1162">
        <v>54</v>
      </c>
      <c r="AH90" s="1163">
        <v>65</v>
      </c>
      <c r="AI90" s="1162">
        <v>68</v>
      </c>
      <c r="AJ90" s="1162">
        <v>65</v>
      </c>
      <c r="AK90" s="1163">
        <v>64</v>
      </c>
      <c r="AL90" s="1162">
        <v>55</v>
      </c>
      <c r="AM90" s="1162">
        <v>46</v>
      </c>
      <c r="AN90" s="1163">
        <v>67</v>
      </c>
      <c r="AO90" s="1162">
        <v>62</v>
      </c>
      <c r="AP90" s="1162">
        <v>57</v>
      </c>
      <c r="AQ90" s="1163">
        <v>53</v>
      </c>
      <c r="AR90" s="1162">
        <v>50</v>
      </c>
      <c r="AS90" s="1162">
        <v>42</v>
      </c>
      <c r="AT90" s="1163">
        <v>62</v>
      </c>
      <c r="AU90" s="1162">
        <v>49</v>
      </c>
      <c r="AV90" s="1162">
        <v>50</v>
      </c>
      <c r="AW90" s="1163">
        <v>46</v>
      </c>
    </row>
    <row r="91" spans="1:49" ht="15" customHeight="1" x14ac:dyDescent="0.25">
      <c r="A91" s="6322"/>
      <c r="B91" s="6325"/>
      <c r="C91" s="6309"/>
      <c r="D91" s="5175" t="s">
        <v>85</v>
      </c>
      <c r="E91" s="1161">
        <v>71</v>
      </c>
      <c r="F91" s="1162">
        <v>70</v>
      </c>
      <c r="G91" s="1162">
        <v>84</v>
      </c>
      <c r="H91" s="1161">
        <v>71</v>
      </c>
      <c r="I91" s="1162">
        <v>97</v>
      </c>
      <c r="J91" s="1162">
        <v>87</v>
      </c>
      <c r="K91" s="1161">
        <v>83</v>
      </c>
      <c r="L91" s="1162">
        <v>83</v>
      </c>
      <c r="M91" s="1163">
        <v>81</v>
      </c>
      <c r="N91" s="1162">
        <v>81</v>
      </c>
      <c r="O91" s="1162">
        <v>77</v>
      </c>
      <c r="P91" s="1163">
        <v>78</v>
      </c>
      <c r="Q91" s="1162">
        <v>62</v>
      </c>
      <c r="R91" s="1162">
        <v>60</v>
      </c>
      <c r="S91" s="1163">
        <v>53</v>
      </c>
      <c r="T91" s="1162">
        <v>47</v>
      </c>
      <c r="U91" s="1162">
        <v>39</v>
      </c>
      <c r="V91" s="1163">
        <v>41</v>
      </c>
      <c r="W91" s="1162">
        <v>41</v>
      </c>
      <c r="X91" s="1162">
        <v>57</v>
      </c>
      <c r="Y91" s="1163">
        <v>52</v>
      </c>
      <c r="Z91" s="1162">
        <v>54</v>
      </c>
      <c r="AA91" s="1162">
        <v>53</v>
      </c>
      <c r="AB91" s="1163">
        <v>69</v>
      </c>
      <c r="AC91" s="1162">
        <v>84</v>
      </c>
      <c r="AD91" s="1162">
        <v>76</v>
      </c>
      <c r="AE91" s="1163">
        <v>74</v>
      </c>
      <c r="AF91" s="1162">
        <v>71</v>
      </c>
      <c r="AG91" s="1162">
        <v>71</v>
      </c>
      <c r="AH91" s="1163">
        <v>77</v>
      </c>
      <c r="AI91" s="1162">
        <v>75</v>
      </c>
      <c r="AJ91" s="1162">
        <v>69</v>
      </c>
      <c r="AK91" s="1163">
        <v>56</v>
      </c>
      <c r="AL91" s="1162">
        <v>54</v>
      </c>
      <c r="AM91" s="1162">
        <v>44</v>
      </c>
      <c r="AN91" s="1163">
        <v>50</v>
      </c>
      <c r="AO91" s="1162">
        <v>40</v>
      </c>
      <c r="AP91" s="1162">
        <v>37</v>
      </c>
      <c r="AQ91" s="1163">
        <v>41</v>
      </c>
      <c r="AR91" s="1162">
        <v>38</v>
      </c>
      <c r="AS91" s="1162">
        <v>36</v>
      </c>
      <c r="AT91" s="1163">
        <v>45</v>
      </c>
      <c r="AU91" s="1162">
        <v>46</v>
      </c>
      <c r="AV91" s="1162">
        <v>46</v>
      </c>
      <c r="AW91" s="1163">
        <v>45</v>
      </c>
    </row>
    <row r="92" spans="1:49" ht="15" customHeight="1" x14ac:dyDescent="0.25">
      <c r="A92" s="6322"/>
      <c r="B92" s="6325"/>
      <c r="C92" s="6309"/>
      <c r="D92" s="5175" t="s">
        <v>83</v>
      </c>
      <c r="E92" s="1161">
        <v>43</v>
      </c>
      <c r="F92" s="1162">
        <v>40</v>
      </c>
      <c r="G92" s="1162">
        <v>35</v>
      </c>
      <c r="H92" s="1161">
        <v>32</v>
      </c>
      <c r="I92" s="1162">
        <v>27</v>
      </c>
      <c r="J92" s="1162">
        <v>11</v>
      </c>
      <c r="K92" s="1161">
        <v>18</v>
      </c>
      <c r="L92" s="1162">
        <v>15</v>
      </c>
      <c r="M92" s="1163">
        <v>13</v>
      </c>
      <c r="N92" s="1162">
        <v>25</v>
      </c>
      <c r="O92" s="1162">
        <v>23</v>
      </c>
      <c r="P92" s="1163">
        <v>19</v>
      </c>
      <c r="Q92" s="1162">
        <v>38</v>
      </c>
      <c r="R92" s="1162">
        <v>37</v>
      </c>
      <c r="S92" s="1163">
        <v>36</v>
      </c>
      <c r="T92" s="1162">
        <v>35</v>
      </c>
      <c r="U92" s="1162">
        <v>28</v>
      </c>
      <c r="V92" s="1163">
        <v>65</v>
      </c>
      <c r="W92" s="1162">
        <v>60</v>
      </c>
      <c r="X92" s="1162">
        <v>67</v>
      </c>
      <c r="Y92" s="1163">
        <v>90</v>
      </c>
      <c r="Z92" s="1162">
        <v>81</v>
      </c>
      <c r="AA92" s="1162">
        <v>77</v>
      </c>
      <c r="AB92" s="1163">
        <v>111</v>
      </c>
      <c r="AC92" s="1162">
        <v>97</v>
      </c>
      <c r="AD92" s="1162">
        <v>94</v>
      </c>
      <c r="AE92" s="1163">
        <v>120</v>
      </c>
      <c r="AF92" s="1162">
        <v>111</v>
      </c>
      <c r="AG92" s="1162">
        <v>106</v>
      </c>
      <c r="AH92" s="1163">
        <v>117</v>
      </c>
      <c r="AI92" s="1162">
        <v>117</v>
      </c>
      <c r="AJ92" s="1162">
        <v>106</v>
      </c>
      <c r="AK92" s="1163">
        <v>119</v>
      </c>
      <c r="AL92" s="1162">
        <v>112</v>
      </c>
      <c r="AM92" s="1162">
        <v>106</v>
      </c>
      <c r="AN92" s="1163">
        <v>130</v>
      </c>
      <c r="AO92" s="1162">
        <v>106</v>
      </c>
      <c r="AP92" s="1162">
        <v>102</v>
      </c>
      <c r="AQ92" s="1163">
        <v>118</v>
      </c>
      <c r="AR92" s="1162">
        <v>114</v>
      </c>
      <c r="AS92" s="1162">
        <v>108</v>
      </c>
      <c r="AT92" s="1163">
        <v>119</v>
      </c>
      <c r="AU92" s="1162">
        <v>104</v>
      </c>
      <c r="AV92" s="1162">
        <v>99</v>
      </c>
      <c r="AW92" s="1163">
        <v>111</v>
      </c>
    </row>
    <row r="93" spans="1:49" ht="15" customHeight="1" x14ac:dyDescent="0.25">
      <c r="A93" s="6322"/>
      <c r="B93" s="6325"/>
      <c r="C93" s="6309"/>
      <c r="D93" s="5175" t="s">
        <v>86</v>
      </c>
      <c r="E93" s="1161">
        <v>48</v>
      </c>
      <c r="F93" s="1162">
        <v>44</v>
      </c>
      <c r="G93" s="1162">
        <v>43</v>
      </c>
      <c r="H93" s="1161">
        <v>40</v>
      </c>
      <c r="I93" s="1162">
        <v>40</v>
      </c>
      <c r="J93" s="1162">
        <v>43</v>
      </c>
      <c r="K93" s="1161">
        <v>41</v>
      </c>
      <c r="L93" s="1162">
        <v>39</v>
      </c>
      <c r="M93" s="1163">
        <v>38</v>
      </c>
      <c r="N93" s="1162">
        <v>34</v>
      </c>
      <c r="O93" s="1162">
        <v>34</v>
      </c>
      <c r="P93" s="1163">
        <v>40</v>
      </c>
      <c r="Q93" s="1162">
        <v>36</v>
      </c>
      <c r="R93" s="1162">
        <v>35</v>
      </c>
      <c r="S93" s="1163">
        <v>35</v>
      </c>
      <c r="T93" s="1162">
        <v>37</v>
      </c>
      <c r="U93" s="1162">
        <v>34</v>
      </c>
      <c r="V93" s="1163">
        <v>48</v>
      </c>
      <c r="W93" s="1162">
        <v>51</v>
      </c>
      <c r="X93" s="1162">
        <v>49</v>
      </c>
      <c r="Y93" s="1163">
        <v>46</v>
      </c>
      <c r="Z93" s="1162">
        <v>50</v>
      </c>
      <c r="AA93" s="1162">
        <v>49</v>
      </c>
      <c r="AB93" s="1163">
        <v>52</v>
      </c>
      <c r="AC93" s="1162">
        <v>52</v>
      </c>
      <c r="AD93" s="1162">
        <v>48</v>
      </c>
      <c r="AE93" s="1163">
        <v>44</v>
      </c>
      <c r="AF93" s="1162">
        <v>39</v>
      </c>
      <c r="AG93" s="1162">
        <v>36</v>
      </c>
      <c r="AH93" s="1163">
        <v>53</v>
      </c>
      <c r="AI93" s="1162">
        <v>52</v>
      </c>
      <c r="AJ93" s="1162">
        <v>51</v>
      </c>
      <c r="AK93" s="1163">
        <v>46</v>
      </c>
      <c r="AL93" s="1162">
        <v>43</v>
      </c>
      <c r="AM93" s="1162">
        <v>43</v>
      </c>
      <c r="AN93" s="1163">
        <v>70</v>
      </c>
      <c r="AO93" s="1162">
        <v>60</v>
      </c>
      <c r="AP93" s="1162">
        <v>59</v>
      </c>
      <c r="AQ93" s="1163">
        <v>55</v>
      </c>
      <c r="AR93" s="1162">
        <v>55</v>
      </c>
      <c r="AS93" s="1162">
        <v>54</v>
      </c>
      <c r="AT93" s="1163">
        <v>56</v>
      </c>
      <c r="AU93" s="1162">
        <v>48</v>
      </c>
      <c r="AV93" s="1162">
        <v>47</v>
      </c>
      <c r="AW93" s="1163">
        <v>45</v>
      </c>
    </row>
    <row r="94" spans="1:49" ht="15" customHeight="1" x14ac:dyDescent="0.25">
      <c r="A94" s="6322"/>
      <c r="B94" s="6325"/>
      <c r="C94" s="6309"/>
      <c r="D94" s="4535" t="s">
        <v>143</v>
      </c>
      <c r="E94" s="1161">
        <v>3</v>
      </c>
      <c r="F94" s="1162">
        <v>7</v>
      </c>
      <c r="G94" s="1162">
        <v>2</v>
      </c>
      <c r="H94" s="1161">
        <v>2</v>
      </c>
      <c r="I94" s="1162">
        <v>1</v>
      </c>
      <c r="J94" s="1162">
        <v>16</v>
      </c>
      <c r="K94" s="1161">
        <v>27</v>
      </c>
      <c r="L94" s="1162">
        <v>5</v>
      </c>
      <c r="M94" s="1163">
        <v>4</v>
      </c>
      <c r="N94" s="1162">
        <v>8</v>
      </c>
      <c r="O94" s="1162">
        <v>3</v>
      </c>
      <c r="P94" s="1163">
        <v>1</v>
      </c>
      <c r="Q94" s="1162">
        <v>11</v>
      </c>
      <c r="R94" s="1162"/>
      <c r="S94" s="1163"/>
      <c r="T94" s="1162">
        <v>19</v>
      </c>
      <c r="U94" s="1162"/>
      <c r="V94" s="1163"/>
      <c r="W94" s="1162">
        <v>32</v>
      </c>
      <c r="X94" s="1162">
        <v>1</v>
      </c>
      <c r="Y94" s="1163"/>
      <c r="Z94" s="1162">
        <v>41</v>
      </c>
      <c r="AA94" s="1162"/>
      <c r="AB94" s="1163" t="s">
        <v>227</v>
      </c>
      <c r="AC94" s="1162">
        <v>47</v>
      </c>
      <c r="AD94" s="1162">
        <v>44</v>
      </c>
      <c r="AE94" s="1163">
        <v>44</v>
      </c>
      <c r="AF94" s="1162">
        <v>56</v>
      </c>
      <c r="AG94" s="1162">
        <v>58</v>
      </c>
      <c r="AH94" s="1163">
        <v>54</v>
      </c>
      <c r="AI94" s="1162">
        <v>65</v>
      </c>
      <c r="AJ94" s="1162">
        <v>66</v>
      </c>
      <c r="AK94" s="1163">
        <v>64</v>
      </c>
      <c r="AL94" s="1162">
        <v>73</v>
      </c>
      <c r="AM94" s="1162">
        <v>66</v>
      </c>
      <c r="AN94" s="1163">
        <v>68</v>
      </c>
      <c r="AO94" s="1162">
        <v>77</v>
      </c>
      <c r="AP94" s="1162">
        <v>77</v>
      </c>
      <c r="AQ94" s="1163">
        <v>73</v>
      </c>
      <c r="AR94" s="1161">
        <v>82</v>
      </c>
      <c r="AS94" s="1162">
        <v>79</v>
      </c>
      <c r="AT94" s="1163">
        <v>75</v>
      </c>
      <c r="AU94" s="1161">
        <v>78</v>
      </c>
      <c r="AV94" s="1162">
        <v>81</v>
      </c>
      <c r="AW94" s="1163">
        <v>63</v>
      </c>
    </row>
    <row r="95" spans="1:49" ht="15" customHeight="1" x14ac:dyDescent="0.25">
      <c r="A95" s="6322"/>
      <c r="B95" s="6325"/>
      <c r="C95" s="6309"/>
      <c r="D95" s="4523" t="s">
        <v>1580</v>
      </c>
      <c r="E95" s="1161"/>
      <c r="F95" s="1162"/>
      <c r="G95" s="1162"/>
      <c r="H95" s="1161"/>
      <c r="I95" s="1162"/>
      <c r="J95" s="1162"/>
      <c r="K95" s="1161"/>
      <c r="L95" s="1162"/>
      <c r="M95" s="1163"/>
      <c r="N95" s="1162"/>
      <c r="O95" s="1162"/>
      <c r="P95" s="1163"/>
      <c r="Q95" s="1162"/>
      <c r="R95" s="1162"/>
      <c r="S95" s="1163"/>
      <c r="T95" s="1162"/>
      <c r="U95" s="1162"/>
      <c r="V95" s="1163"/>
      <c r="W95" s="1162"/>
      <c r="X95" s="1162"/>
      <c r="Y95" s="1163"/>
      <c r="Z95" s="1162"/>
      <c r="AA95" s="1162"/>
      <c r="AB95" s="1163"/>
      <c r="AC95" s="1162"/>
      <c r="AD95" s="1162"/>
      <c r="AE95" s="1163"/>
      <c r="AF95" s="1162"/>
      <c r="AG95" s="1162"/>
      <c r="AH95" s="1163"/>
      <c r="AI95" s="1162"/>
      <c r="AJ95" s="1162"/>
      <c r="AK95" s="1163"/>
      <c r="AL95" s="1162"/>
      <c r="AM95" s="1162"/>
      <c r="AN95" s="1163"/>
      <c r="AO95" s="1162"/>
      <c r="AP95" s="1162"/>
      <c r="AQ95" s="1163"/>
      <c r="AR95" s="1162"/>
      <c r="AS95" s="1162"/>
      <c r="AT95" s="1163"/>
      <c r="AU95" s="1162">
        <v>7</v>
      </c>
      <c r="AV95" s="1162">
        <v>7</v>
      </c>
      <c r="AW95" s="1163">
        <v>7</v>
      </c>
    </row>
    <row r="96" spans="1:49" ht="15" customHeight="1" x14ac:dyDescent="0.25">
      <c r="A96" s="6322"/>
      <c r="B96" s="6325"/>
      <c r="C96" s="6310"/>
      <c r="D96" s="4523" t="s">
        <v>1595</v>
      </c>
      <c r="E96" s="1161"/>
      <c r="F96" s="1162"/>
      <c r="G96" s="1162"/>
      <c r="H96" s="1161"/>
      <c r="I96" s="1162"/>
      <c r="J96" s="1162"/>
      <c r="K96" s="1161"/>
      <c r="L96" s="1162"/>
      <c r="M96" s="1163"/>
      <c r="N96" s="1162"/>
      <c r="O96" s="1162"/>
      <c r="P96" s="1163"/>
      <c r="Q96" s="1162"/>
      <c r="R96" s="1162"/>
      <c r="S96" s="1163"/>
      <c r="T96" s="1162"/>
      <c r="U96" s="1162"/>
      <c r="V96" s="1163"/>
      <c r="W96" s="1162"/>
      <c r="X96" s="1162"/>
      <c r="Y96" s="1163"/>
      <c r="Z96" s="1162"/>
      <c r="AA96" s="1162"/>
      <c r="AB96" s="1163"/>
      <c r="AC96" s="1162"/>
      <c r="AD96" s="1162"/>
      <c r="AE96" s="1163"/>
      <c r="AF96" s="1162"/>
      <c r="AG96" s="1162"/>
      <c r="AH96" s="1163"/>
      <c r="AI96" s="1162"/>
      <c r="AJ96" s="1162"/>
      <c r="AK96" s="1163"/>
      <c r="AL96" s="1162"/>
      <c r="AM96" s="1162"/>
      <c r="AN96" s="1163"/>
      <c r="AO96" s="1162"/>
      <c r="AP96" s="1162"/>
      <c r="AQ96" s="1163"/>
      <c r="AR96" s="1162"/>
      <c r="AS96" s="1162"/>
      <c r="AT96" s="1163"/>
      <c r="AU96" s="1162"/>
      <c r="AV96" s="1162"/>
      <c r="AW96" s="1163">
        <v>3</v>
      </c>
    </row>
    <row r="97" spans="1:49" ht="15" customHeight="1" x14ac:dyDescent="0.2">
      <c r="A97" s="6322"/>
      <c r="B97" s="6196"/>
      <c r="C97" s="5153"/>
      <c r="D97" s="4538" t="s">
        <v>160</v>
      </c>
      <c r="E97" s="1169">
        <f t="shared" ref="E97:AT97" si="13">SUM(E80:E94)</f>
        <v>348</v>
      </c>
      <c r="F97" s="1170">
        <f t="shared" si="13"/>
        <v>316</v>
      </c>
      <c r="G97" s="1170">
        <f t="shared" si="13"/>
        <v>370</v>
      </c>
      <c r="H97" s="1169">
        <f t="shared" si="13"/>
        <v>341</v>
      </c>
      <c r="I97" s="1170">
        <f t="shared" si="13"/>
        <v>334</v>
      </c>
      <c r="J97" s="1170">
        <f t="shared" si="13"/>
        <v>382</v>
      </c>
      <c r="K97" s="1169">
        <f t="shared" si="13"/>
        <v>435</v>
      </c>
      <c r="L97" s="1170">
        <f t="shared" si="13"/>
        <v>374</v>
      </c>
      <c r="M97" s="1171">
        <f t="shared" si="13"/>
        <v>310</v>
      </c>
      <c r="N97" s="1170">
        <f t="shared" si="13"/>
        <v>401</v>
      </c>
      <c r="O97" s="1170">
        <f t="shared" si="13"/>
        <v>373</v>
      </c>
      <c r="P97" s="1171">
        <f t="shared" si="13"/>
        <v>364</v>
      </c>
      <c r="Q97" s="1170">
        <f t="shared" si="13"/>
        <v>457</v>
      </c>
      <c r="R97" s="1170">
        <f t="shared" si="13"/>
        <v>407</v>
      </c>
      <c r="S97" s="1171">
        <f t="shared" si="13"/>
        <v>419</v>
      </c>
      <c r="T97" s="1170">
        <f t="shared" si="13"/>
        <v>454</v>
      </c>
      <c r="U97" s="1170">
        <f t="shared" si="13"/>
        <v>381</v>
      </c>
      <c r="V97" s="1171">
        <f t="shared" si="13"/>
        <v>554</v>
      </c>
      <c r="W97" s="1170">
        <f t="shared" si="13"/>
        <v>484</v>
      </c>
      <c r="X97" s="1170">
        <f t="shared" si="13"/>
        <v>547</v>
      </c>
      <c r="Y97" s="1171">
        <f t="shared" si="13"/>
        <v>570</v>
      </c>
      <c r="Z97" s="1170">
        <f t="shared" si="13"/>
        <v>575</v>
      </c>
      <c r="AA97" s="1170">
        <f t="shared" si="13"/>
        <v>425</v>
      </c>
      <c r="AB97" s="1171">
        <f t="shared" si="13"/>
        <v>655</v>
      </c>
      <c r="AC97" s="1170">
        <f t="shared" si="13"/>
        <v>679</v>
      </c>
      <c r="AD97" s="1170">
        <f t="shared" si="13"/>
        <v>590</v>
      </c>
      <c r="AE97" s="1171">
        <f t="shared" si="13"/>
        <v>630</v>
      </c>
      <c r="AF97" s="1170">
        <f t="shared" si="13"/>
        <v>599</v>
      </c>
      <c r="AG97" s="1170">
        <f t="shared" si="13"/>
        <v>558</v>
      </c>
      <c r="AH97" s="1171">
        <f t="shared" si="13"/>
        <v>602</v>
      </c>
      <c r="AI97" s="1170">
        <f t="shared" si="13"/>
        <v>595</v>
      </c>
      <c r="AJ97" s="1170">
        <f t="shared" si="13"/>
        <v>542</v>
      </c>
      <c r="AK97" s="1171">
        <f t="shared" si="13"/>
        <v>555</v>
      </c>
      <c r="AL97" s="1170">
        <f t="shared" si="13"/>
        <v>534</v>
      </c>
      <c r="AM97" s="1170">
        <f t="shared" si="13"/>
        <v>498</v>
      </c>
      <c r="AN97" s="1171">
        <f t="shared" si="13"/>
        <v>604</v>
      </c>
      <c r="AO97" s="1170">
        <f t="shared" si="13"/>
        <v>537</v>
      </c>
      <c r="AP97" s="1170">
        <f t="shared" si="13"/>
        <v>516</v>
      </c>
      <c r="AQ97" s="1171">
        <f t="shared" si="13"/>
        <v>571</v>
      </c>
      <c r="AR97" s="1170">
        <f t="shared" si="13"/>
        <v>531</v>
      </c>
      <c r="AS97" s="1170">
        <f t="shared" si="13"/>
        <v>486</v>
      </c>
      <c r="AT97" s="1171">
        <f t="shared" si="13"/>
        <v>531</v>
      </c>
      <c r="AU97" s="1170">
        <f>SUM(AU80:AU95)</f>
        <v>488</v>
      </c>
      <c r="AV97" s="1170">
        <f>SUM(AV80:AV95)</f>
        <v>550</v>
      </c>
      <c r="AW97" s="1171">
        <f>SUM(AW80:AW96)</f>
        <v>540</v>
      </c>
    </row>
    <row r="98" spans="1:49" ht="15" customHeight="1" x14ac:dyDescent="0.25">
      <c r="A98" s="6322"/>
      <c r="B98" s="6194" t="s">
        <v>11</v>
      </c>
      <c r="C98" s="6326" t="s">
        <v>522</v>
      </c>
      <c r="D98" s="4532" t="s">
        <v>56</v>
      </c>
      <c r="E98" s="1181">
        <v>7</v>
      </c>
      <c r="F98" s="1182">
        <v>9</v>
      </c>
      <c r="G98" s="1182">
        <v>6</v>
      </c>
      <c r="H98" s="1181">
        <v>5</v>
      </c>
      <c r="I98" s="1182">
        <v>6</v>
      </c>
      <c r="J98" s="1182">
        <v>6</v>
      </c>
      <c r="K98" s="1181">
        <v>6</v>
      </c>
      <c r="L98" s="1182">
        <v>9</v>
      </c>
      <c r="M98" s="1183">
        <v>13</v>
      </c>
      <c r="N98" s="1182">
        <v>21</v>
      </c>
      <c r="O98" s="1182">
        <v>24</v>
      </c>
      <c r="P98" s="1183">
        <v>25</v>
      </c>
      <c r="Q98" s="1182">
        <v>20</v>
      </c>
      <c r="R98" s="1182">
        <v>18</v>
      </c>
      <c r="S98" s="1183">
        <v>25</v>
      </c>
      <c r="T98" s="1182">
        <v>22</v>
      </c>
      <c r="U98" s="1182">
        <v>24</v>
      </c>
      <c r="V98" s="1183">
        <v>20</v>
      </c>
      <c r="W98" s="1182">
        <v>18</v>
      </c>
      <c r="X98" s="1182">
        <v>20</v>
      </c>
      <c r="Y98" s="1183">
        <v>19</v>
      </c>
      <c r="Z98" s="1182">
        <v>24</v>
      </c>
      <c r="AA98" s="1182">
        <v>24</v>
      </c>
      <c r="AB98" s="1183">
        <v>27</v>
      </c>
      <c r="AC98" s="1182">
        <v>26</v>
      </c>
      <c r="AD98" s="1182">
        <v>24</v>
      </c>
      <c r="AE98" s="1183">
        <v>26</v>
      </c>
      <c r="AF98" s="1182">
        <v>26</v>
      </c>
      <c r="AG98" s="1182">
        <v>35</v>
      </c>
      <c r="AH98" s="1183">
        <v>31</v>
      </c>
      <c r="AI98" s="1182">
        <v>26</v>
      </c>
      <c r="AJ98" s="1182">
        <v>22</v>
      </c>
      <c r="AK98" s="1183">
        <v>16</v>
      </c>
      <c r="AL98" s="1182">
        <v>15</v>
      </c>
      <c r="AM98" s="1182">
        <v>15</v>
      </c>
      <c r="AN98" s="1183">
        <v>20</v>
      </c>
      <c r="AO98" s="1182">
        <v>17</v>
      </c>
      <c r="AP98" s="1182">
        <v>25</v>
      </c>
      <c r="AQ98" s="1183">
        <v>10</v>
      </c>
      <c r="AR98" s="1182">
        <v>22</v>
      </c>
      <c r="AS98" s="1182">
        <v>17</v>
      </c>
      <c r="AT98" s="1183">
        <v>18</v>
      </c>
      <c r="AU98" s="1182">
        <v>14</v>
      </c>
      <c r="AV98" s="1182">
        <v>19</v>
      </c>
      <c r="AW98" s="1183">
        <v>15</v>
      </c>
    </row>
    <row r="99" spans="1:49" ht="15" customHeight="1" x14ac:dyDescent="0.25">
      <c r="A99" s="6322"/>
      <c r="B99" s="6195"/>
      <c r="C99" s="6309"/>
      <c r="D99" s="4525" t="s">
        <v>57</v>
      </c>
      <c r="E99" s="1161">
        <v>22</v>
      </c>
      <c r="F99" s="1162">
        <v>20</v>
      </c>
      <c r="G99" s="1162">
        <v>25</v>
      </c>
      <c r="H99" s="1161">
        <v>22</v>
      </c>
      <c r="I99" s="1162">
        <v>23</v>
      </c>
      <c r="J99" s="1162">
        <v>34</v>
      </c>
      <c r="K99" s="1161">
        <v>26</v>
      </c>
      <c r="L99" s="1162">
        <v>24</v>
      </c>
      <c r="M99" s="1163">
        <v>22</v>
      </c>
      <c r="N99" s="1162">
        <v>19</v>
      </c>
      <c r="O99" s="1162">
        <v>18</v>
      </c>
      <c r="P99" s="1163">
        <v>13</v>
      </c>
      <c r="Q99" s="1162">
        <v>14</v>
      </c>
      <c r="R99" s="1162">
        <v>27</v>
      </c>
      <c r="S99" s="1163">
        <v>22</v>
      </c>
      <c r="T99" s="1162">
        <v>18</v>
      </c>
      <c r="U99" s="1162">
        <v>14</v>
      </c>
      <c r="V99" s="1163">
        <v>24</v>
      </c>
      <c r="W99" s="1162">
        <v>23</v>
      </c>
      <c r="X99" s="1162">
        <v>19</v>
      </c>
      <c r="Y99" s="1163">
        <v>20</v>
      </c>
      <c r="Z99" s="1162">
        <v>18</v>
      </c>
      <c r="AA99" s="1162">
        <v>17</v>
      </c>
      <c r="AB99" s="1163">
        <v>19</v>
      </c>
      <c r="AC99" s="1162">
        <v>12</v>
      </c>
      <c r="AD99" s="1162">
        <v>7</v>
      </c>
      <c r="AE99" s="1163">
        <v>15</v>
      </c>
      <c r="AF99" s="1162">
        <v>12</v>
      </c>
      <c r="AG99" s="1162">
        <v>12</v>
      </c>
      <c r="AH99" s="1163">
        <v>22</v>
      </c>
      <c r="AI99" s="1162">
        <v>20</v>
      </c>
      <c r="AJ99" s="1162">
        <v>17</v>
      </c>
      <c r="AK99" s="1163">
        <v>25</v>
      </c>
      <c r="AL99" s="1162">
        <v>24</v>
      </c>
      <c r="AM99" s="1162">
        <v>20</v>
      </c>
      <c r="AN99" s="1163">
        <v>21</v>
      </c>
      <c r="AO99" s="1162">
        <v>22</v>
      </c>
      <c r="AP99" s="1162">
        <v>16</v>
      </c>
      <c r="AQ99" s="1163">
        <v>25</v>
      </c>
      <c r="AR99" s="1162">
        <v>8</v>
      </c>
      <c r="AS99" s="1162">
        <v>7</v>
      </c>
      <c r="AT99" s="1163">
        <v>8</v>
      </c>
      <c r="AU99" s="1162">
        <v>6</v>
      </c>
      <c r="AV99" s="1162">
        <v>7</v>
      </c>
      <c r="AW99" s="1163">
        <v>12</v>
      </c>
    </row>
    <row r="100" spans="1:49" ht="15" customHeight="1" x14ac:dyDescent="0.25">
      <c r="A100" s="6322"/>
      <c r="B100" s="6195"/>
      <c r="C100" s="6310"/>
      <c r="D100" s="4533" t="s">
        <v>1462</v>
      </c>
      <c r="E100" s="1161"/>
      <c r="F100" s="1162"/>
      <c r="G100" s="1162"/>
      <c r="H100" s="1161"/>
      <c r="I100" s="1162"/>
      <c r="J100" s="1162"/>
      <c r="K100" s="1161"/>
      <c r="L100" s="1162"/>
      <c r="M100" s="1163"/>
      <c r="N100" s="1162"/>
      <c r="O100" s="1162"/>
      <c r="P100" s="1163"/>
      <c r="Q100" s="1162"/>
      <c r="R100" s="1162"/>
      <c r="S100" s="1163"/>
      <c r="T100" s="1162"/>
      <c r="U100" s="1162"/>
      <c r="V100" s="1163"/>
      <c r="W100" s="1162"/>
      <c r="X100" s="1162"/>
      <c r="Y100" s="1163"/>
      <c r="Z100" s="1162"/>
      <c r="AA100" s="1162"/>
      <c r="AB100" s="1163"/>
      <c r="AC100" s="1162"/>
      <c r="AD100" s="1162"/>
      <c r="AE100" s="1163"/>
      <c r="AF100" s="1162"/>
      <c r="AG100" s="1162"/>
      <c r="AH100" s="1163"/>
      <c r="AI100" s="1162"/>
      <c r="AJ100" s="1162"/>
      <c r="AK100" s="1163"/>
      <c r="AL100" s="1162"/>
      <c r="AM100" s="1162"/>
      <c r="AN100" s="1163"/>
      <c r="AO100" s="1162"/>
      <c r="AP100" s="1162"/>
      <c r="AQ100" s="1163"/>
      <c r="AR100" s="1162"/>
      <c r="AS100" s="1162">
        <v>2</v>
      </c>
      <c r="AT100" s="1163"/>
      <c r="AU100" s="1162"/>
      <c r="AV100" s="1162"/>
      <c r="AW100" s="1163"/>
    </row>
    <row r="101" spans="1:49" ht="15" customHeight="1" x14ac:dyDescent="0.25">
      <c r="A101" s="6322"/>
      <c r="B101" s="6195"/>
      <c r="C101" s="6326" t="s">
        <v>521</v>
      </c>
      <c r="D101" s="4525" t="s">
        <v>382</v>
      </c>
      <c r="E101" s="1161">
        <v>38</v>
      </c>
      <c r="F101" s="1162">
        <v>38</v>
      </c>
      <c r="G101" s="1162">
        <v>54</v>
      </c>
      <c r="H101" s="1161">
        <v>47</v>
      </c>
      <c r="I101" s="1162">
        <v>47</v>
      </c>
      <c r="J101" s="1162">
        <v>35</v>
      </c>
      <c r="K101" s="1161">
        <v>30</v>
      </c>
      <c r="L101" s="1162">
        <v>28</v>
      </c>
      <c r="M101" s="1163">
        <v>39</v>
      </c>
      <c r="N101" s="1162">
        <v>30</v>
      </c>
      <c r="O101" s="1162">
        <v>30</v>
      </c>
      <c r="P101" s="1163">
        <v>44</v>
      </c>
      <c r="Q101" s="1162">
        <v>46</v>
      </c>
      <c r="R101" s="1162">
        <v>38</v>
      </c>
      <c r="S101" s="1163">
        <v>61</v>
      </c>
      <c r="T101" s="1162">
        <v>43</v>
      </c>
      <c r="U101" s="1162">
        <v>40</v>
      </c>
      <c r="V101" s="1163">
        <v>57</v>
      </c>
      <c r="W101" s="1162">
        <v>49</v>
      </c>
      <c r="X101" s="1162">
        <v>47</v>
      </c>
      <c r="Y101" s="1163">
        <v>65</v>
      </c>
      <c r="Z101" s="1162">
        <v>43</v>
      </c>
      <c r="AA101" s="1162">
        <v>33</v>
      </c>
      <c r="AB101" s="1163">
        <v>47</v>
      </c>
      <c r="AC101" s="1162">
        <v>47</v>
      </c>
      <c r="AD101" s="1162">
        <v>56</v>
      </c>
      <c r="AE101" s="1163">
        <v>48</v>
      </c>
      <c r="AF101" s="1162">
        <v>48</v>
      </c>
      <c r="AG101" s="1162">
        <v>43</v>
      </c>
      <c r="AH101" s="1163">
        <v>46</v>
      </c>
      <c r="AI101" s="1162">
        <v>40</v>
      </c>
      <c r="AJ101" s="1162">
        <v>40</v>
      </c>
      <c r="AK101" s="1163">
        <v>54</v>
      </c>
      <c r="AL101" s="1162">
        <v>50</v>
      </c>
      <c r="AM101" s="1162">
        <v>46</v>
      </c>
      <c r="AN101" s="1163">
        <v>57</v>
      </c>
      <c r="AO101" s="1162">
        <v>51</v>
      </c>
      <c r="AP101" s="1162">
        <v>49</v>
      </c>
      <c r="AQ101" s="1163">
        <v>48</v>
      </c>
      <c r="AR101" s="1162">
        <v>45</v>
      </c>
      <c r="AS101" s="1162">
        <v>36</v>
      </c>
      <c r="AT101" s="1163">
        <v>41</v>
      </c>
      <c r="AU101" s="1162">
        <v>35</v>
      </c>
      <c r="AV101" s="1162">
        <v>35</v>
      </c>
      <c r="AW101" s="1163">
        <v>37</v>
      </c>
    </row>
    <row r="102" spans="1:49" ht="15" customHeight="1" x14ac:dyDescent="0.25">
      <c r="A102" s="6322"/>
      <c r="B102" s="6195"/>
      <c r="C102" s="6309"/>
      <c r="D102" s="4533" t="s">
        <v>384</v>
      </c>
      <c r="E102" s="1161">
        <v>5</v>
      </c>
      <c r="F102" s="1162">
        <v>5</v>
      </c>
      <c r="G102" s="1162">
        <v>5</v>
      </c>
      <c r="H102" s="1161">
        <v>1</v>
      </c>
      <c r="I102" s="1162">
        <v>1</v>
      </c>
      <c r="J102" s="1162">
        <v>1</v>
      </c>
      <c r="K102" s="1161"/>
      <c r="L102" s="1162"/>
      <c r="M102" s="1163"/>
      <c r="N102" s="1162"/>
      <c r="O102" s="1162"/>
      <c r="P102" s="1163"/>
      <c r="Q102" s="1162"/>
      <c r="R102" s="1162"/>
      <c r="S102" s="1163"/>
      <c r="T102" s="1162"/>
      <c r="U102" s="1162"/>
      <c r="V102" s="1163"/>
      <c r="W102" s="1162"/>
      <c r="X102" s="1162">
        <v>1</v>
      </c>
      <c r="Y102" s="1163">
        <v>1</v>
      </c>
      <c r="Z102" s="1162">
        <v>1</v>
      </c>
      <c r="AA102" s="1162" t="s">
        <v>227</v>
      </c>
      <c r="AB102" s="1163" t="s">
        <v>227</v>
      </c>
      <c r="AC102" s="1162"/>
      <c r="AD102" s="1162"/>
      <c r="AE102" s="1163"/>
      <c r="AF102" s="1162">
        <v>8</v>
      </c>
      <c r="AG102" s="1162">
        <v>8</v>
      </c>
      <c r="AH102" s="1163">
        <v>16</v>
      </c>
      <c r="AI102" s="1162">
        <v>16</v>
      </c>
      <c r="AJ102" s="1162">
        <v>16</v>
      </c>
      <c r="AK102" s="1163">
        <v>26</v>
      </c>
      <c r="AL102" s="1162">
        <v>26</v>
      </c>
      <c r="AM102" s="1162">
        <v>24</v>
      </c>
      <c r="AN102" s="1163">
        <v>35</v>
      </c>
      <c r="AO102" s="1162">
        <v>27</v>
      </c>
      <c r="AP102" s="1162">
        <v>26</v>
      </c>
      <c r="AQ102" s="1163">
        <v>39</v>
      </c>
      <c r="AR102" s="1162">
        <v>34</v>
      </c>
      <c r="AS102" s="1162">
        <v>31</v>
      </c>
      <c r="AT102" s="1163">
        <v>41</v>
      </c>
      <c r="AU102" s="1162">
        <v>36</v>
      </c>
      <c r="AV102" s="1162">
        <v>31</v>
      </c>
      <c r="AW102" s="1163">
        <v>43</v>
      </c>
    </row>
    <row r="103" spans="1:49" ht="15" customHeight="1" x14ac:dyDescent="0.25">
      <c r="A103" s="6322"/>
      <c r="B103" s="6195"/>
      <c r="C103" s="6309"/>
      <c r="D103" s="4525" t="s">
        <v>385</v>
      </c>
      <c r="E103" s="1161">
        <v>24</v>
      </c>
      <c r="F103" s="1162">
        <v>24</v>
      </c>
      <c r="G103" s="1162">
        <v>22</v>
      </c>
      <c r="H103" s="1161">
        <v>24</v>
      </c>
      <c r="I103" s="1162">
        <v>22</v>
      </c>
      <c r="J103" s="1162">
        <v>20</v>
      </c>
      <c r="K103" s="1161">
        <v>20</v>
      </c>
      <c r="L103" s="1162">
        <v>18</v>
      </c>
      <c r="M103" s="1163">
        <v>22</v>
      </c>
      <c r="N103" s="1162">
        <v>17</v>
      </c>
      <c r="O103" s="1162">
        <v>15</v>
      </c>
      <c r="P103" s="1163">
        <v>22</v>
      </c>
      <c r="Q103" s="1162">
        <v>20</v>
      </c>
      <c r="R103" s="1162">
        <v>18</v>
      </c>
      <c r="S103" s="1163">
        <v>34</v>
      </c>
      <c r="T103" s="1162">
        <v>30</v>
      </c>
      <c r="U103" s="1162">
        <v>27</v>
      </c>
      <c r="V103" s="1163">
        <v>40</v>
      </c>
      <c r="W103" s="1162">
        <v>30</v>
      </c>
      <c r="X103" s="1162">
        <v>29</v>
      </c>
      <c r="Y103" s="1163">
        <v>50</v>
      </c>
      <c r="Z103" s="1162">
        <v>44</v>
      </c>
      <c r="AA103" s="1162">
        <v>39</v>
      </c>
      <c r="AB103" s="1163">
        <v>57</v>
      </c>
      <c r="AC103" s="1162">
        <v>58</v>
      </c>
      <c r="AD103" s="1162">
        <v>43</v>
      </c>
      <c r="AE103" s="1163">
        <v>66</v>
      </c>
      <c r="AF103" s="1162">
        <v>54</v>
      </c>
      <c r="AG103" s="1162">
        <v>48</v>
      </c>
      <c r="AH103" s="1163">
        <v>59</v>
      </c>
      <c r="AI103" s="1162">
        <v>47</v>
      </c>
      <c r="AJ103" s="1162">
        <v>45</v>
      </c>
      <c r="AK103" s="1163">
        <v>52</v>
      </c>
      <c r="AL103" s="1162">
        <v>41</v>
      </c>
      <c r="AM103" s="1162">
        <v>36</v>
      </c>
      <c r="AN103" s="1163">
        <v>47</v>
      </c>
      <c r="AO103" s="1162">
        <v>38</v>
      </c>
      <c r="AP103" s="1162">
        <v>35</v>
      </c>
      <c r="AQ103" s="1163">
        <v>39</v>
      </c>
      <c r="AR103" s="1162">
        <v>34</v>
      </c>
      <c r="AS103" s="1162">
        <v>29</v>
      </c>
      <c r="AT103" s="1163">
        <v>40</v>
      </c>
      <c r="AU103" s="1162">
        <v>30</v>
      </c>
      <c r="AV103" s="1162">
        <v>28</v>
      </c>
      <c r="AW103" s="1163">
        <v>35</v>
      </c>
    </row>
    <row r="104" spans="1:49" ht="15" customHeight="1" x14ac:dyDescent="0.25">
      <c r="A104" s="6322"/>
      <c r="B104" s="6195"/>
      <c r="C104" s="6310"/>
      <c r="D104" s="4533" t="s">
        <v>87</v>
      </c>
      <c r="E104" s="1161">
        <v>33</v>
      </c>
      <c r="F104" s="1162">
        <v>33</v>
      </c>
      <c r="G104" s="1162">
        <v>39</v>
      </c>
      <c r="H104" s="1161">
        <v>33</v>
      </c>
      <c r="I104" s="1162">
        <v>27</v>
      </c>
      <c r="J104" s="1162">
        <v>33</v>
      </c>
      <c r="K104" s="1161">
        <v>23</v>
      </c>
      <c r="L104" s="1162">
        <v>20</v>
      </c>
      <c r="M104" s="1163">
        <v>25</v>
      </c>
      <c r="N104" s="1162">
        <v>19</v>
      </c>
      <c r="O104" s="1162">
        <v>17</v>
      </c>
      <c r="P104" s="1163">
        <v>25</v>
      </c>
      <c r="Q104" s="1162">
        <v>22</v>
      </c>
      <c r="R104" s="1162">
        <v>22</v>
      </c>
      <c r="S104" s="1163">
        <v>31</v>
      </c>
      <c r="T104" s="1162">
        <v>32</v>
      </c>
      <c r="U104" s="1162">
        <v>27</v>
      </c>
      <c r="V104" s="1163">
        <v>47</v>
      </c>
      <c r="W104" s="1162">
        <v>44</v>
      </c>
      <c r="X104" s="1162">
        <v>45</v>
      </c>
      <c r="Y104" s="1163">
        <v>50</v>
      </c>
      <c r="Z104" s="1162">
        <v>46</v>
      </c>
      <c r="AA104" s="1162">
        <v>42</v>
      </c>
      <c r="AB104" s="1163">
        <v>49</v>
      </c>
      <c r="AC104" s="1162">
        <v>46</v>
      </c>
      <c r="AD104" s="1162">
        <v>40</v>
      </c>
      <c r="AE104" s="1163">
        <v>60</v>
      </c>
      <c r="AF104" s="1162">
        <v>55</v>
      </c>
      <c r="AG104" s="1162">
        <v>52</v>
      </c>
      <c r="AH104" s="1163">
        <v>56</v>
      </c>
      <c r="AI104" s="1162">
        <v>56</v>
      </c>
      <c r="AJ104" s="1162">
        <v>55</v>
      </c>
      <c r="AK104" s="1163">
        <v>69</v>
      </c>
      <c r="AL104" s="1162">
        <v>62</v>
      </c>
      <c r="AM104" s="1162">
        <v>52</v>
      </c>
      <c r="AN104" s="1163">
        <v>59</v>
      </c>
      <c r="AO104" s="1162">
        <v>56</v>
      </c>
      <c r="AP104" s="1162">
        <v>58</v>
      </c>
      <c r="AQ104" s="1163">
        <v>66</v>
      </c>
      <c r="AR104" s="1162">
        <v>62</v>
      </c>
      <c r="AS104" s="1162">
        <v>54</v>
      </c>
      <c r="AT104" s="1163">
        <v>62</v>
      </c>
      <c r="AU104" s="1162">
        <v>51</v>
      </c>
      <c r="AV104" s="1162">
        <v>48</v>
      </c>
      <c r="AW104" s="1163">
        <v>52</v>
      </c>
    </row>
    <row r="105" spans="1:49" ht="15" customHeight="1" x14ac:dyDescent="0.25">
      <c r="A105" s="6322"/>
      <c r="B105" s="6195"/>
      <c r="C105" s="6308" t="s">
        <v>520</v>
      </c>
      <c r="D105" s="4525" t="s">
        <v>383</v>
      </c>
      <c r="E105" s="1161">
        <v>54</v>
      </c>
      <c r="F105" s="1162">
        <v>50</v>
      </c>
      <c r="G105" s="1162">
        <v>49</v>
      </c>
      <c r="H105" s="1161">
        <v>48</v>
      </c>
      <c r="I105" s="1162">
        <v>45</v>
      </c>
      <c r="J105" s="1162">
        <v>55</v>
      </c>
      <c r="K105" s="1161">
        <v>62</v>
      </c>
      <c r="L105" s="1162">
        <v>61</v>
      </c>
      <c r="M105" s="1163">
        <v>67</v>
      </c>
      <c r="N105" s="1162">
        <v>69</v>
      </c>
      <c r="O105" s="1162">
        <v>68</v>
      </c>
      <c r="P105" s="1163">
        <v>69</v>
      </c>
      <c r="Q105" s="1162">
        <v>67</v>
      </c>
      <c r="R105" s="1162">
        <v>71</v>
      </c>
      <c r="S105" s="1163">
        <v>65</v>
      </c>
      <c r="T105" s="1162">
        <v>72</v>
      </c>
      <c r="U105" s="1162">
        <v>68</v>
      </c>
      <c r="V105" s="1163">
        <v>77</v>
      </c>
      <c r="W105" s="1162">
        <v>82</v>
      </c>
      <c r="X105" s="1162">
        <v>77</v>
      </c>
      <c r="Y105" s="1163">
        <v>73</v>
      </c>
      <c r="Z105" s="1162">
        <v>97</v>
      </c>
      <c r="AA105" s="1162">
        <v>86</v>
      </c>
      <c r="AB105" s="1163">
        <v>91</v>
      </c>
      <c r="AC105" s="1162">
        <v>90</v>
      </c>
      <c r="AD105" s="1162">
        <v>81</v>
      </c>
      <c r="AE105" s="1163">
        <v>97</v>
      </c>
      <c r="AF105" s="1162">
        <v>98</v>
      </c>
      <c r="AG105" s="1162">
        <v>94</v>
      </c>
      <c r="AH105" s="1163">
        <v>103</v>
      </c>
      <c r="AI105" s="1162">
        <v>103</v>
      </c>
      <c r="AJ105" s="1162">
        <v>96</v>
      </c>
      <c r="AK105" s="1163">
        <v>101</v>
      </c>
      <c r="AL105" s="1162">
        <v>105</v>
      </c>
      <c r="AM105" s="1162">
        <v>100</v>
      </c>
      <c r="AN105" s="1163">
        <v>100</v>
      </c>
      <c r="AO105" s="1162">
        <v>96</v>
      </c>
      <c r="AP105" s="1162">
        <v>93</v>
      </c>
      <c r="AQ105" s="1163">
        <v>105</v>
      </c>
      <c r="AR105" s="1162">
        <v>101</v>
      </c>
      <c r="AS105" s="1162">
        <v>94</v>
      </c>
      <c r="AT105" s="1163">
        <v>95</v>
      </c>
      <c r="AU105" s="1162">
        <v>103</v>
      </c>
      <c r="AV105" s="1162">
        <v>96</v>
      </c>
      <c r="AW105" s="1163">
        <v>106</v>
      </c>
    </row>
    <row r="106" spans="1:49" ht="15" customHeight="1" x14ac:dyDescent="0.25">
      <c r="A106" s="6322"/>
      <c r="B106" s="6195"/>
      <c r="C106" s="6309"/>
      <c r="D106" s="4525" t="s">
        <v>386</v>
      </c>
      <c r="E106" s="1161">
        <v>21</v>
      </c>
      <c r="F106" s="1162">
        <v>21</v>
      </c>
      <c r="G106" s="1162">
        <v>21</v>
      </c>
      <c r="H106" s="1161">
        <v>26</v>
      </c>
      <c r="I106" s="1162">
        <v>26</v>
      </c>
      <c r="J106" s="1162">
        <v>24</v>
      </c>
      <c r="K106" s="1161">
        <v>32</v>
      </c>
      <c r="L106" s="1162">
        <v>31</v>
      </c>
      <c r="M106" s="1163">
        <v>33</v>
      </c>
      <c r="N106" s="1162">
        <v>32</v>
      </c>
      <c r="O106" s="1162">
        <v>32</v>
      </c>
      <c r="P106" s="1163">
        <v>31</v>
      </c>
      <c r="Q106" s="1162">
        <v>34</v>
      </c>
      <c r="R106" s="1162">
        <v>36</v>
      </c>
      <c r="S106" s="1163">
        <v>37</v>
      </c>
      <c r="T106" s="1162">
        <v>36</v>
      </c>
      <c r="U106" s="1162">
        <v>33</v>
      </c>
      <c r="V106" s="1163">
        <v>34</v>
      </c>
      <c r="W106" s="1162">
        <v>40</v>
      </c>
      <c r="X106" s="1162">
        <v>37</v>
      </c>
      <c r="Y106" s="1163">
        <v>38</v>
      </c>
      <c r="Z106" s="1162">
        <v>41</v>
      </c>
      <c r="AA106" s="1162">
        <v>41</v>
      </c>
      <c r="AB106" s="1163">
        <v>45</v>
      </c>
      <c r="AC106" s="1162">
        <v>47</v>
      </c>
      <c r="AD106" s="1162">
        <v>46</v>
      </c>
      <c r="AE106" s="1163">
        <v>54</v>
      </c>
      <c r="AF106" s="1162">
        <v>63</v>
      </c>
      <c r="AG106" s="1162">
        <v>60</v>
      </c>
      <c r="AH106" s="1163">
        <v>61</v>
      </c>
      <c r="AI106" s="1162">
        <v>66</v>
      </c>
      <c r="AJ106" s="1162">
        <v>65</v>
      </c>
      <c r="AK106" s="1163">
        <v>64</v>
      </c>
      <c r="AL106" s="1162">
        <v>67</v>
      </c>
      <c r="AM106" s="1162">
        <v>64</v>
      </c>
      <c r="AN106" s="1163">
        <v>66</v>
      </c>
      <c r="AO106" s="1162">
        <v>68</v>
      </c>
      <c r="AP106" s="1162">
        <v>62</v>
      </c>
      <c r="AQ106" s="1163">
        <v>60</v>
      </c>
      <c r="AR106" s="1162">
        <v>56</v>
      </c>
      <c r="AS106" s="1162">
        <v>54</v>
      </c>
      <c r="AT106" s="1163">
        <v>54</v>
      </c>
      <c r="AU106" s="1162">
        <v>58</v>
      </c>
      <c r="AV106" s="1162">
        <v>51</v>
      </c>
      <c r="AW106" s="1163">
        <v>49</v>
      </c>
    </row>
    <row r="107" spans="1:49" ht="15" customHeight="1" x14ac:dyDescent="0.25">
      <c r="A107" s="6322"/>
      <c r="B107" s="6195"/>
      <c r="C107" s="6310"/>
      <c r="D107" s="4522" t="s">
        <v>359</v>
      </c>
      <c r="E107" s="1164">
        <v>75</v>
      </c>
      <c r="F107" s="1165">
        <v>77</v>
      </c>
      <c r="G107" s="1165">
        <v>69</v>
      </c>
      <c r="H107" s="1164">
        <v>76</v>
      </c>
      <c r="I107" s="1165">
        <v>72</v>
      </c>
      <c r="J107" s="1165">
        <v>58</v>
      </c>
      <c r="K107" s="1164">
        <v>62</v>
      </c>
      <c r="L107" s="1165">
        <v>63</v>
      </c>
      <c r="M107" s="1166">
        <v>54</v>
      </c>
      <c r="N107" s="1165">
        <v>54</v>
      </c>
      <c r="O107" s="1165">
        <v>47</v>
      </c>
      <c r="P107" s="1166">
        <v>50</v>
      </c>
      <c r="Q107" s="1165">
        <v>51</v>
      </c>
      <c r="R107" s="1165">
        <v>44</v>
      </c>
      <c r="S107" s="1166">
        <v>41</v>
      </c>
      <c r="T107" s="1165">
        <v>39</v>
      </c>
      <c r="U107" s="1165">
        <v>33</v>
      </c>
      <c r="V107" s="1166">
        <v>41</v>
      </c>
      <c r="W107" s="1165">
        <v>41</v>
      </c>
      <c r="X107" s="1165">
        <v>47</v>
      </c>
      <c r="Y107" s="1166">
        <v>52</v>
      </c>
      <c r="Z107" s="1165">
        <v>50</v>
      </c>
      <c r="AA107" s="1165">
        <v>51</v>
      </c>
      <c r="AB107" s="1166">
        <v>60</v>
      </c>
      <c r="AC107" s="1165">
        <v>61</v>
      </c>
      <c r="AD107" s="1165">
        <v>54</v>
      </c>
      <c r="AE107" s="1166">
        <v>58</v>
      </c>
      <c r="AF107" s="1165">
        <v>68</v>
      </c>
      <c r="AG107" s="1165">
        <v>64</v>
      </c>
      <c r="AH107" s="1166">
        <v>75</v>
      </c>
      <c r="AI107" s="1165">
        <v>77</v>
      </c>
      <c r="AJ107" s="1165">
        <v>77</v>
      </c>
      <c r="AK107" s="1166">
        <v>79</v>
      </c>
      <c r="AL107" s="1165">
        <v>86</v>
      </c>
      <c r="AM107" s="1165">
        <v>85</v>
      </c>
      <c r="AN107" s="1166">
        <v>95</v>
      </c>
      <c r="AO107" s="1165">
        <v>102</v>
      </c>
      <c r="AP107" s="1165">
        <v>93</v>
      </c>
      <c r="AQ107" s="1166">
        <v>99</v>
      </c>
      <c r="AR107" s="1165">
        <v>110</v>
      </c>
      <c r="AS107" s="1165">
        <v>105</v>
      </c>
      <c r="AT107" s="1166">
        <v>110</v>
      </c>
      <c r="AU107" s="1165">
        <v>109</v>
      </c>
      <c r="AV107" s="1165">
        <v>108</v>
      </c>
      <c r="AW107" s="1166">
        <v>108</v>
      </c>
    </row>
    <row r="108" spans="1:49" ht="15" customHeight="1" x14ac:dyDescent="0.2">
      <c r="A108" s="6322"/>
      <c r="B108" s="6196"/>
      <c r="C108" s="5153"/>
      <c r="D108" s="4538" t="s">
        <v>160</v>
      </c>
      <c r="E108" s="1169">
        <f t="shared" ref="E108:AT108" si="14">SUM(E98:E107)</f>
        <v>279</v>
      </c>
      <c r="F108" s="1170">
        <f t="shared" si="14"/>
        <v>277</v>
      </c>
      <c r="G108" s="1170">
        <f t="shared" si="14"/>
        <v>290</v>
      </c>
      <c r="H108" s="1169">
        <f t="shared" si="14"/>
        <v>282</v>
      </c>
      <c r="I108" s="1170">
        <f t="shared" si="14"/>
        <v>269</v>
      </c>
      <c r="J108" s="1170">
        <f t="shared" si="14"/>
        <v>266</v>
      </c>
      <c r="K108" s="1169">
        <f t="shared" si="14"/>
        <v>261</v>
      </c>
      <c r="L108" s="1170">
        <f t="shared" si="14"/>
        <v>254</v>
      </c>
      <c r="M108" s="1171">
        <f t="shared" si="14"/>
        <v>275</v>
      </c>
      <c r="N108" s="1170">
        <f t="shared" si="14"/>
        <v>261</v>
      </c>
      <c r="O108" s="1170">
        <f t="shared" si="14"/>
        <v>251</v>
      </c>
      <c r="P108" s="1171">
        <f t="shared" si="14"/>
        <v>279</v>
      </c>
      <c r="Q108" s="1170">
        <f t="shared" si="14"/>
        <v>274</v>
      </c>
      <c r="R108" s="1170">
        <f t="shared" si="14"/>
        <v>274</v>
      </c>
      <c r="S108" s="1171">
        <f t="shared" si="14"/>
        <v>316</v>
      </c>
      <c r="T108" s="1170">
        <f t="shared" si="14"/>
        <v>292</v>
      </c>
      <c r="U108" s="1170">
        <f t="shared" si="14"/>
        <v>266</v>
      </c>
      <c r="V108" s="1171">
        <f t="shared" si="14"/>
        <v>340</v>
      </c>
      <c r="W108" s="1170">
        <f t="shared" si="14"/>
        <v>327</v>
      </c>
      <c r="X108" s="1170">
        <f t="shared" si="14"/>
        <v>322</v>
      </c>
      <c r="Y108" s="1171">
        <f t="shared" si="14"/>
        <v>368</v>
      </c>
      <c r="Z108" s="1170">
        <f t="shared" si="14"/>
        <v>364</v>
      </c>
      <c r="AA108" s="1170">
        <f t="shared" si="14"/>
        <v>333</v>
      </c>
      <c r="AB108" s="1171">
        <f t="shared" si="14"/>
        <v>395</v>
      </c>
      <c r="AC108" s="1170">
        <f t="shared" si="14"/>
        <v>387</v>
      </c>
      <c r="AD108" s="1170">
        <f t="shared" si="14"/>
        <v>351</v>
      </c>
      <c r="AE108" s="1171">
        <f t="shared" si="14"/>
        <v>424</v>
      </c>
      <c r="AF108" s="1170">
        <f t="shared" si="14"/>
        <v>432</v>
      </c>
      <c r="AG108" s="1170">
        <f t="shared" si="14"/>
        <v>416</v>
      </c>
      <c r="AH108" s="1171">
        <f t="shared" si="14"/>
        <v>469</v>
      </c>
      <c r="AI108" s="1170">
        <f t="shared" si="14"/>
        <v>451</v>
      </c>
      <c r="AJ108" s="1170">
        <f t="shared" si="14"/>
        <v>433</v>
      </c>
      <c r="AK108" s="1171">
        <f t="shared" si="14"/>
        <v>486</v>
      </c>
      <c r="AL108" s="1170">
        <f t="shared" si="14"/>
        <v>476</v>
      </c>
      <c r="AM108" s="1170">
        <f t="shared" si="14"/>
        <v>442</v>
      </c>
      <c r="AN108" s="1171">
        <f t="shared" si="14"/>
        <v>500</v>
      </c>
      <c r="AO108" s="1170">
        <f t="shared" si="14"/>
        <v>477</v>
      </c>
      <c r="AP108" s="1170">
        <f t="shared" si="14"/>
        <v>457</v>
      </c>
      <c r="AQ108" s="1171">
        <f t="shared" si="14"/>
        <v>491</v>
      </c>
      <c r="AR108" s="1170">
        <f t="shared" si="14"/>
        <v>472</v>
      </c>
      <c r="AS108" s="1170">
        <f t="shared" si="14"/>
        <v>429</v>
      </c>
      <c r="AT108" s="1171">
        <f t="shared" si="14"/>
        <v>469</v>
      </c>
      <c r="AU108" s="1170">
        <f>SUM(AU98:AU107)</f>
        <v>442</v>
      </c>
      <c r="AV108" s="1170">
        <f>SUM(AV98:AV107)</f>
        <v>423</v>
      </c>
      <c r="AW108" s="1171">
        <f>SUM(AW98:AW107)</f>
        <v>457</v>
      </c>
    </row>
    <row r="109" spans="1:49" ht="15" customHeight="1" x14ac:dyDescent="0.2">
      <c r="A109" s="6323"/>
      <c r="B109" s="4699"/>
      <c r="C109" s="4699"/>
      <c r="D109" s="4718" t="s">
        <v>444</v>
      </c>
      <c r="E109" s="4675">
        <f t="shared" ref="E109:AT109" si="15">SUM(E108,E97,E79)</f>
        <v>906</v>
      </c>
      <c r="F109" s="4719">
        <f t="shared" si="15"/>
        <v>865</v>
      </c>
      <c r="G109" s="4719">
        <f t="shared" si="15"/>
        <v>950</v>
      </c>
      <c r="H109" s="4675">
        <f t="shared" si="15"/>
        <v>904</v>
      </c>
      <c r="I109" s="4719">
        <f t="shared" si="15"/>
        <v>879</v>
      </c>
      <c r="J109" s="4719">
        <f t="shared" si="15"/>
        <v>947</v>
      </c>
      <c r="K109" s="4675">
        <f t="shared" si="15"/>
        <v>1002</v>
      </c>
      <c r="L109" s="4719">
        <f t="shared" si="15"/>
        <v>942</v>
      </c>
      <c r="M109" s="4720">
        <f t="shared" si="15"/>
        <v>930</v>
      </c>
      <c r="N109" s="4719">
        <f t="shared" si="15"/>
        <v>1007</v>
      </c>
      <c r="O109" s="4719">
        <f t="shared" si="15"/>
        <v>968</v>
      </c>
      <c r="P109" s="4720">
        <f t="shared" si="15"/>
        <v>1022</v>
      </c>
      <c r="Q109" s="4719">
        <f t="shared" si="15"/>
        <v>1110</v>
      </c>
      <c r="R109" s="4719">
        <f t="shared" si="15"/>
        <v>1040</v>
      </c>
      <c r="S109" s="4720">
        <f t="shared" si="15"/>
        <v>1091</v>
      </c>
      <c r="T109" s="4719">
        <f t="shared" si="15"/>
        <v>1097</v>
      </c>
      <c r="U109" s="4719">
        <f t="shared" si="15"/>
        <v>973</v>
      </c>
      <c r="V109" s="4720">
        <f t="shared" si="15"/>
        <v>1252</v>
      </c>
      <c r="W109" s="4719">
        <f t="shared" si="15"/>
        <v>1146</v>
      </c>
      <c r="X109" s="4719">
        <f t="shared" si="15"/>
        <v>1194</v>
      </c>
      <c r="Y109" s="4720">
        <f t="shared" si="15"/>
        <v>1303</v>
      </c>
      <c r="Z109" s="4719">
        <f t="shared" si="15"/>
        <v>1304</v>
      </c>
      <c r="AA109" s="4719">
        <f t="shared" si="15"/>
        <v>1111</v>
      </c>
      <c r="AB109" s="4720">
        <f t="shared" si="15"/>
        <v>1434</v>
      </c>
      <c r="AC109" s="4719">
        <f t="shared" si="15"/>
        <v>1537</v>
      </c>
      <c r="AD109" s="4719">
        <f t="shared" si="15"/>
        <v>1362</v>
      </c>
      <c r="AE109" s="4720">
        <f t="shared" si="15"/>
        <v>1552</v>
      </c>
      <c r="AF109" s="4719">
        <f t="shared" si="15"/>
        <v>1531</v>
      </c>
      <c r="AG109" s="4719">
        <f t="shared" si="15"/>
        <v>1458</v>
      </c>
      <c r="AH109" s="4720">
        <f t="shared" si="15"/>
        <v>1522</v>
      </c>
      <c r="AI109" s="4719">
        <f t="shared" si="15"/>
        <v>1597</v>
      </c>
      <c r="AJ109" s="4719">
        <f t="shared" si="15"/>
        <v>1543</v>
      </c>
      <c r="AK109" s="4720">
        <f t="shared" si="15"/>
        <v>1616</v>
      </c>
      <c r="AL109" s="4719">
        <f t="shared" si="15"/>
        <v>1567</v>
      </c>
      <c r="AM109" s="4719">
        <f t="shared" si="15"/>
        <v>1464</v>
      </c>
      <c r="AN109" s="4720">
        <f t="shared" si="15"/>
        <v>1679</v>
      </c>
      <c r="AO109" s="4719">
        <f t="shared" si="15"/>
        <v>1554</v>
      </c>
      <c r="AP109" s="4719">
        <f t="shared" si="15"/>
        <v>1534</v>
      </c>
      <c r="AQ109" s="4720">
        <f t="shared" si="15"/>
        <v>1657</v>
      </c>
      <c r="AR109" s="4719">
        <f t="shared" si="15"/>
        <v>1584</v>
      </c>
      <c r="AS109" s="4719">
        <f t="shared" si="15"/>
        <v>1464</v>
      </c>
      <c r="AT109" s="4720">
        <f t="shared" si="15"/>
        <v>1551</v>
      </c>
      <c r="AU109" s="4719">
        <f>SUM(AU108,AU97,AU79)</f>
        <v>1474</v>
      </c>
      <c r="AV109" s="4719">
        <f>SUM(AV108,AV97,AV79)</f>
        <v>1510</v>
      </c>
      <c r="AW109" s="4720">
        <f>SUM(AW108,AW97,AW79)</f>
        <v>1520</v>
      </c>
    </row>
    <row r="110" spans="1:49" ht="15" customHeight="1" x14ac:dyDescent="0.25">
      <c r="A110" s="6333" t="s">
        <v>10</v>
      </c>
      <c r="B110" s="6334" t="s">
        <v>6</v>
      </c>
      <c r="C110" s="6326" t="s">
        <v>522</v>
      </c>
      <c r="D110" s="4526" t="s">
        <v>58</v>
      </c>
      <c r="E110" s="1158">
        <v>7</v>
      </c>
      <c r="F110" s="1159">
        <v>6</v>
      </c>
      <c r="G110" s="1159"/>
      <c r="H110" s="1158"/>
      <c r="I110" s="1159"/>
      <c r="J110" s="1159">
        <v>5</v>
      </c>
      <c r="K110" s="1158">
        <v>3</v>
      </c>
      <c r="L110" s="1159">
        <v>3</v>
      </c>
      <c r="M110" s="1160"/>
      <c r="N110" s="1159"/>
      <c r="O110" s="1159"/>
      <c r="P110" s="1160">
        <v>5</v>
      </c>
      <c r="Q110" s="1159">
        <v>16</v>
      </c>
      <c r="R110" s="1159">
        <v>2</v>
      </c>
      <c r="S110" s="1160">
        <v>16</v>
      </c>
      <c r="T110" s="1159">
        <v>4</v>
      </c>
      <c r="U110" s="1159">
        <v>4</v>
      </c>
      <c r="V110" s="1160">
        <v>22</v>
      </c>
      <c r="W110" s="1159">
        <v>2</v>
      </c>
      <c r="X110" s="1159">
        <v>2</v>
      </c>
      <c r="Y110" s="1160"/>
      <c r="Z110" s="1159" t="s">
        <v>227</v>
      </c>
      <c r="AA110" s="1159" t="s">
        <v>227</v>
      </c>
      <c r="AB110" s="1160">
        <v>19</v>
      </c>
      <c r="AC110" s="1159">
        <v>19</v>
      </c>
      <c r="AD110" s="1159">
        <v>19</v>
      </c>
      <c r="AE110" s="1160">
        <v>16</v>
      </c>
      <c r="AF110" s="1159"/>
      <c r="AG110" s="1159"/>
      <c r="AH110" s="1160"/>
      <c r="AI110" s="1159"/>
      <c r="AJ110" s="1159"/>
      <c r="AK110" s="1160"/>
      <c r="AL110" s="1159"/>
      <c r="AM110" s="1159"/>
      <c r="AN110" s="1160"/>
      <c r="AO110" s="1159"/>
      <c r="AP110" s="1159">
        <v>9</v>
      </c>
      <c r="AQ110" s="1160"/>
      <c r="AR110" s="1159"/>
      <c r="AS110" s="1159"/>
      <c r="AT110" s="1160"/>
      <c r="AU110" s="1159"/>
      <c r="AV110" s="1159"/>
      <c r="AW110" s="1160"/>
    </row>
    <row r="111" spans="1:49" ht="15" customHeight="1" x14ac:dyDescent="0.25">
      <c r="A111" s="6255"/>
      <c r="B111" s="6183"/>
      <c r="C111" s="6310"/>
      <c r="D111" s="4521" t="s">
        <v>388</v>
      </c>
      <c r="E111" s="1161">
        <v>17</v>
      </c>
      <c r="F111" s="1162">
        <v>16</v>
      </c>
      <c r="G111" s="1162">
        <v>16</v>
      </c>
      <c r="H111" s="1161"/>
      <c r="I111" s="1162"/>
      <c r="J111" s="1162">
        <v>1</v>
      </c>
      <c r="K111" s="1161">
        <v>1</v>
      </c>
      <c r="L111" s="1162">
        <v>1</v>
      </c>
      <c r="M111" s="1163"/>
      <c r="N111" s="1162"/>
      <c r="O111" s="1162"/>
      <c r="P111" s="1163"/>
      <c r="Q111" s="1162"/>
      <c r="R111" s="1162"/>
      <c r="S111" s="1163">
        <v>1</v>
      </c>
      <c r="T111" s="1162"/>
      <c r="U111" s="1162"/>
      <c r="V111" s="1163"/>
      <c r="W111" s="1162"/>
      <c r="X111" s="1162"/>
      <c r="Y111" s="1163">
        <v>2</v>
      </c>
      <c r="Z111" s="1184"/>
      <c r="AA111" s="1184"/>
      <c r="AB111" s="1047"/>
      <c r="AC111" s="1184">
        <v>3</v>
      </c>
      <c r="AD111" s="1184">
        <v>3</v>
      </c>
      <c r="AE111" s="1047">
        <v>41</v>
      </c>
      <c r="AF111" s="1184">
        <v>39</v>
      </c>
      <c r="AG111" s="1184">
        <v>40</v>
      </c>
      <c r="AH111" s="1047">
        <v>37</v>
      </c>
      <c r="AI111" s="1184">
        <v>28</v>
      </c>
      <c r="AJ111" s="1184">
        <v>4</v>
      </c>
      <c r="AK111" s="1047">
        <v>36</v>
      </c>
      <c r="AL111" s="1184">
        <v>37</v>
      </c>
      <c r="AM111" s="1184">
        <v>37</v>
      </c>
      <c r="AN111" s="1047">
        <v>33</v>
      </c>
      <c r="AO111" s="1184">
        <v>9</v>
      </c>
      <c r="AP111" s="1184"/>
      <c r="AQ111" s="1047">
        <v>9</v>
      </c>
      <c r="AR111" s="1184">
        <v>38</v>
      </c>
      <c r="AS111" s="1184">
        <v>38</v>
      </c>
      <c r="AT111" s="1047">
        <v>25</v>
      </c>
      <c r="AU111" s="1184">
        <v>36</v>
      </c>
      <c r="AV111" s="1184">
        <v>4</v>
      </c>
      <c r="AW111" s="1047">
        <v>33</v>
      </c>
    </row>
    <row r="112" spans="1:49" ht="15" customHeight="1" x14ac:dyDescent="0.25">
      <c r="A112" s="6255"/>
      <c r="B112" s="6183"/>
      <c r="C112" s="6326" t="s">
        <v>521</v>
      </c>
      <c r="D112" s="4521" t="s">
        <v>89</v>
      </c>
      <c r="E112" s="1161">
        <v>14</v>
      </c>
      <c r="F112" s="1162">
        <v>14</v>
      </c>
      <c r="G112" s="1162">
        <v>14</v>
      </c>
      <c r="H112" s="1161">
        <v>14</v>
      </c>
      <c r="I112" s="1162">
        <v>14</v>
      </c>
      <c r="J112" s="1162">
        <v>20</v>
      </c>
      <c r="K112" s="1161">
        <v>20</v>
      </c>
      <c r="L112" s="1162">
        <v>20</v>
      </c>
      <c r="M112" s="1163">
        <v>20</v>
      </c>
      <c r="N112" s="1162">
        <v>20</v>
      </c>
      <c r="O112" s="1162">
        <v>20</v>
      </c>
      <c r="P112" s="1163">
        <v>12</v>
      </c>
      <c r="Q112" s="1162"/>
      <c r="R112" s="1162">
        <v>12</v>
      </c>
      <c r="S112" s="1163">
        <v>12</v>
      </c>
      <c r="T112" s="1162">
        <v>21</v>
      </c>
      <c r="U112" s="1162">
        <v>21</v>
      </c>
      <c r="V112" s="1163">
        <v>9</v>
      </c>
      <c r="W112" s="1162">
        <v>27</v>
      </c>
      <c r="X112" s="1162">
        <v>26</v>
      </c>
      <c r="Y112" s="1163">
        <v>18</v>
      </c>
      <c r="Z112" s="1162">
        <v>17</v>
      </c>
      <c r="AA112" s="1162">
        <v>18</v>
      </c>
      <c r="AB112" s="1163">
        <v>3</v>
      </c>
      <c r="AC112" s="1162">
        <v>2</v>
      </c>
      <c r="AD112" s="1162"/>
      <c r="AE112" s="1163">
        <v>18</v>
      </c>
      <c r="AF112" s="1162">
        <v>17</v>
      </c>
      <c r="AG112" s="1162">
        <v>17</v>
      </c>
      <c r="AH112" s="1163">
        <v>23</v>
      </c>
      <c r="AI112" s="1162">
        <v>23</v>
      </c>
      <c r="AJ112" s="1162">
        <v>23</v>
      </c>
      <c r="AK112" s="1163">
        <v>23</v>
      </c>
      <c r="AL112" s="1162">
        <v>23</v>
      </c>
      <c r="AM112" s="1162">
        <v>23</v>
      </c>
      <c r="AN112" s="1163">
        <v>22</v>
      </c>
      <c r="AO112" s="1162">
        <v>22</v>
      </c>
      <c r="AP112" s="1162">
        <v>20</v>
      </c>
      <c r="AQ112" s="1163">
        <v>20</v>
      </c>
      <c r="AR112" s="1162">
        <v>20</v>
      </c>
      <c r="AS112" s="1162">
        <v>20</v>
      </c>
      <c r="AT112" s="1163">
        <v>25</v>
      </c>
      <c r="AU112" s="1162">
        <v>23</v>
      </c>
      <c r="AV112" s="1162">
        <v>24</v>
      </c>
      <c r="AW112" s="1163">
        <v>22</v>
      </c>
    </row>
    <row r="113" spans="1:49" ht="15" customHeight="1" x14ac:dyDescent="0.25">
      <c r="A113" s="6255"/>
      <c r="B113" s="6183"/>
      <c r="C113" s="6309"/>
      <c r="D113" s="4521" t="s">
        <v>389</v>
      </c>
      <c r="E113" s="1161">
        <v>13</v>
      </c>
      <c r="F113" s="1162">
        <v>16</v>
      </c>
      <c r="G113" s="1162">
        <v>44</v>
      </c>
      <c r="H113" s="1161">
        <v>29</v>
      </c>
      <c r="I113" s="1162">
        <v>28</v>
      </c>
      <c r="J113" s="1162">
        <v>25</v>
      </c>
      <c r="K113" s="1161">
        <v>25</v>
      </c>
      <c r="L113" s="1162">
        <v>25</v>
      </c>
      <c r="M113" s="1163">
        <v>30</v>
      </c>
      <c r="N113" s="1162">
        <v>30</v>
      </c>
      <c r="O113" s="1162">
        <v>30</v>
      </c>
      <c r="P113" s="1163">
        <v>31</v>
      </c>
      <c r="Q113" s="1162">
        <v>35</v>
      </c>
      <c r="R113" s="1162">
        <v>31</v>
      </c>
      <c r="S113" s="1163">
        <v>38</v>
      </c>
      <c r="T113" s="1162">
        <v>36</v>
      </c>
      <c r="U113" s="1162">
        <v>36</v>
      </c>
      <c r="V113" s="1163">
        <v>37</v>
      </c>
      <c r="W113" s="1162">
        <v>34</v>
      </c>
      <c r="X113" s="1162">
        <v>32</v>
      </c>
      <c r="Y113" s="1163">
        <v>38</v>
      </c>
      <c r="Z113" s="1162">
        <v>40</v>
      </c>
      <c r="AA113" s="1162">
        <v>40</v>
      </c>
      <c r="AB113" s="1163">
        <v>40</v>
      </c>
      <c r="AC113" s="1162">
        <v>41</v>
      </c>
      <c r="AD113" s="1162">
        <v>40</v>
      </c>
      <c r="AE113" s="1163">
        <v>6</v>
      </c>
      <c r="AF113" s="1162">
        <v>2</v>
      </c>
      <c r="AG113" s="1162">
        <v>2</v>
      </c>
      <c r="AH113" s="1163">
        <v>1</v>
      </c>
      <c r="AI113" s="1162">
        <v>36</v>
      </c>
      <c r="AJ113" s="1162">
        <v>41</v>
      </c>
      <c r="AK113" s="1163">
        <v>2</v>
      </c>
      <c r="AL113" s="1162"/>
      <c r="AM113" s="1162"/>
      <c r="AN113" s="1163">
        <v>33</v>
      </c>
      <c r="AO113" s="1162">
        <v>34</v>
      </c>
      <c r="AP113" s="1162">
        <v>36</v>
      </c>
      <c r="AQ113" s="1163">
        <v>40</v>
      </c>
      <c r="AR113" s="1162">
        <v>37</v>
      </c>
      <c r="AS113" s="1162">
        <v>36</v>
      </c>
      <c r="AT113" s="1163">
        <v>34</v>
      </c>
      <c r="AU113" s="1162">
        <v>33</v>
      </c>
      <c r="AV113" s="1162">
        <v>34</v>
      </c>
      <c r="AW113" s="1163">
        <v>2</v>
      </c>
    </row>
    <row r="114" spans="1:49" ht="15" customHeight="1" x14ac:dyDescent="0.25">
      <c r="A114" s="6255"/>
      <c r="B114" s="6183"/>
      <c r="C114" s="6309"/>
      <c r="D114" s="4523" t="s">
        <v>390</v>
      </c>
      <c r="E114" s="1161">
        <v>4</v>
      </c>
      <c r="F114" s="1162">
        <v>13</v>
      </c>
      <c r="G114" s="1162">
        <v>13</v>
      </c>
      <c r="H114" s="1161">
        <v>15</v>
      </c>
      <c r="I114" s="1162">
        <v>11</v>
      </c>
      <c r="J114" s="1162">
        <v>32</v>
      </c>
      <c r="K114" s="1161">
        <v>26</v>
      </c>
      <c r="L114" s="1162">
        <v>14</v>
      </c>
      <c r="M114" s="1163">
        <v>18</v>
      </c>
      <c r="N114" s="1162">
        <v>15</v>
      </c>
      <c r="O114" s="1162">
        <v>15</v>
      </c>
      <c r="P114" s="1163">
        <v>25</v>
      </c>
      <c r="Q114" s="1162">
        <v>24</v>
      </c>
      <c r="R114" s="1162">
        <v>23</v>
      </c>
      <c r="S114" s="1163">
        <v>23</v>
      </c>
      <c r="T114" s="1162">
        <v>22</v>
      </c>
      <c r="U114" s="1162">
        <v>23</v>
      </c>
      <c r="V114" s="1163">
        <v>34</v>
      </c>
      <c r="W114" s="1162">
        <v>30</v>
      </c>
      <c r="X114" s="1162">
        <v>33</v>
      </c>
      <c r="Y114" s="1163">
        <v>34</v>
      </c>
      <c r="Z114" s="1162">
        <v>32</v>
      </c>
      <c r="AA114" s="1162">
        <v>31</v>
      </c>
      <c r="AB114" s="1163">
        <v>38</v>
      </c>
      <c r="AC114" s="1162">
        <v>37</v>
      </c>
      <c r="AD114" s="1162">
        <v>32</v>
      </c>
      <c r="AE114" s="1163">
        <v>29</v>
      </c>
      <c r="AF114" s="1162">
        <v>32</v>
      </c>
      <c r="AG114" s="1162">
        <v>30</v>
      </c>
      <c r="AH114" s="1163">
        <v>50</v>
      </c>
      <c r="AI114" s="1162">
        <v>45</v>
      </c>
      <c r="AJ114" s="1162">
        <v>42</v>
      </c>
      <c r="AK114" s="1163">
        <v>41</v>
      </c>
      <c r="AL114" s="1162">
        <v>37</v>
      </c>
      <c r="AM114" s="1162">
        <v>34</v>
      </c>
      <c r="AN114" s="1163">
        <v>36</v>
      </c>
      <c r="AO114" s="1162">
        <v>32</v>
      </c>
      <c r="AP114" s="1162">
        <v>31</v>
      </c>
      <c r="AQ114" s="1163">
        <v>29</v>
      </c>
      <c r="AR114" s="1162">
        <v>30</v>
      </c>
      <c r="AS114" s="1162">
        <v>34</v>
      </c>
      <c r="AT114" s="1163">
        <v>25</v>
      </c>
      <c r="AU114" s="1162">
        <v>24</v>
      </c>
      <c r="AV114" s="1162">
        <v>24</v>
      </c>
      <c r="AW114" s="1163">
        <v>26</v>
      </c>
    </row>
    <row r="115" spans="1:49" ht="15" customHeight="1" x14ac:dyDescent="0.25">
      <c r="A115" s="6255"/>
      <c r="B115" s="6183"/>
      <c r="C115" s="6309"/>
      <c r="D115" s="4523" t="s">
        <v>1484</v>
      </c>
      <c r="E115" s="1161">
        <v>23</v>
      </c>
      <c r="F115" s="1162">
        <v>20</v>
      </c>
      <c r="G115" s="1162">
        <v>19</v>
      </c>
      <c r="H115" s="1161">
        <v>20</v>
      </c>
      <c r="I115" s="1162">
        <v>23</v>
      </c>
      <c r="J115" s="1162">
        <v>18</v>
      </c>
      <c r="K115" s="1161">
        <v>18</v>
      </c>
      <c r="L115" s="1162">
        <v>17</v>
      </c>
      <c r="M115" s="1163">
        <v>17</v>
      </c>
      <c r="N115" s="1162">
        <v>17</v>
      </c>
      <c r="O115" s="1162">
        <v>17</v>
      </c>
      <c r="P115" s="1163">
        <v>12</v>
      </c>
      <c r="Q115" s="1162">
        <v>12</v>
      </c>
      <c r="R115" s="1162">
        <v>10</v>
      </c>
      <c r="S115" s="1163">
        <v>10</v>
      </c>
      <c r="T115" s="1162">
        <v>10</v>
      </c>
      <c r="U115" s="1162">
        <v>11</v>
      </c>
      <c r="V115" s="1163">
        <v>31</v>
      </c>
      <c r="W115" s="1162">
        <v>24</v>
      </c>
      <c r="X115" s="1162">
        <v>23</v>
      </c>
      <c r="Y115" s="1163">
        <v>25</v>
      </c>
      <c r="Z115" s="1162">
        <v>21</v>
      </c>
      <c r="AA115" s="1162">
        <v>28</v>
      </c>
      <c r="AB115" s="1163">
        <v>31</v>
      </c>
      <c r="AC115" s="1162">
        <v>27</v>
      </c>
      <c r="AD115" s="1162">
        <v>26</v>
      </c>
      <c r="AE115" s="1163">
        <v>25</v>
      </c>
      <c r="AF115" s="1162">
        <v>23</v>
      </c>
      <c r="AG115" s="1162">
        <v>24</v>
      </c>
      <c r="AH115" s="1163">
        <v>28</v>
      </c>
      <c r="AI115" s="1162">
        <v>24</v>
      </c>
      <c r="AJ115" s="1162">
        <v>24</v>
      </c>
      <c r="AK115" s="1163">
        <v>22</v>
      </c>
      <c r="AL115" s="1162">
        <v>21</v>
      </c>
      <c r="AM115" s="1162">
        <v>21</v>
      </c>
      <c r="AN115" s="1163">
        <v>21</v>
      </c>
      <c r="AO115" s="1162">
        <v>14</v>
      </c>
      <c r="AP115" s="1162">
        <v>13</v>
      </c>
      <c r="AQ115" s="1163">
        <v>13</v>
      </c>
      <c r="AR115" s="1162">
        <v>13</v>
      </c>
      <c r="AS115" s="1162">
        <v>12</v>
      </c>
      <c r="AT115" s="1163">
        <v>18</v>
      </c>
      <c r="AU115" s="1162">
        <v>18</v>
      </c>
      <c r="AV115" s="1162">
        <v>18</v>
      </c>
      <c r="AW115" s="1163">
        <v>18</v>
      </c>
    </row>
    <row r="116" spans="1:49" ht="15" customHeight="1" x14ac:dyDescent="0.25">
      <c r="A116" s="6255"/>
      <c r="B116" s="6183"/>
      <c r="C116" s="6309"/>
      <c r="D116" s="4523" t="s">
        <v>19</v>
      </c>
      <c r="E116" s="1161">
        <v>26</v>
      </c>
      <c r="F116" s="1162">
        <v>26</v>
      </c>
      <c r="G116" s="1162">
        <v>25</v>
      </c>
      <c r="H116" s="1161">
        <v>26</v>
      </c>
      <c r="I116" s="1162">
        <v>25</v>
      </c>
      <c r="J116" s="1162">
        <v>24</v>
      </c>
      <c r="K116" s="1161">
        <v>20</v>
      </c>
      <c r="L116" s="1162">
        <v>18</v>
      </c>
      <c r="M116" s="1163">
        <v>17</v>
      </c>
      <c r="N116" s="1162">
        <v>14</v>
      </c>
      <c r="O116" s="1162">
        <v>14</v>
      </c>
      <c r="P116" s="1163">
        <v>27</v>
      </c>
      <c r="Q116" s="1162">
        <v>25</v>
      </c>
      <c r="R116" s="1162">
        <v>23</v>
      </c>
      <c r="S116" s="1163">
        <v>23</v>
      </c>
      <c r="T116" s="1162">
        <v>22</v>
      </c>
      <c r="U116" s="1162">
        <v>21</v>
      </c>
      <c r="V116" s="1163">
        <v>30</v>
      </c>
      <c r="W116" s="1162">
        <v>32</v>
      </c>
      <c r="X116" s="1162">
        <v>29</v>
      </c>
      <c r="Y116" s="1163">
        <v>30</v>
      </c>
      <c r="Z116" s="1162">
        <v>27</v>
      </c>
      <c r="AA116" s="1162">
        <v>26</v>
      </c>
      <c r="AB116" s="1163">
        <v>20</v>
      </c>
      <c r="AC116" s="1162">
        <v>19</v>
      </c>
      <c r="AD116" s="1162">
        <v>23</v>
      </c>
      <c r="AE116" s="1163">
        <v>17</v>
      </c>
      <c r="AF116" s="1162">
        <v>17</v>
      </c>
      <c r="AG116" s="1162">
        <v>18</v>
      </c>
      <c r="AH116" s="1163">
        <v>32</v>
      </c>
      <c r="AI116" s="1162">
        <v>27</v>
      </c>
      <c r="AJ116" s="1162">
        <v>23</v>
      </c>
      <c r="AK116" s="1163">
        <v>22</v>
      </c>
      <c r="AL116" s="1162">
        <v>20</v>
      </c>
      <c r="AM116" s="1162">
        <v>21</v>
      </c>
      <c r="AN116" s="1163">
        <v>22</v>
      </c>
      <c r="AO116" s="1162">
        <v>20</v>
      </c>
      <c r="AP116" s="1162">
        <v>20</v>
      </c>
      <c r="AQ116" s="1163">
        <v>20</v>
      </c>
      <c r="AR116" s="1162">
        <v>20</v>
      </c>
      <c r="AS116" s="1162">
        <v>20</v>
      </c>
      <c r="AT116" s="1163">
        <v>29</v>
      </c>
      <c r="AU116" s="1162">
        <v>24</v>
      </c>
      <c r="AV116" s="1162">
        <v>24</v>
      </c>
      <c r="AW116" s="1163">
        <v>24</v>
      </c>
    </row>
    <row r="117" spans="1:49" ht="15" customHeight="1" x14ac:dyDescent="0.25">
      <c r="A117" s="6255"/>
      <c r="B117" s="6183"/>
      <c r="C117" s="6309"/>
      <c r="D117" s="4523" t="s">
        <v>88</v>
      </c>
      <c r="E117" s="1161">
        <v>23</v>
      </c>
      <c r="F117" s="1162">
        <v>23</v>
      </c>
      <c r="G117" s="1162">
        <v>23</v>
      </c>
      <c r="H117" s="1161">
        <v>24</v>
      </c>
      <c r="I117" s="1162">
        <v>24</v>
      </c>
      <c r="J117" s="1162">
        <v>18</v>
      </c>
      <c r="K117" s="1161">
        <v>12</v>
      </c>
      <c r="L117" s="1162">
        <v>16</v>
      </c>
      <c r="M117" s="1163">
        <v>15</v>
      </c>
      <c r="N117" s="1162">
        <v>12</v>
      </c>
      <c r="O117" s="1162">
        <v>12</v>
      </c>
      <c r="P117" s="1163">
        <v>26</v>
      </c>
      <c r="Q117" s="1162">
        <v>23</v>
      </c>
      <c r="R117" s="1162">
        <v>17</v>
      </c>
      <c r="S117" s="1163">
        <v>16</v>
      </c>
      <c r="T117" s="1162">
        <v>17</v>
      </c>
      <c r="U117" s="1162">
        <v>18</v>
      </c>
      <c r="V117" s="1163">
        <v>21</v>
      </c>
      <c r="W117" s="1162">
        <v>21</v>
      </c>
      <c r="X117" s="1162">
        <v>22</v>
      </c>
      <c r="Y117" s="1163">
        <v>23</v>
      </c>
      <c r="Z117" s="1162">
        <v>21</v>
      </c>
      <c r="AA117" s="1162">
        <v>22</v>
      </c>
      <c r="AB117" s="1163">
        <v>21</v>
      </c>
      <c r="AC117" s="1162">
        <v>20</v>
      </c>
      <c r="AD117" s="1162">
        <v>20</v>
      </c>
      <c r="AE117" s="1163">
        <v>20</v>
      </c>
      <c r="AF117" s="1162">
        <v>20</v>
      </c>
      <c r="AG117" s="1162">
        <v>19</v>
      </c>
      <c r="AH117" s="1163">
        <v>18</v>
      </c>
      <c r="AI117" s="1162">
        <v>15</v>
      </c>
      <c r="AJ117" s="1162">
        <v>12</v>
      </c>
      <c r="AK117" s="1163">
        <v>11</v>
      </c>
      <c r="AL117" s="1162">
        <v>10</v>
      </c>
      <c r="AM117" s="1162">
        <v>11</v>
      </c>
      <c r="AN117" s="1163">
        <v>19</v>
      </c>
      <c r="AO117" s="1162">
        <v>17</v>
      </c>
      <c r="AP117" s="1162">
        <v>18</v>
      </c>
      <c r="AQ117" s="1163">
        <v>18</v>
      </c>
      <c r="AR117" s="1162">
        <v>18</v>
      </c>
      <c r="AS117" s="1162">
        <v>16</v>
      </c>
      <c r="AT117" s="1163">
        <v>17</v>
      </c>
      <c r="AU117" s="1162">
        <v>20</v>
      </c>
      <c r="AV117" s="1162">
        <v>20</v>
      </c>
      <c r="AW117" s="1163">
        <v>20</v>
      </c>
    </row>
    <row r="118" spans="1:49" ht="15" customHeight="1" x14ac:dyDescent="0.25">
      <c r="A118" s="6255"/>
      <c r="B118" s="6183"/>
      <c r="C118" s="6309"/>
      <c r="D118" s="4523" t="s">
        <v>391</v>
      </c>
      <c r="E118" s="1161">
        <v>26</v>
      </c>
      <c r="F118" s="1162">
        <v>30</v>
      </c>
      <c r="G118" s="1162">
        <v>23</v>
      </c>
      <c r="H118" s="1161">
        <v>18</v>
      </c>
      <c r="I118" s="1162">
        <v>7</v>
      </c>
      <c r="J118" s="1162">
        <v>27</v>
      </c>
      <c r="K118" s="1161">
        <v>27</v>
      </c>
      <c r="L118" s="1162">
        <v>25</v>
      </c>
      <c r="M118" s="1163">
        <v>28</v>
      </c>
      <c r="N118" s="1162">
        <v>27</v>
      </c>
      <c r="O118" s="1162">
        <v>24</v>
      </c>
      <c r="P118" s="1163">
        <v>37</v>
      </c>
      <c r="Q118" s="1162">
        <v>29</v>
      </c>
      <c r="R118" s="1162">
        <v>17</v>
      </c>
      <c r="S118" s="1163">
        <v>14</v>
      </c>
      <c r="T118" s="1162">
        <v>14</v>
      </c>
      <c r="U118" s="1162">
        <v>12</v>
      </c>
      <c r="V118" s="1163">
        <v>27</v>
      </c>
      <c r="W118" s="1162">
        <v>23</v>
      </c>
      <c r="X118" s="1162">
        <v>21</v>
      </c>
      <c r="Y118" s="1163">
        <v>20</v>
      </c>
      <c r="Z118" s="1162">
        <v>18</v>
      </c>
      <c r="AA118" s="1162">
        <v>18</v>
      </c>
      <c r="AB118" s="1163">
        <v>19</v>
      </c>
      <c r="AC118" s="1162">
        <v>16</v>
      </c>
      <c r="AD118" s="1162">
        <v>15</v>
      </c>
      <c r="AE118" s="1163">
        <v>15</v>
      </c>
      <c r="AF118" s="1162">
        <v>13</v>
      </c>
      <c r="AG118" s="1162">
        <v>13</v>
      </c>
      <c r="AH118" s="1163">
        <v>26</v>
      </c>
      <c r="AI118" s="1162">
        <v>20</v>
      </c>
      <c r="AJ118" s="1162">
        <v>15</v>
      </c>
      <c r="AK118" s="1163">
        <v>14</v>
      </c>
      <c r="AL118" s="1162">
        <v>14</v>
      </c>
      <c r="AM118" s="1162">
        <v>14</v>
      </c>
      <c r="AN118" s="1163">
        <v>28</v>
      </c>
      <c r="AO118" s="1162">
        <v>25</v>
      </c>
      <c r="AP118" s="1162">
        <v>20</v>
      </c>
      <c r="AQ118" s="1163">
        <v>19</v>
      </c>
      <c r="AR118" s="1162">
        <v>19</v>
      </c>
      <c r="AS118" s="1162">
        <v>18</v>
      </c>
      <c r="AT118" s="1163">
        <v>16</v>
      </c>
      <c r="AU118" s="1162">
        <v>16</v>
      </c>
      <c r="AV118" s="1162">
        <v>17</v>
      </c>
      <c r="AW118" s="1163">
        <v>16</v>
      </c>
    </row>
    <row r="119" spans="1:49" ht="15" customHeight="1" x14ac:dyDescent="0.25">
      <c r="A119" s="6255"/>
      <c r="B119" s="6183"/>
      <c r="C119" s="6309"/>
      <c r="D119" s="4521" t="s">
        <v>139</v>
      </c>
      <c r="E119" s="1161">
        <v>2</v>
      </c>
      <c r="F119" s="1162">
        <v>2</v>
      </c>
      <c r="G119" s="1162">
        <v>2</v>
      </c>
      <c r="H119" s="1161">
        <v>4</v>
      </c>
      <c r="I119" s="1162">
        <v>2</v>
      </c>
      <c r="J119" s="1162">
        <v>1</v>
      </c>
      <c r="K119" s="1161">
        <v>2</v>
      </c>
      <c r="L119" s="1162">
        <v>6</v>
      </c>
      <c r="M119" s="1163">
        <v>5</v>
      </c>
      <c r="N119" s="1162">
        <v>11</v>
      </c>
      <c r="O119" s="1162">
        <v>8</v>
      </c>
      <c r="P119" s="1163">
        <v>3</v>
      </c>
      <c r="Q119" s="1162">
        <v>2</v>
      </c>
      <c r="R119" s="1162">
        <v>10</v>
      </c>
      <c r="S119" s="1163"/>
      <c r="T119" s="1162"/>
      <c r="U119" s="1162">
        <v>15</v>
      </c>
      <c r="V119" s="1163"/>
      <c r="W119" s="1162"/>
      <c r="X119" s="1162">
        <v>19</v>
      </c>
      <c r="Y119" s="1163"/>
      <c r="Z119" s="1162" t="s">
        <v>227</v>
      </c>
      <c r="AA119" s="1162">
        <v>25</v>
      </c>
      <c r="AB119" s="1163" t="s">
        <v>227</v>
      </c>
      <c r="AC119" s="1162"/>
      <c r="AD119" s="1162"/>
      <c r="AE119" s="1163"/>
      <c r="AF119" s="1162"/>
      <c r="AG119" s="1162"/>
      <c r="AH119" s="1163"/>
      <c r="AI119" s="1162"/>
      <c r="AJ119" s="1162"/>
      <c r="AK119" s="1163"/>
      <c r="AL119" s="1162"/>
      <c r="AM119" s="1162"/>
      <c r="AN119" s="1163"/>
      <c r="AO119" s="1162"/>
      <c r="AP119" s="1162"/>
      <c r="AQ119" s="1163"/>
      <c r="AR119" s="1162"/>
      <c r="AS119" s="1162"/>
      <c r="AT119" s="1163"/>
      <c r="AU119" s="1162"/>
      <c r="AV119" s="1162"/>
      <c r="AW119" s="1163"/>
    </row>
    <row r="120" spans="1:49" ht="15" customHeight="1" x14ac:dyDescent="0.25">
      <c r="A120" s="6255"/>
      <c r="B120" s="6183"/>
      <c r="C120" s="6309"/>
      <c r="D120" s="4521" t="s">
        <v>416</v>
      </c>
      <c r="E120" s="1161"/>
      <c r="F120" s="1162"/>
      <c r="G120" s="1162"/>
      <c r="H120" s="1161"/>
      <c r="I120" s="1162"/>
      <c r="J120" s="1162"/>
      <c r="K120" s="1161"/>
      <c r="L120" s="1162"/>
      <c r="M120" s="1163"/>
      <c r="N120" s="1162"/>
      <c r="O120" s="1162"/>
      <c r="P120" s="1163"/>
      <c r="Q120" s="1162"/>
      <c r="R120" s="1162"/>
      <c r="S120" s="1163"/>
      <c r="T120" s="1162"/>
      <c r="U120" s="1162"/>
      <c r="V120" s="1163"/>
      <c r="W120" s="1162"/>
      <c r="X120" s="1162"/>
      <c r="Y120" s="1163"/>
      <c r="Z120" s="1162"/>
      <c r="AA120" s="1162"/>
      <c r="AB120" s="1163"/>
      <c r="AC120" s="1162"/>
      <c r="AD120" s="1162"/>
      <c r="AE120" s="1163"/>
      <c r="AF120" s="1162">
        <v>19</v>
      </c>
      <c r="AG120" s="1162">
        <v>16</v>
      </c>
      <c r="AH120" s="1163">
        <v>16</v>
      </c>
      <c r="AI120" s="1162">
        <v>16</v>
      </c>
      <c r="AJ120" s="1162">
        <v>16</v>
      </c>
      <c r="AK120" s="1163">
        <v>16</v>
      </c>
      <c r="AL120" s="1162">
        <v>21</v>
      </c>
      <c r="AM120" s="1162">
        <v>21</v>
      </c>
      <c r="AN120" s="1163">
        <v>21</v>
      </c>
      <c r="AO120" s="1162">
        <v>20</v>
      </c>
      <c r="AP120" s="1162">
        <v>20</v>
      </c>
      <c r="AQ120" s="1163">
        <v>20</v>
      </c>
      <c r="AR120" s="1162">
        <v>29</v>
      </c>
      <c r="AS120" s="1162">
        <v>23</v>
      </c>
      <c r="AT120" s="1163">
        <v>19</v>
      </c>
      <c r="AU120" s="1162">
        <v>16</v>
      </c>
      <c r="AV120" s="1162">
        <v>16</v>
      </c>
      <c r="AW120" s="1163">
        <v>13</v>
      </c>
    </row>
    <row r="121" spans="1:49" ht="15" customHeight="1" x14ac:dyDescent="0.25">
      <c r="A121" s="6255"/>
      <c r="B121" s="6183"/>
      <c r="C121" s="5129"/>
      <c r="D121" s="4521" t="s">
        <v>1581</v>
      </c>
      <c r="E121" s="1161"/>
      <c r="F121" s="1162"/>
      <c r="G121" s="1162"/>
      <c r="H121" s="1161"/>
      <c r="I121" s="1162"/>
      <c r="J121" s="1162"/>
      <c r="K121" s="1161"/>
      <c r="L121" s="1162"/>
      <c r="M121" s="1163"/>
      <c r="N121" s="1162"/>
      <c r="O121" s="1162"/>
      <c r="P121" s="1163"/>
      <c r="Q121" s="1162"/>
      <c r="R121" s="1162"/>
      <c r="S121" s="1163"/>
      <c r="T121" s="1162"/>
      <c r="U121" s="1162"/>
      <c r="V121" s="1163"/>
      <c r="W121" s="1162"/>
      <c r="X121" s="1162"/>
      <c r="Y121" s="1163"/>
      <c r="Z121" s="1162"/>
      <c r="AA121" s="1162"/>
      <c r="AB121" s="1163"/>
      <c r="AC121" s="1162"/>
      <c r="AD121" s="1162"/>
      <c r="AE121" s="1163"/>
      <c r="AF121" s="1162"/>
      <c r="AG121" s="1162"/>
      <c r="AH121" s="1163"/>
      <c r="AI121" s="1162"/>
      <c r="AJ121" s="1162"/>
      <c r="AK121" s="1163"/>
      <c r="AL121" s="1162"/>
      <c r="AM121" s="1162"/>
      <c r="AN121" s="1163"/>
      <c r="AO121" s="1162"/>
      <c r="AP121" s="1162"/>
      <c r="AQ121" s="1163"/>
      <c r="AR121" s="1162"/>
      <c r="AS121" s="1162"/>
      <c r="AT121" s="1163"/>
      <c r="AU121" s="1162">
        <v>19</v>
      </c>
      <c r="AV121" s="1162">
        <v>17</v>
      </c>
      <c r="AW121" s="1163">
        <v>17</v>
      </c>
    </row>
    <row r="122" spans="1:49" ht="15" customHeight="1" x14ac:dyDescent="0.25">
      <c r="A122" s="6255"/>
      <c r="B122" s="6183"/>
      <c r="C122" s="5129"/>
      <c r="D122" s="4521" t="s">
        <v>1580</v>
      </c>
      <c r="E122" s="1161"/>
      <c r="F122" s="1162"/>
      <c r="G122" s="1162"/>
      <c r="H122" s="1161"/>
      <c r="I122" s="1162"/>
      <c r="J122" s="1162"/>
      <c r="K122" s="1161"/>
      <c r="L122" s="1162"/>
      <c r="M122" s="1163"/>
      <c r="N122" s="1162"/>
      <c r="O122" s="1162"/>
      <c r="P122" s="1163"/>
      <c r="Q122" s="1162"/>
      <c r="R122" s="1162"/>
      <c r="S122" s="1163"/>
      <c r="T122" s="1162"/>
      <c r="U122" s="1162"/>
      <c r="V122" s="1163"/>
      <c r="W122" s="1162"/>
      <c r="X122" s="1162"/>
      <c r="Y122" s="1163"/>
      <c r="Z122" s="1162"/>
      <c r="AA122" s="1162"/>
      <c r="AB122" s="1163"/>
      <c r="AC122" s="1162"/>
      <c r="AD122" s="1162"/>
      <c r="AE122" s="1163"/>
      <c r="AF122" s="1162"/>
      <c r="AG122" s="1162"/>
      <c r="AH122" s="1163"/>
      <c r="AI122" s="1162"/>
      <c r="AJ122" s="1162"/>
      <c r="AK122" s="1163"/>
      <c r="AL122" s="1162"/>
      <c r="AM122" s="1162"/>
      <c r="AN122" s="1163"/>
      <c r="AO122" s="1162"/>
      <c r="AP122" s="1162"/>
      <c r="AQ122" s="1163"/>
      <c r="AR122" s="1162"/>
      <c r="AS122" s="1162"/>
      <c r="AT122" s="1163"/>
      <c r="AU122" s="1162">
        <v>4</v>
      </c>
      <c r="AV122" s="1162">
        <v>3</v>
      </c>
      <c r="AW122" s="1163">
        <v>3</v>
      </c>
    </row>
    <row r="123" spans="1:49" ht="15" customHeight="1" x14ac:dyDescent="0.25">
      <c r="A123" s="6255"/>
      <c r="B123" s="6184"/>
      <c r="C123" s="6308" t="s">
        <v>520</v>
      </c>
      <c r="D123" s="5175" t="s">
        <v>90</v>
      </c>
      <c r="E123" s="1161">
        <v>15</v>
      </c>
      <c r="F123" s="1162">
        <v>15</v>
      </c>
      <c r="G123" s="1162">
        <v>29</v>
      </c>
      <c r="H123" s="1161">
        <v>28</v>
      </c>
      <c r="I123" s="1162">
        <v>28</v>
      </c>
      <c r="J123" s="1162">
        <v>27</v>
      </c>
      <c r="K123" s="1161">
        <v>20</v>
      </c>
      <c r="L123" s="1162">
        <v>19</v>
      </c>
      <c r="M123" s="1163">
        <v>29</v>
      </c>
      <c r="N123" s="1162">
        <v>28</v>
      </c>
      <c r="O123" s="1162">
        <v>26</v>
      </c>
      <c r="P123" s="1163">
        <v>22</v>
      </c>
      <c r="Q123" s="1162">
        <v>24</v>
      </c>
      <c r="R123" s="1162">
        <v>20</v>
      </c>
      <c r="S123" s="1163">
        <v>26</v>
      </c>
      <c r="T123" s="1162">
        <v>25</v>
      </c>
      <c r="U123" s="1162">
        <v>25</v>
      </c>
      <c r="V123" s="1163">
        <v>19</v>
      </c>
      <c r="W123" s="1162">
        <v>20</v>
      </c>
      <c r="X123" s="1162">
        <v>20</v>
      </c>
      <c r="Y123" s="1163">
        <v>32</v>
      </c>
      <c r="Z123" s="1162">
        <v>32</v>
      </c>
      <c r="AA123" s="1162">
        <v>32</v>
      </c>
      <c r="AB123" s="1163">
        <v>30</v>
      </c>
      <c r="AC123" s="1162">
        <v>31</v>
      </c>
      <c r="AD123" s="1162">
        <v>31</v>
      </c>
      <c r="AE123" s="1163">
        <v>36</v>
      </c>
      <c r="AF123" s="1162">
        <v>33</v>
      </c>
      <c r="AG123" s="1162">
        <v>32</v>
      </c>
      <c r="AH123" s="1163">
        <v>31</v>
      </c>
      <c r="AI123" s="1162">
        <v>32</v>
      </c>
      <c r="AJ123" s="1162">
        <v>32</v>
      </c>
      <c r="AK123" s="1163">
        <v>40</v>
      </c>
      <c r="AL123" s="1162">
        <v>40</v>
      </c>
      <c r="AM123" s="1162">
        <v>40</v>
      </c>
      <c r="AN123" s="1163">
        <v>40</v>
      </c>
      <c r="AO123" s="1162">
        <v>39</v>
      </c>
      <c r="AP123" s="1162">
        <v>32</v>
      </c>
      <c r="AQ123" s="1163">
        <v>45</v>
      </c>
      <c r="AR123" s="1162">
        <v>42</v>
      </c>
      <c r="AS123" s="1162">
        <v>37</v>
      </c>
      <c r="AT123" s="1163">
        <v>44</v>
      </c>
      <c r="AU123" s="1162">
        <v>31</v>
      </c>
      <c r="AV123" s="1162">
        <v>35</v>
      </c>
      <c r="AW123" s="1163">
        <v>46</v>
      </c>
    </row>
    <row r="124" spans="1:49" ht="15" customHeight="1" x14ac:dyDescent="0.25">
      <c r="A124" s="6255"/>
      <c r="B124" s="6184"/>
      <c r="C124" s="6309"/>
      <c r="D124" s="5175" t="s">
        <v>143</v>
      </c>
      <c r="E124" s="1161">
        <v>22</v>
      </c>
      <c r="F124" s="1162">
        <v>22</v>
      </c>
      <c r="G124" s="1162">
        <v>25</v>
      </c>
      <c r="H124" s="1161">
        <v>28</v>
      </c>
      <c r="I124" s="1162">
        <v>24</v>
      </c>
      <c r="J124" s="1162">
        <v>12</v>
      </c>
      <c r="K124" s="1161">
        <v>7</v>
      </c>
      <c r="L124" s="1162">
        <v>29</v>
      </c>
      <c r="M124" s="1163">
        <v>23</v>
      </c>
      <c r="N124" s="1162">
        <v>18</v>
      </c>
      <c r="O124" s="1162">
        <v>24</v>
      </c>
      <c r="P124" s="1163">
        <v>20</v>
      </c>
      <c r="Q124" s="1162">
        <v>10</v>
      </c>
      <c r="R124" s="1162">
        <v>23</v>
      </c>
      <c r="S124" s="1163"/>
      <c r="T124" s="1162"/>
      <c r="U124" s="1162">
        <v>19</v>
      </c>
      <c r="V124" s="1163"/>
      <c r="W124" s="1162"/>
      <c r="X124" s="1162">
        <v>32</v>
      </c>
      <c r="Y124" s="1163"/>
      <c r="Z124" s="1162" t="s">
        <v>227</v>
      </c>
      <c r="AA124" s="1162">
        <v>39</v>
      </c>
      <c r="AB124" s="1163" t="s">
        <v>227</v>
      </c>
      <c r="AC124" s="1162">
        <v>4</v>
      </c>
      <c r="AD124" s="1162">
        <v>4</v>
      </c>
      <c r="AE124" s="1163">
        <v>4</v>
      </c>
      <c r="AF124" s="1162">
        <v>3</v>
      </c>
      <c r="AG124" s="1162">
        <v>3</v>
      </c>
      <c r="AH124" s="1163">
        <v>4</v>
      </c>
      <c r="AI124" s="1162">
        <v>4</v>
      </c>
      <c r="AJ124" s="1162">
        <v>3</v>
      </c>
      <c r="AK124" s="1163">
        <v>2</v>
      </c>
      <c r="AL124" s="1162">
        <v>1</v>
      </c>
      <c r="AM124" s="1162">
        <v>2</v>
      </c>
      <c r="AN124" s="1163">
        <v>1</v>
      </c>
      <c r="AO124" s="1162"/>
      <c r="AP124" s="1162"/>
      <c r="AQ124" s="1163"/>
      <c r="AR124" s="1162"/>
      <c r="AS124" s="1162"/>
      <c r="AT124" s="1163"/>
      <c r="AU124" s="1162">
        <v>1</v>
      </c>
      <c r="AV124" s="1162"/>
      <c r="AW124" s="1163">
        <v>8</v>
      </c>
    </row>
    <row r="125" spans="1:49" ht="15" customHeight="1" x14ac:dyDescent="0.25">
      <c r="A125" s="6255"/>
      <c r="B125" s="6184"/>
      <c r="C125" s="6309"/>
      <c r="D125" s="4535" t="s">
        <v>20</v>
      </c>
      <c r="E125" s="1161">
        <v>88</v>
      </c>
      <c r="F125" s="1162">
        <v>76</v>
      </c>
      <c r="G125" s="1162">
        <v>75</v>
      </c>
      <c r="H125" s="1161">
        <v>57</v>
      </c>
      <c r="I125" s="1162">
        <v>51</v>
      </c>
      <c r="J125" s="1162">
        <v>52</v>
      </c>
      <c r="K125" s="1161">
        <v>94</v>
      </c>
      <c r="L125" s="1162">
        <v>87</v>
      </c>
      <c r="M125" s="1163">
        <v>89</v>
      </c>
      <c r="N125" s="1162">
        <v>64</v>
      </c>
      <c r="O125" s="1162">
        <v>58</v>
      </c>
      <c r="P125" s="1163">
        <v>58</v>
      </c>
      <c r="Q125" s="1162">
        <v>133</v>
      </c>
      <c r="R125" s="1162">
        <v>122</v>
      </c>
      <c r="S125" s="1163">
        <v>120</v>
      </c>
      <c r="T125" s="1162">
        <v>120</v>
      </c>
      <c r="U125" s="1162">
        <v>114</v>
      </c>
      <c r="V125" s="1163">
        <v>108</v>
      </c>
      <c r="W125" s="1162">
        <v>145</v>
      </c>
      <c r="X125" s="1162">
        <v>154</v>
      </c>
      <c r="Y125" s="1163">
        <v>152</v>
      </c>
      <c r="Z125" s="1162">
        <v>121</v>
      </c>
      <c r="AA125" s="1162">
        <v>120</v>
      </c>
      <c r="AB125" s="1163">
        <v>111</v>
      </c>
      <c r="AC125" s="1162">
        <v>145</v>
      </c>
      <c r="AD125" s="1162">
        <v>115</v>
      </c>
      <c r="AE125" s="1163">
        <v>108</v>
      </c>
      <c r="AF125" s="1162">
        <v>106</v>
      </c>
      <c r="AG125" s="1162">
        <v>95</v>
      </c>
      <c r="AH125" s="1163">
        <v>93</v>
      </c>
      <c r="AI125" s="1162">
        <v>120</v>
      </c>
      <c r="AJ125" s="1162">
        <v>118</v>
      </c>
      <c r="AK125" s="1163">
        <v>108</v>
      </c>
      <c r="AL125" s="1162">
        <v>96</v>
      </c>
      <c r="AM125" s="1162">
        <v>101</v>
      </c>
      <c r="AN125" s="1163">
        <v>100</v>
      </c>
      <c r="AO125" s="1162">
        <v>114</v>
      </c>
      <c r="AP125" s="1162">
        <v>108</v>
      </c>
      <c r="AQ125" s="1163">
        <v>107</v>
      </c>
      <c r="AR125" s="1162">
        <v>106</v>
      </c>
      <c r="AS125" s="1162">
        <v>103</v>
      </c>
      <c r="AT125" s="1163">
        <v>104</v>
      </c>
      <c r="AU125" s="1162">
        <v>130</v>
      </c>
      <c r="AV125" s="1162">
        <v>131</v>
      </c>
      <c r="AW125" s="1163">
        <v>116</v>
      </c>
    </row>
    <row r="126" spans="1:49" ht="15" customHeight="1" x14ac:dyDescent="0.25">
      <c r="A126" s="6255"/>
      <c r="B126" s="6184"/>
      <c r="C126" s="6309"/>
      <c r="D126" s="5175" t="s">
        <v>1580</v>
      </c>
      <c r="E126" s="1161"/>
      <c r="F126" s="1162"/>
      <c r="G126" s="1162"/>
      <c r="H126" s="1161"/>
      <c r="I126" s="1162"/>
      <c r="J126" s="1162"/>
      <c r="K126" s="1161"/>
      <c r="L126" s="1162"/>
      <c r="M126" s="1163"/>
      <c r="N126" s="1162"/>
      <c r="O126" s="1162"/>
      <c r="P126" s="1163"/>
      <c r="Q126" s="1162"/>
      <c r="R126" s="1162"/>
      <c r="S126" s="1163"/>
      <c r="T126" s="1162"/>
      <c r="U126" s="1162"/>
      <c r="V126" s="1163"/>
      <c r="W126" s="1162"/>
      <c r="X126" s="1162"/>
      <c r="Y126" s="1163"/>
      <c r="Z126" s="1162"/>
      <c r="AA126" s="1162"/>
      <c r="AB126" s="1163"/>
      <c r="AC126" s="1162"/>
      <c r="AD126" s="1162"/>
      <c r="AE126" s="1163"/>
      <c r="AF126" s="1162"/>
      <c r="AG126" s="1162"/>
      <c r="AH126" s="1163"/>
      <c r="AI126" s="1162"/>
      <c r="AJ126" s="1162"/>
      <c r="AK126" s="1163"/>
      <c r="AL126" s="1162"/>
      <c r="AM126" s="1162"/>
      <c r="AN126" s="1163"/>
      <c r="AO126" s="1162"/>
      <c r="AP126" s="1162"/>
      <c r="AQ126" s="1163"/>
      <c r="AR126" s="1162"/>
      <c r="AS126" s="1162"/>
      <c r="AT126" s="1163"/>
      <c r="AU126" s="1162">
        <v>1</v>
      </c>
      <c r="AV126" s="1162">
        <v>1</v>
      </c>
      <c r="AW126" s="1163">
        <v>1</v>
      </c>
    </row>
    <row r="127" spans="1:49" ht="15" customHeight="1" x14ac:dyDescent="0.25">
      <c r="A127" s="6255"/>
      <c r="B127" s="6184"/>
      <c r="C127" s="6310"/>
      <c r="D127" s="4535" t="s">
        <v>83</v>
      </c>
      <c r="E127" s="1161"/>
      <c r="F127" s="1162"/>
      <c r="G127" s="1162"/>
      <c r="H127" s="1161"/>
      <c r="I127" s="1162"/>
      <c r="J127" s="1162"/>
      <c r="K127" s="1161"/>
      <c r="L127" s="1162"/>
      <c r="M127" s="1163"/>
      <c r="N127" s="1162"/>
      <c r="O127" s="1162"/>
      <c r="P127" s="1163"/>
      <c r="Q127" s="1162"/>
      <c r="R127" s="1162"/>
      <c r="S127" s="1163"/>
      <c r="T127" s="1162"/>
      <c r="U127" s="1162"/>
      <c r="V127" s="1163"/>
      <c r="W127" s="1162"/>
      <c r="X127" s="1162"/>
      <c r="Y127" s="1163"/>
      <c r="Z127" s="1162"/>
      <c r="AA127" s="1162"/>
      <c r="AB127" s="1163"/>
      <c r="AC127" s="1162"/>
      <c r="AD127" s="1162"/>
      <c r="AE127" s="1163"/>
      <c r="AF127" s="1162"/>
      <c r="AG127" s="1162"/>
      <c r="AH127" s="1163"/>
      <c r="AI127" s="1162"/>
      <c r="AJ127" s="1162"/>
      <c r="AK127" s="1163"/>
      <c r="AL127" s="1162"/>
      <c r="AM127" s="1162"/>
      <c r="AN127" s="1163"/>
      <c r="AO127" s="1162"/>
      <c r="AP127" s="1162"/>
      <c r="AQ127" s="1163"/>
      <c r="AR127" s="1162"/>
      <c r="AS127" s="1162"/>
      <c r="AT127" s="1163"/>
      <c r="AU127" s="1162"/>
      <c r="AV127" s="1162"/>
      <c r="AW127" s="1163">
        <v>15</v>
      </c>
    </row>
    <row r="128" spans="1:49" ht="15" customHeight="1" x14ac:dyDescent="0.2">
      <c r="A128" s="6255"/>
      <c r="B128" s="6185"/>
      <c r="C128" s="5153"/>
      <c r="D128" s="4538" t="s">
        <v>160</v>
      </c>
      <c r="E128" s="1169">
        <f t="shared" ref="E128:AT128" si="16">SUM(E110:E125)</f>
        <v>280</v>
      </c>
      <c r="F128" s="1170">
        <f t="shared" si="16"/>
        <v>279</v>
      </c>
      <c r="G128" s="1170">
        <f t="shared" si="16"/>
        <v>308</v>
      </c>
      <c r="H128" s="1169">
        <f t="shared" si="16"/>
        <v>263</v>
      </c>
      <c r="I128" s="1170">
        <f t="shared" si="16"/>
        <v>237</v>
      </c>
      <c r="J128" s="1170">
        <f t="shared" si="16"/>
        <v>262</v>
      </c>
      <c r="K128" s="1169">
        <f t="shared" si="16"/>
        <v>275</v>
      </c>
      <c r="L128" s="1170">
        <f t="shared" si="16"/>
        <v>280</v>
      </c>
      <c r="M128" s="1171">
        <f t="shared" si="16"/>
        <v>291</v>
      </c>
      <c r="N128" s="1170">
        <f t="shared" si="16"/>
        <v>256</v>
      </c>
      <c r="O128" s="1170">
        <f t="shared" si="16"/>
        <v>248</v>
      </c>
      <c r="P128" s="1171">
        <f t="shared" si="16"/>
        <v>278</v>
      </c>
      <c r="Q128" s="1170">
        <f t="shared" si="16"/>
        <v>333</v>
      </c>
      <c r="R128" s="1170">
        <f t="shared" si="16"/>
        <v>310</v>
      </c>
      <c r="S128" s="1171">
        <f t="shared" si="16"/>
        <v>299</v>
      </c>
      <c r="T128" s="1170">
        <f t="shared" si="16"/>
        <v>291</v>
      </c>
      <c r="U128" s="1170">
        <f t="shared" si="16"/>
        <v>319</v>
      </c>
      <c r="V128" s="1171">
        <f t="shared" si="16"/>
        <v>338</v>
      </c>
      <c r="W128" s="1170">
        <f t="shared" si="16"/>
        <v>358</v>
      </c>
      <c r="X128" s="1170">
        <f t="shared" si="16"/>
        <v>413</v>
      </c>
      <c r="Y128" s="1171">
        <f t="shared" si="16"/>
        <v>374</v>
      </c>
      <c r="Z128" s="1170">
        <f t="shared" si="16"/>
        <v>329</v>
      </c>
      <c r="AA128" s="1170">
        <f t="shared" si="16"/>
        <v>399</v>
      </c>
      <c r="AB128" s="1171">
        <f t="shared" si="16"/>
        <v>332</v>
      </c>
      <c r="AC128" s="1170">
        <f t="shared" si="16"/>
        <v>364</v>
      </c>
      <c r="AD128" s="1170">
        <f t="shared" si="16"/>
        <v>328</v>
      </c>
      <c r="AE128" s="1171">
        <f t="shared" si="16"/>
        <v>335</v>
      </c>
      <c r="AF128" s="1170">
        <f t="shared" si="16"/>
        <v>324</v>
      </c>
      <c r="AG128" s="1170">
        <f t="shared" si="16"/>
        <v>309</v>
      </c>
      <c r="AH128" s="1171">
        <f t="shared" si="16"/>
        <v>359</v>
      </c>
      <c r="AI128" s="1170">
        <f t="shared" si="16"/>
        <v>390</v>
      </c>
      <c r="AJ128" s="1170">
        <f t="shared" si="16"/>
        <v>353</v>
      </c>
      <c r="AK128" s="1171">
        <f t="shared" si="16"/>
        <v>337</v>
      </c>
      <c r="AL128" s="1170">
        <f t="shared" si="16"/>
        <v>320</v>
      </c>
      <c r="AM128" s="1170">
        <f t="shared" si="16"/>
        <v>325</v>
      </c>
      <c r="AN128" s="1171">
        <f t="shared" si="16"/>
        <v>376</v>
      </c>
      <c r="AO128" s="1170">
        <f t="shared" si="16"/>
        <v>346</v>
      </c>
      <c r="AP128" s="1170">
        <f t="shared" si="16"/>
        <v>327</v>
      </c>
      <c r="AQ128" s="1171">
        <f t="shared" si="16"/>
        <v>340</v>
      </c>
      <c r="AR128" s="1170">
        <f t="shared" si="16"/>
        <v>372</v>
      </c>
      <c r="AS128" s="1170">
        <f t="shared" si="16"/>
        <v>357</v>
      </c>
      <c r="AT128" s="1171">
        <f t="shared" si="16"/>
        <v>356</v>
      </c>
      <c r="AU128" s="1170">
        <f>SUM(AU110:AU126)</f>
        <v>396</v>
      </c>
      <c r="AV128" s="1170">
        <f>SUM(AV110:AV126)</f>
        <v>368</v>
      </c>
      <c r="AW128" s="1171">
        <f>SUM(AW110:AW127)</f>
        <v>380</v>
      </c>
    </row>
    <row r="129" spans="1:49" ht="15" customHeight="1" x14ac:dyDescent="0.25">
      <c r="A129" s="6255"/>
      <c r="B129" s="6335" t="s">
        <v>11</v>
      </c>
      <c r="C129" s="6326" t="s">
        <v>522</v>
      </c>
      <c r="D129" s="4532" t="s">
        <v>392</v>
      </c>
      <c r="E129" s="1181">
        <v>8</v>
      </c>
      <c r="F129" s="1182">
        <v>8</v>
      </c>
      <c r="G129" s="1182">
        <v>6</v>
      </c>
      <c r="H129" s="1181">
        <v>10</v>
      </c>
      <c r="I129" s="1182">
        <v>10</v>
      </c>
      <c r="J129" s="1182">
        <v>10</v>
      </c>
      <c r="K129" s="1181"/>
      <c r="L129" s="1182"/>
      <c r="M129" s="1183"/>
      <c r="N129" s="1182">
        <v>13</v>
      </c>
      <c r="O129" s="1182">
        <v>11</v>
      </c>
      <c r="P129" s="1183">
        <v>11</v>
      </c>
      <c r="Q129" s="1182">
        <v>8</v>
      </c>
      <c r="R129" s="1182">
        <v>8</v>
      </c>
      <c r="S129" s="1183">
        <v>8</v>
      </c>
      <c r="T129" s="1182">
        <v>12</v>
      </c>
      <c r="U129" s="1182">
        <v>12</v>
      </c>
      <c r="V129" s="1183">
        <v>12</v>
      </c>
      <c r="W129" s="1182">
        <v>10</v>
      </c>
      <c r="X129" s="1182">
        <v>8</v>
      </c>
      <c r="Y129" s="1183">
        <v>7</v>
      </c>
      <c r="Z129" s="1182"/>
      <c r="AA129" s="1182" t="s">
        <v>227</v>
      </c>
      <c r="AB129" s="1183" t="s">
        <v>227</v>
      </c>
      <c r="AC129" s="1182">
        <v>17</v>
      </c>
      <c r="AD129" s="1182">
        <v>9</v>
      </c>
      <c r="AE129" s="1183">
        <v>9</v>
      </c>
      <c r="AF129" s="1182">
        <v>9</v>
      </c>
      <c r="AG129" s="1182"/>
      <c r="AH129" s="1183"/>
      <c r="AI129" s="1182">
        <v>12</v>
      </c>
      <c r="AJ129" s="1182">
        <v>9</v>
      </c>
      <c r="AK129" s="1183">
        <v>1</v>
      </c>
      <c r="AL129" s="1182">
        <v>8</v>
      </c>
      <c r="AM129" s="1182"/>
      <c r="AN129" s="1183"/>
      <c r="AO129" s="1182"/>
      <c r="AP129" s="1182"/>
      <c r="AQ129" s="1183"/>
      <c r="AR129" s="1182"/>
      <c r="AS129" s="1182"/>
      <c r="AT129" s="1183"/>
      <c r="AU129" s="1182"/>
      <c r="AV129" s="1182"/>
      <c r="AW129" s="1183"/>
    </row>
    <row r="130" spans="1:49" ht="15" customHeight="1" x14ac:dyDescent="0.25">
      <c r="A130" s="6255"/>
      <c r="B130" s="6335"/>
      <c r="C130" s="6309"/>
      <c r="D130" s="4533" t="s">
        <v>394</v>
      </c>
      <c r="E130" s="1161">
        <v>4</v>
      </c>
      <c r="F130" s="1162"/>
      <c r="G130" s="1162"/>
      <c r="H130" s="1161"/>
      <c r="I130" s="1162"/>
      <c r="J130" s="1162"/>
      <c r="K130" s="1161"/>
      <c r="L130" s="1162"/>
      <c r="M130" s="1163"/>
      <c r="N130" s="1162"/>
      <c r="O130" s="1162"/>
      <c r="P130" s="1163"/>
      <c r="Q130" s="1162"/>
      <c r="R130" s="1162"/>
      <c r="S130" s="1163"/>
      <c r="T130" s="1162"/>
      <c r="U130" s="1162"/>
      <c r="V130" s="1163"/>
      <c r="W130" s="1162"/>
      <c r="X130" s="1162"/>
      <c r="Y130" s="1163"/>
      <c r="Z130" s="1162"/>
      <c r="AA130" s="1162"/>
      <c r="AB130" s="1163"/>
      <c r="AC130" s="1162"/>
      <c r="AD130" s="1162"/>
      <c r="AE130" s="1163"/>
      <c r="AF130" s="1162"/>
      <c r="AG130" s="1162"/>
      <c r="AH130" s="1163"/>
      <c r="AI130" s="1162"/>
      <c r="AJ130" s="1162"/>
      <c r="AK130" s="1163"/>
      <c r="AL130" s="1162"/>
      <c r="AM130" s="1162"/>
      <c r="AN130" s="1163"/>
      <c r="AO130" s="1162"/>
      <c r="AP130" s="1162"/>
      <c r="AQ130" s="1163"/>
      <c r="AR130" s="1162"/>
      <c r="AS130" s="1162"/>
      <c r="AT130" s="1163"/>
      <c r="AU130" s="1162"/>
      <c r="AV130" s="1162"/>
      <c r="AW130" s="1163"/>
    </row>
    <row r="131" spans="1:49" ht="15" customHeight="1" x14ac:dyDescent="0.25">
      <c r="A131" s="6255"/>
      <c r="B131" s="6335"/>
      <c r="C131" s="6310"/>
      <c r="D131" s="4533" t="s">
        <v>91</v>
      </c>
      <c r="E131" s="1161"/>
      <c r="F131" s="1162"/>
      <c r="G131" s="1162"/>
      <c r="H131" s="1161"/>
      <c r="I131" s="1162"/>
      <c r="J131" s="1162"/>
      <c r="K131" s="1161"/>
      <c r="L131" s="1162"/>
      <c r="M131" s="1163"/>
      <c r="N131" s="1162"/>
      <c r="O131" s="1162"/>
      <c r="P131" s="1163"/>
      <c r="Q131" s="1162"/>
      <c r="R131" s="1162"/>
      <c r="S131" s="1163"/>
      <c r="T131" s="1162"/>
      <c r="U131" s="1162"/>
      <c r="V131" s="1163"/>
      <c r="W131" s="1162"/>
      <c r="X131" s="1162"/>
      <c r="Y131" s="1163"/>
      <c r="Z131" s="1162">
        <v>1</v>
      </c>
      <c r="AA131" s="1162"/>
      <c r="AB131" s="1163"/>
      <c r="AC131" s="1162">
        <v>14</v>
      </c>
      <c r="AD131" s="1162">
        <v>11</v>
      </c>
      <c r="AE131" s="1163">
        <v>19</v>
      </c>
      <c r="AF131" s="1162">
        <v>20</v>
      </c>
      <c r="AG131" s="1162">
        <v>20</v>
      </c>
      <c r="AH131" s="1163">
        <v>16</v>
      </c>
      <c r="AI131" s="1162">
        <v>18</v>
      </c>
      <c r="AJ131" s="1162">
        <v>20</v>
      </c>
      <c r="AK131" s="1163">
        <v>9</v>
      </c>
      <c r="AL131" s="1162">
        <v>9</v>
      </c>
      <c r="AM131" s="1162">
        <v>10</v>
      </c>
      <c r="AN131" s="1163">
        <v>10</v>
      </c>
      <c r="AO131" s="1162">
        <v>11</v>
      </c>
      <c r="AP131" s="1162">
        <v>6</v>
      </c>
      <c r="AQ131" s="1163">
        <v>6</v>
      </c>
      <c r="AR131" s="1162">
        <v>12</v>
      </c>
      <c r="AS131" s="1162">
        <v>12</v>
      </c>
      <c r="AT131" s="1163">
        <v>12</v>
      </c>
      <c r="AU131" s="1162">
        <v>9</v>
      </c>
      <c r="AV131" s="1162">
        <v>4</v>
      </c>
      <c r="AW131" s="1163">
        <v>2</v>
      </c>
    </row>
    <row r="132" spans="1:49" ht="15" customHeight="1" x14ac:dyDescent="0.25">
      <c r="A132" s="6255"/>
      <c r="B132" s="6335"/>
      <c r="C132" s="6326" t="s">
        <v>521</v>
      </c>
      <c r="D132" s="4533" t="s">
        <v>393</v>
      </c>
      <c r="E132" s="1161"/>
      <c r="F132" s="1162"/>
      <c r="G132" s="1162"/>
      <c r="H132" s="1161"/>
      <c r="I132" s="1162"/>
      <c r="J132" s="1162"/>
      <c r="K132" s="1161"/>
      <c r="L132" s="1162"/>
      <c r="M132" s="1163"/>
      <c r="N132" s="1162"/>
      <c r="O132" s="1162"/>
      <c r="P132" s="1163"/>
      <c r="Q132" s="1162"/>
      <c r="R132" s="1162"/>
      <c r="S132" s="1163"/>
      <c r="T132" s="1162"/>
      <c r="U132" s="1162"/>
      <c r="V132" s="1163"/>
      <c r="W132" s="1162"/>
      <c r="X132" s="1162"/>
      <c r="Y132" s="1163"/>
      <c r="Z132" s="1162">
        <v>6</v>
      </c>
      <c r="AA132" s="1162">
        <v>6</v>
      </c>
      <c r="AB132" s="1163">
        <v>6</v>
      </c>
      <c r="AC132" s="1162"/>
      <c r="AD132" s="1162">
        <v>1</v>
      </c>
      <c r="AE132" s="1163">
        <v>1</v>
      </c>
      <c r="AF132" s="1162">
        <v>10</v>
      </c>
      <c r="AG132" s="1162">
        <v>9</v>
      </c>
      <c r="AH132" s="1163">
        <v>9</v>
      </c>
      <c r="AI132" s="1162">
        <v>7</v>
      </c>
      <c r="AJ132" s="1162">
        <v>7</v>
      </c>
      <c r="AK132" s="1163"/>
      <c r="AL132" s="1162">
        <v>8</v>
      </c>
      <c r="AM132" s="1162">
        <v>7</v>
      </c>
      <c r="AN132" s="1163">
        <v>7</v>
      </c>
      <c r="AO132" s="1162">
        <v>12</v>
      </c>
      <c r="AP132" s="1162">
        <v>11</v>
      </c>
      <c r="AQ132" s="1163">
        <v>11</v>
      </c>
      <c r="AR132" s="1162">
        <v>10</v>
      </c>
      <c r="AS132" s="1162">
        <v>9</v>
      </c>
      <c r="AT132" s="1163">
        <v>9</v>
      </c>
      <c r="AU132" s="1162">
        <v>11</v>
      </c>
      <c r="AV132" s="1162">
        <v>11</v>
      </c>
      <c r="AW132" s="1163">
        <v>11</v>
      </c>
    </row>
    <row r="133" spans="1:49" ht="15" customHeight="1" x14ac:dyDescent="0.25">
      <c r="A133" s="6255"/>
      <c r="B133" s="6335"/>
      <c r="C133" s="6309"/>
      <c r="D133" s="4533" t="s">
        <v>94</v>
      </c>
      <c r="E133" s="1161">
        <v>16</v>
      </c>
      <c r="F133" s="1162">
        <v>16</v>
      </c>
      <c r="G133" s="1162">
        <v>16</v>
      </c>
      <c r="H133" s="1161">
        <v>14</v>
      </c>
      <c r="I133" s="1162">
        <v>14</v>
      </c>
      <c r="J133" s="1162">
        <v>13</v>
      </c>
      <c r="K133" s="1161">
        <v>13</v>
      </c>
      <c r="L133" s="1162">
        <v>13</v>
      </c>
      <c r="M133" s="1163">
        <v>13</v>
      </c>
      <c r="N133" s="1162">
        <v>12</v>
      </c>
      <c r="O133" s="1162">
        <v>11</v>
      </c>
      <c r="P133" s="1163">
        <v>11</v>
      </c>
      <c r="Q133" s="1162">
        <v>11</v>
      </c>
      <c r="R133" s="1162">
        <v>11</v>
      </c>
      <c r="S133" s="1163">
        <v>16</v>
      </c>
      <c r="T133" s="1162">
        <v>15</v>
      </c>
      <c r="U133" s="1162">
        <v>15</v>
      </c>
      <c r="V133" s="1163">
        <v>14</v>
      </c>
      <c r="W133" s="1162">
        <v>15</v>
      </c>
      <c r="X133" s="1162">
        <v>17</v>
      </c>
      <c r="Y133" s="1163">
        <v>17</v>
      </c>
      <c r="Z133" s="1162">
        <v>15</v>
      </c>
      <c r="AA133" s="1162">
        <v>14</v>
      </c>
      <c r="AB133" s="1163">
        <v>14</v>
      </c>
      <c r="AC133" s="1162">
        <v>13</v>
      </c>
      <c r="AD133" s="1162">
        <v>14</v>
      </c>
      <c r="AE133" s="1163">
        <v>3</v>
      </c>
      <c r="AF133" s="1162">
        <v>2</v>
      </c>
      <c r="AG133" s="1162"/>
      <c r="AH133" s="1163">
        <v>5</v>
      </c>
      <c r="AI133" s="1162">
        <v>20</v>
      </c>
      <c r="AJ133" s="1162">
        <v>21</v>
      </c>
      <c r="AK133" s="1163">
        <v>12</v>
      </c>
      <c r="AL133" s="1162">
        <v>10</v>
      </c>
      <c r="AM133" s="1162">
        <v>10</v>
      </c>
      <c r="AN133" s="1163">
        <v>11</v>
      </c>
      <c r="AO133" s="1162">
        <v>13</v>
      </c>
      <c r="AP133" s="1162">
        <v>12</v>
      </c>
      <c r="AQ133" s="1163">
        <v>20</v>
      </c>
      <c r="AR133" s="1162">
        <v>13</v>
      </c>
      <c r="AS133" s="1162">
        <v>13</v>
      </c>
      <c r="AT133" s="1163">
        <v>13</v>
      </c>
      <c r="AU133" s="1162">
        <v>14</v>
      </c>
      <c r="AV133" s="1162">
        <v>14</v>
      </c>
      <c r="AW133" s="1163">
        <v>16</v>
      </c>
    </row>
    <row r="134" spans="1:49" ht="15" customHeight="1" x14ac:dyDescent="0.25">
      <c r="A134" s="6255"/>
      <c r="B134" s="6335"/>
      <c r="C134" s="6309"/>
      <c r="D134" s="4533" t="s">
        <v>93</v>
      </c>
      <c r="E134" s="1161">
        <v>24</v>
      </c>
      <c r="F134" s="1162">
        <v>18</v>
      </c>
      <c r="G134" s="1162">
        <v>7</v>
      </c>
      <c r="H134" s="1161">
        <v>19</v>
      </c>
      <c r="I134" s="1162">
        <v>19</v>
      </c>
      <c r="J134" s="1162">
        <v>13</v>
      </c>
      <c r="K134" s="1161">
        <v>13</v>
      </c>
      <c r="L134" s="1162">
        <v>13</v>
      </c>
      <c r="M134" s="1163">
        <v>26</v>
      </c>
      <c r="N134" s="1162">
        <v>25</v>
      </c>
      <c r="O134" s="1162">
        <v>24</v>
      </c>
      <c r="P134" s="1163">
        <v>25</v>
      </c>
      <c r="Q134" s="1162">
        <v>22</v>
      </c>
      <c r="R134" s="1162">
        <v>20</v>
      </c>
      <c r="S134" s="1163">
        <v>32</v>
      </c>
      <c r="T134" s="1162">
        <v>20</v>
      </c>
      <c r="U134" s="1162">
        <v>19</v>
      </c>
      <c r="V134" s="1163">
        <v>34</v>
      </c>
      <c r="W134" s="1162">
        <v>26</v>
      </c>
      <c r="X134" s="1162">
        <v>26</v>
      </c>
      <c r="Y134" s="1163">
        <v>29</v>
      </c>
      <c r="Z134" s="1162">
        <v>30</v>
      </c>
      <c r="AA134" s="1162">
        <v>30</v>
      </c>
      <c r="AB134" s="1163">
        <v>32</v>
      </c>
      <c r="AC134" s="1162">
        <v>28</v>
      </c>
      <c r="AD134" s="1162">
        <v>28</v>
      </c>
      <c r="AE134" s="1163">
        <v>29</v>
      </c>
      <c r="AF134" s="1162">
        <v>27</v>
      </c>
      <c r="AG134" s="1162">
        <v>25</v>
      </c>
      <c r="AH134" s="1163">
        <v>38</v>
      </c>
      <c r="AI134" s="1162">
        <v>32</v>
      </c>
      <c r="AJ134" s="1162">
        <v>31</v>
      </c>
      <c r="AK134" s="1163">
        <v>37</v>
      </c>
      <c r="AL134" s="1162">
        <v>29</v>
      </c>
      <c r="AM134" s="1162">
        <v>29</v>
      </c>
      <c r="AN134" s="1163">
        <v>41</v>
      </c>
      <c r="AO134" s="1162">
        <v>32</v>
      </c>
      <c r="AP134" s="1162">
        <v>32</v>
      </c>
      <c r="AQ134" s="1163">
        <v>30</v>
      </c>
      <c r="AR134" s="1162">
        <v>29</v>
      </c>
      <c r="AS134" s="1162">
        <v>26</v>
      </c>
      <c r="AT134" s="1163">
        <v>26</v>
      </c>
      <c r="AU134" s="1162">
        <v>23</v>
      </c>
      <c r="AV134" s="1162">
        <v>23</v>
      </c>
      <c r="AW134" s="1163">
        <v>27</v>
      </c>
    </row>
    <row r="135" spans="1:49" ht="15" customHeight="1" x14ac:dyDescent="0.25">
      <c r="A135" s="6255"/>
      <c r="B135" s="6335"/>
      <c r="C135" s="6309"/>
      <c r="D135" s="4533" t="s">
        <v>395</v>
      </c>
      <c r="E135" s="1161">
        <v>8</v>
      </c>
      <c r="F135" s="1162">
        <v>9</v>
      </c>
      <c r="G135" s="1162">
        <v>14</v>
      </c>
      <c r="H135" s="1161">
        <v>6</v>
      </c>
      <c r="I135" s="1162">
        <v>6</v>
      </c>
      <c r="J135" s="1162">
        <v>6</v>
      </c>
      <c r="K135" s="1161">
        <v>12</v>
      </c>
      <c r="L135" s="1162">
        <v>10</v>
      </c>
      <c r="M135" s="1163">
        <v>10</v>
      </c>
      <c r="N135" s="1162">
        <v>10</v>
      </c>
      <c r="O135" s="1162">
        <v>10</v>
      </c>
      <c r="P135" s="1163">
        <v>14</v>
      </c>
      <c r="Q135" s="1162">
        <v>15</v>
      </c>
      <c r="R135" s="1162">
        <v>8</v>
      </c>
      <c r="S135" s="1163">
        <v>8</v>
      </c>
      <c r="T135" s="1162">
        <v>9</v>
      </c>
      <c r="U135" s="1162">
        <v>11</v>
      </c>
      <c r="V135" s="1163">
        <v>14</v>
      </c>
      <c r="W135" s="1162">
        <v>9</v>
      </c>
      <c r="X135" s="1162">
        <v>9</v>
      </c>
      <c r="Y135" s="1163">
        <v>9</v>
      </c>
      <c r="Z135" s="1162">
        <v>11</v>
      </c>
      <c r="AA135" s="1162">
        <v>16</v>
      </c>
      <c r="AB135" s="1163">
        <v>11</v>
      </c>
      <c r="AC135" s="1162">
        <v>11</v>
      </c>
      <c r="AD135" s="1162">
        <v>10</v>
      </c>
      <c r="AE135" s="1163">
        <v>13</v>
      </c>
      <c r="AF135" s="1162">
        <v>18</v>
      </c>
      <c r="AG135" s="1162">
        <v>13</v>
      </c>
      <c r="AH135" s="1163">
        <v>12</v>
      </c>
      <c r="AI135" s="1162">
        <v>12</v>
      </c>
      <c r="AJ135" s="1162">
        <v>14</v>
      </c>
      <c r="AK135" s="1163">
        <v>17</v>
      </c>
      <c r="AL135" s="1162">
        <v>10</v>
      </c>
      <c r="AM135" s="1162">
        <v>9</v>
      </c>
      <c r="AN135" s="1163">
        <v>9</v>
      </c>
      <c r="AO135" s="1162">
        <v>19</v>
      </c>
      <c r="AP135" s="1162">
        <v>14</v>
      </c>
      <c r="AQ135" s="1163">
        <v>15</v>
      </c>
      <c r="AR135" s="1162">
        <v>15</v>
      </c>
      <c r="AS135" s="1162">
        <v>13</v>
      </c>
      <c r="AT135" s="1163">
        <v>14</v>
      </c>
      <c r="AU135" s="1162">
        <v>23</v>
      </c>
      <c r="AV135" s="1162">
        <v>13</v>
      </c>
      <c r="AW135" s="1163">
        <v>14</v>
      </c>
    </row>
    <row r="136" spans="1:49" ht="15" customHeight="1" x14ac:dyDescent="0.25">
      <c r="A136" s="6255"/>
      <c r="B136" s="6335"/>
      <c r="C136" s="6309"/>
      <c r="D136" s="4533" t="s">
        <v>437</v>
      </c>
      <c r="E136" s="1161">
        <v>7</v>
      </c>
      <c r="F136" s="1162">
        <v>7</v>
      </c>
      <c r="G136" s="1162">
        <v>10</v>
      </c>
      <c r="H136" s="1161">
        <v>10</v>
      </c>
      <c r="I136" s="1162">
        <v>10</v>
      </c>
      <c r="J136" s="1162">
        <v>10</v>
      </c>
      <c r="K136" s="1161">
        <v>9</v>
      </c>
      <c r="L136" s="1162">
        <v>9</v>
      </c>
      <c r="M136" s="1163">
        <v>5</v>
      </c>
      <c r="N136" s="1162">
        <v>5</v>
      </c>
      <c r="O136" s="1162">
        <v>4</v>
      </c>
      <c r="P136" s="1163">
        <v>4</v>
      </c>
      <c r="Q136" s="1162">
        <v>5</v>
      </c>
      <c r="R136" s="1162">
        <v>4</v>
      </c>
      <c r="S136" s="1163">
        <v>15</v>
      </c>
      <c r="T136" s="1162">
        <v>9</v>
      </c>
      <c r="U136" s="1162">
        <v>9</v>
      </c>
      <c r="V136" s="1163">
        <v>8</v>
      </c>
      <c r="W136" s="1162">
        <v>7</v>
      </c>
      <c r="X136" s="1162">
        <v>8</v>
      </c>
      <c r="Y136" s="1163">
        <v>6</v>
      </c>
      <c r="Z136" s="1162">
        <v>1</v>
      </c>
      <c r="AA136" s="1162">
        <v>0</v>
      </c>
      <c r="AB136" s="1163">
        <v>6</v>
      </c>
      <c r="AC136" s="1162">
        <v>6</v>
      </c>
      <c r="AD136" s="1162">
        <v>6</v>
      </c>
      <c r="AE136" s="1163">
        <v>5</v>
      </c>
      <c r="AF136" s="1162">
        <v>5</v>
      </c>
      <c r="AG136" s="1162">
        <v>5</v>
      </c>
      <c r="AH136" s="1163">
        <v>6</v>
      </c>
      <c r="AI136" s="1162">
        <v>6</v>
      </c>
      <c r="AJ136" s="1162">
        <v>5</v>
      </c>
      <c r="AK136" s="1163">
        <v>4</v>
      </c>
      <c r="AL136" s="1162">
        <v>4</v>
      </c>
      <c r="AM136" s="1162">
        <v>4</v>
      </c>
      <c r="AN136" s="1163">
        <v>1</v>
      </c>
      <c r="AO136" s="1162"/>
      <c r="AP136" s="1162"/>
      <c r="AQ136" s="1163">
        <v>7</v>
      </c>
      <c r="AR136" s="1162">
        <v>6</v>
      </c>
      <c r="AS136" s="1162">
        <v>7</v>
      </c>
      <c r="AT136" s="1163">
        <v>6</v>
      </c>
      <c r="AU136" s="1162">
        <v>6</v>
      </c>
      <c r="AV136" s="1162">
        <v>6</v>
      </c>
      <c r="AW136" s="1163">
        <v>11</v>
      </c>
    </row>
    <row r="137" spans="1:49" ht="15" customHeight="1" x14ac:dyDescent="0.25">
      <c r="A137" s="6255"/>
      <c r="B137" s="6335"/>
      <c r="C137" s="6309"/>
      <c r="D137" s="4533" t="s">
        <v>95</v>
      </c>
      <c r="E137" s="1161">
        <v>24</v>
      </c>
      <c r="F137" s="1162">
        <v>18</v>
      </c>
      <c r="G137" s="1162">
        <v>17</v>
      </c>
      <c r="H137" s="1161">
        <v>18</v>
      </c>
      <c r="I137" s="1162">
        <v>15</v>
      </c>
      <c r="J137" s="1162">
        <v>18</v>
      </c>
      <c r="K137" s="1161">
        <v>21</v>
      </c>
      <c r="L137" s="1162">
        <v>20</v>
      </c>
      <c r="M137" s="1163">
        <v>29</v>
      </c>
      <c r="N137" s="1162">
        <v>23</v>
      </c>
      <c r="O137" s="1162">
        <v>27</v>
      </c>
      <c r="P137" s="1163">
        <v>24</v>
      </c>
      <c r="Q137" s="1162">
        <v>20</v>
      </c>
      <c r="R137" s="1162">
        <v>27</v>
      </c>
      <c r="S137" s="1163">
        <v>25</v>
      </c>
      <c r="T137" s="1162">
        <v>26</v>
      </c>
      <c r="U137" s="1162">
        <v>25</v>
      </c>
      <c r="V137" s="1163">
        <v>34</v>
      </c>
      <c r="W137" s="1162">
        <v>42</v>
      </c>
      <c r="X137" s="1162">
        <v>44</v>
      </c>
      <c r="Y137" s="1163">
        <v>44</v>
      </c>
      <c r="Z137" s="1162">
        <v>43</v>
      </c>
      <c r="AA137" s="1162">
        <v>46</v>
      </c>
      <c r="AB137" s="1163">
        <v>38</v>
      </c>
      <c r="AC137" s="1162">
        <v>34</v>
      </c>
      <c r="AD137" s="1162">
        <v>25</v>
      </c>
      <c r="AE137" s="1163">
        <v>23</v>
      </c>
      <c r="AF137" s="1162">
        <v>27</v>
      </c>
      <c r="AG137" s="1162">
        <v>28</v>
      </c>
      <c r="AH137" s="1163">
        <v>28</v>
      </c>
      <c r="AI137" s="1162">
        <v>29</v>
      </c>
      <c r="AJ137" s="1162">
        <v>36</v>
      </c>
      <c r="AK137" s="1163">
        <v>36</v>
      </c>
      <c r="AL137" s="1162">
        <v>35</v>
      </c>
      <c r="AM137" s="1162">
        <v>39</v>
      </c>
      <c r="AN137" s="1163">
        <v>42</v>
      </c>
      <c r="AO137" s="1162">
        <v>40</v>
      </c>
      <c r="AP137" s="1162">
        <v>42</v>
      </c>
      <c r="AQ137" s="1163">
        <v>39</v>
      </c>
      <c r="AR137" s="1162">
        <v>40</v>
      </c>
      <c r="AS137" s="1162">
        <v>40</v>
      </c>
      <c r="AT137" s="1163">
        <v>39</v>
      </c>
      <c r="AU137" s="1162">
        <v>40</v>
      </c>
      <c r="AV137" s="1162">
        <v>40</v>
      </c>
      <c r="AW137" s="1163">
        <v>39</v>
      </c>
    </row>
    <row r="138" spans="1:49" ht="15" customHeight="1" x14ac:dyDescent="0.25">
      <c r="A138" s="6255"/>
      <c r="B138" s="6335"/>
      <c r="C138" s="6309"/>
      <c r="D138" s="4533" t="s">
        <v>759</v>
      </c>
      <c r="E138" s="1161"/>
      <c r="F138" s="1162"/>
      <c r="G138" s="1162"/>
      <c r="H138" s="1161"/>
      <c r="I138" s="1162"/>
      <c r="J138" s="1162"/>
      <c r="K138" s="1161"/>
      <c r="L138" s="1162"/>
      <c r="M138" s="1163"/>
      <c r="N138" s="1162"/>
      <c r="O138" s="1162"/>
      <c r="P138" s="1163"/>
      <c r="Q138" s="1162"/>
      <c r="R138" s="1162"/>
      <c r="S138" s="1163"/>
      <c r="T138" s="1162"/>
      <c r="U138" s="1162"/>
      <c r="V138" s="1163"/>
      <c r="W138" s="1162"/>
      <c r="X138" s="1162"/>
      <c r="Y138" s="1163"/>
      <c r="Z138" s="1162"/>
      <c r="AA138" s="1162"/>
      <c r="AB138" s="1163"/>
      <c r="AC138" s="1162"/>
      <c r="AD138" s="1162"/>
      <c r="AE138" s="1163"/>
      <c r="AF138" s="1162"/>
      <c r="AG138" s="1162"/>
      <c r="AH138" s="1163"/>
      <c r="AI138" s="1162"/>
      <c r="AJ138" s="1162"/>
      <c r="AK138" s="1163"/>
      <c r="AL138" s="1162"/>
      <c r="AM138" s="1162">
        <v>10</v>
      </c>
      <c r="AN138" s="1163">
        <v>9</v>
      </c>
      <c r="AO138" s="1162">
        <v>9</v>
      </c>
      <c r="AP138" s="1162">
        <v>20</v>
      </c>
      <c r="AQ138" s="1163">
        <v>20</v>
      </c>
      <c r="AR138" s="1162">
        <v>20</v>
      </c>
      <c r="AS138" s="1162">
        <v>19</v>
      </c>
      <c r="AT138" s="1163">
        <v>20</v>
      </c>
      <c r="AU138" s="1162">
        <v>19</v>
      </c>
      <c r="AV138" s="1162">
        <v>19</v>
      </c>
      <c r="AW138" s="1163">
        <v>16</v>
      </c>
    </row>
    <row r="139" spans="1:49" ht="15" customHeight="1" x14ac:dyDescent="0.25">
      <c r="A139" s="6255"/>
      <c r="B139" s="6335"/>
      <c r="C139" s="6310"/>
      <c r="D139" s="4533" t="s">
        <v>92</v>
      </c>
      <c r="E139" s="1161">
        <v>14</v>
      </c>
      <c r="F139" s="1162">
        <v>12</v>
      </c>
      <c r="G139" s="1162">
        <v>24</v>
      </c>
      <c r="H139" s="1161">
        <v>16</v>
      </c>
      <c r="I139" s="1162">
        <v>15</v>
      </c>
      <c r="J139" s="1162">
        <v>17</v>
      </c>
      <c r="K139" s="1161">
        <v>16</v>
      </c>
      <c r="L139" s="1162">
        <v>16</v>
      </c>
      <c r="M139" s="1163">
        <v>31</v>
      </c>
      <c r="N139" s="1162">
        <v>30</v>
      </c>
      <c r="O139" s="1162">
        <v>29</v>
      </c>
      <c r="P139" s="1163">
        <v>40</v>
      </c>
      <c r="Q139" s="1162">
        <v>42</v>
      </c>
      <c r="R139" s="1162">
        <v>40</v>
      </c>
      <c r="S139" s="1163">
        <v>36</v>
      </c>
      <c r="T139" s="1162">
        <v>30</v>
      </c>
      <c r="U139" s="1162">
        <v>31</v>
      </c>
      <c r="V139" s="1163">
        <v>33</v>
      </c>
      <c r="W139" s="1162">
        <v>32</v>
      </c>
      <c r="X139" s="1162">
        <v>32</v>
      </c>
      <c r="Y139" s="1163">
        <v>41</v>
      </c>
      <c r="Z139" s="1162">
        <v>39</v>
      </c>
      <c r="AA139" s="1162">
        <v>36</v>
      </c>
      <c r="AB139" s="1163">
        <v>41</v>
      </c>
      <c r="AC139" s="1162">
        <v>40</v>
      </c>
      <c r="AD139" s="1162">
        <v>48</v>
      </c>
      <c r="AE139" s="1163">
        <v>48</v>
      </c>
      <c r="AF139" s="1162">
        <v>45</v>
      </c>
      <c r="AG139" s="1162">
        <v>56</v>
      </c>
      <c r="AH139" s="1163">
        <v>59</v>
      </c>
      <c r="AI139" s="1162">
        <v>55</v>
      </c>
      <c r="AJ139" s="1162">
        <v>55</v>
      </c>
      <c r="AK139" s="1163">
        <v>54</v>
      </c>
      <c r="AL139" s="1162">
        <v>52</v>
      </c>
      <c r="AM139" s="1162">
        <v>60</v>
      </c>
      <c r="AN139" s="1163">
        <v>65</v>
      </c>
      <c r="AO139" s="1162">
        <v>56</v>
      </c>
      <c r="AP139" s="1162">
        <v>58</v>
      </c>
      <c r="AQ139" s="1163">
        <v>52</v>
      </c>
      <c r="AR139" s="1162">
        <v>50</v>
      </c>
      <c r="AS139" s="1162">
        <v>53</v>
      </c>
      <c r="AT139" s="1163">
        <v>48</v>
      </c>
      <c r="AU139" s="1162">
        <v>46</v>
      </c>
      <c r="AV139" s="1162">
        <v>45</v>
      </c>
      <c r="AW139" s="1163">
        <v>52</v>
      </c>
    </row>
    <row r="140" spans="1:49" ht="15" customHeight="1" x14ac:dyDescent="0.25">
      <c r="A140" s="6255"/>
      <c r="B140" s="6335"/>
      <c r="C140" s="6308" t="s">
        <v>520</v>
      </c>
      <c r="D140" s="4525" t="s">
        <v>359</v>
      </c>
      <c r="E140" s="1161">
        <v>62</v>
      </c>
      <c r="F140" s="1162">
        <v>56</v>
      </c>
      <c r="G140" s="1162">
        <v>55</v>
      </c>
      <c r="H140" s="1161">
        <v>47</v>
      </c>
      <c r="I140" s="1162">
        <v>46</v>
      </c>
      <c r="J140" s="1162">
        <v>44</v>
      </c>
      <c r="K140" s="1161">
        <v>43</v>
      </c>
      <c r="L140" s="1162">
        <v>41</v>
      </c>
      <c r="M140" s="1163">
        <v>38</v>
      </c>
      <c r="N140" s="1162">
        <v>38</v>
      </c>
      <c r="O140" s="1162">
        <v>28</v>
      </c>
      <c r="P140" s="1163">
        <v>38</v>
      </c>
      <c r="Q140" s="1162">
        <v>49</v>
      </c>
      <c r="R140" s="1162">
        <v>41</v>
      </c>
      <c r="S140" s="1163">
        <v>42</v>
      </c>
      <c r="T140" s="1162">
        <v>44</v>
      </c>
      <c r="U140" s="1162">
        <v>35</v>
      </c>
      <c r="V140" s="1163">
        <v>40</v>
      </c>
      <c r="W140" s="1162">
        <v>36</v>
      </c>
      <c r="X140" s="1162">
        <v>43</v>
      </c>
      <c r="Y140" s="1163">
        <v>54</v>
      </c>
      <c r="Z140" s="1162">
        <v>61</v>
      </c>
      <c r="AA140" s="1162">
        <v>54</v>
      </c>
      <c r="AB140" s="1163">
        <v>57</v>
      </c>
      <c r="AC140" s="1162">
        <v>65</v>
      </c>
      <c r="AD140" s="1162">
        <v>55</v>
      </c>
      <c r="AE140" s="1163">
        <v>65</v>
      </c>
      <c r="AF140" s="1162">
        <v>65</v>
      </c>
      <c r="AG140" s="1162">
        <v>62</v>
      </c>
      <c r="AH140" s="1163">
        <v>63</v>
      </c>
      <c r="AI140" s="1162">
        <v>61</v>
      </c>
      <c r="AJ140" s="1162">
        <v>61</v>
      </c>
      <c r="AK140" s="1163">
        <v>59</v>
      </c>
      <c r="AL140" s="1162">
        <v>57</v>
      </c>
      <c r="AM140" s="1162">
        <v>61</v>
      </c>
      <c r="AN140" s="1163">
        <v>64</v>
      </c>
      <c r="AO140" s="1162">
        <v>70</v>
      </c>
      <c r="AP140" s="1162">
        <v>63</v>
      </c>
      <c r="AQ140" s="1163">
        <v>70</v>
      </c>
      <c r="AR140" s="1162">
        <v>75</v>
      </c>
      <c r="AS140" s="1162">
        <v>64</v>
      </c>
      <c r="AT140" s="1163">
        <v>73</v>
      </c>
      <c r="AU140" s="1162">
        <v>76</v>
      </c>
      <c r="AV140" s="1162">
        <v>74</v>
      </c>
      <c r="AW140" s="1163">
        <v>71</v>
      </c>
    </row>
    <row r="141" spans="1:49" ht="15" customHeight="1" x14ac:dyDescent="0.25">
      <c r="A141" s="6255"/>
      <c r="B141" s="6335"/>
      <c r="C141" s="6309"/>
      <c r="D141" s="4522" t="s">
        <v>581</v>
      </c>
      <c r="E141" s="1376"/>
      <c r="F141" s="1377"/>
      <c r="G141" s="1377"/>
      <c r="H141" s="1376"/>
      <c r="I141" s="1377"/>
      <c r="J141" s="1377"/>
      <c r="K141" s="1376"/>
      <c r="L141" s="1377"/>
      <c r="M141" s="1210"/>
      <c r="N141" s="1377"/>
      <c r="O141" s="1377"/>
      <c r="P141" s="1210"/>
      <c r="Q141" s="1377"/>
      <c r="R141" s="1377"/>
      <c r="S141" s="1210"/>
      <c r="T141" s="1377"/>
      <c r="U141" s="1377"/>
      <c r="V141" s="1210"/>
      <c r="W141" s="1377"/>
      <c r="X141" s="1377"/>
      <c r="Y141" s="1210"/>
      <c r="Z141" s="1377"/>
      <c r="AA141" s="1377"/>
      <c r="AB141" s="1210"/>
      <c r="AC141" s="1377"/>
      <c r="AD141" s="1377"/>
      <c r="AE141" s="1210"/>
      <c r="AF141" s="1377"/>
      <c r="AG141" s="1377"/>
      <c r="AH141" s="1210"/>
      <c r="AI141" s="1377">
        <v>9</v>
      </c>
      <c r="AJ141" s="1377">
        <v>9</v>
      </c>
      <c r="AK141" s="1210">
        <v>9</v>
      </c>
      <c r="AL141" s="1377">
        <v>12</v>
      </c>
      <c r="AM141" s="1377">
        <v>12</v>
      </c>
      <c r="AN141" s="1210">
        <v>16</v>
      </c>
      <c r="AO141" s="1377">
        <v>21</v>
      </c>
      <c r="AP141" s="1377">
        <v>21</v>
      </c>
      <c r="AQ141" s="1210">
        <v>21</v>
      </c>
      <c r="AR141" s="1377">
        <v>25</v>
      </c>
      <c r="AS141" s="1377">
        <v>25</v>
      </c>
      <c r="AT141" s="1210">
        <v>24</v>
      </c>
      <c r="AU141" s="1377">
        <v>29</v>
      </c>
      <c r="AV141" s="1377">
        <v>28</v>
      </c>
      <c r="AW141" s="1210">
        <v>27</v>
      </c>
    </row>
    <row r="142" spans="1:49" ht="15" customHeight="1" x14ac:dyDescent="0.25">
      <c r="A142" s="6255"/>
      <c r="B142" s="6335"/>
      <c r="C142" s="6310"/>
      <c r="D142" s="4522" t="s">
        <v>96</v>
      </c>
      <c r="E142" s="1164"/>
      <c r="F142" s="1165"/>
      <c r="G142" s="1165">
        <v>11</v>
      </c>
      <c r="H142" s="1164">
        <v>10</v>
      </c>
      <c r="I142" s="1165">
        <v>10</v>
      </c>
      <c r="J142" s="1165">
        <v>14</v>
      </c>
      <c r="K142" s="1164">
        <v>14</v>
      </c>
      <c r="L142" s="1165">
        <v>14</v>
      </c>
      <c r="M142" s="1166">
        <v>25</v>
      </c>
      <c r="N142" s="1165">
        <v>18</v>
      </c>
      <c r="O142" s="1165">
        <v>20</v>
      </c>
      <c r="P142" s="1166">
        <v>33</v>
      </c>
      <c r="Q142" s="1165">
        <v>30</v>
      </c>
      <c r="R142" s="1165">
        <v>23</v>
      </c>
      <c r="S142" s="1166">
        <v>37</v>
      </c>
      <c r="T142" s="1165">
        <v>32</v>
      </c>
      <c r="U142" s="1165">
        <v>31</v>
      </c>
      <c r="V142" s="1166">
        <v>32</v>
      </c>
      <c r="W142" s="1165">
        <v>42</v>
      </c>
      <c r="X142" s="1165">
        <v>35</v>
      </c>
      <c r="Y142" s="1166">
        <v>31</v>
      </c>
      <c r="Z142" s="1165">
        <v>26</v>
      </c>
      <c r="AA142" s="1165">
        <v>19</v>
      </c>
      <c r="AB142" s="1166">
        <v>29</v>
      </c>
      <c r="AC142" s="1165">
        <v>27</v>
      </c>
      <c r="AD142" s="1165">
        <v>23</v>
      </c>
      <c r="AE142" s="1166">
        <v>23</v>
      </c>
      <c r="AF142" s="1165">
        <v>22</v>
      </c>
      <c r="AG142" s="1165">
        <v>18</v>
      </c>
      <c r="AH142" s="1166">
        <v>34</v>
      </c>
      <c r="AI142" s="1165">
        <v>31</v>
      </c>
      <c r="AJ142" s="1165">
        <v>27</v>
      </c>
      <c r="AK142" s="1166">
        <v>32</v>
      </c>
      <c r="AL142" s="1165">
        <v>20</v>
      </c>
      <c r="AM142" s="1165">
        <v>18</v>
      </c>
      <c r="AN142" s="1166">
        <v>34</v>
      </c>
      <c r="AO142" s="1165">
        <v>26</v>
      </c>
      <c r="AP142" s="1165">
        <v>27</v>
      </c>
      <c r="AQ142" s="1166">
        <v>19</v>
      </c>
      <c r="AR142" s="1165">
        <v>16</v>
      </c>
      <c r="AS142" s="1165">
        <v>16</v>
      </c>
      <c r="AT142" s="1166">
        <v>32</v>
      </c>
      <c r="AU142" s="1165">
        <v>34</v>
      </c>
      <c r="AV142" s="1165">
        <v>35</v>
      </c>
      <c r="AW142" s="1166">
        <v>22</v>
      </c>
    </row>
    <row r="143" spans="1:49" ht="15" customHeight="1" x14ac:dyDescent="0.2">
      <c r="A143" s="6255"/>
      <c r="B143" s="5167"/>
      <c r="C143" s="5153"/>
      <c r="D143" s="4538" t="s">
        <v>160</v>
      </c>
      <c r="E143" s="1169">
        <f t="shared" ref="E143:AT143" si="17">SUM(E129:E142)</f>
        <v>167</v>
      </c>
      <c r="F143" s="1170">
        <f t="shared" si="17"/>
        <v>144</v>
      </c>
      <c r="G143" s="1170">
        <f t="shared" si="17"/>
        <v>160</v>
      </c>
      <c r="H143" s="1169">
        <f t="shared" si="17"/>
        <v>150</v>
      </c>
      <c r="I143" s="1170">
        <f t="shared" si="17"/>
        <v>145</v>
      </c>
      <c r="J143" s="1170">
        <f t="shared" si="17"/>
        <v>145</v>
      </c>
      <c r="K143" s="1169">
        <f t="shared" si="17"/>
        <v>141</v>
      </c>
      <c r="L143" s="1170">
        <f t="shared" si="17"/>
        <v>136</v>
      </c>
      <c r="M143" s="1171">
        <f t="shared" si="17"/>
        <v>177</v>
      </c>
      <c r="N143" s="1170">
        <f t="shared" si="17"/>
        <v>174</v>
      </c>
      <c r="O143" s="1170">
        <f t="shared" si="17"/>
        <v>164</v>
      </c>
      <c r="P143" s="1171">
        <f t="shared" si="17"/>
        <v>200</v>
      </c>
      <c r="Q143" s="1170">
        <f t="shared" si="17"/>
        <v>202</v>
      </c>
      <c r="R143" s="1170">
        <f t="shared" si="17"/>
        <v>182</v>
      </c>
      <c r="S143" s="1171">
        <f t="shared" si="17"/>
        <v>219</v>
      </c>
      <c r="T143" s="1170">
        <f t="shared" si="17"/>
        <v>197</v>
      </c>
      <c r="U143" s="1170">
        <f t="shared" si="17"/>
        <v>188</v>
      </c>
      <c r="V143" s="1171">
        <f t="shared" si="17"/>
        <v>221</v>
      </c>
      <c r="W143" s="1170">
        <f t="shared" si="17"/>
        <v>219</v>
      </c>
      <c r="X143" s="1170">
        <f t="shared" si="17"/>
        <v>222</v>
      </c>
      <c r="Y143" s="1171">
        <f t="shared" si="17"/>
        <v>238</v>
      </c>
      <c r="Z143" s="1170">
        <f t="shared" si="17"/>
        <v>233</v>
      </c>
      <c r="AA143" s="1170">
        <f t="shared" si="17"/>
        <v>221</v>
      </c>
      <c r="AB143" s="1171">
        <f t="shared" si="17"/>
        <v>234</v>
      </c>
      <c r="AC143" s="1170">
        <f t="shared" si="17"/>
        <v>255</v>
      </c>
      <c r="AD143" s="1170">
        <f t="shared" si="17"/>
        <v>230</v>
      </c>
      <c r="AE143" s="1171">
        <f t="shared" si="17"/>
        <v>238</v>
      </c>
      <c r="AF143" s="1170">
        <f t="shared" si="17"/>
        <v>250</v>
      </c>
      <c r="AG143" s="1170">
        <f t="shared" si="17"/>
        <v>236</v>
      </c>
      <c r="AH143" s="1171">
        <f t="shared" si="17"/>
        <v>270</v>
      </c>
      <c r="AI143" s="1170">
        <f t="shared" si="17"/>
        <v>292</v>
      </c>
      <c r="AJ143" s="1170">
        <f t="shared" si="17"/>
        <v>295</v>
      </c>
      <c r="AK143" s="1171">
        <f t="shared" si="17"/>
        <v>270</v>
      </c>
      <c r="AL143" s="1170">
        <f t="shared" si="17"/>
        <v>254</v>
      </c>
      <c r="AM143" s="1170">
        <f t="shared" si="17"/>
        <v>269</v>
      </c>
      <c r="AN143" s="1171">
        <f t="shared" si="17"/>
        <v>309</v>
      </c>
      <c r="AO143" s="1170">
        <f t="shared" si="17"/>
        <v>309</v>
      </c>
      <c r="AP143" s="1170">
        <f t="shared" si="17"/>
        <v>306</v>
      </c>
      <c r="AQ143" s="1171">
        <f t="shared" si="17"/>
        <v>310</v>
      </c>
      <c r="AR143" s="1170">
        <f t="shared" si="17"/>
        <v>311</v>
      </c>
      <c r="AS143" s="1170">
        <f t="shared" si="17"/>
        <v>297</v>
      </c>
      <c r="AT143" s="1171">
        <f t="shared" si="17"/>
        <v>316</v>
      </c>
      <c r="AU143" s="1170">
        <f>SUM(AU129:AU142)</f>
        <v>330</v>
      </c>
      <c r="AV143" s="1170">
        <f>SUM(AV129:AV142)</f>
        <v>312</v>
      </c>
      <c r="AW143" s="1171">
        <f>SUM(AW129:AW142)</f>
        <v>308</v>
      </c>
    </row>
    <row r="144" spans="1:49" ht="15" customHeight="1" x14ac:dyDescent="0.25">
      <c r="A144" s="6255"/>
      <c r="B144" s="6334" t="s">
        <v>7</v>
      </c>
      <c r="C144" s="6326" t="s">
        <v>521</v>
      </c>
      <c r="D144" s="4534" t="s">
        <v>1</v>
      </c>
      <c r="E144" s="1158">
        <v>20</v>
      </c>
      <c r="F144" s="1159">
        <v>19</v>
      </c>
      <c r="G144" s="1159">
        <v>38</v>
      </c>
      <c r="H144" s="1158">
        <v>37</v>
      </c>
      <c r="I144" s="1159">
        <v>37</v>
      </c>
      <c r="J144" s="1159">
        <v>46</v>
      </c>
      <c r="K144" s="1158">
        <v>47</v>
      </c>
      <c r="L144" s="1159">
        <v>44</v>
      </c>
      <c r="M144" s="1160">
        <v>47</v>
      </c>
      <c r="N144" s="1159">
        <v>47</v>
      </c>
      <c r="O144" s="1159">
        <v>44</v>
      </c>
      <c r="P144" s="1160">
        <v>42</v>
      </c>
      <c r="Q144" s="1159">
        <v>44</v>
      </c>
      <c r="R144" s="1159">
        <v>42</v>
      </c>
      <c r="S144" s="1160">
        <v>43</v>
      </c>
      <c r="T144" s="1159">
        <v>42</v>
      </c>
      <c r="U144" s="1159">
        <v>42</v>
      </c>
      <c r="V144" s="1160">
        <v>39</v>
      </c>
      <c r="W144" s="1159">
        <v>39</v>
      </c>
      <c r="X144" s="1159">
        <v>36</v>
      </c>
      <c r="Y144" s="1160">
        <v>47</v>
      </c>
      <c r="Z144" s="1159">
        <v>41</v>
      </c>
      <c r="AA144" s="1159">
        <v>44</v>
      </c>
      <c r="AB144" s="1160">
        <v>36</v>
      </c>
      <c r="AC144" s="1159">
        <v>36</v>
      </c>
      <c r="AD144" s="1159">
        <v>36</v>
      </c>
      <c r="AE144" s="1160">
        <v>35</v>
      </c>
      <c r="AF144" s="1159">
        <v>33</v>
      </c>
      <c r="AG144" s="1159">
        <v>31</v>
      </c>
      <c r="AH144" s="1160">
        <v>38</v>
      </c>
      <c r="AI144" s="1159">
        <v>38</v>
      </c>
      <c r="AJ144" s="1159">
        <v>37</v>
      </c>
      <c r="AK144" s="1160">
        <v>41</v>
      </c>
      <c r="AL144" s="1159">
        <v>42</v>
      </c>
      <c r="AM144" s="1159">
        <v>42</v>
      </c>
      <c r="AN144" s="1160">
        <v>47</v>
      </c>
      <c r="AO144" s="1159">
        <v>46</v>
      </c>
      <c r="AP144" s="1159">
        <v>47</v>
      </c>
      <c r="AQ144" s="1160">
        <v>51</v>
      </c>
      <c r="AR144" s="1159">
        <v>49</v>
      </c>
      <c r="AS144" s="1159">
        <v>48</v>
      </c>
      <c r="AT144" s="1160">
        <v>47</v>
      </c>
      <c r="AU144" s="1159">
        <v>48</v>
      </c>
      <c r="AV144" s="1159">
        <v>46</v>
      </c>
      <c r="AW144" s="1160">
        <v>48</v>
      </c>
    </row>
    <row r="145" spans="1:49" ht="15" customHeight="1" x14ac:dyDescent="0.25">
      <c r="A145" s="6255"/>
      <c r="B145" s="6183"/>
      <c r="C145" s="6309"/>
      <c r="D145" s="4535" t="s">
        <v>396</v>
      </c>
      <c r="E145" s="1161"/>
      <c r="F145" s="1162"/>
      <c r="G145" s="1162"/>
      <c r="H145" s="1161"/>
      <c r="I145" s="1162"/>
      <c r="J145" s="1162"/>
      <c r="K145" s="1161"/>
      <c r="L145" s="1162"/>
      <c r="M145" s="1163"/>
      <c r="N145" s="1162"/>
      <c r="O145" s="1162"/>
      <c r="P145" s="1163"/>
      <c r="Q145" s="1162"/>
      <c r="R145" s="1162"/>
      <c r="S145" s="1163"/>
      <c r="T145" s="1162"/>
      <c r="U145" s="1162"/>
      <c r="V145" s="1163"/>
      <c r="W145" s="1162"/>
      <c r="X145" s="1162">
        <v>17</v>
      </c>
      <c r="Y145" s="1163">
        <v>17</v>
      </c>
      <c r="Z145" s="1162">
        <v>17</v>
      </c>
      <c r="AA145" s="1162">
        <v>17</v>
      </c>
      <c r="AB145" s="1163">
        <v>17</v>
      </c>
      <c r="AC145" s="1162">
        <v>17</v>
      </c>
      <c r="AD145" s="1162">
        <v>21</v>
      </c>
      <c r="AE145" s="1163">
        <v>15</v>
      </c>
      <c r="AF145" s="1162">
        <v>15</v>
      </c>
      <c r="AG145" s="1162">
        <v>15</v>
      </c>
      <c r="AH145" s="1163">
        <v>16</v>
      </c>
      <c r="AI145" s="1162">
        <v>15</v>
      </c>
      <c r="AJ145" s="1162">
        <v>28</v>
      </c>
      <c r="AK145" s="1163">
        <v>23</v>
      </c>
      <c r="AL145" s="1162">
        <v>21</v>
      </c>
      <c r="AM145" s="1162">
        <v>20</v>
      </c>
      <c r="AN145" s="1163">
        <v>20</v>
      </c>
      <c r="AO145" s="1162">
        <v>21</v>
      </c>
      <c r="AP145" s="1162">
        <v>23</v>
      </c>
      <c r="AQ145" s="1163">
        <v>23</v>
      </c>
      <c r="AR145" s="1162">
        <v>21</v>
      </c>
      <c r="AS145" s="1162">
        <v>21</v>
      </c>
      <c r="AT145" s="1163">
        <v>19</v>
      </c>
      <c r="AU145" s="1162">
        <v>21</v>
      </c>
      <c r="AV145" s="1162">
        <v>17</v>
      </c>
      <c r="AW145" s="1163">
        <v>17</v>
      </c>
    </row>
    <row r="146" spans="1:49" ht="15" customHeight="1" x14ac:dyDescent="0.25">
      <c r="A146" s="6255"/>
      <c r="B146" s="6183"/>
      <c r="C146" s="6310"/>
      <c r="D146" s="4536" t="s">
        <v>397</v>
      </c>
      <c r="E146" s="1164"/>
      <c r="F146" s="1165"/>
      <c r="G146" s="1165"/>
      <c r="H146" s="1164"/>
      <c r="I146" s="1165"/>
      <c r="J146" s="1165"/>
      <c r="K146" s="1164"/>
      <c r="L146" s="1165"/>
      <c r="M146" s="1166"/>
      <c r="N146" s="1165"/>
      <c r="O146" s="1165"/>
      <c r="P146" s="1166"/>
      <c r="Q146" s="1165"/>
      <c r="R146" s="1165"/>
      <c r="S146" s="1166"/>
      <c r="T146" s="1165"/>
      <c r="U146" s="1165"/>
      <c r="V146" s="1166"/>
      <c r="W146" s="1165"/>
      <c r="X146" s="1165"/>
      <c r="Y146" s="1166">
        <v>33</v>
      </c>
      <c r="Z146" s="1165">
        <v>33</v>
      </c>
      <c r="AA146" s="1165">
        <v>33</v>
      </c>
      <c r="AB146" s="1166">
        <v>33</v>
      </c>
      <c r="AC146" s="1165">
        <v>33</v>
      </c>
      <c r="AD146" s="1165">
        <v>57</v>
      </c>
      <c r="AE146" s="1166">
        <v>24</v>
      </c>
      <c r="AF146" s="1165">
        <v>26</v>
      </c>
      <c r="AG146" s="1165">
        <v>28</v>
      </c>
      <c r="AH146" s="1166">
        <v>23</v>
      </c>
      <c r="AI146" s="1165">
        <v>24</v>
      </c>
      <c r="AJ146" s="1165">
        <v>23</v>
      </c>
      <c r="AK146" s="1166">
        <v>24</v>
      </c>
      <c r="AL146" s="1165">
        <v>23</v>
      </c>
      <c r="AM146" s="1165">
        <v>18</v>
      </c>
      <c r="AN146" s="1166">
        <v>18</v>
      </c>
      <c r="AO146" s="1165">
        <v>19</v>
      </c>
      <c r="AP146" s="1165">
        <v>24</v>
      </c>
      <c r="AQ146" s="1166">
        <v>26</v>
      </c>
      <c r="AR146" s="1165">
        <v>24</v>
      </c>
      <c r="AS146" s="1165">
        <v>25</v>
      </c>
      <c r="AT146" s="1166">
        <v>22</v>
      </c>
      <c r="AU146" s="1165">
        <v>24</v>
      </c>
      <c r="AV146" s="1165">
        <v>24</v>
      </c>
      <c r="AW146" s="1166">
        <v>24</v>
      </c>
    </row>
    <row r="147" spans="1:49" ht="15" customHeight="1" x14ac:dyDescent="0.25">
      <c r="A147" s="6255"/>
      <c r="B147" s="6183"/>
      <c r="C147" s="5145" t="s">
        <v>520</v>
      </c>
      <c r="D147" s="4537" t="s">
        <v>2</v>
      </c>
      <c r="E147" s="1161">
        <v>11</v>
      </c>
      <c r="F147" s="1162">
        <v>11</v>
      </c>
      <c r="G147" s="1162">
        <v>10</v>
      </c>
      <c r="H147" s="1161">
        <v>10</v>
      </c>
      <c r="I147" s="1162">
        <v>10</v>
      </c>
      <c r="J147" s="1162">
        <v>23</v>
      </c>
      <c r="K147" s="1161">
        <v>19</v>
      </c>
      <c r="L147" s="1162">
        <v>19</v>
      </c>
      <c r="M147" s="1163">
        <v>15</v>
      </c>
      <c r="N147" s="1162">
        <v>30</v>
      </c>
      <c r="O147" s="1162">
        <v>26</v>
      </c>
      <c r="P147" s="1163">
        <v>27</v>
      </c>
      <c r="Q147" s="1162">
        <v>33</v>
      </c>
      <c r="R147" s="1162">
        <v>31</v>
      </c>
      <c r="S147" s="1163">
        <v>29</v>
      </c>
      <c r="T147" s="1162">
        <v>38</v>
      </c>
      <c r="U147" s="1162">
        <v>34</v>
      </c>
      <c r="V147" s="1163">
        <v>32</v>
      </c>
      <c r="W147" s="1162">
        <v>42</v>
      </c>
      <c r="X147" s="1162">
        <v>39</v>
      </c>
      <c r="Y147" s="1163">
        <v>38</v>
      </c>
      <c r="Z147" s="1162">
        <v>39</v>
      </c>
      <c r="AA147" s="1162">
        <v>35</v>
      </c>
      <c r="AB147" s="1163">
        <v>33</v>
      </c>
      <c r="AC147" s="1162">
        <v>42</v>
      </c>
      <c r="AD147" s="1162">
        <v>39</v>
      </c>
      <c r="AE147" s="1163">
        <v>40</v>
      </c>
      <c r="AF147" s="1162">
        <v>44</v>
      </c>
      <c r="AG147" s="1162">
        <v>43</v>
      </c>
      <c r="AH147" s="1163">
        <v>40</v>
      </c>
      <c r="AI147" s="1162">
        <v>42</v>
      </c>
      <c r="AJ147" s="1162">
        <v>45</v>
      </c>
      <c r="AK147" s="1163">
        <v>44</v>
      </c>
      <c r="AL147" s="1162">
        <v>48</v>
      </c>
      <c r="AM147" s="1162">
        <v>47</v>
      </c>
      <c r="AN147" s="1163">
        <v>44</v>
      </c>
      <c r="AO147" s="1162">
        <v>39</v>
      </c>
      <c r="AP147" s="1162">
        <v>38</v>
      </c>
      <c r="AQ147" s="1163">
        <v>36</v>
      </c>
      <c r="AR147" s="1162">
        <v>40</v>
      </c>
      <c r="AS147" s="1162">
        <v>36</v>
      </c>
      <c r="AT147" s="1163">
        <v>35</v>
      </c>
      <c r="AU147" s="1162">
        <v>35</v>
      </c>
      <c r="AV147" s="1162">
        <v>35</v>
      </c>
      <c r="AW147" s="1163">
        <v>35</v>
      </c>
    </row>
    <row r="148" spans="1:49" ht="18" customHeight="1" x14ac:dyDescent="0.2">
      <c r="A148" s="6255"/>
      <c r="B148" s="6185"/>
      <c r="C148" s="5153"/>
      <c r="D148" s="4538" t="s">
        <v>160</v>
      </c>
      <c r="E148" s="1169">
        <f t="shared" ref="E148:AT148" si="18">SUM(E144:E147)</f>
        <v>31</v>
      </c>
      <c r="F148" s="1170">
        <f t="shared" si="18"/>
        <v>30</v>
      </c>
      <c r="G148" s="1170">
        <f t="shared" si="18"/>
        <v>48</v>
      </c>
      <c r="H148" s="1169">
        <f t="shared" si="18"/>
        <v>47</v>
      </c>
      <c r="I148" s="1170">
        <f t="shared" si="18"/>
        <v>47</v>
      </c>
      <c r="J148" s="1170">
        <f t="shared" si="18"/>
        <v>69</v>
      </c>
      <c r="K148" s="1169">
        <f t="shared" si="18"/>
        <v>66</v>
      </c>
      <c r="L148" s="1170">
        <f t="shared" si="18"/>
        <v>63</v>
      </c>
      <c r="M148" s="1171">
        <f t="shared" si="18"/>
        <v>62</v>
      </c>
      <c r="N148" s="1170">
        <f t="shared" si="18"/>
        <v>77</v>
      </c>
      <c r="O148" s="1170">
        <f t="shared" si="18"/>
        <v>70</v>
      </c>
      <c r="P148" s="1171">
        <f t="shared" si="18"/>
        <v>69</v>
      </c>
      <c r="Q148" s="1170">
        <f t="shared" si="18"/>
        <v>77</v>
      </c>
      <c r="R148" s="1170">
        <f t="shared" si="18"/>
        <v>73</v>
      </c>
      <c r="S148" s="1171">
        <f t="shared" si="18"/>
        <v>72</v>
      </c>
      <c r="T148" s="1170">
        <f t="shared" si="18"/>
        <v>80</v>
      </c>
      <c r="U148" s="1170">
        <f t="shared" si="18"/>
        <v>76</v>
      </c>
      <c r="V148" s="1171">
        <f t="shared" si="18"/>
        <v>71</v>
      </c>
      <c r="W148" s="1170">
        <f t="shared" si="18"/>
        <v>81</v>
      </c>
      <c r="X148" s="1170">
        <f t="shared" si="18"/>
        <v>92</v>
      </c>
      <c r="Y148" s="1171">
        <f t="shared" si="18"/>
        <v>135</v>
      </c>
      <c r="Z148" s="1170">
        <f t="shared" si="18"/>
        <v>130</v>
      </c>
      <c r="AA148" s="1170">
        <f t="shared" si="18"/>
        <v>129</v>
      </c>
      <c r="AB148" s="1171">
        <f t="shared" si="18"/>
        <v>119</v>
      </c>
      <c r="AC148" s="1170">
        <f t="shared" si="18"/>
        <v>128</v>
      </c>
      <c r="AD148" s="1170">
        <f t="shared" si="18"/>
        <v>153</v>
      </c>
      <c r="AE148" s="1171">
        <f t="shared" si="18"/>
        <v>114</v>
      </c>
      <c r="AF148" s="1170">
        <f t="shared" si="18"/>
        <v>118</v>
      </c>
      <c r="AG148" s="1170">
        <f t="shared" si="18"/>
        <v>117</v>
      </c>
      <c r="AH148" s="1171">
        <f t="shared" si="18"/>
        <v>117</v>
      </c>
      <c r="AI148" s="1170">
        <f t="shared" si="18"/>
        <v>119</v>
      </c>
      <c r="AJ148" s="1170">
        <f t="shared" si="18"/>
        <v>133</v>
      </c>
      <c r="AK148" s="1171">
        <f t="shared" si="18"/>
        <v>132</v>
      </c>
      <c r="AL148" s="1170">
        <f t="shared" si="18"/>
        <v>134</v>
      </c>
      <c r="AM148" s="1170">
        <f t="shared" si="18"/>
        <v>127</v>
      </c>
      <c r="AN148" s="1171">
        <f t="shared" si="18"/>
        <v>129</v>
      </c>
      <c r="AO148" s="1170">
        <f t="shared" si="18"/>
        <v>125</v>
      </c>
      <c r="AP148" s="1170">
        <f t="shared" si="18"/>
        <v>132</v>
      </c>
      <c r="AQ148" s="1171">
        <f t="shared" si="18"/>
        <v>136</v>
      </c>
      <c r="AR148" s="1170">
        <f t="shared" si="18"/>
        <v>134</v>
      </c>
      <c r="AS148" s="1170">
        <f t="shared" si="18"/>
        <v>130</v>
      </c>
      <c r="AT148" s="1171">
        <f t="shared" si="18"/>
        <v>123</v>
      </c>
      <c r="AU148" s="1170">
        <f>SUM(AU144:AU147)</f>
        <v>128</v>
      </c>
      <c r="AV148" s="1170">
        <f>SUM(AV144:AV147)</f>
        <v>122</v>
      </c>
      <c r="AW148" s="1171">
        <f>SUM(AW144:AW147)</f>
        <v>124</v>
      </c>
    </row>
    <row r="149" spans="1:49" ht="15" x14ac:dyDescent="0.2">
      <c r="A149" s="6256"/>
      <c r="B149" s="4704"/>
      <c r="C149" s="4704"/>
      <c r="D149" s="4721" t="s">
        <v>444</v>
      </c>
      <c r="E149" s="4677">
        <f t="shared" ref="E149:AT149" si="19">SUM(E148,E143,E128)</f>
        <v>478</v>
      </c>
      <c r="F149" s="4722">
        <f t="shared" si="19"/>
        <v>453</v>
      </c>
      <c r="G149" s="4722">
        <f t="shared" si="19"/>
        <v>516</v>
      </c>
      <c r="H149" s="4677">
        <f t="shared" si="19"/>
        <v>460</v>
      </c>
      <c r="I149" s="4722">
        <f t="shared" si="19"/>
        <v>429</v>
      </c>
      <c r="J149" s="4722">
        <f t="shared" si="19"/>
        <v>476</v>
      </c>
      <c r="K149" s="4677">
        <f t="shared" si="19"/>
        <v>482</v>
      </c>
      <c r="L149" s="4722">
        <f t="shared" si="19"/>
        <v>479</v>
      </c>
      <c r="M149" s="4723">
        <f t="shared" si="19"/>
        <v>530</v>
      </c>
      <c r="N149" s="4722">
        <f t="shared" si="19"/>
        <v>507</v>
      </c>
      <c r="O149" s="4722">
        <f t="shared" si="19"/>
        <v>482</v>
      </c>
      <c r="P149" s="4723">
        <f t="shared" si="19"/>
        <v>547</v>
      </c>
      <c r="Q149" s="4722">
        <f t="shared" si="19"/>
        <v>612</v>
      </c>
      <c r="R149" s="4722">
        <f t="shared" si="19"/>
        <v>565</v>
      </c>
      <c r="S149" s="4723">
        <f t="shared" si="19"/>
        <v>590</v>
      </c>
      <c r="T149" s="4722">
        <f t="shared" si="19"/>
        <v>568</v>
      </c>
      <c r="U149" s="4722">
        <f t="shared" si="19"/>
        <v>583</v>
      </c>
      <c r="V149" s="4723">
        <f t="shared" si="19"/>
        <v>630</v>
      </c>
      <c r="W149" s="4722">
        <f t="shared" si="19"/>
        <v>658</v>
      </c>
      <c r="X149" s="4722">
        <f t="shared" si="19"/>
        <v>727</v>
      </c>
      <c r="Y149" s="4723">
        <f t="shared" si="19"/>
        <v>747</v>
      </c>
      <c r="Z149" s="4722">
        <f t="shared" si="19"/>
        <v>692</v>
      </c>
      <c r="AA149" s="4722">
        <f t="shared" si="19"/>
        <v>749</v>
      </c>
      <c r="AB149" s="4723">
        <f t="shared" si="19"/>
        <v>685</v>
      </c>
      <c r="AC149" s="4722">
        <f t="shared" si="19"/>
        <v>747</v>
      </c>
      <c r="AD149" s="4722">
        <f t="shared" si="19"/>
        <v>711</v>
      </c>
      <c r="AE149" s="4723">
        <f t="shared" si="19"/>
        <v>687</v>
      </c>
      <c r="AF149" s="4722">
        <f t="shared" si="19"/>
        <v>692</v>
      </c>
      <c r="AG149" s="4722">
        <f t="shared" si="19"/>
        <v>662</v>
      </c>
      <c r="AH149" s="4723">
        <f t="shared" si="19"/>
        <v>746</v>
      </c>
      <c r="AI149" s="4722">
        <f t="shared" si="19"/>
        <v>801</v>
      </c>
      <c r="AJ149" s="4722">
        <f t="shared" si="19"/>
        <v>781</v>
      </c>
      <c r="AK149" s="4723">
        <f t="shared" si="19"/>
        <v>739</v>
      </c>
      <c r="AL149" s="4722">
        <f t="shared" si="19"/>
        <v>708</v>
      </c>
      <c r="AM149" s="4722">
        <f t="shared" si="19"/>
        <v>721</v>
      </c>
      <c r="AN149" s="4723">
        <f t="shared" si="19"/>
        <v>814</v>
      </c>
      <c r="AO149" s="4722">
        <f t="shared" si="19"/>
        <v>780</v>
      </c>
      <c r="AP149" s="4722">
        <f t="shared" si="19"/>
        <v>765</v>
      </c>
      <c r="AQ149" s="4723">
        <f t="shared" si="19"/>
        <v>786</v>
      </c>
      <c r="AR149" s="4722">
        <f t="shared" si="19"/>
        <v>817</v>
      </c>
      <c r="AS149" s="4722">
        <f t="shared" si="19"/>
        <v>784</v>
      </c>
      <c r="AT149" s="4723">
        <f t="shared" si="19"/>
        <v>795</v>
      </c>
      <c r="AU149" s="4722">
        <f>SUM(AU148,AU143,AU128)</f>
        <v>854</v>
      </c>
      <c r="AV149" s="4722">
        <f>SUM(AV148,AV143,AV128)</f>
        <v>802</v>
      </c>
      <c r="AW149" s="4723">
        <f>SUM(AW148,AW143,AW128)</f>
        <v>812</v>
      </c>
    </row>
    <row r="150" spans="1:49" ht="15" x14ac:dyDescent="0.25">
      <c r="A150" s="1152"/>
      <c r="B150" s="1155"/>
      <c r="C150" s="1156"/>
      <c r="D150" s="4539"/>
      <c r="E150" s="1185"/>
      <c r="F150" s="1186"/>
      <c r="G150" s="1186"/>
      <c r="H150" s="1185"/>
      <c r="I150" s="1186"/>
      <c r="J150" s="1186"/>
      <c r="K150" s="1185"/>
      <c r="L150" s="1186"/>
      <c r="M150" s="1187"/>
      <c r="N150" s="1186"/>
      <c r="O150" s="1186"/>
      <c r="P150" s="1187"/>
      <c r="Q150" s="1186"/>
      <c r="R150" s="1186"/>
      <c r="S150" s="1187"/>
      <c r="T150" s="1186"/>
      <c r="U150" s="1186"/>
      <c r="V150" s="1187"/>
      <c r="W150" s="1186"/>
      <c r="X150" s="1186"/>
      <c r="Y150" s="1187"/>
      <c r="Z150" s="1186"/>
      <c r="AA150" s="1186"/>
      <c r="AB150" s="1187"/>
      <c r="AC150" s="1186"/>
      <c r="AD150" s="1186"/>
      <c r="AE150" s="1187"/>
      <c r="AF150" s="1186"/>
      <c r="AG150" s="1186"/>
      <c r="AH150" s="1187"/>
      <c r="AI150" s="1186"/>
      <c r="AJ150" s="1186"/>
      <c r="AK150" s="1187"/>
      <c r="AL150" s="1186"/>
      <c r="AM150" s="1186"/>
      <c r="AN150" s="1187"/>
      <c r="AO150" s="1186"/>
      <c r="AP150" s="1186"/>
      <c r="AQ150" s="1187"/>
      <c r="AR150" s="1186"/>
      <c r="AS150" s="1186"/>
      <c r="AT150" s="1187"/>
      <c r="AU150" s="1186"/>
      <c r="AV150" s="1186"/>
      <c r="AW150" s="1187"/>
    </row>
    <row r="151" spans="1:49" ht="15" x14ac:dyDescent="0.2">
      <c r="A151" s="6330" t="s">
        <v>76</v>
      </c>
      <c r="B151" s="6331"/>
      <c r="C151" s="6331"/>
      <c r="D151" s="6332"/>
      <c r="E151" s="4540">
        <f t="shared" ref="E151:AT151" si="20">SUM(E51,E62,E109,E149)</f>
        <v>1652</v>
      </c>
      <c r="F151" s="4541">
        <f t="shared" si="20"/>
        <v>1553</v>
      </c>
      <c r="G151" s="4541">
        <f t="shared" si="20"/>
        <v>1692</v>
      </c>
      <c r="H151" s="4540">
        <f t="shared" si="20"/>
        <v>1596</v>
      </c>
      <c r="I151" s="4541">
        <f t="shared" si="20"/>
        <v>1510</v>
      </c>
      <c r="J151" s="4541">
        <f t="shared" si="20"/>
        <v>1692</v>
      </c>
      <c r="K151" s="4540">
        <f t="shared" si="20"/>
        <v>1724</v>
      </c>
      <c r="L151" s="4541">
        <f t="shared" si="20"/>
        <v>1648</v>
      </c>
      <c r="M151" s="4542">
        <f t="shared" si="20"/>
        <v>1741</v>
      </c>
      <c r="N151" s="4541">
        <f t="shared" si="20"/>
        <v>1788</v>
      </c>
      <c r="O151" s="4541">
        <f t="shared" si="20"/>
        <v>1701</v>
      </c>
      <c r="P151" s="4542">
        <f t="shared" si="20"/>
        <v>1857</v>
      </c>
      <c r="Q151" s="4541">
        <f t="shared" si="20"/>
        <v>2014</v>
      </c>
      <c r="R151" s="4541">
        <f t="shared" si="20"/>
        <v>1875</v>
      </c>
      <c r="S151" s="4542">
        <f t="shared" si="20"/>
        <v>2046</v>
      </c>
      <c r="T151" s="4541">
        <f t="shared" si="20"/>
        <v>1962</v>
      </c>
      <c r="U151" s="4541">
        <f t="shared" si="20"/>
        <v>1837</v>
      </c>
      <c r="V151" s="4542">
        <f t="shared" si="20"/>
        <v>2247</v>
      </c>
      <c r="W151" s="4541">
        <f t="shared" si="20"/>
        <v>2121</v>
      </c>
      <c r="X151" s="4541">
        <f t="shared" si="20"/>
        <v>2224</v>
      </c>
      <c r="Y151" s="4542">
        <f t="shared" si="20"/>
        <v>2519</v>
      </c>
      <c r="Z151" s="4541">
        <f t="shared" si="20"/>
        <v>2383</v>
      </c>
      <c r="AA151" s="4541">
        <f t="shared" si="20"/>
        <v>2238</v>
      </c>
      <c r="AB151" s="4542">
        <f t="shared" si="20"/>
        <v>2638</v>
      </c>
      <c r="AC151" s="4541">
        <f t="shared" si="20"/>
        <v>2773</v>
      </c>
      <c r="AD151" s="4541">
        <f t="shared" si="20"/>
        <v>2503</v>
      </c>
      <c r="AE151" s="4542">
        <f t="shared" si="20"/>
        <v>2685</v>
      </c>
      <c r="AF151" s="4541">
        <f t="shared" si="20"/>
        <v>2667</v>
      </c>
      <c r="AG151" s="4541">
        <f t="shared" si="20"/>
        <v>2551</v>
      </c>
      <c r="AH151" s="4542">
        <f t="shared" si="20"/>
        <v>2798</v>
      </c>
      <c r="AI151" s="4541">
        <f t="shared" si="20"/>
        <v>2916</v>
      </c>
      <c r="AJ151" s="4541">
        <f t="shared" si="20"/>
        <v>2829</v>
      </c>
      <c r="AK151" s="4542">
        <f t="shared" si="20"/>
        <v>2947</v>
      </c>
      <c r="AL151" s="4541">
        <f t="shared" si="20"/>
        <v>2839</v>
      </c>
      <c r="AM151" s="4541">
        <f t="shared" si="20"/>
        <v>2727</v>
      </c>
      <c r="AN151" s="4542">
        <f t="shared" si="20"/>
        <v>3250</v>
      </c>
      <c r="AO151" s="4541">
        <f t="shared" si="20"/>
        <v>3014</v>
      </c>
      <c r="AP151" s="4541">
        <f t="shared" si="20"/>
        <v>2940</v>
      </c>
      <c r="AQ151" s="4542">
        <f t="shared" si="20"/>
        <v>3153</v>
      </c>
      <c r="AR151" s="4541">
        <f t="shared" si="20"/>
        <v>3120</v>
      </c>
      <c r="AS151" s="4541">
        <f t="shared" si="20"/>
        <v>2914</v>
      </c>
      <c r="AT151" s="4542">
        <f t="shared" si="20"/>
        <v>3104</v>
      </c>
      <c r="AU151" s="4541">
        <f>SUM(AU51,AU62,AU109,AU149)</f>
        <v>3117</v>
      </c>
      <c r="AV151" s="4541">
        <f>SUM(AV51,AV62,AV109,AV149)</f>
        <v>3088</v>
      </c>
      <c r="AW151" s="4542">
        <f>SUM(AW51,AW62,AW109,AW149)</f>
        <v>3178</v>
      </c>
    </row>
    <row r="152" spans="1:49" s="212" customFormat="1" x14ac:dyDescent="0.2">
      <c r="A152" s="5168" t="s">
        <v>1571</v>
      </c>
      <c r="B152" s="228"/>
      <c r="C152" s="228"/>
      <c r="D152" s="210"/>
      <c r="E152" s="228"/>
      <c r="F152" s="228"/>
      <c r="G152" s="228"/>
      <c r="H152" s="228"/>
      <c r="I152" s="228"/>
      <c r="J152" s="228"/>
      <c r="K152" s="228"/>
      <c r="L152" s="228"/>
      <c r="M152" s="228"/>
      <c r="N152" s="228"/>
      <c r="O152" s="228"/>
      <c r="P152" s="228"/>
      <c r="Q152" s="228"/>
      <c r="R152" s="228"/>
      <c r="S152" s="228"/>
      <c r="T152" s="228"/>
      <c r="U152" s="228"/>
      <c r="V152" s="228"/>
      <c r="W152" s="228"/>
      <c r="X152" s="228"/>
      <c r="Y152" s="228"/>
      <c r="Z152" s="228"/>
      <c r="AA152" s="228"/>
      <c r="AB152" s="228"/>
      <c r="AC152" s="228"/>
      <c r="AD152" s="228"/>
      <c r="AE152" s="228"/>
      <c r="AF152" s="228"/>
      <c r="AG152" s="228"/>
      <c r="AH152" s="228"/>
      <c r="AI152" s="209"/>
      <c r="AJ152" s="209"/>
      <c r="AK152" s="209"/>
      <c r="AL152" s="209"/>
      <c r="AM152" s="209"/>
      <c r="AN152" s="209"/>
      <c r="AO152" s="209"/>
      <c r="AP152" s="209"/>
      <c r="AQ152" s="209"/>
      <c r="AR152" s="209"/>
      <c r="AS152" s="209"/>
      <c r="AT152" s="209"/>
    </row>
    <row r="153" spans="1:49" x14ac:dyDescent="0.2">
      <c r="A153" s="5085" t="s">
        <v>1593</v>
      </c>
    </row>
  </sheetData>
  <sheetProtection algorithmName="SHA-512" hashValue="jxbg7cxpsFmHVXVXRcf3AtqjluG6fNMiQShejj5cyhI7SSOPZ6HFtxq8rxeTQBKo5j9Wr2/9bvKzAggsaWF7yw==" saltValue="l/g0ldPK2nzPgUcO08OU2A==" spinCount="100000" sheet="1" objects="1" scenarios="1"/>
  <mergeCells count="59">
    <mergeCell ref="AU3:AW3"/>
    <mergeCell ref="C59:C60"/>
    <mergeCell ref="A52:A62"/>
    <mergeCell ref="A151:D151"/>
    <mergeCell ref="A110:A149"/>
    <mergeCell ref="B110:B128"/>
    <mergeCell ref="C110:C111"/>
    <mergeCell ref="C112:C120"/>
    <mergeCell ref="B129:B142"/>
    <mergeCell ref="C129:C131"/>
    <mergeCell ref="C132:C139"/>
    <mergeCell ref="C140:C142"/>
    <mergeCell ref="B144:B148"/>
    <mergeCell ref="C144:C146"/>
    <mergeCell ref="B52:B54"/>
    <mergeCell ref="C81:C89"/>
    <mergeCell ref="AC3:AE3"/>
    <mergeCell ref="B55:B56"/>
    <mergeCell ref="AR3:AT3"/>
    <mergeCell ref="A63:A109"/>
    <mergeCell ref="B63:B79"/>
    <mergeCell ref="C64:C70"/>
    <mergeCell ref="C71:C78"/>
    <mergeCell ref="B80:B97"/>
    <mergeCell ref="B98:B108"/>
    <mergeCell ref="C98:C100"/>
    <mergeCell ref="C101:C104"/>
    <mergeCell ref="C105:C107"/>
    <mergeCell ref="AL3:AN3"/>
    <mergeCell ref="H3:J3"/>
    <mergeCell ref="A3:A4"/>
    <mergeCell ref="T3:V3"/>
    <mergeCell ref="W3:Y3"/>
    <mergeCell ref="Z3:AB3"/>
    <mergeCell ref="B3:B4"/>
    <mergeCell ref="C3:C4"/>
    <mergeCell ref="D3:D4"/>
    <mergeCell ref="E3:G3"/>
    <mergeCell ref="B57:B61"/>
    <mergeCell ref="AO3:AQ3"/>
    <mergeCell ref="A5:A51"/>
    <mergeCell ref="B5:B14"/>
    <mergeCell ref="C5:C9"/>
    <mergeCell ref="B15:B31"/>
    <mergeCell ref="C15:C17"/>
    <mergeCell ref="B32:B50"/>
    <mergeCell ref="C32:C35"/>
    <mergeCell ref="C36:C42"/>
    <mergeCell ref="C43:C49"/>
    <mergeCell ref="AI3:AK3"/>
    <mergeCell ref="K3:M3"/>
    <mergeCell ref="AF3:AH3"/>
    <mergeCell ref="N3:P3"/>
    <mergeCell ref="Q3:S3"/>
    <mergeCell ref="C10:C13"/>
    <mergeCell ref="C18:C26"/>
    <mergeCell ref="C27:C30"/>
    <mergeCell ref="C90:C96"/>
    <mergeCell ref="C123:C127"/>
  </mergeCells>
  <printOptions horizontalCentered="1" verticalCentered="1"/>
  <pageMargins left="0.39370078740157483" right="0.39370078740157483" top="0.31496062992125984" bottom="0.19685039370078741" header="0.43307086614173229" footer="0.31496062992125984"/>
  <pageSetup scale="55" pageOrder="overThenDown" orientation="landscape" horizontalDpi="1200" verticalDpi="1200" r:id="rId1"/>
  <headerFooter alignWithMargins="0"/>
  <rowBreaks count="2" manualBreakCount="2">
    <brk id="62" max="42" man="1"/>
    <brk id="107" max="42" man="1"/>
  </rowBreaks>
  <colBreaks count="2" manualBreakCount="2">
    <brk id="22" max="121" man="1"/>
    <brk id="40" max="121" man="1"/>
  </colBreaks>
  <ignoredErrors>
    <ignoredError sqref="AS51 AK56:AQ56 AV51" formula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U98"/>
  <sheetViews>
    <sheetView showGridLines="0" zoomScaleNormal="100" zoomScaleSheetLayoutView="70" workbookViewId="0">
      <pane xSplit="2" ySplit="5" topLeftCell="Z6" activePane="bottomRight" state="frozen"/>
      <selection sqref="A1:E1"/>
      <selection pane="topRight" sqref="A1:E1"/>
      <selection pane="bottomLeft" sqref="A1:E1"/>
      <selection pane="bottomRight" activeCell="AA139" sqref="AA139"/>
    </sheetView>
  </sheetViews>
  <sheetFormatPr baseColWidth="10" defaultColWidth="22.85546875" defaultRowHeight="12.75" x14ac:dyDescent="0.2"/>
  <cols>
    <col min="1" max="1" width="15.140625" style="209" customWidth="1"/>
    <col min="2" max="2" width="22.85546875" style="210" customWidth="1"/>
    <col min="3" max="5" width="8.7109375" style="210" customWidth="1"/>
    <col min="6" max="47" width="8.7109375" style="209" customWidth="1"/>
    <col min="48" max="247" width="11.42578125" style="209" customWidth="1"/>
    <col min="248" max="248" width="2.28515625" style="209" customWidth="1"/>
    <col min="249" max="249" width="14.7109375" style="209" customWidth="1"/>
    <col min="250" max="250" width="11.28515625" style="209" bestFit="1" customWidth="1"/>
    <col min="251" max="251" width="22.85546875" style="209"/>
    <col min="252" max="252" width="2.28515625" style="209" customWidth="1"/>
    <col min="253" max="253" width="18.85546875" style="209" customWidth="1"/>
    <col min="254" max="254" width="11.28515625" style="209" bestFit="1" customWidth="1"/>
    <col min="255" max="255" width="22.85546875" style="209" customWidth="1"/>
    <col min="256" max="270" width="9.7109375" style="209" customWidth="1"/>
    <col min="271" max="503" width="11.42578125" style="209" customWidth="1"/>
    <col min="504" max="504" width="2.28515625" style="209" customWidth="1"/>
    <col min="505" max="505" width="14.7109375" style="209" customWidth="1"/>
    <col min="506" max="506" width="11.28515625" style="209" bestFit="1" customWidth="1"/>
    <col min="507" max="507" width="22.85546875" style="209"/>
    <col min="508" max="508" width="2.28515625" style="209" customWidth="1"/>
    <col min="509" max="509" width="18.85546875" style="209" customWidth="1"/>
    <col min="510" max="510" width="11.28515625" style="209" bestFit="1" customWidth="1"/>
    <col min="511" max="511" width="22.85546875" style="209" customWidth="1"/>
    <col min="512" max="526" width="9.7109375" style="209" customWidth="1"/>
    <col min="527" max="759" width="11.42578125" style="209" customWidth="1"/>
    <col min="760" max="760" width="2.28515625" style="209" customWidth="1"/>
    <col min="761" max="761" width="14.7109375" style="209" customWidth="1"/>
    <col min="762" max="762" width="11.28515625" style="209" bestFit="1" customWidth="1"/>
    <col min="763" max="763" width="22.85546875" style="209"/>
    <col min="764" max="764" width="2.28515625" style="209" customWidth="1"/>
    <col min="765" max="765" width="18.85546875" style="209" customWidth="1"/>
    <col min="766" max="766" width="11.28515625" style="209" bestFit="1" customWidth="1"/>
    <col min="767" max="767" width="22.85546875" style="209" customWidth="1"/>
    <col min="768" max="782" width="9.7109375" style="209" customWidth="1"/>
    <col min="783" max="1015" width="11.42578125" style="209" customWidth="1"/>
    <col min="1016" max="1016" width="2.28515625" style="209" customWidth="1"/>
    <col min="1017" max="1017" width="14.7109375" style="209" customWidth="1"/>
    <col min="1018" max="1018" width="11.28515625" style="209" bestFit="1" customWidth="1"/>
    <col min="1019" max="1019" width="22.85546875" style="209"/>
    <col min="1020" max="1020" width="2.28515625" style="209" customWidth="1"/>
    <col min="1021" max="1021" width="18.85546875" style="209" customWidth="1"/>
    <col min="1022" max="1022" width="11.28515625" style="209" bestFit="1" customWidth="1"/>
    <col min="1023" max="1023" width="22.85546875" style="209" customWidth="1"/>
    <col min="1024" max="1038" width="9.7109375" style="209" customWidth="1"/>
    <col min="1039" max="1271" width="11.42578125" style="209" customWidth="1"/>
    <col min="1272" max="1272" width="2.28515625" style="209" customWidth="1"/>
    <col min="1273" max="1273" width="14.7109375" style="209" customWidth="1"/>
    <col min="1274" max="1274" width="11.28515625" style="209" bestFit="1" customWidth="1"/>
    <col min="1275" max="1275" width="22.85546875" style="209"/>
    <col min="1276" max="1276" width="2.28515625" style="209" customWidth="1"/>
    <col min="1277" max="1277" width="18.85546875" style="209" customWidth="1"/>
    <col min="1278" max="1278" width="11.28515625" style="209" bestFit="1" customWidth="1"/>
    <col min="1279" max="1279" width="22.85546875" style="209" customWidth="1"/>
    <col min="1280" max="1294" width="9.7109375" style="209" customWidth="1"/>
    <col min="1295" max="1527" width="11.42578125" style="209" customWidth="1"/>
    <col min="1528" max="1528" width="2.28515625" style="209" customWidth="1"/>
    <col min="1529" max="1529" width="14.7109375" style="209" customWidth="1"/>
    <col min="1530" max="1530" width="11.28515625" style="209" bestFit="1" customWidth="1"/>
    <col min="1531" max="1531" width="22.85546875" style="209"/>
    <col min="1532" max="1532" width="2.28515625" style="209" customWidth="1"/>
    <col min="1533" max="1533" width="18.85546875" style="209" customWidth="1"/>
    <col min="1534" max="1534" width="11.28515625" style="209" bestFit="1" customWidth="1"/>
    <col min="1535" max="1535" width="22.85546875" style="209" customWidth="1"/>
    <col min="1536" max="1550" width="9.7109375" style="209" customWidth="1"/>
    <col min="1551" max="1783" width="11.42578125" style="209" customWidth="1"/>
    <col min="1784" max="1784" width="2.28515625" style="209" customWidth="1"/>
    <col min="1785" max="1785" width="14.7109375" style="209" customWidth="1"/>
    <col min="1786" max="1786" width="11.28515625" style="209" bestFit="1" customWidth="1"/>
    <col min="1787" max="1787" width="22.85546875" style="209"/>
    <col min="1788" max="1788" width="2.28515625" style="209" customWidth="1"/>
    <col min="1789" max="1789" width="18.85546875" style="209" customWidth="1"/>
    <col min="1790" max="1790" width="11.28515625" style="209" bestFit="1" customWidth="1"/>
    <col min="1791" max="1791" width="22.85546875" style="209" customWidth="1"/>
    <col min="1792" max="1806" width="9.7109375" style="209" customWidth="1"/>
    <col min="1807" max="2039" width="11.42578125" style="209" customWidth="1"/>
    <col min="2040" max="2040" width="2.28515625" style="209" customWidth="1"/>
    <col min="2041" max="2041" width="14.7109375" style="209" customWidth="1"/>
    <col min="2042" max="2042" width="11.28515625" style="209" bestFit="1" customWidth="1"/>
    <col min="2043" max="2043" width="22.85546875" style="209"/>
    <col min="2044" max="2044" width="2.28515625" style="209" customWidth="1"/>
    <col min="2045" max="2045" width="18.85546875" style="209" customWidth="1"/>
    <col min="2046" max="2046" width="11.28515625" style="209" bestFit="1" customWidth="1"/>
    <col min="2047" max="2047" width="22.85546875" style="209" customWidth="1"/>
    <col min="2048" max="2062" width="9.7109375" style="209" customWidth="1"/>
    <col min="2063" max="2295" width="11.42578125" style="209" customWidth="1"/>
    <col min="2296" max="2296" width="2.28515625" style="209" customWidth="1"/>
    <col min="2297" max="2297" width="14.7109375" style="209" customWidth="1"/>
    <col min="2298" max="2298" width="11.28515625" style="209" bestFit="1" customWidth="1"/>
    <col min="2299" max="2299" width="22.85546875" style="209"/>
    <col min="2300" max="2300" width="2.28515625" style="209" customWidth="1"/>
    <col min="2301" max="2301" width="18.85546875" style="209" customWidth="1"/>
    <col min="2302" max="2302" width="11.28515625" style="209" bestFit="1" customWidth="1"/>
    <col min="2303" max="2303" width="22.85546875" style="209" customWidth="1"/>
    <col min="2304" max="2318" width="9.7109375" style="209" customWidth="1"/>
    <col min="2319" max="2551" width="11.42578125" style="209" customWidth="1"/>
    <col min="2552" max="2552" width="2.28515625" style="209" customWidth="1"/>
    <col min="2553" max="2553" width="14.7109375" style="209" customWidth="1"/>
    <col min="2554" max="2554" width="11.28515625" style="209" bestFit="1" customWidth="1"/>
    <col min="2555" max="2555" width="22.85546875" style="209"/>
    <col min="2556" max="2556" width="2.28515625" style="209" customWidth="1"/>
    <col min="2557" max="2557" width="18.85546875" style="209" customWidth="1"/>
    <col min="2558" max="2558" width="11.28515625" style="209" bestFit="1" customWidth="1"/>
    <col min="2559" max="2559" width="22.85546875" style="209" customWidth="1"/>
    <col min="2560" max="2574" width="9.7109375" style="209" customWidth="1"/>
    <col min="2575" max="2807" width="11.42578125" style="209" customWidth="1"/>
    <col min="2808" max="2808" width="2.28515625" style="209" customWidth="1"/>
    <col min="2809" max="2809" width="14.7109375" style="209" customWidth="1"/>
    <col min="2810" max="2810" width="11.28515625" style="209" bestFit="1" customWidth="1"/>
    <col min="2811" max="2811" width="22.85546875" style="209"/>
    <col min="2812" max="2812" width="2.28515625" style="209" customWidth="1"/>
    <col min="2813" max="2813" width="18.85546875" style="209" customWidth="1"/>
    <col min="2814" max="2814" width="11.28515625" style="209" bestFit="1" customWidth="1"/>
    <col min="2815" max="2815" width="22.85546875" style="209" customWidth="1"/>
    <col min="2816" max="2830" width="9.7109375" style="209" customWidth="1"/>
    <col min="2831" max="3063" width="11.42578125" style="209" customWidth="1"/>
    <col min="3064" max="3064" width="2.28515625" style="209" customWidth="1"/>
    <col min="3065" max="3065" width="14.7109375" style="209" customWidth="1"/>
    <col min="3066" max="3066" width="11.28515625" style="209" bestFit="1" customWidth="1"/>
    <col min="3067" max="3067" width="22.85546875" style="209"/>
    <col min="3068" max="3068" width="2.28515625" style="209" customWidth="1"/>
    <col min="3069" max="3069" width="18.85546875" style="209" customWidth="1"/>
    <col min="3070" max="3070" width="11.28515625" style="209" bestFit="1" customWidth="1"/>
    <col min="3071" max="3071" width="22.85546875" style="209" customWidth="1"/>
    <col min="3072" max="3086" width="9.7109375" style="209" customWidth="1"/>
    <col min="3087" max="3319" width="11.42578125" style="209" customWidth="1"/>
    <col min="3320" max="3320" width="2.28515625" style="209" customWidth="1"/>
    <col min="3321" max="3321" width="14.7109375" style="209" customWidth="1"/>
    <col min="3322" max="3322" width="11.28515625" style="209" bestFit="1" customWidth="1"/>
    <col min="3323" max="3323" width="22.85546875" style="209"/>
    <col min="3324" max="3324" width="2.28515625" style="209" customWidth="1"/>
    <col min="3325" max="3325" width="18.85546875" style="209" customWidth="1"/>
    <col min="3326" max="3326" width="11.28515625" style="209" bestFit="1" customWidth="1"/>
    <col min="3327" max="3327" width="22.85546875" style="209" customWidth="1"/>
    <col min="3328" max="3342" width="9.7109375" style="209" customWidth="1"/>
    <col min="3343" max="3575" width="11.42578125" style="209" customWidth="1"/>
    <col min="3576" max="3576" width="2.28515625" style="209" customWidth="1"/>
    <col min="3577" max="3577" width="14.7109375" style="209" customWidth="1"/>
    <col min="3578" max="3578" width="11.28515625" style="209" bestFit="1" customWidth="1"/>
    <col min="3579" max="3579" width="22.85546875" style="209"/>
    <col min="3580" max="3580" width="2.28515625" style="209" customWidth="1"/>
    <col min="3581" max="3581" width="18.85546875" style="209" customWidth="1"/>
    <col min="3582" max="3582" width="11.28515625" style="209" bestFit="1" customWidth="1"/>
    <col min="3583" max="3583" width="22.85546875" style="209" customWidth="1"/>
    <col min="3584" max="3598" width="9.7109375" style="209" customWidth="1"/>
    <col min="3599" max="3831" width="11.42578125" style="209" customWidth="1"/>
    <col min="3832" max="3832" width="2.28515625" style="209" customWidth="1"/>
    <col min="3833" max="3833" width="14.7109375" style="209" customWidth="1"/>
    <col min="3834" max="3834" width="11.28515625" style="209" bestFit="1" customWidth="1"/>
    <col min="3835" max="3835" width="22.85546875" style="209"/>
    <col min="3836" max="3836" width="2.28515625" style="209" customWidth="1"/>
    <col min="3837" max="3837" width="18.85546875" style="209" customWidth="1"/>
    <col min="3838" max="3838" width="11.28515625" style="209" bestFit="1" customWidth="1"/>
    <col min="3839" max="3839" width="22.85546875" style="209" customWidth="1"/>
    <col min="3840" max="3854" width="9.7109375" style="209" customWidth="1"/>
    <col min="3855" max="4087" width="11.42578125" style="209" customWidth="1"/>
    <col min="4088" max="4088" width="2.28515625" style="209" customWidth="1"/>
    <col min="4089" max="4089" width="14.7109375" style="209" customWidth="1"/>
    <col min="4090" max="4090" width="11.28515625" style="209" bestFit="1" customWidth="1"/>
    <col min="4091" max="4091" width="22.85546875" style="209"/>
    <col min="4092" max="4092" width="2.28515625" style="209" customWidth="1"/>
    <col min="4093" max="4093" width="18.85546875" style="209" customWidth="1"/>
    <col min="4094" max="4094" width="11.28515625" style="209" bestFit="1" customWidth="1"/>
    <col min="4095" max="4095" width="22.85546875" style="209" customWidth="1"/>
    <col min="4096" max="4110" width="9.7109375" style="209" customWidth="1"/>
    <col min="4111" max="4343" width="11.42578125" style="209" customWidth="1"/>
    <col min="4344" max="4344" width="2.28515625" style="209" customWidth="1"/>
    <col min="4345" max="4345" width="14.7109375" style="209" customWidth="1"/>
    <col min="4346" max="4346" width="11.28515625" style="209" bestFit="1" customWidth="1"/>
    <col min="4347" max="4347" width="22.85546875" style="209"/>
    <col min="4348" max="4348" width="2.28515625" style="209" customWidth="1"/>
    <col min="4349" max="4349" width="18.85546875" style="209" customWidth="1"/>
    <col min="4350" max="4350" width="11.28515625" style="209" bestFit="1" customWidth="1"/>
    <col min="4351" max="4351" width="22.85546875" style="209" customWidth="1"/>
    <col min="4352" max="4366" width="9.7109375" style="209" customWidth="1"/>
    <col min="4367" max="4599" width="11.42578125" style="209" customWidth="1"/>
    <col min="4600" max="4600" width="2.28515625" style="209" customWidth="1"/>
    <col min="4601" max="4601" width="14.7109375" style="209" customWidth="1"/>
    <col min="4602" max="4602" width="11.28515625" style="209" bestFit="1" customWidth="1"/>
    <col min="4603" max="4603" width="22.85546875" style="209"/>
    <col min="4604" max="4604" width="2.28515625" style="209" customWidth="1"/>
    <col min="4605" max="4605" width="18.85546875" style="209" customWidth="1"/>
    <col min="4606" max="4606" width="11.28515625" style="209" bestFit="1" customWidth="1"/>
    <col min="4607" max="4607" width="22.85546875" style="209" customWidth="1"/>
    <col min="4608" max="4622" width="9.7109375" style="209" customWidth="1"/>
    <col min="4623" max="4855" width="11.42578125" style="209" customWidth="1"/>
    <col min="4856" max="4856" width="2.28515625" style="209" customWidth="1"/>
    <col min="4857" max="4857" width="14.7109375" style="209" customWidth="1"/>
    <col min="4858" max="4858" width="11.28515625" style="209" bestFit="1" customWidth="1"/>
    <col min="4859" max="4859" width="22.85546875" style="209"/>
    <col min="4860" max="4860" width="2.28515625" style="209" customWidth="1"/>
    <col min="4861" max="4861" width="18.85546875" style="209" customWidth="1"/>
    <col min="4862" max="4862" width="11.28515625" style="209" bestFit="1" customWidth="1"/>
    <col min="4863" max="4863" width="22.85546875" style="209" customWidth="1"/>
    <col min="4864" max="4878" width="9.7109375" style="209" customWidth="1"/>
    <col min="4879" max="5111" width="11.42578125" style="209" customWidth="1"/>
    <col min="5112" max="5112" width="2.28515625" style="209" customWidth="1"/>
    <col min="5113" max="5113" width="14.7109375" style="209" customWidth="1"/>
    <col min="5114" max="5114" width="11.28515625" style="209" bestFit="1" customWidth="1"/>
    <col min="5115" max="5115" width="22.85546875" style="209"/>
    <col min="5116" max="5116" width="2.28515625" style="209" customWidth="1"/>
    <col min="5117" max="5117" width="18.85546875" style="209" customWidth="1"/>
    <col min="5118" max="5118" width="11.28515625" style="209" bestFit="1" customWidth="1"/>
    <col min="5119" max="5119" width="22.85546875" style="209" customWidth="1"/>
    <col min="5120" max="5134" width="9.7109375" style="209" customWidth="1"/>
    <col min="5135" max="5367" width="11.42578125" style="209" customWidth="1"/>
    <col min="5368" max="5368" width="2.28515625" style="209" customWidth="1"/>
    <col min="5369" max="5369" width="14.7109375" style="209" customWidth="1"/>
    <col min="5370" max="5370" width="11.28515625" style="209" bestFit="1" customWidth="1"/>
    <col min="5371" max="5371" width="22.85546875" style="209"/>
    <col min="5372" max="5372" width="2.28515625" style="209" customWidth="1"/>
    <col min="5373" max="5373" width="18.85546875" style="209" customWidth="1"/>
    <col min="5374" max="5374" width="11.28515625" style="209" bestFit="1" customWidth="1"/>
    <col min="5375" max="5375" width="22.85546875" style="209" customWidth="1"/>
    <col min="5376" max="5390" width="9.7109375" style="209" customWidth="1"/>
    <col min="5391" max="5623" width="11.42578125" style="209" customWidth="1"/>
    <col min="5624" max="5624" width="2.28515625" style="209" customWidth="1"/>
    <col min="5625" max="5625" width="14.7109375" style="209" customWidth="1"/>
    <col min="5626" max="5626" width="11.28515625" style="209" bestFit="1" customWidth="1"/>
    <col min="5627" max="5627" width="22.85546875" style="209"/>
    <col min="5628" max="5628" width="2.28515625" style="209" customWidth="1"/>
    <col min="5629" max="5629" width="18.85546875" style="209" customWidth="1"/>
    <col min="5630" max="5630" width="11.28515625" style="209" bestFit="1" customWidth="1"/>
    <col min="5631" max="5631" width="22.85546875" style="209" customWidth="1"/>
    <col min="5632" max="5646" width="9.7109375" style="209" customWidth="1"/>
    <col min="5647" max="5879" width="11.42578125" style="209" customWidth="1"/>
    <col min="5880" max="5880" width="2.28515625" style="209" customWidth="1"/>
    <col min="5881" max="5881" width="14.7109375" style="209" customWidth="1"/>
    <col min="5882" max="5882" width="11.28515625" style="209" bestFit="1" customWidth="1"/>
    <col min="5883" max="5883" width="22.85546875" style="209"/>
    <col min="5884" max="5884" width="2.28515625" style="209" customWidth="1"/>
    <col min="5885" max="5885" width="18.85546875" style="209" customWidth="1"/>
    <col min="5886" max="5886" width="11.28515625" style="209" bestFit="1" customWidth="1"/>
    <col min="5887" max="5887" width="22.85546875" style="209" customWidth="1"/>
    <col min="5888" max="5902" width="9.7109375" style="209" customWidth="1"/>
    <col min="5903" max="6135" width="11.42578125" style="209" customWidth="1"/>
    <col min="6136" max="6136" width="2.28515625" style="209" customWidth="1"/>
    <col min="6137" max="6137" width="14.7109375" style="209" customWidth="1"/>
    <col min="6138" max="6138" width="11.28515625" style="209" bestFit="1" customWidth="1"/>
    <col min="6139" max="6139" width="22.85546875" style="209"/>
    <col min="6140" max="6140" width="2.28515625" style="209" customWidth="1"/>
    <col min="6141" max="6141" width="18.85546875" style="209" customWidth="1"/>
    <col min="6142" max="6142" width="11.28515625" style="209" bestFit="1" customWidth="1"/>
    <col min="6143" max="6143" width="22.85546875" style="209" customWidth="1"/>
    <col min="6144" max="6158" width="9.7109375" style="209" customWidth="1"/>
    <col min="6159" max="6391" width="11.42578125" style="209" customWidth="1"/>
    <col min="6392" max="6392" width="2.28515625" style="209" customWidth="1"/>
    <col min="6393" max="6393" width="14.7109375" style="209" customWidth="1"/>
    <col min="6394" max="6394" width="11.28515625" style="209" bestFit="1" customWidth="1"/>
    <col min="6395" max="6395" width="22.85546875" style="209"/>
    <col min="6396" max="6396" width="2.28515625" style="209" customWidth="1"/>
    <col min="6397" max="6397" width="18.85546875" style="209" customWidth="1"/>
    <col min="6398" max="6398" width="11.28515625" style="209" bestFit="1" customWidth="1"/>
    <col min="6399" max="6399" width="22.85546875" style="209" customWidth="1"/>
    <col min="6400" max="6414" width="9.7109375" style="209" customWidth="1"/>
    <col min="6415" max="6647" width="11.42578125" style="209" customWidth="1"/>
    <col min="6648" max="6648" width="2.28515625" style="209" customWidth="1"/>
    <col min="6649" max="6649" width="14.7109375" style="209" customWidth="1"/>
    <col min="6650" max="6650" width="11.28515625" style="209" bestFit="1" customWidth="1"/>
    <col min="6651" max="6651" width="22.85546875" style="209"/>
    <col min="6652" max="6652" width="2.28515625" style="209" customWidth="1"/>
    <col min="6653" max="6653" width="18.85546875" style="209" customWidth="1"/>
    <col min="6654" max="6654" width="11.28515625" style="209" bestFit="1" customWidth="1"/>
    <col min="6655" max="6655" width="22.85546875" style="209" customWidth="1"/>
    <col min="6656" max="6670" width="9.7109375" style="209" customWidth="1"/>
    <col min="6671" max="6903" width="11.42578125" style="209" customWidth="1"/>
    <col min="6904" max="6904" width="2.28515625" style="209" customWidth="1"/>
    <col min="6905" max="6905" width="14.7109375" style="209" customWidth="1"/>
    <col min="6906" max="6906" width="11.28515625" style="209" bestFit="1" customWidth="1"/>
    <col min="6907" max="6907" width="22.85546875" style="209"/>
    <col min="6908" max="6908" width="2.28515625" style="209" customWidth="1"/>
    <col min="6909" max="6909" width="18.85546875" style="209" customWidth="1"/>
    <col min="6910" max="6910" width="11.28515625" style="209" bestFit="1" customWidth="1"/>
    <col min="6911" max="6911" width="22.85546875" style="209" customWidth="1"/>
    <col min="6912" max="6926" width="9.7109375" style="209" customWidth="1"/>
    <col min="6927" max="7159" width="11.42578125" style="209" customWidth="1"/>
    <col min="7160" max="7160" width="2.28515625" style="209" customWidth="1"/>
    <col min="7161" max="7161" width="14.7109375" style="209" customWidth="1"/>
    <col min="7162" max="7162" width="11.28515625" style="209" bestFit="1" customWidth="1"/>
    <col min="7163" max="7163" width="22.85546875" style="209"/>
    <col min="7164" max="7164" width="2.28515625" style="209" customWidth="1"/>
    <col min="7165" max="7165" width="18.85546875" style="209" customWidth="1"/>
    <col min="7166" max="7166" width="11.28515625" style="209" bestFit="1" customWidth="1"/>
    <col min="7167" max="7167" width="22.85546875" style="209" customWidth="1"/>
    <col min="7168" max="7182" width="9.7109375" style="209" customWidth="1"/>
    <col min="7183" max="7415" width="11.42578125" style="209" customWidth="1"/>
    <col min="7416" max="7416" width="2.28515625" style="209" customWidth="1"/>
    <col min="7417" max="7417" width="14.7109375" style="209" customWidth="1"/>
    <col min="7418" max="7418" width="11.28515625" style="209" bestFit="1" customWidth="1"/>
    <col min="7419" max="7419" width="22.85546875" style="209"/>
    <col min="7420" max="7420" width="2.28515625" style="209" customWidth="1"/>
    <col min="7421" max="7421" width="18.85546875" style="209" customWidth="1"/>
    <col min="7422" max="7422" width="11.28515625" style="209" bestFit="1" customWidth="1"/>
    <col min="7423" max="7423" width="22.85546875" style="209" customWidth="1"/>
    <col min="7424" max="7438" width="9.7109375" style="209" customWidth="1"/>
    <col min="7439" max="7671" width="11.42578125" style="209" customWidth="1"/>
    <col min="7672" max="7672" width="2.28515625" style="209" customWidth="1"/>
    <col min="7673" max="7673" width="14.7109375" style="209" customWidth="1"/>
    <col min="7674" max="7674" width="11.28515625" style="209" bestFit="1" customWidth="1"/>
    <col min="7675" max="7675" width="22.85546875" style="209"/>
    <col min="7676" max="7676" width="2.28515625" style="209" customWidth="1"/>
    <col min="7677" max="7677" width="18.85546875" style="209" customWidth="1"/>
    <col min="7678" max="7678" width="11.28515625" style="209" bestFit="1" customWidth="1"/>
    <col min="7679" max="7679" width="22.85546875" style="209" customWidth="1"/>
    <col min="7680" max="7694" width="9.7109375" style="209" customWidth="1"/>
    <col min="7695" max="7927" width="11.42578125" style="209" customWidth="1"/>
    <col min="7928" max="7928" width="2.28515625" style="209" customWidth="1"/>
    <col min="7929" max="7929" width="14.7109375" style="209" customWidth="1"/>
    <col min="7930" max="7930" width="11.28515625" style="209" bestFit="1" customWidth="1"/>
    <col min="7931" max="7931" width="22.85546875" style="209"/>
    <col min="7932" max="7932" width="2.28515625" style="209" customWidth="1"/>
    <col min="7933" max="7933" width="18.85546875" style="209" customWidth="1"/>
    <col min="7934" max="7934" width="11.28515625" style="209" bestFit="1" customWidth="1"/>
    <col min="7935" max="7935" width="22.85546875" style="209" customWidth="1"/>
    <col min="7936" max="7950" width="9.7109375" style="209" customWidth="1"/>
    <col min="7951" max="8183" width="11.42578125" style="209" customWidth="1"/>
    <col min="8184" max="8184" width="2.28515625" style="209" customWidth="1"/>
    <col min="8185" max="8185" width="14.7109375" style="209" customWidth="1"/>
    <col min="8186" max="8186" width="11.28515625" style="209" bestFit="1" customWidth="1"/>
    <col min="8187" max="8187" width="22.85546875" style="209"/>
    <col min="8188" max="8188" width="2.28515625" style="209" customWidth="1"/>
    <col min="8189" max="8189" width="18.85546875" style="209" customWidth="1"/>
    <col min="8190" max="8190" width="11.28515625" style="209" bestFit="1" customWidth="1"/>
    <col min="8191" max="8191" width="22.85546875" style="209" customWidth="1"/>
    <col min="8192" max="8206" width="9.7109375" style="209" customWidth="1"/>
    <col min="8207" max="8439" width="11.42578125" style="209" customWidth="1"/>
    <col min="8440" max="8440" width="2.28515625" style="209" customWidth="1"/>
    <col min="8441" max="8441" width="14.7109375" style="209" customWidth="1"/>
    <col min="8442" max="8442" width="11.28515625" style="209" bestFit="1" customWidth="1"/>
    <col min="8443" max="8443" width="22.85546875" style="209"/>
    <col min="8444" max="8444" width="2.28515625" style="209" customWidth="1"/>
    <col min="8445" max="8445" width="18.85546875" style="209" customWidth="1"/>
    <col min="8446" max="8446" width="11.28515625" style="209" bestFit="1" customWidth="1"/>
    <col min="8447" max="8447" width="22.85546875" style="209" customWidth="1"/>
    <col min="8448" max="8462" width="9.7109375" style="209" customWidth="1"/>
    <col min="8463" max="8695" width="11.42578125" style="209" customWidth="1"/>
    <col min="8696" max="8696" width="2.28515625" style="209" customWidth="1"/>
    <col min="8697" max="8697" width="14.7109375" style="209" customWidth="1"/>
    <col min="8698" max="8698" width="11.28515625" style="209" bestFit="1" customWidth="1"/>
    <col min="8699" max="8699" width="22.85546875" style="209"/>
    <col min="8700" max="8700" width="2.28515625" style="209" customWidth="1"/>
    <col min="8701" max="8701" width="18.85546875" style="209" customWidth="1"/>
    <col min="8702" max="8702" width="11.28515625" style="209" bestFit="1" customWidth="1"/>
    <col min="8703" max="8703" width="22.85546875" style="209" customWidth="1"/>
    <col min="8704" max="8718" width="9.7109375" style="209" customWidth="1"/>
    <col min="8719" max="8951" width="11.42578125" style="209" customWidth="1"/>
    <col min="8952" max="8952" width="2.28515625" style="209" customWidth="1"/>
    <col min="8953" max="8953" width="14.7109375" style="209" customWidth="1"/>
    <col min="8954" max="8954" width="11.28515625" style="209" bestFit="1" customWidth="1"/>
    <col min="8955" max="8955" width="22.85546875" style="209"/>
    <col min="8956" max="8956" width="2.28515625" style="209" customWidth="1"/>
    <col min="8957" max="8957" width="18.85546875" style="209" customWidth="1"/>
    <col min="8958" max="8958" width="11.28515625" style="209" bestFit="1" customWidth="1"/>
    <col min="8959" max="8959" width="22.85546875" style="209" customWidth="1"/>
    <col min="8960" max="8974" width="9.7109375" style="209" customWidth="1"/>
    <col min="8975" max="9207" width="11.42578125" style="209" customWidth="1"/>
    <col min="9208" max="9208" width="2.28515625" style="209" customWidth="1"/>
    <col min="9209" max="9209" width="14.7109375" style="209" customWidth="1"/>
    <col min="9210" max="9210" width="11.28515625" style="209" bestFit="1" customWidth="1"/>
    <col min="9211" max="9211" width="22.85546875" style="209"/>
    <col min="9212" max="9212" width="2.28515625" style="209" customWidth="1"/>
    <col min="9213" max="9213" width="18.85546875" style="209" customWidth="1"/>
    <col min="9214" max="9214" width="11.28515625" style="209" bestFit="1" customWidth="1"/>
    <col min="9215" max="9215" width="22.85546875" style="209" customWidth="1"/>
    <col min="9216" max="9230" width="9.7109375" style="209" customWidth="1"/>
    <col min="9231" max="9463" width="11.42578125" style="209" customWidth="1"/>
    <col min="9464" max="9464" width="2.28515625" style="209" customWidth="1"/>
    <col min="9465" max="9465" width="14.7109375" style="209" customWidth="1"/>
    <col min="9466" max="9466" width="11.28515625" style="209" bestFit="1" customWidth="1"/>
    <col min="9467" max="9467" width="22.85546875" style="209"/>
    <col min="9468" max="9468" width="2.28515625" style="209" customWidth="1"/>
    <col min="9469" max="9469" width="18.85546875" style="209" customWidth="1"/>
    <col min="9470" max="9470" width="11.28515625" style="209" bestFit="1" customWidth="1"/>
    <col min="9471" max="9471" width="22.85546875" style="209" customWidth="1"/>
    <col min="9472" max="9486" width="9.7109375" style="209" customWidth="1"/>
    <col min="9487" max="9719" width="11.42578125" style="209" customWidth="1"/>
    <col min="9720" max="9720" width="2.28515625" style="209" customWidth="1"/>
    <col min="9721" max="9721" width="14.7109375" style="209" customWidth="1"/>
    <col min="9722" max="9722" width="11.28515625" style="209" bestFit="1" customWidth="1"/>
    <col min="9723" max="9723" width="22.85546875" style="209"/>
    <col min="9724" max="9724" width="2.28515625" style="209" customWidth="1"/>
    <col min="9725" max="9725" width="18.85546875" style="209" customWidth="1"/>
    <col min="9726" max="9726" width="11.28515625" style="209" bestFit="1" customWidth="1"/>
    <col min="9727" max="9727" width="22.85546875" style="209" customWidth="1"/>
    <col min="9728" max="9742" width="9.7109375" style="209" customWidth="1"/>
    <col min="9743" max="9975" width="11.42578125" style="209" customWidth="1"/>
    <col min="9976" max="9976" width="2.28515625" style="209" customWidth="1"/>
    <col min="9977" max="9977" width="14.7109375" style="209" customWidth="1"/>
    <col min="9978" max="9978" width="11.28515625" style="209" bestFit="1" customWidth="1"/>
    <col min="9979" max="9979" width="22.85546875" style="209"/>
    <col min="9980" max="9980" width="2.28515625" style="209" customWidth="1"/>
    <col min="9981" max="9981" width="18.85546875" style="209" customWidth="1"/>
    <col min="9982" max="9982" width="11.28515625" style="209" bestFit="1" customWidth="1"/>
    <col min="9983" max="9983" width="22.85546875" style="209" customWidth="1"/>
    <col min="9984" max="9998" width="9.7109375" style="209" customWidth="1"/>
    <col min="9999" max="10231" width="11.42578125" style="209" customWidth="1"/>
    <col min="10232" max="10232" width="2.28515625" style="209" customWidth="1"/>
    <col min="10233" max="10233" width="14.7109375" style="209" customWidth="1"/>
    <col min="10234" max="10234" width="11.28515625" style="209" bestFit="1" customWidth="1"/>
    <col min="10235" max="10235" width="22.85546875" style="209"/>
    <col min="10236" max="10236" width="2.28515625" style="209" customWidth="1"/>
    <col min="10237" max="10237" width="18.85546875" style="209" customWidth="1"/>
    <col min="10238" max="10238" width="11.28515625" style="209" bestFit="1" customWidth="1"/>
    <col min="10239" max="10239" width="22.85546875" style="209" customWidth="1"/>
    <col min="10240" max="10254" width="9.7109375" style="209" customWidth="1"/>
    <col min="10255" max="10487" width="11.42578125" style="209" customWidth="1"/>
    <col min="10488" max="10488" width="2.28515625" style="209" customWidth="1"/>
    <col min="10489" max="10489" width="14.7109375" style="209" customWidth="1"/>
    <col min="10490" max="10490" width="11.28515625" style="209" bestFit="1" customWidth="1"/>
    <col min="10491" max="10491" width="22.85546875" style="209"/>
    <col min="10492" max="10492" width="2.28515625" style="209" customWidth="1"/>
    <col min="10493" max="10493" width="18.85546875" style="209" customWidth="1"/>
    <col min="10494" max="10494" width="11.28515625" style="209" bestFit="1" customWidth="1"/>
    <col min="10495" max="10495" width="22.85546875" style="209" customWidth="1"/>
    <col min="10496" max="10510" width="9.7109375" style="209" customWidth="1"/>
    <col min="10511" max="10743" width="11.42578125" style="209" customWidth="1"/>
    <col min="10744" max="10744" width="2.28515625" style="209" customWidth="1"/>
    <col min="10745" max="10745" width="14.7109375" style="209" customWidth="1"/>
    <col min="10746" max="10746" width="11.28515625" style="209" bestFit="1" customWidth="1"/>
    <col min="10747" max="10747" width="22.85546875" style="209"/>
    <col min="10748" max="10748" width="2.28515625" style="209" customWidth="1"/>
    <col min="10749" max="10749" width="18.85546875" style="209" customWidth="1"/>
    <col min="10750" max="10750" width="11.28515625" style="209" bestFit="1" customWidth="1"/>
    <col min="10751" max="10751" width="22.85546875" style="209" customWidth="1"/>
    <col min="10752" max="10766" width="9.7109375" style="209" customWidth="1"/>
    <col min="10767" max="10999" width="11.42578125" style="209" customWidth="1"/>
    <col min="11000" max="11000" width="2.28515625" style="209" customWidth="1"/>
    <col min="11001" max="11001" width="14.7109375" style="209" customWidth="1"/>
    <col min="11002" max="11002" width="11.28515625" style="209" bestFit="1" customWidth="1"/>
    <col min="11003" max="11003" width="22.85546875" style="209"/>
    <col min="11004" max="11004" width="2.28515625" style="209" customWidth="1"/>
    <col min="11005" max="11005" width="18.85546875" style="209" customWidth="1"/>
    <col min="11006" max="11006" width="11.28515625" style="209" bestFit="1" customWidth="1"/>
    <col min="11007" max="11007" width="22.85546875" style="209" customWidth="1"/>
    <col min="11008" max="11022" width="9.7109375" style="209" customWidth="1"/>
    <col min="11023" max="11255" width="11.42578125" style="209" customWidth="1"/>
    <col min="11256" max="11256" width="2.28515625" style="209" customWidth="1"/>
    <col min="11257" max="11257" width="14.7109375" style="209" customWidth="1"/>
    <col min="11258" max="11258" width="11.28515625" style="209" bestFit="1" customWidth="1"/>
    <col min="11259" max="11259" width="22.85546875" style="209"/>
    <col min="11260" max="11260" width="2.28515625" style="209" customWidth="1"/>
    <col min="11261" max="11261" width="18.85546875" style="209" customWidth="1"/>
    <col min="11262" max="11262" width="11.28515625" style="209" bestFit="1" customWidth="1"/>
    <col min="11263" max="11263" width="22.85546875" style="209" customWidth="1"/>
    <col min="11264" max="11278" width="9.7109375" style="209" customWidth="1"/>
    <col min="11279" max="11511" width="11.42578125" style="209" customWidth="1"/>
    <col min="11512" max="11512" width="2.28515625" style="209" customWidth="1"/>
    <col min="11513" max="11513" width="14.7109375" style="209" customWidth="1"/>
    <col min="11514" max="11514" width="11.28515625" style="209" bestFit="1" customWidth="1"/>
    <col min="11515" max="11515" width="22.85546875" style="209"/>
    <col min="11516" max="11516" width="2.28515625" style="209" customWidth="1"/>
    <col min="11517" max="11517" width="18.85546875" style="209" customWidth="1"/>
    <col min="11518" max="11518" width="11.28515625" style="209" bestFit="1" customWidth="1"/>
    <col min="11519" max="11519" width="22.85546875" style="209" customWidth="1"/>
    <col min="11520" max="11534" width="9.7109375" style="209" customWidth="1"/>
    <col min="11535" max="11767" width="11.42578125" style="209" customWidth="1"/>
    <col min="11768" max="11768" width="2.28515625" style="209" customWidth="1"/>
    <col min="11769" max="11769" width="14.7109375" style="209" customWidth="1"/>
    <col min="11770" max="11770" width="11.28515625" style="209" bestFit="1" customWidth="1"/>
    <col min="11771" max="11771" width="22.85546875" style="209"/>
    <col min="11772" max="11772" width="2.28515625" style="209" customWidth="1"/>
    <col min="11773" max="11773" width="18.85546875" style="209" customWidth="1"/>
    <col min="11774" max="11774" width="11.28515625" style="209" bestFit="1" customWidth="1"/>
    <col min="11775" max="11775" width="22.85546875" style="209" customWidth="1"/>
    <col min="11776" max="11790" width="9.7109375" style="209" customWidth="1"/>
    <col min="11791" max="12023" width="11.42578125" style="209" customWidth="1"/>
    <col min="12024" max="12024" width="2.28515625" style="209" customWidth="1"/>
    <col min="12025" max="12025" width="14.7109375" style="209" customWidth="1"/>
    <col min="12026" max="12026" width="11.28515625" style="209" bestFit="1" customWidth="1"/>
    <col min="12027" max="12027" width="22.85546875" style="209"/>
    <col min="12028" max="12028" width="2.28515625" style="209" customWidth="1"/>
    <col min="12029" max="12029" width="18.85546875" style="209" customWidth="1"/>
    <col min="12030" max="12030" width="11.28515625" style="209" bestFit="1" customWidth="1"/>
    <col min="12031" max="12031" width="22.85546875" style="209" customWidth="1"/>
    <col min="12032" max="12046" width="9.7109375" style="209" customWidth="1"/>
    <col min="12047" max="12279" width="11.42578125" style="209" customWidth="1"/>
    <col min="12280" max="12280" width="2.28515625" style="209" customWidth="1"/>
    <col min="12281" max="12281" width="14.7109375" style="209" customWidth="1"/>
    <col min="12282" max="12282" width="11.28515625" style="209" bestFit="1" customWidth="1"/>
    <col min="12283" max="12283" width="22.85546875" style="209"/>
    <col min="12284" max="12284" width="2.28515625" style="209" customWidth="1"/>
    <col min="12285" max="12285" width="18.85546875" style="209" customWidth="1"/>
    <col min="12286" max="12286" width="11.28515625" style="209" bestFit="1" customWidth="1"/>
    <col min="12287" max="12287" width="22.85546875" style="209" customWidth="1"/>
    <col min="12288" max="12302" width="9.7109375" style="209" customWidth="1"/>
    <col min="12303" max="12535" width="11.42578125" style="209" customWidth="1"/>
    <col min="12536" max="12536" width="2.28515625" style="209" customWidth="1"/>
    <col min="12537" max="12537" width="14.7109375" style="209" customWidth="1"/>
    <col min="12538" max="12538" width="11.28515625" style="209" bestFit="1" customWidth="1"/>
    <col min="12539" max="12539" width="22.85546875" style="209"/>
    <col min="12540" max="12540" width="2.28515625" style="209" customWidth="1"/>
    <col min="12541" max="12541" width="18.85546875" style="209" customWidth="1"/>
    <col min="12542" max="12542" width="11.28515625" style="209" bestFit="1" customWidth="1"/>
    <col min="12543" max="12543" width="22.85546875" style="209" customWidth="1"/>
    <col min="12544" max="12558" width="9.7109375" style="209" customWidth="1"/>
    <col min="12559" max="12791" width="11.42578125" style="209" customWidth="1"/>
    <col min="12792" max="12792" width="2.28515625" style="209" customWidth="1"/>
    <col min="12793" max="12793" width="14.7109375" style="209" customWidth="1"/>
    <col min="12794" max="12794" width="11.28515625" style="209" bestFit="1" customWidth="1"/>
    <col min="12795" max="12795" width="22.85546875" style="209"/>
    <col min="12796" max="12796" width="2.28515625" style="209" customWidth="1"/>
    <col min="12797" max="12797" width="18.85546875" style="209" customWidth="1"/>
    <col min="12798" max="12798" width="11.28515625" style="209" bestFit="1" customWidth="1"/>
    <col min="12799" max="12799" width="22.85546875" style="209" customWidth="1"/>
    <col min="12800" max="12814" width="9.7109375" style="209" customWidth="1"/>
    <col min="12815" max="13047" width="11.42578125" style="209" customWidth="1"/>
    <col min="13048" max="13048" width="2.28515625" style="209" customWidth="1"/>
    <col min="13049" max="13049" width="14.7109375" style="209" customWidth="1"/>
    <col min="13050" max="13050" width="11.28515625" style="209" bestFit="1" customWidth="1"/>
    <col min="13051" max="13051" width="22.85546875" style="209"/>
    <col min="13052" max="13052" width="2.28515625" style="209" customWidth="1"/>
    <col min="13053" max="13053" width="18.85546875" style="209" customWidth="1"/>
    <col min="13054" max="13054" width="11.28515625" style="209" bestFit="1" customWidth="1"/>
    <col min="13055" max="13055" width="22.85546875" style="209" customWidth="1"/>
    <col min="13056" max="13070" width="9.7109375" style="209" customWidth="1"/>
    <col min="13071" max="13303" width="11.42578125" style="209" customWidth="1"/>
    <col min="13304" max="13304" width="2.28515625" style="209" customWidth="1"/>
    <col min="13305" max="13305" width="14.7109375" style="209" customWidth="1"/>
    <col min="13306" max="13306" width="11.28515625" style="209" bestFit="1" customWidth="1"/>
    <col min="13307" max="13307" width="22.85546875" style="209"/>
    <col min="13308" max="13308" width="2.28515625" style="209" customWidth="1"/>
    <col min="13309" max="13309" width="18.85546875" style="209" customWidth="1"/>
    <col min="13310" max="13310" width="11.28515625" style="209" bestFit="1" customWidth="1"/>
    <col min="13311" max="13311" width="22.85546875" style="209" customWidth="1"/>
    <col min="13312" max="13326" width="9.7109375" style="209" customWidth="1"/>
    <col min="13327" max="13559" width="11.42578125" style="209" customWidth="1"/>
    <col min="13560" max="13560" width="2.28515625" style="209" customWidth="1"/>
    <col min="13561" max="13561" width="14.7109375" style="209" customWidth="1"/>
    <col min="13562" max="13562" width="11.28515625" style="209" bestFit="1" customWidth="1"/>
    <col min="13563" max="13563" width="22.85546875" style="209"/>
    <col min="13564" max="13564" width="2.28515625" style="209" customWidth="1"/>
    <col min="13565" max="13565" width="18.85546875" style="209" customWidth="1"/>
    <col min="13566" max="13566" width="11.28515625" style="209" bestFit="1" customWidth="1"/>
    <col min="13567" max="13567" width="22.85546875" style="209" customWidth="1"/>
    <col min="13568" max="13582" width="9.7109375" style="209" customWidth="1"/>
    <col min="13583" max="13815" width="11.42578125" style="209" customWidth="1"/>
    <col min="13816" max="13816" width="2.28515625" style="209" customWidth="1"/>
    <col min="13817" max="13817" width="14.7109375" style="209" customWidth="1"/>
    <col min="13818" max="13818" width="11.28515625" style="209" bestFit="1" customWidth="1"/>
    <col min="13819" max="13819" width="22.85546875" style="209"/>
    <col min="13820" max="13820" width="2.28515625" style="209" customWidth="1"/>
    <col min="13821" max="13821" width="18.85546875" style="209" customWidth="1"/>
    <col min="13822" max="13822" width="11.28515625" style="209" bestFit="1" customWidth="1"/>
    <col min="13823" max="13823" width="22.85546875" style="209" customWidth="1"/>
    <col min="13824" max="13838" width="9.7109375" style="209" customWidth="1"/>
    <col min="13839" max="14071" width="11.42578125" style="209" customWidth="1"/>
    <col min="14072" max="14072" width="2.28515625" style="209" customWidth="1"/>
    <col min="14073" max="14073" width="14.7109375" style="209" customWidth="1"/>
    <col min="14074" max="14074" width="11.28515625" style="209" bestFit="1" customWidth="1"/>
    <col min="14075" max="14075" width="22.85546875" style="209"/>
    <col min="14076" max="14076" width="2.28515625" style="209" customWidth="1"/>
    <col min="14077" max="14077" width="18.85546875" style="209" customWidth="1"/>
    <col min="14078" max="14078" width="11.28515625" style="209" bestFit="1" customWidth="1"/>
    <col min="14079" max="14079" width="22.85546875" style="209" customWidth="1"/>
    <col min="14080" max="14094" width="9.7109375" style="209" customWidth="1"/>
    <col min="14095" max="14327" width="11.42578125" style="209" customWidth="1"/>
    <col min="14328" max="14328" width="2.28515625" style="209" customWidth="1"/>
    <col min="14329" max="14329" width="14.7109375" style="209" customWidth="1"/>
    <col min="14330" max="14330" width="11.28515625" style="209" bestFit="1" customWidth="1"/>
    <col min="14331" max="14331" width="22.85546875" style="209"/>
    <col min="14332" max="14332" width="2.28515625" style="209" customWidth="1"/>
    <col min="14333" max="14333" width="18.85546875" style="209" customWidth="1"/>
    <col min="14334" max="14334" width="11.28515625" style="209" bestFit="1" customWidth="1"/>
    <col min="14335" max="14335" width="22.85546875" style="209" customWidth="1"/>
    <col min="14336" max="14350" width="9.7109375" style="209" customWidth="1"/>
    <col min="14351" max="14583" width="11.42578125" style="209" customWidth="1"/>
    <col min="14584" max="14584" width="2.28515625" style="209" customWidth="1"/>
    <col min="14585" max="14585" width="14.7109375" style="209" customWidth="1"/>
    <col min="14586" max="14586" width="11.28515625" style="209" bestFit="1" customWidth="1"/>
    <col min="14587" max="14587" width="22.85546875" style="209"/>
    <col min="14588" max="14588" width="2.28515625" style="209" customWidth="1"/>
    <col min="14589" max="14589" width="18.85546875" style="209" customWidth="1"/>
    <col min="14590" max="14590" width="11.28515625" style="209" bestFit="1" customWidth="1"/>
    <col min="14591" max="14591" width="22.85546875" style="209" customWidth="1"/>
    <col min="14592" max="14606" width="9.7109375" style="209" customWidth="1"/>
    <col min="14607" max="14839" width="11.42578125" style="209" customWidth="1"/>
    <col min="14840" max="14840" width="2.28515625" style="209" customWidth="1"/>
    <col min="14841" max="14841" width="14.7109375" style="209" customWidth="1"/>
    <col min="14842" max="14842" width="11.28515625" style="209" bestFit="1" customWidth="1"/>
    <col min="14843" max="14843" width="22.85546875" style="209"/>
    <col min="14844" max="14844" width="2.28515625" style="209" customWidth="1"/>
    <col min="14845" max="14845" width="18.85546875" style="209" customWidth="1"/>
    <col min="14846" max="14846" width="11.28515625" style="209" bestFit="1" customWidth="1"/>
    <col min="14847" max="14847" width="22.85546875" style="209" customWidth="1"/>
    <col min="14848" max="14862" width="9.7109375" style="209" customWidth="1"/>
    <col min="14863" max="15095" width="11.42578125" style="209" customWidth="1"/>
    <col min="15096" max="15096" width="2.28515625" style="209" customWidth="1"/>
    <col min="15097" max="15097" width="14.7109375" style="209" customWidth="1"/>
    <col min="15098" max="15098" width="11.28515625" style="209" bestFit="1" customWidth="1"/>
    <col min="15099" max="15099" width="22.85546875" style="209"/>
    <col min="15100" max="15100" width="2.28515625" style="209" customWidth="1"/>
    <col min="15101" max="15101" width="18.85546875" style="209" customWidth="1"/>
    <col min="15102" max="15102" width="11.28515625" style="209" bestFit="1" customWidth="1"/>
    <col min="15103" max="15103" width="22.85546875" style="209" customWidth="1"/>
    <col min="15104" max="15118" width="9.7109375" style="209" customWidth="1"/>
    <col min="15119" max="15351" width="11.42578125" style="209" customWidth="1"/>
    <col min="15352" max="15352" width="2.28515625" style="209" customWidth="1"/>
    <col min="15353" max="15353" width="14.7109375" style="209" customWidth="1"/>
    <col min="15354" max="15354" width="11.28515625" style="209" bestFit="1" customWidth="1"/>
    <col min="15355" max="15355" width="22.85546875" style="209"/>
    <col min="15356" max="15356" width="2.28515625" style="209" customWidth="1"/>
    <col min="15357" max="15357" width="18.85546875" style="209" customWidth="1"/>
    <col min="15358" max="15358" width="11.28515625" style="209" bestFit="1" customWidth="1"/>
    <col min="15359" max="15359" width="22.85546875" style="209" customWidth="1"/>
    <col min="15360" max="15374" width="9.7109375" style="209" customWidth="1"/>
    <col min="15375" max="15607" width="11.42578125" style="209" customWidth="1"/>
    <col min="15608" max="15608" width="2.28515625" style="209" customWidth="1"/>
    <col min="15609" max="15609" width="14.7109375" style="209" customWidth="1"/>
    <col min="15610" max="15610" width="11.28515625" style="209" bestFit="1" customWidth="1"/>
    <col min="15611" max="15611" width="22.85546875" style="209"/>
    <col min="15612" max="15612" width="2.28515625" style="209" customWidth="1"/>
    <col min="15613" max="15613" width="18.85546875" style="209" customWidth="1"/>
    <col min="15614" max="15614" width="11.28515625" style="209" bestFit="1" customWidth="1"/>
    <col min="15615" max="15615" width="22.85546875" style="209" customWidth="1"/>
    <col min="15616" max="15630" width="9.7109375" style="209" customWidth="1"/>
    <col min="15631" max="15863" width="11.42578125" style="209" customWidth="1"/>
    <col min="15864" max="15864" width="2.28515625" style="209" customWidth="1"/>
    <col min="15865" max="15865" width="14.7109375" style="209" customWidth="1"/>
    <col min="15866" max="15866" width="11.28515625" style="209" bestFit="1" customWidth="1"/>
    <col min="15867" max="15867" width="22.85546875" style="209"/>
    <col min="15868" max="15868" width="2.28515625" style="209" customWidth="1"/>
    <col min="15869" max="15869" width="18.85546875" style="209" customWidth="1"/>
    <col min="15870" max="15870" width="11.28515625" style="209" bestFit="1" customWidth="1"/>
    <col min="15871" max="15871" width="22.85546875" style="209" customWidth="1"/>
    <col min="15872" max="15886" width="9.7109375" style="209" customWidth="1"/>
    <col min="15887" max="16119" width="11.42578125" style="209" customWidth="1"/>
    <col min="16120" max="16120" width="2.28515625" style="209" customWidth="1"/>
    <col min="16121" max="16121" width="14.7109375" style="209" customWidth="1"/>
    <col min="16122" max="16122" width="11.28515625" style="209" bestFit="1" customWidth="1"/>
    <col min="16123" max="16123" width="22.85546875" style="209"/>
    <col min="16124" max="16124" width="2.28515625" style="209" customWidth="1"/>
    <col min="16125" max="16125" width="18.85546875" style="209" customWidth="1"/>
    <col min="16126" max="16126" width="11.28515625" style="209" bestFit="1" customWidth="1"/>
    <col min="16127" max="16127" width="22.85546875" style="209" customWidth="1"/>
    <col min="16128" max="16142" width="9.7109375" style="209" customWidth="1"/>
    <col min="16143" max="16375" width="11.42578125" style="209" customWidth="1"/>
    <col min="16376" max="16376" width="2.28515625" style="209" customWidth="1"/>
    <col min="16377" max="16377" width="14.7109375" style="209" customWidth="1"/>
    <col min="16378" max="16378" width="11.28515625" style="209" bestFit="1" customWidth="1"/>
    <col min="16379" max="16384" width="22.85546875" style="209"/>
  </cols>
  <sheetData>
    <row r="1" spans="1:47" ht="43.5" customHeight="1" x14ac:dyDescent="0.2">
      <c r="A1" s="5682" t="s">
        <v>1576</v>
      </c>
      <c r="B1" s="5682"/>
      <c r="C1" s="644"/>
      <c r="D1" s="644"/>
      <c r="E1" s="644"/>
      <c r="F1" s="644"/>
      <c r="G1" s="644"/>
      <c r="H1" s="644"/>
      <c r="I1" s="644"/>
      <c r="J1" s="644"/>
      <c r="K1" s="644"/>
      <c r="L1" s="644"/>
      <c r="M1" s="644"/>
      <c r="N1" s="644"/>
      <c r="O1" s="644"/>
      <c r="P1" s="644"/>
      <c r="Q1" s="644"/>
    </row>
    <row r="2" spans="1:47" ht="15.75" customHeight="1" x14ac:dyDescent="0.2">
      <c r="A2" s="191"/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  <c r="N2" s="629"/>
      <c r="O2" s="629"/>
      <c r="P2" s="629"/>
      <c r="Q2" s="629"/>
      <c r="R2" s="629"/>
      <c r="S2" s="629"/>
      <c r="T2" s="629"/>
      <c r="U2" s="629"/>
      <c r="V2" s="629"/>
      <c r="W2" s="629"/>
    </row>
    <row r="3" spans="1:47" x14ac:dyDescent="0.2">
      <c r="A3" s="5865" t="s">
        <v>164</v>
      </c>
      <c r="B3" s="5865" t="s">
        <v>25</v>
      </c>
      <c r="C3" s="6336">
        <v>2003</v>
      </c>
      <c r="D3" s="6336"/>
      <c r="E3" s="6336"/>
      <c r="F3" s="6336">
        <v>2004</v>
      </c>
      <c r="G3" s="6336"/>
      <c r="H3" s="6336"/>
      <c r="I3" s="6336">
        <v>2005</v>
      </c>
      <c r="J3" s="6336"/>
      <c r="K3" s="6336"/>
      <c r="L3" s="6336">
        <v>2006</v>
      </c>
      <c r="M3" s="6336"/>
      <c r="N3" s="6336"/>
      <c r="O3" s="6336">
        <v>2007</v>
      </c>
      <c r="P3" s="6336"/>
      <c r="Q3" s="6336"/>
      <c r="R3" s="6336">
        <v>2008</v>
      </c>
      <c r="S3" s="6336"/>
      <c r="T3" s="6336"/>
      <c r="U3" s="6336">
        <v>2009</v>
      </c>
      <c r="V3" s="6336"/>
      <c r="W3" s="6336"/>
      <c r="X3" s="6336">
        <v>2010</v>
      </c>
      <c r="Y3" s="6336"/>
      <c r="Z3" s="6336"/>
      <c r="AA3" s="6336">
        <v>2011</v>
      </c>
      <c r="AB3" s="6336"/>
      <c r="AC3" s="6336"/>
      <c r="AD3" s="6336">
        <v>2012</v>
      </c>
      <c r="AE3" s="6336"/>
      <c r="AF3" s="6336"/>
      <c r="AG3" s="6336">
        <v>2013</v>
      </c>
      <c r="AH3" s="6336"/>
      <c r="AI3" s="6336"/>
      <c r="AJ3" s="6336">
        <v>2014</v>
      </c>
      <c r="AK3" s="6336"/>
      <c r="AL3" s="6336"/>
      <c r="AM3" s="6336">
        <v>2015</v>
      </c>
      <c r="AN3" s="6336"/>
      <c r="AO3" s="6336"/>
      <c r="AP3" s="6337">
        <v>2016</v>
      </c>
      <c r="AQ3" s="6337"/>
      <c r="AR3" s="6337"/>
      <c r="AS3" s="6337">
        <v>2017</v>
      </c>
      <c r="AT3" s="6337"/>
      <c r="AU3" s="6337"/>
    </row>
    <row r="4" spans="1:47" x14ac:dyDescent="0.2">
      <c r="A4" s="5865"/>
      <c r="B4" s="5865"/>
      <c r="C4" s="658" t="s">
        <v>653</v>
      </c>
      <c r="D4" s="994" t="s">
        <v>651</v>
      </c>
      <c r="E4" s="994" t="s">
        <v>652</v>
      </c>
      <c r="F4" s="658" t="s">
        <v>653</v>
      </c>
      <c r="G4" s="994" t="s">
        <v>651</v>
      </c>
      <c r="H4" s="994" t="s">
        <v>652</v>
      </c>
      <c r="I4" s="658" t="s">
        <v>653</v>
      </c>
      <c r="J4" s="994" t="s">
        <v>651</v>
      </c>
      <c r="K4" s="994" t="s">
        <v>652</v>
      </c>
      <c r="L4" s="658" t="s">
        <v>653</v>
      </c>
      <c r="M4" s="994" t="s">
        <v>651</v>
      </c>
      <c r="N4" s="994" t="s">
        <v>652</v>
      </c>
      <c r="O4" s="658" t="s">
        <v>653</v>
      </c>
      <c r="P4" s="994" t="s">
        <v>651</v>
      </c>
      <c r="Q4" s="994" t="s">
        <v>652</v>
      </c>
      <c r="R4" s="658" t="s">
        <v>653</v>
      </c>
      <c r="S4" s="994" t="s">
        <v>651</v>
      </c>
      <c r="T4" s="994" t="s">
        <v>652</v>
      </c>
      <c r="U4" s="658" t="s">
        <v>653</v>
      </c>
      <c r="V4" s="994" t="s">
        <v>651</v>
      </c>
      <c r="W4" s="994" t="s">
        <v>652</v>
      </c>
      <c r="X4" s="658" t="s">
        <v>653</v>
      </c>
      <c r="Y4" s="994" t="s">
        <v>651</v>
      </c>
      <c r="Z4" s="994" t="s">
        <v>652</v>
      </c>
      <c r="AA4" s="658" t="s">
        <v>653</v>
      </c>
      <c r="AB4" s="994" t="s">
        <v>651</v>
      </c>
      <c r="AC4" s="994" t="s">
        <v>652</v>
      </c>
      <c r="AD4" s="658" t="s">
        <v>653</v>
      </c>
      <c r="AE4" s="994" t="s">
        <v>651</v>
      </c>
      <c r="AF4" s="994" t="s">
        <v>652</v>
      </c>
      <c r="AG4" s="1693" t="s">
        <v>653</v>
      </c>
      <c r="AH4" s="1695" t="s">
        <v>651</v>
      </c>
      <c r="AI4" s="1694" t="s">
        <v>652</v>
      </c>
      <c r="AJ4" s="1915" t="s">
        <v>653</v>
      </c>
      <c r="AK4" s="1918" t="s">
        <v>651</v>
      </c>
      <c r="AL4" s="1916" t="s">
        <v>652</v>
      </c>
      <c r="AM4" s="1915" t="s">
        <v>653</v>
      </c>
      <c r="AN4" s="1918" t="s">
        <v>651</v>
      </c>
      <c r="AO4" s="1916" t="s">
        <v>652</v>
      </c>
      <c r="AP4" s="4406" t="s">
        <v>653</v>
      </c>
      <c r="AQ4" s="4407" t="s">
        <v>651</v>
      </c>
      <c r="AR4" s="4408" t="s">
        <v>652</v>
      </c>
      <c r="AS4" s="4406" t="s">
        <v>653</v>
      </c>
      <c r="AT4" s="4407" t="s">
        <v>651</v>
      </c>
      <c r="AU4" s="4408" t="s">
        <v>652</v>
      </c>
    </row>
    <row r="5" spans="1:47" ht="12.7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</row>
    <row r="6" spans="1:47" ht="12.75" customHeight="1" x14ac:dyDescent="0.2">
      <c r="A6" s="6213" t="s">
        <v>5</v>
      </c>
      <c r="B6" s="4553" t="s">
        <v>615</v>
      </c>
      <c r="C6" s="4554"/>
      <c r="D6" s="4555"/>
      <c r="E6" s="4555"/>
      <c r="F6" s="4554"/>
      <c r="G6" s="4555"/>
      <c r="H6" s="4555"/>
      <c r="I6" s="4554"/>
      <c r="J6" s="4555"/>
      <c r="K6" s="4555"/>
      <c r="L6" s="4554"/>
      <c r="M6" s="4555"/>
      <c r="N6" s="4556"/>
      <c r="O6" s="4555"/>
      <c r="P6" s="4555"/>
      <c r="Q6" s="4556"/>
      <c r="R6" s="4554"/>
      <c r="S6" s="4555"/>
      <c r="T6" s="4556"/>
      <c r="U6" s="4554"/>
      <c r="V6" s="4555"/>
      <c r="W6" s="4556"/>
      <c r="X6" s="4554"/>
      <c r="Y6" s="4555"/>
      <c r="Z6" s="4556"/>
      <c r="AA6" s="4554"/>
      <c r="AB6" s="4555"/>
      <c r="AC6" s="4556"/>
      <c r="AD6" s="4554"/>
      <c r="AE6" s="4555"/>
      <c r="AF6" s="4556"/>
      <c r="AG6" s="4554"/>
      <c r="AH6" s="4555"/>
      <c r="AI6" s="4556"/>
      <c r="AJ6" s="4554"/>
      <c r="AK6" s="4555"/>
      <c r="AL6" s="4556"/>
      <c r="AM6" s="4554"/>
      <c r="AN6" s="4555"/>
      <c r="AO6" s="4556"/>
      <c r="AP6" s="4554"/>
      <c r="AQ6" s="4555"/>
      <c r="AR6" s="4556"/>
      <c r="AS6" s="4554"/>
      <c r="AT6" s="4555"/>
      <c r="AU6" s="4556"/>
    </row>
    <row r="7" spans="1:47" ht="12.75" customHeight="1" x14ac:dyDescent="0.2">
      <c r="A7" s="6211"/>
      <c r="B7" s="4557" t="s">
        <v>616</v>
      </c>
      <c r="C7" s="4558">
        <v>102</v>
      </c>
      <c r="D7" s="4559">
        <v>89</v>
      </c>
      <c r="E7" s="4559">
        <v>88</v>
      </c>
      <c r="F7" s="4558">
        <v>92</v>
      </c>
      <c r="G7" s="4559">
        <v>81</v>
      </c>
      <c r="H7" s="4559">
        <v>96</v>
      </c>
      <c r="I7" s="4558">
        <v>89</v>
      </c>
      <c r="J7" s="4559">
        <v>88</v>
      </c>
      <c r="K7" s="4559">
        <v>98</v>
      </c>
      <c r="L7" s="4558">
        <v>107</v>
      </c>
      <c r="M7" s="4559">
        <v>96</v>
      </c>
      <c r="N7" s="4560">
        <v>98</v>
      </c>
      <c r="O7" s="4559">
        <v>95</v>
      </c>
      <c r="P7" s="4559">
        <v>85</v>
      </c>
      <c r="Q7" s="4560">
        <v>70</v>
      </c>
      <c r="R7" s="4558">
        <v>49</v>
      </c>
      <c r="S7" s="4559">
        <v>45</v>
      </c>
      <c r="T7" s="4560">
        <v>59</v>
      </c>
      <c r="U7" s="4558">
        <v>68</v>
      </c>
      <c r="V7" s="4559">
        <v>55</v>
      </c>
      <c r="W7" s="4560">
        <v>87</v>
      </c>
      <c r="X7" s="4558">
        <v>102</v>
      </c>
      <c r="Y7" s="4559">
        <v>94</v>
      </c>
      <c r="Z7" s="4560">
        <v>108</v>
      </c>
      <c r="AA7" s="4558">
        <v>110</v>
      </c>
      <c r="AB7" s="4559">
        <v>90</v>
      </c>
      <c r="AC7" s="4560">
        <v>99</v>
      </c>
      <c r="AD7" s="4558">
        <f>SUM('MATRICULA-POS plan'!AF5,'MATRICULA-POS plan'!AF6,'MATRICULA-POS plan'!AF7,'MATRICULA-POS plan'!AF8,'MATRICULA-POS plan'!AF9)</f>
        <v>88</v>
      </c>
      <c r="AE7" s="4559">
        <f>SUM('MATRICULA-POS plan'!AG5,'MATRICULA-POS plan'!AG6,'MATRICULA-POS plan'!AG7,'MATRICULA-POS plan'!AG8,'MATRICULA-POS plan'!AG9)</f>
        <v>84</v>
      </c>
      <c r="AF7" s="4560">
        <f>SUM('MATRICULA-POS plan'!AH5,'MATRICULA-POS plan'!AH6,'MATRICULA-POS plan'!AH7,'MATRICULA-POS plan'!AH8,'MATRICULA-POS plan'!AH9)</f>
        <v>93</v>
      </c>
      <c r="AG7" s="4558">
        <f>SUM('MATRICULA-POS plan'!AI5,'MATRICULA-POS plan'!AI6,'MATRICULA-POS plan'!AI7,'MATRICULA-POS plan'!AI8,'MATRICULA-POS plan'!AI9)</f>
        <v>102</v>
      </c>
      <c r="AH7" s="4559">
        <f>SUM('MATRICULA-POS plan'!AJ5,'MATRICULA-POS plan'!AJ6,'MATRICULA-POS plan'!AJ7,'MATRICULA-POS plan'!AJ8,'MATRICULA-POS plan'!AJ9)</f>
        <v>92</v>
      </c>
      <c r="AI7" s="4560">
        <f>SUM('MATRICULA-POS plan'!AK5,'MATRICULA-POS plan'!AK6,'MATRICULA-POS plan'!AK7,'MATRICULA-POS plan'!AK8,'MATRICULA-POS plan'!AK9)</f>
        <v>126</v>
      </c>
      <c r="AJ7" s="4558">
        <f>SUM('MATRICULA-POS plan'!AL5,'MATRICULA-POS plan'!AL6,'MATRICULA-POS plan'!AL7,'MATRICULA-POS plan'!AL8,'MATRICULA-POS plan'!AL9)</f>
        <v>129</v>
      </c>
      <c r="AK7" s="4559">
        <f>SUM('MATRICULA-POS plan'!AM5,'MATRICULA-POS plan'!AM6,'MATRICULA-POS plan'!AM7,'MATRICULA-POS plan'!AM8,'MATRICULA-POS plan'!AM9)</f>
        <v>125</v>
      </c>
      <c r="AL7" s="4560">
        <f>SUM('MATRICULA-POS plan'!AN5,'MATRICULA-POS plan'!AN6,'MATRICULA-POS plan'!AN7,'MATRICULA-POS plan'!AN8,'MATRICULA-POS plan'!AN9)</f>
        <v>171</v>
      </c>
      <c r="AM7" s="4558">
        <f>SUM('MATRICULA-POS plan'!AO5,'MATRICULA-POS plan'!AO6,'MATRICULA-POS plan'!AO7,'MATRICULA-POS plan'!AO8,'MATRICULA-POS plan'!AO9)</f>
        <v>157</v>
      </c>
      <c r="AN7" s="4559">
        <f>SUM('MATRICULA-POS plan'!AP5,'MATRICULA-POS plan'!AP6,'MATRICULA-POS plan'!AP7,'MATRICULA-POS plan'!AP8,'MATRICULA-POS plan'!AP9)</f>
        <v>137</v>
      </c>
      <c r="AO7" s="4560">
        <f>SUM('MATRICULA-POS plan'!AQ5,'MATRICULA-POS plan'!AQ6,'MATRICULA-POS plan'!AQ7,'MATRICULA-POS plan'!AQ8,'MATRICULA-POS plan'!AQ9)</f>
        <v>167</v>
      </c>
      <c r="AP7" s="4558">
        <f>SUM('MATRICULA-POS plan'!AR5,'MATRICULA-POS plan'!AR6,'MATRICULA-POS plan'!AR7,'MATRICULA-POS plan'!AR8,'MATRICULA-POS plan'!AR9)</f>
        <v>180</v>
      </c>
      <c r="AQ7" s="4559">
        <f>SUM('MATRICULA-POS plan'!AS5,'MATRICULA-POS plan'!AS6,'MATRICULA-POS plan'!AS7,'MATRICULA-POS plan'!AS8,'MATRICULA-POS plan'!AS9)</f>
        <v>154</v>
      </c>
      <c r="AR7" s="4560">
        <f>SUM('MATRICULA-POS plan'!AT5,'MATRICULA-POS plan'!AT6,'MATRICULA-POS plan'!AT7,'MATRICULA-POS plan'!AT8,'MATRICULA-POS plan'!AT9)</f>
        <v>181</v>
      </c>
      <c r="AS7" s="4558">
        <f>SUM('MATRICULA-POS plan'!AU5,'MATRICULA-POS plan'!AU6,'MATRICULA-POS plan'!AU7,'MATRICULA-POS plan'!AU8,'MATRICULA-POS plan'!AU9)</f>
        <v>173</v>
      </c>
      <c r="AT7" s="4559">
        <f>SUM('MATRICULA-POS plan'!AV5,'MATRICULA-POS plan'!AV6,'MATRICULA-POS plan'!AV7,'MATRICULA-POS plan'!AV8,'MATRICULA-POS plan'!AV9)</f>
        <v>165</v>
      </c>
      <c r="AU7" s="4560">
        <f>SUM('MATRICULA-POS plan'!AW5,'MATRICULA-POS plan'!AW6,'MATRICULA-POS plan'!AW7,'MATRICULA-POS plan'!AW8,'MATRICULA-POS plan'!AW9)</f>
        <v>174</v>
      </c>
    </row>
    <row r="8" spans="1:47" s="222" customFormat="1" ht="12.75" customHeight="1" x14ac:dyDescent="0.2">
      <c r="A8" s="6211"/>
      <c r="B8" s="4561" t="s">
        <v>617</v>
      </c>
      <c r="C8" s="4562">
        <v>22</v>
      </c>
      <c r="D8" s="4563">
        <v>19</v>
      </c>
      <c r="E8" s="4563">
        <v>28</v>
      </c>
      <c r="F8" s="4562">
        <v>25</v>
      </c>
      <c r="G8" s="4563">
        <v>25</v>
      </c>
      <c r="H8" s="4563">
        <v>29</v>
      </c>
      <c r="I8" s="4562">
        <v>28</v>
      </c>
      <c r="J8" s="4563">
        <v>27</v>
      </c>
      <c r="K8" s="4563">
        <v>24</v>
      </c>
      <c r="L8" s="4562">
        <v>21</v>
      </c>
      <c r="M8" s="4563">
        <v>21</v>
      </c>
      <c r="N8" s="4564">
        <v>24</v>
      </c>
      <c r="O8" s="4563">
        <v>27</v>
      </c>
      <c r="P8" s="4563">
        <v>31</v>
      </c>
      <c r="Q8" s="4564">
        <v>33</v>
      </c>
      <c r="R8" s="4562">
        <v>35</v>
      </c>
      <c r="S8" s="4563">
        <v>37</v>
      </c>
      <c r="T8" s="4564">
        <v>40</v>
      </c>
      <c r="U8" s="4562">
        <v>38</v>
      </c>
      <c r="V8" s="4563">
        <v>38</v>
      </c>
      <c r="W8" s="4564">
        <v>38</v>
      </c>
      <c r="X8" s="4562">
        <v>38</v>
      </c>
      <c r="Y8" s="4563">
        <v>34</v>
      </c>
      <c r="Z8" s="4564">
        <v>31</v>
      </c>
      <c r="AA8" s="4562">
        <v>28</v>
      </c>
      <c r="AB8" s="4563">
        <v>36</v>
      </c>
      <c r="AC8" s="4564">
        <v>28</v>
      </c>
      <c r="AD8" s="4562">
        <f>SUM('MATRICULA-POS plan'!AF10,'MATRICULA-POS plan'!AF11)</f>
        <v>26</v>
      </c>
      <c r="AE8" s="4563">
        <f>SUM('MATRICULA-POS plan'!AG10,'MATRICULA-POS plan'!AG11)</f>
        <v>23</v>
      </c>
      <c r="AF8" s="4564">
        <f>SUM('MATRICULA-POS plan'!AH10,'MATRICULA-POS plan'!AH11)</f>
        <v>26</v>
      </c>
      <c r="AG8" s="4562">
        <f>SUM('MATRICULA-POS plan'!AI10,'MATRICULA-POS plan'!AI11)</f>
        <v>21</v>
      </c>
      <c r="AH8" s="4563">
        <f>SUM('MATRICULA-POS plan'!AJ10,'MATRICULA-POS plan'!AJ11)</f>
        <v>25</v>
      </c>
      <c r="AI8" s="4564">
        <f>SUM('MATRICULA-POS plan'!AK10:AK13)</f>
        <v>28</v>
      </c>
      <c r="AJ8" s="4562">
        <f>SUM('MATRICULA-POS plan'!AL10:AL13)</f>
        <v>23</v>
      </c>
      <c r="AK8" s="4563">
        <f>SUM('MATRICULA-POS plan'!AM10:AM13)</f>
        <v>25</v>
      </c>
      <c r="AL8" s="4564">
        <f>SUM('MATRICULA-POS plan'!AN10:AN13)</f>
        <v>30</v>
      </c>
      <c r="AM8" s="4562">
        <f>SUM('MATRICULA-POS plan'!AO10:AO13)</f>
        <v>36</v>
      </c>
      <c r="AN8" s="4563">
        <f>SUM('MATRICULA-POS plan'!AP10:AP13)</f>
        <v>32</v>
      </c>
      <c r="AO8" s="4564">
        <f>SUM('MATRICULA-POS plan'!AQ10:AQ13)</f>
        <v>33</v>
      </c>
      <c r="AP8" s="4562">
        <f>SUM('MATRICULA-POS plan'!AR10:AR13)</f>
        <v>40</v>
      </c>
      <c r="AQ8" s="4563">
        <f>SUM('MATRICULA-POS plan'!AS10:AS13)</f>
        <v>43</v>
      </c>
      <c r="AR8" s="4564">
        <f>SUM('MATRICULA-POS plan'!AT10:AT13)</f>
        <v>43</v>
      </c>
      <c r="AS8" s="4562">
        <f>SUM('MATRICULA-POS plan'!AU10:AU13)</f>
        <v>46</v>
      </c>
      <c r="AT8" s="4563">
        <f>SUM('MATRICULA-POS plan'!AV10:AV13)</f>
        <v>43</v>
      </c>
      <c r="AU8" s="4564">
        <f>SUM('MATRICULA-POS plan'!AW10:AW13)</f>
        <v>45</v>
      </c>
    </row>
    <row r="9" spans="1:47" s="222" customFormat="1" ht="12.75" customHeight="1" x14ac:dyDescent="0.2">
      <c r="A9" s="6212"/>
      <c r="B9" s="574" t="s">
        <v>13</v>
      </c>
      <c r="C9" s="575">
        <v>124</v>
      </c>
      <c r="D9" s="576">
        <v>108</v>
      </c>
      <c r="E9" s="576">
        <v>116</v>
      </c>
      <c r="F9" s="575">
        <v>117</v>
      </c>
      <c r="G9" s="576">
        <v>106</v>
      </c>
      <c r="H9" s="576">
        <v>125</v>
      </c>
      <c r="I9" s="575">
        <v>117</v>
      </c>
      <c r="J9" s="576">
        <v>115</v>
      </c>
      <c r="K9" s="576">
        <v>122</v>
      </c>
      <c r="L9" s="575">
        <v>128</v>
      </c>
      <c r="M9" s="576">
        <v>117</v>
      </c>
      <c r="N9" s="577">
        <v>122</v>
      </c>
      <c r="O9" s="576">
        <v>122</v>
      </c>
      <c r="P9" s="576">
        <v>116</v>
      </c>
      <c r="Q9" s="577">
        <v>103</v>
      </c>
      <c r="R9" s="575">
        <v>84</v>
      </c>
      <c r="S9" s="576">
        <v>82</v>
      </c>
      <c r="T9" s="577">
        <v>99</v>
      </c>
      <c r="U9" s="575">
        <f t="shared" ref="U9:Z9" si="0">SUM(U6:U8)</f>
        <v>106</v>
      </c>
      <c r="V9" s="576">
        <f t="shared" si="0"/>
        <v>93</v>
      </c>
      <c r="W9" s="577">
        <f t="shared" si="0"/>
        <v>125</v>
      </c>
      <c r="X9" s="575">
        <f t="shared" si="0"/>
        <v>140</v>
      </c>
      <c r="Y9" s="576">
        <f t="shared" si="0"/>
        <v>128</v>
      </c>
      <c r="Z9" s="577">
        <f t="shared" si="0"/>
        <v>139</v>
      </c>
      <c r="AA9" s="575">
        <f t="shared" ref="AA9:AI9" si="1">SUM(AA6:AA8)</f>
        <v>138</v>
      </c>
      <c r="AB9" s="576">
        <f t="shared" si="1"/>
        <v>126</v>
      </c>
      <c r="AC9" s="577">
        <f t="shared" si="1"/>
        <v>127</v>
      </c>
      <c r="AD9" s="575">
        <f t="shared" si="1"/>
        <v>114</v>
      </c>
      <c r="AE9" s="576">
        <f t="shared" si="1"/>
        <v>107</v>
      </c>
      <c r="AF9" s="577">
        <f t="shared" si="1"/>
        <v>119</v>
      </c>
      <c r="AG9" s="575">
        <f t="shared" si="1"/>
        <v>123</v>
      </c>
      <c r="AH9" s="576">
        <f t="shared" si="1"/>
        <v>117</v>
      </c>
      <c r="AI9" s="577">
        <f t="shared" si="1"/>
        <v>154</v>
      </c>
      <c r="AJ9" s="575">
        <f t="shared" ref="AJ9:AR9" si="2">SUM(AJ6:AJ8)</f>
        <v>152</v>
      </c>
      <c r="AK9" s="576">
        <f t="shared" si="2"/>
        <v>150</v>
      </c>
      <c r="AL9" s="577">
        <f t="shared" si="2"/>
        <v>201</v>
      </c>
      <c r="AM9" s="575">
        <f t="shared" si="2"/>
        <v>193</v>
      </c>
      <c r="AN9" s="576">
        <f t="shared" si="2"/>
        <v>169</v>
      </c>
      <c r="AO9" s="577">
        <f t="shared" si="2"/>
        <v>200</v>
      </c>
      <c r="AP9" s="575">
        <f t="shared" si="2"/>
        <v>220</v>
      </c>
      <c r="AQ9" s="576">
        <f t="shared" si="2"/>
        <v>197</v>
      </c>
      <c r="AR9" s="577">
        <f t="shared" si="2"/>
        <v>224</v>
      </c>
      <c r="AS9" s="575">
        <f>SUM(AS6:AS8)</f>
        <v>219</v>
      </c>
      <c r="AT9" s="576">
        <f>SUM(AT6:AT8)</f>
        <v>208</v>
      </c>
      <c r="AU9" s="577">
        <f>SUM(AU6:AU8)</f>
        <v>219</v>
      </c>
    </row>
    <row r="10" spans="1:47" ht="12.75" customHeight="1" x14ac:dyDescent="0.2">
      <c r="A10" s="6213" t="s">
        <v>6</v>
      </c>
      <c r="B10" s="4553" t="s">
        <v>615</v>
      </c>
      <c r="C10" s="4554">
        <v>14</v>
      </c>
      <c r="D10" s="4555">
        <v>13</v>
      </c>
      <c r="E10" s="4555">
        <v>31</v>
      </c>
      <c r="F10" s="4554">
        <v>26</v>
      </c>
      <c r="G10" s="4555">
        <v>24</v>
      </c>
      <c r="H10" s="4555">
        <v>38</v>
      </c>
      <c r="I10" s="4554">
        <v>35</v>
      </c>
      <c r="J10" s="4555">
        <v>32</v>
      </c>
      <c r="K10" s="4555">
        <v>32</v>
      </c>
      <c r="L10" s="4554">
        <v>25</v>
      </c>
      <c r="M10" s="4555">
        <v>28</v>
      </c>
      <c r="N10" s="4556">
        <v>33</v>
      </c>
      <c r="O10" s="4555">
        <v>29</v>
      </c>
      <c r="P10" s="4555">
        <v>32</v>
      </c>
      <c r="Q10" s="4556">
        <v>39</v>
      </c>
      <c r="R10" s="4554">
        <v>27</v>
      </c>
      <c r="S10" s="4555">
        <v>27</v>
      </c>
      <c r="T10" s="4556">
        <v>31</v>
      </c>
      <c r="U10" s="4554">
        <v>31</v>
      </c>
      <c r="V10" s="4555">
        <v>27</v>
      </c>
      <c r="W10" s="4556">
        <v>19</v>
      </c>
      <c r="X10" s="4554">
        <v>14</v>
      </c>
      <c r="Y10" s="4555">
        <v>15</v>
      </c>
      <c r="Z10" s="4556">
        <v>27</v>
      </c>
      <c r="AA10" s="4554">
        <v>26</v>
      </c>
      <c r="AB10" s="4555">
        <v>23</v>
      </c>
      <c r="AC10" s="4556">
        <v>27</v>
      </c>
      <c r="AD10" s="4554">
        <f>SUM('MATRICULA-POS plan'!AF15:AF17)</f>
        <v>25</v>
      </c>
      <c r="AE10" s="4555">
        <f>SUM('MATRICULA-POS plan'!AG15:AG17)</f>
        <v>28</v>
      </c>
      <c r="AF10" s="4556">
        <f>SUM('MATRICULA-POS plan'!AH15:AH17)</f>
        <v>19</v>
      </c>
      <c r="AG10" s="4554">
        <f>SUM('MATRICULA-POS plan'!AI15:AI17)</f>
        <v>18</v>
      </c>
      <c r="AH10" s="4555">
        <f>SUM('MATRICULA-POS plan'!AJ15:AJ17)</f>
        <v>18</v>
      </c>
      <c r="AI10" s="4556">
        <f>SUM('MATRICULA-POS plan'!AK15:AK17)</f>
        <v>30</v>
      </c>
      <c r="AJ10" s="4554">
        <f>SUM('MATRICULA-POS plan'!AL15:AL17)</f>
        <v>27</v>
      </c>
      <c r="AK10" s="4555">
        <f>SUM('MATRICULA-POS plan'!AM15:AM17)</f>
        <v>26</v>
      </c>
      <c r="AL10" s="4556">
        <f>SUM('MATRICULA-POS plan'!AN15:AN17)</f>
        <v>18</v>
      </c>
      <c r="AM10" s="4554">
        <f>SUM('MATRICULA-POS plan'!AO15:AO17)</f>
        <v>17</v>
      </c>
      <c r="AN10" s="4555">
        <f>SUM('MATRICULA-POS plan'!AP15:AP17)</f>
        <v>19</v>
      </c>
      <c r="AO10" s="4556">
        <f>SUM('MATRICULA-POS plan'!AQ15:AQ17)</f>
        <v>30</v>
      </c>
      <c r="AP10" s="4554">
        <f>SUM('MATRICULA-POS plan'!AR15:AR17)</f>
        <v>27</v>
      </c>
      <c r="AQ10" s="4555">
        <f>SUM('MATRICULA-POS plan'!AS15:AS17)</f>
        <v>28</v>
      </c>
      <c r="AR10" s="4556">
        <f>SUM('MATRICULA-POS plan'!AT15:AT17)</f>
        <v>20</v>
      </c>
      <c r="AS10" s="4554">
        <f>SUM('MATRICULA-POS plan'!AU15:AU17)</f>
        <v>20</v>
      </c>
      <c r="AT10" s="4555">
        <f>SUM('MATRICULA-POS plan'!AV15:AV17)</f>
        <v>20</v>
      </c>
      <c r="AU10" s="4556">
        <f>SUM('MATRICULA-POS plan'!AW15:AW17)</f>
        <v>21</v>
      </c>
    </row>
    <row r="11" spans="1:47" ht="12.95" customHeight="1" x14ac:dyDescent="0.2">
      <c r="A11" s="6211"/>
      <c r="B11" s="4557" t="s">
        <v>616</v>
      </c>
      <c r="C11" s="4558">
        <v>51</v>
      </c>
      <c r="D11" s="4559">
        <v>48</v>
      </c>
      <c r="E11" s="4559">
        <v>26</v>
      </c>
      <c r="F11" s="4558">
        <v>40</v>
      </c>
      <c r="G11" s="4559">
        <v>29</v>
      </c>
      <c r="H11" s="4559">
        <v>45</v>
      </c>
      <c r="I11" s="4558">
        <v>45</v>
      </c>
      <c r="J11" s="4559">
        <v>43</v>
      </c>
      <c r="K11" s="4559">
        <v>61</v>
      </c>
      <c r="L11" s="4558">
        <v>60</v>
      </c>
      <c r="M11" s="4559">
        <v>59</v>
      </c>
      <c r="N11" s="4560">
        <v>43</v>
      </c>
      <c r="O11" s="4559">
        <v>56</v>
      </c>
      <c r="P11" s="4559">
        <v>49</v>
      </c>
      <c r="Q11" s="4560">
        <v>77</v>
      </c>
      <c r="R11" s="4558">
        <v>78</v>
      </c>
      <c r="S11" s="4559">
        <v>75</v>
      </c>
      <c r="T11" s="4560">
        <v>86</v>
      </c>
      <c r="U11" s="4558">
        <v>54</v>
      </c>
      <c r="V11" s="4559">
        <v>56</v>
      </c>
      <c r="W11" s="4560">
        <v>118</v>
      </c>
      <c r="X11" s="4558">
        <v>75</v>
      </c>
      <c r="Y11" s="4559">
        <v>65</v>
      </c>
      <c r="Z11" s="4560">
        <v>97</v>
      </c>
      <c r="AA11" s="4558">
        <v>69</v>
      </c>
      <c r="AB11" s="4559">
        <v>67</v>
      </c>
      <c r="AC11" s="4560">
        <v>77</v>
      </c>
      <c r="AD11" s="4558">
        <f>SUM('MATRICULA-POS plan'!AF18,'MATRICULA-POS plan'!AF19,'MATRICULA-POS plan'!AF20,'MATRICULA-POS plan'!AF21,'MATRICULA-POS plan'!AF22,'MATRICULA-POS plan'!AF23,'MATRICULA-POS plan'!AF24)</f>
        <v>74</v>
      </c>
      <c r="AE11" s="4559">
        <f>SUM('MATRICULA-POS plan'!AG18,'MATRICULA-POS plan'!AG19,'MATRICULA-POS plan'!AG20,'MATRICULA-POS plan'!AG21,'MATRICULA-POS plan'!AG22,'MATRICULA-POS plan'!AG23,'MATRICULA-POS plan'!AG24)</f>
        <v>68</v>
      </c>
      <c r="AF11" s="4560">
        <f>SUM('MATRICULA-POS plan'!AH18,'MATRICULA-POS plan'!AH19,'MATRICULA-POS plan'!AH20,'MATRICULA-POS plan'!AH21,'MATRICULA-POS plan'!AH22,'MATRICULA-POS plan'!AH23,'MATRICULA-POS plan'!AH24)</f>
        <v>86</v>
      </c>
      <c r="AG11" s="4558">
        <f>SUM('MATRICULA-POS plan'!AI18,'MATRICULA-POS plan'!AI19,'MATRICULA-POS plan'!AI20,'MATRICULA-POS plan'!AI21,'MATRICULA-POS plan'!AI22,'MATRICULA-POS plan'!AI23,'MATRICULA-POS plan'!AI24)</f>
        <v>83</v>
      </c>
      <c r="AH11" s="4559">
        <f>SUM('MATRICULA-POS plan'!AJ18,'MATRICULA-POS plan'!AJ19,'MATRICULA-POS plan'!AJ20,'MATRICULA-POS plan'!AJ21,'MATRICULA-POS plan'!AJ22,'MATRICULA-POS plan'!AJ23,'MATRICULA-POS plan'!AJ24)</f>
        <v>83</v>
      </c>
      <c r="AI11" s="4560">
        <f>SUM('MATRICULA-POS plan'!AK18,'MATRICULA-POS plan'!AK19,'MATRICULA-POS plan'!AK20,'MATRICULA-POS plan'!AK21,'MATRICULA-POS plan'!AK22,'MATRICULA-POS plan'!AK23,'MATRICULA-POS plan'!AK24)</f>
        <v>101</v>
      </c>
      <c r="AJ11" s="4558">
        <f>SUM('MATRICULA-POS plan'!AL18,'MATRICULA-POS plan'!AL19,'MATRICULA-POS plan'!AL20,'MATRICULA-POS plan'!AL21,'MATRICULA-POS plan'!AL22,'MATRICULA-POS plan'!AL23,'MATRICULA-POS plan'!AL24)</f>
        <v>119</v>
      </c>
      <c r="AK11" s="4559">
        <f>SUM('MATRICULA-POS plan'!AM18,'MATRICULA-POS plan'!AM19,'MATRICULA-POS plan'!AM20,'MATRICULA-POS plan'!AM21,'MATRICULA-POS plan'!AM22,'MATRICULA-POS plan'!AM23,'MATRICULA-POS plan'!AM24)</f>
        <v>107</v>
      </c>
      <c r="AL11" s="4560">
        <f>SUM('MATRICULA-POS plan'!AN18,'MATRICULA-POS plan'!AN19,'MATRICULA-POS plan'!AN20,'MATRICULA-POS plan'!AN21,'MATRICULA-POS plan'!AN22,'MATRICULA-POS plan'!AN23,'MATRICULA-POS plan'!AN24)</f>
        <v>109</v>
      </c>
      <c r="AM11" s="4558">
        <f>SUM('MATRICULA-POS plan'!AO18,'MATRICULA-POS plan'!AO19,'MATRICULA-POS plan'!AO20,'MATRICULA-POS plan'!AO21,'MATRICULA-POS plan'!AO22,'MATRICULA-POS plan'!AO23,'MATRICULA-POS plan'!AO24)</f>
        <v>106</v>
      </c>
      <c r="AN11" s="4559">
        <f>SUM('MATRICULA-POS plan'!AP18,'MATRICULA-POS plan'!AP19,'MATRICULA-POS plan'!AP20,'MATRICULA-POS plan'!AP21,'MATRICULA-POS plan'!AP22,'MATRICULA-POS plan'!AP23,'MATRICULA-POS plan'!AP24)</f>
        <v>99</v>
      </c>
      <c r="AO11" s="4560">
        <f>SUM('MATRICULA-POS plan'!AQ18,'MATRICULA-POS plan'!AQ19,'MATRICULA-POS plan'!AQ20,'MATRICULA-POS plan'!AQ21,'MATRICULA-POS plan'!AQ22,'MATRICULA-POS plan'!AQ23,'MATRICULA-POS plan'!AQ24)</f>
        <v>107</v>
      </c>
      <c r="AP11" s="4558">
        <f>SUM('MATRICULA-POS plan'!AR18,'MATRICULA-POS plan'!AR19,'MATRICULA-POS plan'!AR20,'MATRICULA-POS plan'!AR21,'MATRICULA-POS plan'!AR22,'MATRICULA-POS plan'!AR23,'MATRICULA-POS plan'!AR24)</f>
        <v>93</v>
      </c>
      <c r="AQ11" s="4559">
        <f>SUM('MATRICULA-POS plan'!AS18,'MATRICULA-POS plan'!AS19,'MATRICULA-POS plan'!AS20,'MATRICULA-POS plan'!AS21,'MATRICULA-POS plan'!AS22,'MATRICULA-POS plan'!AS23,'MATRICULA-POS plan'!AS24)</f>
        <v>69</v>
      </c>
      <c r="AR11" s="4560">
        <f>SUM('MATRICULA-POS plan'!AT18,'MATRICULA-POS plan'!AT19,'MATRICULA-POS plan'!AT20,'MATRICULA-POS plan'!AT21,'MATRICULA-POS plan'!AT22,'MATRICULA-POS plan'!AT23,'MATRICULA-POS plan'!AT24)</f>
        <v>81</v>
      </c>
      <c r="AS11" s="4558">
        <f>SUM('MATRICULA-POS plan'!AU18:AU26)</f>
        <v>146</v>
      </c>
      <c r="AT11" s="4559">
        <f>SUM('MATRICULA-POS plan'!AV18:AV26)</f>
        <v>137</v>
      </c>
      <c r="AU11" s="4560">
        <f>SUM('MATRICULA-POS plan'!AW18:AW26)</f>
        <v>155</v>
      </c>
    </row>
    <row r="12" spans="1:47" ht="12.95" customHeight="1" x14ac:dyDescent="0.2">
      <c r="A12" s="6211"/>
      <c r="B12" s="4561" t="s">
        <v>617</v>
      </c>
      <c r="C12" s="4562">
        <v>7</v>
      </c>
      <c r="D12" s="4563">
        <v>0</v>
      </c>
      <c r="E12" s="4563">
        <v>0</v>
      </c>
      <c r="F12" s="4562">
        <v>3</v>
      </c>
      <c r="G12" s="4563">
        <v>5</v>
      </c>
      <c r="H12" s="4563">
        <v>4</v>
      </c>
      <c r="I12" s="4562">
        <v>1</v>
      </c>
      <c r="J12" s="4563">
        <v>0</v>
      </c>
      <c r="K12" s="4563">
        <v>17</v>
      </c>
      <c r="L12" s="4562">
        <v>13</v>
      </c>
      <c r="M12" s="4563">
        <v>12</v>
      </c>
      <c r="N12" s="4564">
        <v>14</v>
      </c>
      <c r="O12" s="4563">
        <v>17</v>
      </c>
      <c r="P12" s="4563">
        <v>8</v>
      </c>
      <c r="Q12" s="4564">
        <v>60</v>
      </c>
      <c r="R12" s="4562">
        <v>33</v>
      </c>
      <c r="S12" s="4563">
        <v>33</v>
      </c>
      <c r="T12" s="4564">
        <v>43</v>
      </c>
      <c r="U12" s="4562">
        <v>25</v>
      </c>
      <c r="V12" s="4563">
        <v>26</v>
      </c>
      <c r="W12" s="4564">
        <v>60</v>
      </c>
      <c r="X12" s="4562">
        <v>29</v>
      </c>
      <c r="Y12" s="4563">
        <v>49</v>
      </c>
      <c r="Z12" s="4564">
        <v>69</v>
      </c>
      <c r="AA12" s="4562">
        <v>33</v>
      </c>
      <c r="AB12" s="4563">
        <v>26</v>
      </c>
      <c r="AC12" s="4564">
        <v>37</v>
      </c>
      <c r="AD12" s="4562">
        <f>SUM('MATRICULA-POS plan'!AF27,'MATRICULA-POS plan'!AF28,'MATRICULA-POS plan'!AF29)</f>
        <v>36</v>
      </c>
      <c r="AE12" s="4563">
        <f>SUM('MATRICULA-POS plan'!AG27,'MATRICULA-POS plan'!AG28,'MATRICULA-POS plan'!AG29)</f>
        <v>33</v>
      </c>
      <c r="AF12" s="4564">
        <f>SUM('MATRICULA-POS plan'!AH27,'MATRICULA-POS plan'!AH28,'MATRICULA-POS plan'!AH29)</f>
        <v>39</v>
      </c>
      <c r="AG12" s="4562">
        <f>SUM('MATRICULA-POS plan'!AI27,'MATRICULA-POS plan'!AI28,'MATRICULA-POS plan'!AI29)</f>
        <v>44</v>
      </c>
      <c r="AH12" s="4563">
        <f>SUM('MATRICULA-POS plan'!AJ27,'MATRICULA-POS plan'!AJ28,'MATRICULA-POS plan'!AJ29)</f>
        <v>33</v>
      </c>
      <c r="AI12" s="4564">
        <f>SUM('MATRICULA-POS plan'!AK27,'MATRICULA-POS plan'!AK28,'MATRICULA-POS plan'!AK29)</f>
        <v>41</v>
      </c>
      <c r="AJ12" s="4562">
        <f>SUM('MATRICULA-POS plan'!AL27,'MATRICULA-POS plan'!AL28,'MATRICULA-POS plan'!AL29)</f>
        <v>39</v>
      </c>
      <c r="AK12" s="4563">
        <f>SUM('MATRICULA-POS plan'!AM27,'MATRICULA-POS plan'!AM28,'MATRICULA-POS plan'!AM29)</f>
        <v>33</v>
      </c>
      <c r="AL12" s="4564">
        <f>SUM('MATRICULA-POS plan'!AN27,'MATRICULA-POS plan'!AN28,'MATRICULA-POS plan'!AN29)</f>
        <v>45</v>
      </c>
      <c r="AM12" s="4562">
        <f>SUM('MATRICULA-POS plan'!AO27,'MATRICULA-POS plan'!AO28,'MATRICULA-POS plan'!AO29)</f>
        <v>42</v>
      </c>
      <c r="AN12" s="4563">
        <f>SUM('MATRICULA-POS plan'!AP27,'MATRICULA-POS plan'!AP28,'MATRICULA-POS plan'!AP29)</f>
        <v>41</v>
      </c>
      <c r="AO12" s="4564">
        <f>SUM('MATRICULA-POS plan'!AQ27,'MATRICULA-POS plan'!AQ28,'MATRICULA-POS plan'!AQ29)</f>
        <v>35</v>
      </c>
      <c r="AP12" s="4562">
        <f>SUM('MATRICULA-POS plan'!AR27,'MATRICULA-POS plan'!AR28,'MATRICULA-POS plan'!AR29)</f>
        <v>36</v>
      </c>
      <c r="AQ12" s="4563">
        <f>SUM('MATRICULA-POS plan'!AS27,'MATRICULA-POS plan'!AS28,'MATRICULA-POS plan'!AS29)</f>
        <v>31</v>
      </c>
      <c r="AR12" s="4564">
        <f>SUM('MATRICULA-POS plan'!AT27,'MATRICULA-POS plan'!AT28,'MATRICULA-POS plan'!AT29)</f>
        <v>57</v>
      </c>
      <c r="AS12" s="4562">
        <f>SUM('MATRICULA-POS plan'!AU27:AU30)</f>
        <v>61</v>
      </c>
      <c r="AT12" s="4563">
        <f>SUM('MATRICULA-POS plan'!AV27:AV30)</f>
        <v>58</v>
      </c>
      <c r="AU12" s="4564">
        <f>SUM('MATRICULA-POS plan'!AW27:AW30)</f>
        <v>59</v>
      </c>
    </row>
    <row r="13" spans="1:47" s="222" customFormat="1" ht="12.95" customHeight="1" x14ac:dyDescent="0.2">
      <c r="A13" s="6212"/>
      <c r="B13" s="574" t="s">
        <v>14</v>
      </c>
      <c r="C13" s="575">
        <v>72</v>
      </c>
      <c r="D13" s="576">
        <v>61</v>
      </c>
      <c r="E13" s="576">
        <v>57</v>
      </c>
      <c r="F13" s="575">
        <v>69</v>
      </c>
      <c r="G13" s="576">
        <v>58</v>
      </c>
      <c r="H13" s="576">
        <v>87</v>
      </c>
      <c r="I13" s="575">
        <v>81</v>
      </c>
      <c r="J13" s="576">
        <v>75</v>
      </c>
      <c r="K13" s="576">
        <v>110</v>
      </c>
      <c r="L13" s="575">
        <v>98</v>
      </c>
      <c r="M13" s="576">
        <v>99</v>
      </c>
      <c r="N13" s="577">
        <v>90</v>
      </c>
      <c r="O13" s="576">
        <v>102</v>
      </c>
      <c r="P13" s="576">
        <v>89</v>
      </c>
      <c r="Q13" s="577">
        <v>176</v>
      </c>
      <c r="R13" s="575">
        <v>138</v>
      </c>
      <c r="S13" s="576">
        <v>135</v>
      </c>
      <c r="T13" s="577">
        <v>160</v>
      </c>
      <c r="U13" s="575">
        <f t="shared" ref="U13:Z13" si="3">SUM(U10:U12)</f>
        <v>110</v>
      </c>
      <c r="V13" s="576">
        <f t="shared" si="3"/>
        <v>109</v>
      </c>
      <c r="W13" s="577">
        <f t="shared" si="3"/>
        <v>197</v>
      </c>
      <c r="X13" s="575">
        <f t="shared" si="3"/>
        <v>118</v>
      </c>
      <c r="Y13" s="576">
        <f t="shared" si="3"/>
        <v>129</v>
      </c>
      <c r="Z13" s="577">
        <f t="shared" si="3"/>
        <v>193</v>
      </c>
      <c r="AA13" s="575">
        <f t="shared" ref="AA13:AI13" si="4">SUM(AA10:AA12)</f>
        <v>128</v>
      </c>
      <c r="AB13" s="576">
        <f t="shared" si="4"/>
        <v>116</v>
      </c>
      <c r="AC13" s="577">
        <f t="shared" si="4"/>
        <v>141</v>
      </c>
      <c r="AD13" s="575">
        <f t="shared" si="4"/>
        <v>135</v>
      </c>
      <c r="AE13" s="576">
        <f t="shared" si="4"/>
        <v>129</v>
      </c>
      <c r="AF13" s="577">
        <f t="shared" si="4"/>
        <v>144</v>
      </c>
      <c r="AG13" s="575">
        <f t="shared" si="4"/>
        <v>145</v>
      </c>
      <c r="AH13" s="576">
        <f t="shared" si="4"/>
        <v>134</v>
      </c>
      <c r="AI13" s="577">
        <f t="shared" si="4"/>
        <v>172</v>
      </c>
      <c r="AJ13" s="575">
        <f t="shared" ref="AJ13:AR13" si="5">SUM(AJ10:AJ12)</f>
        <v>185</v>
      </c>
      <c r="AK13" s="576">
        <f t="shared" si="5"/>
        <v>166</v>
      </c>
      <c r="AL13" s="577">
        <f t="shared" si="5"/>
        <v>172</v>
      </c>
      <c r="AM13" s="575">
        <f t="shared" si="5"/>
        <v>165</v>
      </c>
      <c r="AN13" s="576">
        <f t="shared" si="5"/>
        <v>159</v>
      </c>
      <c r="AO13" s="577">
        <f t="shared" si="5"/>
        <v>172</v>
      </c>
      <c r="AP13" s="575">
        <f t="shared" si="5"/>
        <v>156</v>
      </c>
      <c r="AQ13" s="576">
        <f t="shared" si="5"/>
        <v>128</v>
      </c>
      <c r="AR13" s="577">
        <f t="shared" si="5"/>
        <v>158</v>
      </c>
      <c r="AS13" s="575">
        <f>SUM(AS10:AS12)</f>
        <v>227</v>
      </c>
      <c r="AT13" s="576">
        <f>SUM(AT10:AT12)</f>
        <v>215</v>
      </c>
      <c r="AU13" s="577">
        <f>SUM(AU10:AU12)</f>
        <v>235</v>
      </c>
    </row>
    <row r="14" spans="1:47" ht="12.95" customHeight="1" x14ac:dyDescent="0.2">
      <c r="A14" s="6213" t="s">
        <v>7</v>
      </c>
      <c r="B14" s="4553" t="s">
        <v>615</v>
      </c>
      <c r="C14" s="4554">
        <v>29</v>
      </c>
      <c r="D14" s="4555">
        <v>28</v>
      </c>
      <c r="E14" s="4555">
        <v>19</v>
      </c>
      <c r="F14" s="4554">
        <v>16</v>
      </c>
      <c r="G14" s="4555">
        <v>13</v>
      </c>
      <c r="H14" s="4555">
        <v>25</v>
      </c>
      <c r="I14" s="4554">
        <v>16</v>
      </c>
      <c r="J14" s="4555">
        <v>14</v>
      </c>
      <c r="K14" s="4555">
        <v>14</v>
      </c>
      <c r="L14" s="4554">
        <v>8</v>
      </c>
      <c r="M14" s="4555">
        <v>7</v>
      </c>
      <c r="N14" s="4556">
        <v>25</v>
      </c>
      <c r="O14" s="4555">
        <v>36</v>
      </c>
      <c r="P14" s="4555">
        <v>17</v>
      </c>
      <c r="Q14" s="4556">
        <v>42</v>
      </c>
      <c r="R14" s="4554">
        <v>16</v>
      </c>
      <c r="S14" s="4555">
        <v>11</v>
      </c>
      <c r="T14" s="4556">
        <v>48</v>
      </c>
      <c r="U14" s="4554">
        <v>9</v>
      </c>
      <c r="V14" s="4555">
        <v>10</v>
      </c>
      <c r="W14" s="4556">
        <v>54</v>
      </c>
      <c r="X14" s="4554">
        <v>17</v>
      </c>
      <c r="Y14" s="4555">
        <v>12</v>
      </c>
      <c r="Z14" s="4556">
        <v>87</v>
      </c>
      <c r="AA14" s="4554">
        <v>87</v>
      </c>
      <c r="AB14" s="4555">
        <v>75</v>
      </c>
      <c r="AC14" s="4556">
        <v>32</v>
      </c>
      <c r="AD14" s="4554">
        <f>SUM('MATRICULA-POS plan'!AF32)</f>
        <v>33</v>
      </c>
      <c r="AE14" s="4555">
        <f>SUM('MATRICULA-POS plan'!AG32)</f>
        <v>31</v>
      </c>
      <c r="AF14" s="4556">
        <f>SUM('MATRICULA-POS plan'!AH32)</f>
        <v>79</v>
      </c>
      <c r="AG14" s="4554">
        <f>SUM('MATRICULA-POS plan'!AI32)</f>
        <v>69</v>
      </c>
      <c r="AH14" s="4555">
        <f>SUM('MATRICULA-POS plan'!AJ32)</f>
        <v>69</v>
      </c>
      <c r="AI14" s="4556">
        <f>SUM('MATRICULA-POS plan'!AK32)</f>
        <v>45</v>
      </c>
      <c r="AJ14" s="4554">
        <f>SUM('MATRICULA-POS plan'!AL32)</f>
        <v>29</v>
      </c>
      <c r="AK14" s="4555">
        <f>SUM('MATRICULA-POS plan'!AM32)</f>
        <v>24</v>
      </c>
      <c r="AL14" s="4556">
        <f>SUM('MATRICULA-POS plan'!AN32)</f>
        <v>95</v>
      </c>
      <c r="AM14" s="4554">
        <f>SUM('MATRICULA-POS plan'!AO32)</f>
        <v>70</v>
      </c>
      <c r="AN14" s="4555">
        <f>SUM('MATRICULA-POS plan'!AP32)</f>
        <v>70</v>
      </c>
      <c r="AO14" s="4556">
        <f>SUM('MATRICULA-POS plan'!AQ32)</f>
        <v>2</v>
      </c>
      <c r="AP14" s="4554">
        <f>SUM('MATRICULA-POS plan'!AR32:AR35)</f>
        <v>0</v>
      </c>
      <c r="AQ14" s="4555">
        <f>SUM('MATRICULA-POS plan'!AS32:AS35)</f>
        <v>0</v>
      </c>
      <c r="AR14" s="4556">
        <f>SUM('MATRICULA-POS plan'!AT32:AT35)</f>
        <v>10</v>
      </c>
      <c r="AS14" s="4554">
        <f>SUM('MATRICULA-POS plan'!AU32:AU35)</f>
        <v>9</v>
      </c>
      <c r="AT14" s="4555">
        <f>SUM('MATRICULA-POS plan'!AV32:AV35)</f>
        <v>9</v>
      </c>
      <c r="AU14" s="4556">
        <f>SUM('MATRICULA-POS plan'!AW32:AW35)</f>
        <v>20</v>
      </c>
    </row>
    <row r="15" spans="1:47" ht="12.95" customHeight="1" x14ac:dyDescent="0.2">
      <c r="A15" s="6211"/>
      <c r="B15" s="4557" t="s">
        <v>616</v>
      </c>
      <c r="C15" s="4558">
        <v>26</v>
      </c>
      <c r="D15" s="4559">
        <v>21</v>
      </c>
      <c r="E15" s="4559">
        <v>27</v>
      </c>
      <c r="F15" s="4558">
        <v>26</v>
      </c>
      <c r="G15" s="4559">
        <v>21</v>
      </c>
      <c r="H15" s="4559">
        <v>31</v>
      </c>
      <c r="I15" s="4558">
        <v>25</v>
      </c>
      <c r="J15" s="4559">
        <v>22</v>
      </c>
      <c r="K15" s="4559">
        <v>27</v>
      </c>
      <c r="L15" s="4558">
        <v>34</v>
      </c>
      <c r="M15" s="4559">
        <v>22</v>
      </c>
      <c r="N15" s="4560">
        <v>39</v>
      </c>
      <c r="O15" s="4559">
        <v>23</v>
      </c>
      <c r="P15" s="4559">
        <v>37</v>
      </c>
      <c r="Q15" s="4560">
        <v>28</v>
      </c>
      <c r="R15" s="4558">
        <v>46</v>
      </c>
      <c r="S15" s="4559">
        <v>42</v>
      </c>
      <c r="T15" s="4560">
        <v>34</v>
      </c>
      <c r="U15" s="4558">
        <v>72</v>
      </c>
      <c r="V15" s="4559">
        <v>72</v>
      </c>
      <c r="W15" s="4560">
        <v>62</v>
      </c>
      <c r="X15" s="4558">
        <v>80</v>
      </c>
      <c r="Y15" s="4559">
        <v>75</v>
      </c>
      <c r="Z15" s="4560">
        <v>49</v>
      </c>
      <c r="AA15" s="4558">
        <v>53</v>
      </c>
      <c r="AB15" s="4559">
        <v>38</v>
      </c>
      <c r="AC15" s="4560">
        <v>78</v>
      </c>
      <c r="AD15" s="4558">
        <f>SUM('MATRICULA-POS plan'!AF36)</f>
        <v>74</v>
      </c>
      <c r="AE15" s="4559">
        <f>SUM('MATRICULA-POS plan'!AG36)</f>
        <v>76</v>
      </c>
      <c r="AF15" s="4560">
        <f>SUM('MATRICULA-POS plan'!AH36)</f>
        <v>57</v>
      </c>
      <c r="AG15" s="4558">
        <f>SUM('MATRICULA-POS plan'!AI36)</f>
        <v>43</v>
      </c>
      <c r="AH15" s="4559">
        <f>SUM('MATRICULA-POS plan'!AJ36)</f>
        <v>49</v>
      </c>
      <c r="AI15" s="4560">
        <f>SUM('MATRICULA-POS plan'!AK36)</f>
        <v>56</v>
      </c>
      <c r="AJ15" s="4558">
        <f>SUM('MATRICULA-POS plan'!AL36)</f>
        <v>56</v>
      </c>
      <c r="AK15" s="4559">
        <f>SUM('MATRICULA-POS plan'!AM36)</f>
        <v>59</v>
      </c>
      <c r="AL15" s="4560">
        <f>SUM('MATRICULA-POS plan'!AN36)</f>
        <v>63</v>
      </c>
      <c r="AM15" s="4558">
        <f>SUM('MATRICULA-POS plan'!AO36)</f>
        <v>48</v>
      </c>
      <c r="AN15" s="4559">
        <f>SUM('MATRICULA-POS plan'!AP36)</f>
        <v>40</v>
      </c>
      <c r="AO15" s="4560">
        <f>SUM('MATRICULA-POS plan'!AQ36:AQ42)</f>
        <v>79</v>
      </c>
      <c r="AP15" s="4558">
        <f>SUM('MATRICULA-POS plan'!AR36:AR42)</f>
        <v>94</v>
      </c>
      <c r="AQ15" s="4559">
        <f>SUM('MATRICULA-POS plan'!AS36:AS42)</f>
        <v>94</v>
      </c>
      <c r="AR15" s="4560">
        <f>SUM('MATRICULA-POS plan'!AT36:AT42)</f>
        <v>99</v>
      </c>
      <c r="AS15" s="4558">
        <f>SUM('MATRICULA-POS plan'!AU36:AU42)</f>
        <v>97</v>
      </c>
      <c r="AT15" s="4559">
        <f>SUM('MATRICULA-POS plan'!AV36:AV42)</f>
        <v>92</v>
      </c>
      <c r="AU15" s="4560">
        <f>SUM('MATRICULA-POS plan'!AW36:AW42)</f>
        <v>93</v>
      </c>
    </row>
    <row r="16" spans="1:47" ht="12.95" customHeight="1" x14ac:dyDescent="0.2">
      <c r="A16" s="6211"/>
      <c r="B16" s="4561" t="s">
        <v>617</v>
      </c>
      <c r="C16" s="4562">
        <v>17</v>
      </c>
      <c r="D16" s="4563">
        <v>17</v>
      </c>
      <c r="E16" s="4563">
        <v>7</v>
      </c>
      <c r="F16" s="4562">
        <v>4</v>
      </c>
      <c r="G16" s="4563">
        <v>4</v>
      </c>
      <c r="H16" s="4563">
        <v>1</v>
      </c>
      <c r="I16" s="4562">
        <v>1</v>
      </c>
      <c r="J16" s="4563">
        <v>1</v>
      </c>
      <c r="K16" s="4563">
        <v>8</v>
      </c>
      <c r="L16" s="4562">
        <v>6</v>
      </c>
      <c r="M16" s="4563">
        <v>6</v>
      </c>
      <c r="N16" s="4564">
        <v>12</v>
      </c>
      <c r="O16" s="4563">
        <v>9</v>
      </c>
      <c r="P16" s="4563">
        <v>11</v>
      </c>
      <c r="Q16" s="4564">
        <v>16</v>
      </c>
      <c r="R16" s="4562">
        <v>13</v>
      </c>
      <c r="S16" s="4563">
        <v>11</v>
      </c>
      <c r="T16" s="4564">
        <v>24</v>
      </c>
      <c r="U16" s="4562">
        <v>20</v>
      </c>
      <c r="V16" s="4563">
        <v>19</v>
      </c>
      <c r="W16" s="4564">
        <v>31</v>
      </c>
      <c r="X16" s="4562">
        <v>32</v>
      </c>
      <c r="Y16" s="4563">
        <v>34</v>
      </c>
      <c r="Z16" s="4564">
        <v>51</v>
      </c>
      <c r="AA16" s="4562">
        <v>51</v>
      </c>
      <c r="AB16" s="4563">
        <v>44</v>
      </c>
      <c r="AC16" s="4564">
        <v>38</v>
      </c>
      <c r="AD16" s="4562">
        <f>SUM('MATRICULA-POS plan'!AF43)</f>
        <v>35</v>
      </c>
      <c r="AE16" s="4563">
        <f>SUM('MATRICULA-POS plan'!AG43)</f>
        <v>35</v>
      </c>
      <c r="AF16" s="4564">
        <f>SUM('MATRICULA-POS plan'!AH43)</f>
        <v>51</v>
      </c>
      <c r="AG16" s="4562">
        <f>SUM('MATRICULA-POS plan'!AI43)</f>
        <v>46</v>
      </c>
      <c r="AH16" s="4563">
        <f>SUM('MATRICULA-POS plan'!AJ43)</f>
        <v>49</v>
      </c>
      <c r="AI16" s="4564">
        <f>SUM('MATRICULA-POS plan'!AK43)</f>
        <v>42</v>
      </c>
      <c r="AJ16" s="4562">
        <f>SUM('MATRICULA-POS plan'!AL43)</f>
        <v>35</v>
      </c>
      <c r="AK16" s="4563">
        <f>SUM('MATRICULA-POS plan'!AM43)</f>
        <v>34</v>
      </c>
      <c r="AL16" s="4564">
        <f>SUM('MATRICULA-POS plan'!AN43)</f>
        <v>66</v>
      </c>
      <c r="AM16" s="4562">
        <f>SUM('MATRICULA-POS plan'!AO43)</f>
        <v>69</v>
      </c>
      <c r="AN16" s="4563">
        <f>SUM('MATRICULA-POS plan'!AP43)</f>
        <v>65</v>
      </c>
      <c r="AO16" s="4564">
        <f>SUM('MATRICULA-POS plan'!AQ43:AQ49)</f>
        <v>56</v>
      </c>
      <c r="AP16" s="4562">
        <f>SUM('MATRICULA-POS plan'!AR43:AR49)</f>
        <v>60</v>
      </c>
      <c r="AQ16" s="4563">
        <f>SUM('MATRICULA-POS plan'!AS43:AS49)</f>
        <v>60</v>
      </c>
      <c r="AR16" s="4564">
        <f>SUM('MATRICULA-POS plan'!AT43:AT49)</f>
        <v>57</v>
      </c>
      <c r="AS16" s="4562">
        <f>SUM('MATRICULA-POS plan'!AU43:AU49)</f>
        <v>61</v>
      </c>
      <c r="AT16" s="4563">
        <f>SUM('MATRICULA-POS plan'!AV43:AV49)</f>
        <v>68</v>
      </c>
      <c r="AU16" s="4564">
        <f>SUM('MATRICULA-POS plan'!AW43:AW49)</f>
        <v>70</v>
      </c>
    </row>
    <row r="17" spans="1:47" s="222" customFormat="1" ht="12.95" customHeight="1" x14ac:dyDescent="0.2">
      <c r="A17" s="6212"/>
      <c r="B17" s="574" t="s">
        <v>15</v>
      </c>
      <c r="C17" s="575">
        <v>72</v>
      </c>
      <c r="D17" s="576">
        <v>66</v>
      </c>
      <c r="E17" s="576">
        <v>53</v>
      </c>
      <c r="F17" s="575">
        <v>46</v>
      </c>
      <c r="G17" s="576">
        <v>38</v>
      </c>
      <c r="H17" s="576">
        <v>57</v>
      </c>
      <c r="I17" s="575">
        <v>42</v>
      </c>
      <c r="J17" s="576">
        <v>37</v>
      </c>
      <c r="K17" s="576">
        <v>49</v>
      </c>
      <c r="L17" s="575">
        <v>48</v>
      </c>
      <c r="M17" s="576">
        <v>35</v>
      </c>
      <c r="N17" s="577">
        <v>76</v>
      </c>
      <c r="O17" s="576">
        <v>68</v>
      </c>
      <c r="P17" s="576">
        <v>65</v>
      </c>
      <c r="Q17" s="577">
        <v>86</v>
      </c>
      <c r="R17" s="575">
        <v>75</v>
      </c>
      <c r="S17" s="576">
        <v>64</v>
      </c>
      <c r="T17" s="577">
        <v>106</v>
      </c>
      <c r="U17" s="575">
        <f t="shared" ref="U17:AI17" si="6">SUM(U14:U16)</f>
        <v>101</v>
      </c>
      <c r="V17" s="576">
        <f t="shared" si="6"/>
        <v>101</v>
      </c>
      <c r="W17" s="577">
        <f t="shared" si="6"/>
        <v>147</v>
      </c>
      <c r="X17" s="575">
        <f t="shared" si="6"/>
        <v>129</v>
      </c>
      <c r="Y17" s="576">
        <f t="shared" si="6"/>
        <v>121</v>
      </c>
      <c r="Z17" s="577">
        <f t="shared" si="6"/>
        <v>187</v>
      </c>
      <c r="AA17" s="575">
        <f t="shared" si="6"/>
        <v>191</v>
      </c>
      <c r="AB17" s="576">
        <f t="shared" si="6"/>
        <v>157</v>
      </c>
      <c r="AC17" s="577">
        <f t="shared" si="6"/>
        <v>148</v>
      </c>
      <c r="AD17" s="575">
        <f t="shared" si="6"/>
        <v>142</v>
      </c>
      <c r="AE17" s="576">
        <f t="shared" si="6"/>
        <v>142</v>
      </c>
      <c r="AF17" s="577">
        <f t="shared" si="6"/>
        <v>187</v>
      </c>
      <c r="AG17" s="575">
        <f t="shared" si="6"/>
        <v>158</v>
      </c>
      <c r="AH17" s="576">
        <f t="shared" si="6"/>
        <v>167</v>
      </c>
      <c r="AI17" s="577">
        <f t="shared" si="6"/>
        <v>143</v>
      </c>
      <c r="AJ17" s="575">
        <f t="shared" ref="AJ17:AO17" si="7">SUM(AJ14:AJ16)</f>
        <v>120</v>
      </c>
      <c r="AK17" s="576">
        <f t="shared" si="7"/>
        <v>117</v>
      </c>
      <c r="AL17" s="577">
        <f t="shared" si="7"/>
        <v>224</v>
      </c>
      <c r="AM17" s="575">
        <f t="shared" si="7"/>
        <v>187</v>
      </c>
      <c r="AN17" s="576">
        <f t="shared" si="7"/>
        <v>175</v>
      </c>
      <c r="AO17" s="577">
        <f t="shared" si="7"/>
        <v>137</v>
      </c>
      <c r="AP17" s="575">
        <f t="shared" ref="AP17:AU17" si="8">SUM(AP14:AP16)</f>
        <v>154</v>
      </c>
      <c r="AQ17" s="576">
        <f t="shared" si="8"/>
        <v>154</v>
      </c>
      <c r="AR17" s="577">
        <f t="shared" si="8"/>
        <v>166</v>
      </c>
      <c r="AS17" s="575">
        <f t="shared" si="8"/>
        <v>167</v>
      </c>
      <c r="AT17" s="576">
        <f t="shared" si="8"/>
        <v>169</v>
      </c>
      <c r="AU17" s="577">
        <f t="shared" si="8"/>
        <v>183</v>
      </c>
    </row>
    <row r="18" spans="1:47" ht="12.95" customHeight="1" x14ac:dyDescent="0.2">
      <c r="A18" s="6338" t="s">
        <v>677</v>
      </c>
      <c r="B18" s="4553" t="s">
        <v>615</v>
      </c>
      <c r="C18" s="4554">
        <v>43</v>
      </c>
      <c r="D18" s="4555">
        <v>41</v>
      </c>
      <c r="E18" s="4555">
        <v>50</v>
      </c>
      <c r="F18" s="4554">
        <v>42</v>
      </c>
      <c r="G18" s="4555">
        <v>37</v>
      </c>
      <c r="H18" s="4555">
        <v>63</v>
      </c>
      <c r="I18" s="4554">
        <v>51</v>
      </c>
      <c r="J18" s="4555">
        <v>46</v>
      </c>
      <c r="K18" s="4555">
        <v>46</v>
      </c>
      <c r="L18" s="4554">
        <v>33</v>
      </c>
      <c r="M18" s="4555">
        <v>35</v>
      </c>
      <c r="N18" s="4556">
        <v>58</v>
      </c>
      <c r="O18" s="4555">
        <v>65</v>
      </c>
      <c r="P18" s="4555">
        <v>49</v>
      </c>
      <c r="Q18" s="4556">
        <v>81</v>
      </c>
      <c r="R18" s="4554">
        <v>43</v>
      </c>
      <c r="S18" s="4555">
        <v>38</v>
      </c>
      <c r="T18" s="4556">
        <v>79</v>
      </c>
      <c r="U18" s="4554">
        <f t="shared" ref="U18:AI21" si="9">U6+U10+U14</f>
        <v>40</v>
      </c>
      <c r="V18" s="4555">
        <f t="shared" si="9"/>
        <v>37</v>
      </c>
      <c r="W18" s="4556">
        <f t="shared" si="9"/>
        <v>73</v>
      </c>
      <c r="X18" s="4554">
        <f t="shared" si="9"/>
        <v>31</v>
      </c>
      <c r="Y18" s="4555">
        <f t="shared" si="9"/>
        <v>27</v>
      </c>
      <c r="Z18" s="4556">
        <f t="shared" si="9"/>
        <v>114</v>
      </c>
      <c r="AA18" s="4554">
        <f t="shared" si="9"/>
        <v>113</v>
      </c>
      <c r="AB18" s="4555">
        <f t="shared" si="9"/>
        <v>98</v>
      </c>
      <c r="AC18" s="4556">
        <f t="shared" si="9"/>
        <v>59</v>
      </c>
      <c r="AD18" s="4554">
        <f t="shared" si="9"/>
        <v>58</v>
      </c>
      <c r="AE18" s="4555">
        <f t="shared" si="9"/>
        <v>59</v>
      </c>
      <c r="AF18" s="4556">
        <f t="shared" si="9"/>
        <v>98</v>
      </c>
      <c r="AG18" s="4554">
        <f t="shared" si="9"/>
        <v>87</v>
      </c>
      <c r="AH18" s="4555">
        <f t="shared" si="9"/>
        <v>87</v>
      </c>
      <c r="AI18" s="4556">
        <f t="shared" si="9"/>
        <v>75</v>
      </c>
      <c r="AJ18" s="4554">
        <f t="shared" ref="AJ18:AL21" si="10">AJ6+AJ10+AJ14</f>
        <v>56</v>
      </c>
      <c r="AK18" s="4555">
        <f t="shared" si="10"/>
        <v>50</v>
      </c>
      <c r="AL18" s="4556">
        <f t="shared" si="10"/>
        <v>113</v>
      </c>
      <c r="AM18" s="4554">
        <f t="shared" ref="AM18:AR21" si="11">AM6+AM10+AM14</f>
        <v>87</v>
      </c>
      <c r="AN18" s="4555">
        <f t="shared" si="11"/>
        <v>89</v>
      </c>
      <c r="AO18" s="4556">
        <f t="shared" si="11"/>
        <v>32</v>
      </c>
      <c r="AP18" s="4554">
        <f t="shared" si="11"/>
        <v>27</v>
      </c>
      <c r="AQ18" s="4555">
        <f t="shared" si="11"/>
        <v>28</v>
      </c>
      <c r="AR18" s="4556">
        <f t="shared" si="11"/>
        <v>30</v>
      </c>
      <c r="AS18" s="4554">
        <f t="shared" ref="AS18:AU21" si="12">AS6+AS10+AS14</f>
        <v>29</v>
      </c>
      <c r="AT18" s="4555">
        <f t="shared" si="12"/>
        <v>29</v>
      </c>
      <c r="AU18" s="4556">
        <f t="shared" si="12"/>
        <v>41</v>
      </c>
    </row>
    <row r="19" spans="1:47" ht="12.95" customHeight="1" x14ac:dyDescent="0.2">
      <c r="A19" s="6339"/>
      <c r="B19" s="4557" t="s">
        <v>616</v>
      </c>
      <c r="C19" s="4558">
        <v>179</v>
      </c>
      <c r="D19" s="4559">
        <v>158</v>
      </c>
      <c r="E19" s="4559">
        <v>141</v>
      </c>
      <c r="F19" s="4558">
        <v>158</v>
      </c>
      <c r="G19" s="4559">
        <v>131</v>
      </c>
      <c r="H19" s="4559">
        <v>172</v>
      </c>
      <c r="I19" s="4558">
        <v>159</v>
      </c>
      <c r="J19" s="4559">
        <v>153</v>
      </c>
      <c r="K19" s="4559">
        <v>186</v>
      </c>
      <c r="L19" s="4558">
        <v>201</v>
      </c>
      <c r="M19" s="4559">
        <v>177</v>
      </c>
      <c r="N19" s="4560">
        <v>180</v>
      </c>
      <c r="O19" s="4559">
        <v>174</v>
      </c>
      <c r="P19" s="4559">
        <v>171</v>
      </c>
      <c r="Q19" s="4560">
        <v>175</v>
      </c>
      <c r="R19" s="4558">
        <v>173</v>
      </c>
      <c r="S19" s="4559">
        <v>162</v>
      </c>
      <c r="T19" s="4560">
        <v>179</v>
      </c>
      <c r="U19" s="4558">
        <f t="shared" si="9"/>
        <v>194</v>
      </c>
      <c r="V19" s="4559">
        <f t="shared" si="9"/>
        <v>183</v>
      </c>
      <c r="W19" s="4560">
        <f t="shared" si="9"/>
        <v>267</v>
      </c>
      <c r="X19" s="4558">
        <f t="shared" si="9"/>
        <v>257</v>
      </c>
      <c r="Y19" s="4559">
        <f t="shared" si="9"/>
        <v>234</v>
      </c>
      <c r="Z19" s="4560">
        <f t="shared" si="9"/>
        <v>254</v>
      </c>
      <c r="AA19" s="4558">
        <f t="shared" si="9"/>
        <v>232</v>
      </c>
      <c r="AB19" s="4559">
        <f t="shared" si="9"/>
        <v>195</v>
      </c>
      <c r="AC19" s="4560">
        <f t="shared" si="9"/>
        <v>254</v>
      </c>
      <c r="AD19" s="4558">
        <f t="shared" si="9"/>
        <v>236</v>
      </c>
      <c r="AE19" s="4559">
        <f t="shared" si="9"/>
        <v>228</v>
      </c>
      <c r="AF19" s="4560">
        <f t="shared" si="9"/>
        <v>236</v>
      </c>
      <c r="AG19" s="4558">
        <f t="shared" si="9"/>
        <v>228</v>
      </c>
      <c r="AH19" s="4559">
        <f t="shared" si="9"/>
        <v>224</v>
      </c>
      <c r="AI19" s="4560">
        <f t="shared" si="9"/>
        <v>283</v>
      </c>
      <c r="AJ19" s="4558">
        <f t="shared" si="10"/>
        <v>304</v>
      </c>
      <c r="AK19" s="4559">
        <f t="shared" si="10"/>
        <v>291</v>
      </c>
      <c r="AL19" s="4560">
        <f t="shared" si="10"/>
        <v>343</v>
      </c>
      <c r="AM19" s="4558">
        <f t="shared" ref="AM19:AO21" si="13">AM7+AM11+AM15</f>
        <v>311</v>
      </c>
      <c r="AN19" s="4559">
        <f t="shared" si="13"/>
        <v>276</v>
      </c>
      <c r="AO19" s="4560">
        <f t="shared" si="13"/>
        <v>353</v>
      </c>
      <c r="AP19" s="4558">
        <f t="shared" si="11"/>
        <v>367</v>
      </c>
      <c r="AQ19" s="4559">
        <f t="shared" si="11"/>
        <v>317</v>
      </c>
      <c r="AR19" s="4560">
        <f t="shared" si="11"/>
        <v>361</v>
      </c>
      <c r="AS19" s="4558">
        <f t="shared" si="12"/>
        <v>416</v>
      </c>
      <c r="AT19" s="4559">
        <f t="shared" si="12"/>
        <v>394</v>
      </c>
      <c r="AU19" s="4560">
        <f t="shared" si="12"/>
        <v>422</v>
      </c>
    </row>
    <row r="20" spans="1:47" ht="12.95" customHeight="1" x14ac:dyDescent="0.2">
      <c r="A20" s="6339"/>
      <c r="B20" s="4561" t="s">
        <v>617</v>
      </c>
      <c r="C20" s="4562">
        <v>46</v>
      </c>
      <c r="D20" s="4563">
        <v>36</v>
      </c>
      <c r="E20" s="4563">
        <v>35</v>
      </c>
      <c r="F20" s="4562">
        <v>32</v>
      </c>
      <c r="G20" s="4563">
        <v>34</v>
      </c>
      <c r="H20" s="4563">
        <v>34</v>
      </c>
      <c r="I20" s="4562">
        <v>30</v>
      </c>
      <c r="J20" s="4563">
        <v>28</v>
      </c>
      <c r="K20" s="4563">
        <v>49</v>
      </c>
      <c r="L20" s="4562">
        <v>40</v>
      </c>
      <c r="M20" s="4563">
        <v>39</v>
      </c>
      <c r="N20" s="4564">
        <v>50</v>
      </c>
      <c r="O20" s="4563">
        <v>53</v>
      </c>
      <c r="P20" s="4563">
        <v>50</v>
      </c>
      <c r="Q20" s="4564">
        <v>109</v>
      </c>
      <c r="R20" s="4562">
        <v>81</v>
      </c>
      <c r="S20" s="4563">
        <v>81</v>
      </c>
      <c r="T20" s="4564">
        <v>107</v>
      </c>
      <c r="U20" s="4562">
        <f t="shared" si="9"/>
        <v>83</v>
      </c>
      <c r="V20" s="4563">
        <f t="shared" si="9"/>
        <v>83</v>
      </c>
      <c r="W20" s="4564">
        <f t="shared" si="9"/>
        <v>129</v>
      </c>
      <c r="X20" s="4562">
        <f t="shared" si="9"/>
        <v>99</v>
      </c>
      <c r="Y20" s="4563">
        <f t="shared" si="9"/>
        <v>117</v>
      </c>
      <c r="Z20" s="4564">
        <f t="shared" si="9"/>
        <v>151</v>
      </c>
      <c r="AA20" s="4562">
        <f t="shared" si="9"/>
        <v>112</v>
      </c>
      <c r="AB20" s="4563">
        <f t="shared" si="9"/>
        <v>106</v>
      </c>
      <c r="AC20" s="4564">
        <f t="shared" si="9"/>
        <v>103</v>
      </c>
      <c r="AD20" s="4562">
        <f t="shared" si="9"/>
        <v>97</v>
      </c>
      <c r="AE20" s="4563">
        <f t="shared" si="9"/>
        <v>91</v>
      </c>
      <c r="AF20" s="4564">
        <f t="shared" si="9"/>
        <v>116</v>
      </c>
      <c r="AG20" s="4562">
        <f t="shared" si="9"/>
        <v>111</v>
      </c>
      <c r="AH20" s="4563">
        <f t="shared" si="9"/>
        <v>107</v>
      </c>
      <c r="AI20" s="4564">
        <f t="shared" si="9"/>
        <v>111</v>
      </c>
      <c r="AJ20" s="4562">
        <f t="shared" si="10"/>
        <v>97</v>
      </c>
      <c r="AK20" s="4563">
        <f t="shared" si="10"/>
        <v>92</v>
      </c>
      <c r="AL20" s="4564">
        <f t="shared" si="10"/>
        <v>141</v>
      </c>
      <c r="AM20" s="4562">
        <f t="shared" si="13"/>
        <v>147</v>
      </c>
      <c r="AN20" s="4563">
        <f t="shared" si="13"/>
        <v>138</v>
      </c>
      <c r="AO20" s="4564">
        <f t="shared" si="13"/>
        <v>124</v>
      </c>
      <c r="AP20" s="4562">
        <f t="shared" si="11"/>
        <v>136</v>
      </c>
      <c r="AQ20" s="4563">
        <f t="shared" si="11"/>
        <v>134</v>
      </c>
      <c r="AR20" s="4564">
        <f t="shared" si="11"/>
        <v>157</v>
      </c>
      <c r="AS20" s="4562">
        <f t="shared" si="12"/>
        <v>168</v>
      </c>
      <c r="AT20" s="4563">
        <f t="shared" si="12"/>
        <v>169</v>
      </c>
      <c r="AU20" s="4564">
        <f t="shared" si="12"/>
        <v>174</v>
      </c>
    </row>
    <row r="21" spans="1:47" s="224" customFormat="1" ht="12.95" customHeight="1" x14ac:dyDescent="0.2">
      <c r="A21" s="6340"/>
      <c r="B21" s="2434" t="s">
        <v>12</v>
      </c>
      <c r="C21" s="2407">
        <f>SUM(C18:C20)</f>
        <v>268</v>
      </c>
      <c r="D21" s="2408">
        <f>SUM(D18:D20)</f>
        <v>235</v>
      </c>
      <c r="E21" s="2408">
        <f>SUM(E18:E20)</f>
        <v>226</v>
      </c>
      <c r="F21" s="2407">
        <f t="shared" ref="F21:Q21" si="14">SUM(F18:F20)</f>
        <v>232</v>
      </c>
      <c r="G21" s="2408">
        <f t="shared" si="14"/>
        <v>202</v>
      </c>
      <c r="H21" s="2408">
        <f t="shared" si="14"/>
        <v>269</v>
      </c>
      <c r="I21" s="2407">
        <f t="shared" si="14"/>
        <v>240</v>
      </c>
      <c r="J21" s="2408">
        <f t="shared" si="14"/>
        <v>227</v>
      </c>
      <c r="K21" s="2408">
        <f t="shared" si="14"/>
        <v>281</v>
      </c>
      <c r="L21" s="2407">
        <f t="shared" si="14"/>
        <v>274</v>
      </c>
      <c r="M21" s="2408">
        <f t="shared" si="14"/>
        <v>251</v>
      </c>
      <c r="N21" s="2409">
        <f t="shared" si="14"/>
        <v>288</v>
      </c>
      <c r="O21" s="2408">
        <f t="shared" si="14"/>
        <v>292</v>
      </c>
      <c r="P21" s="2408">
        <f t="shared" si="14"/>
        <v>270</v>
      </c>
      <c r="Q21" s="2409">
        <f t="shared" si="14"/>
        <v>365</v>
      </c>
      <c r="R21" s="2407">
        <v>297</v>
      </c>
      <c r="S21" s="2408">
        <v>281</v>
      </c>
      <c r="T21" s="2409">
        <v>365</v>
      </c>
      <c r="U21" s="2407">
        <f t="shared" si="9"/>
        <v>317</v>
      </c>
      <c r="V21" s="2408">
        <f t="shared" si="9"/>
        <v>303</v>
      </c>
      <c r="W21" s="2409">
        <f t="shared" si="9"/>
        <v>469</v>
      </c>
      <c r="X21" s="2407">
        <f t="shared" si="9"/>
        <v>387</v>
      </c>
      <c r="Y21" s="2408">
        <f t="shared" si="9"/>
        <v>378</v>
      </c>
      <c r="Z21" s="2409">
        <f t="shared" si="9"/>
        <v>519</v>
      </c>
      <c r="AA21" s="2407">
        <f t="shared" si="9"/>
        <v>457</v>
      </c>
      <c r="AB21" s="2408">
        <f t="shared" si="9"/>
        <v>399</v>
      </c>
      <c r="AC21" s="2409">
        <f t="shared" si="9"/>
        <v>416</v>
      </c>
      <c r="AD21" s="2407">
        <f t="shared" si="9"/>
        <v>391</v>
      </c>
      <c r="AE21" s="2408">
        <f t="shared" si="9"/>
        <v>378</v>
      </c>
      <c r="AF21" s="2409">
        <f t="shared" si="9"/>
        <v>450</v>
      </c>
      <c r="AG21" s="2407">
        <f t="shared" si="9"/>
        <v>426</v>
      </c>
      <c r="AH21" s="2408">
        <f t="shared" si="9"/>
        <v>418</v>
      </c>
      <c r="AI21" s="2409">
        <f t="shared" si="9"/>
        <v>469</v>
      </c>
      <c r="AJ21" s="2407">
        <f t="shared" si="10"/>
        <v>457</v>
      </c>
      <c r="AK21" s="2408">
        <f t="shared" si="10"/>
        <v>433</v>
      </c>
      <c r="AL21" s="2409">
        <f t="shared" si="10"/>
        <v>597</v>
      </c>
      <c r="AM21" s="2407">
        <f t="shared" si="13"/>
        <v>545</v>
      </c>
      <c r="AN21" s="2408">
        <f t="shared" si="13"/>
        <v>503</v>
      </c>
      <c r="AO21" s="2409">
        <f t="shared" si="13"/>
        <v>509</v>
      </c>
      <c r="AP21" s="4543">
        <f t="shared" si="11"/>
        <v>530</v>
      </c>
      <c r="AQ21" s="4544">
        <f t="shared" si="11"/>
        <v>479</v>
      </c>
      <c r="AR21" s="4545">
        <f t="shared" si="11"/>
        <v>548</v>
      </c>
      <c r="AS21" s="4543">
        <f t="shared" si="12"/>
        <v>613</v>
      </c>
      <c r="AT21" s="4544">
        <f t="shared" si="12"/>
        <v>592</v>
      </c>
      <c r="AU21" s="4545">
        <f t="shared" si="12"/>
        <v>637</v>
      </c>
    </row>
    <row r="22" spans="1:47" s="224" customFormat="1" ht="12.95" customHeight="1" x14ac:dyDescent="0.2">
      <c r="A22" s="262"/>
      <c r="B22" s="904"/>
      <c r="C22" s="904"/>
      <c r="D22" s="904"/>
      <c r="E22" s="904"/>
      <c r="F22" s="904"/>
      <c r="G22" s="904"/>
      <c r="H22" s="904"/>
      <c r="I22" s="904"/>
      <c r="J22" s="904"/>
      <c r="K22" s="904"/>
      <c r="L22" s="904"/>
      <c r="M22" s="904"/>
      <c r="N22" s="904"/>
      <c r="O22" s="904"/>
      <c r="P22" s="904"/>
      <c r="Q22" s="904"/>
      <c r="R22" s="904"/>
      <c r="S22" s="904"/>
      <c r="T22" s="904"/>
      <c r="U22" s="904"/>
      <c r="V22" s="904"/>
      <c r="W22" s="904"/>
      <c r="X22" s="904"/>
      <c r="Y22" s="904"/>
      <c r="Z22" s="904"/>
      <c r="AA22" s="904"/>
      <c r="AB22" s="904"/>
      <c r="AC22" s="904"/>
      <c r="AD22" s="904"/>
      <c r="AE22" s="904"/>
      <c r="AF22" s="904"/>
      <c r="AG22" s="904"/>
      <c r="AH22" s="904"/>
      <c r="AI22" s="904"/>
      <c r="AJ22" s="904"/>
      <c r="AK22" s="904"/>
      <c r="AL22" s="904"/>
      <c r="AM22" s="904"/>
      <c r="AN22" s="904"/>
      <c r="AO22" s="904"/>
      <c r="AP22" s="904"/>
      <c r="AQ22" s="904"/>
      <c r="AR22" s="904"/>
      <c r="AS22" s="904"/>
      <c r="AT22" s="904"/>
      <c r="AU22" s="904"/>
    </row>
    <row r="23" spans="1:47" s="224" customFormat="1" ht="12.95" customHeight="1" x14ac:dyDescent="0.2">
      <c r="A23" s="6228" t="s">
        <v>6</v>
      </c>
      <c r="B23" s="4553" t="s">
        <v>615</v>
      </c>
      <c r="C23" s="4554"/>
      <c r="D23" s="4555"/>
      <c r="E23" s="4555"/>
      <c r="F23" s="4554"/>
      <c r="G23" s="4555"/>
      <c r="H23" s="4555"/>
      <c r="I23" s="4554"/>
      <c r="J23" s="4555"/>
      <c r="K23" s="4555"/>
      <c r="L23" s="4554"/>
      <c r="M23" s="4555"/>
      <c r="N23" s="4556"/>
      <c r="O23" s="4555"/>
      <c r="P23" s="4555"/>
      <c r="Q23" s="4556"/>
      <c r="R23" s="4554"/>
      <c r="S23" s="4555"/>
      <c r="T23" s="4556"/>
      <c r="U23" s="4554"/>
      <c r="V23" s="4555"/>
      <c r="W23" s="4556"/>
      <c r="X23" s="4554"/>
      <c r="Y23" s="4555"/>
      <c r="Z23" s="4556"/>
      <c r="AA23" s="4554"/>
      <c r="AB23" s="4555"/>
      <c r="AC23" s="4556"/>
      <c r="AD23" s="4554"/>
      <c r="AE23" s="4555"/>
      <c r="AF23" s="4556"/>
      <c r="AG23" s="4554"/>
      <c r="AH23" s="4555"/>
      <c r="AI23" s="4556"/>
      <c r="AJ23" s="4554"/>
      <c r="AK23" s="4555"/>
      <c r="AL23" s="4556"/>
      <c r="AM23" s="4554"/>
      <c r="AN23" s="4555"/>
      <c r="AO23" s="4556"/>
      <c r="AP23" s="4554"/>
      <c r="AQ23" s="4555"/>
      <c r="AR23" s="4556"/>
      <c r="AS23" s="4554"/>
      <c r="AT23" s="4555"/>
      <c r="AU23" s="4556"/>
    </row>
    <row r="24" spans="1:47" s="224" customFormat="1" ht="12.95" customHeight="1" x14ac:dyDescent="0.2">
      <c r="A24" s="6229"/>
      <c r="B24" s="4557" t="s">
        <v>616</v>
      </c>
      <c r="C24" s="4558"/>
      <c r="D24" s="4559"/>
      <c r="E24" s="4559"/>
      <c r="F24" s="4558"/>
      <c r="G24" s="4559"/>
      <c r="H24" s="4559"/>
      <c r="I24" s="4558"/>
      <c r="J24" s="4559"/>
      <c r="K24" s="4559"/>
      <c r="L24" s="4558"/>
      <c r="M24" s="4559"/>
      <c r="N24" s="4560"/>
      <c r="O24" s="4559"/>
      <c r="P24" s="4559"/>
      <c r="Q24" s="4560"/>
      <c r="R24" s="4558"/>
      <c r="S24" s="4559"/>
      <c r="T24" s="4560"/>
      <c r="U24" s="4558"/>
      <c r="V24" s="4559"/>
      <c r="W24" s="4560"/>
      <c r="X24" s="4558"/>
      <c r="Y24" s="4559"/>
      <c r="Z24" s="4560"/>
      <c r="AA24" s="4558">
        <v>20</v>
      </c>
      <c r="AB24" s="4559">
        <v>19</v>
      </c>
      <c r="AC24" s="4560">
        <v>18</v>
      </c>
      <c r="AD24" s="4558">
        <f>SUM('MATRICULA-POS plan'!AF52)</f>
        <v>31</v>
      </c>
      <c r="AE24" s="4559">
        <f>SUM('MATRICULA-POS plan'!AG52)</f>
        <v>28</v>
      </c>
      <c r="AF24" s="4560">
        <f>SUM('MATRICULA-POS plan'!AH52)</f>
        <v>28</v>
      </c>
      <c r="AG24" s="4558">
        <f>SUM('MATRICULA-POS plan'!AI52)</f>
        <v>39</v>
      </c>
      <c r="AH24" s="4559">
        <f>SUM('MATRICULA-POS plan'!AJ52)</f>
        <v>37</v>
      </c>
      <c r="AI24" s="4560">
        <f>SUM('MATRICULA-POS plan'!AK52)</f>
        <v>31</v>
      </c>
      <c r="AJ24" s="4558">
        <f>SUM('MATRICULA-POS plan'!AL52)</f>
        <v>23</v>
      </c>
      <c r="AK24" s="4559">
        <f>SUM('MATRICULA-POS plan'!AM52)</f>
        <v>21</v>
      </c>
      <c r="AL24" s="4560">
        <f>SUM('MATRICULA-POS plan'!AN52)</f>
        <v>33</v>
      </c>
      <c r="AM24" s="4558">
        <f>SUM('MATRICULA-POS plan'!AO52)</f>
        <v>15</v>
      </c>
      <c r="AN24" s="4559">
        <f>SUM('MATRICULA-POS plan'!AP52)</f>
        <v>14</v>
      </c>
      <c r="AO24" s="4560">
        <f>SUM('MATRICULA-POS plan'!AQ52)</f>
        <v>33</v>
      </c>
      <c r="AP24" s="4558">
        <f>SUM('MATRICULA-POS plan'!AR52)</f>
        <v>32</v>
      </c>
      <c r="AQ24" s="4559">
        <f>SUM('MATRICULA-POS plan'!AS52)</f>
        <v>32</v>
      </c>
      <c r="AR24" s="4560">
        <f>SUM('MATRICULA-POS plan'!AT52)</f>
        <v>31</v>
      </c>
      <c r="AS24" s="4558">
        <f>SUM('MATRICULA-POS plan'!AU52)</f>
        <v>29</v>
      </c>
      <c r="AT24" s="4559">
        <f>SUM('MATRICULA-POS plan'!AV52)</f>
        <v>27</v>
      </c>
      <c r="AU24" s="4560">
        <f>SUM('MATRICULA-POS plan'!AW52)</f>
        <v>26</v>
      </c>
    </row>
    <row r="25" spans="1:47" s="224" customFormat="1" ht="12.95" customHeight="1" x14ac:dyDescent="0.2">
      <c r="A25" s="6229"/>
      <c r="B25" s="4561" t="s">
        <v>617</v>
      </c>
      <c r="C25" s="4562"/>
      <c r="D25" s="4563"/>
      <c r="E25" s="4563"/>
      <c r="F25" s="4562"/>
      <c r="G25" s="4563"/>
      <c r="H25" s="4563"/>
      <c r="I25" s="4562"/>
      <c r="J25" s="4563"/>
      <c r="K25" s="4563"/>
      <c r="L25" s="4562"/>
      <c r="M25" s="4563"/>
      <c r="N25" s="4564"/>
      <c r="O25" s="4563"/>
      <c r="P25" s="4563"/>
      <c r="Q25" s="4564"/>
      <c r="R25" s="4562"/>
      <c r="S25" s="4563"/>
      <c r="T25" s="4564"/>
      <c r="U25" s="4562"/>
      <c r="V25" s="4563"/>
      <c r="W25" s="4564"/>
      <c r="X25" s="4562"/>
      <c r="Y25" s="4563"/>
      <c r="Z25" s="4564"/>
      <c r="AA25" s="4562">
        <v>12</v>
      </c>
      <c r="AB25" s="4563">
        <v>12</v>
      </c>
      <c r="AC25" s="4564">
        <v>12</v>
      </c>
      <c r="AD25" s="4562">
        <f>SUM('MATRICULA-POS plan'!AF53)</f>
        <v>22</v>
      </c>
      <c r="AE25" s="4563">
        <f>SUM('MATRICULA-POS plan'!AG53)</f>
        <v>21</v>
      </c>
      <c r="AF25" s="4564">
        <f>SUM('MATRICULA-POS plan'!AH53)</f>
        <v>21</v>
      </c>
      <c r="AG25" s="4562">
        <f>SUM('MATRICULA-POS plan'!AI53)</f>
        <v>19</v>
      </c>
      <c r="AH25" s="4563">
        <f>SUM('MATRICULA-POS plan'!AJ53)</f>
        <v>18</v>
      </c>
      <c r="AI25" s="4564">
        <f>SUM('MATRICULA-POS plan'!AK53)</f>
        <v>35</v>
      </c>
      <c r="AJ25" s="4562">
        <f>SUM('MATRICULA-POS plan'!AL53)</f>
        <v>24</v>
      </c>
      <c r="AK25" s="4563">
        <f>SUM('MATRICULA-POS plan'!AM53)</f>
        <v>25</v>
      </c>
      <c r="AL25" s="4564">
        <f>SUM('MATRICULA-POS plan'!AN53)</f>
        <v>41</v>
      </c>
      <c r="AM25" s="4562">
        <f>SUM('MATRICULA-POS plan'!AO53)</f>
        <v>36</v>
      </c>
      <c r="AN25" s="4563">
        <f>SUM('MATRICULA-POS plan'!AP53)</f>
        <v>36</v>
      </c>
      <c r="AO25" s="4564">
        <f>SUM('MATRICULA-POS plan'!AQ53)</f>
        <v>54</v>
      </c>
      <c r="AP25" s="4562">
        <f>SUM('MATRICULA-POS plan'!AR53)</f>
        <v>52</v>
      </c>
      <c r="AQ25" s="4563">
        <f>SUM('MATRICULA-POS plan'!AS53)</f>
        <v>51</v>
      </c>
      <c r="AR25" s="4564">
        <f>SUM('MATRICULA-POS plan'!AT53)</f>
        <v>48</v>
      </c>
      <c r="AS25" s="4562">
        <f>SUM('MATRICULA-POS plan'!AU53)</f>
        <v>46</v>
      </c>
      <c r="AT25" s="4563">
        <f>SUM('MATRICULA-POS plan'!AV53)</f>
        <v>46</v>
      </c>
      <c r="AU25" s="4564">
        <f>SUM('MATRICULA-POS plan'!AW53)</f>
        <v>48</v>
      </c>
    </row>
    <row r="26" spans="1:47" s="224" customFormat="1" ht="12.95" customHeight="1" x14ac:dyDescent="0.2">
      <c r="A26" s="6230"/>
      <c r="B26" s="574" t="s">
        <v>14</v>
      </c>
      <c r="C26" s="575"/>
      <c r="D26" s="576"/>
      <c r="E26" s="576"/>
      <c r="F26" s="575"/>
      <c r="G26" s="576"/>
      <c r="H26" s="576"/>
      <c r="I26" s="575"/>
      <c r="J26" s="576"/>
      <c r="K26" s="576"/>
      <c r="L26" s="575"/>
      <c r="M26" s="576"/>
      <c r="N26" s="577"/>
      <c r="O26" s="576"/>
      <c r="P26" s="576"/>
      <c r="Q26" s="577"/>
      <c r="R26" s="575"/>
      <c r="S26" s="576"/>
      <c r="T26" s="577"/>
      <c r="U26" s="575"/>
      <c r="V26" s="576"/>
      <c r="W26" s="577"/>
      <c r="X26" s="575"/>
      <c r="Y26" s="576"/>
      <c r="Z26" s="577"/>
      <c r="AA26" s="575">
        <f>SUM(AA23:AA25)</f>
        <v>32</v>
      </c>
      <c r="AB26" s="576">
        <f>SUM(AB23:AB25)</f>
        <v>31</v>
      </c>
      <c r="AC26" s="577">
        <f>SUM(AC23:AC25)</f>
        <v>30</v>
      </c>
      <c r="AD26" s="575">
        <f t="shared" ref="AD26:AI26" si="15">SUM(AD23:AD25)</f>
        <v>53</v>
      </c>
      <c r="AE26" s="576">
        <f t="shared" si="15"/>
        <v>49</v>
      </c>
      <c r="AF26" s="577">
        <f t="shared" si="15"/>
        <v>49</v>
      </c>
      <c r="AG26" s="575">
        <f t="shared" si="15"/>
        <v>58</v>
      </c>
      <c r="AH26" s="576">
        <f t="shared" si="15"/>
        <v>55</v>
      </c>
      <c r="AI26" s="577">
        <f t="shared" si="15"/>
        <v>66</v>
      </c>
      <c r="AJ26" s="575">
        <f t="shared" ref="AJ26:AR26" si="16">SUM(AJ23:AJ25)</f>
        <v>47</v>
      </c>
      <c r="AK26" s="576">
        <f t="shared" si="16"/>
        <v>46</v>
      </c>
      <c r="AL26" s="577">
        <f t="shared" si="16"/>
        <v>74</v>
      </c>
      <c r="AM26" s="575">
        <f t="shared" si="16"/>
        <v>51</v>
      </c>
      <c r="AN26" s="576">
        <f t="shared" si="16"/>
        <v>50</v>
      </c>
      <c r="AO26" s="577">
        <f t="shared" si="16"/>
        <v>87</v>
      </c>
      <c r="AP26" s="575">
        <f t="shared" si="16"/>
        <v>84</v>
      </c>
      <c r="AQ26" s="576">
        <f t="shared" si="16"/>
        <v>83</v>
      </c>
      <c r="AR26" s="577">
        <f t="shared" si="16"/>
        <v>79</v>
      </c>
      <c r="AS26" s="575">
        <f>SUM(AS23:AS25)</f>
        <v>75</v>
      </c>
      <c r="AT26" s="576">
        <f>SUM(AT23:AT25)</f>
        <v>73</v>
      </c>
      <c r="AU26" s="577">
        <f>SUM(AU23:AU25)</f>
        <v>74</v>
      </c>
    </row>
    <row r="27" spans="1:47" s="224" customFormat="1" ht="12.95" customHeight="1" x14ac:dyDescent="0.2">
      <c r="A27" s="6228" t="s">
        <v>9</v>
      </c>
      <c r="B27" s="4553" t="s">
        <v>615</v>
      </c>
      <c r="C27" s="4554"/>
      <c r="D27" s="4555"/>
      <c r="E27" s="4555"/>
      <c r="F27" s="4554"/>
      <c r="G27" s="4555"/>
      <c r="H27" s="4555"/>
      <c r="I27" s="4554"/>
      <c r="J27" s="4555"/>
      <c r="K27" s="4555"/>
      <c r="L27" s="4554"/>
      <c r="M27" s="4555"/>
      <c r="N27" s="4556"/>
      <c r="O27" s="4555"/>
      <c r="P27" s="4555"/>
      <c r="Q27" s="4556"/>
      <c r="R27" s="4554"/>
      <c r="S27" s="4555"/>
      <c r="T27" s="4556"/>
      <c r="U27" s="4554"/>
      <c r="V27" s="4555"/>
      <c r="W27" s="4556"/>
      <c r="X27" s="4554"/>
      <c r="Y27" s="4555"/>
      <c r="Z27" s="4556"/>
      <c r="AA27" s="4554"/>
      <c r="AB27" s="4555"/>
      <c r="AC27" s="4556"/>
      <c r="AD27" s="4554"/>
      <c r="AE27" s="4555"/>
      <c r="AF27" s="4556"/>
      <c r="AG27" s="4554"/>
      <c r="AH27" s="4555"/>
      <c r="AI27" s="4556"/>
      <c r="AJ27" s="4554"/>
      <c r="AK27" s="4555"/>
      <c r="AL27" s="4556"/>
      <c r="AM27" s="4554"/>
      <c r="AN27" s="4555"/>
      <c r="AO27" s="4556"/>
      <c r="AP27" s="4554"/>
      <c r="AQ27" s="4555"/>
      <c r="AR27" s="4556"/>
      <c r="AS27" s="4554"/>
      <c r="AT27" s="4555"/>
      <c r="AU27" s="4556"/>
    </row>
    <row r="28" spans="1:47" s="224" customFormat="1" ht="12.95" customHeight="1" x14ac:dyDescent="0.2">
      <c r="A28" s="6229"/>
      <c r="B28" s="4557" t="s">
        <v>616</v>
      </c>
      <c r="C28" s="4558"/>
      <c r="D28" s="4559"/>
      <c r="E28" s="4559"/>
      <c r="F28" s="4558"/>
      <c r="G28" s="4559"/>
      <c r="H28" s="4559"/>
      <c r="I28" s="4558"/>
      <c r="J28" s="4559"/>
      <c r="K28" s="4559"/>
      <c r="L28" s="4558"/>
      <c r="M28" s="4559"/>
      <c r="N28" s="4560"/>
      <c r="O28" s="4559"/>
      <c r="P28" s="4559"/>
      <c r="Q28" s="4560"/>
      <c r="R28" s="4558"/>
      <c r="S28" s="4559"/>
      <c r="T28" s="4560"/>
      <c r="U28" s="4558"/>
      <c r="V28" s="4559"/>
      <c r="W28" s="4560"/>
      <c r="X28" s="4558"/>
      <c r="Y28" s="4559"/>
      <c r="Z28" s="4560"/>
      <c r="AA28" s="4558"/>
      <c r="AB28" s="4559"/>
      <c r="AC28" s="4560"/>
      <c r="AD28" s="4558"/>
      <c r="AE28" s="4559"/>
      <c r="AF28" s="4560">
        <f>SUM('MATRICULA-POS plan'!AH55)</f>
        <v>12</v>
      </c>
      <c r="AG28" s="4558">
        <f>SUM('MATRICULA-POS plan'!AI55)</f>
        <v>12</v>
      </c>
      <c r="AH28" s="4559">
        <f>SUM('MATRICULA-POS plan'!AJ55)</f>
        <v>11</v>
      </c>
      <c r="AI28" s="4560">
        <f>SUM('MATRICULA-POS plan'!AK55)</f>
        <v>22</v>
      </c>
      <c r="AJ28" s="4558">
        <f>SUM('MATRICULA-POS plan'!AL55)</f>
        <v>20</v>
      </c>
      <c r="AK28" s="4559">
        <f>SUM('MATRICULA-POS plan'!AM55)</f>
        <v>21</v>
      </c>
      <c r="AL28" s="4560">
        <f>SUM('MATRICULA-POS plan'!AN55)</f>
        <v>32</v>
      </c>
      <c r="AM28" s="4558">
        <f>SUM('MATRICULA-POS plan'!AO55)</f>
        <v>32</v>
      </c>
      <c r="AN28" s="4559">
        <f>SUM('MATRICULA-POS plan'!AP55)</f>
        <v>32</v>
      </c>
      <c r="AO28" s="4560">
        <f>SUM('MATRICULA-POS plan'!AQ55)</f>
        <v>41</v>
      </c>
      <c r="AP28" s="4558">
        <f>SUM('MATRICULA-POS plan'!AR55)</f>
        <v>39</v>
      </c>
      <c r="AQ28" s="4559">
        <f>SUM('MATRICULA-POS plan'!AS55)</f>
        <v>39</v>
      </c>
      <c r="AR28" s="4560">
        <f>SUM('MATRICULA-POS plan'!AT55)</f>
        <v>58</v>
      </c>
      <c r="AS28" s="4558">
        <f>SUM('MATRICULA-POS plan'!AU55)</f>
        <v>40</v>
      </c>
      <c r="AT28" s="4559">
        <f>SUM('MATRICULA-POS plan'!AV55)</f>
        <v>39</v>
      </c>
      <c r="AU28" s="4560">
        <f>SUM('MATRICULA-POS plan'!AW55)</f>
        <v>61</v>
      </c>
    </row>
    <row r="29" spans="1:47" s="224" customFormat="1" ht="12.95" customHeight="1" x14ac:dyDescent="0.2">
      <c r="A29" s="6229"/>
      <c r="B29" s="4561" t="s">
        <v>617</v>
      </c>
      <c r="C29" s="4562"/>
      <c r="D29" s="4563"/>
      <c r="E29" s="4563"/>
      <c r="F29" s="4562"/>
      <c r="G29" s="4563"/>
      <c r="H29" s="4563"/>
      <c r="I29" s="4562"/>
      <c r="J29" s="4563"/>
      <c r="K29" s="4563"/>
      <c r="L29" s="4562"/>
      <c r="M29" s="4563"/>
      <c r="N29" s="4564"/>
      <c r="O29" s="4563"/>
      <c r="P29" s="4563"/>
      <c r="Q29" s="4564"/>
      <c r="R29" s="4562"/>
      <c r="S29" s="4563"/>
      <c r="T29" s="4564"/>
      <c r="U29" s="4562"/>
      <c r="V29" s="4563"/>
      <c r="W29" s="4564"/>
      <c r="X29" s="4562"/>
      <c r="Y29" s="4563"/>
      <c r="Z29" s="4564"/>
      <c r="AA29" s="4562"/>
      <c r="AB29" s="4563"/>
      <c r="AC29" s="4564"/>
      <c r="AD29" s="4562"/>
      <c r="AE29" s="4563"/>
      <c r="AF29" s="4564"/>
      <c r="AG29" s="4562"/>
      <c r="AH29" s="4563"/>
      <c r="AI29" s="4564"/>
      <c r="AJ29" s="4562"/>
      <c r="AK29" s="4563"/>
      <c r="AL29" s="4564"/>
      <c r="AM29" s="4562"/>
      <c r="AN29" s="4563"/>
      <c r="AO29" s="4564"/>
      <c r="AP29" s="4562"/>
      <c r="AQ29" s="4563"/>
      <c r="AR29" s="4564"/>
      <c r="AS29" s="4562"/>
      <c r="AT29" s="4563"/>
      <c r="AU29" s="4564"/>
    </row>
    <row r="30" spans="1:47" s="224" customFormat="1" ht="12.95" customHeight="1" x14ac:dyDescent="0.2">
      <c r="A30" s="6230"/>
      <c r="B30" s="574" t="s">
        <v>417</v>
      </c>
      <c r="C30" s="575"/>
      <c r="D30" s="576"/>
      <c r="E30" s="576"/>
      <c r="F30" s="575"/>
      <c r="G30" s="576"/>
      <c r="H30" s="576"/>
      <c r="I30" s="575"/>
      <c r="J30" s="576"/>
      <c r="K30" s="576"/>
      <c r="L30" s="575"/>
      <c r="M30" s="576"/>
      <c r="N30" s="577"/>
      <c r="O30" s="576"/>
      <c r="P30" s="576"/>
      <c r="Q30" s="577"/>
      <c r="R30" s="575"/>
      <c r="S30" s="576"/>
      <c r="T30" s="577"/>
      <c r="U30" s="575"/>
      <c r="V30" s="576"/>
      <c r="W30" s="577"/>
      <c r="X30" s="575"/>
      <c r="Y30" s="576"/>
      <c r="Z30" s="577"/>
      <c r="AA30" s="575"/>
      <c r="AB30" s="576"/>
      <c r="AC30" s="577"/>
      <c r="AD30" s="575"/>
      <c r="AE30" s="576"/>
      <c r="AF30" s="577">
        <f t="shared" ref="AF30:AL30" si="17">SUM(AF28:AF29)</f>
        <v>12</v>
      </c>
      <c r="AG30" s="575">
        <f t="shared" si="17"/>
        <v>12</v>
      </c>
      <c r="AH30" s="576">
        <f t="shared" si="17"/>
        <v>11</v>
      </c>
      <c r="AI30" s="577">
        <f t="shared" si="17"/>
        <v>22</v>
      </c>
      <c r="AJ30" s="575">
        <f t="shared" si="17"/>
        <v>20</v>
      </c>
      <c r="AK30" s="576">
        <f t="shared" si="17"/>
        <v>21</v>
      </c>
      <c r="AL30" s="577">
        <f t="shared" si="17"/>
        <v>32</v>
      </c>
      <c r="AM30" s="575">
        <f t="shared" ref="AM30:AR30" si="18">SUM(AM28:AM29)</f>
        <v>32</v>
      </c>
      <c r="AN30" s="576">
        <f t="shared" si="18"/>
        <v>32</v>
      </c>
      <c r="AO30" s="577">
        <f t="shared" si="18"/>
        <v>41</v>
      </c>
      <c r="AP30" s="575">
        <f t="shared" si="18"/>
        <v>39</v>
      </c>
      <c r="AQ30" s="576">
        <f t="shared" si="18"/>
        <v>39</v>
      </c>
      <c r="AR30" s="577">
        <f t="shared" si="18"/>
        <v>58</v>
      </c>
      <c r="AS30" s="575">
        <f>SUM(AS28:AS29)</f>
        <v>40</v>
      </c>
      <c r="AT30" s="576">
        <f>SUM(AT28:AT29)</f>
        <v>39</v>
      </c>
      <c r="AU30" s="577">
        <f>SUM(AU28:AU29)</f>
        <v>61</v>
      </c>
    </row>
    <row r="31" spans="1:47" s="224" customFormat="1" ht="12.95" customHeight="1" x14ac:dyDescent="0.2">
      <c r="A31" s="6228" t="s">
        <v>74</v>
      </c>
      <c r="B31" s="4553" t="s">
        <v>615</v>
      </c>
      <c r="C31" s="4554"/>
      <c r="D31" s="4555"/>
      <c r="E31" s="4555"/>
      <c r="F31" s="4554"/>
      <c r="G31" s="4555"/>
      <c r="H31" s="4555"/>
      <c r="I31" s="4554"/>
      <c r="J31" s="4555"/>
      <c r="K31" s="4555"/>
      <c r="L31" s="4554"/>
      <c r="M31" s="4555"/>
      <c r="N31" s="4556"/>
      <c r="O31" s="4555"/>
      <c r="P31" s="4555"/>
      <c r="Q31" s="4556"/>
      <c r="R31" s="4554"/>
      <c r="S31" s="4555"/>
      <c r="T31" s="4556"/>
      <c r="U31" s="4554"/>
      <c r="V31" s="4555"/>
      <c r="W31" s="4556"/>
      <c r="X31" s="4554"/>
      <c r="Y31" s="4555"/>
      <c r="Z31" s="4556"/>
      <c r="AA31" s="4554"/>
      <c r="AB31" s="4555"/>
      <c r="AC31" s="4556"/>
      <c r="AD31" s="4554"/>
      <c r="AE31" s="4555">
        <f>SUM('MATRICULA-POS plan'!AG57)</f>
        <v>2</v>
      </c>
      <c r="AF31" s="4556">
        <f>SUM('MATRICULA-POS plan'!AH57)</f>
        <v>3</v>
      </c>
      <c r="AG31" s="4554">
        <f>SUM('MATRICULA-POS plan'!AI57)</f>
        <v>4</v>
      </c>
      <c r="AH31" s="4555">
        <f>SUM('MATRICULA-POS plan'!AJ57)</f>
        <v>2</v>
      </c>
      <c r="AI31" s="4556">
        <f>SUM('MATRICULA-POS plan'!AK57)</f>
        <v>1</v>
      </c>
      <c r="AJ31" s="4554">
        <f>SUM('MATRICULA-POS plan'!AL57)</f>
        <v>3</v>
      </c>
      <c r="AK31" s="4555">
        <f>SUM('MATRICULA-POS plan'!AM57)</f>
        <v>3</v>
      </c>
      <c r="AL31" s="4556">
        <f>SUM('MATRICULA-POS plan'!AN57)</f>
        <v>2</v>
      </c>
      <c r="AM31" s="4554">
        <f>SUM('MATRICULA-POS plan'!AO57)</f>
        <v>3</v>
      </c>
      <c r="AN31" s="4555">
        <f>SUM('MATRICULA-POS plan'!AP57)</f>
        <v>5</v>
      </c>
      <c r="AO31" s="4556">
        <f>SUM('MATRICULA-POS plan'!AQ57)</f>
        <v>8</v>
      </c>
      <c r="AP31" s="4554">
        <f>SUM('MATRICULA-POS plan'!AR57)</f>
        <v>6</v>
      </c>
      <c r="AQ31" s="4555">
        <f>SUM('MATRICULA-POS plan'!AS57)</f>
        <v>6</v>
      </c>
      <c r="AR31" s="4556">
        <f>SUM('MATRICULA-POS plan'!AT57)</f>
        <v>5</v>
      </c>
      <c r="AS31" s="4554">
        <f>SUM('MATRICULA-POS plan'!AU57)</f>
        <v>5</v>
      </c>
      <c r="AT31" s="4555">
        <f>SUM('MATRICULA-POS plan'!AV57)</f>
        <v>4</v>
      </c>
      <c r="AU31" s="4556">
        <f>SUM('MATRICULA-POS plan'!AW57)</f>
        <v>2</v>
      </c>
    </row>
    <row r="32" spans="1:47" s="224" customFormat="1" ht="12.95" customHeight="1" x14ac:dyDescent="0.2">
      <c r="A32" s="6229"/>
      <c r="B32" s="4557" t="s">
        <v>616</v>
      </c>
      <c r="C32" s="4558"/>
      <c r="D32" s="4559"/>
      <c r="E32" s="4559"/>
      <c r="F32" s="4558"/>
      <c r="G32" s="4559"/>
      <c r="H32" s="4559"/>
      <c r="I32" s="4558"/>
      <c r="J32" s="4559"/>
      <c r="K32" s="4559"/>
      <c r="L32" s="4558"/>
      <c r="M32" s="4559"/>
      <c r="N32" s="4560"/>
      <c r="O32" s="4559"/>
      <c r="P32" s="4559"/>
      <c r="Q32" s="4560"/>
      <c r="R32" s="4558"/>
      <c r="S32" s="4559"/>
      <c r="T32" s="4560"/>
      <c r="U32" s="4558"/>
      <c r="V32" s="4559"/>
      <c r="W32" s="4560"/>
      <c r="X32" s="4558"/>
      <c r="Y32" s="4559"/>
      <c r="Z32" s="4560"/>
      <c r="AA32" s="4558"/>
      <c r="AB32" s="4559"/>
      <c r="AC32" s="4560"/>
      <c r="AD32" s="4558"/>
      <c r="AE32" s="4559"/>
      <c r="AF32" s="4560">
        <f>SUM('MATRICULA-POS plan'!AH58)</f>
        <v>9</v>
      </c>
      <c r="AG32" s="4558">
        <f>SUM('MATRICULA-POS plan'!AI58)</f>
        <v>9</v>
      </c>
      <c r="AH32" s="4559">
        <f>SUM('MATRICULA-POS plan'!AJ58)</f>
        <v>8</v>
      </c>
      <c r="AI32" s="4560">
        <f>SUM('MATRICULA-POS plan'!AK58)</f>
        <v>21</v>
      </c>
      <c r="AJ32" s="4558">
        <f>SUM('MATRICULA-POS plan'!AL58)</f>
        <v>22</v>
      </c>
      <c r="AK32" s="4559">
        <f>SUM('MATRICULA-POS plan'!AM58)</f>
        <v>20</v>
      </c>
      <c r="AL32" s="4560">
        <f>SUM('MATRICULA-POS plan'!AN58)</f>
        <v>31</v>
      </c>
      <c r="AM32" s="4558">
        <f>SUM('MATRICULA-POS plan'!AO58)</f>
        <v>25</v>
      </c>
      <c r="AN32" s="4559">
        <f>SUM('MATRICULA-POS plan'!AP58)</f>
        <v>25</v>
      </c>
      <c r="AO32" s="4560">
        <f>SUM('MATRICULA-POS plan'!AQ58)</f>
        <v>34</v>
      </c>
      <c r="AP32" s="4558">
        <f>SUM('MATRICULA-POS plan'!AR58)</f>
        <v>30</v>
      </c>
      <c r="AQ32" s="4559">
        <f>SUM('MATRICULA-POS plan'!AS58)</f>
        <v>26</v>
      </c>
      <c r="AR32" s="4560">
        <f>SUM('MATRICULA-POS plan'!AT58)</f>
        <v>34</v>
      </c>
      <c r="AS32" s="4558">
        <f>SUM('MATRICULA-POS plan'!AU58)</f>
        <v>27</v>
      </c>
      <c r="AT32" s="4559">
        <f>SUM('MATRICULA-POS plan'!AV58)</f>
        <v>31</v>
      </c>
      <c r="AU32" s="4560">
        <f>SUM('MATRICULA-POS plan'!AW58)</f>
        <v>35</v>
      </c>
    </row>
    <row r="33" spans="1:47" s="224" customFormat="1" ht="12.95" customHeight="1" x14ac:dyDescent="0.2">
      <c r="A33" s="6229"/>
      <c r="B33" s="4561" t="s">
        <v>617</v>
      </c>
      <c r="C33" s="4562"/>
      <c r="D33" s="4563"/>
      <c r="E33" s="4563"/>
      <c r="F33" s="4562"/>
      <c r="G33" s="4563"/>
      <c r="H33" s="4563"/>
      <c r="I33" s="4562"/>
      <c r="J33" s="4563"/>
      <c r="K33" s="4563"/>
      <c r="L33" s="4562"/>
      <c r="M33" s="4563"/>
      <c r="N33" s="4564"/>
      <c r="O33" s="4563"/>
      <c r="P33" s="4563"/>
      <c r="Q33" s="4564"/>
      <c r="R33" s="4562"/>
      <c r="S33" s="4563"/>
      <c r="T33" s="4564"/>
      <c r="U33" s="4562"/>
      <c r="V33" s="4563"/>
      <c r="W33" s="4564"/>
      <c r="X33" s="4562"/>
      <c r="Y33" s="4563"/>
      <c r="Z33" s="4564"/>
      <c r="AA33" s="4562"/>
      <c r="AB33" s="4563"/>
      <c r="AC33" s="4564"/>
      <c r="AD33" s="4562"/>
      <c r="AE33" s="4563">
        <f>SUM('MATRICULA-POS plan'!AG59)</f>
        <v>2</v>
      </c>
      <c r="AF33" s="4564">
        <f>SUM('MATRICULA-POS plan'!AH59)</f>
        <v>7</v>
      </c>
      <c r="AG33" s="4562">
        <f>SUM('MATRICULA-POS plan'!AI59)</f>
        <v>9</v>
      </c>
      <c r="AH33" s="4563">
        <f>SUM('MATRICULA-POS plan'!AJ59)</f>
        <v>11</v>
      </c>
      <c r="AI33" s="4564">
        <f>SUM('MATRICULA-POS plan'!AK59)</f>
        <v>13</v>
      </c>
      <c r="AJ33" s="4562">
        <f>SUM('MATRICULA-POS plan'!AL59)</f>
        <v>15</v>
      </c>
      <c r="AK33" s="4563">
        <f>SUM('MATRICULA-POS plan'!AM59)</f>
        <v>19</v>
      </c>
      <c r="AL33" s="4564">
        <f>SUM('MATRICULA-POS plan'!AN59)</f>
        <v>21</v>
      </c>
      <c r="AM33" s="4562">
        <f>SUM('MATRICULA-POS plan'!AO59)</f>
        <v>24</v>
      </c>
      <c r="AN33" s="4563">
        <f>SUM('MATRICULA-POS plan'!AP59)</f>
        <v>26</v>
      </c>
      <c r="AO33" s="4564">
        <f>SUM('MATRICULA-POS plan'!AQ59)</f>
        <v>31</v>
      </c>
      <c r="AP33" s="4562">
        <f>SUM('MATRICULA-POS plan'!AR59:AR60)</f>
        <v>30</v>
      </c>
      <c r="AQ33" s="4563">
        <f>SUM('MATRICULA-POS plan'!AS59:AS60)</f>
        <v>33</v>
      </c>
      <c r="AR33" s="4564">
        <f>SUM('MATRICULA-POS plan'!AT59:AT60)</f>
        <v>34</v>
      </c>
      <c r="AS33" s="4562">
        <f>SUM('MATRICULA-POS plan'!AU59:AU60)</f>
        <v>29</v>
      </c>
      <c r="AT33" s="4563">
        <f>SUM('MATRICULA-POS plan'!AV59:AV60)</f>
        <v>37</v>
      </c>
      <c r="AU33" s="4564">
        <f>SUM('MATRICULA-POS plan'!AW59:AW60)</f>
        <v>37</v>
      </c>
    </row>
    <row r="34" spans="1:47" s="224" customFormat="1" ht="12.95" customHeight="1" x14ac:dyDescent="0.2">
      <c r="A34" s="6230"/>
      <c r="B34" s="574" t="s">
        <v>418</v>
      </c>
      <c r="C34" s="575"/>
      <c r="D34" s="576"/>
      <c r="E34" s="576"/>
      <c r="F34" s="575"/>
      <c r="G34" s="576"/>
      <c r="H34" s="576"/>
      <c r="I34" s="575"/>
      <c r="J34" s="576"/>
      <c r="K34" s="576"/>
      <c r="L34" s="575"/>
      <c r="M34" s="576"/>
      <c r="N34" s="577"/>
      <c r="O34" s="576"/>
      <c r="P34" s="576"/>
      <c r="Q34" s="577"/>
      <c r="R34" s="575"/>
      <c r="S34" s="576"/>
      <c r="T34" s="577"/>
      <c r="U34" s="575"/>
      <c r="V34" s="576"/>
      <c r="W34" s="577"/>
      <c r="X34" s="575"/>
      <c r="Y34" s="576"/>
      <c r="Z34" s="577"/>
      <c r="AA34" s="575"/>
      <c r="AB34" s="576"/>
      <c r="AC34" s="577"/>
      <c r="AD34" s="575"/>
      <c r="AE34" s="576">
        <f t="shared" ref="AE34:AL34" si="19">SUM(AE31:AE33)</f>
        <v>4</v>
      </c>
      <c r="AF34" s="577">
        <f t="shared" si="19"/>
        <v>19</v>
      </c>
      <c r="AG34" s="575">
        <f t="shared" si="19"/>
        <v>22</v>
      </c>
      <c r="AH34" s="576">
        <f t="shared" si="19"/>
        <v>21</v>
      </c>
      <c r="AI34" s="577">
        <f t="shared" si="19"/>
        <v>35</v>
      </c>
      <c r="AJ34" s="575">
        <f t="shared" si="19"/>
        <v>40</v>
      </c>
      <c r="AK34" s="576">
        <f t="shared" si="19"/>
        <v>42</v>
      </c>
      <c r="AL34" s="577">
        <f t="shared" si="19"/>
        <v>54</v>
      </c>
      <c r="AM34" s="575">
        <f t="shared" ref="AM34:AR34" si="20">SUM(AM31:AM33)</f>
        <v>52</v>
      </c>
      <c r="AN34" s="576">
        <f t="shared" si="20"/>
        <v>56</v>
      </c>
      <c r="AO34" s="577">
        <f t="shared" si="20"/>
        <v>73</v>
      </c>
      <c r="AP34" s="575">
        <f t="shared" si="20"/>
        <v>66</v>
      </c>
      <c r="AQ34" s="576">
        <f t="shared" si="20"/>
        <v>65</v>
      </c>
      <c r="AR34" s="577">
        <f t="shared" si="20"/>
        <v>73</v>
      </c>
      <c r="AS34" s="575">
        <f>SUM(AS31:AS33)</f>
        <v>61</v>
      </c>
      <c r="AT34" s="576">
        <f>SUM(AT31:AT33)</f>
        <v>72</v>
      </c>
      <c r="AU34" s="577">
        <f>SUM(AU31:AU33)</f>
        <v>74</v>
      </c>
    </row>
    <row r="35" spans="1:47" s="224" customFormat="1" ht="12.95" customHeight="1" x14ac:dyDescent="0.2">
      <c r="A35" s="6348" t="s">
        <v>678</v>
      </c>
      <c r="B35" s="4553" t="s">
        <v>615</v>
      </c>
      <c r="C35" s="4554"/>
      <c r="D35" s="4555"/>
      <c r="E35" s="4555"/>
      <c r="F35" s="4554"/>
      <c r="G35" s="4555"/>
      <c r="H35" s="4555"/>
      <c r="I35" s="4554"/>
      <c r="J35" s="4555"/>
      <c r="K35" s="4555"/>
      <c r="L35" s="4554"/>
      <c r="M35" s="4555"/>
      <c r="N35" s="4556"/>
      <c r="O35" s="4555"/>
      <c r="P35" s="4555"/>
      <c r="Q35" s="4556"/>
      <c r="R35" s="4554"/>
      <c r="S35" s="4555"/>
      <c r="T35" s="4556"/>
      <c r="U35" s="4554"/>
      <c r="V35" s="4555"/>
      <c r="W35" s="4556"/>
      <c r="X35" s="4554"/>
      <c r="Y35" s="4555"/>
      <c r="Z35" s="4556"/>
      <c r="AA35" s="4554"/>
      <c r="AB35" s="4555"/>
      <c r="AC35" s="4556"/>
      <c r="AD35" s="4554">
        <f>SUM(AD23,AD27,AD31)</f>
        <v>0</v>
      </c>
      <c r="AE35" s="4555">
        <f t="shared" ref="AE35:AI37" si="21">SUM(AE23,AE27,AE31)</f>
        <v>2</v>
      </c>
      <c r="AF35" s="4556">
        <f t="shared" si="21"/>
        <v>3</v>
      </c>
      <c r="AG35" s="4554">
        <f t="shared" si="21"/>
        <v>4</v>
      </c>
      <c r="AH35" s="4555">
        <f t="shared" si="21"/>
        <v>2</v>
      </c>
      <c r="AI35" s="4556">
        <f t="shared" si="21"/>
        <v>1</v>
      </c>
      <c r="AJ35" s="4554">
        <f t="shared" ref="AJ35:AL37" si="22">SUM(AJ23,AJ27,AJ31)</f>
        <v>3</v>
      </c>
      <c r="AK35" s="4555">
        <f t="shared" si="22"/>
        <v>3</v>
      </c>
      <c r="AL35" s="4556">
        <f t="shared" si="22"/>
        <v>2</v>
      </c>
      <c r="AM35" s="4554">
        <f t="shared" ref="AM35:AR37" si="23">SUM(AM23,AM27,AM31)</f>
        <v>3</v>
      </c>
      <c r="AN35" s="4555">
        <f t="shared" si="23"/>
        <v>5</v>
      </c>
      <c r="AO35" s="4556">
        <f t="shared" si="23"/>
        <v>8</v>
      </c>
      <c r="AP35" s="4554">
        <f t="shared" si="23"/>
        <v>6</v>
      </c>
      <c r="AQ35" s="4555">
        <f t="shared" si="23"/>
        <v>6</v>
      </c>
      <c r="AR35" s="4556">
        <f t="shared" si="23"/>
        <v>5</v>
      </c>
      <c r="AS35" s="4554">
        <f t="shared" ref="AS35:AU37" si="24">SUM(AS23,AS27,AS31)</f>
        <v>5</v>
      </c>
      <c r="AT35" s="4555">
        <f t="shared" si="24"/>
        <v>4</v>
      </c>
      <c r="AU35" s="4556">
        <f t="shared" si="24"/>
        <v>2</v>
      </c>
    </row>
    <row r="36" spans="1:47" s="224" customFormat="1" ht="12.95" customHeight="1" x14ac:dyDescent="0.2">
      <c r="A36" s="6349"/>
      <c r="B36" s="4557" t="s">
        <v>616</v>
      </c>
      <c r="C36" s="4558"/>
      <c r="D36" s="4559"/>
      <c r="E36" s="4559"/>
      <c r="F36" s="4558"/>
      <c r="G36" s="4559"/>
      <c r="H36" s="4559"/>
      <c r="I36" s="4558"/>
      <c r="J36" s="4559"/>
      <c r="K36" s="4559"/>
      <c r="L36" s="4558"/>
      <c r="M36" s="4559"/>
      <c r="N36" s="4560"/>
      <c r="O36" s="4559"/>
      <c r="P36" s="4559"/>
      <c r="Q36" s="4560"/>
      <c r="R36" s="4558"/>
      <c r="S36" s="4559"/>
      <c r="T36" s="4560"/>
      <c r="U36" s="4558"/>
      <c r="V36" s="4559"/>
      <c r="W36" s="4560"/>
      <c r="X36" s="4558"/>
      <c r="Y36" s="4559"/>
      <c r="Z36" s="4560"/>
      <c r="AA36" s="4558">
        <f>SUM(AA24,AA28,AA32)</f>
        <v>20</v>
      </c>
      <c r="AB36" s="4559">
        <f t="shared" ref="AB36:AD37" si="25">SUM(AB24,AB28,AB32)</f>
        <v>19</v>
      </c>
      <c r="AC36" s="4560">
        <f t="shared" si="25"/>
        <v>18</v>
      </c>
      <c r="AD36" s="4558">
        <f t="shared" si="25"/>
        <v>31</v>
      </c>
      <c r="AE36" s="4559">
        <f t="shared" si="21"/>
        <v>28</v>
      </c>
      <c r="AF36" s="4560">
        <f t="shared" si="21"/>
        <v>49</v>
      </c>
      <c r="AG36" s="4558">
        <f t="shared" si="21"/>
        <v>60</v>
      </c>
      <c r="AH36" s="4559">
        <f t="shared" si="21"/>
        <v>56</v>
      </c>
      <c r="AI36" s="4560">
        <f t="shared" si="21"/>
        <v>74</v>
      </c>
      <c r="AJ36" s="4558">
        <f t="shared" si="22"/>
        <v>65</v>
      </c>
      <c r="AK36" s="4559">
        <f t="shared" si="22"/>
        <v>62</v>
      </c>
      <c r="AL36" s="4560">
        <f t="shared" si="22"/>
        <v>96</v>
      </c>
      <c r="AM36" s="4558">
        <f t="shared" ref="AM36:AO37" si="26">SUM(AM24,AM28,AM32)</f>
        <v>72</v>
      </c>
      <c r="AN36" s="4559">
        <f t="shared" si="26"/>
        <v>71</v>
      </c>
      <c r="AO36" s="4560">
        <f t="shared" si="26"/>
        <v>108</v>
      </c>
      <c r="AP36" s="4558">
        <f t="shared" si="23"/>
        <v>101</v>
      </c>
      <c r="AQ36" s="4559">
        <f t="shared" si="23"/>
        <v>97</v>
      </c>
      <c r="AR36" s="4560">
        <f t="shared" si="23"/>
        <v>123</v>
      </c>
      <c r="AS36" s="4558">
        <f t="shared" si="24"/>
        <v>96</v>
      </c>
      <c r="AT36" s="4559">
        <f t="shared" si="24"/>
        <v>97</v>
      </c>
      <c r="AU36" s="4560">
        <f t="shared" si="24"/>
        <v>122</v>
      </c>
    </row>
    <row r="37" spans="1:47" s="224" customFormat="1" ht="12.95" customHeight="1" x14ac:dyDescent="0.2">
      <c r="A37" s="6349"/>
      <c r="B37" s="4561" t="s">
        <v>617</v>
      </c>
      <c r="C37" s="4562"/>
      <c r="D37" s="4563"/>
      <c r="E37" s="4563"/>
      <c r="F37" s="4562"/>
      <c r="G37" s="4563"/>
      <c r="H37" s="4563"/>
      <c r="I37" s="4562"/>
      <c r="J37" s="4563"/>
      <c r="K37" s="4563"/>
      <c r="L37" s="4562"/>
      <c r="M37" s="4563"/>
      <c r="N37" s="4564"/>
      <c r="O37" s="4563"/>
      <c r="P37" s="4563"/>
      <c r="Q37" s="4564"/>
      <c r="R37" s="4562"/>
      <c r="S37" s="4563"/>
      <c r="T37" s="4564"/>
      <c r="U37" s="4562"/>
      <c r="V37" s="4563"/>
      <c r="W37" s="4564"/>
      <c r="X37" s="4562"/>
      <c r="Y37" s="4563"/>
      <c r="Z37" s="4564"/>
      <c r="AA37" s="4562">
        <f>SUM(AA25,AA29,AA33)</f>
        <v>12</v>
      </c>
      <c r="AB37" s="4563">
        <f t="shared" si="25"/>
        <v>12</v>
      </c>
      <c r="AC37" s="4564">
        <f t="shared" si="25"/>
        <v>12</v>
      </c>
      <c r="AD37" s="4562">
        <f t="shared" si="25"/>
        <v>22</v>
      </c>
      <c r="AE37" s="4563">
        <f t="shared" si="21"/>
        <v>23</v>
      </c>
      <c r="AF37" s="4564">
        <f t="shared" si="21"/>
        <v>28</v>
      </c>
      <c r="AG37" s="4562">
        <f t="shared" si="21"/>
        <v>28</v>
      </c>
      <c r="AH37" s="4563">
        <f t="shared" si="21"/>
        <v>29</v>
      </c>
      <c r="AI37" s="4564">
        <f t="shared" si="21"/>
        <v>48</v>
      </c>
      <c r="AJ37" s="4562">
        <f t="shared" si="22"/>
        <v>39</v>
      </c>
      <c r="AK37" s="4563">
        <f t="shared" si="22"/>
        <v>44</v>
      </c>
      <c r="AL37" s="4564">
        <f t="shared" si="22"/>
        <v>62</v>
      </c>
      <c r="AM37" s="4562">
        <f t="shared" si="26"/>
        <v>60</v>
      </c>
      <c r="AN37" s="4563">
        <f t="shared" si="26"/>
        <v>62</v>
      </c>
      <c r="AO37" s="4564">
        <f t="shared" si="26"/>
        <v>85</v>
      </c>
      <c r="AP37" s="4562">
        <f>SUM(AP25,AP29,AP33)</f>
        <v>82</v>
      </c>
      <c r="AQ37" s="4563">
        <f t="shared" si="23"/>
        <v>84</v>
      </c>
      <c r="AR37" s="4564">
        <f t="shared" si="23"/>
        <v>82</v>
      </c>
      <c r="AS37" s="4562">
        <f t="shared" si="24"/>
        <v>75</v>
      </c>
      <c r="AT37" s="4563">
        <f t="shared" si="24"/>
        <v>83</v>
      </c>
      <c r="AU37" s="4564">
        <f t="shared" si="24"/>
        <v>85</v>
      </c>
    </row>
    <row r="38" spans="1:47" s="224" customFormat="1" ht="12.95" customHeight="1" x14ac:dyDescent="0.2">
      <c r="A38" s="6350"/>
      <c r="B38" s="2432" t="s">
        <v>12</v>
      </c>
      <c r="C38" s="2411"/>
      <c r="D38" s="2412"/>
      <c r="E38" s="2412"/>
      <c r="F38" s="2411"/>
      <c r="G38" s="2412"/>
      <c r="H38" s="2412"/>
      <c r="I38" s="2411"/>
      <c r="J38" s="2412"/>
      <c r="K38" s="2412"/>
      <c r="L38" s="2411"/>
      <c r="M38" s="2412"/>
      <c r="N38" s="2413"/>
      <c r="O38" s="2412"/>
      <c r="P38" s="2412"/>
      <c r="Q38" s="2413"/>
      <c r="R38" s="2411"/>
      <c r="S38" s="2412"/>
      <c r="T38" s="2413"/>
      <c r="U38" s="2411"/>
      <c r="V38" s="2412"/>
      <c r="W38" s="2413"/>
      <c r="X38" s="2411"/>
      <c r="Y38" s="2412"/>
      <c r="Z38" s="2413"/>
      <c r="AA38" s="2411">
        <f>SUM(AA36:AA37)</f>
        <v>32</v>
      </c>
      <c r="AB38" s="2412">
        <f>SUM(AB36:AB37)</f>
        <v>31</v>
      </c>
      <c r="AC38" s="2413">
        <f>SUM(AC36:AC37)</f>
        <v>30</v>
      </c>
      <c r="AD38" s="2411">
        <f t="shared" ref="AD38:AI38" si="27">SUM(AD35:AD37)</f>
        <v>53</v>
      </c>
      <c r="AE38" s="2412">
        <f t="shared" si="27"/>
        <v>53</v>
      </c>
      <c r="AF38" s="2413">
        <f t="shared" si="27"/>
        <v>80</v>
      </c>
      <c r="AG38" s="2411">
        <f t="shared" si="27"/>
        <v>92</v>
      </c>
      <c r="AH38" s="2412">
        <f t="shared" si="27"/>
        <v>87</v>
      </c>
      <c r="AI38" s="2413">
        <f t="shared" si="27"/>
        <v>123</v>
      </c>
      <c r="AJ38" s="2411">
        <f t="shared" ref="AJ38:AR38" si="28">SUM(AJ35:AJ37)</f>
        <v>107</v>
      </c>
      <c r="AK38" s="2412">
        <f t="shared" si="28"/>
        <v>109</v>
      </c>
      <c r="AL38" s="2413">
        <f t="shared" si="28"/>
        <v>160</v>
      </c>
      <c r="AM38" s="2411">
        <f t="shared" si="28"/>
        <v>135</v>
      </c>
      <c r="AN38" s="2412">
        <f t="shared" si="28"/>
        <v>138</v>
      </c>
      <c r="AO38" s="2413">
        <f t="shared" si="28"/>
        <v>201</v>
      </c>
      <c r="AP38" s="4381">
        <f t="shared" si="28"/>
        <v>189</v>
      </c>
      <c r="AQ38" s="4380">
        <f t="shared" si="28"/>
        <v>187</v>
      </c>
      <c r="AR38" s="4382">
        <f t="shared" si="28"/>
        <v>210</v>
      </c>
      <c r="AS38" s="4381">
        <f>SUM(AS35:AS37)</f>
        <v>176</v>
      </c>
      <c r="AT38" s="4380">
        <f>SUM(AT35:AT37)</f>
        <v>184</v>
      </c>
      <c r="AU38" s="4382">
        <f>SUM(AU35:AU37)</f>
        <v>209</v>
      </c>
    </row>
    <row r="39" spans="1:47" ht="12.95" customHeight="1" x14ac:dyDescent="0.2">
      <c r="A39" s="262"/>
      <c r="B39" s="262"/>
      <c r="C39" s="262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  <c r="P39" s="262"/>
      <c r="Q39" s="262"/>
      <c r="R39" s="262"/>
      <c r="S39" s="262"/>
      <c r="T39" s="262"/>
      <c r="U39" s="262"/>
      <c r="V39" s="262"/>
      <c r="W39" s="262"/>
      <c r="X39" s="262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62"/>
      <c r="AL39" s="262"/>
      <c r="AM39" s="262"/>
      <c r="AN39" s="262"/>
      <c r="AO39" s="262"/>
      <c r="AP39" s="262"/>
      <c r="AQ39" s="262"/>
      <c r="AR39" s="262"/>
      <c r="AS39" s="262"/>
      <c r="AT39" s="262"/>
      <c r="AU39" s="262"/>
    </row>
    <row r="40" spans="1:47" ht="12.95" customHeight="1" x14ac:dyDescent="0.2">
      <c r="A40" s="6218" t="s">
        <v>5</v>
      </c>
      <c r="B40" s="4553" t="s">
        <v>615</v>
      </c>
      <c r="C40" s="4554"/>
      <c r="D40" s="4555"/>
      <c r="E40" s="4555"/>
      <c r="F40" s="4554"/>
      <c r="G40" s="4555"/>
      <c r="H40" s="4555"/>
      <c r="I40" s="4554"/>
      <c r="J40" s="4555"/>
      <c r="K40" s="4555"/>
      <c r="L40" s="4554"/>
      <c r="M40" s="4555"/>
      <c r="N40" s="4556"/>
      <c r="O40" s="4555"/>
      <c r="P40" s="4555"/>
      <c r="Q40" s="4556"/>
      <c r="R40" s="4554"/>
      <c r="S40" s="4555"/>
      <c r="T40" s="4556"/>
      <c r="U40" s="4554"/>
      <c r="V40" s="4555"/>
      <c r="W40" s="4556"/>
      <c r="X40" s="4554"/>
      <c r="Y40" s="4555"/>
      <c r="Z40" s="4556"/>
      <c r="AA40" s="4554"/>
      <c r="AB40" s="4555"/>
      <c r="AC40" s="4556"/>
      <c r="AD40" s="4554"/>
      <c r="AE40" s="4555"/>
      <c r="AF40" s="4556"/>
      <c r="AG40" s="4554"/>
      <c r="AH40" s="4555"/>
      <c r="AI40" s="4556"/>
      <c r="AJ40" s="4554"/>
      <c r="AK40" s="4555"/>
      <c r="AL40" s="4556"/>
      <c r="AM40" s="4554"/>
      <c r="AN40" s="4555"/>
      <c r="AO40" s="4556"/>
      <c r="AP40" s="4554"/>
      <c r="AQ40" s="4555">
        <f>SUM('MATRICULA-POS plan'!AS63)</f>
        <v>1</v>
      </c>
      <c r="AR40" s="4556">
        <f>SUM('MATRICULA-POS plan'!AT63)</f>
        <v>2</v>
      </c>
      <c r="AS40" s="4554">
        <f>SUM('MATRICULA-POS plan'!AU63)</f>
        <v>2</v>
      </c>
      <c r="AT40" s="4555">
        <f>SUM('MATRICULA-POS plan'!AV63)</f>
        <v>4</v>
      </c>
      <c r="AU40" s="4556">
        <f>SUM('MATRICULA-POS plan'!AW63)</f>
        <v>4</v>
      </c>
    </row>
    <row r="41" spans="1:47" ht="12.95" customHeight="1" x14ac:dyDescent="0.2">
      <c r="A41" s="6219"/>
      <c r="B41" s="4557" t="s">
        <v>616</v>
      </c>
      <c r="C41" s="4558">
        <f>SUM('MATRICULA-POS plan'!E64:E70)</f>
        <v>52</v>
      </c>
      <c r="D41" s="4559">
        <f>SUM('MATRICULA-POS plan'!F64:F70)</f>
        <v>51</v>
      </c>
      <c r="E41" s="4559">
        <f>SUM('MATRICULA-POS plan'!G64:G70)</f>
        <v>72</v>
      </c>
      <c r="F41" s="4558">
        <f>SUM('MATRICULA-POS plan'!H64:H70)</f>
        <v>67</v>
      </c>
      <c r="G41" s="4559">
        <f>SUM('MATRICULA-POS plan'!I64:I70)</f>
        <v>68</v>
      </c>
      <c r="H41" s="4559">
        <f>SUM('MATRICULA-POS plan'!J64:J70)</f>
        <v>87</v>
      </c>
      <c r="I41" s="4558">
        <f>SUM('MATRICULA-POS plan'!K64:K70)</f>
        <v>94</v>
      </c>
      <c r="J41" s="4559">
        <f>SUM('MATRICULA-POS plan'!L64:L70)</f>
        <v>97</v>
      </c>
      <c r="K41" s="4559">
        <f>SUM('MATRICULA-POS plan'!M64:M70)</f>
        <v>128</v>
      </c>
      <c r="L41" s="4558">
        <f>SUM('MATRICULA-POS plan'!N64:N70)</f>
        <v>122</v>
      </c>
      <c r="M41" s="4559">
        <f>SUM('MATRICULA-POS plan'!O64:O70)</f>
        <v>128</v>
      </c>
      <c r="N41" s="4560">
        <f>SUM('MATRICULA-POS plan'!P64:P70)</f>
        <v>162</v>
      </c>
      <c r="O41" s="4559">
        <f>SUM('MATRICULA-POS plan'!Q64:Q70)</f>
        <v>208</v>
      </c>
      <c r="P41" s="4559">
        <f>SUM('MATRICULA-POS plan'!R64:R70)</f>
        <v>151</v>
      </c>
      <c r="Q41" s="4560">
        <f>SUM('MATRICULA-POS plan'!S64:S70)</f>
        <v>155</v>
      </c>
      <c r="R41" s="4558">
        <f>SUM('MATRICULA-POS plan'!T64:T70)</f>
        <v>151</v>
      </c>
      <c r="S41" s="4559">
        <f>SUM('MATRICULA-POS plan'!U64:U70)</f>
        <v>138</v>
      </c>
      <c r="T41" s="4560">
        <f>SUM('MATRICULA-POS plan'!V64:V70)</f>
        <v>164</v>
      </c>
      <c r="U41" s="4558">
        <f>SUM('MATRICULA-POS plan'!W64:W70)</f>
        <v>143</v>
      </c>
      <c r="V41" s="4559">
        <f>SUM('MATRICULA-POS plan'!X64:X70)</f>
        <v>134</v>
      </c>
      <c r="W41" s="4560">
        <f>SUM('MATRICULA-POS plan'!Y64:Y70)</f>
        <v>166</v>
      </c>
      <c r="X41" s="4558">
        <f>SUM('MATRICULA-POS plan'!Z64:Z70)</f>
        <v>158</v>
      </c>
      <c r="Y41" s="4559">
        <f>SUM('MATRICULA-POS plan'!AA64:AA70)</f>
        <v>154</v>
      </c>
      <c r="Z41" s="4560">
        <f>SUM('MATRICULA-POS plan'!AB64:AB70)</f>
        <v>181</v>
      </c>
      <c r="AA41" s="4558">
        <f>SUM('MATRICULA-POS plan'!AC64:AC70)</f>
        <v>260</v>
      </c>
      <c r="AB41" s="4559">
        <f>SUM('MATRICULA-POS plan'!AD64:AD70)</f>
        <v>249</v>
      </c>
      <c r="AC41" s="4560">
        <f>SUM('MATRICULA-POS plan'!AE64:AE70)</f>
        <v>287</v>
      </c>
      <c r="AD41" s="4558">
        <f>SUM('MATRICULA-POS plan'!AF64:AF70)</f>
        <v>284</v>
      </c>
      <c r="AE41" s="4559">
        <f>SUM('MATRICULA-POS plan'!AG64:AG70)</f>
        <v>270</v>
      </c>
      <c r="AF41" s="4560">
        <f>SUM('MATRICULA-POS plan'!AH64:AH70)</f>
        <v>295</v>
      </c>
      <c r="AG41" s="4558">
        <f>SUM('MATRICULA-POS plan'!AI64:AI70)</f>
        <v>309</v>
      </c>
      <c r="AH41" s="4559">
        <f>SUM('MATRICULA-POS plan'!AJ64:AJ70)</f>
        <v>315</v>
      </c>
      <c r="AI41" s="4560">
        <f>SUM('MATRICULA-POS plan'!AK64:AK70)</f>
        <v>317</v>
      </c>
      <c r="AJ41" s="4558">
        <f>SUM('MATRICULA-POS plan'!AL64:AL70)</f>
        <v>302</v>
      </c>
      <c r="AK41" s="4559">
        <f>SUM('MATRICULA-POS plan'!AM64:AM70)</f>
        <v>275</v>
      </c>
      <c r="AL41" s="4560">
        <f>SUM('MATRICULA-POS plan'!AN64:AN70)</f>
        <v>316</v>
      </c>
      <c r="AM41" s="4558">
        <f>SUM('MATRICULA-POS plan'!AO64:AO70)</f>
        <v>289</v>
      </c>
      <c r="AN41" s="4559">
        <f>SUM('MATRICULA-POS plan'!AP64:AP70)</f>
        <v>302</v>
      </c>
      <c r="AO41" s="4560">
        <f>SUM('MATRICULA-POS plan'!AQ64:AQ70)</f>
        <v>327</v>
      </c>
      <c r="AP41" s="4558">
        <f>SUM('MATRICULA-POS plan'!AR64:AR70)</f>
        <v>324</v>
      </c>
      <c r="AQ41" s="4559">
        <f>SUM('MATRICULA-POS plan'!AS64:AS70)</f>
        <v>309</v>
      </c>
      <c r="AR41" s="4560">
        <f>SUM('MATRICULA-POS plan'!AT64:AT70)</f>
        <v>321</v>
      </c>
      <c r="AS41" s="4558">
        <f>SUM('MATRICULA-POS plan'!AU64:AU70)</f>
        <v>321</v>
      </c>
      <c r="AT41" s="4559">
        <f>SUM('MATRICULA-POS plan'!AV64:AV70)</f>
        <v>317</v>
      </c>
      <c r="AU41" s="4560">
        <f>SUM('MATRICULA-POS plan'!AW64:AW70)</f>
        <v>307</v>
      </c>
    </row>
    <row r="42" spans="1:47" ht="12.95" customHeight="1" x14ac:dyDescent="0.2">
      <c r="A42" s="6219"/>
      <c r="B42" s="4561" t="s">
        <v>617</v>
      </c>
      <c r="C42" s="4562">
        <f>SUM('MATRICULA-POS plan'!E71:E78)</f>
        <v>227</v>
      </c>
      <c r="D42" s="4563">
        <f>SUM('MATRICULA-POS plan'!F71:F78)</f>
        <v>221</v>
      </c>
      <c r="E42" s="4563">
        <f>SUM('MATRICULA-POS plan'!G71:G78)</f>
        <v>218</v>
      </c>
      <c r="F42" s="4562">
        <f>SUM('MATRICULA-POS plan'!H71:H78)</f>
        <v>214</v>
      </c>
      <c r="G42" s="4563">
        <f>SUM('MATRICULA-POS plan'!I71:I78)</f>
        <v>208</v>
      </c>
      <c r="H42" s="4563">
        <f>SUM('MATRICULA-POS plan'!J71:J78)</f>
        <v>212</v>
      </c>
      <c r="I42" s="4562">
        <f>SUM('MATRICULA-POS plan'!K71:K78)</f>
        <v>212</v>
      </c>
      <c r="J42" s="4563">
        <f>SUM('MATRICULA-POS plan'!L71:L78)</f>
        <v>217</v>
      </c>
      <c r="K42" s="4563">
        <f>SUM('MATRICULA-POS plan'!M71:M78)</f>
        <v>217</v>
      </c>
      <c r="L42" s="4562">
        <f>SUM('MATRICULA-POS plan'!N71:N78)</f>
        <v>223</v>
      </c>
      <c r="M42" s="4563">
        <f>SUM('MATRICULA-POS plan'!O71:O78)</f>
        <v>216</v>
      </c>
      <c r="N42" s="4564">
        <f>SUM('MATRICULA-POS plan'!P71:P78)</f>
        <v>217</v>
      </c>
      <c r="O42" s="4563">
        <f>SUM('MATRICULA-POS plan'!Q71:Q78)</f>
        <v>171</v>
      </c>
      <c r="P42" s="4563">
        <f>SUM('MATRICULA-POS plan'!R71:R78)</f>
        <v>208</v>
      </c>
      <c r="Q42" s="4564">
        <f>SUM('MATRICULA-POS plan'!S71:S78)</f>
        <v>201</v>
      </c>
      <c r="R42" s="4562">
        <f>SUM('MATRICULA-POS plan'!T71:T78)</f>
        <v>200</v>
      </c>
      <c r="S42" s="4563">
        <f>SUM('MATRICULA-POS plan'!U71:U78)</f>
        <v>188</v>
      </c>
      <c r="T42" s="4564">
        <f>SUM('MATRICULA-POS plan'!V71:V78)</f>
        <v>194</v>
      </c>
      <c r="U42" s="4562">
        <f>SUM('MATRICULA-POS plan'!W71:W78)</f>
        <v>192</v>
      </c>
      <c r="V42" s="4563">
        <f>SUM('MATRICULA-POS plan'!X71:X78)</f>
        <v>191</v>
      </c>
      <c r="W42" s="4564">
        <f>SUM('MATRICULA-POS plan'!Y71:Y78)</f>
        <v>199</v>
      </c>
      <c r="X42" s="4562">
        <f>SUM('MATRICULA-POS plan'!Z71:Z78)</f>
        <v>207</v>
      </c>
      <c r="Y42" s="4563">
        <f>SUM('MATRICULA-POS plan'!AA71:AA78)</f>
        <v>199</v>
      </c>
      <c r="Z42" s="4564">
        <f>SUM('MATRICULA-POS plan'!AB71:AB78)</f>
        <v>203</v>
      </c>
      <c r="AA42" s="4562">
        <f>SUM('MATRICULA-POS plan'!AC71:AC78)</f>
        <v>211</v>
      </c>
      <c r="AB42" s="4563">
        <f>SUM('MATRICULA-POS plan'!AD71:AD78)</f>
        <v>172</v>
      </c>
      <c r="AC42" s="4564">
        <f>SUM('MATRICULA-POS plan'!AE71:AE78)</f>
        <v>211</v>
      </c>
      <c r="AD42" s="4562">
        <f>SUM('MATRICULA-POS plan'!AF71:AF78)</f>
        <v>216</v>
      </c>
      <c r="AE42" s="4563">
        <f>SUM('MATRICULA-POS plan'!AG71:AG78)</f>
        <v>214</v>
      </c>
      <c r="AF42" s="4564">
        <f>SUM('MATRICULA-POS plan'!AH71:AH78)</f>
        <v>156</v>
      </c>
      <c r="AG42" s="4562">
        <f>SUM('MATRICULA-POS plan'!AI71:AI78)</f>
        <v>242</v>
      </c>
      <c r="AH42" s="4563">
        <f>SUM('MATRICULA-POS plan'!AJ71:AJ78)</f>
        <v>253</v>
      </c>
      <c r="AI42" s="4564">
        <f>SUM('MATRICULA-POS plan'!AK71:AK78)</f>
        <v>258</v>
      </c>
      <c r="AJ42" s="4562">
        <f>SUM('MATRICULA-POS plan'!AL71:AL78)</f>
        <v>255</v>
      </c>
      <c r="AK42" s="4563">
        <f>SUM('MATRICULA-POS plan'!AM71:AM78)</f>
        <v>249</v>
      </c>
      <c r="AL42" s="4564">
        <f>SUM('MATRICULA-POS plan'!AN71:AN78)</f>
        <v>259</v>
      </c>
      <c r="AM42" s="4562">
        <f>SUM('MATRICULA-POS plan'!AO71:AO78)</f>
        <v>251</v>
      </c>
      <c r="AN42" s="4563">
        <f>SUM('MATRICULA-POS plan'!AP71:AP78)</f>
        <v>259</v>
      </c>
      <c r="AO42" s="4564">
        <f>SUM('MATRICULA-POS plan'!AQ71:AQ78)</f>
        <v>268</v>
      </c>
      <c r="AP42" s="4562">
        <f>SUM('MATRICULA-POS plan'!AR71:AR78)</f>
        <v>257</v>
      </c>
      <c r="AQ42" s="4563">
        <f>SUM('MATRICULA-POS plan'!AS71:AS78)</f>
        <v>239</v>
      </c>
      <c r="AR42" s="4564">
        <f>SUM('MATRICULA-POS plan'!AT71:AT78)</f>
        <v>228</v>
      </c>
      <c r="AS42" s="4562">
        <f>SUM('MATRICULA-POS plan'!AU71:AU77)</f>
        <v>221</v>
      </c>
      <c r="AT42" s="4563">
        <f>SUM('MATRICULA-POS plan'!AV71:AV77)</f>
        <v>216</v>
      </c>
      <c r="AU42" s="4564">
        <f>SUM('MATRICULA-POS plan'!AW71:AW78)</f>
        <v>212</v>
      </c>
    </row>
    <row r="43" spans="1:47" s="222" customFormat="1" ht="12.95" customHeight="1" x14ac:dyDescent="0.2">
      <c r="A43" s="6219"/>
      <c r="B43" s="574" t="s">
        <v>13</v>
      </c>
      <c r="C43" s="575">
        <v>279</v>
      </c>
      <c r="D43" s="576">
        <v>272</v>
      </c>
      <c r="E43" s="576">
        <v>290</v>
      </c>
      <c r="F43" s="575">
        <v>281</v>
      </c>
      <c r="G43" s="576">
        <v>276</v>
      </c>
      <c r="H43" s="576">
        <v>299</v>
      </c>
      <c r="I43" s="575">
        <v>306</v>
      </c>
      <c r="J43" s="576">
        <v>314</v>
      </c>
      <c r="K43" s="576">
        <v>345</v>
      </c>
      <c r="L43" s="575">
        <v>345</v>
      </c>
      <c r="M43" s="576">
        <v>344</v>
      </c>
      <c r="N43" s="577">
        <v>379</v>
      </c>
      <c r="O43" s="576">
        <v>379</v>
      </c>
      <c r="P43" s="576">
        <v>359</v>
      </c>
      <c r="Q43" s="577">
        <v>356</v>
      </c>
      <c r="R43" s="575">
        <v>351</v>
      </c>
      <c r="S43" s="576">
        <v>326</v>
      </c>
      <c r="T43" s="577">
        <v>358</v>
      </c>
      <c r="U43" s="575">
        <f t="shared" ref="U43:Z43" si="29">SUM(U40:U42)</f>
        <v>335</v>
      </c>
      <c r="V43" s="576">
        <f t="shared" si="29"/>
        <v>325</v>
      </c>
      <c r="W43" s="577">
        <f t="shared" si="29"/>
        <v>365</v>
      </c>
      <c r="X43" s="575">
        <f t="shared" si="29"/>
        <v>365</v>
      </c>
      <c r="Y43" s="576">
        <f t="shared" si="29"/>
        <v>353</v>
      </c>
      <c r="Z43" s="577">
        <f t="shared" si="29"/>
        <v>384</v>
      </c>
      <c r="AA43" s="575">
        <f>SUM(AA40:AA42)</f>
        <v>471</v>
      </c>
      <c r="AB43" s="576">
        <f>SUM(AB40:AB42)</f>
        <v>421</v>
      </c>
      <c r="AC43" s="577">
        <f>SUM(AC40:AC42)</f>
        <v>498</v>
      </c>
      <c r="AD43" s="575">
        <f>SUM(AD40:AD42)</f>
        <v>500</v>
      </c>
      <c r="AE43" s="576">
        <f t="shared" ref="AE43:AR43" si="30">SUM(AE40:AE42)</f>
        <v>484</v>
      </c>
      <c r="AF43" s="577">
        <f t="shared" si="30"/>
        <v>451</v>
      </c>
      <c r="AG43" s="575">
        <f t="shared" si="30"/>
        <v>551</v>
      </c>
      <c r="AH43" s="576">
        <f t="shared" si="30"/>
        <v>568</v>
      </c>
      <c r="AI43" s="577">
        <f t="shared" si="30"/>
        <v>575</v>
      </c>
      <c r="AJ43" s="575">
        <f t="shared" si="30"/>
        <v>557</v>
      </c>
      <c r="AK43" s="576">
        <f t="shared" si="30"/>
        <v>524</v>
      </c>
      <c r="AL43" s="577">
        <f t="shared" si="30"/>
        <v>575</v>
      </c>
      <c r="AM43" s="575">
        <f t="shared" si="30"/>
        <v>540</v>
      </c>
      <c r="AN43" s="576">
        <f t="shared" si="30"/>
        <v>561</v>
      </c>
      <c r="AO43" s="577">
        <f t="shared" si="30"/>
        <v>595</v>
      </c>
      <c r="AP43" s="575">
        <f t="shared" si="30"/>
        <v>581</v>
      </c>
      <c r="AQ43" s="576">
        <f t="shared" si="30"/>
        <v>549</v>
      </c>
      <c r="AR43" s="577">
        <f t="shared" si="30"/>
        <v>551</v>
      </c>
      <c r="AS43" s="575">
        <f>SUM(AS40:AS42)</f>
        <v>544</v>
      </c>
      <c r="AT43" s="576">
        <f>SUM(AT40:AT42)</f>
        <v>537</v>
      </c>
      <c r="AU43" s="577">
        <f>SUM(AU40:AU42)</f>
        <v>523</v>
      </c>
    </row>
    <row r="44" spans="1:47" ht="12.95" customHeight="1" x14ac:dyDescent="0.2">
      <c r="A44" s="6218" t="s">
        <v>6</v>
      </c>
      <c r="B44" s="4553" t="s">
        <v>615</v>
      </c>
      <c r="C44" s="4554">
        <f>SUM('MATRICULA-POS plan'!E80)</f>
        <v>6</v>
      </c>
      <c r="D44" s="4555">
        <f>SUM('MATRICULA-POS plan'!F80)</f>
        <v>5</v>
      </c>
      <c r="E44" s="4555">
        <f>SUM('MATRICULA-POS plan'!G80)</f>
        <v>44</v>
      </c>
      <c r="F44" s="4554">
        <f>SUM('MATRICULA-POS plan'!H80)</f>
        <v>41</v>
      </c>
      <c r="G44" s="4555">
        <f>SUM('MATRICULA-POS plan'!I80)</f>
        <v>32</v>
      </c>
      <c r="H44" s="4555">
        <f>SUM('MATRICULA-POS plan'!J80)</f>
        <v>76</v>
      </c>
      <c r="I44" s="4554">
        <f>SUM('MATRICULA-POS plan'!K80)</f>
        <v>73</v>
      </c>
      <c r="J44" s="4555">
        <f>SUM('MATRICULA-POS plan'!L80)</f>
        <v>65</v>
      </c>
      <c r="K44" s="4555">
        <f>SUM('MATRICULA-POS plan'!M80)</f>
        <v>1</v>
      </c>
      <c r="L44" s="4554">
        <f>SUM('MATRICULA-POS plan'!N80)</f>
        <v>86</v>
      </c>
      <c r="M44" s="4555">
        <f>SUM('MATRICULA-POS plan'!O80)</f>
        <v>82</v>
      </c>
      <c r="N44" s="4556">
        <f>SUM('MATRICULA-POS plan'!P80)</f>
        <v>68</v>
      </c>
      <c r="O44" s="4555">
        <f>SUM('MATRICULA-POS plan'!Q80)</f>
        <v>90</v>
      </c>
      <c r="P44" s="4555">
        <f>SUM('MATRICULA-POS plan'!R80)</f>
        <v>81</v>
      </c>
      <c r="Q44" s="4556">
        <f>SUM('MATRICULA-POS plan'!S80)</f>
        <v>100</v>
      </c>
      <c r="R44" s="4554">
        <f>SUM('MATRICULA-POS plan'!T80)</f>
        <v>102</v>
      </c>
      <c r="S44" s="4555">
        <f>SUM('MATRICULA-POS plan'!U80)</f>
        <v>89</v>
      </c>
      <c r="T44" s="4556">
        <f>SUM('MATRICULA-POS plan'!V80)</f>
        <v>85</v>
      </c>
      <c r="U44" s="4554">
        <f>SUM('MATRICULA-POS plan'!W80)</f>
        <v>0</v>
      </c>
      <c r="V44" s="4555">
        <f>SUM('MATRICULA-POS plan'!X80)</f>
        <v>99</v>
      </c>
      <c r="W44" s="4556">
        <f>SUM('MATRICULA-POS plan'!Y80)</f>
        <v>116</v>
      </c>
      <c r="X44" s="4554">
        <f>SUM('MATRICULA-POS plan'!Z80)</f>
        <v>67</v>
      </c>
      <c r="Y44" s="4555">
        <f>SUM('MATRICULA-POS plan'!AA80)</f>
        <v>0</v>
      </c>
      <c r="Z44" s="4556">
        <f>SUM('MATRICULA-POS plan'!AB80)</f>
        <v>104</v>
      </c>
      <c r="AA44" s="4554">
        <f>SUM('MATRICULA-POS plan'!AC80)</f>
        <v>65</v>
      </c>
      <c r="AB44" s="4555">
        <f>SUM('MATRICULA-POS plan'!AD80)</f>
        <v>62</v>
      </c>
      <c r="AC44" s="4556">
        <f>SUM('MATRICULA-POS plan'!AE80)</f>
        <v>92</v>
      </c>
      <c r="AD44" s="4554">
        <f>SUM('MATRICULA-POS plan'!AF80)</f>
        <v>81</v>
      </c>
      <c r="AE44" s="4555">
        <f>SUM('MATRICULA-POS plan'!AG80)</f>
        <v>65</v>
      </c>
      <c r="AF44" s="4556">
        <f>SUM('MATRICULA-POS plan'!AH80)</f>
        <v>3</v>
      </c>
      <c r="AG44" s="4554">
        <f>SUM('MATRICULA-POS plan'!AI80)</f>
        <v>0</v>
      </c>
      <c r="AH44" s="4555">
        <f>SUM('MATRICULA-POS plan'!AJ80)</f>
        <v>1</v>
      </c>
      <c r="AI44" s="4556">
        <f>SUM('MATRICULA-POS plan'!AK80)</f>
        <v>37</v>
      </c>
      <c r="AJ44" s="4554">
        <f>SUM('MATRICULA-POS plan'!AL80)</f>
        <v>29</v>
      </c>
      <c r="AK44" s="4555">
        <f>SUM('MATRICULA-POS plan'!AM80)</f>
        <v>27</v>
      </c>
      <c r="AL44" s="4556">
        <f>SUM('MATRICULA-POS plan'!AN80)</f>
        <v>15</v>
      </c>
      <c r="AM44" s="4554">
        <f>SUM('MATRICULA-POS plan'!AO80)</f>
        <v>49</v>
      </c>
      <c r="AN44" s="4555">
        <f>SUM('MATRICULA-POS plan'!AP80)</f>
        <v>48</v>
      </c>
      <c r="AO44" s="4556">
        <f>SUM('MATRICULA-POS plan'!AQ80)</f>
        <v>55</v>
      </c>
      <c r="AP44" s="4554">
        <f>SUM('MATRICULA-POS plan'!AR80)</f>
        <v>22</v>
      </c>
      <c r="AQ44" s="4555">
        <f>SUM('MATRICULA-POS plan'!AS80)</f>
        <v>20</v>
      </c>
      <c r="AR44" s="4556">
        <f>SUM('MATRICULA-POS plan'!AT80)</f>
        <v>12</v>
      </c>
      <c r="AS44" s="4554">
        <f>SUM('MATRICULA-POS plan'!AU80)</f>
        <v>12</v>
      </c>
      <c r="AT44" s="4555">
        <f>SUM('MATRICULA-POS plan'!AV80)</f>
        <v>73</v>
      </c>
      <c r="AU44" s="4556">
        <f>SUM('MATRICULA-POS plan'!AW80)</f>
        <v>57</v>
      </c>
    </row>
    <row r="45" spans="1:47" ht="12.95" customHeight="1" x14ac:dyDescent="0.2">
      <c r="A45" s="6219"/>
      <c r="B45" s="4557" t="s">
        <v>616</v>
      </c>
      <c r="C45" s="4558">
        <f>SUM('MATRICULA-POS plan'!E81:E87)</f>
        <v>115</v>
      </c>
      <c r="D45" s="4559">
        <f>SUM('MATRICULA-POS plan'!F81:F87)</f>
        <v>90</v>
      </c>
      <c r="E45" s="4559">
        <f>SUM('MATRICULA-POS plan'!G81:G87)</f>
        <v>106</v>
      </c>
      <c r="F45" s="4558">
        <f>SUM('MATRICULA-POS plan'!H81:H87)</f>
        <v>102</v>
      </c>
      <c r="G45" s="4559">
        <f>SUM('MATRICULA-POS plan'!I81:I87)</f>
        <v>87</v>
      </c>
      <c r="H45" s="4559">
        <f>SUM('MATRICULA-POS plan'!J81:J87)</f>
        <v>95</v>
      </c>
      <c r="I45" s="4558">
        <f>SUM('MATRICULA-POS plan'!K81:K87)</f>
        <v>139</v>
      </c>
      <c r="J45" s="4559">
        <f>SUM('MATRICULA-POS plan'!L81:L87)</f>
        <v>115</v>
      </c>
      <c r="K45" s="4559">
        <f>SUM('MATRICULA-POS plan'!M81:M87)</f>
        <v>121</v>
      </c>
      <c r="L45" s="4558">
        <f>SUM('MATRICULA-POS plan'!N81:N87)</f>
        <v>117</v>
      </c>
      <c r="M45" s="4559">
        <f>SUM('MATRICULA-POS plan'!O81:O87)</f>
        <v>106</v>
      </c>
      <c r="N45" s="4560">
        <f>SUM('MATRICULA-POS plan'!P81:P87)</f>
        <v>118</v>
      </c>
      <c r="O45" s="4559">
        <f>SUM('MATRICULA-POS plan'!Q81:Q87)</f>
        <v>187</v>
      </c>
      <c r="P45" s="4559">
        <f>SUM('MATRICULA-POS plan'!R81:R87)</f>
        <v>151</v>
      </c>
      <c r="Q45" s="4560">
        <f>SUM('MATRICULA-POS plan'!S81:S87)</f>
        <v>147</v>
      </c>
      <c r="R45" s="4558">
        <f>SUM('MATRICULA-POS plan'!T81:T87)</f>
        <v>165</v>
      </c>
      <c r="S45" s="4559">
        <f>SUM('MATRICULA-POS plan'!U81:U87)</f>
        <v>144</v>
      </c>
      <c r="T45" s="4560">
        <f>SUM('MATRICULA-POS plan'!V81:V87)</f>
        <v>266</v>
      </c>
      <c r="U45" s="4558">
        <f>SUM('MATRICULA-POS plan'!W81:W87)</f>
        <v>237</v>
      </c>
      <c r="V45" s="4559">
        <f>SUM('MATRICULA-POS plan'!X81:X87)</f>
        <v>212</v>
      </c>
      <c r="W45" s="4560">
        <f>SUM('MATRICULA-POS plan'!Y81:Y87)</f>
        <v>201</v>
      </c>
      <c r="X45" s="4558">
        <f>SUM('MATRICULA-POS plan'!Z81:Z87)</f>
        <v>215</v>
      </c>
      <c r="Y45" s="4559">
        <f>SUM('MATRICULA-POS plan'!AA81:AA87)</f>
        <v>180</v>
      </c>
      <c r="Z45" s="4560">
        <f>SUM('MATRICULA-POS plan'!AB81:AB87)</f>
        <v>249</v>
      </c>
      <c r="AA45" s="4558">
        <f>SUM('MATRICULA-POS plan'!AC81:AC87)</f>
        <v>269</v>
      </c>
      <c r="AB45" s="4559">
        <f>SUM('MATRICULA-POS plan'!AD81:AD87)</f>
        <v>207</v>
      </c>
      <c r="AC45" s="4560">
        <f>SUM('MATRICULA-POS plan'!AE81:AE87)</f>
        <v>190</v>
      </c>
      <c r="AD45" s="4558">
        <f>SUM('MATRICULA-POS plan'!AF81:AF87)</f>
        <v>181</v>
      </c>
      <c r="AE45" s="4559">
        <f>SUM('MATRICULA-POS plan'!AG81:AG87)</f>
        <v>168</v>
      </c>
      <c r="AF45" s="4560">
        <f>SUM('MATRICULA-POS plan'!AH81:AH87)</f>
        <v>233</v>
      </c>
      <c r="AG45" s="4558">
        <f>SUM('MATRICULA-POS plan'!AI81:AI87)</f>
        <v>218</v>
      </c>
      <c r="AH45" s="4559">
        <f>SUM('MATRICULA-POS plan'!AJ81:AJ87)</f>
        <v>184</v>
      </c>
      <c r="AI45" s="4560">
        <f>SUM('MATRICULA-POS plan'!AK81:AK87)</f>
        <v>169</v>
      </c>
      <c r="AJ45" s="4558">
        <f>SUM('MATRICULA-POS plan'!AL81:AL87)</f>
        <v>168</v>
      </c>
      <c r="AK45" s="4559">
        <f>SUM('MATRICULA-POS plan'!AM81:AM87)</f>
        <v>166</v>
      </c>
      <c r="AL45" s="4560">
        <f>SUM('MATRICULA-POS plan'!AN81:AN87)</f>
        <v>204</v>
      </c>
      <c r="AM45" s="4558">
        <f>SUM('MATRICULA-POS plan'!AO81:AO87)</f>
        <v>143</v>
      </c>
      <c r="AN45" s="4559">
        <f>SUM('MATRICULA-POS plan'!AP81:AP87)</f>
        <v>136</v>
      </c>
      <c r="AO45" s="4560">
        <f>SUM('MATRICULA-POS plan'!AQ81:AQ87)</f>
        <v>176</v>
      </c>
      <c r="AP45" s="4558">
        <f>SUM('MATRICULA-POS plan'!AR81:AR87)</f>
        <v>170</v>
      </c>
      <c r="AQ45" s="4559">
        <f>SUM('MATRICULA-POS plan'!AS81:AS87)</f>
        <v>147</v>
      </c>
      <c r="AR45" s="4560">
        <f>SUM('MATRICULA-POS plan'!AT81:AT87)</f>
        <v>162</v>
      </c>
      <c r="AS45" s="4558">
        <f>SUM('MATRICULA-POS plan'!AU81:AU89)</f>
        <v>144</v>
      </c>
      <c r="AT45" s="4559">
        <f>SUM('MATRICULA-POS plan'!AV81:AV89)</f>
        <v>147</v>
      </c>
      <c r="AU45" s="4560">
        <f>SUM('MATRICULA-POS plan'!AW81:AW89)</f>
        <v>163</v>
      </c>
    </row>
    <row r="46" spans="1:47" ht="12.95" customHeight="1" x14ac:dyDescent="0.2">
      <c r="A46" s="6219"/>
      <c r="B46" s="4561" t="s">
        <v>617</v>
      </c>
      <c r="C46" s="4562">
        <f>SUM('MATRICULA-POS plan'!E90:E94)</f>
        <v>227</v>
      </c>
      <c r="D46" s="4563">
        <f>SUM('MATRICULA-POS plan'!F90:F94)</f>
        <v>221</v>
      </c>
      <c r="E46" s="4563">
        <f>SUM('MATRICULA-POS plan'!G90:G94)</f>
        <v>220</v>
      </c>
      <c r="F46" s="4562">
        <f>SUM('MATRICULA-POS plan'!H90:H94)</f>
        <v>198</v>
      </c>
      <c r="G46" s="4563">
        <f>SUM('MATRICULA-POS plan'!I90:I94)</f>
        <v>215</v>
      </c>
      <c r="H46" s="4563">
        <f>SUM('MATRICULA-POS plan'!J90:J94)</f>
        <v>211</v>
      </c>
      <c r="I46" s="4562">
        <f>SUM('MATRICULA-POS plan'!K90:K94)</f>
        <v>223</v>
      </c>
      <c r="J46" s="4563">
        <f>SUM('MATRICULA-POS plan'!L90:L94)</f>
        <v>194</v>
      </c>
      <c r="K46" s="4563">
        <f>SUM('MATRICULA-POS plan'!M90:M94)</f>
        <v>188</v>
      </c>
      <c r="L46" s="4562">
        <f>SUM('MATRICULA-POS plan'!N90:N94)</f>
        <v>198</v>
      </c>
      <c r="M46" s="4563">
        <f>SUM('MATRICULA-POS plan'!O90:O94)</f>
        <v>185</v>
      </c>
      <c r="N46" s="4564">
        <f>SUM('MATRICULA-POS plan'!P90:P94)</f>
        <v>178</v>
      </c>
      <c r="O46" s="4563">
        <f>SUM('MATRICULA-POS plan'!Q90:Q94)</f>
        <v>180</v>
      </c>
      <c r="P46" s="4563">
        <f>SUM('MATRICULA-POS plan'!R90:R94)</f>
        <v>175</v>
      </c>
      <c r="Q46" s="4564">
        <f>SUM('MATRICULA-POS plan'!S90:S94)</f>
        <v>172</v>
      </c>
      <c r="R46" s="4562">
        <f>SUM('MATRICULA-POS plan'!T90:T94)</f>
        <v>187</v>
      </c>
      <c r="S46" s="4563">
        <f>SUM('MATRICULA-POS plan'!U90:U94)</f>
        <v>148</v>
      </c>
      <c r="T46" s="4564">
        <f>SUM('MATRICULA-POS plan'!V90:V94)</f>
        <v>203</v>
      </c>
      <c r="U46" s="4562">
        <f>SUM('MATRICULA-POS plan'!W90:W94)</f>
        <v>247</v>
      </c>
      <c r="V46" s="4563">
        <f>SUM('MATRICULA-POS plan'!X90:X94)</f>
        <v>236</v>
      </c>
      <c r="W46" s="4564">
        <f>SUM('MATRICULA-POS plan'!Y90:Y94)</f>
        <v>253</v>
      </c>
      <c r="X46" s="4562">
        <f>SUM('MATRICULA-POS plan'!Z90:Z94)</f>
        <v>293</v>
      </c>
      <c r="Y46" s="4563">
        <f>SUM('MATRICULA-POS plan'!AA90:AA94)</f>
        <v>245</v>
      </c>
      <c r="Z46" s="4564">
        <f>SUM('MATRICULA-POS plan'!AB90:AB94)</f>
        <v>302</v>
      </c>
      <c r="AA46" s="4562">
        <f>SUM('MATRICULA-POS plan'!AC90:AC94)</f>
        <v>345</v>
      </c>
      <c r="AB46" s="4563">
        <f>SUM('MATRICULA-POS plan'!AD90:AD94)</f>
        <v>321</v>
      </c>
      <c r="AC46" s="4564">
        <f>SUM('MATRICULA-POS plan'!AE90:AE94)</f>
        <v>348</v>
      </c>
      <c r="AD46" s="4562">
        <f>SUM('MATRICULA-POS plan'!AF90:AF94)</f>
        <v>337</v>
      </c>
      <c r="AE46" s="4563">
        <f>SUM('MATRICULA-POS plan'!AG90:AG94)</f>
        <v>325</v>
      </c>
      <c r="AF46" s="4564">
        <f>SUM('MATRICULA-POS plan'!AH90:AH94)</f>
        <v>366</v>
      </c>
      <c r="AG46" s="4562">
        <f>SUM('MATRICULA-POS plan'!AI90:AI94)</f>
        <v>377</v>
      </c>
      <c r="AH46" s="4563">
        <f>SUM('MATRICULA-POS plan'!AJ90:AJ94)</f>
        <v>357</v>
      </c>
      <c r="AI46" s="4564">
        <f>SUM('MATRICULA-POS plan'!AK90:AK94)</f>
        <v>349</v>
      </c>
      <c r="AJ46" s="4562">
        <f>SUM('MATRICULA-POS plan'!AL90:AL94)</f>
        <v>337</v>
      </c>
      <c r="AK46" s="4563">
        <f>SUM('MATRICULA-POS plan'!AM90:AM94)</f>
        <v>305</v>
      </c>
      <c r="AL46" s="4564">
        <f>SUM('MATRICULA-POS plan'!AN90:AN94)</f>
        <v>385</v>
      </c>
      <c r="AM46" s="4562">
        <f>SUM('MATRICULA-POS plan'!AO90:AO94)</f>
        <v>345</v>
      </c>
      <c r="AN46" s="4563">
        <f>SUM('MATRICULA-POS plan'!AP90:AP94)</f>
        <v>332</v>
      </c>
      <c r="AO46" s="4564">
        <f>SUM('MATRICULA-POS plan'!AQ90:AQ94)</f>
        <v>340</v>
      </c>
      <c r="AP46" s="4562">
        <f>SUM('MATRICULA-POS plan'!AR90:AR94)</f>
        <v>339</v>
      </c>
      <c r="AQ46" s="4563">
        <f>SUM('MATRICULA-POS plan'!AS90:AS94)</f>
        <v>319</v>
      </c>
      <c r="AR46" s="4564">
        <f>SUM('MATRICULA-POS plan'!AT90:AT94)</f>
        <v>357</v>
      </c>
      <c r="AS46" s="4562">
        <f>SUM('MATRICULA-POS plan'!AU90:AU96)</f>
        <v>332</v>
      </c>
      <c r="AT46" s="4563">
        <f>SUM('MATRICULA-POS plan'!AV90:AV96)</f>
        <v>330</v>
      </c>
      <c r="AU46" s="4564">
        <f>SUM('MATRICULA-POS plan'!AW90:AW96)</f>
        <v>320</v>
      </c>
    </row>
    <row r="47" spans="1:47" s="222" customFormat="1" ht="12.95" customHeight="1" x14ac:dyDescent="0.2">
      <c r="A47" s="6219"/>
      <c r="B47" s="574" t="s">
        <v>14</v>
      </c>
      <c r="C47" s="575">
        <v>348</v>
      </c>
      <c r="D47" s="576">
        <v>316</v>
      </c>
      <c r="E47" s="576">
        <v>370</v>
      </c>
      <c r="F47" s="575">
        <v>341</v>
      </c>
      <c r="G47" s="576">
        <v>334</v>
      </c>
      <c r="H47" s="576">
        <v>382</v>
      </c>
      <c r="I47" s="575">
        <v>435</v>
      </c>
      <c r="J47" s="576">
        <v>374</v>
      </c>
      <c r="K47" s="576">
        <v>310</v>
      </c>
      <c r="L47" s="575">
        <v>401</v>
      </c>
      <c r="M47" s="576">
        <v>373</v>
      </c>
      <c r="N47" s="577">
        <v>364</v>
      </c>
      <c r="O47" s="576">
        <v>457</v>
      </c>
      <c r="P47" s="576">
        <v>407</v>
      </c>
      <c r="Q47" s="577">
        <v>419</v>
      </c>
      <c r="R47" s="575">
        <v>454</v>
      </c>
      <c r="S47" s="576">
        <v>381</v>
      </c>
      <c r="T47" s="577">
        <v>554</v>
      </c>
      <c r="U47" s="575">
        <f t="shared" ref="U47:Z47" si="31">SUM(U44:U46)</f>
        <v>484</v>
      </c>
      <c r="V47" s="576">
        <f t="shared" si="31"/>
        <v>547</v>
      </c>
      <c r="W47" s="577">
        <f t="shared" si="31"/>
        <v>570</v>
      </c>
      <c r="X47" s="575">
        <f t="shared" si="31"/>
        <v>575</v>
      </c>
      <c r="Y47" s="576">
        <f t="shared" si="31"/>
        <v>425</v>
      </c>
      <c r="Z47" s="577">
        <f t="shared" si="31"/>
        <v>655</v>
      </c>
      <c r="AA47" s="575">
        <f>SUM(AA44:AA46)</f>
        <v>679</v>
      </c>
      <c r="AB47" s="576">
        <f>SUM(AB44:AB46)</f>
        <v>590</v>
      </c>
      <c r="AC47" s="577">
        <f>SUM(AC44:AC46)</f>
        <v>630</v>
      </c>
      <c r="AD47" s="575">
        <f>SUM(AD44:AD46)</f>
        <v>599</v>
      </c>
      <c r="AE47" s="576">
        <f t="shared" ref="AE47:AR47" si="32">SUM(AE44:AE46)</f>
        <v>558</v>
      </c>
      <c r="AF47" s="577">
        <f t="shared" si="32"/>
        <v>602</v>
      </c>
      <c r="AG47" s="575">
        <f t="shared" si="32"/>
        <v>595</v>
      </c>
      <c r="AH47" s="576">
        <f t="shared" si="32"/>
        <v>542</v>
      </c>
      <c r="AI47" s="577">
        <f t="shared" si="32"/>
        <v>555</v>
      </c>
      <c r="AJ47" s="575">
        <f t="shared" si="32"/>
        <v>534</v>
      </c>
      <c r="AK47" s="576">
        <f t="shared" si="32"/>
        <v>498</v>
      </c>
      <c r="AL47" s="577">
        <f t="shared" si="32"/>
        <v>604</v>
      </c>
      <c r="AM47" s="575">
        <f t="shared" si="32"/>
        <v>537</v>
      </c>
      <c r="AN47" s="576">
        <f t="shared" si="32"/>
        <v>516</v>
      </c>
      <c r="AO47" s="577">
        <f t="shared" si="32"/>
        <v>571</v>
      </c>
      <c r="AP47" s="575">
        <f t="shared" si="32"/>
        <v>531</v>
      </c>
      <c r="AQ47" s="576">
        <f t="shared" si="32"/>
        <v>486</v>
      </c>
      <c r="AR47" s="577">
        <f t="shared" si="32"/>
        <v>531</v>
      </c>
      <c r="AS47" s="575">
        <f>SUM(AS44:AS46)</f>
        <v>488</v>
      </c>
      <c r="AT47" s="576">
        <f>SUM(AT44:AT46)</f>
        <v>550</v>
      </c>
      <c r="AU47" s="577">
        <f>SUM(AU44:AU46)</f>
        <v>540</v>
      </c>
    </row>
    <row r="48" spans="1:47" ht="12.95" customHeight="1" x14ac:dyDescent="0.2">
      <c r="A48" s="6218" t="s">
        <v>11</v>
      </c>
      <c r="B48" s="4553" t="s">
        <v>615</v>
      </c>
      <c r="C48" s="4554">
        <f>SUM('MATRICULA-POS plan'!E98:E100)</f>
        <v>29</v>
      </c>
      <c r="D48" s="4555">
        <f>SUM('MATRICULA-POS plan'!F98:F100)</f>
        <v>29</v>
      </c>
      <c r="E48" s="4555">
        <f>SUM('MATRICULA-POS plan'!G98:G100)</f>
        <v>31</v>
      </c>
      <c r="F48" s="4554">
        <f>SUM('MATRICULA-POS plan'!H98:H100)</f>
        <v>27</v>
      </c>
      <c r="G48" s="4555">
        <f>SUM('MATRICULA-POS plan'!I98:I100)</f>
        <v>29</v>
      </c>
      <c r="H48" s="4555">
        <f>SUM('MATRICULA-POS plan'!J98:J100)</f>
        <v>40</v>
      </c>
      <c r="I48" s="4554">
        <f>SUM('MATRICULA-POS plan'!K98:K100)</f>
        <v>32</v>
      </c>
      <c r="J48" s="4555">
        <f>SUM('MATRICULA-POS plan'!L98:L100)</f>
        <v>33</v>
      </c>
      <c r="K48" s="4555">
        <f>SUM('MATRICULA-POS plan'!M98:M100)</f>
        <v>35</v>
      </c>
      <c r="L48" s="4554">
        <f>SUM('MATRICULA-POS plan'!N98:N100)</f>
        <v>40</v>
      </c>
      <c r="M48" s="4555">
        <f>SUM('MATRICULA-POS plan'!O98:O100)</f>
        <v>42</v>
      </c>
      <c r="N48" s="4556">
        <f>SUM('MATRICULA-POS plan'!P98:P100)</f>
        <v>38</v>
      </c>
      <c r="O48" s="4555">
        <f>SUM('MATRICULA-POS plan'!Q98:Q100)</f>
        <v>34</v>
      </c>
      <c r="P48" s="4555">
        <f>SUM('MATRICULA-POS plan'!R98:R100)</f>
        <v>45</v>
      </c>
      <c r="Q48" s="4556">
        <f>SUM('MATRICULA-POS plan'!S98:S100)</f>
        <v>47</v>
      </c>
      <c r="R48" s="4554">
        <f>SUM('MATRICULA-POS plan'!T98:T100)</f>
        <v>40</v>
      </c>
      <c r="S48" s="4555">
        <f>SUM('MATRICULA-POS plan'!U98:U100)</f>
        <v>38</v>
      </c>
      <c r="T48" s="4556">
        <f>SUM('MATRICULA-POS plan'!V98:V100)</f>
        <v>44</v>
      </c>
      <c r="U48" s="4554">
        <f>SUM('MATRICULA-POS plan'!W98:W100)</f>
        <v>41</v>
      </c>
      <c r="V48" s="4555">
        <f>SUM('MATRICULA-POS plan'!X98:X100)</f>
        <v>39</v>
      </c>
      <c r="W48" s="4556">
        <f>SUM('MATRICULA-POS plan'!Y98:Y100)</f>
        <v>39</v>
      </c>
      <c r="X48" s="4554">
        <f>SUM('MATRICULA-POS plan'!Z98:Z100)</f>
        <v>42</v>
      </c>
      <c r="Y48" s="4555">
        <f>SUM('MATRICULA-POS plan'!AA98:AA100)</f>
        <v>41</v>
      </c>
      <c r="Z48" s="4556">
        <f>SUM('MATRICULA-POS plan'!AB98:AB100)</f>
        <v>46</v>
      </c>
      <c r="AA48" s="4554">
        <f>SUM('MATRICULA-POS plan'!AC98:AC100)</f>
        <v>38</v>
      </c>
      <c r="AB48" s="4555">
        <f>SUM('MATRICULA-POS plan'!AD98:AD100)</f>
        <v>31</v>
      </c>
      <c r="AC48" s="4556">
        <f>SUM('MATRICULA-POS plan'!AE98:AE100)</f>
        <v>41</v>
      </c>
      <c r="AD48" s="4554">
        <f>SUM('MATRICULA-POS plan'!AF98:AF100)</f>
        <v>38</v>
      </c>
      <c r="AE48" s="4555">
        <f>SUM('MATRICULA-POS plan'!AG98:AG100)</f>
        <v>47</v>
      </c>
      <c r="AF48" s="4556">
        <f>SUM('MATRICULA-POS plan'!AH98:AH100)</f>
        <v>53</v>
      </c>
      <c r="AG48" s="4554">
        <f>SUM('MATRICULA-POS plan'!AI98:AI100)</f>
        <v>46</v>
      </c>
      <c r="AH48" s="4555">
        <f>SUM('MATRICULA-POS plan'!AJ98:AJ100)</f>
        <v>39</v>
      </c>
      <c r="AI48" s="4556">
        <f>SUM('MATRICULA-POS plan'!AK98:AK100)</f>
        <v>41</v>
      </c>
      <c r="AJ48" s="4554">
        <f>SUM('MATRICULA-POS plan'!AL98:AL100)</f>
        <v>39</v>
      </c>
      <c r="AK48" s="4555">
        <f>SUM('MATRICULA-POS plan'!AM98:AM100)</f>
        <v>35</v>
      </c>
      <c r="AL48" s="4556">
        <f>SUM('MATRICULA-POS plan'!AN98:AN100)</f>
        <v>41</v>
      </c>
      <c r="AM48" s="4554">
        <f>SUM('MATRICULA-POS plan'!AO98:AO100)</f>
        <v>39</v>
      </c>
      <c r="AN48" s="4555">
        <f>SUM('MATRICULA-POS plan'!AP98:AP100)</f>
        <v>41</v>
      </c>
      <c r="AO48" s="4556">
        <f>SUM('MATRICULA-POS plan'!AQ98:AQ100)</f>
        <v>35</v>
      </c>
      <c r="AP48" s="4554">
        <f>SUM('MATRICULA-POS plan'!AR98:AR100)</f>
        <v>30</v>
      </c>
      <c r="AQ48" s="4555">
        <f>SUM('MATRICULA-POS plan'!AS98:AS100)</f>
        <v>26</v>
      </c>
      <c r="AR48" s="4556">
        <f>SUM('MATRICULA-POS plan'!AT98:AT100)</f>
        <v>26</v>
      </c>
      <c r="AS48" s="4554">
        <f>SUM('MATRICULA-POS plan'!AU98:AU100)</f>
        <v>20</v>
      </c>
      <c r="AT48" s="4555">
        <f>SUM('MATRICULA-POS plan'!AV98:AV100)</f>
        <v>26</v>
      </c>
      <c r="AU48" s="4556">
        <f>SUM('MATRICULA-POS plan'!AW98:AW100)</f>
        <v>27</v>
      </c>
    </row>
    <row r="49" spans="1:47" ht="12.95" customHeight="1" x14ac:dyDescent="0.2">
      <c r="A49" s="6219"/>
      <c r="B49" s="4557" t="s">
        <v>616</v>
      </c>
      <c r="C49" s="4558">
        <f>SUM('MATRICULA-POS plan'!E101:E104)</f>
        <v>100</v>
      </c>
      <c r="D49" s="4559">
        <f>SUM('MATRICULA-POS plan'!F101:F104)</f>
        <v>100</v>
      </c>
      <c r="E49" s="4559">
        <f>SUM('MATRICULA-POS plan'!G101:G104)</f>
        <v>120</v>
      </c>
      <c r="F49" s="4558">
        <f>SUM('MATRICULA-POS plan'!H101:H104)</f>
        <v>105</v>
      </c>
      <c r="G49" s="4559">
        <f>SUM('MATRICULA-POS plan'!I101:I104)</f>
        <v>97</v>
      </c>
      <c r="H49" s="4559">
        <f>SUM('MATRICULA-POS plan'!J101:J104)</f>
        <v>89</v>
      </c>
      <c r="I49" s="4558">
        <f>SUM('MATRICULA-POS plan'!K101:K104)</f>
        <v>73</v>
      </c>
      <c r="J49" s="4559">
        <f>SUM('MATRICULA-POS plan'!L101:L104)</f>
        <v>66</v>
      </c>
      <c r="K49" s="4559">
        <f>SUM('MATRICULA-POS plan'!M101:M104)</f>
        <v>86</v>
      </c>
      <c r="L49" s="4558">
        <f>SUM('MATRICULA-POS plan'!N101:N104)</f>
        <v>66</v>
      </c>
      <c r="M49" s="4559">
        <f>SUM('MATRICULA-POS plan'!O101:O104)</f>
        <v>62</v>
      </c>
      <c r="N49" s="4560">
        <f>SUM('MATRICULA-POS plan'!P101:P104)</f>
        <v>91</v>
      </c>
      <c r="O49" s="4559">
        <f>SUM('MATRICULA-POS plan'!Q101:Q104)</f>
        <v>88</v>
      </c>
      <c r="P49" s="4559">
        <f>SUM('MATRICULA-POS plan'!R101:R104)</f>
        <v>78</v>
      </c>
      <c r="Q49" s="4560">
        <f>SUM('MATRICULA-POS plan'!S101:S104)</f>
        <v>126</v>
      </c>
      <c r="R49" s="4558">
        <f>SUM('MATRICULA-POS plan'!T101:T104)</f>
        <v>105</v>
      </c>
      <c r="S49" s="4559">
        <f>SUM('MATRICULA-POS plan'!U101:U104)</f>
        <v>94</v>
      </c>
      <c r="T49" s="4560">
        <f>SUM('MATRICULA-POS plan'!V101:V104)</f>
        <v>144</v>
      </c>
      <c r="U49" s="4558">
        <f>SUM('MATRICULA-POS plan'!W101:W104)</f>
        <v>123</v>
      </c>
      <c r="V49" s="4559">
        <f>SUM('MATRICULA-POS plan'!X101:X104)</f>
        <v>122</v>
      </c>
      <c r="W49" s="4560">
        <f>SUM('MATRICULA-POS plan'!Y101:Y104)</f>
        <v>166</v>
      </c>
      <c r="X49" s="4558">
        <f>SUM('MATRICULA-POS plan'!Z101:Z104)</f>
        <v>134</v>
      </c>
      <c r="Y49" s="4559">
        <f>SUM('MATRICULA-POS plan'!AA101:AA104)</f>
        <v>114</v>
      </c>
      <c r="Z49" s="4560">
        <f>SUM('MATRICULA-POS plan'!AB101:AB104)</f>
        <v>153</v>
      </c>
      <c r="AA49" s="4558">
        <f>SUM('MATRICULA-POS plan'!AC101:AC104)</f>
        <v>151</v>
      </c>
      <c r="AB49" s="4559">
        <f>SUM('MATRICULA-POS plan'!AD101:AD104)</f>
        <v>139</v>
      </c>
      <c r="AC49" s="4560">
        <f>SUM('MATRICULA-POS plan'!AE101:AE104)</f>
        <v>174</v>
      </c>
      <c r="AD49" s="4558">
        <f>SUM('MATRICULA-POS plan'!AF101:AF104)</f>
        <v>165</v>
      </c>
      <c r="AE49" s="4559">
        <f>SUM('MATRICULA-POS plan'!AG101:AG104)</f>
        <v>151</v>
      </c>
      <c r="AF49" s="4560">
        <f>SUM('MATRICULA-POS plan'!AH101:AH104)</f>
        <v>177</v>
      </c>
      <c r="AG49" s="4558">
        <f>SUM('MATRICULA-POS plan'!AI101:AI104)</f>
        <v>159</v>
      </c>
      <c r="AH49" s="4559">
        <f>SUM('MATRICULA-POS plan'!AJ101:AJ104)</f>
        <v>156</v>
      </c>
      <c r="AI49" s="4560">
        <f>SUM('MATRICULA-POS plan'!AK101:AK104)</f>
        <v>201</v>
      </c>
      <c r="AJ49" s="4558">
        <f>SUM('MATRICULA-POS plan'!AL101:AL104)</f>
        <v>179</v>
      </c>
      <c r="AK49" s="4559">
        <f>SUM('MATRICULA-POS plan'!AM101:AM104)</f>
        <v>158</v>
      </c>
      <c r="AL49" s="4560">
        <f>SUM('MATRICULA-POS plan'!AN101:AN104)</f>
        <v>198</v>
      </c>
      <c r="AM49" s="4558">
        <f>SUM('MATRICULA-POS plan'!AO101:AO104)</f>
        <v>172</v>
      </c>
      <c r="AN49" s="4559">
        <f>SUM('MATRICULA-POS plan'!AP101:AP104)</f>
        <v>168</v>
      </c>
      <c r="AO49" s="4560">
        <f>SUM('MATRICULA-POS plan'!AQ101:AQ104)</f>
        <v>192</v>
      </c>
      <c r="AP49" s="4558">
        <f>SUM('MATRICULA-POS plan'!AR101:AR104)</f>
        <v>175</v>
      </c>
      <c r="AQ49" s="4559">
        <f>SUM('MATRICULA-POS plan'!AS101:AS104)</f>
        <v>150</v>
      </c>
      <c r="AR49" s="4560">
        <f>SUM('MATRICULA-POS plan'!AT101:AT104)</f>
        <v>184</v>
      </c>
      <c r="AS49" s="4558">
        <f>SUM('MATRICULA-POS plan'!AU101:AU104)</f>
        <v>152</v>
      </c>
      <c r="AT49" s="4559">
        <f>SUM('MATRICULA-POS plan'!AV101:AV104)</f>
        <v>142</v>
      </c>
      <c r="AU49" s="4560">
        <f>SUM('MATRICULA-POS plan'!AW101:AW104)</f>
        <v>167</v>
      </c>
    </row>
    <row r="50" spans="1:47" ht="12.95" customHeight="1" x14ac:dyDescent="0.2">
      <c r="A50" s="6219"/>
      <c r="B50" s="4561" t="s">
        <v>617</v>
      </c>
      <c r="C50" s="4562">
        <f>SUM('MATRICULA-POS plan'!E105:E107)</f>
        <v>150</v>
      </c>
      <c r="D50" s="4563">
        <f>SUM('MATRICULA-POS plan'!F105:F107)</f>
        <v>148</v>
      </c>
      <c r="E50" s="4563">
        <f>SUM('MATRICULA-POS plan'!G105:G107)</f>
        <v>139</v>
      </c>
      <c r="F50" s="4562">
        <f>SUM('MATRICULA-POS plan'!H105:H107)</f>
        <v>150</v>
      </c>
      <c r="G50" s="4563">
        <f>SUM('MATRICULA-POS plan'!I105:I107)</f>
        <v>143</v>
      </c>
      <c r="H50" s="4563">
        <f>SUM('MATRICULA-POS plan'!J105:J107)</f>
        <v>137</v>
      </c>
      <c r="I50" s="4562">
        <f>SUM('MATRICULA-POS plan'!K105:K107)</f>
        <v>156</v>
      </c>
      <c r="J50" s="4563">
        <f>SUM('MATRICULA-POS plan'!L105:L107)</f>
        <v>155</v>
      </c>
      <c r="K50" s="4563">
        <f>SUM('MATRICULA-POS plan'!M105:M107)</f>
        <v>154</v>
      </c>
      <c r="L50" s="4562">
        <f>SUM('MATRICULA-POS plan'!N105:N107)</f>
        <v>155</v>
      </c>
      <c r="M50" s="4563">
        <f>SUM('MATRICULA-POS plan'!O105:O107)</f>
        <v>147</v>
      </c>
      <c r="N50" s="4564">
        <f>SUM('MATRICULA-POS plan'!P105:P107)</f>
        <v>150</v>
      </c>
      <c r="O50" s="4563">
        <f>SUM('MATRICULA-POS plan'!Q105:Q107)</f>
        <v>152</v>
      </c>
      <c r="P50" s="4563">
        <f>SUM('MATRICULA-POS plan'!R105:R107)</f>
        <v>151</v>
      </c>
      <c r="Q50" s="4564">
        <f>SUM('MATRICULA-POS plan'!S105:S107)</f>
        <v>143</v>
      </c>
      <c r="R50" s="4562">
        <f>SUM('MATRICULA-POS plan'!T105:T107)</f>
        <v>147</v>
      </c>
      <c r="S50" s="4563">
        <f>SUM('MATRICULA-POS plan'!U105:U107)</f>
        <v>134</v>
      </c>
      <c r="T50" s="4564">
        <f>SUM('MATRICULA-POS plan'!V105:V107)</f>
        <v>152</v>
      </c>
      <c r="U50" s="4562">
        <f>SUM('MATRICULA-POS plan'!W105:W107)</f>
        <v>163</v>
      </c>
      <c r="V50" s="4563">
        <f>SUM('MATRICULA-POS plan'!X105:X107)</f>
        <v>161</v>
      </c>
      <c r="W50" s="4564">
        <f>SUM('MATRICULA-POS plan'!Y105:Y107)</f>
        <v>163</v>
      </c>
      <c r="X50" s="4562">
        <f>SUM('MATRICULA-POS plan'!Z105:Z107)</f>
        <v>188</v>
      </c>
      <c r="Y50" s="4563">
        <f>SUM('MATRICULA-POS plan'!AA105:AA107)</f>
        <v>178</v>
      </c>
      <c r="Z50" s="4564">
        <f>SUM('MATRICULA-POS plan'!AB105:AB107)</f>
        <v>196</v>
      </c>
      <c r="AA50" s="4562">
        <f>SUM('MATRICULA-POS plan'!AC105:AC107)</f>
        <v>198</v>
      </c>
      <c r="AB50" s="4563">
        <f>SUM('MATRICULA-POS plan'!AD105:AD107)</f>
        <v>181</v>
      </c>
      <c r="AC50" s="4564">
        <f>SUM('MATRICULA-POS plan'!AE105:AE107)</f>
        <v>209</v>
      </c>
      <c r="AD50" s="4562">
        <f>SUM('MATRICULA-POS plan'!AF105:AF107)</f>
        <v>229</v>
      </c>
      <c r="AE50" s="4563">
        <f>SUM('MATRICULA-POS plan'!AG105:AG107)</f>
        <v>218</v>
      </c>
      <c r="AF50" s="4564">
        <f>SUM('MATRICULA-POS plan'!AH105:AH107)</f>
        <v>239</v>
      </c>
      <c r="AG50" s="4562">
        <f>SUM('MATRICULA-POS plan'!AI105:AI107)</f>
        <v>246</v>
      </c>
      <c r="AH50" s="4563">
        <f>SUM('MATRICULA-POS plan'!AJ105:AJ107)</f>
        <v>238</v>
      </c>
      <c r="AI50" s="4564">
        <f>SUM('MATRICULA-POS plan'!AK105:AK107)</f>
        <v>244</v>
      </c>
      <c r="AJ50" s="4562">
        <f>SUM('MATRICULA-POS plan'!AL105:AL107)</f>
        <v>258</v>
      </c>
      <c r="AK50" s="4563">
        <f>SUM('MATRICULA-POS plan'!AM105:AM107)</f>
        <v>249</v>
      </c>
      <c r="AL50" s="4564">
        <f>SUM('MATRICULA-POS plan'!AN105:AN107)</f>
        <v>261</v>
      </c>
      <c r="AM50" s="4562">
        <f>SUM('MATRICULA-POS plan'!AO105:AO107)</f>
        <v>266</v>
      </c>
      <c r="AN50" s="4563">
        <f>SUM('MATRICULA-POS plan'!AP105:AP107)</f>
        <v>248</v>
      </c>
      <c r="AO50" s="4564">
        <f>SUM('MATRICULA-POS plan'!AQ105:AQ107)</f>
        <v>264</v>
      </c>
      <c r="AP50" s="4562">
        <f>SUM('MATRICULA-POS plan'!AR105:AR107)</f>
        <v>267</v>
      </c>
      <c r="AQ50" s="4563">
        <f>SUM('MATRICULA-POS plan'!AS105:AS107)</f>
        <v>253</v>
      </c>
      <c r="AR50" s="4564">
        <f>SUM('MATRICULA-POS plan'!AT105:AT107)</f>
        <v>259</v>
      </c>
      <c r="AS50" s="4562">
        <f>SUM('MATRICULA-POS plan'!AU105:AU107)</f>
        <v>270</v>
      </c>
      <c r="AT50" s="4563">
        <f>SUM('MATRICULA-POS plan'!AV105:AV107)</f>
        <v>255</v>
      </c>
      <c r="AU50" s="4564">
        <f>SUM('MATRICULA-POS plan'!AW105:AW107)</f>
        <v>263</v>
      </c>
    </row>
    <row r="51" spans="1:47" s="222" customFormat="1" ht="12.95" customHeight="1" x14ac:dyDescent="0.2">
      <c r="A51" s="6219"/>
      <c r="B51" s="574" t="s">
        <v>30</v>
      </c>
      <c r="C51" s="575">
        <v>279</v>
      </c>
      <c r="D51" s="576">
        <v>277</v>
      </c>
      <c r="E51" s="576">
        <v>290</v>
      </c>
      <c r="F51" s="575">
        <v>282</v>
      </c>
      <c r="G51" s="576">
        <v>269</v>
      </c>
      <c r="H51" s="576">
        <v>266</v>
      </c>
      <c r="I51" s="575">
        <v>261</v>
      </c>
      <c r="J51" s="576">
        <v>254</v>
      </c>
      <c r="K51" s="576">
        <v>275</v>
      </c>
      <c r="L51" s="575">
        <v>261</v>
      </c>
      <c r="M51" s="576">
        <v>251</v>
      </c>
      <c r="N51" s="577">
        <v>279</v>
      </c>
      <c r="O51" s="576">
        <v>274</v>
      </c>
      <c r="P51" s="576">
        <v>274</v>
      </c>
      <c r="Q51" s="577">
        <v>316</v>
      </c>
      <c r="R51" s="575">
        <v>292</v>
      </c>
      <c r="S51" s="576">
        <v>266</v>
      </c>
      <c r="T51" s="577">
        <v>340</v>
      </c>
      <c r="U51" s="575">
        <f t="shared" ref="U51:Z51" si="33">SUM(U48:U50)</f>
        <v>327</v>
      </c>
      <c r="V51" s="576">
        <f t="shared" si="33"/>
        <v>322</v>
      </c>
      <c r="W51" s="577">
        <f t="shared" si="33"/>
        <v>368</v>
      </c>
      <c r="X51" s="575">
        <f t="shared" si="33"/>
        <v>364</v>
      </c>
      <c r="Y51" s="576">
        <f t="shared" si="33"/>
        <v>333</v>
      </c>
      <c r="Z51" s="577">
        <f t="shared" si="33"/>
        <v>395</v>
      </c>
      <c r="AA51" s="575">
        <f>SUM(AA48:AA50)</f>
        <v>387</v>
      </c>
      <c r="AB51" s="576">
        <f>SUM(AB48:AB50)</f>
        <v>351</v>
      </c>
      <c r="AC51" s="577">
        <f>SUM(AC48:AC50)</f>
        <v>424</v>
      </c>
      <c r="AD51" s="575">
        <f>SUM(AD48:AD50)</f>
        <v>432</v>
      </c>
      <c r="AE51" s="576">
        <f t="shared" ref="AE51:AR51" si="34">SUM(AE48:AE50)</f>
        <v>416</v>
      </c>
      <c r="AF51" s="577">
        <f t="shared" si="34"/>
        <v>469</v>
      </c>
      <c r="AG51" s="575">
        <f t="shared" si="34"/>
        <v>451</v>
      </c>
      <c r="AH51" s="576">
        <f t="shared" si="34"/>
        <v>433</v>
      </c>
      <c r="AI51" s="577">
        <f t="shared" si="34"/>
        <v>486</v>
      </c>
      <c r="AJ51" s="575">
        <f t="shared" si="34"/>
        <v>476</v>
      </c>
      <c r="AK51" s="576">
        <f t="shared" si="34"/>
        <v>442</v>
      </c>
      <c r="AL51" s="577">
        <f t="shared" si="34"/>
        <v>500</v>
      </c>
      <c r="AM51" s="575">
        <f t="shared" si="34"/>
        <v>477</v>
      </c>
      <c r="AN51" s="576">
        <f t="shared" si="34"/>
        <v>457</v>
      </c>
      <c r="AO51" s="577">
        <f t="shared" si="34"/>
        <v>491</v>
      </c>
      <c r="AP51" s="575">
        <f t="shared" si="34"/>
        <v>472</v>
      </c>
      <c r="AQ51" s="576">
        <f t="shared" si="34"/>
        <v>429</v>
      </c>
      <c r="AR51" s="577">
        <f t="shared" si="34"/>
        <v>469</v>
      </c>
      <c r="AS51" s="575">
        <f>SUM(AS48:AS50)</f>
        <v>442</v>
      </c>
      <c r="AT51" s="576">
        <f>SUM(AT48:AT50)</f>
        <v>423</v>
      </c>
      <c r="AU51" s="577">
        <f>SUM(AU48:AU50)</f>
        <v>457</v>
      </c>
    </row>
    <row r="52" spans="1:47" ht="12.95" customHeight="1" x14ac:dyDescent="0.2">
      <c r="A52" s="6342" t="s">
        <v>679</v>
      </c>
      <c r="B52" s="4553" t="s">
        <v>615</v>
      </c>
      <c r="C52" s="4554">
        <f t="shared" ref="C52:Q54" si="35">C40+C44+C48</f>
        <v>35</v>
      </c>
      <c r="D52" s="4555">
        <f t="shared" si="35"/>
        <v>34</v>
      </c>
      <c r="E52" s="4555">
        <f t="shared" si="35"/>
        <v>75</v>
      </c>
      <c r="F52" s="4554">
        <f t="shared" si="35"/>
        <v>68</v>
      </c>
      <c r="G52" s="4555">
        <f t="shared" si="35"/>
        <v>61</v>
      </c>
      <c r="H52" s="4555">
        <f t="shared" si="35"/>
        <v>116</v>
      </c>
      <c r="I52" s="4554">
        <f t="shared" si="35"/>
        <v>105</v>
      </c>
      <c r="J52" s="4555">
        <f t="shared" si="35"/>
        <v>98</v>
      </c>
      <c r="K52" s="4555">
        <f t="shared" si="35"/>
        <v>36</v>
      </c>
      <c r="L52" s="4554">
        <f t="shared" si="35"/>
        <v>126</v>
      </c>
      <c r="M52" s="4555">
        <f t="shared" si="35"/>
        <v>124</v>
      </c>
      <c r="N52" s="4556">
        <f t="shared" si="35"/>
        <v>106</v>
      </c>
      <c r="O52" s="4555">
        <f t="shared" si="35"/>
        <v>124</v>
      </c>
      <c r="P52" s="4555">
        <f t="shared" si="35"/>
        <v>126</v>
      </c>
      <c r="Q52" s="4556">
        <f t="shared" si="35"/>
        <v>147</v>
      </c>
      <c r="R52" s="4554">
        <v>142</v>
      </c>
      <c r="S52" s="4555">
        <v>127</v>
      </c>
      <c r="T52" s="4556">
        <v>129</v>
      </c>
      <c r="U52" s="4554">
        <f t="shared" ref="U52:AI55" si="36">U40+U44+U48</f>
        <v>41</v>
      </c>
      <c r="V52" s="4555">
        <f t="shared" si="36"/>
        <v>138</v>
      </c>
      <c r="W52" s="4556">
        <f t="shared" si="36"/>
        <v>155</v>
      </c>
      <c r="X52" s="4554">
        <f t="shared" si="36"/>
        <v>109</v>
      </c>
      <c r="Y52" s="4555">
        <f t="shared" si="36"/>
        <v>41</v>
      </c>
      <c r="Z52" s="4556">
        <f t="shared" si="36"/>
        <v>150</v>
      </c>
      <c r="AA52" s="4554">
        <f t="shared" si="36"/>
        <v>103</v>
      </c>
      <c r="AB52" s="4555">
        <f t="shared" si="36"/>
        <v>93</v>
      </c>
      <c r="AC52" s="4556">
        <f t="shared" si="36"/>
        <v>133</v>
      </c>
      <c r="AD52" s="4554">
        <f>SUM(AD40,AD44,AD48)</f>
        <v>119</v>
      </c>
      <c r="AE52" s="4555">
        <f t="shared" ref="AE52:AR52" si="37">SUM(AE40,AE44,AE48)</f>
        <v>112</v>
      </c>
      <c r="AF52" s="4556">
        <f t="shared" si="37"/>
        <v>56</v>
      </c>
      <c r="AG52" s="4554">
        <f t="shared" si="37"/>
        <v>46</v>
      </c>
      <c r="AH52" s="4555">
        <f t="shared" si="37"/>
        <v>40</v>
      </c>
      <c r="AI52" s="4556">
        <f t="shared" si="37"/>
        <v>78</v>
      </c>
      <c r="AJ52" s="4554">
        <f t="shared" si="37"/>
        <v>68</v>
      </c>
      <c r="AK52" s="4555">
        <f t="shared" si="37"/>
        <v>62</v>
      </c>
      <c r="AL52" s="4556">
        <f t="shared" si="37"/>
        <v>56</v>
      </c>
      <c r="AM52" s="4554">
        <f t="shared" si="37"/>
        <v>88</v>
      </c>
      <c r="AN52" s="4555">
        <f t="shared" si="37"/>
        <v>89</v>
      </c>
      <c r="AO52" s="4556">
        <f t="shared" si="37"/>
        <v>90</v>
      </c>
      <c r="AP52" s="4554">
        <f t="shared" si="37"/>
        <v>52</v>
      </c>
      <c r="AQ52" s="4555">
        <f t="shared" si="37"/>
        <v>47</v>
      </c>
      <c r="AR52" s="4556">
        <f t="shared" si="37"/>
        <v>40</v>
      </c>
      <c r="AS52" s="4554">
        <f t="shared" ref="AS52:AU54" si="38">SUM(AS40,AS44,AS48)</f>
        <v>34</v>
      </c>
      <c r="AT52" s="4555">
        <f t="shared" si="38"/>
        <v>103</v>
      </c>
      <c r="AU52" s="4556">
        <f t="shared" si="38"/>
        <v>88</v>
      </c>
    </row>
    <row r="53" spans="1:47" ht="12.95" customHeight="1" x14ac:dyDescent="0.2">
      <c r="A53" s="6343"/>
      <c r="B53" s="4557" t="s">
        <v>616</v>
      </c>
      <c r="C53" s="4558">
        <f t="shared" si="35"/>
        <v>267</v>
      </c>
      <c r="D53" s="4559">
        <f t="shared" si="35"/>
        <v>241</v>
      </c>
      <c r="E53" s="4559">
        <f t="shared" si="35"/>
        <v>298</v>
      </c>
      <c r="F53" s="4558">
        <f t="shared" si="35"/>
        <v>274</v>
      </c>
      <c r="G53" s="4559">
        <f t="shared" si="35"/>
        <v>252</v>
      </c>
      <c r="H53" s="4559">
        <f t="shared" si="35"/>
        <v>271</v>
      </c>
      <c r="I53" s="4558">
        <f t="shared" si="35"/>
        <v>306</v>
      </c>
      <c r="J53" s="4559">
        <f t="shared" si="35"/>
        <v>278</v>
      </c>
      <c r="K53" s="4559">
        <f t="shared" si="35"/>
        <v>335</v>
      </c>
      <c r="L53" s="4558">
        <f t="shared" si="35"/>
        <v>305</v>
      </c>
      <c r="M53" s="4559">
        <f t="shared" si="35"/>
        <v>296</v>
      </c>
      <c r="N53" s="4560">
        <f t="shared" si="35"/>
        <v>371</v>
      </c>
      <c r="O53" s="4559">
        <f t="shared" si="35"/>
        <v>483</v>
      </c>
      <c r="P53" s="4559">
        <f t="shared" si="35"/>
        <v>380</v>
      </c>
      <c r="Q53" s="4560">
        <f t="shared" si="35"/>
        <v>428</v>
      </c>
      <c r="R53" s="4558">
        <v>421</v>
      </c>
      <c r="S53" s="4559">
        <v>376</v>
      </c>
      <c r="T53" s="4560">
        <v>574</v>
      </c>
      <c r="U53" s="4558">
        <f t="shared" si="36"/>
        <v>503</v>
      </c>
      <c r="V53" s="4559">
        <f t="shared" si="36"/>
        <v>468</v>
      </c>
      <c r="W53" s="4560">
        <f t="shared" si="36"/>
        <v>533</v>
      </c>
      <c r="X53" s="4558">
        <f t="shared" si="36"/>
        <v>507</v>
      </c>
      <c r="Y53" s="4559">
        <f t="shared" si="36"/>
        <v>448</v>
      </c>
      <c r="Z53" s="4560">
        <f t="shared" si="36"/>
        <v>583</v>
      </c>
      <c r="AA53" s="4558">
        <f t="shared" si="36"/>
        <v>680</v>
      </c>
      <c r="AB53" s="4559">
        <f t="shared" si="36"/>
        <v>595</v>
      </c>
      <c r="AC53" s="4560">
        <f t="shared" si="36"/>
        <v>651</v>
      </c>
      <c r="AD53" s="4558">
        <f>SUM(AD41,AD45,AD49)</f>
        <v>630</v>
      </c>
      <c r="AE53" s="4559">
        <f t="shared" ref="AE53:AR53" si="39">SUM(AE41,AE45,AE49)</f>
        <v>589</v>
      </c>
      <c r="AF53" s="4560">
        <f t="shared" si="39"/>
        <v>705</v>
      </c>
      <c r="AG53" s="4558">
        <f t="shared" si="39"/>
        <v>686</v>
      </c>
      <c r="AH53" s="4559">
        <f t="shared" si="39"/>
        <v>655</v>
      </c>
      <c r="AI53" s="4560">
        <f t="shared" si="39"/>
        <v>687</v>
      </c>
      <c r="AJ53" s="4558">
        <f t="shared" si="39"/>
        <v>649</v>
      </c>
      <c r="AK53" s="4559">
        <f t="shared" si="39"/>
        <v>599</v>
      </c>
      <c r="AL53" s="4560">
        <f t="shared" si="39"/>
        <v>718</v>
      </c>
      <c r="AM53" s="4558">
        <f t="shared" si="39"/>
        <v>604</v>
      </c>
      <c r="AN53" s="4559">
        <f t="shared" si="39"/>
        <v>606</v>
      </c>
      <c r="AO53" s="4560">
        <f t="shared" si="39"/>
        <v>695</v>
      </c>
      <c r="AP53" s="4558">
        <f t="shared" si="39"/>
        <v>669</v>
      </c>
      <c r="AQ53" s="4559">
        <f t="shared" si="39"/>
        <v>606</v>
      </c>
      <c r="AR53" s="4560">
        <f t="shared" si="39"/>
        <v>667</v>
      </c>
      <c r="AS53" s="4558">
        <f t="shared" si="38"/>
        <v>617</v>
      </c>
      <c r="AT53" s="4559">
        <f t="shared" si="38"/>
        <v>606</v>
      </c>
      <c r="AU53" s="4560">
        <f t="shared" si="38"/>
        <v>637</v>
      </c>
    </row>
    <row r="54" spans="1:47" ht="12.95" customHeight="1" x14ac:dyDescent="0.2">
      <c r="A54" s="6343"/>
      <c r="B54" s="4561" t="s">
        <v>617</v>
      </c>
      <c r="C54" s="4562">
        <f t="shared" si="35"/>
        <v>604</v>
      </c>
      <c r="D54" s="4563">
        <f t="shared" si="35"/>
        <v>590</v>
      </c>
      <c r="E54" s="4563">
        <f t="shared" si="35"/>
        <v>577</v>
      </c>
      <c r="F54" s="4562">
        <f t="shared" si="35"/>
        <v>562</v>
      </c>
      <c r="G54" s="4563">
        <f t="shared" si="35"/>
        <v>566</v>
      </c>
      <c r="H54" s="4563">
        <f t="shared" si="35"/>
        <v>560</v>
      </c>
      <c r="I54" s="4562">
        <f t="shared" si="35"/>
        <v>591</v>
      </c>
      <c r="J54" s="4563">
        <f t="shared" si="35"/>
        <v>566</v>
      </c>
      <c r="K54" s="4563">
        <f t="shared" si="35"/>
        <v>559</v>
      </c>
      <c r="L54" s="4562">
        <f t="shared" si="35"/>
        <v>576</v>
      </c>
      <c r="M54" s="4563">
        <f t="shared" si="35"/>
        <v>548</v>
      </c>
      <c r="N54" s="4564">
        <f t="shared" si="35"/>
        <v>545</v>
      </c>
      <c r="O54" s="4563">
        <f t="shared" si="35"/>
        <v>503</v>
      </c>
      <c r="P54" s="4563">
        <f t="shared" si="35"/>
        <v>534</v>
      </c>
      <c r="Q54" s="4564">
        <f t="shared" si="35"/>
        <v>516</v>
      </c>
      <c r="R54" s="4562">
        <v>534</v>
      </c>
      <c r="S54" s="4563">
        <v>470</v>
      </c>
      <c r="T54" s="4564">
        <v>549</v>
      </c>
      <c r="U54" s="4562">
        <f t="shared" si="36"/>
        <v>602</v>
      </c>
      <c r="V54" s="4563">
        <f t="shared" si="36"/>
        <v>588</v>
      </c>
      <c r="W54" s="4564">
        <f t="shared" si="36"/>
        <v>615</v>
      </c>
      <c r="X54" s="4562">
        <f t="shared" si="36"/>
        <v>688</v>
      </c>
      <c r="Y54" s="4563">
        <f t="shared" si="36"/>
        <v>622</v>
      </c>
      <c r="Z54" s="4564">
        <f t="shared" si="36"/>
        <v>701</v>
      </c>
      <c r="AA54" s="4562">
        <f t="shared" si="36"/>
        <v>754</v>
      </c>
      <c r="AB54" s="4563">
        <f t="shared" si="36"/>
        <v>674</v>
      </c>
      <c r="AC54" s="4564">
        <f t="shared" si="36"/>
        <v>768</v>
      </c>
      <c r="AD54" s="4562">
        <f>SUM(AD42,AD46,AD50)</f>
        <v>782</v>
      </c>
      <c r="AE54" s="4563">
        <f t="shared" ref="AE54:AR54" si="40">SUM(AE42,AE46,AE50)</f>
        <v>757</v>
      </c>
      <c r="AF54" s="4564">
        <f t="shared" si="40"/>
        <v>761</v>
      </c>
      <c r="AG54" s="4562">
        <f t="shared" si="40"/>
        <v>865</v>
      </c>
      <c r="AH54" s="4563">
        <f t="shared" si="40"/>
        <v>848</v>
      </c>
      <c r="AI54" s="4564">
        <f t="shared" si="40"/>
        <v>851</v>
      </c>
      <c r="AJ54" s="4562">
        <f t="shared" si="40"/>
        <v>850</v>
      </c>
      <c r="AK54" s="4563">
        <f t="shared" si="40"/>
        <v>803</v>
      </c>
      <c r="AL54" s="4564">
        <f t="shared" si="40"/>
        <v>905</v>
      </c>
      <c r="AM54" s="4562">
        <f t="shared" si="40"/>
        <v>862</v>
      </c>
      <c r="AN54" s="4563">
        <f t="shared" si="40"/>
        <v>839</v>
      </c>
      <c r="AO54" s="4564">
        <f t="shared" si="40"/>
        <v>872</v>
      </c>
      <c r="AP54" s="4562">
        <f t="shared" si="40"/>
        <v>863</v>
      </c>
      <c r="AQ54" s="4563">
        <f t="shared" si="40"/>
        <v>811</v>
      </c>
      <c r="AR54" s="4564">
        <f t="shared" si="40"/>
        <v>844</v>
      </c>
      <c r="AS54" s="4562">
        <f t="shared" si="38"/>
        <v>823</v>
      </c>
      <c r="AT54" s="4563">
        <f t="shared" si="38"/>
        <v>801</v>
      </c>
      <c r="AU54" s="4564">
        <f t="shared" si="38"/>
        <v>795</v>
      </c>
    </row>
    <row r="55" spans="1:47" s="222" customFormat="1" ht="12.95" customHeight="1" x14ac:dyDescent="0.2">
      <c r="A55" s="6344"/>
      <c r="B55" s="2433" t="s">
        <v>12</v>
      </c>
      <c r="C55" s="2415">
        <f>SUM(C52:C54)</f>
        <v>906</v>
      </c>
      <c r="D55" s="2416">
        <f>SUM(D52:D54)</f>
        <v>865</v>
      </c>
      <c r="E55" s="2416">
        <f>SUM(E52:E54)</f>
        <v>950</v>
      </c>
      <c r="F55" s="2415">
        <f t="shared" ref="F55:Q55" si="41">SUM(F52:F54)</f>
        <v>904</v>
      </c>
      <c r="G55" s="2416">
        <f t="shared" si="41"/>
        <v>879</v>
      </c>
      <c r="H55" s="2416">
        <f t="shared" si="41"/>
        <v>947</v>
      </c>
      <c r="I55" s="2415">
        <f t="shared" si="41"/>
        <v>1002</v>
      </c>
      <c r="J55" s="2416">
        <f t="shared" si="41"/>
        <v>942</v>
      </c>
      <c r="K55" s="2416">
        <f t="shared" si="41"/>
        <v>930</v>
      </c>
      <c r="L55" s="2415">
        <f t="shared" si="41"/>
        <v>1007</v>
      </c>
      <c r="M55" s="2416">
        <f t="shared" si="41"/>
        <v>968</v>
      </c>
      <c r="N55" s="2417">
        <f t="shared" si="41"/>
        <v>1022</v>
      </c>
      <c r="O55" s="2416">
        <f t="shared" si="41"/>
        <v>1110</v>
      </c>
      <c r="P55" s="2416">
        <f t="shared" si="41"/>
        <v>1040</v>
      </c>
      <c r="Q55" s="2417">
        <f t="shared" si="41"/>
        <v>1091</v>
      </c>
      <c r="R55" s="2415">
        <v>1097</v>
      </c>
      <c r="S55" s="2416">
        <v>973</v>
      </c>
      <c r="T55" s="2417">
        <v>1252</v>
      </c>
      <c r="U55" s="2415">
        <f t="shared" si="36"/>
        <v>1146</v>
      </c>
      <c r="V55" s="2416">
        <f t="shared" si="36"/>
        <v>1194</v>
      </c>
      <c r="W55" s="2417">
        <f t="shared" si="36"/>
        <v>1303</v>
      </c>
      <c r="X55" s="2415">
        <f t="shared" si="36"/>
        <v>1304</v>
      </c>
      <c r="Y55" s="2416">
        <f t="shared" si="36"/>
        <v>1111</v>
      </c>
      <c r="Z55" s="2417">
        <f t="shared" si="36"/>
        <v>1434</v>
      </c>
      <c r="AA55" s="2415">
        <f t="shared" si="36"/>
        <v>1537</v>
      </c>
      <c r="AB55" s="2416">
        <f t="shared" si="36"/>
        <v>1362</v>
      </c>
      <c r="AC55" s="2417">
        <f t="shared" si="36"/>
        <v>1552</v>
      </c>
      <c r="AD55" s="2415">
        <f t="shared" si="36"/>
        <v>1531</v>
      </c>
      <c r="AE55" s="2416">
        <f t="shared" si="36"/>
        <v>1458</v>
      </c>
      <c r="AF55" s="2417">
        <f t="shared" si="36"/>
        <v>1522</v>
      </c>
      <c r="AG55" s="2415">
        <f t="shared" si="36"/>
        <v>1597</v>
      </c>
      <c r="AH55" s="2416">
        <f t="shared" si="36"/>
        <v>1543</v>
      </c>
      <c r="AI55" s="2417">
        <f t="shared" si="36"/>
        <v>1616</v>
      </c>
      <c r="AJ55" s="2415">
        <f t="shared" ref="AJ55:AU55" si="42">AJ43+AJ47+AJ51</f>
        <v>1567</v>
      </c>
      <c r="AK55" s="2416">
        <f t="shared" si="42"/>
        <v>1464</v>
      </c>
      <c r="AL55" s="2417">
        <f t="shared" si="42"/>
        <v>1679</v>
      </c>
      <c r="AM55" s="2415">
        <f t="shared" si="42"/>
        <v>1554</v>
      </c>
      <c r="AN55" s="2416">
        <f t="shared" si="42"/>
        <v>1534</v>
      </c>
      <c r="AO55" s="2417">
        <f t="shared" si="42"/>
        <v>1657</v>
      </c>
      <c r="AP55" s="4546">
        <f t="shared" si="42"/>
        <v>1584</v>
      </c>
      <c r="AQ55" s="4547">
        <f t="shared" si="42"/>
        <v>1464</v>
      </c>
      <c r="AR55" s="4548">
        <f t="shared" si="42"/>
        <v>1551</v>
      </c>
      <c r="AS55" s="4546">
        <f t="shared" si="42"/>
        <v>1474</v>
      </c>
      <c r="AT55" s="4547">
        <f t="shared" si="42"/>
        <v>1510</v>
      </c>
      <c r="AU55" s="4548">
        <f t="shared" si="42"/>
        <v>1520</v>
      </c>
    </row>
    <row r="56" spans="1:47" ht="12.95" customHeight="1" x14ac:dyDescent="0.2">
      <c r="A56" s="262"/>
      <c r="B56" s="262"/>
      <c r="C56" s="262"/>
      <c r="D56" s="262"/>
      <c r="E56" s="262"/>
      <c r="F56" s="262"/>
      <c r="G56" s="262"/>
      <c r="H56" s="262"/>
      <c r="I56" s="262"/>
      <c r="J56" s="262"/>
      <c r="K56" s="262"/>
      <c r="L56" s="262"/>
      <c r="M56" s="262"/>
      <c r="N56" s="262"/>
      <c r="O56" s="262"/>
      <c r="P56" s="262"/>
      <c r="Q56" s="262"/>
      <c r="R56" s="262"/>
      <c r="S56" s="262"/>
      <c r="T56" s="262"/>
      <c r="U56" s="262"/>
      <c r="V56" s="262"/>
      <c r="W56" s="262"/>
      <c r="X56" s="262"/>
      <c r="Y56" s="262"/>
      <c r="Z56" s="262"/>
      <c r="AA56" s="262"/>
      <c r="AB56" s="262"/>
      <c r="AC56" s="262"/>
      <c r="AD56" s="262"/>
      <c r="AE56" s="262"/>
      <c r="AF56" s="262"/>
      <c r="AG56" s="262"/>
      <c r="AH56" s="262"/>
      <c r="AI56" s="262"/>
      <c r="AJ56" s="262"/>
      <c r="AK56" s="262"/>
      <c r="AL56" s="262"/>
      <c r="AM56" s="262"/>
      <c r="AN56" s="262"/>
      <c r="AO56" s="262"/>
      <c r="AP56" s="262"/>
      <c r="AQ56" s="262"/>
      <c r="AR56" s="262"/>
      <c r="AS56" s="262"/>
      <c r="AT56" s="262"/>
      <c r="AU56" s="262"/>
    </row>
    <row r="57" spans="1:47" ht="12.95" customHeight="1" x14ac:dyDescent="0.2">
      <c r="A57" s="6223" t="s">
        <v>6</v>
      </c>
      <c r="B57" s="4553" t="s">
        <v>615</v>
      </c>
      <c r="C57" s="4554">
        <f>SUM('MATRICULA-POS plan'!E110:E111)</f>
        <v>24</v>
      </c>
      <c r="D57" s="4555">
        <f>SUM('MATRICULA-POS plan'!F110:F111)</f>
        <v>22</v>
      </c>
      <c r="E57" s="4555">
        <f>SUM('MATRICULA-POS plan'!G110:G111)</f>
        <v>16</v>
      </c>
      <c r="F57" s="4554">
        <f>SUM('MATRICULA-POS plan'!H110:H111)</f>
        <v>0</v>
      </c>
      <c r="G57" s="4555">
        <f>SUM('MATRICULA-POS plan'!I110:I111)</f>
        <v>0</v>
      </c>
      <c r="H57" s="4555">
        <f>SUM('MATRICULA-POS plan'!J110:J111)</f>
        <v>6</v>
      </c>
      <c r="I57" s="4554">
        <f>SUM('MATRICULA-POS plan'!K110:K111)</f>
        <v>4</v>
      </c>
      <c r="J57" s="4555">
        <f>SUM('MATRICULA-POS plan'!L110:L111)</f>
        <v>4</v>
      </c>
      <c r="K57" s="4555">
        <f>SUM('MATRICULA-POS plan'!M110:M111)</f>
        <v>0</v>
      </c>
      <c r="L57" s="4554">
        <f>SUM('MATRICULA-POS plan'!N110:N111)</f>
        <v>0</v>
      </c>
      <c r="M57" s="4555">
        <f>SUM('MATRICULA-POS plan'!O110:O111)</f>
        <v>0</v>
      </c>
      <c r="N57" s="4556">
        <f>SUM('MATRICULA-POS plan'!P110:P111)</f>
        <v>5</v>
      </c>
      <c r="O57" s="4555">
        <f>SUM('MATRICULA-POS plan'!Q110:Q111)</f>
        <v>16</v>
      </c>
      <c r="P57" s="4555">
        <f>SUM('MATRICULA-POS plan'!R110:R111)</f>
        <v>2</v>
      </c>
      <c r="Q57" s="4556">
        <f>SUM('MATRICULA-POS plan'!S110:S111)</f>
        <v>17</v>
      </c>
      <c r="R57" s="4554">
        <f>SUM('MATRICULA-POS plan'!T110:T111)</f>
        <v>4</v>
      </c>
      <c r="S57" s="4555">
        <f>SUM('MATRICULA-POS plan'!U110:U111)</f>
        <v>4</v>
      </c>
      <c r="T57" s="4556">
        <f>SUM('MATRICULA-POS plan'!V110:V111)</f>
        <v>22</v>
      </c>
      <c r="U57" s="4554">
        <f>SUM('MATRICULA-POS plan'!W110:W111)</f>
        <v>2</v>
      </c>
      <c r="V57" s="4555">
        <f>SUM('MATRICULA-POS plan'!X110:X111)</f>
        <v>2</v>
      </c>
      <c r="W57" s="4556">
        <f>SUM('MATRICULA-POS plan'!Y110:Y111)</f>
        <v>2</v>
      </c>
      <c r="X57" s="4554">
        <f>SUM('MATRICULA-POS plan'!Z110:Z111)</f>
        <v>0</v>
      </c>
      <c r="Y57" s="4555">
        <f>SUM('MATRICULA-POS plan'!AA110:AA111)</f>
        <v>0</v>
      </c>
      <c r="Z57" s="4556">
        <f>SUM('MATRICULA-POS plan'!AB110:AB111)</f>
        <v>19</v>
      </c>
      <c r="AA57" s="4554">
        <f>SUM('MATRICULA-POS plan'!AC110:AC111)</f>
        <v>22</v>
      </c>
      <c r="AB57" s="4555">
        <f>SUM('MATRICULA-POS plan'!AD110:AD111)</f>
        <v>22</v>
      </c>
      <c r="AC57" s="4556">
        <f>SUM('MATRICULA-POS plan'!AE110:AE111)</f>
        <v>57</v>
      </c>
      <c r="AD57" s="4554">
        <f>SUM('MATRICULA-POS plan'!AF110:AF111)</f>
        <v>39</v>
      </c>
      <c r="AE57" s="4555">
        <f>SUM('MATRICULA-POS plan'!AG110:AG111)</f>
        <v>40</v>
      </c>
      <c r="AF57" s="4556">
        <f>SUM('MATRICULA-POS plan'!AH110:AH111)</f>
        <v>37</v>
      </c>
      <c r="AG57" s="4554">
        <f>SUM('MATRICULA-POS plan'!AI110:AI111)</f>
        <v>28</v>
      </c>
      <c r="AH57" s="4555">
        <f>SUM('MATRICULA-POS plan'!AJ110:AJ111)</f>
        <v>4</v>
      </c>
      <c r="AI57" s="4556">
        <f>SUM('MATRICULA-POS plan'!AK110:AK111)</f>
        <v>36</v>
      </c>
      <c r="AJ57" s="4554">
        <f>SUM('MATRICULA-POS plan'!AL110:AL111)</f>
        <v>37</v>
      </c>
      <c r="AK57" s="4555">
        <f>SUM('MATRICULA-POS plan'!AM110:AM111)</f>
        <v>37</v>
      </c>
      <c r="AL57" s="4556">
        <f>SUM('MATRICULA-POS plan'!AN110:AN111)</f>
        <v>33</v>
      </c>
      <c r="AM57" s="4554">
        <f>SUM('MATRICULA-POS plan'!AO110:AO111)</f>
        <v>9</v>
      </c>
      <c r="AN57" s="4555">
        <f>SUM('MATRICULA-POS plan'!AP110:AP111)</f>
        <v>9</v>
      </c>
      <c r="AO57" s="4556">
        <f>SUM('MATRICULA-POS plan'!AQ110:AQ111)</f>
        <v>9</v>
      </c>
      <c r="AP57" s="4554">
        <f>SUM('MATRICULA-POS plan'!AR110:AR111)</f>
        <v>38</v>
      </c>
      <c r="AQ57" s="4555">
        <f>SUM('MATRICULA-POS plan'!AS110:AS111)</f>
        <v>38</v>
      </c>
      <c r="AR57" s="4556">
        <f>SUM('MATRICULA-POS plan'!AT110:AT111)</f>
        <v>25</v>
      </c>
      <c r="AS57" s="4554">
        <f>SUM('MATRICULA-POS plan'!AU110:AU111)</f>
        <v>36</v>
      </c>
      <c r="AT57" s="4555">
        <f>SUM('MATRICULA-POS plan'!AV110:AV111)</f>
        <v>4</v>
      </c>
      <c r="AU57" s="4556">
        <f>SUM('MATRICULA-POS plan'!AW110:AW111)</f>
        <v>33</v>
      </c>
    </row>
    <row r="58" spans="1:47" ht="12.95" customHeight="1" x14ac:dyDescent="0.2">
      <c r="A58" s="6224"/>
      <c r="B58" s="4557" t="s">
        <v>616</v>
      </c>
      <c r="C58" s="4558">
        <f>SUM('MATRICULA-POS plan'!E112:E120)</f>
        <v>131</v>
      </c>
      <c r="D58" s="4559">
        <f>SUM('MATRICULA-POS plan'!F112:F120)</f>
        <v>144</v>
      </c>
      <c r="E58" s="4559">
        <f>SUM('MATRICULA-POS plan'!G112:G120)</f>
        <v>163</v>
      </c>
      <c r="F58" s="4558">
        <f>SUM('MATRICULA-POS plan'!H112:H120)</f>
        <v>150</v>
      </c>
      <c r="G58" s="4559">
        <f>SUM('MATRICULA-POS plan'!I112:I120)</f>
        <v>134</v>
      </c>
      <c r="H58" s="4559">
        <f>SUM('MATRICULA-POS plan'!J112:J120)</f>
        <v>165</v>
      </c>
      <c r="I58" s="4558">
        <f>SUM('MATRICULA-POS plan'!K112:K120)</f>
        <v>150</v>
      </c>
      <c r="J58" s="4559">
        <f>SUM('MATRICULA-POS plan'!L112:L120)</f>
        <v>141</v>
      </c>
      <c r="K58" s="4559">
        <f>SUM('MATRICULA-POS plan'!M112:M120)</f>
        <v>150</v>
      </c>
      <c r="L58" s="4558">
        <f>SUM('MATRICULA-POS plan'!N112:N120)</f>
        <v>146</v>
      </c>
      <c r="M58" s="4559">
        <f>SUM('MATRICULA-POS plan'!O112:O120)</f>
        <v>140</v>
      </c>
      <c r="N58" s="4560">
        <f>SUM('MATRICULA-POS plan'!P112:P120)</f>
        <v>173</v>
      </c>
      <c r="O58" s="4559">
        <f>SUM('MATRICULA-POS plan'!Q112:Q120)</f>
        <v>150</v>
      </c>
      <c r="P58" s="4559">
        <f>SUM('MATRICULA-POS plan'!R112:R120)</f>
        <v>143</v>
      </c>
      <c r="Q58" s="4560">
        <f>SUM('MATRICULA-POS plan'!S112:S120)</f>
        <v>136</v>
      </c>
      <c r="R58" s="4558">
        <f>SUM('MATRICULA-POS plan'!T112:T120)</f>
        <v>142</v>
      </c>
      <c r="S58" s="4559">
        <f>SUM('MATRICULA-POS plan'!U112:U120)</f>
        <v>157</v>
      </c>
      <c r="T58" s="4560">
        <f>SUM('MATRICULA-POS plan'!V112:V120)</f>
        <v>189</v>
      </c>
      <c r="U58" s="4558">
        <f>SUM('MATRICULA-POS plan'!W112:W120)</f>
        <v>191</v>
      </c>
      <c r="V58" s="4559">
        <f>SUM('MATRICULA-POS plan'!X112:X120)</f>
        <v>205</v>
      </c>
      <c r="W58" s="4560">
        <f>SUM('MATRICULA-POS plan'!Y112:Y120)</f>
        <v>188</v>
      </c>
      <c r="X58" s="4558">
        <f>SUM('MATRICULA-POS plan'!Z112:Z120)</f>
        <v>176</v>
      </c>
      <c r="Y58" s="4559">
        <f>SUM('MATRICULA-POS plan'!AA112:AA120)</f>
        <v>208</v>
      </c>
      <c r="Z58" s="4560">
        <f>SUM('MATRICULA-POS plan'!AB112:AB120)</f>
        <v>172</v>
      </c>
      <c r="AA58" s="4558">
        <f>SUM('MATRICULA-POS plan'!AC112:AC120)</f>
        <v>162</v>
      </c>
      <c r="AB58" s="4559">
        <f>SUM('MATRICULA-POS plan'!AD112:AD120)</f>
        <v>156</v>
      </c>
      <c r="AC58" s="4560">
        <f>SUM('MATRICULA-POS plan'!AE112:AE120)</f>
        <v>130</v>
      </c>
      <c r="AD58" s="4558">
        <f>SUM('MATRICULA-POS plan'!AF112:AF120)</f>
        <v>143</v>
      </c>
      <c r="AE58" s="4559">
        <f>SUM('MATRICULA-POS plan'!AG112:AG120)</f>
        <v>139</v>
      </c>
      <c r="AF58" s="4560">
        <f>SUM('MATRICULA-POS plan'!AH112:AH120)</f>
        <v>194</v>
      </c>
      <c r="AG58" s="4558">
        <f>SUM('MATRICULA-POS plan'!AI112:AI120)</f>
        <v>206</v>
      </c>
      <c r="AH58" s="4559">
        <f>SUM('MATRICULA-POS plan'!AJ112:AJ120)</f>
        <v>196</v>
      </c>
      <c r="AI58" s="4560">
        <f>SUM('MATRICULA-POS plan'!AK112:AK120)</f>
        <v>151</v>
      </c>
      <c r="AJ58" s="4558">
        <f>SUM('MATRICULA-POS plan'!AL112:AL120)</f>
        <v>146</v>
      </c>
      <c r="AK58" s="4559">
        <f>SUM('MATRICULA-POS plan'!AM112:AM120)</f>
        <v>145</v>
      </c>
      <c r="AL58" s="4560">
        <f>SUM('MATRICULA-POS plan'!AN112:AN120)</f>
        <v>202</v>
      </c>
      <c r="AM58" s="4558">
        <f>SUM('MATRICULA-POS plan'!AO112:AO120)</f>
        <v>184</v>
      </c>
      <c r="AN58" s="4559">
        <f>SUM('MATRICULA-POS plan'!AP112:AP120)</f>
        <v>178</v>
      </c>
      <c r="AO58" s="4560">
        <f>SUM('MATRICULA-POS plan'!AQ112:AQ120)</f>
        <v>179</v>
      </c>
      <c r="AP58" s="4558">
        <f>SUM('MATRICULA-POS plan'!AR112:AR120)</f>
        <v>186</v>
      </c>
      <c r="AQ58" s="4559">
        <f>SUM('MATRICULA-POS plan'!AS112:AS120)</f>
        <v>179</v>
      </c>
      <c r="AR58" s="4560">
        <f>SUM('MATRICULA-POS plan'!AT112:AT120)</f>
        <v>183</v>
      </c>
      <c r="AS58" s="4558">
        <f>SUM('MATRICULA-POS plan'!AU112:AU122)</f>
        <v>197</v>
      </c>
      <c r="AT58" s="4559">
        <f>SUM('MATRICULA-POS plan'!AV112:AV122)</f>
        <v>197</v>
      </c>
      <c r="AU58" s="4560">
        <f>SUM('MATRICULA-POS plan'!AW112:AW122)</f>
        <v>161</v>
      </c>
    </row>
    <row r="59" spans="1:47" ht="12.95" customHeight="1" x14ac:dyDescent="0.2">
      <c r="A59" s="6224"/>
      <c r="B59" s="4561" t="s">
        <v>617</v>
      </c>
      <c r="C59" s="4562">
        <f>SUM('MATRICULA-POS plan'!E123:E125)</f>
        <v>125</v>
      </c>
      <c r="D59" s="4563">
        <f>SUM('MATRICULA-POS plan'!F123:F125)</f>
        <v>113</v>
      </c>
      <c r="E59" s="4563">
        <f>SUM('MATRICULA-POS plan'!G123:G125)</f>
        <v>129</v>
      </c>
      <c r="F59" s="4562">
        <f>SUM('MATRICULA-POS plan'!H123:H125)</f>
        <v>113</v>
      </c>
      <c r="G59" s="4563">
        <f>SUM('MATRICULA-POS plan'!I123:I125)</f>
        <v>103</v>
      </c>
      <c r="H59" s="4563">
        <f>SUM('MATRICULA-POS plan'!J123:J125)</f>
        <v>91</v>
      </c>
      <c r="I59" s="4562">
        <f>SUM('MATRICULA-POS plan'!K123:K125)</f>
        <v>121</v>
      </c>
      <c r="J59" s="4563">
        <f>SUM('MATRICULA-POS plan'!L123:L125)</f>
        <v>135</v>
      </c>
      <c r="K59" s="4563">
        <f>SUM('MATRICULA-POS plan'!M123:M125)</f>
        <v>141</v>
      </c>
      <c r="L59" s="4562">
        <f>SUM('MATRICULA-POS plan'!N123:N125)</f>
        <v>110</v>
      </c>
      <c r="M59" s="4563">
        <f>SUM('MATRICULA-POS plan'!O123:O125)</f>
        <v>108</v>
      </c>
      <c r="N59" s="4564">
        <f>SUM('MATRICULA-POS plan'!P123:P125)</f>
        <v>100</v>
      </c>
      <c r="O59" s="4563">
        <f>SUM('MATRICULA-POS plan'!Q123:Q125)</f>
        <v>167</v>
      </c>
      <c r="P59" s="4563">
        <f>SUM('MATRICULA-POS plan'!R123:R125)</f>
        <v>165</v>
      </c>
      <c r="Q59" s="4564">
        <f>SUM('MATRICULA-POS plan'!S123:S125)</f>
        <v>146</v>
      </c>
      <c r="R59" s="4562">
        <f>SUM('MATRICULA-POS plan'!T123:T125)</f>
        <v>145</v>
      </c>
      <c r="S59" s="4563">
        <f>SUM('MATRICULA-POS plan'!U123:U125)</f>
        <v>158</v>
      </c>
      <c r="T59" s="4564">
        <f>SUM('MATRICULA-POS plan'!V123:V125)</f>
        <v>127</v>
      </c>
      <c r="U59" s="4562">
        <f>SUM('MATRICULA-POS plan'!W123:W125)</f>
        <v>165</v>
      </c>
      <c r="V59" s="4563">
        <f>SUM('MATRICULA-POS plan'!X123:X125)</f>
        <v>206</v>
      </c>
      <c r="W59" s="4564">
        <f>SUM('MATRICULA-POS plan'!Y123:Y125)</f>
        <v>184</v>
      </c>
      <c r="X59" s="4562">
        <f>SUM('MATRICULA-POS plan'!Z123:Z125)</f>
        <v>153</v>
      </c>
      <c r="Y59" s="4563">
        <f>SUM('MATRICULA-POS plan'!AA123:AA125)</f>
        <v>191</v>
      </c>
      <c r="Z59" s="4564">
        <f>SUM('MATRICULA-POS plan'!AB123:AB125)</f>
        <v>141</v>
      </c>
      <c r="AA59" s="4562">
        <f>SUM('MATRICULA-POS plan'!AC123:AC125)</f>
        <v>180</v>
      </c>
      <c r="AB59" s="4563">
        <f>SUM('MATRICULA-POS plan'!AD123:AD125)</f>
        <v>150</v>
      </c>
      <c r="AC59" s="4564">
        <f>SUM('MATRICULA-POS plan'!AE123:AE125)</f>
        <v>148</v>
      </c>
      <c r="AD59" s="4562">
        <f>SUM('MATRICULA-POS plan'!AF123:AF125)</f>
        <v>142</v>
      </c>
      <c r="AE59" s="4563">
        <f>SUM('MATRICULA-POS plan'!AG123:AG125)</f>
        <v>130</v>
      </c>
      <c r="AF59" s="4564">
        <f>SUM('MATRICULA-POS plan'!AH123:AH125)</f>
        <v>128</v>
      </c>
      <c r="AG59" s="4562">
        <f>SUM('MATRICULA-POS plan'!AI123:AI125)</f>
        <v>156</v>
      </c>
      <c r="AH59" s="4563">
        <f>SUM('MATRICULA-POS plan'!AJ123:AJ125)</f>
        <v>153</v>
      </c>
      <c r="AI59" s="4564">
        <f>SUM('MATRICULA-POS plan'!AK123:AK125)</f>
        <v>150</v>
      </c>
      <c r="AJ59" s="4562">
        <f>SUM('MATRICULA-POS plan'!AL123:AL125)</f>
        <v>137</v>
      </c>
      <c r="AK59" s="4563">
        <f>SUM('MATRICULA-POS plan'!AM123:AM125)</f>
        <v>143</v>
      </c>
      <c r="AL59" s="4564">
        <f>SUM('MATRICULA-POS plan'!AN123:AN125)</f>
        <v>141</v>
      </c>
      <c r="AM59" s="4562">
        <f>SUM('MATRICULA-POS plan'!AO123:AO125)</f>
        <v>153</v>
      </c>
      <c r="AN59" s="4563">
        <f>SUM('MATRICULA-POS plan'!AP123:AP125)</f>
        <v>140</v>
      </c>
      <c r="AO59" s="4564">
        <f>SUM('MATRICULA-POS plan'!AQ123:AQ125)</f>
        <v>152</v>
      </c>
      <c r="AP59" s="4562">
        <f>SUM('MATRICULA-POS plan'!AR123:AR125)</f>
        <v>148</v>
      </c>
      <c r="AQ59" s="4563">
        <f>SUM('MATRICULA-POS plan'!AS123:AS125)</f>
        <v>140</v>
      </c>
      <c r="AR59" s="4564">
        <f>SUM('MATRICULA-POS plan'!AT123:AT125)</f>
        <v>148</v>
      </c>
      <c r="AS59" s="4562">
        <f>SUM('MATRICULA-POS plan'!AU123:AU127)</f>
        <v>163</v>
      </c>
      <c r="AT59" s="4563">
        <f>SUM('MATRICULA-POS plan'!AV123:AV127)</f>
        <v>167</v>
      </c>
      <c r="AU59" s="4564">
        <f>SUM('MATRICULA-POS plan'!AW123:AW127)</f>
        <v>186</v>
      </c>
    </row>
    <row r="60" spans="1:47" s="222" customFormat="1" ht="12.95" customHeight="1" x14ac:dyDescent="0.2">
      <c r="A60" s="6224"/>
      <c r="B60" s="574" t="s">
        <v>14</v>
      </c>
      <c r="C60" s="575">
        <v>280</v>
      </c>
      <c r="D60" s="576">
        <v>279</v>
      </c>
      <c r="E60" s="576">
        <v>308</v>
      </c>
      <c r="F60" s="575">
        <v>263</v>
      </c>
      <c r="G60" s="576">
        <v>237</v>
      </c>
      <c r="H60" s="576">
        <v>262</v>
      </c>
      <c r="I60" s="575">
        <v>275</v>
      </c>
      <c r="J60" s="576">
        <v>280</v>
      </c>
      <c r="K60" s="576">
        <v>291</v>
      </c>
      <c r="L60" s="575">
        <v>256</v>
      </c>
      <c r="M60" s="576">
        <v>248</v>
      </c>
      <c r="N60" s="577">
        <v>278</v>
      </c>
      <c r="O60" s="576">
        <v>333</v>
      </c>
      <c r="P60" s="576">
        <v>310</v>
      </c>
      <c r="Q60" s="577">
        <v>299</v>
      </c>
      <c r="R60" s="575">
        <v>291</v>
      </c>
      <c r="S60" s="576">
        <v>319</v>
      </c>
      <c r="T60" s="577">
        <v>338</v>
      </c>
      <c r="U60" s="575">
        <f t="shared" ref="U60:Z60" si="43">SUM(U57:U59)</f>
        <v>358</v>
      </c>
      <c r="V60" s="576">
        <f t="shared" si="43"/>
        <v>413</v>
      </c>
      <c r="W60" s="577">
        <f t="shared" si="43"/>
        <v>374</v>
      </c>
      <c r="X60" s="575">
        <f t="shared" si="43"/>
        <v>329</v>
      </c>
      <c r="Y60" s="576">
        <f t="shared" si="43"/>
        <v>399</v>
      </c>
      <c r="Z60" s="577">
        <f t="shared" si="43"/>
        <v>332</v>
      </c>
      <c r="AA60" s="575">
        <f>SUM(AA57:AA59)</f>
        <v>364</v>
      </c>
      <c r="AB60" s="576">
        <f>SUM(AB57:AB59)</f>
        <v>328</v>
      </c>
      <c r="AC60" s="577">
        <f>SUM(AC57:AC59)</f>
        <v>335</v>
      </c>
      <c r="AD60" s="575">
        <f>SUM(AD57:AD59)</f>
        <v>324</v>
      </c>
      <c r="AE60" s="576">
        <f t="shared" ref="AE60:AR60" si="44">SUM(AE57:AE59)</f>
        <v>309</v>
      </c>
      <c r="AF60" s="577">
        <f t="shared" si="44"/>
        <v>359</v>
      </c>
      <c r="AG60" s="575">
        <f t="shared" si="44"/>
        <v>390</v>
      </c>
      <c r="AH60" s="576">
        <f t="shared" si="44"/>
        <v>353</v>
      </c>
      <c r="AI60" s="577">
        <f t="shared" si="44"/>
        <v>337</v>
      </c>
      <c r="AJ60" s="575">
        <f t="shared" si="44"/>
        <v>320</v>
      </c>
      <c r="AK60" s="576">
        <f t="shared" si="44"/>
        <v>325</v>
      </c>
      <c r="AL60" s="577">
        <f t="shared" si="44"/>
        <v>376</v>
      </c>
      <c r="AM60" s="575">
        <f t="shared" si="44"/>
        <v>346</v>
      </c>
      <c r="AN60" s="576">
        <f t="shared" si="44"/>
        <v>327</v>
      </c>
      <c r="AO60" s="577">
        <f t="shared" si="44"/>
        <v>340</v>
      </c>
      <c r="AP60" s="575">
        <f t="shared" si="44"/>
        <v>372</v>
      </c>
      <c r="AQ60" s="576">
        <f t="shared" si="44"/>
        <v>357</v>
      </c>
      <c r="AR60" s="577">
        <f t="shared" si="44"/>
        <v>356</v>
      </c>
      <c r="AS60" s="575">
        <f>SUM(AS57:AS59)</f>
        <v>396</v>
      </c>
      <c r="AT60" s="576">
        <f>SUM(AT57:AT59)</f>
        <v>368</v>
      </c>
      <c r="AU60" s="577">
        <f>SUM(AU57:AU59)</f>
        <v>380</v>
      </c>
    </row>
    <row r="61" spans="1:47" ht="12.95" customHeight="1" x14ac:dyDescent="0.2">
      <c r="A61" s="6223" t="s">
        <v>11</v>
      </c>
      <c r="B61" s="4553" t="s">
        <v>615</v>
      </c>
      <c r="C61" s="4554">
        <f>SUM('MATRICULA-POS plan'!E129:E131)</f>
        <v>12</v>
      </c>
      <c r="D61" s="4555">
        <f>SUM('MATRICULA-POS plan'!F129:F131)</f>
        <v>8</v>
      </c>
      <c r="E61" s="4555">
        <f>SUM('MATRICULA-POS plan'!G129:G131)</f>
        <v>6</v>
      </c>
      <c r="F61" s="4554">
        <f>SUM('MATRICULA-POS plan'!H129:H131)</f>
        <v>10</v>
      </c>
      <c r="G61" s="4555">
        <f>SUM('MATRICULA-POS plan'!I129:I131)</f>
        <v>10</v>
      </c>
      <c r="H61" s="4555">
        <f>SUM('MATRICULA-POS plan'!J129:J131)</f>
        <v>10</v>
      </c>
      <c r="I61" s="4554">
        <f>SUM('MATRICULA-POS plan'!K129:K131)</f>
        <v>0</v>
      </c>
      <c r="J61" s="4555">
        <f>SUM('MATRICULA-POS plan'!L129:L131)</f>
        <v>0</v>
      </c>
      <c r="K61" s="4555">
        <f>SUM('MATRICULA-POS plan'!M129:M131)</f>
        <v>0</v>
      </c>
      <c r="L61" s="4554">
        <f>SUM('MATRICULA-POS plan'!N129:N131)</f>
        <v>13</v>
      </c>
      <c r="M61" s="4555">
        <f>SUM('MATRICULA-POS plan'!O129:O131)</f>
        <v>11</v>
      </c>
      <c r="N61" s="4556">
        <f>SUM('MATRICULA-POS plan'!P129:P131)</f>
        <v>11</v>
      </c>
      <c r="O61" s="4555">
        <f>SUM('MATRICULA-POS plan'!Q129:Q131)</f>
        <v>8</v>
      </c>
      <c r="P61" s="4555">
        <f>SUM('MATRICULA-POS plan'!R129:R131)</f>
        <v>8</v>
      </c>
      <c r="Q61" s="4556">
        <f>SUM('MATRICULA-POS plan'!S129:S131)</f>
        <v>8</v>
      </c>
      <c r="R61" s="4554">
        <f>SUM('MATRICULA-POS plan'!T129:T131)</f>
        <v>12</v>
      </c>
      <c r="S61" s="4555">
        <f>SUM('MATRICULA-POS plan'!U129:U131)</f>
        <v>12</v>
      </c>
      <c r="T61" s="4556">
        <f>SUM('MATRICULA-POS plan'!V129:V131)</f>
        <v>12</v>
      </c>
      <c r="U61" s="4554">
        <f>SUM('MATRICULA-POS plan'!W129:W131)</f>
        <v>10</v>
      </c>
      <c r="V61" s="4555">
        <f>SUM('MATRICULA-POS plan'!X129:X131)</f>
        <v>8</v>
      </c>
      <c r="W61" s="4556">
        <f>SUM('MATRICULA-POS plan'!Y129:Y131)</f>
        <v>7</v>
      </c>
      <c r="X61" s="4554">
        <f>SUM('MATRICULA-POS plan'!Z129:Z131)</f>
        <v>1</v>
      </c>
      <c r="Y61" s="4555">
        <f>SUM('MATRICULA-POS plan'!AA129:AA131)</f>
        <v>0</v>
      </c>
      <c r="Z61" s="4556">
        <f>SUM('MATRICULA-POS plan'!AB129:AB131)</f>
        <v>0</v>
      </c>
      <c r="AA61" s="4554">
        <f>SUM('MATRICULA-POS plan'!AC129:AC131)</f>
        <v>31</v>
      </c>
      <c r="AB61" s="4555">
        <f>SUM('MATRICULA-POS plan'!AD129:AD131)</f>
        <v>20</v>
      </c>
      <c r="AC61" s="4556">
        <f>SUM('MATRICULA-POS plan'!AE129:AE131)</f>
        <v>28</v>
      </c>
      <c r="AD61" s="4554">
        <f>SUM('MATRICULA-POS plan'!AF129:AF131)</f>
        <v>29</v>
      </c>
      <c r="AE61" s="4555">
        <f>SUM('MATRICULA-POS plan'!AG129:AG131)</f>
        <v>20</v>
      </c>
      <c r="AF61" s="4556">
        <f>SUM('MATRICULA-POS plan'!AH129:AH131)</f>
        <v>16</v>
      </c>
      <c r="AG61" s="4554">
        <f>SUM('MATRICULA-POS plan'!AI129:AI131)</f>
        <v>30</v>
      </c>
      <c r="AH61" s="4555">
        <f>SUM('MATRICULA-POS plan'!AJ129:AJ131)</f>
        <v>29</v>
      </c>
      <c r="AI61" s="4556">
        <f>SUM('MATRICULA-POS plan'!AK129:AK131)</f>
        <v>10</v>
      </c>
      <c r="AJ61" s="4554">
        <f>SUM('MATRICULA-POS plan'!AL129:AL131)</f>
        <v>17</v>
      </c>
      <c r="AK61" s="4555">
        <f>SUM('MATRICULA-POS plan'!AM129:AM131)</f>
        <v>10</v>
      </c>
      <c r="AL61" s="4556">
        <f>SUM('MATRICULA-POS plan'!AN129:AN131)</f>
        <v>10</v>
      </c>
      <c r="AM61" s="4554">
        <f>SUM('MATRICULA-POS plan'!AO129:AO131)</f>
        <v>11</v>
      </c>
      <c r="AN61" s="4555">
        <f>SUM('MATRICULA-POS plan'!AP129:AP131)</f>
        <v>6</v>
      </c>
      <c r="AO61" s="4556">
        <f>SUM('MATRICULA-POS plan'!AQ129:AQ131)</f>
        <v>6</v>
      </c>
      <c r="AP61" s="4554">
        <f>SUM('MATRICULA-POS plan'!AR129:AR131)</f>
        <v>12</v>
      </c>
      <c r="AQ61" s="4555">
        <f>SUM('MATRICULA-POS plan'!AS129:AS131)</f>
        <v>12</v>
      </c>
      <c r="AR61" s="4556">
        <f>SUM('MATRICULA-POS plan'!AT129:AT131)</f>
        <v>12</v>
      </c>
      <c r="AS61" s="4554">
        <f>SUM('MATRICULA-POS plan'!AU129:AU131)</f>
        <v>9</v>
      </c>
      <c r="AT61" s="4555">
        <f>SUM('MATRICULA-POS plan'!AV129:AV131)</f>
        <v>4</v>
      </c>
      <c r="AU61" s="4556">
        <f>SUM('MATRICULA-POS plan'!AW129:AW131)</f>
        <v>2</v>
      </c>
    </row>
    <row r="62" spans="1:47" ht="12.95" customHeight="1" x14ac:dyDescent="0.2">
      <c r="A62" s="6224"/>
      <c r="B62" s="4557" t="s">
        <v>616</v>
      </c>
      <c r="C62" s="4558">
        <f>SUM('MATRICULA-POS plan'!E132:E139)</f>
        <v>93</v>
      </c>
      <c r="D62" s="4559">
        <f>SUM('MATRICULA-POS plan'!F132:F139)</f>
        <v>80</v>
      </c>
      <c r="E62" s="4559">
        <f>SUM('MATRICULA-POS plan'!G132:G139)</f>
        <v>88</v>
      </c>
      <c r="F62" s="4558">
        <f>SUM('MATRICULA-POS plan'!H132:H139)</f>
        <v>83</v>
      </c>
      <c r="G62" s="4559">
        <f>SUM('MATRICULA-POS plan'!I132:I139)</f>
        <v>79</v>
      </c>
      <c r="H62" s="4559">
        <f>SUM('MATRICULA-POS plan'!J132:J139)</f>
        <v>77</v>
      </c>
      <c r="I62" s="4558">
        <f>SUM('MATRICULA-POS plan'!K132:K139)</f>
        <v>84</v>
      </c>
      <c r="J62" s="4559">
        <f>SUM('MATRICULA-POS plan'!L132:L139)</f>
        <v>81</v>
      </c>
      <c r="K62" s="4559">
        <f>SUM('MATRICULA-POS plan'!M132:M139)</f>
        <v>114</v>
      </c>
      <c r="L62" s="4558">
        <f>SUM('MATRICULA-POS plan'!N132:N139)</f>
        <v>105</v>
      </c>
      <c r="M62" s="4559">
        <f>SUM('MATRICULA-POS plan'!O132:O139)</f>
        <v>105</v>
      </c>
      <c r="N62" s="4560">
        <f>SUM('MATRICULA-POS plan'!P132:P139)</f>
        <v>118</v>
      </c>
      <c r="O62" s="4559">
        <f>SUM('MATRICULA-POS plan'!Q132:Q139)</f>
        <v>115</v>
      </c>
      <c r="P62" s="4559">
        <f>SUM('MATRICULA-POS plan'!R132:R139)</f>
        <v>110</v>
      </c>
      <c r="Q62" s="4560">
        <f>SUM('MATRICULA-POS plan'!S132:S139)</f>
        <v>132</v>
      </c>
      <c r="R62" s="4558">
        <f>SUM('MATRICULA-POS plan'!T132:T139)</f>
        <v>109</v>
      </c>
      <c r="S62" s="4559">
        <f>SUM('MATRICULA-POS plan'!U132:U139)</f>
        <v>110</v>
      </c>
      <c r="T62" s="4560">
        <f>SUM('MATRICULA-POS plan'!V132:V139)</f>
        <v>137</v>
      </c>
      <c r="U62" s="4558">
        <f>SUM('MATRICULA-POS plan'!W132:W139)</f>
        <v>131</v>
      </c>
      <c r="V62" s="4559">
        <f>SUM('MATRICULA-POS plan'!X132:X139)</f>
        <v>136</v>
      </c>
      <c r="W62" s="4560">
        <f>SUM('MATRICULA-POS plan'!Y132:Y139)</f>
        <v>146</v>
      </c>
      <c r="X62" s="4558">
        <f>SUM('MATRICULA-POS plan'!Z132:Z139)</f>
        <v>145</v>
      </c>
      <c r="Y62" s="4559">
        <f>SUM('MATRICULA-POS plan'!AA132:AA139)</f>
        <v>148</v>
      </c>
      <c r="Z62" s="4560">
        <f>SUM('MATRICULA-POS plan'!AB132:AB139)</f>
        <v>148</v>
      </c>
      <c r="AA62" s="4558">
        <f>SUM('MATRICULA-POS plan'!AC132:AC139)</f>
        <v>132</v>
      </c>
      <c r="AB62" s="4559">
        <f>SUM('MATRICULA-POS plan'!AD132:AD139)</f>
        <v>132</v>
      </c>
      <c r="AC62" s="4560">
        <f>SUM('MATRICULA-POS plan'!AE132:AE139)</f>
        <v>122</v>
      </c>
      <c r="AD62" s="4558">
        <f>SUM('MATRICULA-POS plan'!AF132:AF139)</f>
        <v>134</v>
      </c>
      <c r="AE62" s="4559">
        <f>SUM('MATRICULA-POS plan'!AG132:AG139)</f>
        <v>136</v>
      </c>
      <c r="AF62" s="4560">
        <f>SUM('MATRICULA-POS plan'!AH132:AH139)</f>
        <v>157</v>
      </c>
      <c r="AG62" s="4558">
        <f>SUM('MATRICULA-POS plan'!AI132:AI139)</f>
        <v>161</v>
      </c>
      <c r="AH62" s="4559">
        <f>SUM('MATRICULA-POS plan'!AJ132:AJ139)</f>
        <v>169</v>
      </c>
      <c r="AI62" s="4560">
        <f>SUM('MATRICULA-POS plan'!AK132:AK139)</f>
        <v>160</v>
      </c>
      <c r="AJ62" s="4558">
        <f>SUM('MATRICULA-POS plan'!AL132:AL139)</f>
        <v>148</v>
      </c>
      <c r="AK62" s="4559">
        <f>SUM('MATRICULA-POS plan'!AM132:AM139)</f>
        <v>168</v>
      </c>
      <c r="AL62" s="4560">
        <f>SUM('MATRICULA-POS plan'!AN132:AN139)</f>
        <v>185</v>
      </c>
      <c r="AM62" s="4558">
        <f>SUM('MATRICULA-POS plan'!AO132:AO139)</f>
        <v>181</v>
      </c>
      <c r="AN62" s="4559">
        <f>SUM('MATRICULA-POS plan'!AP132:AP139)</f>
        <v>189</v>
      </c>
      <c r="AO62" s="4560">
        <f>SUM('MATRICULA-POS plan'!AQ132:AQ139)</f>
        <v>194</v>
      </c>
      <c r="AP62" s="4558">
        <f>SUM('MATRICULA-POS plan'!AR132:AR139)</f>
        <v>183</v>
      </c>
      <c r="AQ62" s="4559">
        <f>SUM('MATRICULA-POS plan'!AS132:AS139)</f>
        <v>180</v>
      </c>
      <c r="AR62" s="4560">
        <f>SUM('MATRICULA-POS plan'!AT132:AT139)</f>
        <v>175</v>
      </c>
      <c r="AS62" s="4558">
        <f>SUM('MATRICULA-POS plan'!AU132:AU139)</f>
        <v>182</v>
      </c>
      <c r="AT62" s="4559">
        <f>SUM('MATRICULA-POS plan'!AV132:AV139)</f>
        <v>171</v>
      </c>
      <c r="AU62" s="4560">
        <f>SUM('MATRICULA-POS plan'!AW132:AW139)</f>
        <v>186</v>
      </c>
    </row>
    <row r="63" spans="1:47" ht="12.95" customHeight="1" x14ac:dyDescent="0.2">
      <c r="A63" s="6224"/>
      <c r="B63" s="4561" t="s">
        <v>617</v>
      </c>
      <c r="C63" s="4562">
        <f>SUM('MATRICULA-POS plan'!E140:E142)</f>
        <v>62</v>
      </c>
      <c r="D63" s="4563">
        <f>SUM('MATRICULA-POS plan'!F140:F142)</f>
        <v>56</v>
      </c>
      <c r="E63" s="4563">
        <f>SUM('MATRICULA-POS plan'!G140:G142)</f>
        <v>66</v>
      </c>
      <c r="F63" s="4562">
        <f>SUM('MATRICULA-POS plan'!H140:H142)</f>
        <v>57</v>
      </c>
      <c r="G63" s="4563">
        <f>SUM('MATRICULA-POS plan'!I140:I142)</f>
        <v>56</v>
      </c>
      <c r="H63" s="4563">
        <f>SUM('MATRICULA-POS plan'!J140:J142)</f>
        <v>58</v>
      </c>
      <c r="I63" s="4562">
        <f>SUM('MATRICULA-POS plan'!K140:K142)</f>
        <v>57</v>
      </c>
      <c r="J63" s="4563">
        <f>SUM('MATRICULA-POS plan'!L140:L142)</f>
        <v>55</v>
      </c>
      <c r="K63" s="4563">
        <f>SUM('MATRICULA-POS plan'!M140:M142)</f>
        <v>63</v>
      </c>
      <c r="L63" s="4562">
        <f>SUM('MATRICULA-POS plan'!N140:N142)</f>
        <v>56</v>
      </c>
      <c r="M63" s="4563">
        <f>SUM('MATRICULA-POS plan'!O140:O142)</f>
        <v>48</v>
      </c>
      <c r="N63" s="4564">
        <f>SUM('MATRICULA-POS plan'!P140:P142)</f>
        <v>71</v>
      </c>
      <c r="O63" s="4563">
        <f>SUM('MATRICULA-POS plan'!Q140:Q142)</f>
        <v>79</v>
      </c>
      <c r="P63" s="4563">
        <f>SUM('MATRICULA-POS plan'!R140:R142)</f>
        <v>64</v>
      </c>
      <c r="Q63" s="4564">
        <f>SUM('MATRICULA-POS plan'!S140:S142)</f>
        <v>79</v>
      </c>
      <c r="R63" s="4562">
        <f>SUM('MATRICULA-POS plan'!T140:T142)</f>
        <v>76</v>
      </c>
      <c r="S63" s="4563">
        <f>SUM('MATRICULA-POS plan'!U140:U142)</f>
        <v>66</v>
      </c>
      <c r="T63" s="4564">
        <f>SUM('MATRICULA-POS plan'!V140:V142)</f>
        <v>72</v>
      </c>
      <c r="U63" s="4562">
        <f>SUM('MATRICULA-POS plan'!W140:W142)</f>
        <v>78</v>
      </c>
      <c r="V63" s="4563">
        <f>SUM('MATRICULA-POS plan'!X140:X142)</f>
        <v>78</v>
      </c>
      <c r="W63" s="4564">
        <f>SUM('MATRICULA-POS plan'!Y140:Y142)</f>
        <v>85</v>
      </c>
      <c r="X63" s="4562">
        <f>SUM('MATRICULA-POS plan'!Z140:Z142)</f>
        <v>87</v>
      </c>
      <c r="Y63" s="4563">
        <f>SUM('MATRICULA-POS plan'!AA140:AA142)</f>
        <v>73</v>
      </c>
      <c r="Z63" s="4564">
        <f>SUM('MATRICULA-POS plan'!AB140:AB142)</f>
        <v>86</v>
      </c>
      <c r="AA63" s="4562">
        <f>SUM('MATRICULA-POS plan'!AC140:AC142)</f>
        <v>92</v>
      </c>
      <c r="AB63" s="4563">
        <f>SUM('MATRICULA-POS plan'!AD140:AD142)</f>
        <v>78</v>
      </c>
      <c r="AC63" s="4564">
        <f>SUM('MATRICULA-POS plan'!AE140:AE142)</f>
        <v>88</v>
      </c>
      <c r="AD63" s="4562">
        <f>SUM('MATRICULA-POS plan'!AF140:AF142)</f>
        <v>87</v>
      </c>
      <c r="AE63" s="4563">
        <f>SUM('MATRICULA-POS plan'!AG140:AG142)</f>
        <v>80</v>
      </c>
      <c r="AF63" s="4564">
        <f>SUM('MATRICULA-POS plan'!AH140:AH142)</f>
        <v>97</v>
      </c>
      <c r="AG63" s="4562">
        <f>SUM('MATRICULA-POS plan'!AI140:AI142)</f>
        <v>101</v>
      </c>
      <c r="AH63" s="4563">
        <f>SUM('MATRICULA-POS plan'!AJ140:AJ142)</f>
        <v>97</v>
      </c>
      <c r="AI63" s="4564">
        <f>SUM('MATRICULA-POS plan'!AK140:AK142)</f>
        <v>100</v>
      </c>
      <c r="AJ63" s="4562">
        <f>SUM('MATRICULA-POS plan'!AL140:AL142)</f>
        <v>89</v>
      </c>
      <c r="AK63" s="4563">
        <f>SUM('MATRICULA-POS plan'!AM140:AM142)</f>
        <v>91</v>
      </c>
      <c r="AL63" s="4564">
        <f>SUM('MATRICULA-POS plan'!AN140:AN142)</f>
        <v>114</v>
      </c>
      <c r="AM63" s="4562">
        <f>SUM('MATRICULA-POS plan'!AO140:AO142)</f>
        <v>117</v>
      </c>
      <c r="AN63" s="4563">
        <f>SUM('MATRICULA-POS plan'!AP140:AP142)</f>
        <v>111</v>
      </c>
      <c r="AO63" s="4564">
        <f>SUM('MATRICULA-POS plan'!AQ140:AQ142)</f>
        <v>110</v>
      </c>
      <c r="AP63" s="4562">
        <f>SUM('MATRICULA-POS plan'!AR140:AR142)</f>
        <v>116</v>
      </c>
      <c r="AQ63" s="4563">
        <f>SUM('MATRICULA-POS plan'!AS140:AS142)</f>
        <v>105</v>
      </c>
      <c r="AR63" s="4564">
        <f>SUM('MATRICULA-POS plan'!AT140:AT142)</f>
        <v>129</v>
      </c>
      <c r="AS63" s="4562">
        <f>SUM('MATRICULA-POS plan'!AU140:AU142)</f>
        <v>139</v>
      </c>
      <c r="AT63" s="4563">
        <f>SUM('MATRICULA-POS plan'!AV140:AV142)</f>
        <v>137</v>
      </c>
      <c r="AU63" s="4564">
        <f>SUM('MATRICULA-POS plan'!AW140:AW142)</f>
        <v>120</v>
      </c>
    </row>
    <row r="64" spans="1:47" s="222" customFormat="1" ht="12.95" customHeight="1" x14ac:dyDescent="0.2">
      <c r="A64" s="6224"/>
      <c r="B64" s="574" t="s">
        <v>30</v>
      </c>
      <c r="C64" s="575">
        <v>167</v>
      </c>
      <c r="D64" s="576">
        <v>144</v>
      </c>
      <c r="E64" s="576">
        <v>160</v>
      </c>
      <c r="F64" s="575">
        <v>150</v>
      </c>
      <c r="G64" s="576">
        <v>145</v>
      </c>
      <c r="H64" s="576">
        <v>145</v>
      </c>
      <c r="I64" s="575">
        <v>141</v>
      </c>
      <c r="J64" s="576">
        <v>136</v>
      </c>
      <c r="K64" s="576">
        <v>177</v>
      </c>
      <c r="L64" s="575">
        <v>174</v>
      </c>
      <c r="M64" s="576">
        <v>164</v>
      </c>
      <c r="N64" s="577">
        <v>200</v>
      </c>
      <c r="O64" s="576">
        <v>202</v>
      </c>
      <c r="P64" s="576">
        <v>182</v>
      </c>
      <c r="Q64" s="577">
        <v>219</v>
      </c>
      <c r="R64" s="575">
        <v>197</v>
      </c>
      <c r="S64" s="576">
        <v>188</v>
      </c>
      <c r="T64" s="577">
        <v>221</v>
      </c>
      <c r="U64" s="575">
        <f t="shared" ref="U64:Z64" si="45">SUM(U61:U63)</f>
        <v>219</v>
      </c>
      <c r="V64" s="576">
        <f t="shared" si="45"/>
        <v>222</v>
      </c>
      <c r="W64" s="577">
        <f t="shared" si="45"/>
        <v>238</v>
      </c>
      <c r="X64" s="575">
        <f t="shared" si="45"/>
        <v>233</v>
      </c>
      <c r="Y64" s="576">
        <f t="shared" si="45"/>
        <v>221</v>
      </c>
      <c r="Z64" s="577">
        <f t="shared" si="45"/>
        <v>234</v>
      </c>
      <c r="AA64" s="575">
        <f>SUM(AA61:AA63)</f>
        <v>255</v>
      </c>
      <c r="AB64" s="576">
        <f>SUM(AB61:AB63)</f>
        <v>230</v>
      </c>
      <c r="AC64" s="577">
        <f>SUM(AC61:AC63)</f>
        <v>238</v>
      </c>
      <c r="AD64" s="575">
        <f>SUM(AD61:AD63)</f>
        <v>250</v>
      </c>
      <c r="AE64" s="576">
        <f t="shared" ref="AE64:AR64" si="46">SUM(AE61:AE63)</f>
        <v>236</v>
      </c>
      <c r="AF64" s="577">
        <f t="shared" si="46"/>
        <v>270</v>
      </c>
      <c r="AG64" s="575">
        <f t="shared" si="46"/>
        <v>292</v>
      </c>
      <c r="AH64" s="576">
        <f t="shared" si="46"/>
        <v>295</v>
      </c>
      <c r="AI64" s="577">
        <f t="shared" si="46"/>
        <v>270</v>
      </c>
      <c r="AJ64" s="575">
        <f t="shared" si="46"/>
        <v>254</v>
      </c>
      <c r="AK64" s="576">
        <f t="shared" si="46"/>
        <v>269</v>
      </c>
      <c r="AL64" s="577">
        <f t="shared" si="46"/>
        <v>309</v>
      </c>
      <c r="AM64" s="575">
        <f t="shared" si="46"/>
        <v>309</v>
      </c>
      <c r="AN64" s="576">
        <f t="shared" si="46"/>
        <v>306</v>
      </c>
      <c r="AO64" s="577">
        <f t="shared" si="46"/>
        <v>310</v>
      </c>
      <c r="AP64" s="575">
        <f t="shared" si="46"/>
        <v>311</v>
      </c>
      <c r="AQ64" s="576">
        <f t="shared" si="46"/>
        <v>297</v>
      </c>
      <c r="AR64" s="577">
        <f t="shared" si="46"/>
        <v>316</v>
      </c>
      <c r="AS64" s="575">
        <f>SUM(AS61:AS63)</f>
        <v>330</v>
      </c>
      <c r="AT64" s="576">
        <f>SUM(AT61:AT63)</f>
        <v>312</v>
      </c>
      <c r="AU64" s="577">
        <f>SUM(AU61:AU63)</f>
        <v>308</v>
      </c>
    </row>
    <row r="65" spans="1:47" ht="12.95" customHeight="1" x14ac:dyDescent="0.2">
      <c r="A65" s="6223" t="s">
        <v>7</v>
      </c>
      <c r="B65" s="4553" t="s">
        <v>615</v>
      </c>
      <c r="C65" s="4554"/>
      <c r="D65" s="4555"/>
      <c r="E65" s="4555"/>
      <c r="F65" s="4554"/>
      <c r="G65" s="4555"/>
      <c r="H65" s="4555"/>
      <c r="I65" s="4554"/>
      <c r="J65" s="4555"/>
      <c r="K65" s="4555"/>
      <c r="L65" s="4554"/>
      <c r="M65" s="4555"/>
      <c r="N65" s="4556"/>
      <c r="O65" s="4555"/>
      <c r="P65" s="4555"/>
      <c r="Q65" s="4556"/>
      <c r="R65" s="4554"/>
      <c r="S65" s="4555"/>
      <c r="T65" s="4556"/>
      <c r="U65" s="4554"/>
      <c r="V65" s="4555"/>
      <c r="W65" s="4556"/>
      <c r="X65" s="4554"/>
      <c r="Y65" s="4555"/>
      <c r="Z65" s="4556"/>
      <c r="AA65" s="4554"/>
      <c r="AB65" s="4555"/>
      <c r="AC65" s="4556"/>
      <c r="AD65" s="4554"/>
      <c r="AE65" s="4555"/>
      <c r="AF65" s="4556"/>
      <c r="AG65" s="4554"/>
      <c r="AH65" s="4555"/>
      <c r="AI65" s="4556"/>
      <c r="AJ65" s="4554"/>
      <c r="AK65" s="4555"/>
      <c r="AL65" s="4556"/>
      <c r="AM65" s="4554"/>
      <c r="AN65" s="4555"/>
      <c r="AO65" s="4556"/>
      <c r="AP65" s="4554"/>
      <c r="AQ65" s="4555"/>
      <c r="AR65" s="4556"/>
      <c r="AS65" s="4554"/>
      <c r="AT65" s="4555"/>
      <c r="AU65" s="4556"/>
    </row>
    <row r="66" spans="1:47" ht="12.95" customHeight="1" x14ac:dyDescent="0.2">
      <c r="A66" s="6224"/>
      <c r="B66" s="4557" t="s">
        <v>616</v>
      </c>
      <c r="C66" s="4558">
        <f>SUM('MATRICULA-POS plan'!E144:E146)</f>
        <v>20</v>
      </c>
      <c r="D66" s="4559">
        <f>SUM('MATRICULA-POS plan'!F144:F146)</f>
        <v>19</v>
      </c>
      <c r="E66" s="4559">
        <f>SUM('MATRICULA-POS plan'!G144:G146)</f>
        <v>38</v>
      </c>
      <c r="F66" s="4558">
        <f>SUM('MATRICULA-POS plan'!H144:H146)</f>
        <v>37</v>
      </c>
      <c r="G66" s="4559">
        <f>SUM('MATRICULA-POS plan'!I144:I146)</f>
        <v>37</v>
      </c>
      <c r="H66" s="4559">
        <f>SUM('MATRICULA-POS plan'!J144:J146)</f>
        <v>46</v>
      </c>
      <c r="I66" s="4558">
        <f>SUM('MATRICULA-POS plan'!K144:K146)</f>
        <v>47</v>
      </c>
      <c r="J66" s="4559">
        <f>SUM('MATRICULA-POS plan'!L144:L146)</f>
        <v>44</v>
      </c>
      <c r="K66" s="4559">
        <f>SUM('MATRICULA-POS plan'!M144:M146)</f>
        <v>47</v>
      </c>
      <c r="L66" s="4558">
        <f>SUM('MATRICULA-POS plan'!N144:N146)</f>
        <v>47</v>
      </c>
      <c r="M66" s="4559">
        <f>SUM('MATRICULA-POS plan'!O144:O146)</f>
        <v>44</v>
      </c>
      <c r="N66" s="4560">
        <f>SUM('MATRICULA-POS plan'!P144:P146)</f>
        <v>42</v>
      </c>
      <c r="O66" s="4559">
        <f>SUM('MATRICULA-POS plan'!Q144:Q146)</f>
        <v>44</v>
      </c>
      <c r="P66" s="4559">
        <f>SUM('MATRICULA-POS plan'!R144:R146)</f>
        <v>42</v>
      </c>
      <c r="Q66" s="4560">
        <f>SUM('MATRICULA-POS plan'!S144:S146)</f>
        <v>43</v>
      </c>
      <c r="R66" s="4558">
        <f>SUM('MATRICULA-POS plan'!T144:T146)</f>
        <v>42</v>
      </c>
      <c r="S66" s="4559">
        <f>SUM('MATRICULA-POS plan'!U144:U146)</f>
        <v>42</v>
      </c>
      <c r="T66" s="4560">
        <f>SUM('MATRICULA-POS plan'!V144:V146)</f>
        <v>39</v>
      </c>
      <c r="U66" s="4558">
        <f>SUM('MATRICULA-POS plan'!W144:W146)</f>
        <v>39</v>
      </c>
      <c r="V66" s="4559">
        <f>SUM('MATRICULA-POS plan'!X144:X146)</f>
        <v>53</v>
      </c>
      <c r="W66" s="4560">
        <f>SUM('MATRICULA-POS plan'!Y144:Y146)</f>
        <v>97</v>
      </c>
      <c r="X66" s="4558">
        <f>SUM('MATRICULA-POS plan'!Z144:Z146)</f>
        <v>91</v>
      </c>
      <c r="Y66" s="4559">
        <f>SUM('MATRICULA-POS plan'!AA144:AA146)</f>
        <v>94</v>
      </c>
      <c r="Z66" s="4560">
        <f>SUM('MATRICULA-POS plan'!AB144:AB146)</f>
        <v>86</v>
      </c>
      <c r="AA66" s="4558">
        <f>SUM('MATRICULA-POS plan'!AC144:AC146)</f>
        <v>86</v>
      </c>
      <c r="AB66" s="4559">
        <f>SUM('MATRICULA-POS plan'!AD144:AD146)</f>
        <v>114</v>
      </c>
      <c r="AC66" s="4560">
        <f>SUM('MATRICULA-POS plan'!AE144:AE146)</f>
        <v>74</v>
      </c>
      <c r="AD66" s="4558">
        <f>SUM('MATRICULA-POS plan'!AF144:AF146)</f>
        <v>74</v>
      </c>
      <c r="AE66" s="4559">
        <f>SUM('MATRICULA-POS plan'!AG144:AG146)</f>
        <v>74</v>
      </c>
      <c r="AF66" s="4560">
        <f>SUM('MATRICULA-POS plan'!AH144:AH146)</f>
        <v>77</v>
      </c>
      <c r="AG66" s="4558">
        <f>SUM('MATRICULA-POS plan'!AI144:AI146)</f>
        <v>77</v>
      </c>
      <c r="AH66" s="4559">
        <f>SUM('MATRICULA-POS plan'!AJ144:AJ146)</f>
        <v>88</v>
      </c>
      <c r="AI66" s="4560">
        <f>SUM('MATRICULA-POS plan'!AK144:AK146)</f>
        <v>88</v>
      </c>
      <c r="AJ66" s="4558">
        <f>SUM('MATRICULA-POS plan'!AL144:AL146)</f>
        <v>86</v>
      </c>
      <c r="AK66" s="4559">
        <f>SUM('MATRICULA-POS plan'!AM144:AM146)</f>
        <v>80</v>
      </c>
      <c r="AL66" s="4560">
        <f>SUM('MATRICULA-POS plan'!AN144:AN146)</f>
        <v>85</v>
      </c>
      <c r="AM66" s="4558">
        <f>SUM('MATRICULA-POS plan'!AO144:AO146)</f>
        <v>86</v>
      </c>
      <c r="AN66" s="4559">
        <f>SUM('MATRICULA-POS plan'!AP144:AP146)</f>
        <v>94</v>
      </c>
      <c r="AO66" s="4560">
        <f>SUM('MATRICULA-POS plan'!AQ144:AQ146)</f>
        <v>100</v>
      </c>
      <c r="AP66" s="4558">
        <f>SUM('MATRICULA-POS plan'!AR144:AR146)</f>
        <v>94</v>
      </c>
      <c r="AQ66" s="4559">
        <f>SUM('MATRICULA-POS plan'!AS144:AS146)</f>
        <v>94</v>
      </c>
      <c r="AR66" s="4560">
        <f>SUM('MATRICULA-POS plan'!AT144:AT146)</f>
        <v>88</v>
      </c>
      <c r="AS66" s="4558">
        <f>SUM('MATRICULA-POS plan'!AU144:AU146)</f>
        <v>93</v>
      </c>
      <c r="AT66" s="4559">
        <f>SUM('MATRICULA-POS plan'!AV144:AV146)</f>
        <v>87</v>
      </c>
      <c r="AU66" s="4560">
        <f>SUM('MATRICULA-POS plan'!AW144:AW146)</f>
        <v>89</v>
      </c>
    </row>
    <row r="67" spans="1:47" ht="12.95" customHeight="1" x14ac:dyDescent="0.2">
      <c r="A67" s="6224"/>
      <c r="B67" s="4561" t="s">
        <v>617</v>
      </c>
      <c r="C67" s="4562">
        <f>SUM('MATRICULA-POS plan'!E147)</f>
        <v>11</v>
      </c>
      <c r="D67" s="4563">
        <f>SUM('MATRICULA-POS plan'!F147)</f>
        <v>11</v>
      </c>
      <c r="E67" s="4563">
        <f>SUM('MATRICULA-POS plan'!G147)</f>
        <v>10</v>
      </c>
      <c r="F67" s="4562">
        <f>SUM('MATRICULA-POS plan'!H147)</f>
        <v>10</v>
      </c>
      <c r="G67" s="4563">
        <f>SUM('MATRICULA-POS plan'!I147)</f>
        <v>10</v>
      </c>
      <c r="H67" s="4563">
        <f>SUM('MATRICULA-POS plan'!J147)</f>
        <v>23</v>
      </c>
      <c r="I67" s="4562">
        <f>SUM('MATRICULA-POS plan'!K147)</f>
        <v>19</v>
      </c>
      <c r="J67" s="4563">
        <f>SUM('MATRICULA-POS plan'!L147)</f>
        <v>19</v>
      </c>
      <c r="K67" s="4563">
        <f>SUM('MATRICULA-POS plan'!M147)</f>
        <v>15</v>
      </c>
      <c r="L67" s="4562">
        <f>SUM('MATRICULA-POS plan'!N147)</f>
        <v>30</v>
      </c>
      <c r="M67" s="4563">
        <f>SUM('MATRICULA-POS plan'!O147)</f>
        <v>26</v>
      </c>
      <c r="N67" s="4564">
        <f>SUM('MATRICULA-POS plan'!P147)</f>
        <v>27</v>
      </c>
      <c r="O67" s="4563">
        <f>SUM('MATRICULA-POS plan'!Q147)</f>
        <v>33</v>
      </c>
      <c r="P67" s="4563">
        <f>SUM('MATRICULA-POS plan'!R147)</f>
        <v>31</v>
      </c>
      <c r="Q67" s="4564">
        <f>SUM('MATRICULA-POS plan'!S147)</f>
        <v>29</v>
      </c>
      <c r="R67" s="4562">
        <f>SUM('MATRICULA-POS plan'!T147)</f>
        <v>38</v>
      </c>
      <c r="S67" s="4563">
        <f>SUM('MATRICULA-POS plan'!U147)</f>
        <v>34</v>
      </c>
      <c r="T67" s="4564">
        <f>SUM('MATRICULA-POS plan'!V147)</f>
        <v>32</v>
      </c>
      <c r="U67" s="4562">
        <f>SUM('MATRICULA-POS plan'!W147)</f>
        <v>42</v>
      </c>
      <c r="V67" s="4563">
        <f>SUM('MATRICULA-POS plan'!X147)</f>
        <v>39</v>
      </c>
      <c r="W67" s="4564">
        <f>SUM('MATRICULA-POS plan'!Y147)</f>
        <v>38</v>
      </c>
      <c r="X67" s="4562">
        <f>SUM('MATRICULA-POS plan'!Z147)</f>
        <v>39</v>
      </c>
      <c r="Y67" s="4563">
        <f>SUM('MATRICULA-POS plan'!AA147)</f>
        <v>35</v>
      </c>
      <c r="Z67" s="4564">
        <f>SUM('MATRICULA-POS plan'!AB147)</f>
        <v>33</v>
      </c>
      <c r="AA67" s="4562">
        <f>SUM('MATRICULA-POS plan'!AC147)</f>
        <v>42</v>
      </c>
      <c r="AB67" s="4563">
        <f>SUM('MATRICULA-POS plan'!AD147)</f>
        <v>39</v>
      </c>
      <c r="AC67" s="4564">
        <f>SUM('MATRICULA-POS plan'!AE147)</f>
        <v>40</v>
      </c>
      <c r="AD67" s="4562">
        <f>SUM('MATRICULA-POS plan'!AF147)</f>
        <v>44</v>
      </c>
      <c r="AE67" s="4563">
        <f>SUM('MATRICULA-POS plan'!AG147)</f>
        <v>43</v>
      </c>
      <c r="AF67" s="4564">
        <f>SUM('MATRICULA-POS plan'!AH147)</f>
        <v>40</v>
      </c>
      <c r="AG67" s="4562">
        <f>SUM('MATRICULA-POS plan'!AI147)</f>
        <v>42</v>
      </c>
      <c r="AH67" s="4563">
        <f>SUM('MATRICULA-POS plan'!AJ147)</f>
        <v>45</v>
      </c>
      <c r="AI67" s="4564">
        <f>SUM('MATRICULA-POS plan'!AK147)</f>
        <v>44</v>
      </c>
      <c r="AJ67" s="4562">
        <f>SUM('MATRICULA-POS plan'!AL147)</f>
        <v>48</v>
      </c>
      <c r="AK67" s="4563">
        <f>SUM('MATRICULA-POS plan'!AM147)</f>
        <v>47</v>
      </c>
      <c r="AL67" s="4564">
        <f>SUM('MATRICULA-POS plan'!AN147)</f>
        <v>44</v>
      </c>
      <c r="AM67" s="4562">
        <f>SUM('MATRICULA-POS plan'!AO147)</f>
        <v>39</v>
      </c>
      <c r="AN67" s="4563">
        <f>SUM('MATRICULA-POS plan'!AP147)</f>
        <v>38</v>
      </c>
      <c r="AO67" s="4564">
        <f>SUM('MATRICULA-POS plan'!AQ147)</f>
        <v>36</v>
      </c>
      <c r="AP67" s="4562">
        <f>SUM('MATRICULA-POS plan'!AR147)</f>
        <v>40</v>
      </c>
      <c r="AQ67" s="4563">
        <f>SUM('MATRICULA-POS plan'!AS147)</f>
        <v>36</v>
      </c>
      <c r="AR67" s="4564">
        <f>SUM('MATRICULA-POS plan'!AT147)</f>
        <v>35</v>
      </c>
      <c r="AS67" s="4562">
        <f>SUM('MATRICULA-POS plan'!AU147)</f>
        <v>35</v>
      </c>
      <c r="AT67" s="4563">
        <f>SUM('MATRICULA-POS plan'!AV147)</f>
        <v>35</v>
      </c>
      <c r="AU67" s="4564">
        <f>SUM('MATRICULA-POS plan'!AW147)</f>
        <v>35</v>
      </c>
    </row>
    <row r="68" spans="1:47" s="222" customFormat="1" ht="12.95" customHeight="1" x14ac:dyDescent="0.2">
      <c r="A68" s="6224"/>
      <c r="B68" s="574" t="s">
        <v>15</v>
      </c>
      <c r="C68" s="575">
        <v>31</v>
      </c>
      <c r="D68" s="576">
        <v>30</v>
      </c>
      <c r="E68" s="576">
        <v>48</v>
      </c>
      <c r="F68" s="575">
        <v>47</v>
      </c>
      <c r="G68" s="576">
        <v>47</v>
      </c>
      <c r="H68" s="576">
        <v>69</v>
      </c>
      <c r="I68" s="575">
        <v>66</v>
      </c>
      <c r="J68" s="576">
        <v>63</v>
      </c>
      <c r="K68" s="576">
        <v>62</v>
      </c>
      <c r="L68" s="575">
        <v>77</v>
      </c>
      <c r="M68" s="576">
        <v>70</v>
      </c>
      <c r="N68" s="577">
        <v>69</v>
      </c>
      <c r="O68" s="576">
        <v>77</v>
      </c>
      <c r="P68" s="576">
        <v>73</v>
      </c>
      <c r="Q68" s="577">
        <v>72</v>
      </c>
      <c r="R68" s="575">
        <v>80</v>
      </c>
      <c r="S68" s="576">
        <v>76</v>
      </c>
      <c r="T68" s="577">
        <v>71</v>
      </c>
      <c r="U68" s="575">
        <f t="shared" ref="U68:Z68" si="47">SUM(U65:U67)</f>
        <v>81</v>
      </c>
      <c r="V68" s="576">
        <f t="shared" si="47"/>
        <v>92</v>
      </c>
      <c r="W68" s="577">
        <f t="shared" si="47"/>
        <v>135</v>
      </c>
      <c r="X68" s="575">
        <f t="shared" si="47"/>
        <v>130</v>
      </c>
      <c r="Y68" s="576">
        <f t="shared" si="47"/>
        <v>129</v>
      </c>
      <c r="Z68" s="577">
        <f t="shared" si="47"/>
        <v>119</v>
      </c>
      <c r="AA68" s="575">
        <f>SUM(AA65:AA67)</f>
        <v>128</v>
      </c>
      <c r="AB68" s="576">
        <f>SUM(AB65:AB67)</f>
        <v>153</v>
      </c>
      <c r="AC68" s="577">
        <f>SUM(AC65:AC67)</f>
        <v>114</v>
      </c>
      <c r="AD68" s="575">
        <f>SUM(AD66:AD67)</f>
        <v>118</v>
      </c>
      <c r="AE68" s="576">
        <f t="shared" ref="AE68:AR68" si="48">SUM(AE66:AE67)</f>
        <v>117</v>
      </c>
      <c r="AF68" s="577">
        <f t="shared" si="48"/>
        <v>117</v>
      </c>
      <c r="AG68" s="575">
        <f t="shared" si="48"/>
        <v>119</v>
      </c>
      <c r="AH68" s="576">
        <f t="shared" si="48"/>
        <v>133</v>
      </c>
      <c r="AI68" s="577">
        <f t="shared" si="48"/>
        <v>132</v>
      </c>
      <c r="AJ68" s="575">
        <f t="shared" si="48"/>
        <v>134</v>
      </c>
      <c r="AK68" s="576">
        <f t="shared" si="48"/>
        <v>127</v>
      </c>
      <c r="AL68" s="577">
        <f t="shared" si="48"/>
        <v>129</v>
      </c>
      <c r="AM68" s="575">
        <f t="shared" si="48"/>
        <v>125</v>
      </c>
      <c r="AN68" s="576">
        <f t="shared" si="48"/>
        <v>132</v>
      </c>
      <c r="AO68" s="577">
        <f t="shared" si="48"/>
        <v>136</v>
      </c>
      <c r="AP68" s="575">
        <f t="shared" si="48"/>
        <v>134</v>
      </c>
      <c r="AQ68" s="576">
        <f t="shared" si="48"/>
        <v>130</v>
      </c>
      <c r="AR68" s="577">
        <f t="shared" si="48"/>
        <v>123</v>
      </c>
      <c r="AS68" s="575">
        <f>SUM(AS66:AS67)</f>
        <v>128</v>
      </c>
      <c r="AT68" s="576">
        <f>SUM(AT66:AT67)</f>
        <v>122</v>
      </c>
      <c r="AU68" s="577">
        <f>SUM(AU66:AU67)</f>
        <v>124</v>
      </c>
    </row>
    <row r="69" spans="1:47" ht="12.95" customHeight="1" x14ac:dyDescent="0.2">
      <c r="A69" s="6345" t="s">
        <v>680</v>
      </c>
      <c r="B69" s="4553" t="s">
        <v>615</v>
      </c>
      <c r="C69" s="4554">
        <f t="shared" ref="C69:Q71" si="49">C57+C61+C65</f>
        <v>36</v>
      </c>
      <c r="D69" s="4555">
        <f t="shared" si="49"/>
        <v>30</v>
      </c>
      <c r="E69" s="4555">
        <f t="shared" si="49"/>
        <v>22</v>
      </c>
      <c r="F69" s="4554">
        <f t="shared" si="49"/>
        <v>10</v>
      </c>
      <c r="G69" s="4555">
        <f t="shared" si="49"/>
        <v>10</v>
      </c>
      <c r="H69" s="4555">
        <f t="shared" si="49"/>
        <v>16</v>
      </c>
      <c r="I69" s="4554">
        <f t="shared" si="49"/>
        <v>4</v>
      </c>
      <c r="J69" s="4555">
        <f t="shared" si="49"/>
        <v>4</v>
      </c>
      <c r="K69" s="4555">
        <f t="shared" si="49"/>
        <v>0</v>
      </c>
      <c r="L69" s="4554">
        <f t="shared" si="49"/>
        <v>13</v>
      </c>
      <c r="M69" s="4555">
        <f t="shared" si="49"/>
        <v>11</v>
      </c>
      <c r="N69" s="4556">
        <f t="shared" si="49"/>
        <v>16</v>
      </c>
      <c r="O69" s="4555">
        <f t="shared" si="49"/>
        <v>24</v>
      </c>
      <c r="P69" s="4555">
        <f t="shared" si="49"/>
        <v>10</v>
      </c>
      <c r="Q69" s="4556">
        <f t="shared" si="49"/>
        <v>25</v>
      </c>
      <c r="R69" s="4554">
        <v>16</v>
      </c>
      <c r="S69" s="4555">
        <v>16</v>
      </c>
      <c r="T69" s="4556">
        <v>34</v>
      </c>
      <c r="U69" s="4554">
        <f t="shared" ref="U69:AI72" si="50">U57+U61+U65</f>
        <v>12</v>
      </c>
      <c r="V69" s="4555">
        <f t="shared" si="50"/>
        <v>10</v>
      </c>
      <c r="W69" s="4556">
        <f t="shared" si="50"/>
        <v>9</v>
      </c>
      <c r="X69" s="4554">
        <f t="shared" si="50"/>
        <v>1</v>
      </c>
      <c r="Y69" s="4555">
        <f t="shared" si="50"/>
        <v>0</v>
      </c>
      <c r="Z69" s="4556">
        <f t="shared" si="50"/>
        <v>19</v>
      </c>
      <c r="AA69" s="4554">
        <f t="shared" si="50"/>
        <v>53</v>
      </c>
      <c r="AB69" s="4555">
        <f t="shared" si="50"/>
        <v>42</v>
      </c>
      <c r="AC69" s="4556">
        <f t="shared" si="50"/>
        <v>85</v>
      </c>
      <c r="AD69" s="4554">
        <f>SUM(AD57,AD61,AD65)</f>
        <v>68</v>
      </c>
      <c r="AE69" s="4555">
        <f t="shared" ref="AE69:AR69" si="51">SUM(AE57,AE61,AE65)</f>
        <v>60</v>
      </c>
      <c r="AF69" s="4556">
        <f t="shared" si="51"/>
        <v>53</v>
      </c>
      <c r="AG69" s="4554">
        <f t="shared" si="51"/>
        <v>58</v>
      </c>
      <c r="AH69" s="4555">
        <f t="shared" si="51"/>
        <v>33</v>
      </c>
      <c r="AI69" s="4556">
        <f t="shared" si="51"/>
        <v>46</v>
      </c>
      <c r="AJ69" s="4554">
        <f t="shared" si="51"/>
        <v>54</v>
      </c>
      <c r="AK69" s="4555">
        <f t="shared" si="51"/>
        <v>47</v>
      </c>
      <c r="AL69" s="4556">
        <f t="shared" si="51"/>
        <v>43</v>
      </c>
      <c r="AM69" s="4554">
        <f t="shared" si="51"/>
        <v>20</v>
      </c>
      <c r="AN69" s="4555">
        <f t="shared" si="51"/>
        <v>15</v>
      </c>
      <c r="AO69" s="4556">
        <f t="shared" si="51"/>
        <v>15</v>
      </c>
      <c r="AP69" s="4554">
        <f t="shared" si="51"/>
        <v>50</v>
      </c>
      <c r="AQ69" s="4555">
        <f t="shared" si="51"/>
        <v>50</v>
      </c>
      <c r="AR69" s="4556">
        <f t="shared" si="51"/>
        <v>37</v>
      </c>
      <c r="AS69" s="4554">
        <f t="shared" ref="AS69:AU71" si="52">SUM(AS57,AS61,AS65)</f>
        <v>45</v>
      </c>
      <c r="AT69" s="4555">
        <f t="shared" si="52"/>
        <v>8</v>
      </c>
      <c r="AU69" s="4556">
        <f t="shared" si="52"/>
        <v>35</v>
      </c>
    </row>
    <row r="70" spans="1:47" ht="12.95" customHeight="1" x14ac:dyDescent="0.2">
      <c r="A70" s="6346"/>
      <c r="B70" s="4557" t="s">
        <v>616</v>
      </c>
      <c r="C70" s="4558">
        <f t="shared" si="49"/>
        <v>244</v>
      </c>
      <c r="D70" s="4559">
        <f t="shared" si="49"/>
        <v>243</v>
      </c>
      <c r="E70" s="4559">
        <f t="shared" si="49"/>
        <v>289</v>
      </c>
      <c r="F70" s="4558">
        <f t="shared" si="49"/>
        <v>270</v>
      </c>
      <c r="G70" s="4559">
        <f t="shared" si="49"/>
        <v>250</v>
      </c>
      <c r="H70" s="4559">
        <f t="shared" si="49"/>
        <v>288</v>
      </c>
      <c r="I70" s="4558">
        <f t="shared" si="49"/>
        <v>281</v>
      </c>
      <c r="J70" s="4559">
        <f t="shared" si="49"/>
        <v>266</v>
      </c>
      <c r="K70" s="4559">
        <f t="shared" si="49"/>
        <v>311</v>
      </c>
      <c r="L70" s="4558">
        <f t="shared" si="49"/>
        <v>298</v>
      </c>
      <c r="M70" s="4559">
        <f t="shared" si="49"/>
        <v>289</v>
      </c>
      <c r="N70" s="4560">
        <f t="shared" si="49"/>
        <v>333</v>
      </c>
      <c r="O70" s="4559">
        <f t="shared" si="49"/>
        <v>309</v>
      </c>
      <c r="P70" s="4559">
        <f t="shared" si="49"/>
        <v>295</v>
      </c>
      <c r="Q70" s="4560">
        <f t="shared" si="49"/>
        <v>311</v>
      </c>
      <c r="R70" s="4558">
        <v>293</v>
      </c>
      <c r="S70" s="4559">
        <v>309</v>
      </c>
      <c r="T70" s="4560">
        <v>365</v>
      </c>
      <c r="U70" s="4558">
        <f t="shared" si="50"/>
        <v>361</v>
      </c>
      <c r="V70" s="4559">
        <f t="shared" si="50"/>
        <v>394</v>
      </c>
      <c r="W70" s="4560">
        <f t="shared" si="50"/>
        <v>431</v>
      </c>
      <c r="X70" s="4558">
        <f t="shared" si="50"/>
        <v>412</v>
      </c>
      <c r="Y70" s="4559">
        <f t="shared" si="50"/>
        <v>450</v>
      </c>
      <c r="Z70" s="4560">
        <f t="shared" si="50"/>
        <v>406</v>
      </c>
      <c r="AA70" s="4558">
        <f t="shared" si="50"/>
        <v>380</v>
      </c>
      <c r="AB70" s="4559">
        <f t="shared" si="50"/>
        <v>402</v>
      </c>
      <c r="AC70" s="4560">
        <f t="shared" si="50"/>
        <v>326</v>
      </c>
      <c r="AD70" s="4558">
        <f>SUM(AD58,AD62,AD66)</f>
        <v>351</v>
      </c>
      <c r="AE70" s="4559">
        <f t="shared" ref="AE70:AR70" si="53">SUM(AE58,AE62,AE66)</f>
        <v>349</v>
      </c>
      <c r="AF70" s="4560">
        <f t="shared" si="53"/>
        <v>428</v>
      </c>
      <c r="AG70" s="4558">
        <f t="shared" si="53"/>
        <v>444</v>
      </c>
      <c r="AH70" s="4559">
        <f t="shared" si="53"/>
        <v>453</v>
      </c>
      <c r="AI70" s="4560">
        <f t="shared" si="53"/>
        <v>399</v>
      </c>
      <c r="AJ70" s="4558">
        <f t="shared" si="53"/>
        <v>380</v>
      </c>
      <c r="AK70" s="4559">
        <f t="shared" si="53"/>
        <v>393</v>
      </c>
      <c r="AL70" s="4560">
        <f t="shared" si="53"/>
        <v>472</v>
      </c>
      <c r="AM70" s="4558">
        <f t="shared" si="53"/>
        <v>451</v>
      </c>
      <c r="AN70" s="4559">
        <f t="shared" si="53"/>
        <v>461</v>
      </c>
      <c r="AO70" s="4560">
        <f t="shared" si="53"/>
        <v>473</v>
      </c>
      <c r="AP70" s="4558">
        <f t="shared" si="53"/>
        <v>463</v>
      </c>
      <c r="AQ70" s="4559">
        <f t="shared" si="53"/>
        <v>453</v>
      </c>
      <c r="AR70" s="4560">
        <f t="shared" si="53"/>
        <v>446</v>
      </c>
      <c r="AS70" s="4558">
        <f t="shared" si="52"/>
        <v>472</v>
      </c>
      <c r="AT70" s="4559">
        <f t="shared" si="52"/>
        <v>455</v>
      </c>
      <c r="AU70" s="4560">
        <f t="shared" si="52"/>
        <v>436</v>
      </c>
    </row>
    <row r="71" spans="1:47" ht="12.95" customHeight="1" x14ac:dyDescent="0.2">
      <c r="A71" s="6346"/>
      <c r="B71" s="4561" t="s">
        <v>617</v>
      </c>
      <c r="C71" s="4562">
        <f t="shared" si="49"/>
        <v>198</v>
      </c>
      <c r="D71" s="4563">
        <f t="shared" si="49"/>
        <v>180</v>
      </c>
      <c r="E71" s="4563">
        <f t="shared" si="49"/>
        <v>205</v>
      </c>
      <c r="F71" s="4562">
        <f t="shared" si="49"/>
        <v>180</v>
      </c>
      <c r="G71" s="4563">
        <f t="shared" si="49"/>
        <v>169</v>
      </c>
      <c r="H71" s="4563">
        <f t="shared" si="49"/>
        <v>172</v>
      </c>
      <c r="I71" s="4562">
        <f t="shared" si="49"/>
        <v>197</v>
      </c>
      <c r="J71" s="4563">
        <f t="shared" si="49"/>
        <v>209</v>
      </c>
      <c r="K71" s="4563">
        <f t="shared" si="49"/>
        <v>219</v>
      </c>
      <c r="L71" s="4562">
        <f t="shared" si="49"/>
        <v>196</v>
      </c>
      <c r="M71" s="4563">
        <f t="shared" si="49"/>
        <v>182</v>
      </c>
      <c r="N71" s="4564">
        <f t="shared" si="49"/>
        <v>198</v>
      </c>
      <c r="O71" s="4563">
        <f t="shared" si="49"/>
        <v>279</v>
      </c>
      <c r="P71" s="4563">
        <f t="shared" si="49"/>
        <v>260</v>
      </c>
      <c r="Q71" s="4564">
        <f t="shared" si="49"/>
        <v>254</v>
      </c>
      <c r="R71" s="4562">
        <v>259</v>
      </c>
      <c r="S71" s="4563">
        <v>258</v>
      </c>
      <c r="T71" s="4564">
        <v>231</v>
      </c>
      <c r="U71" s="4562">
        <f t="shared" si="50"/>
        <v>285</v>
      </c>
      <c r="V71" s="4563">
        <f t="shared" si="50"/>
        <v>323</v>
      </c>
      <c r="W71" s="4564">
        <f t="shared" si="50"/>
        <v>307</v>
      </c>
      <c r="X71" s="4562">
        <f t="shared" si="50"/>
        <v>279</v>
      </c>
      <c r="Y71" s="4563">
        <f t="shared" si="50"/>
        <v>299</v>
      </c>
      <c r="Z71" s="4564">
        <f t="shared" si="50"/>
        <v>260</v>
      </c>
      <c r="AA71" s="4562">
        <f t="shared" si="50"/>
        <v>314</v>
      </c>
      <c r="AB71" s="4563">
        <f t="shared" si="50"/>
        <v>267</v>
      </c>
      <c r="AC71" s="4564">
        <f t="shared" si="50"/>
        <v>276</v>
      </c>
      <c r="AD71" s="4562">
        <f>SUM(AD59,AD63,AD67)</f>
        <v>273</v>
      </c>
      <c r="AE71" s="4563">
        <f t="shared" ref="AE71:AR71" si="54">SUM(AE59,AE63,AE67)</f>
        <v>253</v>
      </c>
      <c r="AF71" s="4564">
        <f t="shared" si="54"/>
        <v>265</v>
      </c>
      <c r="AG71" s="4562">
        <f t="shared" si="54"/>
        <v>299</v>
      </c>
      <c r="AH71" s="4563">
        <f t="shared" si="54"/>
        <v>295</v>
      </c>
      <c r="AI71" s="4564">
        <f t="shared" si="54"/>
        <v>294</v>
      </c>
      <c r="AJ71" s="4562">
        <f t="shared" si="54"/>
        <v>274</v>
      </c>
      <c r="AK71" s="4563">
        <f t="shared" si="54"/>
        <v>281</v>
      </c>
      <c r="AL71" s="4564">
        <f t="shared" si="54"/>
        <v>299</v>
      </c>
      <c r="AM71" s="4562">
        <f t="shared" si="54"/>
        <v>309</v>
      </c>
      <c r="AN71" s="4563">
        <f t="shared" si="54"/>
        <v>289</v>
      </c>
      <c r="AO71" s="4564">
        <f t="shared" si="54"/>
        <v>298</v>
      </c>
      <c r="AP71" s="4562">
        <f t="shared" si="54"/>
        <v>304</v>
      </c>
      <c r="AQ71" s="4563">
        <f t="shared" si="54"/>
        <v>281</v>
      </c>
      <c r="AR71" s="4564">
        <f t="shared" si="54"/>
        <v>312</v>
      </c>
      <c r="AS71" s="4562">
        <f t="shared" si="52"/>
        <v>337</v>
      </c>
      <c r="AT71" s="4563">
        <f t="shared" si="52"/>
        <v>339</v>
      </c>
      <c r="AU71" s="4564">
        <f t="shared" si="52"/>
        <v>341</v>
      </c>
    </row>
    <row r="72" spans="1:47" s="222" customFormat="1" ht="12.95" customHeight="1" x14ac:dyDescent="0.2">
      <c r="A72" s="6347"/>
      <c r="B72" s="2431" t="s">
        <v>12</v>
      </c>
      <c r="C72" s="2419">
        <f>SUM(C69:C71)</f>
        <v>478</v>
      </c>
      <c r="D72" s="2420">
        <f>SUM(D69:D71)</f>
        <v>453</v>
      </c>
      <c r="E72" s="2420">
        <f>SUM(E69:E71)</f>
        <v>516</v>
      </c>
      <c r="F72" s="2419">
        <f t="shared" ref="F72:Q72" si="55">SUM(F69:F71)</f>
        <v>460</v>
      </c>
      <c r="G72" s="2420">
        <f t="shared" si="55"/>
        <v>429</v>
      </c>
      <c r="H72" s="2420">
        <f t="shared" si="55"/>
        <v>476</v>
      </c>
      <c r="I72" s="2419">
        <f t="shared" si="55"/>
        <v>482</v>
      </c>
      <c r="J72" s="2420">
        <f t="shared" si="55"/>
        <v>479</v>
      </c>
      <c r="K72" s="2420">
        <f t="shared" si="55"/>
        <v>530</v>
      </c>
      <c r="L72" s="2419">
        <f t="shared" si="55"/>
        <v>507</v>
      </c>
      <c r="M72" s="2420">
        <f t="shared" si="55"/>
        <v>482</v>
      </c>
      <c r="N72" s="2421">
        <f t="shared" si="55"/>
        <v>547</v>
      </c>
      <c r="O72" s="2420">
        <f t="shared" si="55"/>
        <v>612</v>
      </c>
      <c r="P72" s="2420">
        <f t="shared" si="55"/>
        <v>565</v>
      </c>
      <c r="Q72" s="2421">
        <f t="shared" si="55"/>
        <v>590</v>
      </c>
      <c r="R72" s="2419">
        <v>568</v>
      </c>
      <c r="S72" s="2420">
        <v>583</v>
      </c>
      <c r="T72" s="2421">
        <v>630</v>
      </c>
      <c r="U72" s="2419">
        <f t="shared" si="50"/>
        <v>658</v>
      </c>
      <c r="V72" s="2420">
        <f t="shared" si="50"/>
        <v>727</v>
      </c>
      <c r="W72" s="2421">
        <f t="shared" si="50"/>
        <v>747</v>
      </c>
      <c r="X72" s="2419">
        <f t="shared" si="50"/>
        <v>692</v>
      </c>
      <c r="Y72" s="2420">
        <f t="shared" si="50"/>
        <v>749</v>
      </c>
      <c r="Z72" s="2421">
        <f t="shared" si="50"/>
        <v>685</v>
      </c>
      <c r="AA72" s="2419">
        <f t="shared" si="50"/>
        <v>747</v>
      </c>
      <c r="AB72" s="2420">
        <f t="shared" si="50"/>
        <v>711</v>
      </c>
      <c r="AC72" s="2421">
        <f t="shared" si="50"/>
        <v>687</v>
      </c>
      <c r="AD72" s="2419">
        <f t="shared" si="50"/>
        <v>692</v>
      </c>
      <c r="AE72" s="2420">
        <f t="shared" si="50"/>
        <v>662</v>
      </c>
      <c r="AF72" s="2421">
        <f t="shared" si="50"/>
        <v>746</v>
      </c>
      <c r="AG72" s="2419">
        <f t="shared" si="50"/>
        <v>801</v>
      </c>
      <c r="AH72" s="2420">
        <f t="shared" si="50"/>
        <v>781</v>
      </c>
      <c r="AI72" s="2421">
        <f t="shared" si="50"/>
        <v>739</v>
      </c>
      <c r="AJ72" s="2419">
        <f t="shared" ref="AJ72:AU72" si="56">AJ60+AJ64+AJ68</f>
        <v>708</v>
      </c>
      <c r="AK72" s="2420">
        <f t="shared" si="56"/>
        <v>721</v>
      </c>
      <c r="AL72" s="2421">
        <f t="shared" si="56"/>
        <v>814</v>
      </c>
      <c r="AM72" s="2419">
        <f t="shared" si="56"/>
        <v>780</v>
      </c>
      <c r="AN72" s="2420">
        <f t="shared" si="56"/>
        <v>765</v>
      </c>
      <c r="AO72" s="2421">
        <f t="shared" si="56"/>
        <v>786</v>
      </c>
      <c r="AP72" s="4549">
        <f t="shared" si="56"/>
        <v>817</v>
      </c>
      <c r="AQ72" s="4550">
        <f t="shared" si="56"/>
        <v>784</v>
      </c>
      <c r="AR72" s="4551">
        <f t="shared" si="56"/>
        <v>795</v>
      </c>
      <c r="AS72" s="4549">
        <f t="shared" si="56"/>
        <v>854</v>
      </c>
      <c r="AT72" s="4550">
        <f t="shared" si="56"/>
        <v>802</v>
      </c>
      <c r="AU72" s="4551">
        <f t="shared" si="56"/>
        <v>812</v>
      </c>
    </row>
    <row r="73" spans="1:47" ht="12.95" customHeight="1" x14ac:dyDescent="0.2">
      <c r="A73" s="262"/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262"/>
      <c r="O73" s="262"/>
      <c r="P73" s="262"/>
      <c r="Q73" s="262"/>
      <c r="R73" s="262"/>
      <c r="S73" s="262"/>
      <c r="T73" s="262"/>
      <c r="U73" s="262"/>
      <c r="V73" s="262"/>
      <c r="W73" s="262"/>
      <c r="X73" s="262"/>
      <c r="Y73" s="262"/>
      <c r="Z73" s="262"/>
      <c r="AA73" s="262"/>
      <c r="AB73" s="262"/>
      <c r="AC73" s="262"/>
      <c r="AD73" s="262"/>
      <c r="AE73" s="262"/>
      <c r="AF73" s="262"/>
      <c r="AG73" s="262"/>
      <c r="AH73" s="262"/>
      <c r="AI73" s="262"/>
      <c r="AJ73" s="262"/>
      <c r="AK73" s="262"/>
      <c r="AL73" s="262"/>
      <c r="AM73" s="262"/>
      <c r="AN73" s="262"/>
      <c r="AO73" s="262"/>
      <c r="AP73" s="262"/>
      <c r="AQ73" s="262"/>
      <c r="AR73" s="262"/>
      <c r="AS73" s="262"/>
      <c r="AT73" s="262"/>
      <c r="AU73" s="262"/>
    </row>
    <row r="74" spans="1:47" ht="12.95" customHeight="1" x14ac:dyDescent="0.2">
      <c r="A74" s="6341" t="s">
        <v>60</v>
      </c>
      <c r="B74" s="4553" t="s">
        <v>615</v>
      </c>
      <c r="C74" s="4554">
        <f t="shared" ref="C74:Q76" si="57">C18+C52+C69</f>
        <v>114</v>
      </c>
      <c r="D74" s="4555">
        <f t="shared" si="57"/>
        <v>105</v>
      </c>
      <c r="E74" s="4555">
        <f t="shared" si="57"/>
        <v>147</v>
      </c>
      <c r="F74" s="4554">
        <f t="shared" si="57"/>
        <v>120</v>
      </c>
      <c r="G74" s="4555">
        <f t="shared" si="57"/>
        <v>108</v>
      </c>
      <c r="H74" s="4555">
        <f t="shared" si="57"/>
        <v>195</v>
      </c>
      <c r="I74" s="4554">
        <f t="shared" si="57"/>
        <v>160</v>
      </c>
      <c r="J74" s="4555">
        <f t="shared" si="57"/>
        <v>148</v>
      </c>
      <c r="K74" s="4555">
        <f t="shared" si="57"/>
        <v>82</v>
      </c>
      <c r="L74" s="4554">
        <f t="shared" si="57"/>
        <v>172</v>
      </c>
      <c r="M74" s="4555">
        <f t="shared" si="57"/>
        <v>170</v>
      </c>
      <c r="N74" s="4556">
        <f t="shared" si="57"/>
        <v>180</v>
      </c>
      <c r="O74" s="4555">
        <f t="shared" si="57"/>
        <v>213</v>
      </c>
      <c r="P74" s="4555">
        <f t="shared" si="57"/>
        <v>185</v>
      </c>
      <c r="Q74" s="4556">
        <f t="shared" si="57"/>
        <v>253</v>
      </c>
      <c r="R74" s="4554">
        <v>201</v>
      </c>
      <c r="S74" s="4555">
        <v>181</v>
      </c>
      <c r="T74" s="4556">
        <v>242</v>
      </c>
      <c r="U74" s="4554">
        <f t="shared" ref="U74:Z77" si="58">U18+U52+U69</f>
        <v>93</v>
      </c>
      <c r="V74" s="4555">
        <f t="shared" si="58"/>
        <v>185</v>
      </c>
      <c r="W74" s="4556">
        <f t="shared" si="58"/>
        <v>237</v>
      </c>
      <c r="X74" s="4554">
        <f t="shared" si="58"/>
        <v>141</v>
      </c>
      <c r="Y74" s="4555">
        <f t="shared" si="58"/>
        <v>68</v>
      </c>
      <c r="Z74" s="4556">
        <f t="shared" si="58"/>
        <v>283</v>
      </c>
      <c r="AA74" s="4554">
        <f t="shared" ref="AA74:AC76" si="59">AA18+AA52+AA69+AA23</f>
        <v>269</v>
      </c>
      <c r="AB74" s="4555">
        <f t="shared" si="59"/>
        <v>233</v>
      </c>
      <c r="AC74" s="4556">
        <f t="shared" si="59"/>
        <v>277</v>
      </c>
      <c r="AD74" s="4554">
        <f>SUM(AD18,AD35,AD52,AD69)</f>
        <v>245</v>
      </c>
      <c r="AE74" s="4555">
        <f t="shared" ref="AE74:AI76" si="60">SUM(AE18,AE35,AE52,AE69)</f>
        <v>233</v>
      </c>
      <c r="AF74" s="4556">
        <f t="shared" si="60"/>
        <v>210</v>
      </c>
      <c r="AG74" s="4554">
        <f t="shared" si="60"/>
        <v>195</v>
      </c>
      <c r="AH74" s="4555">
        <f t="shared" si="60"/>
        <v>162</v>
      </c>
      <c r="AI74" s="4556">
        <f t="shared" si="60"/>
        <v>200</v>
      </c>
      <c r="AJ74" s="4554">
        <f t="shared" ref="AJ74:AR76" si="61">SUM(AJ18,AJ35,AJ52,AJ69)</f>
        <v>181</v>
      </c>
      <c r="AK74" s="4555">
        <f t="shared" si="61"/>
        <v>162</v>
      </c>
      <c r="AL74" s="4556">
        <f t="shared" si="61"/>
        <v>214</v>
      </c>
      <c r="AM74" s="4554">
        <f t="shared" si="61"/>
        <v>198</v>
      </c>
      <c r="AN74" s="4555">
        <f t="shared" si="61"/>
        <v>198</v>
      </c>
      <c r="AO74" s="4556">
        <f t="shared" si="61"/>
        <v>145</v>
      </c>
      <c r="AP74" s="4554">
        <f t="shared" si="61"/>
        <v>135</v>
      </c>
      <c r="AQ74" s="4555">
        <f t="shared" si="61"/>
        <v>131</v>
      </c>
      <c r="AR74" s="4556">
        <f t="shared" si="61"/>
        <v>112</v>
      </c>
      <c r="AS74" s="4554">
        <f t="shared" ref="AS74:AU76" si="62">SUM(AS18,AS35,AS52,AS69)</f>
        <v>113</v>
      </c>
      <c r="AT74" s="4555">
        <f t="shared" si="62"/>
        <v>144</v>
      </c>
      <c r="AU74" s="4556">
        <f t="shared" si="62"/>
        <v>166</v>
      </c>
    </row>
    <row r="75" spans="1:47" ht="12.95" customHeight="1" x14ac:dyDescent="0.2">
      <c r="A75" s="6309"/>
      <c r="B75" s="4557" t="s">
        <v>616</v>
      </c>
      <c r="C75" s="4558">
        <f t="shared" si="57"/>
        <v>690</v>
      </c>
      <c r="D75" s="4559">
        <f t="shared" si="57"/>
        <v>642</v>
      </c>
      <c r="E75" s="4559">
        <f t="shared" si="57"/>
        <v>728</v>
      </c>
      <c r="F75" s="4558">
        <f t="shared" si="57"/>
        <v>702</v>
      </c>
      <c r="G75" s="4559">
        <f t="shared" si="57"/>
        <v>633</v>
      </c>
      <c r="H75" s="4559">
        <f t="shared" si="57"/>
        <v>731</v>
      </c>
      <c r="I75" s="4558">
        <f t="shared" si="57"/>
        <v>746</v>
      </c>
      <c r="J75" s="4559">
        <f t="shared" si="57"/>
        <v>697</v>
      </c>
      <c r="K75" s="4559">
        <f t="shared" si="57"/>
        <v>832</v>
      </c>
      <c r="L75" s="4558">
        <f t="shared" si="57"/>
        <v>804</v>
      </c>
      <c r="M75" s="4559">
        <f t="shared" si="57"/>
        <v>762</v>
      </c>
      <c r="N75" s="4560">
        <f t="shared" si="57"/>
        <v>884</v>
      </c>
      <c r="O75" s="4559">
        <f t="shared" si="57"/>
        <v>966</v>
      </c>
      <c r="P75" s="4559">
        <f t="shared" si="57"/>
        <v>846</v>
      </c>
      <c r="Q75" s="4560">
        <f t="shared" si="57"/>
        <v>914</v>
      </c>
      <c r="R75" s="4558">
        <v>887</v>
      </c>
      <c r="S75" s="4559">
        <v>847</v>
      </c>
      <c r="T75" s="4560">
        <v>1118</v>
      </c>
      <c r="U75" s="4558">
        <f t="shared" si="58"/>
        <v>1058</v>
      </c>
      <c r="V75" s="4559">
        <f t="shared" si="58"/>
        <v>1045</v>
      </c>
      <c r="W75" s="4560">
        <f t="shared" si="58"/>
        <v>1231</v>
      </c>
      <c r="X75" s="4558">
        <f t="shared" si="58"/>
        <v>1176</v>
      </c>
      <c r="Y75" s="4559">
        <f t="shared" si="58"/>
        <v>1132</v>
      </c>
      <c r="Z75" s="4560">
        <f t="shared" si="58"/>
        <v>1243</v>
      </c>
      <c r="AA75" s="4558">
        <f t="shared" si="59"/>
        <v>1312</v>
      </c>
      <c r="AB75" s="4559">
        <f t="shared" si="59"/>
        <v>1211</v>
      </c>
      <c r="AC75" s="4560">
        <f t="shared" si="59"/>
        <v>1249</v>
      </c>
      <c r="AD75" s="4558">
        <f t="shared" ref="AD75:AK76" si="63">SUM(AD19,AD36,AD53,AD70)</f>
        <v>1248</v>
      </c>
      <c r="AE75" s="4559">
        <f t="shared" si="63"/>
        <v>1194</v>
      </c>
      <c r="AF75" s="4560">
        <f t="shared" si="63"/>
        <v>1418</v>
      </c>
      <c r="AG75" s="4558">
        <f t="shared" si="60"/>
        <v>1418</v>
      </c>
      <c r="AH75" s="4559">
        <f t="shared" si="60"/>
        <v>1388</v>
      </c>
      <c r="AI75" s="4560">
        <f t="shared" si="63"/>
        <v>1443</v>
      </c>
      <c r="AJ75" s="4558">
        <f t="shared" si="63"/>
        <v>1398</v>
      </c>
      <c r="AK75" s="4559">
        <f t="shared" si="63"/>
        <v>1345</v>
      </c>
      <c r="AL75" s="4560">
        <f t="shared" ref="AL75:AO76" si="64">SUM(AL19,AL36,AL53,AL70)</f>
        <v>1629</v>
      </c>
      <c r="AM75" s="4558">
        <f t="shared" si="64"/>
        <v>1438</v>
      </c>
      <c r="AN75" s="4559">
        <f t="shared" si="64"/>
        <v>1414</v>
      </c>
      <c r="AO75" s="4560">
        <f t="shared" si="64"/>
        <v>1629</v>
      </c>
      <c r="AP75" s="4558">
        <f t="shared" si="61"/>
        <v>1600</v>
      </c>
      <c r="AQ75" s="4559">
        <f t="shared" si="61"/>
        <v>1473</v>
      </c>
      <c r="AR75" s="4560">
        <f>SUM(AR19,AR36,AR53,AR70)</f>
        <v>1597</v>
      </c>
      <c r="AS75" s="4558">
        <f t="shared" si="62"/>
        <v>1601</v>
      </c>
      <c r="AT75" s="4559">
        <f t="shared" si="62"/>
        <v>1552</v>
      </c>
      <c r="AU75" s="4560">
        <f t="shared" si="62"/>
        <v>1617</v>
      </c>
    </row>
    <row r="76" spans="1:47" ht="12.95" customHeight="1" x14ac:dyDescent="0.2">
      <c r="A76" s="6309"/>
      <c r="B76" s="4561" t="s">
        <v>617</v>
      </c>
      <c r="C76" s="4562">
        <f t="shared" si="57"/>
        <v>848</v>
      </c>
      <c r="D76" s="4563">
        <f t="shared" si="57"/>
        <v>806</v>
      </c>
      <c r="E76" s="4563">
        <f t="shared" si="57"/>
        <v>817</v>
      </c>
      <c r="F76" s="4562">
        <f t="shared" si="57"/>
        <v>774</v>
      </c>
      <c r="G76" s="4563">
        <f t="shared" si="57"/>
        <v>769</v>
      </c>
      <c r="H76" s="4563">
        <f t="shared" si="57"/>
        <v>766</v>
      </c>
      <c r="I76" s="4562">
        <f t="shared" si="57"/>
        <v>818</v>
      </c>
      <c r="J76" s="4563">
        <f t="shared" si="57"/>
        <v>803</v>
      </c>
      <c r="K76" s="4563">
        <f t="shared" si="57"/>
        <v>827</v>
      </c>
      <c r="L76" s="4562">
        <f t="shared" si="57"/>
        <v>812</v>
      </c>
      <c r="M76" s="4563">
        <f t="shared" si="57"/>
        <v>769</v>
      </c>
      <c r="N76" s="4564">
        <f t="shared" si="57"/>
        <v>793</v>
      </c>
      <c r="O76" s="4563">
        <f t="shared" si="57"/>
        <v>835</v>
      </c>
      <c r="P76" s="4563">
        <f t="shared" si="57"/>
        <v>844</v>
      </c>
      <c r="Q76" s="4564">
        <f t="shared" si="57"/>
        <v>879</v>
      </c>
      <c r="R76" s="4562">
        <v>874</v>
      </c>
      <c r="S76" s="4563">
        <v>809</v>
      </c>
      <c r="T76" s="4564">
        <v>887</v>
      </c>
      <c r="U76" s="4562">
        <f t="shared" si="58"/>
        <v>970</v>
      </c>
      <c r="V76" s="4563">
        <f t="shared" si="58"/>
        <v>994</v>
      </c>
      <c r="W76" s="4564">
        <f t="shared" si="58"/>
        <v>1051</v>
      </c>
      <c r="X76" s="4562">
        <f t="shared" si="58"/>
        <v>1066</v>
      </c>
      <c r="Y76" s="4563">
        <f t="shared" si="58"/>
        <v>1038</v>
      </c>
      <c r="Z76" s="4564">
        <f t="shared" si="58"/>
        <v>1112</v>
      </c>
      <c r="AA76" s="4562">
        <f t="shared" si="59"/>
        <v>1192</v>
      </c>
      <c r="AB76" s="4563">
        <f t="shared" si="59"/>
        <v>1059</v>
      </c>
      <c r="AC76" s="4564">
        <f t="shared" si="59"/>
        <v>1159</v>
      </c>
      <c r="AD76" s="4562">
        <f t="shared" si="63"/>
        <v>1174</v>
      </c>
      <c r="AE76" s="4563">
        <f t="shared" si="63"/>
        <v>1124</v>
      </c>
      <c r="AF76" s="4564">
        <f t="shared" si="63"/>
        <v>1170</v>
      </c>
      <c r="AG76" s="4562">
        <f t="shared" si="60"/>
        <v>1303</v>
      </c>
      <c r="AH76" s="4563">
        <f t="shared" si="60"/>
        <v>1279</v>
      </c>
      <c r="AI76" s="4564">
        <f t="shared" si="63"/>
        <v>1304</v>
      </c>
      <c r="AJ76" s="4562">
        <f t="shared" si="63"/>
        <v>1260</v>
      </c>
      <c r="AK76" s="4563">
        <f t="shared" si="63"/>
        <v>1220</v>
      </c>
      <c r="AL76" s="4564">
        <f t="shared" si="64"/>
        <v>1407</v>
      </c>
      <c r="AM76" s="4562">
        <f t="shared" si="64"/>
        <v>1378</v>
      </c>
      <c r="AN76" s="4563">
        <f t="shared" si="64"/>
        <v>1328</v>
      </c>
      <c r="AO76" s="4564">
        <f t="shared" si="64"/>
        <v>1379</v>
      </c>
      <c r="AP76" s="4562">
        <f t="shared" si="61"/>
        <v>1385</v>
      </c>
      <c r="AQ76" s="4563">
        <f t="shared" si="61"/>
        <v>1310</v>
      </c>
      <c r="AR76" s="4564">
        <f>SUM(AR20,AR37,AR54,AR71)</f>
        <v>1395</v>
      </c>
      <c r="AS76" s="4562">
        <f t="shared" si="62"/>
        <v>1403</v>
      </c>
      <c r="AT76" s="4563">
        <f t="shared" si="62"/>
        <v>1392</v>
      </c>
      <c r="AU76" s="4564">
        <f t="shared" si="62"/>
        <v>1395</v>
      </c>
    </row>
    <row r="77" spans="1:47" s="224" customFormat="1" ht="12.95" customHeight="1" x14ac:dyDescent="0.2">
      <c r="A77" s="6310"/>
      <c r="B77" s="564" t="s">
        <v>12</v>
      </c>
      <c r="C77" s="565">
        <f>SUM(C74:C76)</f>
        <v>1652</v>
      </c>
      <c r="D77" s="566">
        <f>SUM(D74:D76)</f>
        <v>1553</v>
      </c>
      <c r="E77" s="566">
        <f>SUM(E74:E76)</f>
        <v>1692</v>
      </c>
      <c r="F77" s="565">
        <f t="shared" ref="F77:Q77" si="65">SUM(F74:F76)</f>
        <v>1596</v>
      </c>
      <c r="G77" s="566">
        <f t="shared" si="65"/>
        <v>1510</v>
      </c>
      <c r="H77" s="566">
        <f t="shared" si="65"/>
        <v>1692</v>
      </c>
      <c r="I77" s="565">
        <f t="shared" si="65"/>
        <v>1724</v>
      </c>
      <c r="J77" s="566">
        <f t="shared" si="65"/>
        <v>1648</v>
      </c>
      <c r="K77" s="566">
        <f t="shared" si="65"/>
        <v>1741</v>
      </c>
      <c r="L77" s="565">
        <f t="shared" si="65"/>
        <v>1788</v>
      </c>
      <c r="M77" s="566">
        <f t="shared" si="65"/>
        <v>1701</v>
      </c>
      <c r="N77" s="567">
        <f t="shared" si="65"/>
        <v>1857</v>
      </c>
      <c r="O77" s="566">
        <f t="shared" si="65"/>
        <v>2014</v>
      </c>
      <c r="P77" s="566">
        <f t="shared" si="65"/>
        <v>1875</v>
      </c>
      <c r="Q77" s="567">
        <f t="shared" si="65"/>
        <v>2046</v>
      </c>
      <c r="R77" s="565">
        <v>1962</v>
      </c>
      <c r="S77" s="566">
        <v>1837</v>
      </c>
      <c r="T77" s="567">
        <v>2247</v>
      </c>
      <c r="U77" s="565">
        <f t="shared" si="58"/>
        <v>2121</v>
      </c>
      <c r="V77" s="566">
        <f t="shared" si="58"/>
        <v>2224</v>
      </c>
      <c r="W77" s="567">
        <f t="shared" si="58"/>
        <v>2519</v>
      </c>
      <c r="X77" s="565">
        <f t="shared" si="58"/>
        <v>2383</v>
      </c>
      <c r="Y77" s="566">
        <f t="shared" si="58"/>
        <v>2238</v>
      </c>
      <c r="Z77" s="567">
        <f t="shared" si="58"/>
        <v>2638</v>
      </c>
      <c r="AA77" s="565">
        <f>SUM(AA74:AA76)</f>
        <v>2773</v>
      </c>
      <c r="AB77" s="566">
        <f>SUM(AB74:AB76)</f>
        <v>2503</v>
      </c>
      <c r="AC77" s="567">
        <f>SUM(AC74:AC76)</f>
        <v>2685</v>
      </c>
      <c r="AD77" s="565">
        <f t="shared" ref="AD77:AI77" si="66">SUM(AD74:AD76)</f>
        <v>2667</v>
      </c>
      <c r="AE77" s="566">
        <f t="shared" si="66"/>
        <v>2551</v>
      </c>
      <c r="AF77" s="567">
        <f t="shared" si="66"/>
        <v>2798</v>
      </c>
      <c r="AG77" s="565">
        <f t="shared" si="66"/>
        <v>2916</v>
      </c>
      <c r="AH77" s="566">
        <f t="shared" si="66"/>
        <v>2829</v>
      </c>
      <c r="AI77" s="567">
        <f t="shared" si="66"/>
        <v>2947</v>
      </c>
      <c r="AJ77" s="565">
        <f t="shared" ref="AJ77:AR77" si="67">SUM(AJ74:AJ76)</f>
        <v>2839</v>
      </c>
      <c r="AK77" s="566">
        <f t="shared" si="67"/>
        <v>2727</v>
      </c>
      <c r="AL77" s="567">
        <f t="shared" si="67"/>
        <v>3250</v>
      </c>
      <c r="AM77" s="565">
        <f t="shared" si="67"/>
        <v>3014</v>
      </c>
      <c r="AN77" s="566">
        <f t="shared" si="67"/>
        <v>2940</v>
      </c>
      <c r="AO77" s="567">
        <f t="shared" si="67"/>
        <v>3153</v>
      </c>
      <c r="AP77" s="4162">
        <f t="shared" si="67"/>
        <v>3120</v>
      </c>
      <c r="AQ77" s="4552">
        <f t="shared" si="67"/>
        <v>2914</v>
      </c>
      <c r="AR77" s="4161">
        <f t="shared" si="67"/>
        <v>3104</v>
      </c>
      <c r="AS77" s="4162">
        <f>SUM(AS74:AS76)</f>
        <v>3117</v>
      </c>
      <c r="AT77" s="4552">
        <f>SUM(AT74:AT76)</f>
        <v>3088</v>
      </c>
      <c r="AU77" s="4161">
        <f>SUM(AU74:AU76)</f>
        <v>3178</v>
      </c>
    </row>
    <row r="78" spans="1:47" ht="13.5" x14ac:dyDescent="0.2">
      <c r="A78" s="240" t="s">
        <v>1571</v>
      </c>
      <c r="B78" s="652"/>
      <c r="C78" s="228"/>
      <c r="D78" s="228"/>
      <c r="E78" s="228"/>
      <c r="F78" s="228"/>
      <c r="G78" s="228"/>
      <c r="H78" s="228"/>
      <c r="I78" s="228"/>
      <c r="J78" s="228"/>
      <c r="K78" s="228"/>
      <c r="L78" s="228"/>
      <c r="M78" s="228"/>
      <c r="N78" s="228"/>
      <c r="O78" s="228"/>
      <c r="P78" s="228"/>
      <c r="Q78" s="228"/>
      <c r="R78" s="228"/>
      <c r="S78" s="228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8"/>
      <c r="AL78" s="228"/>
      <c r="AM78" s="228"/>
      <c r="AN78" s="228"/>
      <c r="AO78" s="228"/>
    </row>
    <row r="79" spans="1:47" s="212" customFormat="1" x14ac:dyDescent="0.2">
      <c r="B79" s="213"/>
      <c r="C79" s="213"/>
      <c r="D79" s="213"/>
      <c r="E79" s="213"/>
      <c r="F79" s="225"/>
      <c r="G79" s="225"/>
      <c r="H79" s="225"/>
      <c r="I79" s="225"/>
      <c r="J79" s="225"/>
      <c r="K79" s="225"/>
      <c r="L79" s="226"/>
      <c r="M79" s="225"/>
      <c r="N79" s="225"/>
      <c r="O79" s="225"/>
      <c r="P79" s="226"/>
      <c r="Q79" s="225"/>
      <c r="R79" s="225"/>
      <c r="S79" s="225"/>
      <c r="T79" s="226"/>
      <c r="U79" s="225"/>
      <c r="V79" s="225"/>
      <c r="W79" s="226"/>
    </row>
    <row r="80" spans="1:47" x14ac:dyDescent="0.2"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U80" s="211"/>
    </row>
    <row r="84" spans="21:21" x14ac:dyDescent="0.2">
      <c r="U84" s="3914">
        <v>2003</v>
      </c>
    </row>
    <row r="85" spans="21:21" x14ac:dyDescent="0.2">
      <c r="U85" s="3914">
        <v>2004</v>
      </c>
    </row>
    <row r="86" spans="21:21" x14ac:dyDescent="0.2">
      <c r="U86" s="3914">
        <v>2005</v>
      </c>
    </row>
    <row r="87" spans="21:21" x14ac:dyDescent="0.2">
      <c r="U87" s="3914">
        <v>2006</v>
      </c>
    </row>
    <row r="88" spans="21:21" x14ac:dyDescent="0.2">
      <c r="U88" s="3914">
        <v>2007</v>
      </c>
    </row>
    <row r="89" spans="21:21" x14ac:dyDescent="0.2">
      <c r="U89" s="3914">
        <v>2008</v>
      </c>
    </row>
    <row r="90" spans="21:21" x14ac:dyDescent="0.2">
      <c r="U90" s="3914">
        <v>2009</v>
      </c>
    </row>
    <row r="91" spans="21:21" x14ac:dyDescent="0.2">
      <c r="U91" s="3914">
        <v>2010</v>
      </c>
    </row>
    <row r="92" spans="21:21" x14ac:dyDescent="0.2">
      <c r="U92" s="3914">
        <v>2011</v>
      </c>
    </row>
    <row r="93" spans="21:21" x14ac:dyDescent="0.2">
      <c r="U93" s="3914">
        <v>2012</v>
      </c>
    </row>
    <row r="94" spans="21:21" x14ac:dyDescent="0.2">
      <c r="U94" s="3914">
        <v>2013</v>
      </c>
    </row>
    <row r="95" spans="21:21" x14ac:dyDescent="0.2">
      <c r="U95" s="3914">
        <v>2014</v>
      </c>
    </row>
    <row r="96" spans="21:21" x14ac:dyDescent="0.2">
      <c r="U96" s="3914">
        <v>2015</v>
      </c>
    </row>
    <row r="97" spans="21:21" x14ac:dyDescent="0.2">
      <c r="U97" s="3914">
        <v>2016</v>
      </c>
    </row>
    <row r="98" spans="21:21" x14ac:dyDescent="0.2">
      <c r="U98" s="3914">
        <v>2017</v>
      </c>
    </row>
  </sheetData>
  <sheetProtection algorithmName="SHA-512" hashValue="8Vj6cXQcHwlfDprqkbq8Q+4H0yaMbNM+JIgnlTmX6pT00G0FzS/rSC+QhGX4jnfphKpa9wVYEejh4u5Xa09yKQ==" saltValue="ba5X6SWClHmDjA9lzEENyw==" spinCount="100000" sheet="1" objects="1" scenarios="1"/>
  <mergeCells count="35">
    <mergeCell ref="A1:B1"/>
    <mergeCell ref="A74:A77"/>
    <mergeCell ref="A48:A51"/>
    <mergeCell ref="A52:A55"/>
    <mergeCell ref="A57:A60"/>
    <mergeCell ref="A61:A64"/>
    <mergeCell ref="A65:A68"/>
    <mergeCell ref="A69:A72"/>
    <mergeCell ref="A3:A4"/>
    <mergeCell ref="B3:B4"/>
    <mergeCell ref="A44:A47"/>
    <mergeCell ref="A23:A26"/>
    <mergeCell ref="A27:A30"/>
    <mergeCell ref="A31:A34"/>
    <mergeCell ref="A35:A38"/>
    <mergeCell ref="A40:A43"/>
    <mergeCell ref="A18:A21"/>
    <mergeCell ref="C3:E3"/>
    <mergeCell ref="A6:A9"/>
    <mergeCell ref="A10:A13"/>
    <mergeCell ref="A14:A17"/>
    <mergeCell ref="F3:H3"/>
    <mergeCell ref="O3:Q3"/>
    <mergeCell ref="AS3:AU3"/>
    <mergeCell ref="AJ3:AL3"/>
    <mergeCell ref="I3:K3"/>
    <mergeCell ref="L3:N3"/>
    <mergeCell ref="R3:T3"/>
    <mergeCell ref="AM3:AO3"/>
    <mergeCell ref="U3:W3"/>
    <mergeCell ref="X3:Z3"/>
    <mergeCell ref="AA3:AC3"/>
    <mergeCell ref="AP3:AR3"/>
    <mergeCell ref="AD3:AF3"/>
    <mergeCell ref="AG3:AI3"/>
  </mergeCells>
  <printOptions horizontalCentered="1" verticalCentered="1"/>
  <pageMargins left="0.39370078740157483" right="0.39370078740157483" top="0.31496062992125984" bottom="0.39370078740157483" header="0.43307086614173229" footer="0.31496062992125984"/>
  <pageSetup scale="55" pageOrder="overThenDown" orientation="landscape" horizontalDpi="1200" verticalDpi="1200" r:id="rId1"/>
  <headerFooter alignWithMargins="0"/>
  <rowBreaks count="1" manualBreakCount="1">
    <brk id="78" max="40" man="1"/>
  </rowBreaks>
  <colBreaks count="2" manualBreakCount="2">
    <brk id="20" max="109" man="1"/>
    <brk id="41" max="1048575" man="1"/>
  </colBreaks>
  <ignoredErrors>
    <ignoredError sqref="AD10:AI10 AI8:AJ8 C21:V21 AK8:AL8 AJ10:AL13 AM6:AO14 AM34:AO39 AM31 AO31 AM32 AO32 AM33 AO33 AM17:AO30 AM15:AN15 AM16:AO16 AM55:AO56 C41:AR51 C57:AR68 AP8:AR8 AP10:AR10 AP16:AQ16 AR15:AR16 AP33:AR33 AS60:AT67 AS33:AU33 AS8:AT9 AU8:AU10 AU13:AU16 AU11:AU12 AU41:AU50 AU57:AU66 AS13:AT16 AS10:AT12 AS47:AT51 AS43:AT43 AS41:AT42 AS44:AT45 AS57:AT59" formulaRange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AF87"/>
  <sheetViews>
    <sheetView showGridLines="0" topLeftCell="E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5.28515625" style="1" customWidth="1"/>
    <col min="3" max="3" width="9.28515625" style="1" bestFit="1" customWidth="1"/>
    <col min="4" max="4" width="51" style="72" customWidth="1"/>
    <col min="5" max="6" width="6.7109375" style="1" customWidth="1"/>
    <col min="7" max="7" width="7.5703125" style="1" customWidth="1"/>
    <col min="8" max="8" width="7.7109375" style="27" customWidth="1"/>
    <col min="9" max="10" width="6.7109375" style="1" customWidth="1"/>
    <col min="11" max="11" width="7.5703125" style="1" customWidth="1"/>
    <col min="12" max="12" width="7.7109375" style="27" customWidth="1"/>
    <col min="13" max="15" width="6.7109375" style="1" customWidth="1"/>
    <col min="16" max="16" width="7.7109375" style="27" customWidth="1"/>
    <col min="17" max="18" width="6.7109375" style="1" customWidth="1"/>
    <col min="19" max="19" width="7.5703125" style="1" customWidth="1"/>
    <col min="20" max="20" width="7.7109375" style="27" customWidth="1"/>
    <col min="21" max="23" width="6.7109375" style="1" customWidth="1"/>
    <col min="24" max="24" width="7.7109375" style="27" customWidth="1"/>
    <col min="25" max="26" width="6.7109375" style="1" customWidth="1"/>
    <col min="27" max="27" width="7.5703125" style="1" bestFit="1" customWidth="1"/>
    <col min="28" max="28" width="7.7109375" style="27" customWidth="1"/>
    <col min="29" max="32" width="6.7109375" style="1" customWidth="1"/>
    <col min="33" max="16384" width="11.42578125" style="1"/>
  </cols>
  <sheetData>
    <row r="1" spans="2:32" ht="15" customHeight="1" x14ac:dyDescent="0.2">
      <c r="C1" s="83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25"/>
      <c r="Z1" s="25"/>
      <c r="AA1" s="25"/>
      <c r="AB1" s="25"/>
    </row>
    <row r="2" spans="2:32" ht="15" customHeight="1" x14ac:dyDescent="0.2">
      <c r="C2" s="35" t="s">
        <v>33</v>
      </c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25"/>
      <c r="Z2" s="25"/>
      <c r="AA2" s="25"/>
      <c r="AB2" s="25"/>
    </row>
    <row r="3" spans="2:32" ht="15" customHeight="1" x14ac:dyDescent="0.2">
      <c r="C3" s="35" t="s">
        <v>443</v>
      </c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25"/>
      <c r="Z3" s="25"/>
      <c r="AA3" s="25"/>
      <c r="AB3" s="25"/>
    </row>
    <row r="4" spans="2:32" ht="15" customHeight="1" x14ac:dyDescent="0.2">
      <c r="B4" s="83"/>
      <c r="E4" s="26"/>
      <c r="F4" s="26"/>
      <c r="G4" s="26"/>
      <c r="H4" s="61"/>
      <c r="I4" s="26"/>
      <c r="J4" s="26"/>
      <c r="K4" s="26"/>
      <c r="L4" s="61"/>
      <c r="M4" s="26"/>
      <c r="N4" s="26"/>
      <c r="O4" s="26"/>
      <c r="P4" s="61"/>
      <c r="Q4" s="26"/>
      <c r="R4" s="26"/>
      <c r="S4" s="26"/>
      <c r="T4" s="61"/>
      <c r="U4" s="26"/>
      <c r="V4" s="26"/>
      <c r="W4" s="26"/>
      <c r="X4" s="61"/>
      <c r="Y4" s="26"/>
      <c r="Z4" s="26"/>
      <c r="AA4" s="26"/>
      <c r="AB4" s="61"/>
    </row>
    <row r="5" spans="2:32" ht="12.75" customHeight="1" x14ac:dyDescent="0.2">
      <c r="B5" s="6353" t="s">
        <v>16</v>
      </c>
      <c r="C5" s="6353" t="s">
        <v>4</v>
      </c>
      <c r="D5" s="6353" t="s">
        <v>77</v>
      </c>
      <c r="E5" s="6351" t="s">
        <v>156</v>
      </c>
      <c r="F5" s="6351" t="s">
        <v>154</v>
      </c>
      <c r="G5" s="6351" t="s">
        <v>155</v>
      </c>
      <c r="H5" s="6352" t="s">
        <v>157</v>
      </c>
      <c r="I5" s="6351" t="s">
        <v>73</v>
      </c>
      <c r="J5" s="6351" t="s">
        <v>71</v>
      </c>
      <c r="K5" s="6351" t="s">
        <v>70</v>
      </c>
      <c r="L5" s="6352" t="s">
        <v>61</v>
      </c>
      <c r="M5" s="6351" t="s">
        <v>72</v>
      </c>
      <c r="N5" s="6351" t="s">
        <v>24</v>
      </c>
      <c r="O5" s="6351" t="s">
        <v>23</v>
      </c>
      <c r="P5" s="6351" t="s">
        <v>62</v>
      </c>
      <c r="Q5" s="6354" t="s">
        <v>69</v>
      </c>
      <c r="R5" s="6351" t="s">
        <v>59</v>
      </c>
      <c r="S5" s="6351" t="s">
        <v>21</v>
      </c>
      <c r="T5" s="6351" t="s">
        <v>63</v>
      </c>
      <c r="U5" s="6354" t="s">
        <v>22</v>
      </c>
      <c r="V5" s="6351" t="s">
        <v>17</v>
      </c>
      <c r="W5" s="6351" t="s">
        <v>18</v>
      </c>
      <c r="X5" s="6351" t="s">
        <v>64</v>
      </c>
      <c r="Y5" s="6354" t="s">
        <v>150</v>
      </c>
      <c r="Z5" s="6351" t="s">
        <v>148</v>
      </c>
      <c r="AA5" s="6351" t="s">
        <v>149</v>
      </c>
      <c r="AB5" s="6351" t="s">
        <v>151</v>
      </c>
      <c r="AC5" s="6354" t="s">
        <v>324</v>
      </c>
      <c r="AD5" s="6351" t="s">
        <v>323</v>
      </c>
      <c r="AE5" s="6351" t="s">
        <v>322</v>
      </c>
      <c r="AF5" s="6351" t="s">
        <v>326</v>
      </c>
    </row>
    <row r="6" spans="2:32" x14ac:dyDescent="0.2">
      <c r="B6" s="6353"/>
      <c r="C6" s="6353"/>
      <c r="D6" s="6353"/>
      <c r="E6" s="6351"/>
      <c r="F6" s="6351"/>
      <c r="G6" s="6351"/>
      <c r="H6" s="6352"/>
      <c r="I6" s="6351"/>
      <c r="J6" s="6351"/>
      <c r="K6" s="6351"/>
      <c r="L6" s="6352"/>
      <c r="M6" s="6351"/>
      <c r="N6" s="6351"/>
      <c r="O6" s="6351"/>
      <c r="P6" s="6351"/>
      <c r="Q6" s="6354"/>
      <c r="R6" s="6351"/>
      <c r="S6" s="6351"/>
      <c r="T6" s="6351"/>
      <c r="U6" s="6354"/>
      <c r="V6" s="6351"/>
      <c r="W6" s="6351"/>
      <c r="X6" s="6351"/>
      <c r="Y6" s="6354"/>
      <c r="Z6" s="6351"/>
      <c r="AA6" s="6351"/>
      <c r="AB6" s="6351"/>
      <c r="AC6" s="6354"/>
      <c r="AD6" s="6351"/>
      <c r="AE6" s="6351"/>
      <c r="AF6" s="6351"/>
    </row>
    <row r="7" spans="2:32" s="47" customFormat="1" ht="24" x14ac:dyDescent="0.2">
      <c r="B7" s="6355" t="s">
        <v>3</v>
      </c>
      <c r="C7" s="6355" t="s">
        <v>5</v>
      </c>
      <c r="D7" s="145" t="s">
        <v>231</v>
      </c>
      <c r="E7" s="146"/>
      <c r="F7" s="147"/>
      <c r="G7" s="147"/>
      <c r="H7" s="148"/>
      <c r="I7" s="146"/>
      <c r="J7" s="147"/>
      <c r="K7" s="147"/>
      <c r="L7" s="148"/>
      <c r="M7" s="146"/>
      <c r="N7" s="147"/>
      <c r="O7" s="147"/>
      <c r="P7" s="149"/>
      <c r="Q7" s="147"/>
      <c r="R7" s="147"/>
      <c r="S7" s="147"/>
      <c r="T7" s="149"/>
      <c r="U7" s="147"/>
      <c r="V7" s="147">
        <v>1</v>
      </c>
      <c r="W7" s="147">
        <v>1</v>
      </c>
      <c r="X7" s="149">
        <v>2</v>
      </c>
      <c r="Y7" s="147"/>
      <c r="Z7" s="147"/>
      <c r="AA7" s="147">
        <v>2</v>
      </c>
      <c r="AB7" s="149">
        <f>SUM(Y7:AA7)</f>
        <v>2</v>
      </c>
      <c r="AC7" s="147">
        <v>2</v>
      </c>
      <c r="AD7" s="147"/>
      <c r="AE7" s="147"/>
      <c r="AF7" s="149">
        <f>SUM(AC7:AE7)</f>
        <v>2</v>
      </c>
    </row>
    <row r="8" spans="2:32" s="47" customFormat="1" ht="24" x14ac:dyDescent="0.2">
      <c r="B8" s="6356"/>
      <c r="C8" s="6356"/>
      <c r="D8" s="145" t="s">
        <v>232</v>
      </c>
      <c r="E8" s="150"/>
      <c r="F8" s="151"/>
      <c r="G8" s="151"/>
      <c r="H8" s="15"/>
      <c r="I8" s="150"/>
      <c r="J8" s="151"/>
      <c r="K8" s="151"/>
      <c r="L8" s="15"/>
      <c r="M8" s="150"/>
      <c r="N8" s="151"/>
      <c r="O8" s="151"/>
      <c r="P8" s="152"/>
      <c r="Q8" s="151"/>
      <c r="R8" s="151"/>
      <c r="S8" s="151"/>
      <c r="T8" s="152"/>
      <c r="U8" s="151"/>
      <c r="V8" s="151"/>
      <c r="W8" s="151"/>
      <c r="X8" s="152"/>
      <c r="Y8" s="151"/>
      <c r="Z8" s="151"/>
      <c r="AA8" s="151">
        <v>2</v>
      </c>
      <c r="AB8" s="152">
        <f>SUM(Y8:AA8)</f>
        <v>2</v>
      </c>
      <c r="AC8" s="151"/>
      <c r="AD8" s="151"/>
      <c r="AE8" s="151"/>
      <c r="AF8" s="152"/>
    </row>
    <row r="9" spans="2:32" s="47" customFormat="1" x14ac:dyDescent="0.2">
      <c r="B9" s="6356"/>
      <c r="C9" s="6356"/>
      <c r="D9" s="153" t="s">
        <v>233</v>
      </c>
      <c r="E9" s="150"/>
      <c r="F9" s="151"/>
      <c r="G9" s="151"/>
      <c r="H9" s="15"/>
      <c r="I9" s="150"/>
      <c r="J9" s="151"/>
      <c r="K9" s="151"/>
      <c r="L9" s="15"/>
      <c r="M9" s="150"/>
      <c r="N9" s="151"/>
      <c r="O9" s="151"/>
      <c r="P9" s="152"/>
      <c r="Q9" s="151"/>
      <c r="R9" s="151"/>
      <c r="S9" s="151"/>
      <c r="T9" s="152"/>
      <c r="U9" s="151"/>
      <c r="V9" s="151"/>
      <c r="W9" s="151"/>
      <c r="X9" s="152"/>
      <c r="Y9" s="151"/>
      <c r="Z9" s="151"/>
      <c r="AA9" s="151"/>
      <c r="AB9" s="152"/>
      <c r="AC9" s="151"/>
      <c r="AD9" s="151"/>
      <c r="AE9" s="151"/>
      <c r="AF9" s="152"/>
    </row>
    <row r="10" spans="2:32" s="47" customFormat="1" x14ac:dyDescent="0.2">
      <c r="B10" s="6356"/>
      <c r="C10" s="6356"/>
      <c r="D10" s="153" t="s">
        <v>234</v>
      </c>
      <c r="E10" s="150"/>
      <c r="F10" s="151"/>
      <c r="G10" s="151"/>
      <c r="H10" s="15"/>
      <c r="I10" s="150"/>
      <c r="J10" s="151"/>
      <c r="K10" s="151"/>
      <c r="L10" s="15"/>
      <c r="M10" s="150"/>
      <c r="N10" s="151"/>
      <c r="O10" s="151"/>
      <c r="P10" s="152"/>
      <c r="Q10" s="151"/>
      <c r="R10" s="151">
        <v>1</v>
      </c>
      <c r="S10" s="151"/>
      <c r="T10" s="152">
        <v>1</v>
      </c>
      <c r="U10" s="151"/>
      <c r="V10" s="151"/>
      <c r="W10" s="151"/>
      <c r="X10" s="152"/>
      <c r="Y10" s="151"/>
      <c r="Z10" s="151"/>
      <c r="AA10" s="151"/>
      <c r="AB10" s="152"/>
      <c r="AC10" s="151">
        <v>1</v>
      </c>
      <c r="AD10" s="151"/>
      <c r="AE10" s="151"/>
      <c r="AF10" s="152">
        <f>SUM(AC10:AE10)</f>
        <v>1</v>
      </c>
    </row>
    <row r="11" spans="2:32" s="47" customFormat="1" x14ac:dyDescent="0.2">
      <c r="B11" s="6356"/>
      <c r="C11" s="6356"/>
      <c r="D11" s="145" t="s">
        <v>235</v>
      </c>
      <c r="E11" s="150">
        <v>1</v>
      </c>
      <c r="F11" s="151"/>
      <c r="G11" s="151"/>
      <c r="H11" s="15">
        <v>1</v>
      </c>
      <c r="I11" s="150">
        <v>1</v>
      </c>
      <c r="J11" s="151"/>
      <c r="K11" s="151"/>
      <c r="L11" s="15">
        <v>1</v>
      </c>
      <c r="M11" s="150"/>
      <c r="N11" s="151"/>
      <c r="O11" s="151"/>
      <c r="P11" s="152"/>
      <c r="Q11" s="151"/>
      <c r="R11" s="151"/>
      <c r="S11" s="151"/>
      <c r="T11" s="152"/>
      <c r="U11" s="151"/>
      <c r="V11" s="151"/>
      <c r="W11" s="151"/>
      <c r="X11" s="152"/>
      <c r="Y11" s="151"/>
      <c r="Z11" s="151"/>
      <c r="AA11" s="151"/>
      <c r="AB11" s="152"/>
      <c r="AC11" s="151"/>
      <c r="AD11" s="151"/>
      <c r="AE11" s="151"/>
      <c r="AF11" s="152"/>
    </row>
    <row r="12" spans="2:32" s="47" customFormat="1" ht="12.75" customHeight="1" x14ac:dyDescent="0.2">
      <c r="B12" s="6356"/>
      <c r="C12" s="6355" t="s">
        <v>6</v>
      </c>
      <c r="D12" s="403" t="s">
        <v>236</v>
      </c>
      <c r="E12" s="146"/>
      <c r="F12" s="147"/>
      <c r="G12" s="147"/>
      <c r="H12" s="148"/>
      <c r="I12" s="146"/>
      <c r="J12" s="147"/>
      <c r="K12" s="147"/>
      <c r="L12" s="148"/>
      <c r="M12" s="146"/>
      <c r="N12" s="147"/>
      <c r="O12" s="147"/>
      <c r="P12" s="149"/>
      <c r="Q12" s="147"/>
      <c r="R12" s="147"/>
      <c r="S12" s="147"/>
      <c r="T12" s="149"/>
      <c r="U12" s="147"/>
      <c r="V12" s="147"/>
      <c r="W12" s="147"/>
      <c r="X12" s="149"/>
      <c r="Y12" s="147"/>
      <c r="Z12" s="147"/>
      <c r="AA12" s="147"/>
      <c r="AB12" s="149"/>
      <c r="AC12" s="147"/>
      <c r="AD12" s="147"/>
      <c r="AE12" s="147"/>
      <c r="AF12" s="149"/>
    </row>
    <row r="13" spans="2:32" s="47" customFormat="1" ht="24" x14ac:dyDescent="0.2">
      <c r="B13" s="6356"/>
      <c r="C13" s="6356"/>
      <c r="D13" s="145" t="s">
        <v>237</v>
      </c>
      <c r="E13" s="150"/>
      <c r="F13" s="151"/>
      <c r="G13" s="151"/>
      <c r="H13" s="15"/>
      <c r="I13" s="150"/>
      <c r="J13" s="151"/>
      <c r="K13" s="151"/>
      <c r="L13" s="15"/>
      <c r="M13" s="150">
        <v>1</v>
      </c>
      <c r="N13" s="151"/>
      <c r="O13" s="151"/>
      <c r="P13" s="152">
        <v>1</v>
      </c>
      <c r="Q13" s="151"/>
      <c r="R13" s="151"/>
      <c r="S13" s="151"/>
      <c r="T13" s="152"/>
      <c r="U13" s="151"/>
      <c r="V13" s="151"/>
      <c r="W13" s="151"/>
      <c r="X13" s="152"/>
      <c r="Y13" s="151"/>
      <c r="Z13" s="151"/>
      <c r="AA13" s="151"/>
      <c r="AB13" s="152"/>
      <c r="AC13" s="151"/>
      <c r="AD13" s="151"/>
      <c r="AE13" s="151"/>
      <c r="AF13" s="152"/>
    </row>
    <row r="14" spans="2:32" s="47" customFormat="1" x14ac:dyDescent="0.2">
      <c r="B14" s="6356"/>
      <c r="C14" s="6356"/>
      <c r="D14" s="145" t="s">
        <v>238</v>
      </c>
      <c r="E14" s="150"/>
      <c r="F14" s="151"/>
      <c r="G14" s="151"/>
      <c r="H14" s="15"/>
      <c r="I14" s="150"/>
      <c r="J14" s="151"/>
      <c r="K14" s="151"/>
      <c r="L14" s="15"/>
      <c r="M14" s="150"/>
      <c r="N14" s="151"/>
      <c r="O14" s="151"/>
      <c r="P14" s="152"/>
      <c r="Q14" s="151"/>
      <c r="R14" s="151"/>
      <c r="S14" s="151"/>
      <c r="T14" s="152"/>
      <c r="U14" s="151"/>
      <c r="V14" s="151"/>
      <c r="W14" s="151"/>
      <c r="X14" s="152"/>
      <c r="Y14" s="151"/>
      <c r="Z14" s="151"/>
      <c r="AA14" s="151"/>
      <c r="AB14" s="152"/>
      <c r="AC14" s="151"/>
      <c r="AD14" s="151"/>
      <c r="AE14" s="151"/>
      <c r="AF14" s="152"/>
    </row>
    <row r="15" spans="2:32" s="47" customFormat="1" ht="12.75" customHeight="1" x14ac:dyDescent="0.2">
      <c r="B15" s="6356"/>
      <c r="C15" s="6356"/>
      <c r="D15" s="145" t="s">
        <v>239</v>
      </c>
      <c r="E15" s="150"/>
      <c r="F15" s="151"/>
      <c r="G15" s="151"/>
      <c r="H15" s="15"/>
      <c r="I15" s="150"/>
      <c r="J15" s="151"/>
      <c r="K15" s="151"/>
      <c r="L15" s="15"/>
      <c r="M15" s="150"/>
      <c r="N15" s="151"/>
      <c r="O15" s="151"/>
      <c r="P15" s="152"/>
      <c r="Q15" s="151"/>
      <c r="R15" s="151"/>
      <c r="S15" s="151"/>
      <c r="T15" s="152"/>
      <c r="U15" s="151"/>
      <c r="V15" s="151"/>
      <c r="W15" s="151"/>
      <c r="X15" s="152"/>
      <c r="Y15" s="151"/>
      <c r="Z15" s="151"/>
      <c r="AA15" s="151"/>
      <c r="AB15" s="152"/>
      <c r="AC15" s="151"/>
      <c r="AD15" s="151"/>
      <c r="AE15" s="151"/>
      <c r="AF15" s="152"/>
    </row>
    <row r="16" spans="2:32" s="47" customFormat="1" ht="12.75" customHeight="1" x14ac:dyDescent="0.2">
      <c r="B16" s="6356"/>
      <c r="C16" s="6356"/>
      <c r="D16" s="145" t="s">
        <v>240</v>
      </c>
      <c r="E16" s="150"/>
      <c r="F16" s="151"/>
      <c r="G16" s="151"/>
      <c r="H16" s="15"/>
      <c r="I16" s="150"/>
      <c r="J16" s="151"/>
      <c r="K16" s="151"/>
      <c r="L16" s="15"/>
      <c r="M16" s="150"/>
      <c r="N16" s="151"/>
      <c r="O16" s="151"/>
      <c r="P16" s="152"/>
      <c r="Q16" s="151"/>
      <c r="R16" s="151"/>
      <c r="S16" s="151"/>
      <c r="T16" s="152"/>
      <c r="U16" s="151"/>
      <c r="V16" s="151"/>
      <c r="W16" s="151"/>
      <c r="X16" s="152"/>
      <c r="Y16" s="151"/>
      <c r="Z16" s="151"/>
      <c r="AA16" s="151"/>
      <c r="AB16" s="152"/>
      <c r="AC16" s="151"/>
      <c r="AD16" s="151"/>
      <c r="AE16" s="151"/>
      <c r="AF16" s="152"/>
    </row>
    <row r="17" spans="2:32" s="47" customFormat="1" ht="12.75" customHeight="1" x14ac:dyDescent="0.2">
      <c r="B17" s="6356"/>
      <c r="C17" s="6356"/>
      <c r="D17" s="145" t="s">
        <v>241</v>
      </c>
      <c r="E17" s="150"/>
      <c r="F17" s="151"/>
      <c r="G17" s="151"/>
      <c r="H17" s="15"/>
      <c r="I17" s="150"/>
      <c r="J17" s="151">
        <v>1</v>
      </c>
      <c r="K17" s="151">
        <v>1</v>
      </c>
      <c r="L17" s="15">
        <v>2</v>
      </c>
      <c r="M17" s="150">
        <v>1</v>
      </c>
      <c r="N17" s="151"/>
      <c r="O17" s="151"/>
      <c r="P17" s="152">
        <v>1</v>
      </c>
      <c r="Q17" s="151">
        <v>1</v>
      </c>
      <c r="R17" s="151"/>
      <c r="S17" s="151"/>
      <c r="T17" s="152">
        <v>1</v>
      </c>
      <c r="U17" s="151"/>
      <c r="V17" s="151">
        <v>1</v>
      </c>
      <c r="W17" s="151"/>
      <c r="X17" s="152">
        <v>1</v>
      </c>
      <c r="Y17" s="151"/>
      <c r="Z17" s="151"/>
      <c r="AA17" s="151"/>
      <c r="AB17" s="152"/>
      <c r="AC17" s="151"/>
      <c r="AD17" s="151"/>
      <c r="AE17" s="151"/>
      <c r="AF17" s="152"/>
    </row>
    <row r="18" spans="2:32" s="47" customFormat="1" ht="12.75" customHeight="1" x14ac:dyDescent="0.2">
      <c r="B18" s="6356"/>
      <c r="C18" s="6356"/>
      <c r="D18" s="153" t="s">
        <v>242</v>
      </c>
      <c r="E18" s="150"/>
      <c r="F18" s="151"/>
      <c r="G18" s="151"/>
      <c r="H18" s="15"/>
      <c r="I18" s="150"/>
      <c r="J18" s="151"/>
      <c r="K18" s="151"/>
      <c r="L18" s="15"/>
      <c r="M18" s="150">
        <v>1</v>
      </c>
      <c r="N18" s="151"/>
      <c r="O18" s="151"/>
      <c r="P18" s="152">
        <v>1</v>
      </c>
      <c r="Q18" s="151"/>
      <c r="R18" s="151">
        <v>1</v>
      </c>
      <c r="S18" s="151"/>
      <c r="T18" s="152">
        <v>1</v>
      </c>
      <c r="U18" s="151">
        <v>1</v>
      </c>
      <c r="V18" s="151"/>
      <c r="W18" s="151"/>
      <c r="X18" s="152">
        <v>1</v>
      </c>
      <c r="Y18" s="151"/>
      <c r="Z18" s="151"/>
      <c r="AA18" s="151"/>
      <c r="AB18" s="152"/>
      <c r="AC18" s="151"/>
      <c r="AD18" s="151"/>
      <c r="AE18" s="151"/>
      <c r="AF18" s="152"/>
    </row>
    <row r="19" spans="2:32" s="47" customFormat="1" ht="12.75" customHeight="1" x14ac:dyDescent="0.2">
      <c r="B19" s="6356"/>
      <c r="C19" s="6356"/>
      <c r="D19" s="153" t="s">
        <v>243</v>
      </c>
      <c r="E19" s="150"/>
      <c r="F19" s="151"/>
      <c r="G19" s="151"/>
      <c r="H19" s="15"/>
      <c r="I19" s="150"/>
      <c r="J19" s="151"/>
      <c r="K19" s="151">
        <v>1</v>
      </c>
      <c r="L19" s="15">
        <v>1</v>
      </c>
      <c r="M19" s="150"/>
      <c r="N19" s="151"/>
      <c r="O19" s="151"/>
      <c r="P19" s="152"/>
      <c r="Q19" s="151"/>
      <c r="R19" s="151"/>
      <c r="S19" s="151"/>
      <c r="T19" s="152"/>
      <c r="U19" s="151"/>
      <c r="V19" s="151"/>
      <c r="W19" s="151"/>
      <c r="X19" s="152"/>
      <c r="Y19" s="151"/>
      <c r="Z19" s="151"/>
      <c r="AA19" s="151"/>
      <c r="AB19" s="152"/>
      <c r="AC19" s="151"/>
      <c r="AD19" s="151"/>
      <c r="AE19" s="151"/>
      <c r="AF19" s="152"/>
    </row>
    <row r="20" spans="2:32" s="47" customFormat="1" ht="12.75" customHeight="1" x14ac:dyDescent="0.2">
      <c r="B20" s="6356"/>
      <c r="C20" s="6356"/>
      <c r="D20" s="145" t="s">
        <v>244</v>
      </c>
      <c r="E20" s="150"/>
      <c r="F20" s="151"/>
      <c r="G20" s="151"/>
      <c r="H20" s="15"/>
      <c r="I20" s="150"/>
      <c r="J20" s="151"/>
      <c r="K20" s="151"/>
      <c r="L20" s="15"/>
      <c r="M20" s="150"/>
      <c r="N20" s="151"/>
      <c r="O20" s="151"/>
      <c r="P20" s="152"/>
      <c r="Q20" s="151"/>
      <c r="R20" s="151"/>
      <c r="S20" s="151"/>
      <c r="T20" s="152"/>
      <c r="U20" s="151"/>
      <c r="V20" s="151"/>
      <c r="W20" s="151"/>
      <c r="X20" s="152"/>
      <c r="Y20" s="151"/>
      <c r="Z20" s="151"/>
      <c r="AA20" s="151"/>
      <c r="AB20" s="152"/>
      <c r="AC20" s="151"/>
      <c r="AD20" s="151"/>
      <c r="AE20" s="151"/>
      <c r="AF20" s="152"/>
    </row>
    <row r="21" spans="2:32" s="47" customFormat="1" x14ac:dyDescent="0.2">
      <c r="B21" s="6356"/>
      <c r="C21" s="6356"/>
      <c r="D21" s="145" t="s">
        <v>245</v>
      </c>
      <c r="E21" s="150"/>
      <c r="F21" s="151"/>
      <c r="G21" s="151"/>
      <c r="H21" s="15"/>
      <c r="I21" s="150"/>
      <c r="J21" s="151"/>
      <c r="K21" s="151"/>
      <c r="L21" s="15"/>
      <c r="M21" s="150"/>
      <c r="N21" s="151"/>
      <c r="O21" s="151"/>
      <c r="P21" s="152"/>
      <c r="Q21" s="151"/>
      <c r="R21" s="151"/>
      <c r="S21" s="151"/>
      <c r="T21" s="152"/>
      <c r="U21" s="151"/>
      <c r="V21" s="151"/>
      <c r="W21" s="151"/>
      <c r="X21" s="152"/>
      <c r="Y21" s="151"/>
      <c r="Z21" s="151"/>
      <c r="AA21" s="151"/>
      <c r="AB21" s="152"/>
      <c r="AC21" s="151"/>
      <c r="AD21" s="151"/>
      <c r="AE21" s="151"/>
      <c r="AF21" s="152"/>
    </row>
    <row r="22" spans="2:32" s="47" customFormat="1" x14ac:dyDescent="0.2">
      <c r="B22" s="6356"/>
      <c r="C22" s="6356"/>
      <c r="D22" s="145" t="s">
        <v>246</v>
      </c>
      <c r="E22" s="150"/>
      <c r="F22" s="151"/>
      <c r="G22" s="151"/>
      <c r="H22" s="15"/>
      <c r="I22" s="150"/>
      <c r="J22" s="151"/>
      <c r="K22" s="151"/>
      <c r="L22" s="15"/>
      <c r="M22" s="150"/>
      <c r="N22" s="151"/>
      <c r="O22" s="151"/>
      <c r="P22" s="152"/>
      <c r="Q22" s="151"/>
      <c r="R22" s="151"/>
      <c r="S22" s="151"/>
      <c r="T22" s="152"/>
      <c r="U22" s="151"/>
      <c r="V22" s="151"/>
      <c r="W22" s="151"/>
      <c r="X22" s="152"/>
      <c r="Y22" s="151"/>
      <c r="Z22" s="151"/>
      <c r="AA22" s="151"/>
      <c r="AB22" s="152"/>
      <c r="AC22" s="151"/>
      <c r="AD22" s="151"/>
      <c r="AE22" s="151"/>
      <c r="AF22" s="152"/>
    </row>
    <row r="23" spans="2:32" s="47" customFormat="1" ht="24" x14ac:dyDescent="0.2">
      <c r="B23" s="6356"/>
      <c r="C23" s="6357"/>
      <c r="D23" s="404" t="s">
        <v>247</v>
      </c>
      <c r="E23" s="154"/>
      <c r="F23" s="155"/>
      <c r="G23" s="155"/>
      <c r="H23" s="156"/>
      <c r="I23" s="154"/>
      <c r="J23" s="155"/>
      <c r="K23" s="155"/>
      <c r="L23" s="156"/>
      <c r="M23" s="154"/>
      <c r="N23" s="155"/>
      <c r="O23" s="155"/>
      <c r="P23" s="157"/>
      <c r="Q23" s="155"/>
      <c r="R23" s="155"/>
      <c r="S23" s="155"/>
      <c r="T23" s="157"/>
      <c r="U23" s="155"/>
      <c r="V23" s="155"/>
      <c r="W23" s="155"/>
      <c r="X23" s="157"/>
      <c r="Y23" s="155"/>
      <c r="Z23" s="155"/>
      <c r="AA23" s="155"/>
      <c r="AB23" s="157"/>
      <c r="AC23" s="155"/>
      <c r="AD23" s="155"/>
      <c r="AE23" s="155"/>
      <c r="AF23" s="157"/>
    </row>
    <row r="24" spans="2:32" s="47" customFormat="1" ht="12.75" customHeight="1" x14ac:dyDescent="0.2">
      <c r="B24" s="6356"/>
      <c r="C24" s="6356" t="s">
        <v>7</v>
      </c>
      <c r="D24" s="145" t="s">
        <v>313</v>
      </c>
      <c r="E24" s="150"/>
      <c r="F24" s="151"/>
      <c r="G24" s="151"/>
      <c r="H24" s="15"/>
      <c r="I24" s="150"/>
      <c r="J24" s="151"/>
      <c r="K24" s="151"/>
      <c r="L24" s="15"/>
      <c r="M24" s="150"/>
      <c r="N24" s="151"/>
      <c r="O24" s="151"/>
      <c r="P24" s="152"/>
      <c r="Q24" s="151"/>
      <c r="R24" s="151"/>
      <c r="S24" s="151"/>
      <c r="T24" s="152"/>
      <c r="U24" s="151"/>
      <c r="V24" s="151">
        <v>1</v>
      </c>
      <c r="W24" s="151"/>
      <c r="X24" s="152">
        <v>1</v>
      </c>
      <c r="AB24" s="152"/>
      <c r="AF24" s="152"/>
    </row>
    <row r="25" spans="2:32" s="47" customFormat="1" ht="12.75" customHeight="1" x14ac:dyDescent="0.2">
      <c r="B25" s="6356"/>
      <c r="C25" s="6356"/>
      <c r="D25" s="145" t="s">
        <v>248</v>
      </c>
      <c r="E25" s="150">
        <v>1</v>
      </c>
      <c r="F25" s="151"/>
      <c r="G25" s="151">
        <v>1</v>
      </c>
      <c r="H25" s="15">
        <v>2</v>
      </c>
      <c r="I25" s="150"/>
      <c r="J25" s="151"/>
      <c r="K25" s="151"/>
      <c r="L25" s="15"/>
      <c r="M25" s="150">
        <v>1</v>
      </c>
      <c r="N25" s="151">
        <v>1</v>
      </c>
      <c r="O25" s="151"/>
      <c r="P25" s="152">
        <v>2</v>
      </c>
      <c r="Q25" s="151"/>
      <c r="R25" s="151">
        <v>1</v>
      </c>
      <c r="S25" s="151">
        <v>1</v>
      </c>
      <c r="T25" s="152">
        <v>2</v>
      </c>
      <c r="U25" s="151"/>
      <c r="V25" s="151"/>
      <c r="W25" s="151"/>
      <c r="X25" s="152"/>
      <c r="Y25" s="151">
        <v>1</v>
      </c>
      <c r="Z25" s="151"/>
      <c r="AA25" s="151">
        <v>1</v>
      </c>
      <c r="AB25" s="152">
        <f>SUM(Y25:AA25)</f>
        <v>2</v>
      </c>
      <c r="AC25" s="151"/>
      <c r="AD25" s="151"/>
      <c r="AE25" s="151"/>
      <c r="AF25" s="152"/>
    </row>
    <row r="26" spans="2:32" s="47" customFormat="1" ht="12.75" customHeight="1" x14ac:dyDescent="0.2">
      <c r="B26" s="6356"/>
      <c r="C26" s="6356"/>
      <c r="D26" s="145" t="s">
        <v>249</v>
      </c>
      <c r="E26" s="150"/>
      <c r="F26" s="151"/>
      <c r="G26" s="151"/>
      <c r="H26" s="15"/>
      <c r="I26" s="150"/>
      <c r="J26" s="151"/>
      <c r="K26" s="151"/>
      <c r="L26" s="15"/>
      <c r="M26" s="150"/>
      <c r="N26" s="151"/>
      <c r="O26" s="151"/>
      <c r="P26" s="152"/>
      <c r="Q26" s="151">
        <v>1</v>
      </c>
      <c r="R26" s="151">
        <v>1</v>
      </c>
      <c r="S26" s="151"/>
      <c r="T26" s="152">
        <v>2</v>
      </c>
      <c r="U26" s="151"/>
      <c r="V26" s="151"/>
      <c r="W26" s="151"/>
      <c r="X26" s="152"/>
      <c r="Y26" s="151"/>
      <c r="Z26" s="151"/>
      <c r="AA26" s="151">
        <v>1</v>
      </c>
      <c r="AB26" s="152">
        <f>SUM(Y26:AA26)</f>
        <v>1</v>
      </c>
      <c r="AC26" s="151">
        <v>1</v>
      </c>
      <c r="AD26" s="151"/>
      <c r="AE26" s="151">
        <v>2</v>
      </c>
      <c r="AF26" s="152">
        <f>SUM(AC26:AE26)</f>
        <v>3</v>
      </c>
    </row>
    <row r="27" spans="2:32" s="47" customFormat="1" ht="12.75" customHeight="1" x14ac:dyDescent="0.2">
      <c r="B27" s="6357"/>
      <c r="C27" s="6356"/>
      <c r="D27" s="145" t="s">
        <v>250</v>
      </c>
      <c r="E27" s="150"/>
      <c r="F27" s="151"/>
      <c r="G27" s="151"/>
      <c r="H27" s="15"/>
      <c r="I27" s="150"/>
      <c r="J27" s="151"/>
      <c r="K27" s="151"/>
      <c r="L27" s="15"/>
      <c r="M27" s="150"/>
      <c r="N27" s="151"/>
      <c r="O27" s="151"/>
      <c r="P27" s="152"/>
      <c r="Q27" s="151"/>
      <c r="R27" s="151"/>
      <c r="S27" s="151"/>
      <c r="T27" s="152"/>
      <c r="U27" s="151"/>
      <c r="V27" s="151"/>
      <c r="W27" s="151"/>
      <c r="X27" s="152"/>
      <c r="Y27" s="151"/>
      <c r="Z27" s="151"/>
      <c r="AA27" s="151"/>
      <c r="AB27" s="152"/>
      <c r="AC27" s="151"/>
      <c r="AD27" s="151"/>
      <c r="AE27" s="151"/>
      <c r="AF27" s="152"/>
    </row>
    <row r="28" spans="2:32" s="47" customFormat="1" ht="12.75" customHeight="1" x14ac:dyDescent="0.2">
      <c r="B28" s="6355" t="s">
        <v>75</v>
      </c>
      <c r="C28" s="6355" t="s">
        <v>5</v>
      </c>
      <c r="D28" s="405" t="s">
        <v>251</v>
      </c>
      <c r="E28" s="146"/>
      <c r="F28" s="147"/>
      <c r="G28" s="147"/>
      <c r="H28" s="148"/>
      <c r="I28" s="146"/>
      <c r="J28" s="147"/>
      <c r="K28" s="147"/>
      <c r="L28" s="148"/>
      <c r="M28" s="146">
        <v>1</v>
      </c>
      <c r="N28" s="147"/>
      <c r="O28" s="147"/>
      <c r="P28" s="149">
        <v>1</v>
      </c>
      <c r="Q28" s="147"/>
      <c r="R28" s="147"/>
      <c r="S28" s="147"/>
      <c r="T28" s="149"/>
      <c r="U28" s="147"/>
      <c r="V28" s="147"/>
      <c r="W28" s="147"/>
      <c r="X28" s="149"/>
      <c r="Y28" s="147"/>
      <c r="Z28" s="147"/>
      <c r="AA28" s="147"/>
      <c r="AB28" s="149"/>
      <c r="AC28" s="147"/>
      <c r="AD28" s="147"/>
      <c r="AE28" s="147"/>
      <c r="AF28" s="149"/>
    </row>
    <row r="29" spans="2:32" s="47" customFormat="1" ht="12.75" customHeight="1" x14ac:dyDescent="0.2">
      <c r="B29" s="6356"/>
      <c r="C29" s="6356"/>
      <c r="D29" s="153" t="s">
        <v>252</v>
      </c>
      <c r="E29" s="150"/>
      <c r="F29" s="151"/>
      <c r="G29" s="151"/>
      <c r="H29" s="15"/>
      <c r="I29" s="150"/>
      <c r="J29" s="151"/>
      <c r="K29" s="151"/>
      <c r="L29" s="15"/>
      <c r="M29" s="150"/>
      <c r="N29" s="151"/>
      <c r="O29" s="151"/>
      <c r="P29" s="152"/>
      <c r="Q29" s="151"/>
      <c r="R29" s="151"/>
      <c r="S29" s="151"/>
      <c r="T29" s="152"/>
      <c r="U29" s="151"/>
      <c r="V29" s="151"/>
      <c r="W29" s="151"/>
      <c r="X29" s="152"/>
      <c r="Y29" s="151"/>
      <c r="Z29" s="151"/>
      <c r="AA29" s="151"/>
      <c r="AB29" s="152"/>
      <c r="AC29" s="151"/>
      <c r="AD29" s="151"/>
      <c r="AE29" s="151"/>
      <c r="AF29" s="152"/>
    </row>
    <row r="30" spans="2:32" s="47" customFormat="1" ht="12.75" customHeight="1" x14ac:dyDescent="0.2">
      <c r="B30" s="6356"/>
      <c r="C30" s="6356"/>
      <c r="D30" s="153" t="s">
        <v>303</v>
      </c>
      <c r="E30" s="150"/>
      <c r="F30" s="151"/>
      <c r="G30" s="151"/>
      <c r="H30" s="15"/>
      <c r="I30" s="150"/>
      <c r="J30" s="151"/>
      <c r="K30" s="151"/>
      <c r="L30" s="15"/>
      <c r="M30" s="150"/>
      <c r="N30" s="151"/>
      <c r="O30" s="151"/>
      <c r="P30" s="152"/>
      <c r="Q30" s="151">
        <v>1</v>
      </c>
      <c r="R30" s="151"/>
      <c r="S30" s="151"/>
      <c r="T30" s="152">
        <v>1</v>
      </c>
      <c r="U30" s="151"/>
      <c r="V30" s="151"/>
      <c r="W30" s="151">
        <v>1</v>
      </c>
      <c r="X30" s="152">
        <v>1</v>
      </c>
      <c r="Y30" s="151">
        <v>1</v>
      </c>
      <c r="Z30" s="151">
        <v>3</v>
      </c>
      <c r="AA30" s="151"/>
      <c r="AB30" s="152">
        <f>SUM(Y30:AA30)</f>
        <v>4</v>
      </c>
      <c r="AC30" s="151">
        <v>1</v>
      </c>
      <c r="AD30" s="151">
        <v>1</v>
      </c>
      <c r="AE30" s="151"/>
      <c r="AF30" s="152">
        <f>SUM(AC30:AE30)</f>
        <v>2</v>
      </c>
    </row>
    <row r="31" spans="2:32" s="47" customFormat="1" ht="12.75" customHeight="1" x14ac:dyDescent="0.2">
      <c r="B31" s="6356"/>
      <c r="C31" s="6356"/>
      <c r="D31" s="153" t="s">
        <v>253</v>
      </c>
      <c r="E31" s="150"/>
      <c r="F31" s="151"/>
      <c r="G31" s="151"/>
      <c r="H31" s="15"/>
      <c r="I31" s="150"/>
      <c r="J31" s="151"/>
      <c r="K31" s="151"/>
      <c r="L31" s="15"/>
      <c r="M31" s="150"/>
      <c r="N31" s="151"/>
      <c r="O31" s="151"/>
      <c r="P31" s="152"/>
      <c r="Q31" s="151"/>
      <c r="R31" s="151"/>
      <c r="S31" s="151"/>
      <c r="T31" s="152"/>
      <c r="U31" s="151"/>
      <c r="V31" s="151"/>
      <c r="W31" s="151"/>
      <c r="X31" s="152"/>
      <c r="Y31" s="151"/>
      <c r="Z31" s="151"/>
      <c r="AA31" s="151"/>
      <c r="AB31" s="152"/>
      <c r="AC31" s="151"/>
      <c r="AD31" s="151"/>
      <c r="AE31" s="151"/>
      <c r="AF31" s="152"/>
    </row>
    <row r="32" spans="2:32" s="47" customFormat="1" ht="12.75" customHeight="1" x14ac:dyDescent="0.2">
      <c r="B32" s="6356"/>
      <c r="C32" s="6356"/>
      <c r="D32" s="153" t="s">
        <v>254</v>
      </c>
      <c r="E32" s="150"/>
      <c r="F32" s="151"/>
      <c r="G32" s="151"/>
      <c r="H32" s="15"/>
      <c r="I32" s="150"/>
      <c r="J32" s="151"/>
      <c r="K32" s="151"/>
      <c r="L32" s="15"/>
      <c r="M32" s="150"/>
      <c r="N32" s="151"/>
      <c r="O32" s="151"/>
      <c r="P32" s="152"/>
      <c r="Q32" s="151"/>
      <c r="R32" s="151">
        <v>1</v>
      </c>
      <c r="S32" s="151">
        <v>1</v>
      </c>
      <c r="T32" s="152">
        <v>2</v>
      </c>
      <c r="U32" s="151"/>
      <c r="V32" s="151"/>
      <c r="W32" s="151"/>
      <c r="X32" s="152"/>
      <c r="Y32" s="151"/>
      <c r="Z32" s="151"/>
      <c r="AA32" s="151"/>
      <c r="AB32" s="152"/>
      <c r="AC32" s="151"/>
      <c r="AD32" s="151"/>
      <c r="AE32" s="151"/>
      <c r="AF32" s="152"/>
    </row>
    <row r="33" spans="2:32" s="47" customFormat="1" ht="12.75" customHeight="1" x14ac:dyDescent="0.2">
      <c r="B33" s="6356"/>
      <c r="C33" s="6356"/>
      <c r="D33" s="153" t="s">
        <v>255</v>
      </c>
      <c r="E33" s="150"/>
      <c r="F33" s="151"/>
      <c r="G33" s="151">
        <v>2</v>
      </c>
      <c r="H33" s="15">
        <v>2</v>
      </c>
      <c r="I33" s="150"/>
      <c r="J33" s="151"/>
      <c r="K33" s="151"/>
      <c r="L33" s="15"/>
      <c r="M33" s="150">
        <v>1</v>
      </c>
      <c r="N33" s="151"/>
      <c r="O33" s="151"/>
      <c r="P33" s="152">
        <v>1</v>
      </c>
      <c r="Q33" s="151"/>
      <c r="R33" s="151"/>
      <c r="S33" s="151"/>
      <c r="T33" s="152"/>
      <c r="U33" s="151"/>
      <c r="V33" s="151"/>
      <c r="W33" s="151"/>
      <c r="X33" s="152"/>
      <c r="Y33" s="151"/>
      <c r="Z33" s="151"/>
      <c r="AA33" s="151"/>
      <c r="AB33" s="152"/>
      <c r="AC33" s="151"/>
      <c r="AD33" s="151"/>
      <c r="AE33" s="151"/>
      <c r="AF33" s="152"/>
    </row>
    <row r="34" spans="2:32" s="47" customFormat="1" ht="12.75" customHeight="1" x14ac:dyDescent="0.2">
      <c r="B34" s="6356"/>
      <c r="C34" s="6356"/>
      <c r="D34" s="153" t="s">
        <v>256</v>
      </c>
      <c r="E34" s="150"/>
      <c r="F34" s="151"/>
      <c r="G34" s="151"/>
      <c r="H34" s="15"/>
      <c r="I34" s="150">
        <v>1</v>
      </c>
      <c r="J34" s="151"/>
      <c r="K34" s="151"/>
      <c r="L34" s="15">
        <v>1</v>
      </c>
      <c r="M34" s="150"/>
      <c r="N34" s="151"/>
      <c r="O34" s="151"/>
      <c r="P34" s="152"/>
      <c r="Q34" s="151"/>
      <c r="R34" s="151"/>
      <c r="S34" s="151">
        <v>1</v>
      </c>
      <c r="T34" s="152">
        <v>1</v>
      </c>
      <c r="U34" s="151">
        <v>1</v>
      </c>
      <c r="V34" s="151"/>
      <c r="W34" s="151"/>
      <c r="X34" s="152">
        <v>1</v>
      </c>
      <c r="Y34" s="151"/>
      <c r="Z34" s="151"/>
      <c r="AA34" s="151"/>
      <c r="AB34" s="152"/>
      <c r="AC34" s="151"/>
      <c r="AD34" s="151"/>
      <c r="AE34" s="151"/>
      <c r="AF34" s="152"/>
    </row>
    <row r="35" spans="2:32" s="47" customFormat="1" ht="12.75" customHeight="1" x14ac:dyDescent="0.2">
      <c r="B35" s="6356"/>
      <c r="C35" s="6356"/>
      <c r="D35" s="153" t="s">
        <v>257</v>
      </c>
      <c r="E35" s="150"/>
      <c r="F35" s="151"/>
      <c r="G35" s="151"/>
      <c r="H35" s="15"/>
      <c r="I35" s="150"/>
      <c r="J35" s="151"/>
      <c r="K35" s="151"/>
      <c r="L35" s="15"/>
      <c r="M35" s="150"/>
      <c r="N35" s="151"/>
      <c r="O35" s="151"/>
      <c r="P35" s="152"/>
      <c r="Q35" s="151"/>
      <c r="R35" s="151"/>
      <c r="S35" s="151"/>
      <c r="T35" s="152"/>
      <c r="U35" s="151"/>
      <c r="V35" s="151">
        <v>1</v>
      </c>
      <c r="W35" s="151"/>
      <c r="X35" s="152">
        <v>1</v>
      </c>
      <c r="Y35" s="151"/>
      <c r="Z35" s="151"/>
      <c r="AA35" s="151"/>
      <c r="AB35" s="152"/>
      <c r="AC35" s="151"/>
      <c r="AD35" s="151"/>
      <c r="AE35" s="151"/>
      <c r="AF35" s="152"/>
    </row>
    <row r="36" spans="2:32" s="47" customFormat="1" ht="12.75" customHeight="1" x14ac:dyDescent="0.2">
      <c r="B36" s="6356"/>
      <c r="C36" s="6356"/>
      <c r="D36" s="153" t="s">
        <v>258</v>
      </c>
      <c r="E36" s="150"/>
      <c r="F36" s="151"/>
      <c r="G36" s="151"/>
      <c r="H36" s="15"/>
      <c r="I36" s="150"/>
      <c r="J36" s="151"/>
      <c r="K36" s="151"/>
      <c r="L36" s="15"/>
      <c r="M36" s="150"/>
      <c r="N36" s="151"/>
      <c r="O36" s="151"/>
      <c r="P36" s="152"/>
      <c r="Q36" s="151"/>
      <c r="R36" s="151"/>
      <c r="S36" s="151"/>
      <c r="T36" s="152"/>
      <c r="U36" s="151"/>
      <c r="V36" s="151"/>
      <c r="W36" s="151"/>
      <c r="X36" s="152"/>
      <c r="Y36" s="151"/>
      <c r="Z36" s="151"/>
      <c r="AA36" s="151"/>
      <c r="AB36" s="152"/>
      <c r="AC36" s="151"/>
      <c r="AD36" s="151"/>
      <c r="AE36" s="151">
        <v>1</v>
      </c>
      <c r="AF36" s="152">
        <f>SUM(AC36:AE36)</f>
        <v>1</v>
      </c>
    </row>
    <row r="37" spans="2:32" s="47" customFormat="1" ht="12.75" customHeight="1" x14ac:dyDescent="0.2">
      <c r="B37" s="6356"/>
      <c r="C37" s="6356"/>
      <c r="D37" s="153" t="s">
        <v>259</v>
      </c>
      <c r="E37" s="150"/>
      <c r="F37" s="151"/>
      <c r="G37" s="151"/>
      <c r="H37" s="15"/>
      <c r="I37" s="150"/>
      <c r="J37" s="151"/>
      <c r="K37" s="151"/>
      <c r="L37" s="15"/>
      <c r="M37" s="150">
        <v>1</v>
      </c>
      <c r="N37" s="151"/>
      <c r="O37" s="151"/>
      <c r="P37" s="152">
        <v>1</v>
      </c>
      <c r="Q37" s="151"/>
      <c r="R37" s="151"/>
      <c r="S37" s="151"/>
      <c r="T37" s="152"/>
      <c r="U37" s="151"/>
      <c r="V37" s="151"/>
      <c r="W37" s="151"/>
      <c r="X37" s="152"/>
      <c r="Y37" s="151"/>
      <c r="Z37" s="151"/>
      <c r="AA37" s="151"/>
      <c r="AB37" s="152"/>
      <c r="AC37" s="151"/>
      <c r="AD37" s="151"/>
      <c r="AE37" s="151"/>
      <c r="AF37" s="152"/>
    </row>
    <row r="38" spans="2:32" s="47" customFormat="1" ht="24" x14ac:dyDescent="0.2">
      <c r="B38" s="6356"/>
      <c r="C38" s="6356"/>
      <c r="D38" s="153" t="s">
        <v>260</v>
      </c>
      <c r="E38" s="150"/>
      <c r="F38" s="151"/>
      <c r="G38" s="151"/>
      <c r="H38" s="15"/>
      <c r="I38" s="150"/>
      <c r="J38" s="151"/>
      <c r="K38" s="151"/>
      <c r="L38" s="15"/>
      <c r="M38" s="150"/>
      <c r="N38" s="151"/>
      <c r="O38" s="151"/>
      <c r="P38" s="152"/>
      <c r="Q38" s="151"/>
      <c r="R38" s="151"/>
      <c r="S38" s="151"/>
      <c r="T38" s="152"/>
      <c r="U38" s="151"/>
      <c r="V38" s="151"/>
      <c r="W38" s="151"/>
      <c r="X38" s="152"/>
      <c r="Y38" s="151"/>
      <c r="Z38" s="151"/>
      <c r="AA38" s="151"/>
      <c r="AB38" s="152"/>
      <c r="AC38" s="151"/>
      <c r="AD38" s="151"/>
      <c r="AE38" s="151"/>
      <c r="AF38" s="152"/>
    </row>
    <row r="39" spans="2:32" s="47" customFormat="1" ht="12.75" customHeight="1" x14ac:dyDescent="0.2">
      <c r="B39" s="6356"/>
      <c r="C39" s="6357"/>
      <c r="D39" s="406" t="s">
        <v>261</v>
      </c>
      <c r="E39" s="154"/>
      <c r="F39" s="155"/>
      <c r="G39" s="155"/>
      <c r="H39" s="156"/>
      <c r="I39" s="154">
        <v>1</v>
      </c>
      <c r="J39" s="155"/>
      <c r="K39" s="155"/>
      <c r="L39" s="156">
        <v>1</v>
      </c>
      <c r="M39" s="154"/>
      <c r="N39" s="155"/>
      <c r="O39" s="155"/>
      <c r="P39" s="157"/>
      <c r="Q39" s="155"/>
      <c r="R39" s="155"/>
      <c r="S39" s="155"/>
      <c r="T39" s="157"/>
      <c r="U39" s="155"/>
      <c r="V39" s="155"/>
      <c r="W39" s="155"/>
      <c r="X39" s="157"/>
      <c r="Y39" s="155"/>
      <c r="Z39" s="155"/>
      <c r="AA39" s="155"/>
      <c r="AB39" s="157"/>
      <c r="AC39" s="155"/>
      <c r="AD39" s="155"/>
      <c r="AE39" s="155"/>
      <c r="AF39" s="157"/>
    </row>
    <row r="40" spans="2:32" s="47" customFormat="1" ht="12.75" customHeight="1" x14ac:dyDescent="0.2">
      <c r="B40" s="6356"/>
      <c r="C40" s="6356" t="s">
        <v>6</v>
      </c>
      <c r="D40" s="153" t="s">
        <v>262</v>
      </c>
      <c r="E40" s="150"/>
      <c r="F40" s="151"/>
      <c r="G40" s="151"/>
      <c r="H40" s="15"/>
      <c r="I40" s="150"/>
      <c r="J40" s="151"/>
      <c r="K40" s="151"/>
      <c r="L40" s="15"/>
      <c r="M40" s="150"/>
      <c r="N40" s="151"/>
      <c r="O40" s="151"/>
      <c r="P40" s="152"/>
      <c r="Q40" s="151"/>
      <c r="R40" s="151"/>
      <c r="S40" s="151"/>
      <c r="T40" s="152"/>
      <c r="U40" s="151"/>
      <c r="V40" s="151"/>
      <c r="W40" s="151"/>
      <c r="X40" s="152"/>
      <c r="Y40" s="151"/>
      <c r="Z40" s="151"/>
      <c r="AA40" s="151"/>
      <c r="AB40" s="152"/>
      <c r="AC40" s="151"/>
      <c r="AD40" s="151"/>
      <c r="AE40" s="151"/>
      <c r="AF40" s="152"/>
    </row>
    <row r="41" spans="2:32" s="47" customFormat="1" ht="12.75" customHeight="1" x14ac:dyDescent="0.2">
      <c r="B41" s="6356"/>
      <c r="C41" s="6356"/>
      <c r="D41" s="153" t="s">
        <v>263</v>
      </c>
      <c r="E41" s="150"/>
      <c r="F41" s="151"/>
      <c r="G41" s="151"/>
      <c r="H41" s="15"/>
      <c r="I41" s="150"/>
      <c r="J41" s="151"/>
      <c r="K41" s="151"/>
      <c r="L41" s="15"/>
      <c r="M41" s="150"/>
      <c r="N41" s="151"/>
      <c r="O41" s="151"/>
      <c r="P41" s="152"/>
      <c r="Q41" s="151"/>
      <c r="R41" s="151"/>
      <c r="S41" s="151"/>
      <c r="T41" s="152"/>
      <c r="U41" s="151"/>
      <c r="V41" s="151"/>
      <c r="W41" s="151"/>
      <c r="X41" s="152"/>
      <c r="Y41" s="151"/>
      <c r="Z41" s="151"/>
      <c r="AA41" s="151"/>
      <c r="AB41" s="152"/>
      <c r="AC41" s="151"/>
      <c r="AD41" s="151"/>
      <c r="AE41" s="151"/>
      <c r="AF41" s="152"/>
    </row>
    <row r="42" spans="2:32" s="47" customFormat="1" ht="12.75" customHeight="1" x14ac:dyDescent="0.2">
      <c r="B42" s="6356"/>
      <c r="C42" s="6356"/>
      <c r="D42" s="153" t="s">
        <v>264</v>
      </c>
      <c r="E42" s="150"/>
      <c r="F42" s="151"/>
      <c r="G42" s="151"/>
      <c r="H42" s="15"/>
      <c r="I42" s="150"/>
      <c r="J42" s="151"/>
      <c r="K42" s="151">
        <v>1</v>
      </c>
      <c r="L42" s="15">
        <v>1</v>
      </c>
      <c r="M42" s="150"/>
      <c r="N42" s="151"/>
      <c r="O42" s="151"/>
      <c r="P42" s="152"/>
      <c r="Q42" s="151"/>
      <c r="R42" s="151"/>
      <c r="S42" s="151"/>
      <c r="T42" s="152"/>
      <c r="U42" s="151"/>
      <c r="V42" s="151"/>
      <c r="W42" s="151"/>
      <c r="X42" s="152"/>
      <c r="Y42" s="151"/>
      <c r="Z42" s="151"/>
      <c r="AA42" s="151"/>
      <c r="AB42" s="152"/>
      <c r="AC42" s="151"/>
      <c r="AD42" s="151">
        <v>1</v>
      </c>
      <c r="AE42" s="151"/>
      <c r="AF42" s="152">
        <f>SUM(AC42:AE42)</f>
        <v>1</v>
      </c>
    </row>
    <row r="43" spans="2:32" s="47" customFormat="1" ht="12.75" customHeight="1" x14ac:dyDescent="0.2">
      <c r="B43" s="6356"/>
      <c r="C43" s="6356"/>
      <c r="D43" s="153" t="s">
        <v>265</v>
      </c>
      <c r="E43" s="150"/>
      <c r="F43" s="151"/>
      <c r="G43" s="151"/>
      <c r="H43" s="15"/>
      <c r="I43" s="150"/>
      <c r="J43" s="151"/>
      <c r="K43" s="151"/>
      <c r="L43" s="15"/>
      <c r="M43" s="150"/>
      <c r="N43" s="151"/>
      <c r="O43" s="151"/>
      <c r="P43" s="152"/>
      <c r="Q43" s="151"/>
      <c r="R43" s="151"/>
      <c r="S43" s="151"/>
      <c r="T43" s="152"/>
      <c r="U43" s="151"/>
      <c r="V43" s="151"/>
      <c r="W43" s="151"/>
      <c r="X43" s="152"/>
      <c r="Y43" s="151"/>
      <c r="Z43" s="151"/>
      <c r="AA43" s="151"/>
      <c r="AB43" s="152"/>
      <c r="AC43" s="151"/>
      <c r="AD43" s="151"/>
      <c r="AE43" s="151"/>
      <c r="AF43" s="152"/>
    </row>
    <row r="44" spans="2:32" s="47" customFormat="1" ht="12.75" customHeight="1" x14ac:dyDescent="0.2">
      <c r="B44" s="6356"/>
      <c r="C44" s="6356"/>
      <c r="D44" s="153" t="s">
        <v>266</v>
      </c>
      <c r="E44" s="150"/>
      <c r="F44" s="151"/>
      <c r="G44" s="151"/>
      <c r="H44" s="15"/>
      <c r="I44" s="150"/>
      <c r="J44" s="151"/>
      <c r="K44" s="151"/>
      <c r="L44" s="15"/>
      <c r="M44" s="150"/>
      <c r="N44" s="151"/>
      <c r="O44" s="151"/>
      <c r="P44" s="152"/>
      <c r="Q44" s="151"/>
      <c r="R44" s="151"/>
      <c r="S44" s="151"/>
      <c r="T44" s="152"/>
      <c r="U44" s="151"/>
      <c r="V44" s="151"/>
      <c r="W44" s="151"/>
      <c r="X44" s="152"/>
      <c r="Y44" s="151"/>
      <c r="Z44" s="151"/>
      <c r="AA44" s="151"/>
      <c r="AB44" s="152"/>
      <c r="AC44" s="151"/>
      <c r="AD44" s="151"/>
      <c r="AE44" s="151"/>
      <c r="AF44" s="152"/>
    </row>
    <row r="45" spans="2:32" s="47" customFormat="1" ht="12.75" customHeight="1" x14ac:dyDescent="0.2">
      <c r="B45" s="6356"/>
      <c r="C45" s="6356"/>
      <c r="D45" s="153" t="s">
        <v>267</v>
      </c>
      <c r="E45" s="150">
        <v>1</v>
      </c>
      <c r="F45" s="151"/>
      <c r="G45" s="151"/>
      <c r="H45" s="15">
        <v>1</v>
      </c>
      <c r="I45" s="150"/>
      <c r="J45" s="151"/>
      <c r="K45" s="151">
        <v>1</v>
      </c>
      <c r="L45" s="15">
        <v>1</v>
      </c>
      <c r="M45" s="150">
        <v>2</v>
      </c>
      <c r="N45" s="151"/>
      <c r="O45" s="151"/>
      <c r="P45" s="152">
        <v>2</v>
      </c>
      <c r="Q45" s="151"/>
      <c r="R45" s="151">
        <v>1</v>
      </c>
      <c r="S45" s="151"/>
      <c r="T45" s="152">
        <v>1</v>
      </c>
      <c r="U45" s="151"/>
      <c r="V45" s="151"/>
      <c r="W45" s="151"/>
      <c r="X45" s="152"/>
      <c r="Y45" s="151"/>
      <c r="Z45" s="151"/>
      <c r="AA45" s="151"/>
      <c r="AB45" s="152"/>
      <c r="AC45" s="151"/>
      <c r="AD45" s="151"/>
      <c r="AE45" s="151"/>
      <c r="AF45" s="152"/>
    </row>
    <row r="46" spans="2:32" s="47" customFormat="1" ht="12.75" customHeight="1" x14ac:dyDescent="0.2">
      <c r="B46" s="6356"/>
      <c r="C46" s="6356"/>
      <c r="D46" s="153" t="s">
        <v>268</v>
      </c>
      <c r="E46" s="150"/>
      <c r="F46" s="151"/>
      <c r="G46" s="151"/>
      <c r="H46" s="15"/>
      <c r="I46" s="150"/>
      <c r="J46" s="151"/>
      <c r="K46" s="151"/>
      <c r="L46" s="15"/>
      <c r="M46" s="150">
        <v>1</v>
      </c>
      <c r="N46" s="151"/>
      <c r="O46" s="151"/>
      <c r="P46" s="152">
        <v>1</v>
      </c>
      <c r="Q46" s="151"/>
      <c r="R46" s="151"/>
      <c r="S46" s="151"/>
      <c r="T46" s="152"/>
      <c r="U46" s="151"/>
      <c r="V46" s="151"/>
      <c r="W46" s="151">
        <v>1</v>
      </c>
      <c r="X46" s="152">
        <v>1</v>
      </c>
      <c r="Y46" s="151"/>
      <c r="Z46" s="151">
        <v>1</v>
      </c>
      <c r="AA46" s="151"/>
      <c r="AB46" s="152">
        <f>SUM(Y46:AA46)</f>
        <v>1</v>
      </c>
      <c r="AC46" s="151"/>
      <c r="AD46" s="151"/>
      <c r="AE46" s="151"/>
      <c r="AF46" s="152"/>
    </row>
    <row r="47" spans="2:32" s="47" customFormat="1" ht="12.75" customHeight="1" x14ac:dyDescent="0.2">
      <c r="B47" s="6356"/>
      <c r="C47" s="6356"/>
      <c r="D47" s="153" t="s">
        <v>269</v>
      </c>
      <c r="E47" s="150"/>
      <c r="F47" s="151"/>
      <c r="G47" s="151"/>
      <c r="H47" s="15"/>
      <c r="I47" s="150"/>
      <c r="J47" s="151"/>
      <c r="K47" s="151">
        <v>2</v>
      </c>
      <c r="L47" s="15">
        <v>2</v>
      </c>
      <c r="M47" s="150">
        <v>2</v>
      </c>
      <c r="N47" s="151">
        <v>1</v>
      </c>
      <c r="O47" s="151"/>
      <c r="P47" s="152">
        <v>3</v>
      </c>
      <c r="Q47" s="151"/>
      <c r="R47" s="151"/>
      <c r="S47" s="151"/>
      <c r="T47" s="152"/>
      <c r="U47" s="151"/>
      <c r="V47" s="151"/>
      <c r="W47" s="151">
        <v>1</v>
      </c>
      <c r="X47" s="152">
        <v>1</v>
      </c>
      <c r="Y47" s="151"/>
      <c r="Z47" s="151"/>
      <c r="AA47" s="151"/>
      <c r="AB47" s="152"/>
      <c r="AC47" s="151"/>
      <c r="AD47" s="151">
        <v>1</v>
      </c>
      <c r="AE47" s="151"/>
      <c r="AF47" s="152">
        <f>SUM(AC47:AE47)</f>
        <v>1</v>
      </c>
    </row>
    <row r="48" spans="2:32" s="47" customFormat="1" ht="12.75" customHeight="1" x14ac:dyDescent="0.2">
      <c r="B48" s="6356"/>
      <c r="C48" s="6356"/>
      <c r="D48" s="153" t="s">
        <v>270</v>
      </c>
      <c r="E48" s="150"/>
      <c r="F48" s="151"/>
      <c r="G48" s="151"/>
      <c r="H48" s="15"/>
      <c r="I48" s="150"/>
      <c r="J48" s="151"/>
      <c r="K48" s="151">
        <v>1</v>
      </c>
      <c r="L48" s="15">
        <v>1</v>
      </c>
      <c r="M48" s="150"/>
      <c r="N48" s="151"/>
      <c r="O48" s="151"/>
      <c r="P48" s="152"/>
      <c r="Q48" s="151"/>
      <c r="R48" s="151"/>
      <c r="S48" s="151"/>
      <c r="T48" s="152"/>
      <c r="U48" s="151"/>
      <c r="V48" s="151"/>
      <c r="W48" s="151"/>
      <c r="X48" s="152"/>
      <c r="Y48" s="151"/>
      <c r="Z48" s="151"/>
      <c r="AA48" s="151">
        <v>1</v>
      </c>
      <c r="AB48" s="152">
        <f>SUM(Y48:AA48)</f>
        <v>1</v>
      </c>
      <c r="AC48" s="151"/>
      <c r="AD48" s="151"/>
      <c r="AE48" s="151"/>
      <c r="AF48" s="152"/>
    </row>
    <row r="49" spans="2:32" s="47" customFormat="1" ht="12.75" customHeight="1" x14ac:dyDescent="0.2">
      <c r="B49" s="6356"/>
      <c r="C49" s="6356"/>
      <c r="D49" s="145" t="s">
        <v>242</v>
      </c>
      <c r="E49" s="150"/>
      <c r="F49" s="151"/>
      <c r="G49" s="151"/>
      <c r="H49" s="15"/>
      <c r="I49" s="150"/>
      <c r="J49" s="151"/>
      <c r="K49" s="151"/>
      <c r="L49" s="15"/>
      <c r="M49" s="150"/>
      <c r="N49" s="151"/>
      <c r="O49" s="151"/>
      <c r="P49" s="152"/>
      <c r="Q49" s="151">
        <v>1</v>
      </c>
      <c r="R49" s="151"/>
      <c r="S49" s="151"/>
      <c r="T49" s="152">
        <v>1</v>
      </c>
      <c r="U49" s="151"/>
      <c r="V49" s="151"/>
      <c r="W49" s="151">
        <v>1</v>
      </c>
      <c r="X49" s="152">
        <v>1</v>
      </c>
      <c r="Y49" s="151"/>
      <c r="Z49" s="151"/>
      <c r="AA49" s="151"/>
      <c r="AB49" s="152"/>
      <c r="AC49" s="151">
        <v>2</v>
      </c>
      <c r="AD49" s="151"/>
      <c r="AE49" s="151"/>
      <c r="AF49" s="152">
        <f>SUM(AC49:AE49)</f>
        <v>2</v>
      </c>
    </row>
    <row r="50" spans="2:32" s="47" customFormat="1" ht="12.75" customHeight="1" x14ac:dyDescent="0.2">
      <c r="B50" s="6356"/>
      <c r="C50" s="6356"/>
      <c r="D50" s="145" t="s">
        <v>243</v>
      </c>
      <c r="E50" s="150"/>
      <c r="F50" s="151"/>
      <c r="G50" s="151"/>
      <c r="H50" s="15"/>
      <c r="I50" s="150"/>
      <c r="J50" s="151"/>
      <c r="K50" s="151"/>
      <c r="L50" s="15"/>
      <c r="M50" s="150"/>
      <c r="N50" s="151"/>
      <c r="O50" s="151"/>
      <c r="P50" s="152"/>
      <c r="Q50" s="151"/>
      <c r="R50" s="151"/>
      <c r="S50" s="151"/>
      <c r="T50" s="152"/>
      <c r="U50" s="151"/>
      <c r="V50" s="151"/>
      <c r="W50" s="151"/>
      <c r="X50" s="152"/>
      <c r="Y50" s="151"/>
      <c r="Z50" s="151"/>
      <c r="AA50" s="151"/>
      <c r="AB50" s="152"/>
      <c r="AC50" s="151"/>
      <c r="AD50" s="151"/>
      <c r="AE50" s="151"/>
      <c r="AF50" s="152"/>
    </row>
    <row r="51" spans="2:32" s="47" customFormat="1" ht="12.75" customHeight="1" x14ac:dyDescent="0.2">
      <c r="B51" s="6356"/>
      <c r="C51" s="6355" t="s">
        <v>11</v>
      </c>
      <c r="D51" s="403" t="s">
        <v>271</v>
      </c>
      <c r="E51" s="146"/>
      <c r="F51" s="147"/>
      <c r="G51" s="147"/>
      <c r="H51" s="148"/>
      <c r="I51" s="146"/>
      <c r="J51" s="147"/>
      <c r="K51" s="147"/>
      <c r="L51" s="148"/>
      <c r="M51" s="146"/>
      <c r="N51" s="147"/>
      <c r="O51" s="147"/>
      <c r="P51" s="149"/>
      <c r="Q51" s="147"/>
      <c r="R51" s="147"/>
      <c r="S51" s="147"/>
      <c r="T51" s="149"/>
      <c r="U51" s="147"/>
      <c r="V51" s="147"/>
      <c r="W51" s="147"/>
      <c r="X51" s="149"/>
      <c r="Y51" s="147"/>
      <c r="Z51" s="147"/>
      <c r="AA51" s="147"/>
      <c r="AB51" s="149"/>
      <c r="AC51" s="146"/>
      <c r="AD51" s="147"/>
      <c r="AE51" s="147"/>
      <c r="AF51" s="407"/>
    </row>
    <row r="52" spans="2:32" s="47" customFormat="1" ht="12.75" customHeight="1" x14ac:dyDescent="0.2">
      <c r="B52" s="6356"/>
      <c r="C52" s="6356"/>
      <c r="D52" s="153" t="s">
        <v>272</v>
      </c>
      <c r="E52" s="150">
        <v>1</v>
      </c>
      <c r="F52" s="151"/>
      <c r="G52" s="151">
        <v>1</v>
      </c>
      <c r="H52" s="15">
        <v>2</v>
      </c>
      <c r="I52" s="150"/>
      <c r="J52" s="151"/>
      <c r="K52" s="151"/>
      <c r="L52" s="15"/>
      <c r="M52" s="150"/>
      <c r="N52" s="151"/>
      <c r="O52" s="151"/>
      <c r="P52" s="152"/>
      <c r="Q52" s="151"/>
      <c r="R52" s="151"/>
      <c r="S52" s="151"/>
      <c r="T52" s="152"/>
      <c r="U52" s="151"/>
      <c r="V52" s="151"/>
      <c r="W52" s="151"/>
      <c r="X52" s="152"/>
      <c r="Y52" s="151">
        <v>1</v>
      </c>
      <c r="Z52" s="151"/>
      <c r="AA52" s="151"/>
      <c r="AB52" s="152">
        <f>SUM(Y52:AA52)</f>
        <v>1</v>
      </c>
      <c r="AC52" s="408"/>
      <c r="AD52" s="151"/>
      <c r="AE52" s="151"/>
      <c r="AF52" s="152"/>
    </row>
    <row r="53" spans="2:32" s="47" customFormat="1" ht="12.75" customHeight="1" x14ac:dyDescent="0.2">
      <c r="B53" s="6356"/>
      <c r="C53" s="6356"/>
      <c r="D53" s="153" t="s">
        <v>273</v>
      </c>
      <c r="E53" s="150"/>
      <c r="F53" s="151"/>
      <c r="G53" s="151"/>
      <c r="H53" s="15"/>
      <c r="I53" s="150"/>
      <c r="J53" s="151"/>
      <c r="K53" s="151">
        <v>1</v>
      </c>
      <c r="L53" s="15">
        <v>1</v>
      </c>
      <c r="M53" s="150"/>
      <c r="N53" s="151"/>
      <c r="O53" s="151"/>
      <c r="P53" s="152"/>
      <c r="Q53" s="151"/>
      <c r="R53" s="151"/>
      <c r="S53" s="151"/>
      <c r="T53" s="152"/>
      <c r="U53" s="151"/>
      <c r="V53" s="151"/>
      <c r="W53" s="151"/>
      <c r="X53" s="152"/>
      <c r="Y53" s="151"/>
      <c r="Z53" s="151"/>
      <c r="AA53" s="151"/>
      <c r="AB53" s="152"/>
      <c r="AC53" s="150"/>
      <c r="AD53" s="151"/>
      <c r="AE53" s="151"/>
      <c r="AF53" s="152"/>
    </row>
    <row r="54" spans="2:32" s="47" customFormat="1" ht="12.75" customHeight="1" x14ac:dyDescent="0.2">
      <c r="B54" s="6356"/>
      <c r="C54" s="6356"/>
      <c r="D54" s="145" t="s">
        <v>274</v>
      </c>
      <c r="E54" s="150"/>
      <c r="F54" s="151"/>
      <c r="G54" s="151"/>
      <c r="H54" s="15"/>
      <c r="I54" s="150"/>
      <c r="J54" s="151"/>
      <c r="K54" s="151"/>
      <c r="L54" s="15"/>
      <c r="M54" s="150"/>
      <c r="N54" s="151"/>
      <c r="O54" s="151"/>
      <c r="P54" s="152"/>
      <c r="Q54" s="151"/>
      <c r="R54" s="151"/>
      <c r="S54" s="151"/>
      <c r="T54" s="152"/>
      <c r="U54" s="151"/>
      <c r="V54" s="151"/>
      <c r="W54" s="151"/>
      <c r="X54" s="152"/>
      <c r="Y54" s="151"/>
      <c r="Z54" s="151">
        <v>1</v>
      </c>
      <c r="AA54" s="151"/>
      <c r="AB54" s="152">
        <f>SUM(Y54:AA54)</f>
        <v>1</v>
      </c>
      <c r="AC54" s="150"/>
      <c r="AD54" s="151"/>
      <c r="AE54" s="151"/>
      <c r="AF54" s="152"/>
    </row>
    <row r="55" spans="2:32" s="47" customFormat="1" ht="12.75" customHeight="1" x14ac:dyDescent="0.2">
      <c r="B55" s="6356"/>
      <c r="C55" s="6356"/>
      <c r="D55" s="145" t="s">
        <v>275</v>
      </c>
      <c r="E55" s="150"/>
      <c r="F55" s="151"/>
      <c r="G55" s="151"/>
      <c r="H55" s="15"/>
      <c r="I55" s="150"/>
      <c r="J55" s="151"/>
      <c r="K55" s="151"/>
      <c r="L55" s="15"/>
      <c r="M55" s="150"/>
      <c r="N55" s="151"/>
      <c r="O55" s="151"/>
      <c r="P55" s="152"/>
      <c r="Q55" s="151"/>
      <c r="R55" s="151"/>
      <c r="S55" s="151"/>
      <c r="T55" s="152"/>
      <c r="U55" s="151"/>
      <c r="V55" s="151"/>
      <c r="W55" s="151"/>
      <c r="X55" s="152"/>
      <c r="Y55" s="151"/>
      <c r="Z55" s="151"/>
      <c r="AA55" s="151"/>
      <c r="AB55" s="152"/>
      <c r="AC55" s="150"/>
      <c r="AD55" s="151"/>
      <c r="AE55" s="151"/>
      <c r="AF55" s="152"/>
    </row>
    <row r="56" spans="2:32" s="47" customFormat="1" ht="12.75" customHeight="1" x14ac:dyDescent="0.2">
      <c r="B56" s="6356"/>
      <c r="C56" s="6356"/>
      <c r="D56" s="153" t="s">
        <v>276</v>
      </c>
      <c r="E56" s="150"/>
      <c r="F56" s="151">
        <v>1</v>
      </c>
      <c r="G56" s="151"/>
      <c r="H56" s="15">
        <v>1</v>
      </c>
      <c r="I56" s="150"/>
      <c r="J56" s="151"/>
      <c r="K56" s="151"/>
      <c r="L56" s="15"/>
      <c r="M56" s="150"/>
      <c r="N56" s="151"/>
      <c r="O56" s="151"/>
      <c r="P56" s="152"/>
      <c r="Q56" s="151"/>
      <c r="R56" s="151"/>
      <c r="S56" s="151"/>
      <c r="T56" s="152"/>
      <c r="U56" s="151"/>
      <c r="V56" s="151"/>
      <c r="W56" s="151"/>
      <c r="X56" s="152"/>
      <c r="Y56" s="151"/>
      <c r="Z56" s="151"/>
      <c r="AA56" s="151"/>
      <c r="AB56" s="152"/>
      <c r="AC56" s="150"/>
      <c r="AD56" s="151"/>
      <c r="AE56" s="151"/>
      <c r="AF56" s="152"/>
    </row>
    <row r="57" spans="2:32" s="47" customFormat="1" ht="12.75" customHeight="1" x14ac:dyDescent="0.2">
      <c r="B57" s="6356"/>
      <c r="C57" s="6356"/>
      <c r="D57" s="153" t="s">
        <v>277</v>
      </c>
      <c r="E57" s="150"/>
      <c r="F57" s="151"/>
      <c r="G57" s="151"/>
      <c r="H57" s="15"/>
      <c r="I57" s="150"/>
      <c r="J57" s="151"/>
      <c r="K57" s="151"/>
      <c r="L57" s="15"/>
      <c r="M57" s="150"/>
      <c r="N57" s="151"/>
      <c r="O57" s="151"/>
      <c r="P57" s="152"/>
      <c r="Q57" s="151"/>
      <c r="R57" s="151"/>
      <c r="S57" s="151"/>
      <c r="T57" s="152"/>
      <c r="U57" s="151"/>
      <c r="V57" s="151"/>
      <c r="W57" s="151"/>
      <c r="X57" s="152"/>
      <c r="Y57" s="151"/>
      <c r="Z57" s="151"/>
      <c r="AA57" s="151"/>
      <c r="AB57" s="152"/>
      <c r="AC57" s="150"/>
      <c r="AD57" s="151"/>
      <c r="AE57" s="151"/>
      <c r="AF57" s="152"/>
    </row>
    <row r="58" spans="2:32" s="47" customFormat="1" ht="12.75" customHeight="1" x14ac:dyDescent="0.2">
      <c r="B58" s="6356"/>
      <c r="C58" s="6356"/>
      <c r="D58" s="145" t="s">
        <v>278</v>
      </c>
      <c r="E58" s="150"/>
      <c r="F58" s="151"/>
      <c r="G58" s="151">
        <v>1</v>
      </c>
      <c r="H58" s="15">
        <v>1</v>
      </c>
      <c r="I58" s="150"/>
      <c r="J58" s="151"/>
      <c r="K58" s="151">
        <v>1</v>
      </c>
      <c r="L58" s="15">
        <v>1</v>
      </c>
      <c r="M58" s="150"/>
      <c r="N58" s="151"/>
      <c r="O58" s="151">
        <v>1</v>
      </c>
      <c r="P58" s="152">
        <v>1</v>
      </c>
      <c r="Q58" s="151"/>
      <c r="R58" s="151"/>
      <c r="S58" s="151"/>
      <c r="T58" s="152"/>
      <c r="U58" s="151"/>
      <c r="V58" s="151"/>
      <c r="W58" s="151"/>
      <c r="X58" s="152"/>
      <c r="Y58" s="151"/>
      <c r="Z58" s="151"/>
      <c r="AA58" s="151"/>
      <c r="AB58" s="152"/>
      <c r="AC58" s="150"/>
      <c r="AD58" s="151"/>
      <c r="AE58" s="151"/>
      <c r="AF58" s="152"/>
    </row>
    <row r="59" spans="2:32" s="47" customFormat="1" ht="12.75" customHeight="1" x14ac:dyDescent="0.2">
      <c r="B59" s="6357"/>
      <c r="C59" s="6357"/>
      <c r="D59" s="404" t="s">
        <v>279</v>
      </c>
      <c r="E59" s="154"/>
      <c r="F59" s="155"/>
      <c r="G59" s="155"/>
      <c r="H59" s="156"/>
      <c r="I59" s="154"/>
      <c r="J59" s="155"/>
      <c r="K59" s="155"/>
      <c r="L59" s="156"/>
      <c r="M59" s="154"/>
      <c r="N59" s="155"/>
      <c r="O59" s="155"/>
      <c r="P59" s="157"/>
      <c r="Q59" s="155"/>
      <c r="R59" s="155"/>
      <c r="S59" s="155"/>
      <c r="T59" s="157"/>
      <c r="U59" s="155"/>
      <c r="V59" s="155"/>
      <c r="W59" s="155"/>
      <c r="X59" s="157"/>
      <c r="Y59" s="155"/>
      <c r="Z59" s="155"/>
      <c r="AA59" s="155"/>
      <c r="AB59" s="157"/>
      <c r="AC59" s="154"/>
      <c r="AD59" s="155"/>
      <c r="AE59" s="155"/>
      <c r="AF59" s="157"/>
    </row>
    <row r="60" spans="2:32" s="47" customFormat="1" ht="12.75" customHeight="1" x14ac:dyDescent="0.2">
      <c r="B60" s="6355" t="s">
        <v>10</v>
      </c>
      <c r="C60" s="6356" t="s">
        <v>6</v>
      </c>
      <c r="D60" s="153" t="s">
        <v>280</v>
      </c>
      <c r="E60" s="150"/>
      <c r="F60" s="151"/>
      <c r="G60" s="151"/>
      <c r="H60" s="15"/>
      <c r="I60" s="150"/>
      <c r="J60" s="151"/>
      <c r="K60" s="151"/>
      <c r="L60" s="15"/>
      <c r="M60" s="150"/>
      <c r="N60" s="151"/>
      <c r="O60" s="151"/>
      <c r="P60" s="152"/>
      <c r="Q60" s="151"/>
      <c r="R60" s="151"/>
      <c r="S60" s="151">
        <v>1</v>
      </c>
      <c r="T60" s="152">
        <v>1</v>
      </c>
      <c r="U60" s="151"/>
      <c r="V60" s="151"/>
      <c r="W60" s="151"/>
      <c r="X60" s="152"/>
      <c r="Y60" s="151"/>
      <c r="Z60" s="151"/>
      <c r="AA60" s="151"/>
      <c r="AB60" s="152"/>
      <c r="AC60" s="151"/>
      <c r="AD60" s="151"/>
      <c r="AE60" s="151"/>
      <c r="AF60" s="152"/>
    </row>
    <row r="61" spans="2:32" s="47" customFormat="1" ht="12.75" customHeight="1" x14ac:dyDescent="0.2">
      <c r="B61" s="6356"/>
      <c r="C61" s="6356"/>
      <c r="D61" s="153" t="s">
        <v>281</v>
      </c>
      <c r="E61" s="150"/>
      <c r="F61" s="151"/>
      <c r="G61" s="151"/>
      <c r="H61" s="15"/>
      <c r="I61" s="150"/>
      <c r="J61" s="151"/>
      <c r="K61" s="151"/>
      <c r="L61" s="15"/>
      <c r="M61" s="150"/>
      <c r="N61" s="151"/>
      <c r="O61" s="151"/>
      <c r="P61" s="152"/>
      <c r="Q61" s="151"/>
      <c r="R61" s="151"/>
      <c r="S61" s="151"/>
      <c r="T61" s="152"/>
      <c r="U61" s="151"/>
      <c r="V61" s="151"/>
      <c r="W61" s="151"/>
      <c r="X61" s="152"/>
      <c r="Y61" s="151"/>
      <c r="Z61" s="151"/>
      <c r="AA61" s="151"/>
      <c r="AB61" s="152"/>
      <c r="AC61" s="151"/>
      <c r="AD61" s="151"/>
      <c r="AE61" s="151"/>
      <c r="AF61" s="152"/>
    </row>
    <row r="62" spans="2:32" s="47" customFormat="1" ht="12.75" customHeight="1" x14ac:dyDescent="0.2">
      <c r="B62" s="6356"/>
      <c r="C62" s="6356"/>
      <c r="D62" s="153" t="s">
        <v>282</v>
      </c>
      <c r="E62" s="150"/>
      <c r="F62" s="151"/>
      <c r="G62" s="151"/>
      <c r="H62" s="15"/>
      <c r="I62" s="150"/>
      <c r="J62" s="151"/>
      <c r="K62" s="151"/>
      <c r="L62" s="15"/>
      <c r="M62" s="150"/>
      <c r="N62" s="151"/>
      <c r="O62" s="151"/>
      <c r="P62" s="152"/>
      <c r="Q62" s="151"/>
      <c r="R62" s="151"/>
      <c r="S62" s="151"/>
      <c r="T62" s="152"/>
      <c r="U62" s="151"/>
      <c r="V62" s="151"/>
      <c r="W62" s="151"/>
      <c r="X62" s="152"/>
      <c r="Y62" s="151"/>
      <c r="Z62" s="151"/>
      <c r="AA62" s="151"/>
      <c r="AB62" s="152"/>
      <c r="AC62" s="151"/>
      <c r="AD62" s="151"/>
      <c r="AE62" s="151"/>
      <c r="AF62" s="152"/>
    </row>
    <row r="63" spans="2:32" s="47" customFormat="1" ht="12.75" customHeight="1" x14ac:dyDescent="0.2">
      <c r="B63" s="6356"/>
      <c r="C63" s="6356"/>
      <c r="D63" s="153" t="s">
        <v>283</v>
      </c>
      <c r="E63" s="150"/>
      <c r="F63" s="151"/>
      <c r="G63" s="151"/>
      <c r="H63" s="15"/>
      <c r="I63" s="150"/>
      <c r="J63" s="151"/>
      <c r="K63" s="151"/>
      <c r="L63" s="15"/>
      <c r="M63" s="150"/>
      <c r="N63" s="151"/>
      <c r="O63" s="151"/>
      <c r="P63" s="152"/>
      <c r="Q63" s="151"/>
      <c r="R63" s="151"/>
      <c r="S63" s="151"/>
      <c r="T63" s="152"/>
      <c r="U63" s="151"/>
      <c r="V63" s="151"/>
      <c r="W63" s="151"/>
      <c r="X63" s="152"/>
      <c r="Y63" s="151"/>
      <c r="Z63" s="151"/>
      <c r="AA63" s="151"/>
      <c r="AB63" s="152"/>
      <c r="AC63" s="151"/>
      <c r="AD63" s="151"/>
      <c r="AE63" s="151"/>
      <c r="AF63" s="152"/>
    </row>
    <row r="64" spans="2:32" s="47" customFormat="1" ht="12.75" customHeight="1" x14ac:dyDescent="0.2">
      <c r="B64" s="6356"/>
      <c r="C64" s="6356"/>
      <c r="D64" s="153" t="s">
        <v>284</v>
      </c>
      <c r="E64" s="150"/>
      <c r="F64" s="151"/>
      <c r="G64" s="151"/>
      <c r="H64" s="15"/>
      <c r="I64" s="150"/>
      <c r="J64" s="151"/>
      <c r="K64" s="151"/>
      <c r="L64" s="15"/>
      <c r="M64" s="150"/>
      <c r="N64" s="151"/>
      <c r="O64" s="151"/>
      <c r="P64" s="152"/>
      <c r="Q64" s="151"/>
      <c r="R64" s="151"/>
      <c r="S64" s="151"/>
      <c r="T64" s="152"/>
      <c r="U64" s="151"/>
      <c r="V64" s="151"/>
      <c r="W64" s="151"/>
      <c r="X64" s="152"/>
      <c r="Y64" s="151"/>
      <c r="Z64" s="151"/>
      <c r="AA64" s="151"/>
      <c r="AB64" s="152"/>
      <c r="AC64" s="151"/>
      <c r="AD64" s="151"/>
      <c r="AE64" s="151"/>
      <c r="AF64" s="152"/>
    </row>
    <row r="65" spans="2:32" s="47" customFormat="1" ht="24" x14ac:dyDescent="0.2">
      <c r="B65" s="6356"/>
      <c r="C65" s="6356"/>
      <c r="D65" s="145" t="s">
        <v>285</v>
      </c>
      <c r="E65" s="150"/>
      <c r="F65" s="151"/>
      <c r="G65" s="151"/>
      <c r="H65" s="15"/>
      <c r="I65" s="150">
        <v>1</v>
      </c>
      <c r="J65" s="151"/>
      <c r="K65" s="151"/>
      <c r="L65" s="15">
        <v>1</v>
      </c>
      <c r="M65" s="150"/>
      <c r="N65" s="151"/>
      <c r="O65" s="151"/>
      <c r="P65" s="152"/>
      <c r="Q65" s="151"/>
      <c r="R65" s="151"/>
      <c r="S65" s="151"/>
      <c r="T65" s="152"/>
      <c r="U65" s="151"/>
      <c r="V65" s="151"/>
      <c r="W65" s="151"/>
      <c r="X65" s="152"/>
      <c r="Y65" s="151"/>
      <c r="Z65" s="151"/>
      <c r="AA65" s="151"/>
      <c r="AB65" s="152"/>
      <c r="AC65" s="151"/>
      <c r="AD65" s="151"/>
      <c r="AE65" s="151"/>
      <c r="AF65" s="152"/>
    </row>
    <row r="66" spans="2:32" s="47" customFormat="1" ht="24" x14ac:dyDescent="0.2">
      <c r="B66" s="6356"/>
      <c r="C66" s="6356"/>
      <c r="D66" s="145" t="s">
        <v>286</v>
      </c>
      <c r="E66" s="150"/>
      <c r="F66" s="151"/>
      <c r="G66" s="151"/>
      <c r="H66" s="15"/>
      <c r="I66" s="150"/>
      <c r="J66" s="151"/>
      <c r="K66" s="151"/>
      <c r="L66" s="15"/>
      <c r="M66" s="150"/>
      <c r="N66" s="151"/>
      <c r="O66" s="151"/>
      <c r="P66" s="152"/>
      <c r="Q66" s="151"/>
      <c r="R66" s="151"/>
      <c r="S66" s="151"/>
      <c r="T66" s="152"/>
      <c r="U66" s="151"/>
      <c r="V66" s="151"/>
      <c r="W66" s="151"/>
      <c r="X66" s="152"/>
      <c r="Y66" s="151"/>
      <c r="Z66" s="151"/>
      <c r="AA66" s="151"/>
      <c r="AB66" s="152"/>
      <c r="AC66" s="151"/>
      <c r="AD66" s="151"/>
      <c r="AE66" s="151"/>
      <c r="AF66" s="152"/>
    </row>
    <row r="67" spans="2:32" s="47" customFormat="1" ht="24" x14ac:dyDescent="0.2">
      <c r="B67" s="6356"/>
      <c r="C67" s="6356"/>
      <c r="D67" s="145" t="s">
        <v>287</v>
      </c>
      <c r="E67" s="150"/>
      <c r="F67" s="151"/>
      <c r="G67" s="151"/>
      <c r="H67" s="15"/>
      <c r="I67" s="150"/>
      <c r="J67" s="151"/>
      <c r="K67" s="151"/>
      <c r="L67" s="15"/>
      <c r="M67" s="150">
        <v>1</v>
      </c>
      <c r="N67" s="151"/>
      <c r="O67" s="151"/>
      <c r="P67" s="152">
        <v>1</v>
      </c>
      <c r="Q67" s="151"/>
      <c r="R67" s="151"/>
      <c r="S67" s="151"/>
      <c r="T67" s="152"/>
      <c r="U67" s="151"/>
      <c r="V67" s="151"/>
      <c r="W67" s="151"/>
      <c r="X67" s="152"/>
      <c r="Y67" s="151"/>
      <c r="Z67" s="151"/>
      <c r="AA67" s="151"/>
      <c r="AB67" s="152"/>
      <c r="AC67" s="151"/>
      <c r="AD67" s="151"/>
      <c r="AE67" s="151"/>
      <c r="AF67" s="152"/>
    </row>
    <row r="68" spans="2:32" s="47" customFormat="1" ht="12.75" customHeight="1" x14ac:dyDescent="0.2">
      <c r="B68" s="6356"/>
      <c r="C68" s="6356"/>
      <c r="D68" s="145" t="s">
        <v>288</v>
      </c>
      <c r="E68" s="150"/>
      <c r="F68" s="151"/>
      <c r="G68" s="151"/>
      <c r="H68" s="15"/>
      <c r="I68" s="150"/>
      <c r="J68" s="151"/>
      <c r="K68" s="151">
        <v>1</v>
      </c>
      <c r="L68" s="15">
        <v>1</v>
      </c>
      <c r="M68" s="150"/>
      <c r="N68" s="151"/>
      <c r="O68" s="151"/>
      <c r="P68" s="152"/>
      <c r="Q68" s="151"/>
      <c r="R68" s="151"/>
      <c r="S68" s="151"/>
      <c r="T68" s="152"/>
      <c r="U68" s="151"/>
      <c r="V68" s="151"/>
      <c r="W68" s="151"/>
      <c r="X68" s="152"/>
      <c r="Y68" s="151"/>
      <c r="Z68" s="151"/>
      <c r="AA68" s="151">
        <v>1</v>
      </c>
      <c r="AB68" s="152">
        <f>SUM(Y68:AA68)</f>
        <v>1</v>
      </c>
      <c r="AC68" s="151"/>
      <c r="AD68" s="151"/>
      <c r="AE68" s="151"/>
      <c r="AF68" s="152"/>
    </row>
    <row r="69" spans="2:32" s="47" customFormat="1" ht="12.75" customHeight="1" x14ac:dyDescent="0.2">
      <c r="B69" s="6356"/>
      <c r="C69" s="6356"/>
      <c r="D69" s="145" t="s">
        <v>289</v>
      </c>
      <c r="E69" s="150"/>
      <c r="F69" s="151"/>
      <c r="G69" s="151"/>
      <c r="H69" s="15"/>
      <c r="I69" s="150"/>
      <c r="J69" s="151"/>
      <c r="K69" s="151"/>
      <c r="L69" s="15"/>
      <c r="M69" s="150"/>
      <c r="N69" s="151"/>
      <c r="O69" s="151"/>
      <c r="P69" s="152"/>
      <c r="Q69" s="151"/>
      <c r="R69" s="151"/>
      <c r="S69" s="151"/>
      <c r="T69" s="152"/>
      <c r="U69" s="151">
        <v>1</v>
      </c>
      <c r="V69" s="151"/>
      <c r="W69" s="151"/>
      <c r="X69" s="152">
        <v>1</v>
      </c>
      <c r="Y69" s="151">
        <v>1</v>
      </c>
      <c r="Z69" s="151"/>
      <c r="AA69" s="151"/>
      <c r="AB69" s="152">
        <f>SUM(Y69:AA69)</f>
        <v>1</v>
      </c>
      <c r="AC69" s="151">
        <v>1</v>
      </c>
      <c r="AD69" s="151"/>
      <c r="AE69" s="151"/>
      <c r="AF69" s="152">
        <f>SUM(AC69:AE69)</f>
        <v>1</v>
      </c>
    </row>
    <row r="70" spans="2:32" s="47" customFormat="1" ht="12.75" customHeight="1" x14ac:dyDescent="0.2">
      <c r="B70" s="6356"/>
      <c r="C70" s="6356"/>
      <c r="D70" s="153" t="s">
        <v>242</v>
      </c>
      <c r="E70" s="150"/>
      <c r="F70" s="151"/>
      <c r="G70" s="151"/>
      <c r="H70" s="15"/>
      <c r="I70" s="150"/>
      <c r="J70" s="151"/>
      <c r="K70" s="151"/>
      <c r="L70" s="15"/>
      <c r="M70" s="150"/>
      <c r="N70" s="151"/>
      <c r="O70" s="151"/>
      <c r="P70" s="152"/>
      <c r="Q70" s="151">
        <v>2</v>
      </c>
      <c r="R70" s="151">
        <v>2</v>
      </c>
      <c r="S70" s="151"/>
      <c r="T70" s="152">
        <v>4</v>
      </c>
      <c r="U70" s="151"/>
      <c r="V70" s="151"/>
      <c r="W70" s="151"/>
      <c r="X70" s="152"/>
      <c r="Y70" s="151"/>
      <c r="Z70" s="151"/>
      <c r="AA70" s="151"/>
      <c r="AB70" s="152"/>
      <c r="AC70" s="151"/>
      <c r="AD70" s="151"/>
      <c r="AE70" s="151"/>
      <c r="AF70" s="152"/>
    </row>
    <row r="71" spans="2:32" s="47" customFormat="1" ht="12.75" customHeight="1" x14ac:dyDescent="0.2">
      <c r="B71" s="6356"/>
      <c r="C71" s="6356"/>
      <c r="D71" s="153" t="s">
        <v>243</v>
      </c>
      <c r="E71" s="150"/>
      <c r="F71" s="151"/>
      <c r="G71" s="151"/>
      <c r="H71" s="15"/>
      <c r="I71" s="150"/>
      <c r="J71" s="151"/>
      <c r="K71" s="151"/>
      <c r="L71" s="15"/>
      <c r="M71" s="150"/>
      <c r="N71" s="151"/>
      <c r="O71" s="151"/>
      <c r="P71" s="152"/>
      <c r="Q71" s="151"/>
      <c r="R71" s="151"/>
      <c r="S71" s="151"/>
      <c r="T71" s="152"/>
      <c r="U71" s="151"/>
      <c r="V71" s="151"/>
      <c r="W71" s="151"/>
      <c r="X71" s="152"/>
      <c r="Y71" s="151"/>
      <c r="Z71" s="151"/>
      <c r="AA71" s="151"/>
      <c r="AB71" s="152"/>
      <c r="AC71" s="151"/>
      <c r="AD71" s="151"/>
      <c r="AE71" s="151"/>
      <c r="AF71" s="152"/>
    </row>
    <row r="72" spans="2:32" s="47" customFormat="1" ht="12.75" customHeight="1" x14ac:dyDescent="0.2">
      <c r="B72" s="6356"/>
      <c r="C72" s="6356"/>
      <c r="D72" s="153" t="s">
        <v>290</v>
      </c>
      <c r="E72" s="150"/>
      <c r="F72" s="151"/>
      <c r="G72" s="151"/>
      <c r="H72" s="15"/>
      <c r="I72" s="150"/>
      <c r="J72" s="151"/>
      <c r="K72" s="151"/>
      <c r="L72" s="15"/>
      <c r="M72" s="150"/>
      <c r="N72" s="151">
        <v>1</v>
      </c>
      <c r="O72" s="151"/>
      <c r="P72" s="152">
        <v>1</v>
      </c>
      <c r="Q72" s="151"/>
      <c r="R72" s="151"/>
      <c r="S72" s="151"/>
      <c r="T72" s="152"/>
      <c r="U72" s="151"/>
      <c r="V72" s="151"/>
      <c r="W72" s="151"/>
      <c r="X72" s="152"/>
      <c r="Y72" s="151">
        <v>1</v>
      </c>
      <c r="Z72" s="151"/>
      <c r="AA72" s="151"/>
      <c r="AB72" s="152">
        <f>SUM(Y72:AA72)</f>
        <v>1</v>
      </c>
      <c r="AC72" s="151"/>
      <c r="AD72" s="151"/>
      <c r="AE72" s="151"/>
      <c r="AF72" s="152"/>
    </row>
    <row r="73" spans="2:32" s="47" customFormat="1" ht="24" x14ac:dyDescent="0.2">
      <c r="B73" s="6356"/>
      <c r="C73" s="6355" t="s">
        <v>11</v>
      </c>
      <c r="D73" s="403" t="s">
        <v>291</v>
      </c>
      <c r="E73" s="146"/>
      <c r="F73" s="147"/>
      <c r="G73" s="147"/>
      <c r="H73" s="148"/>
      <c r="I73" s="146"/>
      <c r="J73" s="147"/>
      <c r="K73" s="147"/>
      <c r="L73" s="148"/>
      <c r="M73" s="146"/>
      <c r="N73" s="147"/>
      <c r="O73" s="147"/>
      <c r="P73" s="149"/>
      <c r="Q73" s="147"/>
      <c r="R73" s="147">
        <v>1</v>
      </c>
      <c r="S73" s="147"/>
      <c r="T73" s="149">
        <v>1</v>
      </c>
      <c r="U73" s="147"/>
      <c r="V73" s="147"/>
      <c r="W73" s="147"/>
      <c r="X73" s="149"/>
      <c r="Y73" s="147"/>
      <c r="Z73" s="147"/>
      <c r="AA73" s="147"/>
      <c r="AB73" s="149"/>
      <c r="AC73" s="147"/>
      <c r="AD73" s="147"/>
      <c r="AE73" s="147"/>
      <c r="AF73" s="149"/>
    </row>
    <row r="74" spans="2:32" s="47" customFormat="1" ht="24" x14ac:dyDescent="0.2">
      <c r="B74" s="6356"/>
      <c r="C74" s="6356"/>
      <c r="D74" s="145" t="s">
        <v>292</v>
      </c>
      <c r="E74" s="150"/>
      <c r="F74" s="151"/>
      <c r="G74" s="151"/>
      <c r="H74" s="15"/>
      <c r="I74" s="150"/>
      <c r="J74" s="151"/>
      <c r="K74" s="151"/>
      <c r="L74" s="15"/>
      <c r="M74" s="150"/>
      <c r="N74" s="151"/>
      <c r="O74" s="151"/>
      <c r="P74" s="152"/>
      <c r="Q74" s="151"/>
      <c r="R74" s="151"/>
      <c r="S74" s="151"/>
      <c r="T74" s="152"/>
      <c r="U74" s="151"/>
      <c r="V74" s="151"/>
      <c r="W74" s="151"/>
      <c r="X74" s="152"/>
      <c r="Y74" s="151"/>
      <c r="Z74" s="151"/>
      <c r="AA74" s="151"/>
      <c r="AB74" s="152"/>
      <c r="AC74" s="151"/>
      <c r="AD74" s="151"/>
      <c r="AE74" s="151"/>
      <c r="AF74" s="152"/>
    </row>
    <row r="75" spans="2:32" s="47" customFormat="1" ht="12.75" customHeight="1" x14ac:dyDescent="0.2">
      <c r="B75" s="6356"/>
      <c r="C75" s="6356"/>
      <c r="D75" s="145" t="s">
        <v>293</v>
      </c>
      <c r="E75" s="150"/>
      <c r="F75" s="151"/>
      <c r="G75" s="151"/>
      <c r="H75" s="15"/>
      <c r="I75" s="150"/>
      <c r="J75" s="151"/>
      <c r="K75" s="151"/>
      <c r="L75" s="15"/>
      <c r="M75" s="150"/>
      <c r="N75" s="151"/>
      <c r="O75" s="151"/>
      <c r="P75" s="152"/>
      <c r="Q75" s="151"/>
      <c r="R75" s="151"/>
      <c r="S75" s="151"/>
      <c r="T75" s="152"/>
      <c r="U75" s="151"/>
      <c r="V75" s="151"/>
      <c r="W75" s="151"/>
      <c r="X75" s="152"/>
      <c r="Y75" s="151"/>
      <c r="Z75" s="151"/>
      <c r="AA75" s="151"/>
      <c r="AB75" s="152"/>
      <c r="AC75" s="151"/>
      <c r="AD75" s="151"/>
      <c r="AE75" s="151"/>
      <c r="AF75" s="152"/>
    </row>
    <row r="76" spans="2:32" s="47" customFormat="1" ht="12.75" customHeight="1" x14ac:dyDescent="0.2">
      <c r="B76" s="6356"/>
      <c r="C76" s="6356"/>
      <c r="D76" s="145" t="s">
        <v>294</v>
      </c>
      <c r="E76" s="150"/>
      <c r="F76" s="151"/>
      <c r="G76" s="151"/>
      <c r="H76" s="15"/>
      <c r="I76" s="150"/>
      <c r="J76" s="151"/>
      <c r="K76" s="151"/>
      <c r="L76" s="15"/>
      <c r="M76" s="150"/>
      <c r="N76" s="151"/>
      <c r="O76" s="151"/>
      <c r="P76" s="152"/>
      <c r="Q76" s="151"/>
      <c r="R76" s="151"/>
      <c r="S76" s="151"/>
      <c r="T76" s="152"/>
      <c r="U76" s="151"/>
      <c r="V76" s="151"/>
      <c r="W76" s="151">
        <v>1</v>
      </c>
      <c r="X76" s="152">
        <v>1</v>
      </c>
      <c r="Y76" s="151"/>
      <c r="Z76" s="151"/>
      <c r="AA76" s="151"/>
      <c r="AB76" s="152"/>
      <c r="AC76" s="151"/>
      <c r="AD76" s="151">
        <v>1</v>
      </c>
      <c r="AE76" s="151"/>
      <c r="AF76" s="152">
        <f>SUM(AC76:AE76)</f>
        <v>1</v>
      </c>
    </row>
    <row r="77" spans="2:32" s="47" customFormat="1" ht="12.75" customHeight="1" x14ac:dyDescent="0.2">
      <c r="B77" s="6356"/>
      <c r="C77" s="6356"/>
      <c r="D77" s="145" t="s">
        <v>295</v>
      </c>
      <c r="E77" s="150"/>
      <c r="F77" s="151">
        <v>1</v>
      </c>
      <c r="G77" s="151"/>
      <c r="H77" s="15">
        <v>1</v>
      </c>
      <c r="I77" s="150"/>
      <c r="J77" s="151"/>
      <c r="K77" s="151"/>
      <c r="L77" s="15"/>
      <c r="M77" s="150"/>
      <c r="N77" s="151"/>
      <c r="O77" s="151"/>
      <c r="P77" s="152"/>
      <c r="Q77" s="151"/>
      <c r="R77" s="151"/>
      <c r="S77" s="151"/>
      <c r="T77" s="152"/>
      <c r="U77" s="151">
        <v>1</v>
      </c>
      <c r="V77" s="151"/>
      <c r="W77" s="151"/>
      <c r="X77" s="152">
        <v>1</v>
      </c>
      <c r="Y77" s="151"/>
      <c r="Z77" s="151"/>
      <c r="AA77" s="151"/>
      <c r="AB77" s="152"/>
      <c r="AC77" s="151"/>
      <c r="AD77" s="151"/>
      <c r="AE77" s="151"/>
      <c r="AF77" s="152"/>
    </row>
    <row r="78" spans="2:32" s="47" customFormat="1" x14ac:dyDescent="0.2">
      <c r="B78" s="6356"/>
      <c r="C78" s="6356"/>
      <c r="D78" s="145" t="s">
        <v>296</v>
      </c>
      <c r="E78" s="150"/>
      <c r="F78" s="151"/>
      <c r="G78" s="151"/>
      <c r="H78" s="15"/>
      <c r="I78" s="150"/>
      <c r="J78" s="151"/>
      <c r="K78" s="151"/>
      <c r="L78" s="15"/>
      <c r="M78" s="150"/>
      <c r="N78" s="151"/>
      <c r="O78" s="151"/>
      <c r="P78" s="152"/>
      <c r="Q78" s="151"/>
      <c r="R78" s="151"/>
      <c r="S78" s="151"/>
      <c r="T78" s="152"/>
      <c r="U78" s="151">
        <v>1</v>
      </c>
      <c r="V78" s="151"/>
      <c r="W78" s="151"/>
      <c r="X78" s="152">
        <v>1</v>
      </c>
      <c r="Y78" s="151"/>
      <c r="Z78" s="151"/>
      <c r="AA78" s="151"/>
      <c r="AB78" s="152"/>
      <c r="AC78" s="151"/>
      <c r="AD78" s="151"/>
      <c r="AE78" s="151"/>
      <c r="AF78" s="152"/>
    </row>
    <row r="79" spans="2:32" s="47" customFormat="1" ht="24" x14ac:dyDescent="0.2">
      <c r="B79" s="6356"/>
      <c r="C79" s="6356"/>
      <c r="D79" s="145" t="s">
        <v>297</v>
      </c>
      <c r="E79" s="150"/>
      <c r="F79" s="151"/>
      <c r="G79" s="151"/>
      <c r="H79" s="15"/>
      <c r="I79" s="150"/>
      <c r="J79" s="151"/>
      <c r="K79" s="151"/>
      <c r="L79" s="15"/>
      <c r="M79" s="150"/>
      <c r="N79" s="151"/>
      <c r="O79" s="151"/>
      <c r="P79" s="152"/>
      <c r="Q79" s="151"/>
      <c r="R79" s="151"/>
      <c r="S79" s="151"/>
      <c r="T79" s="152"/>
      <c r="U79" s="151"/>
      <c r="V79" s="151"/>
      <c r="W79" s="151"/>
      <c r="X79" s="152"/>
      <c r="Y79" s="151"/>
      <c r="Z79" s="151"/>
      <c r="AA79" s="151"/>
      <c r="AB79" s="152"/>
      <c r="AC79" s="151"/>
      <c r="AD79" s="151"/>
      <c r="AE79" s="151"/>
      <c r="AF79" s="152"/>
    </row>
    <row r="80" spans="2:32" s="47" customFormat="1" ht="12.75" customHeight="1" x14ac:dyDescent="0.2">
      <c r="B80" s="6356"/>
      <c r="C80" s="6356"/>
      <c r="D80" s="145" t="s">
        <v>298</v>
      </c>
      <c r="E80" s="150"/>
      <c r="F80" s="151"/>
      <c r="G80" s="151"/>
      <c r="H80" s="15"/>
      <c r="I80" s="150"/>
      <c r="J80" s="151"/>
      <c r="K80" s="151"/>
      <c r="L80" s="15"/>
      <c r="M80" s="150"/>
      <c r="N80" s="151"/>
      <c r="O80" s="151"/>
      <c r="P80" s="152"/>
      <c r="Q80" s="151"/>
      <c r="R80" s="151"/>
      <c r="S80" s="151"/>
      <c r="T80" s="152"/>
      <c r="U80" s="151">
        <v>1</v>
      </c>
      <c r="V80" s="151"/>
      <c r="W80" s="151"/>
      <c r="X80" s="152">
        <v>1</v>
      </c>
      <c r="Y80" s="151">
        <v>1</v>
      </c>
      <c r="Z80" s="151"/>
      <c r="AA80" s="151"/>
      <c r="AB80" s="152">
        <f>SUM(Y80:AA80)</f>
        <v>1</v>
      </c>
      <c r="AC80" s="151"/>
      <c r="AD80" s="151"/>
      <c r="AE80" s="151"/>
      <c r="AF80" s="152"/>
    </row>
    <row r="81" spans="2:32" s="47" customFormat="1" ht="12.75" customHeight="1" x14ac:dyDescent="0.2">
      <c r="B81" s="6356"/>
      <c r="C81" s="6356"/>
      <c r="D81" s="145" t="s">
        <v>299</v>
      </c>
      <c r="E81" s="150"/>
      <c r="F81" s="151"/>
      <c r="G81" s="151"/>
      <c r="H81" s="15"/>
      <c r="I81" s="150"/>
      <c r="J81" s="151"/>
      <c r="K81" s="151"/>
      <c r="L81" s="15"/>
      <c r="M81" s="150"/>
      <c r="N81" s="151"/>
      <c r="O81" s="151"/>
      <c r="P81" s="152"/>
      <c r="Q81" s="151"/>
      <c r="R81" s="151"/>
      <c r="S81" s="151"/>
      <c r="T81" s="152"/>
      <c r="U81" s="151"/>
      <c r="V81" s="151"/>
      <c r="W81" s="151"/>
      <c r="X81" s="152"/>
      <c r="Y81" s="151"/>
      <c r="Z81" s="151"/>
      <c r="AA81" s="151"/>
      <c r="AB81" s="152"/>
      <c r="AC81" s="151"/>
      <c r="AD81" s="151"/>
      <c r="AE81" s="151"/>
      <c r="AF81" s="152"/>
    </row>
    <row r="82" spans="2:32" s="47" customFormat="1" ht="12.75" customHeight="1" x14ac:dyDescent="0.2">
      <c r="B82" s="6356"/>
      <c r="C82" s="6356"/>
      <c r="D82" s="153" t="s">
        <v>279</v>
      </c>
      <c r="E82" s="150"/>
      <c r="F82" s="151"/>
      <c r="G82" s="151"/>
      <c r="H82" s="15"/>
      <c r="I82" s="150"/>
      <c r="J82" s="151"/>
      <c r="K82" s="151"/>
      <c r="L82" s="15"/>
      <c r="M82" s="150"/>
      <c r="N82" s="151"/>
      <c r="O82" s="151"/>
      <c r="P82" s="152"/>
      <c r="Q82" s="151"/>
      <c r="R82" s="151"/>
      <c r="S82" s="151"/>
      <c r="T82" s="152"/>
      <c r="U82" s="151"/>
      <c r="V82" s="151"/>
      <c r="W82" s="151">
        <v>1</v>
      </c>
      <c r="X82" s="152">
        <v>1</v>
      </c>
      <c r="Y82" s="151"/>
      <c r="Z82" s="151"/>
      <c r="AA82" s="151"/>
      <c r="AB82" s="152"/>
      <c r="AC82" s="151"/>
      <c r="AD82" s="151"/>
      <c r="AE82" s="151"/>
      <c r="AF82" s="152"/>
    </row>
    <row r="83" spans="2:32" s="47" customFormat="1" ht="12.75" customHeight="1" x14ac:dyDescent="0.2">
      <c r="B83" s="6356"/>
      <c r="C83" s="6357"/>
      <c r="D83" s="406" t="s">
        <v>300</v>
      </c>
      <c r="E83" s="154"/>
      <c r="F83" s="155"/>
      <c r="G83" s="155"/>
      <c r="H83" s="156"/>
      <c r="I83" s="154"/>
      <c r="J83" s="155"/>
      <c r="K83" s="155"/>
      <c r="L83" s="156"/>
      <c r="M83" s="154"/>
      <c r="N83" s="155"/>
      <c r="O83" s="155"/>
      <c r="P83" s="157"/>
      <c r="Q83" s="155"/>
      <c r="R83" s="155"/>
      <c r="S83" s="155"/>
      <c r="T83" s="157"/>
      <c r="U83" s="155"/>
      <c r="V83" s="155"/>
      <c r="W83" s="155"/>
      <c r="X83" s="157"/>
      <c r="Y83" s="155"/>
      <c r="Z83" s="155">
        <v>1</v>
      </c>
      <c r="AA83" s="155"/>
      <c r="AB83" s="157">
        <f>SUM(Y83:AA83)</f>
        <v>1</v>
      </c>
      <c r="AC83" s="155"/>
      <c r="AD83" s="155"/>
      <c r="AE83" s="155"/>
      <c r="AF83" s="157"/>
    </row>
    <row r="84" spans="2:32" s="47" customFormat="1" ht="12.75" customHeight="1" x14ac:dyDescent="0.2">
      <c r="B84" s="6356"/>
      <c r="C84" s="6356" t="s">
        <v>7</v>
      </c>
      <c r="D84" s="153" t="s">
        <v>301</v>
      </c>
      <c r="E84" s="150">
        <v>1</v>
      </c>
      <c r="F84" s="151"/>
      <c r="G84" s="151"/>
      <c r="H84" s="15">
        <v>1</v>
      </c>
      <c r="I84" s="150">
        <v>1</v>
      </c>
      <c r="J84" s="151"/>
      <c r="K84" s="151">
        <v>1</v>
      </c>
      <c r="L84" s="15">
        <v>2</v>
      </c>
      <c r="M84" s="150"/>
      <c r="N84" s="151"/>
      <c r="O84" s="151"/>
      <c r="P84" s="152"/>
      <c r="Q84" s="151"/>
      <c r="R84" s="151"/>
      <c r="S84" s="151"/>
      <c r="T84" s="152"/>
      <c r="U84" s="151"/>
      <c r="V84" s="151"/>
      <c r="W84" s="151"/>
      <c r="X84" s="152"/>
      <c r="Y84" s="151"/>
      <c r="Z84" s="151"/>
      <c r="AA84" s="151"/>
      <c r="AB84" s="152"/>
      <c r="AC84" s="151"/>
      <c r="AD84" s="151"/>
      <c r="AE84" s="151">
        <v>1</v>
      </c>
      <c r="AF84" s="152">
        <f>SUM(AC84:AE84)</f>
        <v>1</v>
      </c>
    </row>
    <row r="85" spans="2:32" s="47" customFormat="1" ht="12.75" customHeight="1" x14ac:dyDescent="0.2">
      <c r="B85" s="6357"/>
      <c r="C85" s="6357"/>
      <c r="D85" s="153" t="s">
        <v>302</v>
      </c>
      <c r="E85" s="154"/>
      <c r="F85" s="155"/>
      <c r="G85" s="155"/>
      <c r="H85" s="156"/>
      <c r="I85" s="154"/>
      <c r="J85" s="155"/>
      <c r="K85" s="155"/>
      <c r="L85" s="156"/>
      <c r="M85" s="154"/>
      <c r="N85" s="155"/>
      <c r="O85" s="155"/>
      <c r="P85" s="157"/>
      <c r="Q85" s="155"/>
      <c r="R85" s="155"/>
      <c r="S85" s="155"/>
      <c r="T85" s="157"/>
      <c r="U85" s="155"/>
      <c r="V85" s="155"/>
      <c r="W85" s="155"/>
      <c r="X85" s="157"/>
      <c r="Y85" s="155"/>
      <c r="Z85" s="155"/>
      <c r="AA85" s="155"/>
      <c r="AB85" s="157"/>
      <c r="AC85" s="155"/>
      <c r="AD85" s="155"/>
      <c r="AE85" s="155"/>
      <c r="AF85" s="152"/>
    </row>
    <row r="86" spans="2:32" s="27" customFormat="1" ht="12.75" customHeight="1" x14ac:dyDescent="0.2">
      <c r="B86" s="6358" t="s">
        <v>76</v>
      </c>
      <c r="C86" s="6359"/>
      <c r="D86" s="6360"/>
      <c r="E86" s="759">
        <f t="shared" ref="E86:X86" si="0">SUM(E6:E85)</f>
        <v>5</v>
      </c>
      <c r="F86" s="760">
        <f t="shared" si="0"/>
        <v>2</v>
      </c>
      <c r="G86" s="760">
        <f t="shared" si="0"/>
        <v>5</v>
      </c>
      <c r="H86" s="760">
        <f t="shared" si="0"/>
        <v>12</v>
      </c>
      <c r="I86" s="759">
        <f t="shared" si="0"/>
        <v>5</v>
      </c>
      <c r="J86" s="760">
        <f t="shared" si="0"/>
        <v>1</v>
      </c>
      <c r="K86" s="760">
        <f t="shared" si="0"/>
        <v>11</v>
      </c>
      <c r="L86" s="760">
        <f t="shared" si="0"/>
        <v>17</v>
      </c>
      <c r="M86" s="759">
        <f t="shared" si="0"/>
        <v>13</v>
      </c>
      <c r="N86" s="760">
        <f t="shared" si="0"/>
        <v>3</v>
      </c>
      <c r="O86" s="760">
        <f t="shared" si="0"/>
        <v>1</v>
      </c>
      <c r="P86" s="761">
        <f t="shared" si="0"/>
        <v>17</v>
      </c>
      <c r="Q86" s="760">
        <f t="shared" si="0"/>
        <v>6</v>
      </c>
      <c r="R86" s="760">
        <f t="shared" si="0"/>
        <v>9</v>
      </c>
      <c r="S86" s="760">
        <f t="shared" si="0"/>
        <v>4</v>
      </c>
      <c r="T86" s="761">
        <f t="shared" si="0"/>
        <v>19</v>
      </c>
      <c r="U86" s="760">
        <f t="shared" si="0"/>
        <v>6</v>
      </c>
      <c r="V86" s="760">
        <f t="shared" si="0"/>
        <v>4</v>
      </c>
      <c r="W86" s="760">
        <f t="shared" si="0"/>
        <v>7</v>
      </c>
      <c r="X86" s="761">
        <f t="shared" si="0"/>
        <v>17</v>
      </c>
      <c r="Y86" s="760">
        <f t="shared" ref="Y86:AF86" si="1">SUM(Y6:Y85)</f>
        <v>6</v>
      </c>
      <c r="Z86" s="760">
        <f t="shared" si="1"/>
        <v>6</v>
      </c>
      <c r="AA86" s="760">
        <f t="shared" si="1"/>
        <v>8</v>
      </c>
      <c r="AB86" s="761">
        <f t="shared" si="1"/>
        <v>20</v>
      </c>
      <c r="AC86" s="762">
        <f t="shared" si="1"/>
        <v>8</v>
      </c>
      <c r="AD86" s="763">
        <f t="shared" si="1"/>
        <v>4</v>
      </c>
      <c r="AE86" s="763">
        <f t="shared" si="1"/>
        <v>4</v>
      </c>
      <c r="AF86" s="764">
        <f t="shared" si="1"/>
        <v>16</v>
      </c>
    </row>
    <row r="87" spans="2:32" ht="12.75" customHeight="1" x14ac:dyDescent="0.2">
      <c r="B87" s="5800" t="s">
        <v>0</v>
      </c>
      <c r="C87" s="5800"/>
      <c r="D87" s="5800"/>
      <c r="E87" s="70"/>
      <c r="F87" s="70"/>
      <c r="G87" s="70"/>
      <c r="H87" s="71"/>
      <c r="I87" s="70"/>
      <c r="J87" s="70"/>
      <c r="K87" s="70"/>
      <c r="L87" s="71"/>
      <c r="M87" s="70"/>
      <c r="N87" s="70"/>
      <c r="O87" s="70"/>
      <c r="P87" s="71"/>
      <c r="Q87" s="70"/>
      <c r="R87" s="70"/>
      <c r="S87" s="70"/>
      <c r="T87" s="71"/>
      <c r="U87" s="70"/>
      <c r="V87" s="70"/>
      <c r="W87" s="70"/>
      <c r="X87" s="71"/>
      <c r="Y87" s="70"/>
      <c r="Z87" s="70"/>
      <c r="AA87" s="70"/>
      <c r="AB87" s="71"/>
    </row>
  </sheetData>
  <mergeCells count="45">
    <mergeCell ref="C28:C39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G5:G6"/>
    <mergeCell ref="M5:M6"/>
    <mergeCell ref="N5:N6"/>
    <mergeCell ref="H5:H6"/>
    <mergeCell ref="I5:I6"/>
    <mergeCell ref="C84:C85"/>
    <mergeCell ref="C40:C50"/>
    <mergeCell ref="C51:C59"/>
    <mergeCell ref="C60:C72"/>
    <mergeCell ref="C73:C83"/>
    <mergeCell ref="B87:D87"/>
    <mergeCell ref="U5:U6"/>
    <mergeCell ref="V5:V6"/>
    <mergeCell ref="W5:W6"/>
    <mergeCell ref="O5:O6"/>
    <mergeCell ref="P5:P6"/>
    <mergeCell ref="Q5:Q6"/>
    <mergeCell ref="R5:R6"/>
    <mergeCell ref="S5:S6"/>
    <mergeCell ref="B7:B27"/>
    <mergeCell ref="B28:B59"/>
    <mergeCell ref="B60:B85"/>
    <mergeCell ref="C7:C11"/>
    <mergeCell ref="C12:C23"/>
    <mergeCell ref="C24:C27"/>
    <mergeCell ref="B86:D86"/>
    <mergeCell ref="J5:J6"/>
    <mergeCell ref="K5:K6"/>
    <mergeCell ref="L5:L6"/>
    <mergeCell ref="B5:B6"/>
    <mergeCell ref="C5:C6"/>
    <mergeCell ref="D5:D6"/>
    <mergeCell ref="E5:E6"/>
    <mergeCell ref="F5:F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34" orientation="portrait" horizontalDpi="1200" verticalDpi="1200" r:id="rId1"/>
  <headerFooter alignWithMargins="0">
    <oddHeader>&amp;LANEXO ESTADÍSTICO 2008&amp;CCOBERTURA EDUCATIVA&amp;R&amp;G</oddHeader>
    <oddFooter>&amp;R35</oddFoot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E67"/>
  <sheetViews>
    <sheetView showGridLines="0" topLeftCell="G1" zoomScaleNormal="100" zoomScaleSheetLayoutView="90" workbookViewId="0">
      <selection activeCell="C4" sqref="C4"/>
    </sheetView>
  </sheetViews>
  <sheetFormatPr baseColWidth="10" defaultRowHeight="12.75" x14ac:dyDescent="0.2"/>
  <cols>
    <col min="1" max="1" width="1.85546875" style="1" customWidth="1"/>
    <col min="2" max="2" width="12.42578125" style="1" customWidth="1"/>
    <col min="3" max="3" width="26.28515625" style="72" customWidth="1"/>
    <col min="4" max="7" width="9.7109375" style="72" customWidth="1"/>
    <col min="8" max="10" width="7.7109375" style="1" customWidth="1"/>
    <col min="11" max="11" width="7.7109375" style="27" customWidth="1"/>
    <col min="12" max="14" width="7.7109375" style="1" customWidth="1"/>
    <col min="15" max="15" width="7.7109375" style="27" customWidth="1"/>
    <col min="16" max="18" width="7.7109375" style="1" customWidth="1"/>
    <col min="19" max="19" width="7.7109375" style="27" customWidth="1"/>
    <col min="20" max="22" width="7.7109375" style="1" customWidth="1"/>
    <col min="23" max="23" width="7.7109375" style="27" customWidth="1"/>
    <col min="24" max="31" width="7.140625" style="1" customWidth="1"/>
    <col min="32" max="16384" width="11.42578125" style="1"/>
  </cols>
  <sheetData>
    <row r="1" spans="2:31" ht="15" customHeight="1" x14ac:dyDescent="0.2">
      <c r="B1" s="83"/>
      <c r="C1" s="90"/>
      <c r="D1" s="90"/>
      <c r="E1" s="90"/>
      <c r="F1" s="90"/>
      <c r="G1" s="90"/>
      <c r="H1" s="26"/>
      <c r="I1" s="26"/>
      <c r="J1" s="26"/>
      <c r="K1" s="61"/>
      <c r="L1" s="26"/>
      <c r="M1" s="26"/>
      <c r="N1" s="26"/>
      <c r="O1" s="61"/>
      <c r="P1" s="26"/>
      <c r="Q1" s="26"/>
      <c r="R1" s="26"/>
      <c r="S1" s="61"/>
      <c r="T1" s="26"/>
      <c r="U1" s="26"/>
      <c r="V1" s="26"/>
      <c r="W1" s="61"/>
    </row>
    <row r="2" spans="2:31" ht="15" customHeight="1" x14ac:dyDescent="0.2">
      <c r="B2" s="35" t="s">
        <v>33</v>
      </c>
      <c r="C2" s="90"/>
      <c r="D2" s="90"/>
      <c r="E2" s="90"/>
      <c r="F2" s="90"/>
      <c r="G2" s="90"/>
      <c r="H2" s="26"/>
      <c r="I2" s="26"/>
      <c r="J2" s="26"/>
      <c r="K2" s="61"/>
      <c r="L2" s="26"/>
      <c r="M2" s="26"/>
      <c r="N2" s="26"/>
      <c r="O2" s="61"/>
      <c r="P2" s="26"/>
      <c r="Q2" s="26"/>
      <c r="R2" s="26"/>
      <c r="S2" s="61"/>
      <c r="T2" s="26"/>
      <c r="U2" s="26"/>
      <c r="V2" s="26"/>
      <c r="W2" s="61"/>
    </row>
    <row r="3" spans="2:31" ht="15" customHeight="1" x14ac:dyDescent="0.2">
      <c r="B3" s="35" t="s">
        <v>443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</row>
    <row r="4" spans="2:31" ht="15" customHeight="1" x14ac:dyDescent="0.2">
      <c r="B4" s="645"/>
      <c r="C4" s="645"/>
      <c r="D4" s="645"/>
      <c r="E4" s="645"/>
      <c r="F4" s="645"/>
      <c r="G4" s="645"/>
      <c r="H4" s="645"/>
      <c r="I4" s="645"/>
      <c r="J4" s="645"/>
      <c r="K4" s="645"/>
      <c r="L4" s="645"/>
      <c r="M4" s="645"/>
      <c r="N4" s="645"/>
      <c r="O4" s="645"/>
      <c r="P4" s="645"/>
      <c r="Q4" s="645"/>
      <c r="R4" s="645"/>
      <c r="S4" s="645"/>
      <c r="T4" s="645"/>
      <c r="U4" s="645"/>
      <c r="V4" s="645"/>
      <c r="W4" s="645"/>
    </row>
    <row r="5" spans="2:31" ht="12.75" customHeight="1" x14ac:dyDescent="0.2">
      <c r="B5" s="5723" t="s">
        <v>164</v>
      </c>
      <c r="C5" s="5723" t="s">
        <v>25</v>
      </c>
      <c r="D5" s="6361" t="s">
        <v>156</v>
      </c>
      <c r="E5" s="6361" t="s">
        <v>154</v>
      </c>
      <c r="F5" s="6361" t="s">
        <v>155</v>
      </c>
      <c r="G5" s="6369" t="s">
        <v>157</v>
      </c>
      <c r="H5" s="6361" t="s">
        <v>73</v>
      </c>
      <c r="I5" s="6361" t="s">
        <v>71</v>
      </c>
      <c r="J5" s="6361" t="s">
        <v>70</v>
      </c>
      <c r="K5" s="6369" t="s">
        <v>61</v>
      </c>
      <c r="L5" s="6361" t="s">
        <v>72</v>
      </c>
      <c r="M5" s="6361" t="s">
        <v>24</v>
      </c>
      <c r="N5" s="6361" t="s">
        <v>23</v>
      </c>
      <c r="O5" s="6361" t="s">
        <v>62</v>
      </c>
      <c r="P5" s="6370" t="s">
        <v>69</v>
      </c>
      <c r="Q5" s="6361" t="s">
        <v>59</v>
      </c>
      <c r="R5" s="6361" t="s">
        <v>21</v>
      </c>
      <c r="S5" s="6361" t="s">
        <v>63</v>
      </c>
      <c r="T5" s="6370" t="s">
        <v>22</v>
      </c>
      <c r="U5" s="6361" t="s">
        <v>17</v>
      </c>
      <c r="V5" s="6361" t="s">
        <v>18</v>
      </c>
      <c r="W5" s="6361" t="s">
        <v>64</v>
      </c>
      <c r="X5" s="6364" t="s">
        <v>150</v>
      </c>
      <c r="Y5" s="6365" t="s">
        <v>148</v>
      </c>
      <c r="Z5" s="6365" t="s">
        <v>149</v>
      </c>
      <c r="AA5" s="6362" t="s">
        <v>151</v>
      </c>
      <c r="AB5" s="6364" t="s">
        <v>324</v>
      </c>
      <c r="AC5" s="6365" t="s">
        <v>323</v>
      </c>
      <c r="AD5" s="6365" t="s">
        <v>322</v>
      </c>
      <c r="AE5" s="6362" t="s">
        <v>326</v>
      </c>
    </row>
    <row r="6" spans="2:31" ht="20.25" customHeight="1" x14ac:dyDescent="0.2">
      <c r="B6" s="5723"/>
      <c r="C6" s="5723"/>
      <c r="D6" s="6361"/>
      <c r="E6" s="6361"/>
      <c r="F6" s="6361"/>
      <c r="G6" s="6369"/>
      <c r="H6" s="6361"/>
      <c r="I6" s="6361"/>
      <c r="J6" s="6361"/>
      <c r="K6" s="6369"/>
      <c r="L6" s="6361"/>
      <c r="M6" s="6361"/>
      <c r="N6" s="6361"/>
      <c r="O6" s="6361"/>
      <c r="P6" s="6370"/>
      <c r="Q6" s="6361"/>
      <c r="R6" s="6361"/>
      <c r="S6" s="6361"/>
      <c r="T6" s="6370"/>
      <c r="U6" s="6361"/>
      <c r="V6" s="6361"/>
      <c r="W6" s="6361"/>
      <c r="X6" s="6364"/>
      <c r="Y6" s="6365"/>
      <c r="Z6" s="6365"/>
      <c r="AA6" s="6363"/>
      <c r="AB6" s="6364"/>
      <c r="AC6" s="6365"/>
      <c r="AD6" s="6365"/>
      <c r="AE6" s="6363"/>
    </row>
    <row r="7" spans="2:31" ht="12.75" customHeight="1" x14ac:dyDescent="0.2">
      <c r="B7" s="26"/>
      <c r="C7" s="70"/>
      <c r="D7" s="69"/>
      <c r="E7" s="70"/>
      <c r="F7" s="70"/>
      <c r="G7" s="81"/>
      <c r="H7" s="69"/>
      <c r="I7" s="70"/>
      <c r="J7" s="70"/>
      <c r="K7" s="81"/>
      <c r="O7" s="1"/>
      <c r="P7" s="69"/>
      <c r="Q7" s="70"/>
      <c r="R7" s="70"/>
      <c r="S7" s="81"/>
      <c r="W7" s="1"/>
      <c r="X7" s="69"/>
      <c r="Y7" s="70"/>
      <c r="Z7" s="70"/>
      <c r="AA7" s="81"/>
      <c r="AB7" s="69"/>
      <c r="AC7" s="70"/>
      <c r="AD7" s="70"/>
      <c r="AE7" s="81"/>
    </row>
    <row r="8" spans="2:31" ht="12.75" customHeight="1" x14ac:dyDescent="0.2">
      <c r="B8" s="6366" t="s">
        <v>5</v>
      </c>
      <c r="C8" s="659" t="s">
        <v>26</v>
      </c>
      <c r="D8" s="660"/>
      <c r="E8" s="661"/>
      <c r="F8" s="661"/>
      <c r="G8" s="662"/>
      <c r="H8" s="660"/>
      <c r="I8" s="661"/>
      <c r="J8" s="661"/>
      <c r="K8" s="662"/>
      <c r="L8" s="661"/>
      <c r="M8" s="661"/>
      <c r="N8" s="661"/>
      <c r="O8" s="663"/>
      <c r="P8" s="660"/>
      <c r="Q8" s="661"/>
      <c r="R8" s="661"/>
      <c r="S8" s="662"/>
      <c r="T8" s="661"/>
      <c r="U8" s="661"/>
      <c r="V8" s="661"/>
      <c r="W8" s="663"/>
      <c r="X8" s="436"/>
      <c r="Y8" s="437"/>
      <c r="Z8" s="437"/>
      <c r="AA8" s="664"/>
      <c r="AB8" s="436"/>
      <c r="AC8" s="437"/>
      <c r="AD8" s="437"/>
      <c r="AE8" s="664"/>
    </row>
    <row r="9" spans="2:31" ht="12.75" customHeight="1" x14ac:dyDescent="0.2">
      <c r="B9" s="6367"/>
      <c r="C9" s="328" t="s">
        <v>27</v>
      </c>
      <c r="D9" s="331">
        <v>1</v>
      </c>
      <c r="E9" s="329"/>
      <c r="F9" s="329"/>
      <c r="G9" s="332">
        <v>1</v>
      </c>
      <c r="H9" s="331">
        <v>1</v>
      </c>
      <c r="I9" s="329"/>
      <c r="J9" s="329"/>
      <c r="K9" s="332">
        <v>1</v>
      </c>
      <c r="L9" s="329"/>
      <c r="M9" s="329"/>
      <c r="N9" s="329"/>
      <c r="O9" s="330"/>
      <c r="P9" s="331"/>
      <c r="Q9" s="329"/>
      <c r="R9" s="329"/>
      <c r="S9" s="332"/>
      <c r="T9" s="329"/>
      <c r="U9" s="329">
        <v>1</v>
      </c>
      <c r="V9" s="329">
        <v>1</v>
      </c>
      <c r="W9" s="330">
        <v>2</v>
      </c>
      <c r="X9" s="333"/>
      <c r="Y9" s="334"/>
      <c r="Z9" s="334">
        <v>2</v>
      </c>
      <c r="AA9" s="336">
        <v>2</v>
      </c>
      <c r="AB9" s="333">
        <v>2</v>
      </c>
      <c r="AC9" s="334"/>
      <c r="AD9" s="334"/>
      <c r="AE9" s="336">
        <f>SUM(AB9:AD9)</f>
        <v>2</v>
      </c>
    </row>
    <row r="10" spans="2:31" s="27" customFormat="1" ht="12.75" customHeight="1" x14ac:dyDescent="0.2">
      <c r="B10" s="6367"/>
      <c r="C10" s="328" t="s">
        <v>28</v>
      </c>
      <c r="D10" s="331"/>
      <c r="E10" s="329"/>
      <c r="F10" s="329"/>
      <c r="G10" s="332"/>
      <c r="H10" s="331"/>
      <c r="I10" s="329"/>
      <c r="J10" s="329"/>
      <c r="K10" s="332"/>
      <c r="L10" s="329"/>
      <c r="M10" s="329"/>
      <c r="N10" s="329"/>
      <c r="O10" s="330"/>
      <c r="P10" s="331"/>
      <c r="Q10" s="329">
        <v>1</v>
      </c>
      <c r="R10" s="329"/>
      <c r="S10" s="332">
        <v>1</v>
      </c>
      <c r="T10" s="329"/>
      <c r="U10" s="329"/>
      <c r="V10" s="329"/>
      <c r="W10" s="330"/>
      <c r="X10" s="333"/>
      <c r="Y10" s="334"/>
      <c r="Z10" s="334">
        <v>2</v>
      </c>
      <c r="AA10" s="336">
        <v>2</v>
      </c>
      <c r="AB10" s="333">
        <v>1</v>
      </c>
      <c r="AC10" s="334"/>
      <c r="AD10" s="334"/>
      <c r="AE10" s="336">
        <f>SUM(AB10:AD10)</f>
        <v>1</v>
      </c>
    </row>
    <row r="11" spans="2:31" s="27" customFormat="1" ht="12.75" customHeight="1" x14ac:dyDescent="0.2">
      <c r="B11" s="6368"/>
      <c r="C11" s="669" t="s">
        <v>13</v>
      </c>
      <c r="D11" s="670">
        <v>1</v>
      </c>
      <c r="E11" s="671"/>
      <c r="F11" s="671"/>
      <c r="G11" s="672">
        <v>1</v>
      </c>
      <c r="H11" s="670"/>
      <c r="I11" s="671"/>
      <c r="J11" s="671"/>
      <c r="K11" s="672">
        <v>1</v>
      </c>
      <c r="L11" s="671"/>
      <c r="M11" s="671"/>
      <c r="N11" s="671"/>
      <c r="O11" s="671"/>
      <c r="P11" s="670"/>
      <c r="Q11" s="671">
        <v>1</v>
      </c>
      <c r="R11" s="671"/>
      <c r="S11" s="672">
        <v>1</v>
      </c>
      <c r="T11" s="671"/>
      <c r="U11" s="671">
        <v>1</v>
      </c>
      <c r="V11" s="671">
        <v>1</v>
      </c>
      <c r="W11" s="671">
        <v>2</v>
      </c>
      <c r="X11" s="673"/>
      <c r="Y11" s="674"/>
      <c r="Z11" s="674">
        <v>4</v>
      </c>
      <c r="AA11" s="675">
        <v>4</v>
      </c>
      <c r="AB11" s="673">
        <f>SUM(AB8:AB10)</f>
        <v>3</v>
      </c>
      <c r="AC11" s="674"/>
      <c r="AD11" s="674"/>
      <c r="AE11" s="675">
        <f>SUM(AE8:AE10)</f>
        <v>3</v>
      </c>
    </row>
    <row r="12" spans="2:31" ht="12.75" customHeight="1" x14ac:dyDescent="0.2">
      <c r="B12" s="6366" t="s">
        <v>6</v>
      </c>
      <c r="C12" s="328" t="s">
        <v>26</v>
      </c>
      <c r="D12" s="331"/>
      <c r="E12" s="329"/>
      <c r="F12" s="329"/>
      <c r="G12" s="332"/>
      <c r="H12" s="331"/>
      <c r="I12" s="329"/>
      <c r="J12" s="329"/>
      <c r="K12" s="332"/>
      <c r="L12" s="329">
        <v>1</v>
      </c>
      <c r="M12" s="329"/>
      <c r="N12" s="329"/>
      <c r="O12" s="330">
        <v>1</v>
      </c>
      <c r="P12" s="331"/>
      <c r="Q12" s="329"/>
      <c r="R12" s="329"/>
      <c r="S12" s="332"/>
      <c r="T12" s="329"/>
      <c r="U12" s="329"/>
      <c r="V12" s="329"/>
      <c r="W12" s="330"/>
      <c r="X12" s="333"/>
      <c r="Y12" s="334"/>
      <c r="Z12" s="334"/>
      <c r="AA12" s="336"/>
      <c r="AB12" s="333"/>
      <c r="AC12" s="334"/>
      <c r="AD12" s="334"/>
      <c r="AE12" s="336"/>
    </row>
    <row r="13" spans="2:31" ht="12.75" customHeight="1" x14ac:dyDescent="0.2">
      <c r="B13" s="6367"/>
      <c r="C13" s="328" t="s">
        <v>27</v>
      </c>
      <c r="D13" s="331"/>
      <c r="E13" s="329"/>
      <c r="F13" s="329"/>
      <c r="G13" s="332"/>
      <c r="H13" s="331"/>
      <c r="I13" s="329">
        <v>1</v>
      </c>
      <c r="J13" s="329">
        <v>1</v>
      </c>
      <c r="K13" s="332">
        <v>2</v>
      </c>
      <c r="L13" s="329">
        <v>2</v>
      </c>
      <c r="M13" s="329"/>
      <c r="N13" s="329"/>
      <c r="O13" s="330">
        <v>2</v>
      </c>
      <c r="P13" s="331">
        <v>1</v>
      </c>
      <c r="Q13" s="329">
        <v>1</v>
      </c>
      <c r="R13" s="329"/>
      <c r="S13" s="332">
        <v>2</v>
      </c>
      <c r="T13" s="329">
        <v>1</v>
      </c>
      <c r="U13" s="329">
        <v>1</v>
      </c>
      <c r="V13" s="329"/>
      <c r="W13" s="330">
        <v>2</v>
      </c>
      <c r="X13" s="333"/>
      <c r="Y13" s="334"/>
      <c r="Z13" s="334"/>
      <c r="AA13" s="336"/>
      <c r="AB13" s="333"/>
      <c r="AC13" s="334"/>
      <c r="AD13" s="334"/>
      <c r="AE13" s="336"/>
    </row>
    <row r="14" spans="2:31" ht="12.75" customHeight="1" x14ac:dyDescent="0.2">
      <c r="B14" s="6367"/>
      <c r="C14" s="328" t="s">
        <v>28</v>
      </c>
      <c r="D14" s="331"/>
      <c r="E14" s="329"/>
      <c r="F14" s="329"/>
      <c r="G14" s="332"/>
      <c r="H14" s="331"/>
      <c r="I14" s="329"/>
      <c r="J14" s="329">
        <v>1</v>
      </c>
      <c r="K14" s="332">
        <v>1</v>
      </c>
      <c r="L14" s="329"/>
      <c r="M14" s="329"/>
      <c r="N14" s="329"/>
      <c r="O14" s="330"/>
      <c r="P14" s="331"/>
      <c r="Q14" s="329"/>
      <c r="R14" s="329"/>
      <c r="S14" s="332"/>
      <c r="T14" s="329"/>
      <c r="U14" s="329"/>
      <c r="V14" s="329"/>
      <c r="W14" s="330"/>
      <c r="X14" s="333"/>
      <c r="Y14" s="334"/>
      <c r="Z14" s="334"/>
      <c r="AA14" s="336"/>
      <c r="AB14" s="333"/>
      <c r="AC14" s="334"/>
      <c r="AD14" s="334"/>
      <c r="AE14" s="336"/>
    </row>
    <row r="15" spans="2:31" s="27" customFormat="1" ht="12.75" customHeight="1" x14ac:dyDescent="0.2">
      <c r="B15" s="6368"/>
      <c r="C15" s="669" t="s">
        <v>14</v>
      </c>
      <c r="D15" s="670"/>
      <c r="E15" s="671"/>
      <c r="F15" s="671"/>
      <c r="G15" s="672"/>
      <c r="H15" s="670"/>
      <c r="I15" s="671">
        <v>1</v>
      </c>
      <c r="J15" s="671">
        <v>2</v>
      </c>
      <c r="K15" s="672">
        <v>3</v>
      </c>
      <c r="L15" s="671">
        <v>3</v>
      </c>
      <c r="M15" s="671"/>
      <c r="N15" s="671"/>
      <c r="O15" s="671">
        <v>3</v>
      </c>
      <c r="P15" s="670">
        <v>1</v>
      </c>
      <c r="Q15" s="671">
        <v>1</v>
      </c>
      <c r="R15" s="671"/>
      <c r="S15" s="672">
        <v>2</v>
      </c>
      <c r="T15" s="671">
        <v>1</v>
      </c>
      <c r="U15" s="671">
        <v>1</v>
      </c>
      <c r="V15" s="671"/>
      <c r="W15" s="671">
        <v>2</v>
      </c>
      <c r="X15" s="673"/>
      <c r="Y15" s="674"/>
      <c r="Z15" s="674"/>
      <c r="AA15" s="675"/>
      <c r="AB15" s="673"/>
      <c r="AC15" s="674"/>
      <c r="AD15" s="674"/>
      <c r="AE15" s="675"/>
    </row>
    <row r="16" spans="2:31" ht="12.75" customHeight="1" x14ac:dyDescent="0.2">
      <c r="B16" s="6366" t="s">
        <v>7</v>
      </c>
      <c r="C16" s="328" t="s">
        <v>26</v>
      </c>
      <c r="D16" s="331">
        <v>1</v>
      </c>
      <c r="E16" s="329"/>
      <c r="F16" s="329">
        <v>1</v>
      </c>
      <c r="G16" s="332">
        <v>2</v>
      </c>
      <c r="H16" s="331"/>
      <c r="I16" s="329"/>
      <c r="J16" s="329"/>
      <c r="K16" s="332"/>
      <c r="L16" s="329">
        <v>1</v>
      </c>
      <c r="M16" s="329">
        <v>1</v>
      </c>
      <c r="N16" s="329"/>
      <c r="O16" s="330">
        <v>2</v>
      </c>
      <c r="P16" s="331"/>
      <c r="Q16" s="329">
        <v>1</v>
      </c>
      <c r="R16" s="329">
        <v>1</v>
      </c>
      <c r="S16" s="332">
        <v>2</v>
      </c>
      <c r="T16" s="329"/>
      <c r="U16" s="329">
        <v>1</v>
      </c>
      <c r="V16" s="329"/>
      <c r="W16" s="330">
        <v>1</v>
      </c>
      <c r="X16" s="333">
        <v>1</v>
      </c>
      <c r="Y16" s="334"/>
      <c r="Z16" s="334">
        <v>1</v>
      </c>
      <c r="AA16" s="336">
        <v>2</v>
      </c>
      <c r="AB16" s="333"/>
      <c r="AC16" s="334"/>
      <c r="AD16" s="334"/>
      <c r="AE16" s="336"/>
    </row>
    <row r="17" spans="2:31" ht="12.75" customHeight="1" x14ac:dyDescent="0.2">
      <c r="B17" s="6367"/>
      <c r="C17" s="328" t="s">
        <v>27</v>
      </c>
      <c r="D17" s="331"/>
      <c r="E17" s="329"/>
      <c r="F17" s="329"/>
      <c r="G17" s="332"/>
      <c r="H17" s="331"/>
      <c r="I17" s="329"/>
      <c r="J17" s="329"/>
      <c r="K17" s="332"/>
      <c r="L17" s="329"/>
      <c r="M17" s="329"/>
      <c r="N17" s="329"/>
      <c r="O17" s="330"/>
      <c r="P17" s="331">
        <v>1</v>
      </c>
      <c r="Q17" s="329">
        <v>1</v>
      </c>
      <c r="R17" s="329">
        <v>0</v>
      </c>
      <c r="S17" s="332">
        <v>2</v>
      </c>
      <c r="T17" s="329"/>
      <c r="U17" s="329"/>
      <c r="V17" s="329"/>
      <c r="W17" s="330"/>
      <c r="X17" s="333"/>
      <c r="Y17" s="334"/>
      <c r="Z17" s="334">
        <v>1</v>
      </c>
      <c r="AA17" s="336">
        <v>1</v>
      </c>
      <c r="AB17" s="333">
        <v>1</v>
      </c>
      <c r="AC17" s="334"/>
      <c r="AD17" s="334">
        <v>2</v>
      </c>
      <c r="AE17" s="336">
        <f>SUM(AB17:AD17)</f>
        <v>3</v>
      </c>
    </row>
    <row r="18" spans="2:31" ht="12.75" customHeight="1" x14ac:dyDescent="0.2">
      <c r="B18" s="6367"/>
      <c r="C18" s="328" t="s">
        <v>28</v>
      </c>
      <c r="D18" s="331"/>
      <c r="E18" s="329"/>
      <c r="F18" s="329"/>
      <c r="G18" s="332"/>
      <c r="H18" s="331"/>
      <c r="I18" s="329"/>
      <c r="J18" s="329"/>
      <c r="K18" s="332"/>
      <c r="L18" s="329"/>
      <c r="M18" s="329"/>
      <c r="N18" s="329"/>
      <c r="O18" s="330"/>
      <c r="P18" s="331"/>
      <c r="Q18" s="329"/>
      <c r="R18" s="329"/>
      <c r="S18" s="332"/>
      <c r="T18" s="329"/>
      <c r="U18" s="329"/>
      <c r="V18" s="329"/>
      <c r="W18" s="330"/>
      <c r="X18" s="333"/>
      <c r="Y18" s="334"/>
      <c r="Z18" s="334"/>
      <c r="AA18" s="336"/>
      <c r="AB18" s="333"/>
      <c r="AC18" s="334"/>
      <c r="AD18" s="334"/>
      <c r="AE18" s="336"/>
    </row>
    <row r="19" spans="2:31" s="27" customFormat="1" ht="12.75" customHeight="1" x14ac:dyDescent="0.2">
      <c r="B19" s="6368"/>
      <c r="C19" s="669" t="s">
        <v>15</v>
      </c>
      <c r="D19" s="670">
        <v>1</v>
      </c>
      <c r="E19" s="671"/>
      <c r="F19" s="671">
        <v>1</v>
      </c>
      <c r="G19" s="672">
        <v>2</v>
      </c>
      <c r="H19" s="670"/>
      <c r="I19" s="671"/>
      <c r="J19" s="671"/>
      <c r="K19" s="672"/>
      <c r="L19" s="671">
        <v>1</v>
      </c>
      <c r="M19" s="671">
        <v>1</v>
      </c>
      <c r="N19" s="671"/>
      <c r="O19" s="671">
        <v>2</v>
      </c>
      <c r="P19" s="670"/>
      <c r="Q19" s="671"/>
      <c r="R19" s="671"/>
      <c r="S19" s="672"/>
      <c r="T19" s="671"/>
      <c r="U19" s="671"/>
      <c r="V19" s="671"/>
      <c r="W19" s="671"/>
      <c r="X19" s="673"/>
      <c r="Y19" s="674"/>
      <c r="Z19" s="674"/>
      <c r="AA19" s="675"/>
      <c r="AB19" s="673"/>
      <c r="AC19" s="674"/>
      <c r="AD19" s="674"/>
      <c r="AE19" s="675"/>
    </row>
    <row r="20" spans="2:31" ht="12.75" customHeight="1" x14ac:dyDescent="0.2">
      <c r="B20" s="6371" t="s">
        <v>16</v>
      </c>
      <c r="C20" s="328" t="s">
        <v>26</v>
      </c>
      <c r="D20" s="331">
        <f>D8+D12+D16</f>
        <v>1</v>
      </c>
      <c r="E20" s="329"/>
      <c r="F20" s="329">
        <f>F8+F12+F16</f>
        <v>1</v>
      </c>
      <c r="G20" s="332">
        <f>G8+G12+G16</f>
        <v>2</v>
      </c>
      <c r="H20" s="331"/>
      <c r="I20" s="329"/>
      <c r="J20" s="329"/>
      <c r="K20" s="332"/>
      <c r="L20" s="329">
        <f>L8+L12+L16</f>
        <v>2</v>
      </c>
      <c r="M20" s="329">
        <f>M8+M12+M16</f>
        <v>1</v>
      </c>
      <c r="N20" s="329"/>
      <c r="O20" s="330">
        <f>O8+O12+O16</f>
        <v>3</v>
      </c>
      <c r="P20" s="331"/>
      <c r="Q20" s="329">
        <f>Q8+Q12+Q16</f>
        <v>1</v>
      </c>
      <c r="R20" s="329">
        <f>R8+R12+R16</f>
        <v>1</v>
      </c>
      <c r="S20" s="332">
        <f>S8+S12+S16</f>
        <v>2</v>
      </c>
      <c r="T20" s="329"/>
      <c r="U20" s="329">
        <f>U8+U12+U16</f>
        <v>1</v>
      </c>
      <c r="V20" s="329"/>
      <c r="W20" s="330">
        <f>W8+W12+W16</f>
        <v>1</v>
      </c>
      <c r="X20" s="333">
        <v>1</v>
      </c>
      <c r="Y20" s="334"/>
      <c r="Z20" s="334">
        <v>1</v>
      </c>
      <c r="AA20" s="337">
        <v>2</v>
      </c>
      <c r="AB20" s="333"/>
      <c r="AC20" s="334"/>
      <c r="AD20" s="334"/>
      <c r="AE20" s="336"/>
    </row>
    <row r="21" spans="2:31" ht="12.75" customHeight="1" x14ac:dyDescent="0.2">
      <c r="B21" s="6372"/>
      <c r="C21" s="328" t="s">
        <v>27</v>
      </c>
      <c r="D21" s="331">
        <f>D9+D13+D17</f>
        <v>1</v>
      </c>
      <c r="E21" s="329"/>
      <c r="F21" s="329"/>
      <c r="G21" s="332">
        <f t="shared" ref="G21:L21" si="0">G9+G13+G17</f>
        <v>1</v>
      </c>
      <c r="H21" s="331">
        <f t="shared" si="0"/>
        <v>1</v>
      </c>
      <c r="I21" s="329">
        <f t="shared" si="0"/>
        <v>1</v>
      </c>
      <c r="J21" s="329">
        <f t="shared" si="0"/>
        <v>1</v>
      </c>
      <c r="K21" s="332">
        <f t="shared" si="0"/>
        <v>3</v>
      </c>
      <c r="L21" s="329">
        <f t="shared" si="0"/>
        <v>2</v>
      </c>
      <c r="M21" s="329"/>
      <c r="N21" s="329"/>
      <c r="O21" s="330">
        <f>O9+O13+O17</f>
        <v>2</v>
      </c>
      <c r="P21" s="331">
        <f>P9+P13+P17</f>
        <v>2</v>
      </c>
      <c r="Q21" s="329">
        <f>Q9+Q13+Q17</f>
        <v>2</v>
      </c>
      <c r="R21" s="329"/>
      <c r="S21" s="332">
        <f>S9+S13+S17</f>
        <v>4</v>
      </c>
      <c r="T21" s="329">
        <f>T9+T13+T17</f>
        <v>1</v>
      </c>
      <c r="U21" s="329">
        <f>U9+U13+U17</f>
        <v>2</v>
      </c>
      <c r="V21" s="329">
        <f>V9+V13+V17</f>
        <v>1</v>
      </c>
      <c r="W21" s="330">
        <f>W9+W13+W17</f>
        <v>4</v>
      </c>
      <c r="X21" s="333"/>
      <c r="Y21" s="334"/>
      <c r="Z21" s="334">
        <v>3</v>
      </c>
      <c r="AA21" s="337">
        <v>3</v>
      </c>
      <c r="AB21" s="333">
        <f>SUM(AB9,AB13,AB17)</f>
        <v>3</v>
      </c>
      <c r="AC21" s="334"/>
      <c r="AD21" s="334">
        <f>SUM(AD9,AD13,AD17)</f>
        <v>2</v>
      </c>
      <c r="AE21" s="336">
        <f>SUM(AE9,AE13,AE17)</f>
        <v>5</v>
      </c>
    </row>
    <row r="22" spans="2:31" ht="12.75" customHeight="1" x14ac:dyDescent="0.2">
      <c r="B22" s="6372"/>
      <c r="C22" s="409" t="s">
        <v>28</v>
      </c>
      <c r="D22" s="665"/>
      <c r="E22" s="666"/>
      <c r="F22" s="666"/>
      <c r="G22" s="667"/>
      <c r="H22" s="665"/>
      <c r="I22" s="666"/>
      <c r="J22" s="666">
        <f>J10+J14+J18</f>
        <v>1</v>
      </c>
      <c r="K22" s="667">
        <f>K10+K14+K18</f>
        <v>1</v>
      </c>
      <c r="L22" s="666"/>
      <c r="M22" s="666"/>
      <c r="N22" s="666"/>
      <c r="O22" s="668"/>
      <c r="P22" s="665"/>
      <c r="Q22" s="666">
        <f>Q10+Q14+Q18</f>
        <v>1</v>
      </c>
      <c r="R22" s="666"/>
      <c r="S22" s="667">
        <f>S10+S14+S18</f>
        <v>1</v>
      </c>
      <c r="T22" s="666"/>
      <c r="U22" s="666"/>
      <c r="V22" s="666"/>
      <c r="W22" s="668"/>
      <c r="X22" s="410"/>
      <c r="Y22" s="411"/>
      <c r="Z22" s="411">
        <v>2</v>
      </c>
      <c r="AA22" s="439">
        <v>2</v>
      </c>
      <c r="AB22" s="410">
        <f>SUM(AB10,AB14,AB18)</f>
        <v>1</v>
      </c>
      <c r="AC22" s="411"/>
      <c r="AD22" s="411"/>
      <c r="AE22" s="412">
        <f>SUM(AE10,AE14,AE18)</f>
        <v>1</v>
      </c>
    </row>
    <row r="23" spans="2:31" s="38" customFormat="1" ht="15" x14ac:dyDescent="0.2">
      <c r="B23" s="6373"/>
      <c r="C23" s="592" t="s">
        <v>12</v>
      </c>
      <c r="D23" s="676">
        <f>SUM(D20:D22)</f>
        <v>2</v>
      </c>
      <c r="E23" s="677"/>
      <c r="F23" s="677">
        <f>SUM(F20:F22)</f>
        <v>1</v>
      </c>
      <c r="G23" s="678">
        <f>SUM(G20:G22)</f>
        <v>3</v>
      </c>
      <c r="H23" s="676">
        <f t="shared" ref="H23:W23" si="1">SUM(H20:H22)</f>
        <v>1</v>
      </c>
      <c r="I23" s="677">
        <f t="shared" si="1"/>
        <v>1</v>
      </c>
      <c r="J23" s="677">
        <f t="shared" si="1"/>
        <v>2</v>
      </c>
      <c r="K23" s="678">
        <f t="shared" si="1"/>
        <v>4</v>
      </c>
      <c r="L23" s="677">
        <f t="shared" si="1"/>
        <v>4</v>
      </c>
      <c r="M23" s="677">
        <f t="shared" si="1"/>
        <v>1</v>
      </c>
      <c r="N23" s="677"/>
      <c r="O23" s="677">
        <f t="shared" si="1"/>
        <v>5</v>
      </c>
      <c r="P23" s="676">
        <f t="shared" si="1"/>
        <v>2</v>
      </c>
      <c r="Q23" s="677">
        <f t="shared" si="1"/>
        <v>4</v>
      </c>
      <c r="R23" s="677">
        <f t="shared" si="1"/>
        <v>1</v>
      </c>
      <c r="S23" s="678">
        <f t="shared" si="1"/>
        <v>7</v>
      </c>
      <c r="T23" s="677">
        <f t="shared" si="1"/>
        <v>1</v>
      </c>
      <c r="U23" s="677">
        <f t="shared" si="1"/>
        <v>3</v>
      </c>
      <c r="V23" s="677">
        <f t="shared" si="1"/>
        <v>1</v>
      </c>
      <c r="W23" s="677">
        <f t="shared" si="1"/>
        <v>5</v>
      </c>
      <c r="X23" s="589">
        <v>1</v>
      </c>
      <c r="Y23" s="590">
        <v>0</v>
      </c>
      <c r="Z23" s="590">
        <v>6</v>
      </c>
      <c r="AA23" s="591">
        <v>7</v>
      </c>
      <c r="AB23" s="590">
        <f>SUM(AB20:AB22)</f>
        <v>4</v>
      </c>
      <c r="AC23" s="590"/>
      <c r="AD23" s="590">
        <f>SUM(AD20:AD22)</f>
        <v>2</v>
      </c>
      <c r="AE23" s="591">
        <f>SUM(AE20:AE22)</f>
        <v>6</v>
      </c>
    </row>
    <row r="24" spans="2:31" ht="12.75" customHeight="1" x14ac:dyDescent="0.2">
      <c r="C24" s="1"/>
      <c r="D24" s="1"/>
      <c r="E24" s="1"/>
      <c r="F24" s="1"/>
      <c r="G24" s="1"/>
      <c r="K24" s="1"/>
      <c r="O24" s="1"/>
      <c r="S24" s="1"/>
      <c r="W24" s="1"/>
    </row>
    <row r="25" spans="2:31" ht="15" x14ac:dyDescent="0.2">
      <c r="B25" s="6366" t="s">
        <v>5</v>
      </c>
      <c r="C25" s="642" t="s">
        <v>26</v>
      </c>
      <c r="D25" s="661"/>
      <c r="E25" s="661"/>
      <c r="F25" s="661"/>
      <c r="G25" s="663"/>
      <c r="H25" s="660"/>
      <c r="I25" s="661"/>
      <c r="J25" s="661"/>
      <c r="K25" s="663"/>
      <c r="L25" s="660"/>
      <c r="M25" s="661"/>
      <c r="N25" s="661"/>
      <c r="O25" s="662"/>
      <c r="P25" s="661"/>
      <c r="Q25" s="661"/>
      <c r="R25" s="661"/>
      <c r="S25" s="662"/>
      <c r="T25" s="661"/>
      <c r="U25" s="661"/>
      <c r="V25" s="661"/>
      <c r="W25" s="662"/>
      <c r="X25" s="436"/>
      <c r="Y25" s="437"/>
      <c r="Z25" s="437"/>
      <c r="AA25" s="679"/>
      <c r="AB25" s="436"/>
      <c r="AC25" s="437"/>
      <c r="AD25" s="437"/>
      <c r="AE25" s="664">
        <f>SUM(AB25:AD25)</f>
        <v>0</v>
      </c>
    </row>
    <row r="26" spans="2:31" ht="15" x14ac:dyDescent="0.2">
      <c r="B26" s="6367"/>
      <c r="C26" s="643" t="s">
        <v>27</v>
      </c>
      <c r="D26" s="329"/>
      <c r="E26" s="329"/>
      <c r="F26" s="329"/>
      <c r="G26" s="330"/>
      <c r="H26" s="331">
        <v>1</v>
      </c>
      <c r="I26" s="329"/>
      <c r="J26" s="329"/>
      <c r="K26" s="330">
        <v>1</v>
      </c>
      <c r="L26" s="331">
        <v>1</v>
      </c>
      <c r="M26" s="329"/>
      <c r="N26" s="329"/>
      <c r="O26" s="332">
        <v>1</v>
      </c>
      <c r="P26" s="329">
        <v>1</v>
      </c>
      <c r="Q26" s="329">
        <v>1</v>
      </c>
      <c r="R26" s="329">
        <v>2</v>
      </c>
      <c r="S26" s="332">
        <v>4</v>
      </c>
      <c r="T26" s="329">
        <v>1</v>
      </c>
      <c r="U26" s="329">
        <v>0</v>
      </c>
      <c r="V26" s="329">
        <v>1</v>
      </c>
      <c r="W26" s="332">
        <v>2</v>
      </c>
      <c r="X26" s="333">
        <v>1</v>
      </c>
      <c r="Y26" s="334">
        <v>3</v>
      </c>
      <c r="Z26" s="334">
        <v>0</v>
      </c>
      <c r="AA26" s="335">
        <v>4</v>
      </c>
      <c r="AB26" s="333">
        <v>1</v>
      </c>
      <c r="AC26" s="334">
        <v>1</v>
      </c>
      <c r="AD26" s="334">
        <v>1</v>
      </c>
      <c r="AE26" s="336">
        <f>SUM(AB26:AD26)</f>
        <v>3</v>
      </c>
    </row>
    <row r="27" spans="2:31" ht="15" x14ac:dyDescent="0.2">
      <c r="B27" s="6367"/>
      <c r="C27" s="643" t="s">
        <v>28</v>
      </c>
      <c r="D27" s="329"/>
      <c r="E27" s="329"/>
      <c r="F27" s="329">
        <v>2</v>
      </c>
      <c r="G27" s="330">
        <v>2</v>
      </c>
      <c r="H27" s="331">
        <v>1</v>
      </c>
      <c r="I27" s="329"/>
      <c r="J27" s="329"/>
      <c r="K27" s="330">
        <v>1</v>
      </c>
      <c r="L27" s="331">
        <v>2</v>
      </c>
      <c r="M27" s="329"/>
      <c r="N27" s="329"/>
      <c r="O27" s="332">
        <v>2</v>
      </c>
      <c r="P27" s="329">
        <v>0</v>
      </c>
      <c r="Q27" s="329">
        <v>0</v>
      </c>
      <c r="R27" s="329">
        <v>0</v>
      </c>
      <c r="S27" s="332">
        <v>0</v>
      </c>
      <c r="T27" s="329">
        <v>0</v>
      </c>
      <c r="U27" s="329">
        <v>1</v>
      </c>
      <c r="V27" s="329">
        <v>0</v>
      </c>
      <c r="W27" s="332">
        <v>1</v>
      </c>
      <c r="X27" s="333">
        <v>0</v>
      </c>
      <c r="Y27" s="334">
        <v>0</v>
      </c>
      <c r="Z27" s="334">
        <v>0</v>
      </c>
      <c r="AA27" s="335">
        <v>0</v>
      </c>
      <c r="AB27" s="333"/>
      <c r="AC27" s="334"/>
      <c r="AD27" s="334"/>
      <c r="AE27" s="336">
        <f>SUM(AB27:AD27)</f>
        <v>0</v>
      </c>
    </row>
    <row r="28" spans="2:31" s="27" customFormat="1" ht="15" x14ac:dyDescent="0.2">
      <c r="B28" s="6368"/>
      <c r="C28" s="669" t="s">
        <v>13</v>
      </c>
      <c r="D28" s="670"/>
      <c r="E28" s="671"/>
      <c r="F28" s="671">
        <v>2</v>
      </c>
      <c r="G28" s="672">
        <v>2</v>
      </c>
      <c r="H28" s="670">
        <v>2</v>
      </c>
      <c r="I28" s="671"/>
      <c r="J28" s="671"/>
      <c r="K28" s="672">
        <v>2</v>
      </c>
      <c r="L28" s="671">
        <v>3</v>
      </c>
      <c r="M28" s="671"/>
      <c r="N28" s="671"/>
      <c r="O28" s="671">
        <v>3</v>
      </c>
      <c r="P28" s="670">
        <v>1</v>
      </c>
      <c r="Q28" s="671">
        <v>1</v>
      </c>
      <c r="R28" s="671">
        <v>2</v>
      </c>
      <c r="S28" s="672">
        <v>4</v>
      </c>
      <c r="T28" s="671">
        <v>1</v>
      </c>
      <c r="U28" s="671">
        <v>1</v>
      </c>
      <c r="V28" s="671">
        <v>1</v>
      </c>
      <c r="W28" s="671">
        <v>3</v>
      </c>
      <c r="X28" s="673">
        <v>1</v>
      </c>
      <c r="Y28" s="674">
        <v>3</v>
      </c>
      <c r="Z28" s="674">
        <v>0</v>
      </c>
      <c r="AA28" s="675">
        <v>4</v>
      </c>
      <c r="AB28" s="673">
        <f>SUM(AB25:AB27)</f>
        <v>1</v>
      </c>
      <c r="AC28" s="674">
        <f>SUM(AC25:AC27)</f>
        <v>1</v>
      </c>
      <c r="AD28" s="674">
        <f>SUM(AD25:AD27)</f>
        <v>1</v>
      </c>
      <c r="AE28" s="675">
        <f>SUM(AE25:AE27)</f>
        <v>3</v>
      </c>
    </row>
    <row r="29" spans="2:31" ht="15" x14ac:dyDescent="0.2">
      <c r="B29" s="6366" t="s">
        <v>6</v>
      </c>
      <c r="C29" s="643" t="s">
        <v>26</v>
      </c>
      <c r="D29" s="329"/>
      <c r="E29" s="329"/>
      <c r="F29" s="329"/>
      <c r="G29" s="330">
        <v>0</v>
      </c>
      <c r="H29" s="331"/>
      <c r="I29" s="329"/>
      <c r="J29" s="329"/>
      <c r="K29" s="330"/>
      <c r="L29" s="331"/>
      <c r="M29" s="329"/>
      <c r="N29" s="329"/>
      <c r="O29" s="332"/>
      <c r="P29" s="329">
        <v>0</v>
      </c>
      <c r="Q29" s="329">
        <v>0</v>
      </c>
      <c r="R29" s="329">
        <v>0</v>
      </c>
      <c r="S29" s="332">
        <v>0</v>
      </c>
      <c r="T29" s="329">
        <v>0</v>
      </c>
      <c r="U29" s="329">
        <v>0</v>
      </c>
      <c r="V29" s="329">
        <v>0</v>
      </c>
      <c r="W29" s="332">
        <v>0</v>
      </c>
      <c r="X29" s="333">
        <v>0</v>
      </c>
      <c r="Y29" s="334">
        <v>0</v>
      </c>
      <c r="Z29" s="334">
        <v>0</v>
      </c>
      <c r="AA29" s="335">
        <v>0</v>
      </c>
      <c r="AB29" s="333"/>
      <c r="AC29" s="334"/>
      <c r="AD29" s="334"/>
      <c r="AE29" s="336">
        <f>SUM(AB29:AD29)</f>
        <v>0</v>
      </c>
    </row>
    <row r="30" spans="2:31" ht="15" x14ac:dyDescent="0.2">
      <c r="B30" s="6367"/>
      <c r="C30" s="643" t="s">
        <v>27</v>
      </c>
      <c r="D30" s="329">
        <v>1</v>
      </c>
      <c r="E30" s="329"/>
      <c r="F30" s="329"/>
      <c r="G30" s="330">
        <v>1</v>
      </c>
      <c r="H30" s="331"/>
      <c r="I30" s="329"/>
      <c r="J30" s="329">
        <v>3</v>
      </c>
      <c r="K30" s="330">
        <v>3</v>
      </c>
      <c r="L30" s="331">
        <v>4</v>
      </c>
      <c r="M30" s="329">
        <v>1</v>
      </c>
      <c r="N30" s="329"/>
      <c r="O30" s="332">
        <v>5</v>
      </c>
      <c r="P30" s="329">
        <v>1</v>
      </c>
      <c r="Q30" s="329">
        <v>1</v>
      </c>
      <c r="R30" s="329">
        <v>0</v>
      </c>
      <c r="S30" s="332">
        <v>2</v>
      </c>
      <c r="T30" s="329">
        <v>0</v>
      </c>
      <c r="U30" s="329">
        <v>0</v>
      </c>
      <c r="V30" s="329">
        <v>2</v>
      </c>
      <c r="W30" s="332">
        <v>2</v>
      </c>
      <c r="X30" s="333">
        <v>0</v>
      </c>
      <c r="Y30" s="334">
        <v>0</v>
      </c>
      <c r="Z30" s="334">
        <v>0</v>
      </c>
      <c r="AA30" s="335">
        <v>0</v>
      </c>
      <c r="AB30" s="333">
        <v>2</v>
      </c>
      <c r="AC30" s="334">
        <v>1</v>
      </c>
      <c r="AD30" s="334"/>
      <c r="AE30" s="336">
        <f>SUM(AB30:AD30)</f>
        <v>3</v>
      </c>
    </row>
    <row r="31" spans="2:31" ht="15" x14ac:dyDescent="0.2">
      <c r="B31" s="6367"/>
      <c r="C31" s="643" t="s">
        <v>28</v>
      </c>
      <c r="D31" s="329"/>
      <c r="E31" s="329"/>
      <c r="F31" s="329"/>
      <c r="G31" s="330">
        <v>0</v>
      </c>
      <c r="H31" s="331"/>
      <c r="I31" s="329"/>
      <c r="J31" s="329">
        <v>2</v>
      </c>
      <c r="K31" s="330">
        <v>2</v>
      </c>
      <c r="L31" s="331">
        <v>1</v>
      </c>
      <c r="M31" s="329"/>
      <c r="N31" s="329"/>
      <c r="O31" s="332">
        <v>1</v>
      </c>
      <c r="P31" s="329">
        <v>0</v>
      </c>
      <c r="Q31" s="329">
        <v>0</v>
      </c>
      <c r="R31" s="329">
        <v>0</v>
      </c>
      <c r="S31" s="332">
        <v>0</v>
      </c>
      <c r="T31" s="329">
        <v>0</v>
      </c>
      <c r="U31" s="329">
        <v>0</v>
      </c>
      <c r="V31" s="329">
        <v>1</v>
      </c>
      <c r="W31" s="332">
        <v>1</v>
      </c>
      <c r="X31" s="333">
        <v>0</v>
      </c>
      <c r="Y31" s="334">
        <v>1</v>
      </c>
      <c r="Z31" s="334">
        <v>1</v>
      </c>
      <c r="AA31" s="335">
        <v>2</v>
      </c>
      <c r="AB31" s="333"/>
      <c r="AC31" s="334">
        <v>1</v>
      </c>
      <c r="AD31" s="334"/>
      <c r="AE31" s="336">
        <f>SUM(AB31:AD31)</f>
        <v>1</v>
      </c>
    </row>
    <row r="32" spans="2:31" s="27" customFormat="1" ht="15" x14ac:dyDescent="0.2">
      <c r="B32" s="6368"/>
      <c r="C32" s="669" t="s">
        <v>14</v>
      </c>
      <c r="D32" s="670">
        <v>1</v>
      </c>
      <c r="E32" s="671"/>
      <c r="F32" s="671"/>
      <c r="G32" s="672">
        <v>1</v>
      </c>
      <c r="H32" s="670"/>
      <c r="I32" s="671"/>
      <c r="J32" s="671">
        <v>5</v>
      </c>
      <c r="K32" s="672">
        <v>5</v>
      </c>
      <c r="L32" s="671">
        <v>5</v>
      </c>
      <c r="M32" s="671">
        <v>1</v>
      </c>
      <c r="N32" s="671"/>
      <c r="O32" s="671">
        <v>6</v>
      </c>
      <c r="P32" s="670">
        <v>1</v>
      </c>
      <c r="Q32" s="671">
        <v>1</v>
      </c>
      <c r="R32" s="671">
        <v>0</v>
      </c>
      <c r="S32" s="672">
        <v>2</v>
      </c>
      <c r="T32" s="671">
        <v>0</v>
      </c>
      <c r="U32" s="671">
        <v>0</v>
      </c>
      <c r="V32" s="671">
        <v>3</v>
      </c>
      <c r="W32" s="671">
        <v>3</v>
      </c>
      <c r="X32" s="673">
        <v>0</v>
      </c>
      <c r="Y32" s="674">
        <v>1</v>
      </c>
      <c r="Z32" s="674">
        <v>1</v>
      </c>
      <c r="AA32" s="675">
        <v>2</v>
      </c>
      <c r="AB32" s="673">
        <f>SUM(AB29:AB31)</f>
        <v>2</v>
      </c>
      <c r="AC32" s="674">
        <f>SUM(AC29:AC31)</f>
        <v>2</v>
      </c>
      <c r="AD32" s="674">
        <f>SUM(AD29:AD31)</f>
        <v>0</v>
      </c>
      <c r="AE32" s="675">
        <f>SUM(AE29:AE31)</f>
        <v>4</v>
      </c>
    </row>
    <row r="33" spans="2:31" ht="15" x14ac:dyDescent="0.2">
      <c r="B33" s="6366" t="s">
        <v>11</v>
      </c>
      <c r="C33" s="643" t="s">
        <v>26</v>
      </c>
      <c r="D33" s="329"/>
      <c r="E33" s="329"/>
      <c r="F33" s="329"/>
      <c r="G33" s="330">
        <v>0</v>
      </c>
      <c r="H33" s="331"/>
      <c r="I33" s="329"/>
      <c r="J33" s="329"/>
      <c r="K33" s="330"/>
      <c r="L33" s="331"/>
      <c r="M33" s="329"/>
      <c r="N33" s="329"/>
      <c r="O33" s="332"/>
      <c r="P33" s="329">
        <v>0</v>
      </c>
      <c r="Q33" s="329">
        <v>0</v>
      </c>
      <c r="R33" s="329">
        <v>0</v>
      </c>
      <c r="S33" s="332">
        <v>0</v>
      </c>
      <c r="T33" s="329">
        <v>0</v>
      </c>
      <c r="U33" s="329">
        <v>0</v>
      </c>
      <c r="V33" s="329">
        <v>0</v>
      </c>
      <c r="W33" s="332">
        <v>0</v>
      </c>
      <c r="X33" s="333">
        <v>0</v>
      </c>
      <c r="Y33" s="334">
        <v>1</v>
      </c>
      <c r="Z33" s="334">
        <v>0</v>
      </c>
      <c r="AA33" s="335">
        <v>1</v>
      </c>
      <c r="AB33" s="333"/>
      <c r="AC33" s="334"/>
      <c r="AD33" s="334"/>
      <c r="AE33" s="336"/>
    </row>
    <row r="34" spans="2:31" ht="15" x14ac:dyDescent="0.2">
      <c r="B34" s="6367"/>
      <c r="C34" s="643" t="s">
        <v>27</v>
      </c>
      <c r="D34" s="329">
        <v>1</v>
      </c>
      <c r="E34" s="329">
        <v>1</v>
      </c>
      <c r="F34" s="329">
        <v>2</v>
      </c>
      <c r="G34" s="330">
        <v>4</v>
      </c>
      <c r="H34" s="331"/>
      <c r="I34" s="329"/>
      <c r="J34" s="329">
        <v>1</v>
      </c>
      <c r="K34" s="330">
        <v>1</v>
      </c>
      <c r="L34" s="331"/>
      <c r="M34" s="329"/>
      <c r="N34" s="329">
        <v>1</v>
      </c>
      <c r="O34" s="332">
        <v>1</v>
      </c>
      <c r="P34" s="329">
        <v>0</v>
      </c>
      <c r="Q34" s="329">
        <v>0</v>
      </c>
      <c r="R34" s="329">
        <v>0</v>
      </c>
      <c r="S34" s="332">
        <v>0</v>
      </c>
      <c r="T34" s="329">
        <v>0</v>
      </c>
      <c r="U34" s="329">
        <v>0</v>
      </c>
      <c r="V34" s="329">
        <v>0</v>
      </c>
      <c r="W34" s="332">
        <v>0</v>
      </c>
      <c r="X34" s="333">
        <v>1</v>
      </c>
      <c r="Y34" s="334">
        <v>0</v>
      </c>
      <c r="Z34" s="334">
        <v>0</v>
      </c>
      <c r="AA34" s="335">
        <v>1</v>
      </c>
      <c r="AB34" s="333"/>
      <c r="AC34" s="334"/>
      <c r="AD34" s="334"/>
      <c r="AE34" s="336"/>
    </row>
    <row r="35" spans="2:31" ht="15" x14ac:dyDescent="0.2">
      <c r="B35" s="6367"/>
      <c r="C35" s="643" t="s">
        <v>28</v>
      </c>
      <c r="D35" s="329"/>
      <c r="E35" s="329"/>
      <c r="F35" s="329"/>
      <c r="G35" s="330"/>
      <c r="H35" s="331"/>
      <c r="I35" s="329"/>
      <c r="J35" s="329">
        <v>1</v>
      </c>
      <c r="K35" s="330">
        <v>1</v>
      </c>
      <c r="L35" s="331"/>
      <c r="M35" s="329"/>
      <c r="N35" s="329"/>
      <c r="O35" s="332"/>
      <c r="P35" s="329">
        <v>0</v>
      </c>
      <c r="Q35" s="329">
        <v>0</v>
      </c>
      <c r="R35" s="329">
        <v>0</v>
      </c>
      <c r="S35" s="332">
        <v>0</v>
      </c>
      <c r="T35" s="329">
        <v>0</v>
      </c>
      <c r="U35" s="329">
        <v>0</v>
      </c>
      <c r="V35" s="329">
        <v>0</v>
      </c>
      <c r="W35" s="332">
        <v>0</v>
      </c>
      <c r="X35" s="333">
        <v>0</v>
      </c>
      <c r="Y35" s="334">
        <v>0</v>
      </c>
      <c r="Z35" s="334">
        <v>0</v>
      </c>
      <c r="AA35" s="335">
        <v>0</v>
      </c>
      <c r="AB35" s="333"/>
      <c r="AC35" s="334"/>
      <c r="AD35" s="334"/>
      <c r="AE35" s="336"/>
    </row>
    <row r="36" spans="2:31" s="27" customFormat="1" ht="15" x14ac:dyDescent="0.2">
      <c r="B36" s="6368"/>
      <c r="C36" s="669" t="s">
        <v>30</v>
      </c>
      <c r="D36" s="670">
        <v>1</v>
      </c>
      <c r="E36" s="671">
        <v>1</v>
      </c>
      <c r="F36" s="671">
        <v>2</v>
      </c>
      <c r="G36" s="672">
        <v>4</v>
      </c>
      <c r="H36" s="670"/>
      <c r="I36" s="671"/>
      <c r="J36" s="671">
        <v>2</v>
      </c>
      <c r="K36" s="672">
        <v>2</v>
      </c>
      <c r="L36" s="671"/>
      <c r="M36" s="671"/>
      <c r="N36" s="671">
        <v>1</v>
      </c>
      <c r="O36" s="671">
        <v>1</v>
      </c>
      <c r="P36" s="670">
        <v>0</v>
      </c>
      <c r="Q36" s="671">
        <v>0</v>
      </c>
      <c r="R36" s="671">
        <v>0</v>
      </c>
      <c r="S36" s="672">
        <v>0</v>
      </c>
      <c r="T36" s="671">
        <v>0</v>
      </c>
      <c r="U36" s="671">
        <v>0</v>
      </c>
      <c r="V36" s="671">
        <v>0</v>
      </c>
      <c r="W36" s="671">
        <v>0</v>
      </c>
      <c r="X36" s="673">
        <v>1</v>
      </c>
      <c r="Y36" s="674">
        <v>1</v>
      </c>
      <c r="Z36" s="674">
        <v>0</v>
      </c>
      <c r="AA36" s="675">
        <v>2</v>
      </c>
      <c r="AB36" s="673"/>
      <c r="AC36" s="674"/>
      <c r="AD36" s="674"/>
      <c r="AE36" s="675"/>
    </row>
    <row r="37" spans="2:31" ht="15" x14ac:dyDescent="0.2">
      <c r="B37" s="6371" t="s">
        <v>16</v>
      </c>
      <c r="C37" s="643" t="s">
        <v>26</v>
      </c>
      <c r="D37" s="329"/>
      <c r="E37" s="329"/>
      <c r="F37" s="329"/>
      <c r="G37" s="330"/>
      <c r="H37" s="331"/>
      <c r="I37" s="329"/>
      <c r="J37" s="329"/>
      <c r="K37" s="330"/>
      <c r="L37" s="331"/>
      <c r="M37" s="329"/>
      <c r="N37" s="329"/>
      <c r="O37" s="332"/>
      <c r="P37" s="329">
        <f t="shared" ref="P37:W39" si="2">P25+P29+P33</f>
        <v>0</v>
      </c>
      <c r="Q37" s="329">
        <f t="shared" si="2"/>
        <v>0</v>
      </c>
      <c r="R37" s="329">
        <f t="shared" si="2"/>
        <v>0</v>
      </c>
      <c r="S37" s="332">
        <f t="shared" si="2"/>
        <v>0</v>
      </c>
      <c r="T37" s="329">
        <f t="shared" si="2"/>
        <v>0</v>
      </c>
      <c r="U37" s="329">
        <f t="shared" si="2"/>
        <v>0</v>
      </c>
      <c r="V37" s="329">
        <f t="shared" si="2"/>
        <v>0</v>
      </c>
      <c r="W37" s="332">
        <f t="shared" si="2"/>
        <v>0</v>
      </c>
      <c r="X37" s="333">
        <v>0</v>
      </c>
      <c r="Y37" s="334">
        <v>1</v>
      </c>
      <c r="Z37" s="334">
        <v>0</v>
      </c>
      <c r="AA37" s="334">
        <v>1</v>
      </c>
      <c r="AB37" s="333">
        <f t="shared" ref="AB37:AE39" si="3">SUM(AB25,AB29,AB33)</f>
        <v>0</v>
      </c>
      <c r="AC37" s="334">
        <f t="shared" si="3"/>
        <v>0</v>
      </c>
      <c r="AD37" s="334">
        <f t="shared" si="3"/>
        <v>0</v>
      </c>
      <c r="AE37" s="337">
        <f t="shared" si="3"/>
        <v>0</v>
      </c>
    </row>
    <row r="38" spans="2:31" ht="15" x14ac:dyDescent="0.2">
      <c r="B38" s="6372"/>
      <c r="C38" s="643" t="s">
        <v>27</v>
      </c>
      <c r="D38" s="329">
        <f>D26+D30+D34</f>
        <v>2</v>
      </c>
      <c r="E38" s="329">
        <f>E26+E30+E34</f>
        <v>1</v>
      </c>
      <c r="F38" s="329">
        <f>F26+F30+F34</f>
        <v>2</v>
      </c>
      <c r="G38" s="330">
        <f>G26+G30+G34</f>
        <v>5</v>
      </c>
      <c r="H38" s="331">
        <f>H26+H30+H34</f>
        <v>1</v>
      </c>
      <c r="I38" s="329"/>
      <c r="J38" s="329">
        <f t="shared" ref="J38:O38" si="4">J26+J30+J34</f>
        <v>4</v>
      </c>
      <c r="K38" s="330">
        <f t="shared" si="4"/>
        <v>5</v>
      </c>
      <c r="L38" s="331">
        <f t="shared" si="4"/>
        <v>5</v>
      </c>
      <c r="M38" s="329">
        <f t="shared" si="4"/>
        <v>1</v>
      </c>
      <c r="N38" s="329">
        <f t="shared" si="4"/>
        <v>1</v>
      </c>
      <c r="O38" s="332">
        <f t="shared" si="4"/>
        <v>7</v>
      </c>
      <c r="P38" s="329">
        <f t="shared" si="2"/>
        <v>2</v>
      </c>
      <c r="Q38" s="329">
        <f t="shared" si="2"/>
        <v>2</v>
      </c>
      <c r="R38" s="329">
        <f t="shared" si="2"/>
        <v>2</v>
      </c>
      <c r="S38" s="332">
        <f t="shared" si="2"/>
        <v>6</v>
      </c>
      <c r="T38" s="329">
        <f t="shared" si="2"/>
        <v>1</v>
      </c>
      <c r="U38" s="329">
        <f t="shared" si="2"/>
        <v>0</v>
      </c>
      <c r="V38" s="329">
        <f t="shared" si="2"/>
        <v>3</v>
      </c>
      <c r="W38" s="332">
        <f t="shared" si="2"/>
        <v>4</v>
      </c>
      <c r="X38" s="333">
        <v>2</v>
      </c>
      <c r="Y38" s="334">
        <v>3</v>
      </c>
      <c r="Z38" s="334">
        <v>0</v>
      </c>
      <c r="AA38" s="334">
        <v>5</v>
      </c>
      <c r="AB38" s="333">
        <f t="shared" si="3"/>
        <v>3</v>
      </c>
      <c r="AC38" s="334">
        <f t="shared" si="3"/>
        <v>2</v>
      </c>
      <c r="AD38" s="334">
        <f t="shared" si="3"/>
        <v>1</v>
      </c>
      <c r="AE38" s="337">
        <f t="shared" si="3"/>
        <v>6</v>
      </c>
    </row>
    <row r="39" spans="2:31" ht="15" x14ac:dyDescent="0.2">
      <c r="B39" s="6372"/>
      <c r="C39" s="643" t="s">
        <v>28</v>
      </c>
      <c r="D39" s="329"/>
      <c r="E39" s="329"/>
      <c r="F39" s="329">
        <f>F27+F31+F35</f>
        <v>2</v>
      </c>
      <c r="G39" s="330">
        <f>G27+G31+G35</f>
        <v>2</v>
      </c>
      <c r="H39" s="331">
        <f>H27+H31+H35</f>
        <v>1</v>
      </c>
      <c r="I39" s="329"/>
      <c r="J39" s="329">
        <f>J27+J31+J35</f>
        <v>3</v>
      </c>
      <c r="K39" s="330">
        <f>K27+K31+K35</f>
        <v>4</v>
      </c>
      <c r="L39" s="331">
        <f>L27+L31+L35</f>
        <v>3</v>
      </c>
      <c r="M39" s="329"/>
      <c r="N39" s="329"/>
      <c r="O39" s="332">
        <f>O27+O31+O35</f>
        <v>3</v>
      </c>
      <c r="P39" s="329">
        <f t="shared" si="2"/>
        <v>0</v>
      </c>
      <c r="Q39" s="329">
        <f t="shared" si="2"/>
        <v>0</v>
      </c>
      <c r="R39" s="329">
        <f t="shared" si="2"/>
        <v>0</v>
      </c>
      <c r="S39" s="332">
        <f t="shared" si="2"/>
        <v>0</v>
      </c>
      <c r="T39" s="329">
        <f t="shared" si="2"/>
        <v>0</v>
      </c>
      <c r="U39" s="329">
        <f t="shared" si="2"/>
        <v>1</v>
      </c>
      <c r="V39" s="329">
        <f t="shared" si="2"/>
        <v>1</v>
      </c>
      <c r="W39" s="332">
        <f t="shared" si="2"/>
        <v>2</v>
      </c>
      <c r="X39" s="333">
        <v>0</v>
      </c>
      <c r="Y39" s="334">
        <v>1</v>
      </c>
      <c r="Z39" s="334">
        <v>1</v>
      </c>
      <c r="AA39" s="334">
        <v>2</v>
      </c>
      <c r="AB39" s="333">
        <f t="shared" si="3"/>
        <v>0</v>
      </c>
      <c r="AC39" s="334">
        <f t="shared" si="3"/>
        <v>1</v>
      </c>
      <c r="AD39" s="334">
        <f t="shared" si="3"/>
        <v>0</v>
      </c>
      <c r="AE39" s="337">
        <f t="shared" si="3"/>
        <v>1</v>
      </c>
    </row>
    <row r="40" spans="2:31" s="27" customFormat="1" ht="15" x14ac:dyDescent="0.2">
      <c r="B40" s="6373"/>
      <c r="C40" s="641" t="s">
        <v>12</v>
      </c>
      <c r="D40" s="676">
        <f>SUM(D37:D39)</f>
        <v>2</v>
      </c>
      <c r="E40" s="677">
        <f>SUM(E37:E39)</f>
        <v>1</v>
      </c>
      <c r="F40" s="677">
        <f>SUM(F37:F39)</f>
        <v>4</v>
      </c>
      <c r="G40" s="678">
        <f>SUM(G37:G39)</f>
        <v>7</v>
      </c>
      <c r="H40" s="676">
        <f t="shared" ref="H40:W40" si="5">SUM(H37:H39)</f>
        <v>2</v>
      </c>
      <c r="I40" s="677"/>
      <c r="J40" s="677">
        <f t="shared" si="5"/>
        <v>7</v>
      </c>
      <c r="K40" s="678">
        <f t="shared" si="5"/>
        <v>9</v>
      </c>
      <c r="L40" s="677">
        <f t="shared" si="5"/>
        <v>8</v>
      </c>
      <c r="M40" s="677">
        <f t="shared" si="5"/>
        <v>1</v>
      </c>
      <c r="N40" s="677">
        <f t="shared" si="5"/>
        <v>1</v>
      </c>
      <c r="O40" s="677">
        <f t="shared" si="5"/>
        <v>10</v>
      </c>
      <c r="P40" s="676">
        <f t="shared" si="5"/>
        <v>2</v>
      </c>
      <c r="Q40" s="677">
        <f t="shared" si="5"/>
        <v>2</v>
      </c>
      <c r="R40" s="677">
        <f t="shared" si="5"/>
        <v>2</v>
      </c>
      <c r="S40" s="678">
        <f t="shared" si="5"/>
        <v>6</v>
      </c>
      <c r="T40" s="677">
        <f t="shared" si="5"/>
        <v>1</v>
      </c>
      <c r="U40" s="677">
        <f t="shared" si="5"/>
        <v>1</v>
      </c>
      <c r="V40" s="677">
        <f t="shared" si="5"/>
        <v>4</v>
      </c>
      <c r="W40" s="677">
        <f t="shared" si="5"/>
        <v>6</v>
      </c>
      <c r="X40" s="589">
        <v>2</v>
      </c>
      <c r="Y40" s="590">
        <v>5</v>
      </c>
      <c r="Z40" s="590">
        <v>1</v>
      </c>
      <c r="AA40" s="591">
        <v>8</v>
      </c>
      <c r="AB40" s="590">
        <f>SUM(AB37:AB39)</f>
        <v>3</v>
      </c>
      <c r="AC40" s="590">
        <f>SUM(AC37:AC39)</f>
        <v>3</v>
      </c>
      <c r="AD40" s="590">
        <f>SUM(AD37:AD39)</f>
        <v>1</v>
      </c>
      <c r="AE40" s="591">
        <f>SUM(AE37:AE39)</f>
        <v>7</v>
      </c>
    </row>
    <row r="41" spans="2:31" x14ac:dyDescent="0.2">
      <c r="C41" s="1"/>
      <c r="D41" s="1"/>
      <c r="E41" s="1"/>
      <c r="F41" s="1"/>
      <c r="G41" s="1"/>
      <c r="K41" s="1"/>
      <c r="O41" s="1"/>
      <c r="S41" s="1"/>
      <c r="W41" s="1"/>
    </row>
    <row r="42" spans="2:31" ht="15" x14ac:dyDescent="0.2">
      <c r="B42" s="6366" t="s">
        <v>6</v>
      </c>
      <c r="C42" s="642" t="s">
        <v>26</v>
      </c>
      <c r="D42" s="661"/>
      <c r="E42" s="661"/>
      <c r="F42" s="661"/>
      <c r="G42" s="663"/>
      <c r="H42" s="660"/>
      <c r="I42" s="661"/>
      <c r="J42" s="661"/>
      <c r="K42" s="663"/>
      <c r="L42" s="660"/>
      <c r="M42" s="661"/>
      <c r="N42" s="661"/>
      <c r="O42" s="662"/>
      <c r="P42" s="661"/>
      <c r="Q42" s="661"/>
      <c r="R42" s="661">
        <v>1</v>
      </c>
      <c r="S42" s="662">
        <v>1</v>
      </c>
      <c r="T42" s="661">
        <v>0</v>
      </c>
      <c r="U42" s="661">
        <v>0</v>
      </c>
      <c r="V42" s="661">
        <v>0</v>
      </c>
      <c r="W42" s="662">
        <v>0</v>
      </c>
      <c r="X42" s="436">
        <v>0</v>
      </c>
      <c r="Y42" s="437">
        <v>0</v>
      </c>
      <c r="Z42" s="437">
        <v>0</v>
      </c>
      <c r="AA42" s="679">
        <v>0</v>
      </c>
      <c r="AB42" s="436"/>
      <c r="AC42" s="437"/>
      <c r="AD42" s="437"/>
      <c r="AE42" s="664">
        <f>SUM(AB42:AD42)</f>
        <v>0</v>
      </c>
    </row>
    <row r="43" spans="2:31" ht="15" x14ac:dyDescent="0.2">
      <c r="B43" s="6367"/>
      <c r="C43" s="643" t="s">
        <v>27</v>
      </c>
      <c r="D43" s="329"/>
      <c r="E43" s="329"/>
      <c r="F43" s="329"/>
      <c r="G43" s="330"/>
      <c r="H43" s="331">
        <v>1</v>
      </c>
      <c r="I43" s="329"/>
      <c r="J43" s="329">
        <v>1</v>
      </c>
      <c r="K43" s="330">
        <v>2</v>
      </c>
      <c r="L43" s="331">
        <v>1</v>
      </c>
      <c r="M43" s="329"/>
      <c r="N43" s="329"/>
      <c r="O43" s="332">
        <v>1</v>
      </c>
      <c r="P43" s="329">
        <v>2</v>
      </c>
      <c r="Q43" s="329">
        <v>2</v>
      </c>
      <c r="R43" s="329">
        <v>0</v>
      </c>
      <c r="S43" s="332">
        <v>4</v>
      </c>
      <c r="T43" s="329">
        <v>1</v>
      </c>
      <c r="U43" s="329">
        <v>0</v>
      </c>
      <c r="V43" s="329">
        <v>0</v>
      </c>
      <c r="W43" s="332">
        <v>1</v>
      </c>
      <c r="X43" s="333">
        <v>1</v>
      </c>
      <c r="Y43" s="334">
        <v>0</v>
      </c>
      <c r="Z43" s="334">
        <v>1</v>
      </c>
      <c r="AA43" s="335">
        <v>2</v>
      </c>
      <c r="AB43" s="333">
        <v>1</v>
      </c>
      <c r="AC43" s="334"/>
      <c r="AD43" s="334"/>
      <c r="AE43" s="336">
        <f>SUM(AB43:AD43)</f>
        <v>1</v>
      </c>
    </row>
    <row r="44" spans="2:31" ht="15" x14ac:dyDescent="0.2">
      <c r="B44" s="6367"/>
      <c r="C44" s="643" t="s">
        <v>28</v>
      </c>
      <c r="D44" s="329"/>
      <c r="E44" s="329"/>
      <c r="F44" s="329"/>
      <c r="G44" s="330"/>
      <c r="H44" s="331"/>
      <c r="I44" s="329"/>
      <c r="J44" s="329"/>
      <c r="K44" s="330"/>
      <c r="L44" s="331"/>
      <c r="M44" s="329">
        <v>1</v>
      </c>
      <c r="N44" s="329"/>
      <c r="O44" s="332">
        <v>1</v>
      </c>
      <c r="P44" s="329">
        <v>0</v>
      </c>
      <c r="Q44" s="329">
        <v>0</v>
      </c>
      <c r="R44" s="329">
        <v>0</v>
      </c>
      <c r="S44" s="332">
        <v>0</v>
      </c>
      <c r="T44" s="329">
        <v>0</v>
      </c>
      <c r="U44" s="329">
        <v>0</v>
      </c>
      <c r="V44" s="329">
        <v>0</v>
      </c>
      <c r="W44" s="332">
        <v>0</v>
      </c>
      <c r="X44" s="333">
        <v>1</v>
      </c>
      <c r="Y44" s="334">
        <v>0</v>
      </c>
      <c r="Z44" s="334">
        <v>0</v>
      </c>
      <c r="AA44" s="335">
        <v>1</v>
      </c>
      <c r="AB44" s="333"/>
      <c r="AC44" s="334"/>
      <c r="AD44" s="334"/>
      <c r="AE44" s="336">
        <f>SUM(AB44:AD44)</f>
        <v>0</v>
      </c>
    </row>
    <row r="45" spans="2:31" s="27" customFormat="1" ht="15" x14ac:dyDescent="0.2">
      <c r="B45" s="6368"/>
      <c r="C45" s="669" t="s">
        <v>14</v>
      </c>
      <c r="D45" s="670"/>
      <c r="E45" s="671"/>
      <c r="F45" s="671"/>
      <c r="G45" s="672"/>
      <c r="H45" s="670">
        <v>1</v>
      </c>
      <c r="I45" s="671"/>
      <c r="J45" s="671">
        <v>1</v>
      </c>
      <c r="K45" s="672">
        <v>2</v>
      </c>
      <c r="L45" s="671">
        <v>1</v>
      </c>
      <c r="M45" s="671">
        <v>1</v>
      </c>
      <c r="N45" s="671"/>
      <c r="O45" s="671">
        <v>2</v>
      </c>
      <c r="P45" s="670">
        <v>2</v>
      </c>
      <c r="Q45" s="671">
        <v>2</v>
      </c>
      <c r="R45" s="671">
        <v>1</v>
      </c>
      <c r="S45" s="672">
        <v>5</v>
      </c>
      <c r="T45" s="671">
        <v>1</v>
      </c>
      <c r="U45" s="671">
        <v>0</v>
      </c>
      <c r="V45" s="671">
        <v>0</v>
      </c>
      <c r="W45" s="671">
        <v>1</v>
      </c>
      <c r="X45" s="673">
        <v>2</v>
      </c>
      <c r="Y45" s="674">
        <v>0</v>
      </c>
      <c r="Z45" s="674">
        <v>1</v>
      </c>
      <c r="AA45" s="675">
        <v>3</v>
      </c>
      <c r="AB45" s="673">
        <f>SUM(AB42:AB44)</f>
        <v>1</v>
      </c>
      <c r="AC45" s="674">
        <f>SUM(AC42:AC44)</f>
        <v>0</v>
      </c>
      <c r="AD45" s="674">
        <f>SUM(AD42:AD44)</f>
        <v>0</v>
      </c>
      <c r="AE45" s="675">
        <f>SUM(AE42:AE44)</f>
        <v>1</v>
      </c>
    </row>
    <row r="46" spans="2:31" ht="15" x14ac:dyDescent="0.2">
      <c r="B46" s="6366" t="s">
        <v>11</v>
      </c>
      <c r="C46" s="643" t="s">
        <v>26</v>
      </c>
      <c r="D46" s="329"/>
      <c r="E46" s="329"/>
      <c r="F46" s="329"/>
      <c r="G46" s="330"/>
      <c r="H46" s="331"/>
      <c r="I46" s="329"/>
      <c r="J46" s="329"/>
      <c r="K46" s="330"/>
      <c r="L46" s="331"/>
      <c r="M46" s="329"/>
      <c r="N46" s="329"/>
      <c r="O46" s="332"/>
      <c r="P46" s="329">
        <v>0</v>
      </c>
      <c r="Q46" s="329">
        <v>1</v>
      </c>
      <c r="R46" s="329">
        <v>0</v>
      </c>
      <c r="S46" s="332">
        <v>1</v>
      </c>
      <c r="T46" s="329">
        <v>0</v>
      </c>
      <c r="U46" s="329">
        <v>0</v>
      </c>
      <c r="V46" s="329">
        <v>0</v>
      </c>
      <c r="W46" s="332">
        <v>0</v>
      </c>
      <c r="X46" s="333">
        <v>0</v>
      </c>
      <c r="Y46" s="334">
        <v>0</v>
      </c>
      <c r="Z46" s="334">
        <v>0</v>
      </c>
      <c r="AA46" s="335">
        <v>0</v>
      </c>
      <c r="AB46" s="333"/>
      <c r="AC46" s="334">
        <v>1</v>
      </c>
      <c r="AD46" s="334"/>
      <c r="AE46" s="336">
        <f>SUM(AB46:AD46)</f>
        <v>1</v>
      </c>
    </row>
    <row r="47" spans="2:31" ht="15" x14ac:dyDescent="0.2">
      <c r="B47" s="6367"/>
      <c r="C47" s="643" t="s">
        <v>27</v>
      </c>
      <c r="D47" s="329"/>
      <c r="E47" s="329">
        <v>1</v>
      </c>
      <c r="F47" s="329"/>
      <c r="G47" s="330">
        <v>1</v>
      </c>
      <c r="H47" s="331"/>
      <c r="I47" s="329"/>
      <c r="J47" s="329"/>
      <c r="K47" s="330"/>
      <c r="L47" s="331"/>
      <c r="M47" s="329"/>
      <c r="N47" s="329"/>
      <c r="O47" s="332"/>
      <c r="P47" s="329">
        <v>0</v>
      </c>
      <c r="Q47" s="329">
        <v>0</v>
      </c>
      <c r="R47" s="329">
        <v>0</v>
      </c>
      <c r="S47" s="332">
        <v>0</v>
      </c>
      <c r="T47" s="329">
        <v>3</v>
      </c>
      <c r="U47" s="329">
        <v>0</v>
      </c>
      <c r="V47" s="329">
        <v>1</v>
      </c>
      <c r="W47" s="332">
        <v>4</v>
      </c>
      <c r="X47" s="333">
        <v>1</v>
      </c>
      <c r="Y47" s="334">
        <v>0</v>
      </c>
      <c r="Z47" s="334">
        <v>0</v>
      </c>
      <c r="AA47" s="335">
        <v>1</v>
      </c>
      <c r="AB47" s="333"/>
      <c r="AC47" s="334"/>
      <c r="AD47" s="334"/>
      <c r="AE47" s="336">
        <f>SUM(AB47:AD47)</f>
        <v>0</v>
      </c>
    </row>
    <row r="48" spans="2:31" ht="15" x14ac:dyDescent="0.2">
      <c r="B48" s="6367"/>
      <c r="C48" s="643" t="s">
        <v>28</v>
      </c>
      <c r="D48" s="329"/>
      <c r="E48" s="329"/>
      <c r="F48" s="329"/>
      <c r="G48" s="330"/>
      <c r="H48" s="331"/>
      <c r="I48" s="329"/>
      <c r="J48" s="329"/>
      <c r="K48" s="330"/>
      <c r="L48" s="331"/>
      <c r="M48" s="329"/>
      <c r="N48" s="329"/>
      <c r="O48" s="332"/>
      <c r="P48" s="329">
        <v>0</v>
      </c>
      <c r="Q48" s="329">
        <v>0</v>
      </c>
      <c r="R48" s="329">
        <v>0</v>
      </c>
      <c r="S48" s="332">
        <v>0</v>
      </c>
      <c r="T48" s="329">
        <v>0</v>
      </c>
      <c r="U48" s="329">
        <v>0</v>
      </c>
      <c r="V48" s="329">
        <v>1</v>
      </c>
      <c r="W48" s="332">
        <v>1</v>
      </c>
      <c r="X48" s="333">
        <v>0</v>
      </c>
      <c r="Y48" s="334">
        <v>1</v>
      </c>
      <c r="Z48" s="334">
        <v>0</v>
      </c>
      <c r="AA48" s="335">
        <v>1</v>
      </c>
      <c r="AB48" s="333"/>
      <c r="AC48" s="334"/>
      <c r="AD48" s="334"/>
      <c r="AE48" s="336">
        <f>SUM(AB48:AD48)</f>
        <v>0</v>
      </c>
    </row>
    <row r="49" spans="2:31" s="27" customFormat="1" ht="15" x14ac:dyDescent="0.2">
      <c r="B49" s="6368"/>
      <c r="C49" s="669" t="s">
        <v>30</v>
      </c>
      <c r="D49" s="670"/>
      <c r="E49" s="671">
        <v>1</v>
      </c>
      <c r="F49" s="671"/>
      <c r="G49" s="672">
        <v>1</v>
      </c>
      <c r="H49" s="670"/>
      <c r="I49" s="671"/>
      <c r="J49" s="671"/>
      <c r="K49" s="672"/>
      <c r="L49" s="671"/>
      <c r="M49" s="671"/>
      <c r="N49" s="671"/>
      <c r="O49" s="671"/>
      <c r="P49" s="670">
        <v>0</v>
      </c>
      <c r="Q49" s="671">
        <v>1</v>
      </c>
      <c r="R49" s="671">
        <v>0</v>
      </c>
      <c r="S49" s="672">
        <v>1</v>
      </c>
      <c r="T49" s="671">
        <v>3</v>
      </c>
      <c r="U49" s="671">
        <v>0</v>
      </c>
      <c r="V49" s="671">
        <v>2</v>
      </c>
      <c r="W49" s="671">
        <v>5</v>
      </c>
      <c r="X49" s="673">
        <v>1</v>
      </c>
      <c r="Y49" s="674">
        <v>1</v>
      </c>
      <c r="Z49" s="674">
        <v>0</v>
      </c>
      <c r="AA49" s="675">
        <v>2</v>
      </c>
      <c r="AB49" s="673">
        <f>SUM(AB46:AB48)</f>
        <v>0</v>
      </c>
      <c r="AC49" s="674">
        <f>SUM(AC46:AC48)</f>
        <v>1</v>
      </c>
      <c r="AD49" s="674">
        <f>SUM(AD46:AD48)</f>
        <v>0</v>
      </c>
      <c r="AE49" s="675">
        <f>SUM(AE46:AE48)</f>
        <v>1</v>
      </c>
    </row>
    <row r="50" spans="2:31" ht="15" x14ac:dyDescent="0.2">
      <c r="B50" s="6366" t="s">
        <v>7</v>
      </c>
      <c r="C50" s="643" t="s">
        <v>26</v>
      </c>
      <c r="D50" s="329"/>
      <c r="E50" s="329"/>
      <c r="F50" s="329"/>
      <c r="G50" s="330"/>
      <c r="H50" s="331"/>
      <c r="I50" s="329"/>
      <c r="J50" s="329"/>
      <c r="K50" s="330"/>
      <c r="L50" s="331"/>
      <c r="M50" s="329"/>
      <c r="N50" s="329"/>
      <c r="O50" s="332"/>
      <c r="P50" s="329"/>
      <c r="Q50" s="329"/>
      <c r="R50" s="329"/>
      <c r="S50" s="332"/>
      <c r="T50" s="329"/>
      <c r="U50" s="329"/>
      <c r="V50" s="329"/>
      <c r="W50" s="332"/>
      <c r="X50" s="333"/>
      <c r="Y50" s="334"/>
      <c r="Z50" s="334"/>
      <c r="AA50" s="335"/>
      <c r="AB50" s="333"/>
      <c r="AC50" s="334"/>
      <c r="AD50" s="334"/>
      <c r="AE50" s="336">
        <f>SUM(AB50:AD50)</f>
        <v>0</v>
      </c>
    </row>
    <row r="51" spans="2:31" ht="15" x14ac:dyDescent="0.2">
      <c r="B51" s="6367"/>
      <c r="C51" s="643" t="s">
        <v>27</v>
      </c>
      <c r="D51" s="329">
        <v>1</v>
      </c>
      <c r="E51" s="329"/>
      <c r="F51" s="329"/>
      <c r="G51" s="330">
        <v>1</v>
      </c>
      <c r="H51" s="331">
        <v>1</v>
      </c>
      <c r="I51" s="329"/>
      <c r="J51" s="329">
        <v>1</v>
      </c>
      <c r="K51" s="330">
        <v>2</v>
      </c>
      <c r="L51" s="331"/>
      <c r="M51" s="329"/>
      <c r="N51" s="329"/>
      <c r="O51" s="332"/>
      <c r="P51" s="329">
        <v>0</v>
      </c>
      <c r="Q51" s="329">
        <v>0</v>
      </c>
      <c r="R51" s="329">
        <v>0</v>
      </c>
      <c r="S51" s="332">
        <v>0</v>
      </c>
      <c r="T51" s="329">
        <v>0</v>
      </c>
      <c r="U51" s="329">
        <v>0</v>
      </c>
      <c r="V51" s="329">
        <v>0</v>
      </c>
      <c r="W51" s="332">
        <v>0</v>
      </c>
      <c r="X51" s="333">
        <v>0</v>
      </c>
      <c r="Y51" s="334">
        <v>0</v>
      </c>
      <c r="Z51" s="334">
        <v>0</v>
      </c>
      <c r="AA51" s="335">
        <v>0</v>
      </c>
      <c r="AB51" s="333"/>
      <c r="AC51" s="334"/>
      <c r="AD51" s="334">
        <v>1</v>
      </c>
      <c r="AE51" s="336">
        <f>SUM(AB51:AD51)</f>
        <v>1</v>
      </c>
    </row>
    <row r="52" spans="2:31" ht="15" x14ac:dyDescent="0.2">
      <c r="B52" s="6367"/>
      <c r="C52" s="643" t="s">
        <v>28</v>
      </c>
      <c r="D52" s="329"/>
      <c r="E52" s="329"/>
      <c r="F52" s="329"/>
      <c r="G52" s="330"/>
      <c r="H52" s="331"/>
      <c r="I52" s="329"/>
      <c r="J52" s="329"/>
      <c r="K52" s="330"/>
      <c r="L52" s="331"/>
      <c r="M52" s="329"/>
      <c r="N52" s="329"/>
      <c r="O52" s="332"/>
      <c r="P52" s="329">
        <v>0</v>
      </c>
      <c r="Q52" s="329">
        <v>0</v>
      </c>
      <c r="R52" s="329">
        <v>0</v>
      </c>
      <c r="S52" s="332">
        <v>0</v>
      </c>
      <c r="T52" s="329">
        <v>0</v>
      </c>
      <c r="U52" s="329">
        <v>0</v>
      </c>
      <c r="V52" s="329">
        <v>0</v>
      </c>
      <c r="W52" s="332">
        <v>0</v>
      </c>
      <c r="X52" s="333">
        <v>0</v>
      </c>
      <c r="Y52" s="334">
        <v>0</v>
      </c>
      <c r="Z52" s="334">
        <v>0</v>
      </c>
      <c r="AA52" s="335">
        <v>0</v>
      </c>
      <c r="AB52" s="333"/>
      <c r="AC52" s="334"/>
      <c r="AD52" s="334"/>
      <c r="AE52" s="336">
        <f>SUM(AB52:AD52)</f>
        <v>0</v>
      </c>
    </row>
    <row r="53" spans="2:31" s="27" customFormat="1" ht="15" x14ac:dyDescent="0.2">
      <c r="B53" s="6368"/>
      <c r="C53" s="669" t="s">
        <v>15</v>
      </c>
      <c r="D53" s="670">
        <v>1</v>
      </c>
      <c r="E53" s="671"/>
      <c r="F53" s="671"/>
      <c r="G53" s="672">
        <v>1</v>
      </c>
      <c r="H53" s="670">
        <v>1</v>
      </c>
      <c r="I53" s="671"/>
      <c r="J53" s="671">
        <v>1</v>
      </c>
      <c r="K53" s="672">
        <v>2</v>
      </c>
      <c r="L53" s="671"/>
      <c r="M53" s="671"/>
      <c r="N53" s="671"/>
      <c r="O53" s="671"/>
      <c r="P53" s="670">
        <v>0</v>
      </c>
      <c r="Q53" s="671">
        <v>0</v>
      </c>
      <c r="R53" s="671">
        <v>0</v>
      </c>
      <c r="S53" s="672">
        <v>0</v>
      </c>
      <c r="T53" s="671">
        <v>0</v>
      </c>
      <c r="U53" s="671">
        <v>0</v>
      </c>
      <c r="V53" s="671">
        <v>0</v>
      </c>
      <c r="W53" s="671">
        <v>0</v>
      </c>
      <c r="X53" s="673">
        <v>0</v>
      </c>
      <c r="Y53" s="674">
        <v>0</v>
      </c>
      <c r="Z53" s="674">
        <v>0</v>
      </c>
      <c r="AA53" s="675">
        <v>0</v>
      </c>
      <c r="AB53" s="673">
        <f>SUM(AB50:AB52)</f>
        <v>0</v>
      </c>
      <c r="AC53" s="674">
        <f>SUM(AC50:AC52)</f>
        <v>0</v>
      </c>
      <c r="AD53" s="674">
        <f>SUM(AD50:AD52)</f>
        <v>1</v>
      </c>
      <c r="AE53" s="675">
        <f>SUM(AE50:AE52)</f>
        <v>1</v>
      </c>
    </row>
    <row r="54" spans="2:31" ht="15" x14ac:dyDescent="0.2">
      <c r="B54" s="6371" t="s">
        <v>16</v>
      </c>
      <c r="C54" s="643" t="s">
        <v>26</v>
      </c>
      <c r="D54" s="329"/>
      <c r="E54" s="329"/>
      <c r="F54" s="329"/>
      <c r="G54" s="330">
        <f>G42+G46+G50</f>
        <v>0</v>
      </c>
      <c r="H54" s="331"/>
      <c r="I54" s="329"/>
      <c r="J54" s="329"/>
      <c r="K54" s="330"/>
      <c r="L54" s="331"/>
      <c r="M54" s="329"/>
      <c r="N54" s="329"/>
      <c r="O54" s="332"/>
      <c r="P54" s="329">
        <f t="shared" ref="P54:W56" si="6">P42+P46+P50</f>
        <v>0</v>
      </c>
      <c r="Q54" s="329">
        <f t="shared" si="6"/>
        <v>1</v>
      </c>
      <c r="R54" s="329">
        <f t="shared" si="6"/>
        <v>1</v>
      </c>
      <c r="S54" s="332">
        <f t="shared" si="6"/>
        <v>2</v>
      </c>
      <c r="T54" s="329">
        <f t="shared" si="6"/>
        <v>0</v>
      </c>
      <c r="U54" s="329">
        <f t="shared" si="6"/>
        <v>0</v>
      </c>
      <c r="V54" s="329">
        <f t="shared" si="6"/>
        <v>0</v>
      </c>
      <c r="W54" s="332">
        <f t="shared" si="6"/>
        <v>0</v>
      </c>
      <c r="X54" s="333">
        <v>0</v>
      </c>
      <c r="Y54" s="334">
        <v>0</v>
      </c>
      <c r="Z54" s="334">
        <v>0</v>
      </c>
      <c r="AA54" s="334">
        <v>0</v>
      </c>
      <c r="AB54" s="333"/>
      <c r="AC54" s="334">
        <v>1</v>
      </c>
      <c r="AD54" s="334"/>
      <c r="AE54" s="337">
        <f>SUM(AB54:AD54)</f>
        <v>1</v>
      </c>
    </row>
    <row r="55" spans="2:31" ht="15" x14ac:dyDescent="0.2">
      <c r="B55" s="6372"/>
      <c r="C55" s="643" t="s">
        <v>27</v>
      </c>
      <c r="D55" s="329">
        <f>D43+D47+D51</f>
        <v>1</v>
      </c>
      <c r="E55" s="329">
        <f>E43+E47+E51</f>
        <v>1</v>
      </c>
      <c r="F55" s="329"/>
      <c r="G55" s="330">
        <f>G43+G47+G51</f>
        <v>2</v>
      </c>
      <c r="H55" s="331">
        <f>H43+H47+H51</f>
        <v>2</v>
      </c>
      <c r="I55" s="329"/>
      <c r="J55" s="329">
        <f>J43+J47+J51</f>
        <v>2</v>
      </c>
      <c r="K55" s="330">
        <f>K43+K47+K51</f>
        <v>4</v>
      </c>
      <c r="L55" s="331">
        <f>L43+L47+L51</f>
        <v>1</v>
      </c>
      <c r="M55" s="329"/>
      <c r="N55" s="329"/>
      <c r="O55" s="332">
        <f>O43+O47+O51</f>
        <v>1</v>
      </c>
      <c r="P55" s="329">
        <f t="shared" si="6"/>
        <v>2</v>
      </c>
      <c r="Q55" s="329">
        <f t="shared" si="6"/>
        <v>2</v>
      </c>
      <c r="R55" s="329">
        <f t="shared" si="6"/>
        <v>0</v>
      </c>
      <c r="S55" s="332">
        <f t="shared" si="6"/>
        <v>4</v>
      </c>
      <c r="T55" s="329">
        <f t="shared" si="6"/>
        <v>4</v>
      </c>
      <c r="U55" s="329">
        <f t="shared" si="6"/>
        <v>0</v>
      </c>
      <c r="V55" s="329">
        <f t="shared" si="6"/>
        <v>1</v>
      </c>
      <c r="W55" s="332">
        <f t="shared" si="6"/>
        <v>5</v>
      </c>
      <c r="X55" s="333">
        <v>2</v>
      </c>
      <c r="Y55" s="334">
        <v>0</v>
      </c>
      <c r="Z55" s="334">
        <v>1</v>
      </c>
      <c r="AA55" s="334">
        <v>3</v>
      </c>
      <c r="AB55" s="333">
        <v>1</v>
      </c>
      <c r="AC55" s="334"/>
      <c r="AD55" s="334">
        <v>1</v>
      </c>
      <c r="AE55" s="337">
        <f>SUM(AB55:AD55)</f>
        <v>2</v>
      </c>
    </row>
    <row r="56" spans="2:31" ht="15" x14ac:dyDescent="0.2">
      <c r="B56" s="6372"/>
      <c r="C56" s="643" t="s">
        <v>28</v>
      </c>
      <c r="D56" s="329"/>
      <c r="E56" s="329"/>
      <c r="F56" s="329"/>
      <c r="G56" s="330"/>
      <c r="H56" s="331"/>
      <c r="I56" s="329"/>
      <c r="J56" s="329"/>
      <c r="K56" s="330"/>
      <c r="L56" s="331"/>
      <c r="M56" s="329">
        <f>M44+M48+M52</f>
        <v>1</v>
      </c>
      <c r="N56" s="329"/>
      <c r="O56" s="332">
        <f>O44+O48+O52</f>
        <v>1</v>
      </c>
      <c r="P56" s="329">
        <f t="shared" si="6"/>
        <v>0</v>
      </c>
      <c r="Q56" s="329">
        <f t="shared" si="6"/>
        <v>0</v>
      </c>
      <c r="R56" s="329">
        <f t="shared" si="6"/>
        <v>0</v>
      </c>
      <c r="S56" s="332">
        <f t="shared" si="6"/>
        <v>0</v>
      </c>
      <c r="T56" s="329">
        <f t="shared" si="6"/>
        <v>0</v>
      </c>
      <c r="U56" s="329">
        <f t="shared" si="6"/>
        <v>0</v>
      </c>
      <c r="V56" s="329">
        <f t="shared" si="6"/>
        <v>1</v>
      </c>
      <c r="W56" s="332">
        <f t="shared" si="6"/>
        <v>1</v>
      </c>
      <c r="X56" s="333">
        <v>1</v>
      </c>
      <c r="Y56" s="334">
        <v>1</v>
      </c>
      <c r="Z56" s="334">
        <v>0</v>
      </c>
      <c r="AA56" s="334">
        <v>2</v>
      </c>
      <c r="AB56" s="333"/>
      <c r="AC56" s="334"/>
      <c r="AD56" s="334"/>
      <c r="AE56" s="337">
        <f>SUM(AB56:AD56)</f>
        <v>0</v>
      </c>
    </row>
    <row r="57" spans="2:31" s="27" customFormat="1" ht="15" x14ac:dyDescent="0.2">
      <c r="B57" s="6373"/>
      <c r="C57" s="641" t="s">
        <v>12</v>
      </c>
      <c r="D57" s="676">
        <f>SUM(D54:D56)</f>
        <v>1</v>
      </c>
      <c r="E57" s="677">
        <f>SUM(E54:E56)</f>
        <v>1</v>
      </c>
      <c r="F57" s="677"/>
      <c r="G57" s="678">
        <f>SUM(G54:G56)</f>
        <v>2</v>
      </c>
      <c r="H57" s="676">
        <f t="shared" ref="H57:W57" si="7">SUM(H54:H56)</f>
        <v>2</v>
      </c>
      <c r="I57" s="677"/>
      <c r="J57" s="677">
        <f t="shared" si="7"/>
        <v>2</v>
      </c>
      <c r="K57" s="678">
        <f t="shared" si="7"/>
        <v>4</v>
      </c>
      <c r="L57" s="677">
        <f t="shared" si="7"/>
        <v>1</v>
      </c>
      <c r="M57" s="677">
        <f t="shared" si="7"/>
        <v>1</v>
      </c>
      <c r="N57" s="677"/>
      <c r="O57" s="677">
        <f t="shared" si="7"/>
        <v>2</v>
      </c>
      <c r="P57" s="676">
        <f t="shared" si="7"/>
        <v>2</v>
      </c>
      <c r="Q57" s="677">
        <f t="shared" si="7"/>
        <v>3</v>
      </c>
      <c r="R57" s="677">
        <f t="shared" si="7"/>
        <v>1</v>
      </c>
      <c r="S57" s="678">
        <f t="shared" si="7"/>
        <v>6</v>
      </c>
      <c r="T57" s="677">
        <f t="shared" si="7"/>
        <v>4</v>
      </c>
      <c r="U57" s="677">
        <f t="shared" si="7"/>
        <v>0</v>
      </c>
      <c r="V57" s="677">
        <f t="shared" si="7"/>
        <v>2</v>
      </c>
      <c r="W57" s="677">
        <f t="shared" si="7"/>
        <v>6</v>
      </c>
      <c r="X57" s="589">
        <v>3</v>
      </c>
      <c r="Y57" s="590">
        <v>1</v>
      </c>
      <c r="Z57" s="590">
        <v>1</v>
      </c>
      <c r="AA57" s="591">
        <v>5</v>
      </c>
      <c r="AB57" s="590">
        <f>SUM(AB54:AB56)</f>
        <v>1</v>
      </c>
      <c r="AC57" s="590">
        <f>SUM(AC54:AC56)</f>
        <v>1</v>
      </c>
      <c r="AD57" s="590">
        <f>SUM(AD54:AD56)</f>
        <v>1</v>
      </c>
      <c r="AE57" s="591">
        <f>SUM(AE54:AE56)</f>
        <v>3</v>
      </c>
    </row>
    <row r="58" spans="2:31" x14ac:dyDescent="0.2">
      <c r="C58" s="1"/>
      <c r="D58" s="1"/>
      <c r="E58" s="1"/>
      <c r="F58" s="1"/>
      <c r="G58" s="1"/>
      <c r="K58" s="1"/>
      <c r="O58" s="1"/>
      <c r="S58" s="1"/>
      <c r="W58" s="1"/>
    </row>
    <row r="59" spans="2:31" ht="15" x14ac:dyDescent="0.2">
      <c r="B59" s="6371" t="s">
        <v>60</v>
      </c>
      <c r="C59" s="642" t="s">
        <v>26</v>
      </c>
      <c r="D59" s="661">
        <f>D20+D37+D54</f>
        <v>1</v>
      </c>
      <c r="E59" s="661"/>
      <c r="F59" s="661">
        <f t="shared" ref="F59:G61" si="8">F20+F37+F54</f>
        <v>1</v>
      </c>
      <c r="G59" s="663">
        <f t="shared" si="8"/>
        <v>2</v>
      </c>
      <c r="H59" s="660"/>
      <c r="I59" s="661"/>
      <c r="J59" s="661"/>
      <c r="K59" s="663"/>
      <c r="L59" s="660">
        <f t="shared" ref="L59:M61" si="9">L20+L37+L54</f>
        <v>2</v>
      </c>
      <c r="M59" s="661">
        <f t="shared" si="9"/>
        <v>1</v>
      </c>
      <c r="N59" s="661"/>
      <c r="O59" s="662">
        <f t="shared" ref="O59:W59" si="10">O20+O37+O54</f>
        <v>3</v>
      </c>
      <c r="P59" s="661">
        <f t="shared" si="10"/>
        <v>0</v>
      </c>
      <c r="Q59" s="661">
        <f t="shared" si="10"/>
        <v>2</v>
      </c>
      <c r="R59" s="661">
        <f t="shared" si="10"/>
        <v>2</v>
      </c>
      <c r="S59" s="662">
        <f t="shared" si="10"/>
        <v>4</v>
      </c>
      <c r="T59" s="661">
        <f t="shared" si="10"/>
        <v>0</v>
      </c>
      <c r="U59" s="661">
        <f t="shared" si="10"/>
        <v>1</v>
      </c>
      <c r="V59" s="661">
        <f t="shared" si="10"/>
        <v>0</v>
      </c>
      <c r="W59" s="662">
        <f t="shared" si="10"/>
        <v>1</v>
      </c>
      <c r="X59" s="436">
        <v>1</v>
      </c>
      <c r="Y59" s="437">
        <v>1</v>
      </c>
      <c r="Z59" s="437">
        <v>1</v>
      </c>
      <c r="AA59" s="437">
        <v>3</v>
      </c>
      <c r="AB59" s="436">
        <f t="shared" ref="AB59:AE62" si="11">SUM(AB20,AB37,AB54)</f>
        <v>0</v>
      </c>
      <c r="AC59" s="437">
        <f t="shared" si="11"/>
        <v>1</v>
      </c>
      <c r="AD59" s="437">
        <f t="shared" si="11"/>
        <v>0</v>
      </c>
      <c r="AE59" s="438">
        <f t="shared" si="11"/>
        <v>1</v>
      </c>
    </row>
    <row r="60" spans="2:31" ht="15" x14ac:dyDescent="0.2">
      <c r="B60" s="6372"/>
      <c r="C60" s="643" t="s">
        <v>27</v>
      </c>
      <c r="D60" s="329">
        <f>D21+D38+D55</f>
        <v>4</v>
      </c>
      <c r="E60" s="329">
        <f>E21+E38+E55</f>
        <v>2</v>
      </c>
      <c r="F60" s="329">
        <f t="shared" si="8"/>
        <v>2</v>
      </c>
      <c r="G60" s="330">
        <f t="shared" si="8"/>
        <v>8</v>
      </c>
      <c r="H60" s="331">
        <f>H21+H38+H55</f>
        <v>4</v>
      </c>
      <c r="I60" s="329">
        <f>I21+I38+I55</f>
        <v>1</v>
      </c>
      <c r="J60" s="329">
        <f>J21+J38+J55</f>
        <v>7</v>
      </c>
      <c r="K60" s="330">
        <f>K21+K38+K55</f>
        <v>12</v>
      </c>
      <c r="L60" s="331">
        <f t="shared" si="9"/>
        <v>8</v>
      </c>
      <c r="M60" s="329">
        <f t="shared" si="9"/>
        <v>1</v>
      </c>
      <c r="N60" s="329">
        <f>N21+N38+N55</f>
        <v>1</v>
      </c>
      <c r="O60" s="332">
        <f t="shared" ref="O60:W60" si="12">O21+O38+O55</f>
        <v>10</v>
      </c>
      <c r="P60" s="329">
        <f t="shared" si="12"/>
        <v>6</v>
      </c>
      <c r="Q60" s="329">
        <f t="shared" si="12"/>
        <v>6</v>
      </c>
      <c r="R60" s="329">
        <f t="shared" si="12"/>
        <v>2</v>
      </c>
      <c r="S60" s="332">
        <f t="shared" si="12"/>
        <v>14</v>
      </c>
      <c r="T60" s="329">
        <f t="shared" si="12"/>
        <v>6</v>
      </c>
      <c r="U60" s="329">
        <f t="shared" si="12"/>
        <v>2</v>
      </c>
      <c r="V60" s="329">
        <f t="shared" si="12"/>
        <v>5</v>
      </c>
      <c r="W60" s="332">
        <f t="shared" si="12"/>
        <v>13</v>
      </c>
      <c r="X60" s="333">
        <v>4</v>
      </c>
      <c r="Y60" s="334">
        <v>3</v>
      </c>
      <c r="Z60" s="334">
        <v>4</v>
      </c>
      <c r="AA60" s="334">
        <v>11</v>
      </c>
      <c r="AB60" s="333">
        <f t="shared" si="11"/>
        <v>7</v>
      </c>
      <c r="AC60" s="334">
        <f t="shared" si="11"/>
        <v>2</v>
      </c>
      <c r="AD60" s="334">
        <f t="shared" si="11"/>
        <v>4</v>
      </c>
      <c r="AE60" s="337">
        <f t="shared" si="11"/>
        <v>13</v>
      </c>
    </row>
    <row r="61" spans="2:31" ht="15" x14ac:dyDescent="0.2">
      <c r="B61" s="6372"/>
      <c r="C61" s="643" t="s">
        <v>28</v>
      </c>
      <c r="D61" s="329"/>
      <c r="E61" s="329"/>
      <c r="F61" s="329">
        <f t="shared" si="8"/>
        <v>2</v>
      </c>
      <c r="G61" s="330">
        <f t="shared" si="8"/>
        <v>2</v>
      </c>
      <c r="H61" s="331">
        <f>H22+H39+H56</f>
        <v>1</v>
      </c>
      <c r="I61" s="329"/>
      <c r="J61" s="329">
        <f>J22+J39+J56</f>
        <v>4</v>
      </c>
      <c r="K61" s="330">
        <f>K22+K39+K56</f>
        <v>5</v>
      </c>
      <c r="L61" s="331">
        <f t="shared" si="9"/>
        <v>3</v>
      </c>
      <c r="M61" s="329">
        <f t="shared" si="9"/>
        <v>1</v>
      </c>
      <c r="N61" s="329"/>
      <c r="O61" s="332">
        <f t="shared" ref="O61:W61" si="13">O22+O39+O56</f>
        <v>4</v>
      </c>
      <c r="P61" s="329">
        <f t="shared" si="13"/>
        <v>0</v>
      </c>
      <c r="Q61" s="329">
        <f t="shared" si="13"/>
        <v>1</v>
      </c>
      <c r="R61" s="329">
        <f t="shared" si="13"/>
        <v>0</v>
      </c>
      <c r="S61" s="332">
        <f t="shared" si="13"/>
        <v>1</v>
      </c>
      <c r="T61" s="329">
        <f t="shared" si="13"/>
        <v>0</v>
      </c>
      <c r="U61" s="329">
        <f t="shared" si="13"/>
        <v>1</v>
      </c>
      <c r="V61" s="329">
        <f t="shared" si="13"/>
        <v>2</v>
      </c>
      <c r="W61" s="332">
        <f t="shared" si="13"/>
        <v>3</v>
      </c>
      <c r="X61" s="333">
        <v>1</v>
      </c>
      <c r="Y61" s="334">
        <v>2</v>
      </c>
      <c r="Z61" s="334">
        <v>3</v>
      </c>
      <c r="AA61" s="334">
        <v>6</v>
      </c>
      <c r="AB61" s="333">
        <f t="shared" si="11"/>
        <v>1</v>
      </c>
      <c r="AC61" s="334">
        <f t="shared" si="11"/>
        <v>1</v>
      </c>
      <c r="AD61" s="334">
        <f t="shared" si="11"/>
        <v>0</v>
      </c>
      <c r="AE61" s="337">
        <f t="shared" si="11"/>
        <v>2</v>
      </c>
    </row>
    <row r="62" spans="2:31" s="38" customFormat="1" ht="15" x14ac:dyDescent="0.2">
      <c r="B62" s="6373"/>
      <c r="C62" s="641" t="s">
        <v>12</v>
      </c>
      <c r="D62" s="676">
        <f>SUM(D59:D61)</f>
        <v>5</v>
      </c>
      <c r="E62" s="677">
        <f>SUM(E59:E61)</f>
        <v>2</v>
      </c>
      <c r="F62" s="677">
        <f>SUM(F59:F61)</f>
        <v>5</v>
      </c>
      <c r="G62" s="678">
        <f>SUM(G59:G61)</f>
        <v>12</v>
      </c>
      <c r="H62" s="676">
        <f t="shared" ref="H62:W62" si="14">SUM(H59:H61)</f>
        <v>5</v>
      </c>
      <c r="I62" s="677">
        <f t="shared" si="14"/>
        <v>1</v>
      </c>
      <c r="J62" s="677">
        <f t="shared" si="14"/>
        <v>11</v>
      </c>
      <c r="K62" s="678">
        <f t="shared" si="14"/>
        <v>17</v>
      </c>
      <c r="L62" s="677">
        <f t="shared" si="14"/>
        <v>13</v>
      </c>
      <c r="M62" s="677">
        <f t="shared" si="14"/>
        <v>3</v>
      </c>
      <c r="N62" s="677">
        <f t="shared" si="14"/>
        <v>1</v>
      </c>
      <c r="O62" s="677">
        <f t="shared" si="14"/>
        <v>17</v>
      </c>
      <c r="P62" s="676">
        <f t="shared" si="14"/>
        <v>6</v>
      </c>
      <c r="Q62" s="677">
        <f t="shared" si="14"/>
        <v>9</v>
      </c>
      <c r="R62" s="677">
        <f t="shared" si="14"/>
        <v>4</v>
      </c>
      <c r="S62" s="678">
        <f t="shared" si="14"/>
        <v>19</v>
      </c>
      <c r="T62" s="677">
        <f t="shared" si="14"/>
        <v>6</v>
      </c>
      <c r="U62" s="677">
        <f t="shared" si="14"/>
        <v>4</v>
      </c>
      <c r="V62" s="677">
        <f t="shared" si="14"/>
        <v>7</v>
      </c>
      <c r="W62" s="677">
        <f t="shared" si="14"/>
        <v>17</v>
      </c>
      <c r="X62" s="589">
        <v>6</v>
      </c>
      <c r="Y62" s="590">
        <v>6</v>
      </c>
      <c r="Z62" s="590">
        <v>8</v>
      </c>
      <c r="AA62" s="591">
        <v>20</v>
      </c>
      <c r="AB62" s="590">
        <f t="shared" si="11"/>
        <v>8</v>
      </c>
      <c r="AC62" s="590">
        <f t="shared" si="11"/>
        <v>4</v>
      </c>
      <c r="AD62" s="590">
        <f t="shared" si="11"/>
        <v>4</v>
      </c>
      <c r="AE62" s="591">
        <f t="shared" si="11"/>
        <v>16</v>
      </c>
    </row>
    <row r="63" spans="2:31" ht="15" x14ac:dyDescent="0.2">
      <c r="B63" s="382" t="s">
        <v>0</v>
      </c>
      <c r="C63" s="382"/>
      <c r="D63" s="319"/>
      <c r="E63" s="319"/>
      <c r="F63" s="319"/>
      <c r="G63" s="319"/>
      <c r="H63" s="320"/>
      <c r="I63" s="320"/>
      <c r="J63" s="320"/>
      <c r="K63" s="327"/>
      <c r="L63" s="320"/>
      <c r="M63" s="320"/>
      <c r="N63" s="320"/>
      <c r="O63" s="327"/>
      <c r="P63" s="320"/>
      <c r="Q63" s="320"/>
      <c r="R63" s="320"/>
      <c r="S63" s="327"/>
      <c r="T63" s="320"/>
      <c r="U63" s="320"/>
      <c r="V63" s="320"/>
      <c r="W63" s="327"/>
      <c r="X63" s="249"/>
      <c r="Y63" s="249"/>
      <c r="Z63" s="249"/>
      <c r="AA63" s="249"/>
      <c r="AB63" s="249"/>
      <c r="AC63" s="249"/>
      <c r="AD63" s="249"/>
      <c r="AE63" s="249"/>
    </row>
    <row r="64" spans="2:31" x14ac:dyDescent="0.2">
      <c r="B64" s="30"/>
      <c r="C64" s="1"/>
      <c r="D64" s="1"/>
      <c r="E64" s="1"/>
      <c r="F64" s="1"/>
      <c r="G64" s="1"/>
      <c r="H64" s="64"/>
      <c r="I64" s="64"/>
      <c r="J64" s="64"/>
      <c r="K64" s="65"/>
      <c r="L64" s="64"/>
      <c r="M64" s="64"/>
      <c r="N64" s="64"/>
      <c r="O64" s="65"/>
      <c r="P64" s="64"/>
      <c r="Q64" s="64"/>
      <c r="R64" s="64"/>
      <c r="S64" s="65"/>
      <c r="T64" s="64"/>
      <c r="U64" s="64"/>
      <c r="V64" s="64"/>
      <c r="W64" s="65"/>
    </row>
    <row r="65" spans="3:23" x14ac:dyDescent="0.2">
      <c r="C65" s="1"/>
      <c r="D65" s="1"/>
      <c r="E65" s="1"/>
      <c r="F65" s="1"/>
      <c r="G65" s="1"/>
      <c r="H65" s="64"/>
      <c r="I65" s="64"/>
      <c r="J65" s="64"/>
      <c r="K65" s="65"/>
      <c r="L65" s="64"/>
      <c r="M65" s="64"/>
      <c r="N65" s="64"/>
      <c r="O65" s="65"/>
      <c r="P65" s="64"/>
      <c r="Q65" s="64"/>
      <c r="R65" s="64"/>
      <c r="S65" s="65"/>
      <c r="T65" s="64"/>
      <c r="U65" s="64"/>
      <c r="V65" s="64"/>
      <c r="W65" s="65"/>
    </row>
    <row r="66" spans="3:23" x14ac:dyDescent="0.2">
      <c r="H66" s="26"/>
      <c r="I66" s="26"/>
      <c r="J66" s="26"/>
      <c r="K66" s="61"/>
      <c r="L66" s="26"/>
      <c r="M66" s="26"/>
      <c r="N66" s="26"/>
      <c r="O66" s="61"/>
      <c r="P66" s="26"/>
      <c r="Q66" s="26"/>
      <c r="R66" s="26"/>
      <c r="S66" s="61"/>
      <c r="T66" s="26"/>
      <c r="U66" s="26"/>
      <c r="V66" s="26"/>
      <c r="W66" s="61"/>
    </row>
    <row r="67" spans="3:23" x14ac:dyDescent="0.2">
      <c r="H67" s="26"/>
      <c r="I67" s="26"/>
      <c r="J67" s="26"/>
      <c r="K67" s="61"/>
      <c r="L67" s="26"/>
      <c r="M67" s="26"/>
      <c r="N67" s="26"/>
      <c r="O67" s="61"/>
      <c r="P67" s="26"/>
      <c r="Q67" s="26"/>
      <c r="R67" s="26"/>
      <c r="S67" s="61"/>
      <c r="T67" s="26"/>
      <c r="U67" s="26"/>
      <c r="V67" s="26"/>
      <c r="W67" s="61"/>
    </row>
  </sheetData>
  <mergeCells count="43">
    <mergeCell ref="B46:B49"/>
    <mergeCell ref="B54:B57"/>
    <mergeCell ref="B50:B53"/>
    <mergeCell ref="B59:B62"/>
    <mergeCell ref="N5:N6"/>
    <mergeCell ref="L5:L6"/>
    <mergeCell ref="B8:B11"/>
    <mergeCell ref="B12:B15"/>
    <mergeCell ref="B16:B19"/>
    <mergeCell ref="B20:B23"/>
    <mergeCell ref="B29:B32"/>
    <mergeCell ref="B33:B36"/>
    <mergeCell ref="B37:B40"/>
    <mergeCell ref="B42:B45"/>
    <mergeCell ref="B5:B6"/>
    <mergeCell ref="D5:D6"/>
    <mergeCell ref="W5:W6"/>
    <mergeCell ref="O5:O6"/>
    <mergeCell ref="P5:P6"/>
    <mergeCell ref="T5:T6"/>
    <mergeCell ref="U5:U6"/>
    <mergeCell ref="AE5:AE6"/>
    <mergeCell ref="AB5:AB6"/>
    <mergeCell ref="AC5:AC6"/>
    <mergeCell ref="AD5:AD6"/>
    <mergeCell ref="B25:B28"/>
    <mergeCell ref="X5:X6"/>
    <mergeCell ref="Y5:Y6"/>
    <mergeCell ref="Z5:Z6"/>
    <mergeCell ref="AA5:AA6"/>
    <mergeCell ref="F5:F6"/>
    <mergeCell ref="S5:S6"/>
    <mergeCell ref="V5:V6"/>
    <mergeCell ref="M5:M6"/>
    <mergeCell ref="K5:K6"/>
    <mergeCell ref="H5:H6"/>
    <mergeCell ref="G5:G6"/>
    <mergeCell ref="J5:J6"/>
    <mergeCell ref="C5:C6"/>
    <mergeCell ref="R5:R6"/>
    <mergeCell ref="Q5:Q6"/>
    <mergeCell ref="I5:I6"/>
    <mergeCell ref="E5:E6"/>
  </mergeCells>
  <phoneticPr fontId="81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&amp;R36</oddFooter>
  </headerFooter>
  <ignoredErrors>
    <ignoredError sqref="AE9:AE10 AE17 AE26:AE28 AE42:AE45 AE29:AE31 AE46:AE49 AE50:AE53 AE54:AE56" formulaRange="1"/>
  </ignoredErrors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92"/>
  <sheetViews>
    <sheetView showGridLines="0" topLeftCell="E1" zoomScaleNormal="100" zoomScaleSheetLayoutView="70" workbookViewId="0">
      <selection activeCell="C4" sqref="C4"/>
    </sheetView>
  </sheetViews>
  <sheetFormatPr baseColWidth="10" defaultRowHeight="12.75" x14ac:dyDescent="0.2"/>
  <cols>
    <col min="1" max="1" width="5.140625" style="1" customWidth="1"/>
    <col min="2" max="2" width="9.85546875" style="30" customWidth="1"/>
    <col min="3" max="3" width="9.28515625" style="30" bestFit="1" customWidth="1"/>
    <col min="4" max="4" width="40.7109375" style="74" customWidth="1"/>
    <col min="5" max="5" width="4.42578125" style="1" customWidth="1"/>
    <col min="6" max="6" width="5.28515625" style="1" customWidth="1"/>
    <col min="7" max="7" width="5.42578125" style="1" customWidth="1"/>
    <col min="8" max="8" width="8.28515625" style="27" customWidth="1"/>
    <col min="9" max="9" width="4.42578125" style="1" customWidth="1"/>
    <col min="10" max="10" width="5.28515625" style="1" customWidth="1"/>
    <col min="11" max="11" width="5.42578125" style="1" customWidth="1"/>
    <col min="12" max="12" width="8.28515625" style="27" customWidth="1"/>
    <col min="13" max="13" width="4.42578125" style="1" customWidth="1"/>
    <col min="14" max="14" width="5.28515625" style="1" customWidth="1"/>
    <col min="15" max="15" width="5.42578125" style="1" customWidth="1"/>
    <col min="16" max="16" width="8.28515625" style="27" customWidth="1"/>
    <col min="17" max="17" width="4.42578125" style="1" customWidth="1"/>
    <col min="18" max="18" width="5.28515625" style="1" customWidth="1"/>
    <col min="19" max="19" width="5.42578125" style="1" customWidth="1"/>
    <col min="20" max="20" width="8.28515625" style="27" customWidth="1"/>
    <col min="21" max="21" width="4.42578125" style="1" customWidth="1"/>
    <col min="22" max="22" width="5.28515625" style="1" customWidth="1"/>
    <col min="23" max="23" width="5.42578125" style="1" customWidth="1"/>
    <col min="24" max="24" width="8.28515625" style="27" customWidth="1"/>
    <col min="25" max="25" width="4.42578125" style="1" customWidth="1"/>
    <col min="26" max="26" width="5.28515625" style="1" customWidth="1"/>
    <col min="27" max="27" width="5.42578125" style="1" customWidth="1"/>
    <col min="28" max="28" width="8.28515625" style="27" customWidth="1"/>
    <col min="29" max="29" width="4" style="1" bestFit="1" customWidth="1"/>
    <col min="30" max="30" width="4.7109375" style="1" bestFit="1" customWidth="1"/>
    <col min="31" max="31" width="4.85546875" style="1" bestFit="1" customWidth="1"/>
    <col min="32" max="32" width="6" style="1" customWidth="1"/>
    <col min="33" max="35" width="4.7109375" style="1" customWidth="1"/>
    <col min="36" max="36" width="6" style="1" customWidth="1"/>
    <col min="37" max="16384" width="11.42578125" style="1"/>
  </cols>
  <sheetData>
    <row r="1" spans="2:36" ht="16.5" x14ac:dyDescent="0.2">
      <c r="B1" s="42"/>
      <c r="D1" s="158"/>
      <c r="E1" s="42"/>
      <c r="F1" s="42"/>
      <c r="G1" s="159"/>
      <c r="H1" s="42"/>
      <c r="I1" s="42"/>
      <c r="J1" s="42"/>
      <c r="K1" s="42"/>
    </row>
    <row r="2" spans="2:36" ht="18" customHeight="1" x14ac:dyDescent="0.2">
      <c r="B2" s="68" t="s">
        <v>34</v>
      </c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</row>
    <row r="3" spans="2:36" ht="18" customHeight="1" x14ac:dyDescent="0.2">
      <c r="B3" s="68" t="s">
        <v>336</v>
      </c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  <c r="AA3" s="68"/>
      <c r="AB3" s="68"/>
      <c r="AC3" s="68"/>
      <c r="AD3" s="68"/>
      <c r="AE3" s="68"/>
      <c r="AF3" s="68"/>
    </row>
    <row r="4" spans="2:36" ht="12" customHeight="1" x14ac:dyDescent="0.2">
      <c r="C4" s="42"/>
      <c r="D4" s="158"/>
      <c r="E4" s="42"/>
      <c r="F4" s="42"/>
      <c r="G4" s="159"/>
      <c r="H4" s="42"/>
      <c r="I4" s="42"/>
      <c r="J4" s="42"/>
      <c r="K4" s="42"/>
    </row>
    <row r="5" spans="2:36" x14ac:dyDescent="0.2">
      <c r="B5" s="6382" t="s">
        <v>16</v>
      </c>
      <c r="C5" s="6382" t="s">
        <v>4</v>
      </c>
      <c r="D5" s="6382" t="s">
        <v>77</v>
      </c>
      <c r="E5" s="6374" t="s">
        <v>156</v>
      </c>
      <c r="F5" s="6374" t="s">
        <v>154</v>
      </c>
      <c r="G5" s="6374" t="s">
        <v>155</v>
      </c>
      <c r="H5" s="6374" t="s">
        <v>157</v>
      </c>
      <c r="I5" s="6374" t="s">
        <v>73</v>
      </c>
      <c r="J5" s="6374" t="s">
        <v>71</v>
      </c>
      <c r="K5" s="6374" t="s">
        <v>70</v>
      </c>
      <c r="L5" s="6374" t="s">
        <v>61</v>
      </c>
      <c r="M5" s="6374" t="s">
        <v>72</v>
      </c>
      <c r="N5" s="6374" t="s">
        <v>24</v>
      </c>
      <c r="O5" s="6374" t="s">
        <v>23</v>
      </c>
      <c r="P5" s="6374" t="s">
        <v>62</v>
      </c>
      <c r="Q5" s="6374" t="s">
        <v>69</v>
      </c>
      <c r="R5" s="6374" t="s">
        <v>59</v>
      </c>
      <c r="S5" s="6374" t="s">
        <v>21</v>
      </c>
      <c r="T5" s="6374" t="s">
        <v>63</v>
      </c>
      <c r="U5" s="6374" t="s">
        <v>22</v>
      </c>
      <c r="V5" s="6374" t="s">
        <v>17</v>
      </c>
      <c r="W5" s="6374" t="s">
        <v>18</v>
      </c>
      <c r="X5" s="6374" t="s">
        <v>64</v>
      </c>
      <c r="Y5" s="6374" t="s">
        <v>150</v>
      </c>
      <c r="Z5" s="6374" t="s">
        <v>148</v>
      </c>
      <c r="AA5" s="6374" t="s">
        <v>149</v>
      </c>
      <c r="AB5" s="6374" t="s">
        <v>151</v>
      </c>
      <c r="AC5" s="6374" t="s">
        <v>324</v>
      </c>
      <c r="AD5" s="6374" t="s">
        <v>323</v>
      </c>
      <c r="AE5" s="6374" t="s">
        <v>322</v>
      </c>
      <c r="AF5" s="6374" t="s">
        <v>326</v>
      </c>
      <c r="AG5" s="6374" t="s">
        <v>337</v>
      </c>
      <c r="AH5" s="6374" t="s">
        <v>334</v>
      </c>
      <c r="AI5" s="6374" t="s">
        <v>335</v>
      </c>
      <c r="AJ5" s="6374" t="s">
        <v>338</v>
      </c>
    </row>
    <row r="6" spans="2:36" x14ac:dyDescent="0.2">
      <c r="B6" s="6382"/>
      <c r="C6" s="6382"/>
      <c r="D6" s="6382"/>
      <c r="E6" s="6375"/>
      <c r="F6" s="6375"/>
      <c r="G6" s="6375"/>
      <c r="H6" s="6375"/>
      <c r="I6" s="6375"/>
      <c r="J6" s="6375"/>
      <c r="K6" s="6375"/>
      <c r="L6" s="6375"/>
      <c r="M6" s="6375"/>
      <c r="N6" s="6375"/>
      <c r="O6" s="6375"/>
      <c r="P6" s="6375"/>
      <c r="Q6" s="6375"/>
      <c r="R6" s="6375"/>
      <c r="S6" s="6375"/>
      <c r="T6" s="6375"/>
      <c r="U6" s="6375"/>
      <c r="V6" s="6375"/>
      <c r="W6" s="6375"/>
      <c r="X6" s="6375"/>
      <c r="Y6" s="6375"/>
      <c r="Z6" s="6375"/>
      <c r="AA6" s="6375"/>
      <c r="AB6" s="6375"/>
      <c r="AC6" s="6375"/>
      <c r="AD6" s="6375"/>
      <c r="AE6" s="6375"/>
      <c r="AF6" s="6375"/>
      <c r="AG6" s="6375"/>
      <c r="AH6" s="6375"/>
      <c r="AI6" s="6375"/>
      <c r="AJ6" s="6375"/>
    </row>
    <row r="7" spans="2:36" s="47" customFormat="1" ht="22.5" x14ac:dyDescent="0.2">
      <c r="B7" s="6376" t="s">
        <v>440</v>
      </c>
      <c r="C7" s="6376" t="s">
        <v>5</v>
      </c>
      <c r="D7" s="160" t="s">
        <v>231</v>
      </c>
      <c r="E7" s="161">
        <v>3</v>
      </c>
      <c r="F7" s="162"/>
      <c r="G7" s="162">
        <v>2</v>
      </c>
      <c r="H7" s="163">
        <v>5</v>
      </c>
      <c r="I7" s="161">
        <v>2</v>
      </c>
      <c r="J7" s="162">
        <v>1</v>
      </c>
      <c r="K7" s="162">
        <v>14</v>
      </c>
      <c r="L7" s="163">
        <v>17</v>
      </c>
      <c r="M7" s="161">
        <v>1</v>
      </c>
      <c r="N7" s="162">
        <v>4</v>
      </c>
      <c r="O7" s="162">
        <v>4</v>
      </c>
      <c r="P7" s="164">
        <v>9</v>
      </c>
      <c r="Q7" s="162">
        <v>1</v>
      </c>
      <c r="R7" s="162"/>
      <c r="S7" s="162">
        <v>5</v>
      </c>
      <c r="T7" s="164">
        <v>6</v>
      </c>
      <c r="U7" s="162"/>
      <c r="V7" s="162">
        <v>6</v>
      </c>
      <c r="W7" s="165">
        <v>3</v>
      </c>
      <c r="X7" s="166">
        <v>9</v>
      </c>
      <c r="Y7" s="162">
        <v>4</v>
      </c>
      <c r="Z7" s="162">
        <v>2</v>
      </c>
      <c r="AA7" s="165">
        <v>6</v>
      </c>
      <c r="AB7" s="166">
        <f>SUM(Y7:AA7)</f>
        <v>12</v>
      </c>
      <c r="AC7" s="162">
        <v>2</v>
      </c>
      <c r="AD7" s="162"/>
      <c r="AE7" s="165"/>
      <c r="AF7" s="166">
        <f>SUM(AC7:AE7)</f>
        <v>2</v>
      </c>
      <c r="AG7" s="162"/>
      <c r="AH7" s="162"/>
      <c r="AI7" s="165"/>
      <c r="AJ7" s="166">
        <f>SUM(AG7:AI7)</f>
        <v>0</v>
      </c>
    </row>
    <row r="8" spans="2:36" s="47" customFormat="1" ht="22.5" x14ac:dyDescent="0.2">
      <c r="B8" s="6377"/>
      <c r="C8" s="6377"/>
      <c r="D8" s="160" t="s">
        <v>232</v>
      </c>
      <c r="E8" s="167"/>
      <c r="F8" s="168"/>
      <c r="G8" s="168"/>
      <c r="H8" s="169"/>
      <c r="I8" s="167">
        <v>1</v>
      </c>
      <c r="J8" s="168"/>
      <c r="K8" s="168">
        <v>1</v>
      </c>
      <c r="L8" s="169">
        <v>2</v>
      </c>
      <c r="M8" s="167"/>
      <c r="N8" s="168"/>
      <c r="O8" s="168">
        <v>1</v>
      </c>
      <c r="P8" s="170">
        <v>1</v>
      </c>
      <c r="Q8" s="168"/>
      <c r="R8" s="168">
        <v>1</v>
      </c>
      <c r="S8" s="168"/>
      <c r="T8" s="170">
        <v>1</v>
      </c>
      <c r="U8" s="168"/>
      <c r="V8" s="168"/>
      <c r="W8" s="171">
        <v>1</v>
      </c>
      <c r="X8" s="172">
        <v>1</v>
      </c>
      <c r="Y8" s="168"/>
      <c r="Z8" s="168"/>
      <c r="AA8" s="171"/>
      <c r="AB8" s="172">
        <f t="shared" ref="AB8:AB71" si="0">SUM(Y8:AA8)</f>
        <v>0</v>
      </c>
      <c r="AC8" s="168"/>
      <c r="AD8" s="168"/>
      <c r="AE8" s="171"/>
      <c r="AF8" s="172">
        <f t="shared" ref="AF8:AF71" si="1">SUM(AC8:AE8)</f>
        <v>0</v>
      </c>
      <c r="AG8" s="168"/>
      <c r="AH8" s="168"/>
      <c r="AI8" s="171"/>
      <c r="AJ8" s="172">
        <f t="shared" ref="AJ8:AJ71" si="2">SUM(AG8:AI8)</f>
        <v>0</v>
      </c>
    </row>
    <row r="9" spans="2:36" s="47" customFormat="1" ht="15" x14ac:dyDescent="0.2">
      <c r="B9" s="6377"/>
      <c r="C9" s="6377"/>
      <c r="D9" s="173" t="s">
        <v>233</v>
      </c>
      <c r="E9" s="167"/>
      <c r="F9" s="168"/>
      <c r="G9" s="168"/>
      <c r="H9" s="169"/>
      <c r="I9" s="167"/>
      <c r="J9" s="168"/>
      <c r="K9" s="168"/>
      <c r="L9" s="169"/>
      <c r="M9" s="167">
        <v>4</v>
      </c>
      <c r="N9" s="168">
        <v>1</v>
      </c>
      <c r="O9" s="168"/>
      <c r="P9" s="170">
        <v>5</v>
      </c>
      <c r="Q9" s="168">
        <v>2</v>
      </c>
      <c r="R9" s="168"/>
      <c r="S9" s="168">
        <v>1</v>
      </c>
      <c r="T9" s="170">
        <v>3</v>
      </c>
      <c r="U9" s="168"/>
      <c r="V9" s="168">
        <v>2</v>
      </c>
      <c r="W9" s="171"/>
      <c r="X9" s="172">
        <v>2</v>
      </c>
      <c r="Y9" s="168">
        <v>6</v>
      </c>
      <c r="Z9" s="168"/>
      <c r="AA9" s="171"/>
      <c r="AB9" s="172">
        <f t="shared" si="0"/>
        <v>6</v>
      </c>
      <c r="AC9" s="168">
        <v>5</v>
      </c>
      <c r="AD9" s="168"/>
      <c r="AE9" s="171"/>
      <c r="AF9" s="172">
        <f t="shared" si="1"/>
        <v>5</v>
      </c>
      <c r="AG9" s="168"/>
      <c r="AH9" s="168"/>
      <c r="AI9" s="171"/>
      <c r="AJ9" s="172">
        <f t="shared" si="2"/>
        <v>0</v>
      </c>
    </row>
    <row r="10" spans="2:36" s="47" customFormat="1" ht="14.25" customHeight="1" x14ac:dyDescent="0.2">
      <c r="B10" s="6377"/>
      <c r="C10" s="6377"/>
      <c r="D10" s="173" t="s">
        <v>234</v>
      </c>
      <c r="E10" s="167"/>
      <c r="F10" s="168"/>
      <c r="G10" s="168"/>
      <c r="H10" s="169"/>
      <c r="I10" s="167"/>
      <c r="J10" s="168"/>
      <c r="K10" s="168"/>
      <c r="L10" s="169"/>
      <c r="M10" s="167"/>
      <c r="N10" s="168"/>
      <c r="O10" s="168"/>
      <c r="P10" s="170"/>
      <c r="Q10" s="168"/>
      <c r="R10" s="168"/>
      <c r="S10" s="168"/>
      <c r="T10" s="170"/>
      <c r="U10" s="168"/>
      <c r="V10" s="168"/>
      <c r="W10" s="151"/>
      <c r="X10" s="152"/>
      <c r="Y10" s="168">
        <v>1</v>
      </c>
      <c r="Z10" s="168">
        <v>1</v>
      </c>
      <c r="AA10" s="151"/>
      <c r="AB10" s="152">
        <f t="shared" si="0"/>
        <v>2</v>
      </c>
      <c r="AC10" s="168">
        <v>1</v>
      </c>
      <c r="AD10" s="168"/>
      <c r="AE10" s="151"/>
      <c r="AF10" s="152">
        <f t="shared" si="1"/>
        <v>1</v>
      </c>
      <c r="AG10" s="168"/>
      <c r="AH10" s="168"/>
      <c r="AI10" s="151"/>
      <c r="AJ10" s="152">
        <f t="shared" si="2"/>
        <v>0</v>
      </c>
    </row>
    <row r="11" spans="2:36" s="47" customFormat="1" ht="15.75" x14ac:dyDescent="0.2">
      <c r="B11" s="6377"/>
      <c r="C11" s="6377"/>
      <c r="D11" s="160" t="s">
        <v>235</v>
      </c>
      <c r="E11" s="167">
        <v>14</v>
      </c>
      <c r="F11" s="168">
        <v>6</v>
      </c>
      <c r="G11" s="168">
        <v>3</v>
      </c>
      <c r="H11" s="169">
        <v>23</v>
      </c>
      <c r="I11" s="167">
        <v>2</v>
      </c>
      <c r="J11" s="168">
        <v>2</v>
      </c>
      <c r="K11" s="168">
        <v>4</v>
      </c>
      <c r="L11" s="169">
        <v>8</v>
      </c>
      <c r="M11" s="167"/>
      <c r="N11" s="168">
        <v>5</v>
      </c>
      <c r="O11" s="168">
        <v>8</v>
      </c>
      <c r="P11" s="170">
        <v>13</v>
      </c>
      <c r="Q11" s="168"/>
      <c r="R11" s="168">
        <v>2</v>
      </c>
      <c r="S11" s="168">
        <v>3</v>
      </c>
      <c r="T11" s="170">
        <v>5</v>
      </c>
      <c r="U11" s="168"/>
      <c r="V11" s="168">
        <v>1</v>
      </c>
      <c r="W11" s="174">
        <v>4</v>
      </c>
      <c r="X11" s="175">
        <v>5</v>
      </c>
      <c r="Y11" s="168"/>
      <c r="Z11" s="168"/>
      <c r="AA11" s="174"/>
      <c r="AB11" s="175">
        <f t="shared" si="0"/>
        <v>0</v>
      </c>
      <c r="AC11" s="168">
        <v>2</v>
      </c>
      <c r="AD11" s="168"/>
      <c r="AE11" s="174"/>
      <c r="AF11" s="175">
        <f t="shared" si="1"/>
        <v>2</v>
      </c>
      <c r="AG11" s="168"/>
      <c r="AH11" s="168"/>
      <c r="AI11" s="174"/>
      <c r="AJ11" s="175">
        <f t="shared" si="2"/>
        <v>0</v>
      </c>
    </row>
    <row r="12" spans="2:36" s="47" customFormat="1" ht="22.5" x14ac:dyDescent="0.2">
      <c r="B12" s="6377"/>
      <c r="C12" s="6376" t="s">
        <v>6</v>
      </c>
      <c r="D12" s="413" t="s">
        <v>236</v>
      </c>
      <c r="E12" s="161">
        <v>6</v>
      </c>
      <c r="F12" s="162"/>
      <c r="G12" s="162">
        <v>2</v>
      </c>
      <c r="H12" s="163">
        <v>8</v>
      </c>
      <c r="I12" s="161"/>
      <c r="J12" s="162">
        <v>1</v>
      </c>
      <c r="K12" s="162">
        <v>8</v>
      </c>
      <c r="L12" s="163">
        <v>9</v>
      </c>
      <c r="M12" s="161"/>
      <c r="N12" s="162"/>
      <c r="O12" s="162">
        <v>8</v>
      </c>
      <c r="P12" s="164">
        <v>8</v>
      </c>
      <c r="Q12" s="162"/>
      <c r="R12" s="162"/>
      <c r="S12" s="162">
        <v>2</v>
      </c>
      <c r="T12" s="164">
        <v>2</v>
      </c>
      <c r="U12" s="162"/>
      <c r="V12" s="162"/>
      <c r="W12" s="165">
        <v>7</v>
      </c>
      <c r="X12" s="166">
        <v>7</v>
      </c>
      <c r="Y12" s="162"/>
      <c r="Z12" s="162">
        <v>1</v>
      </c>
      <c r="AA12" s="165">
        <v>1</v>
      </c>
      <c r="AB12" s="166">
        <f t="shared" si="0"/>
        <v>2</v>
      </c>
      <c r="AC12" s="162"/>
      <c r="AD12" s="162"/>
      <c r="AE12" s="165"/>
      <c r="AF12" s="166">
        <f t="shared" si="1"/>
        <v>0</v>
      </c>
      <c r="AG12" s="162"/>
      <c r="AH12" s="162"/>
      <c r="AI12" s="165"/>
      <c r="AJ12" s="166">
        <f t="shared" si="2"/>
        <v>0</v>
      </c>
    </row>
    <row r="13" spans="2:36" s="47" customFormat="1" ht="22.5" x14ac:dyDescent="0.2">
      <c r="B13" s="6377"/>
      <c r="C13" s="6377"/>
      <c r="D13" s="160" t="s">
        <v>237</v>
      </c>
      <c r="E13" s="167"/>
      <c r="F13" s="168"/>
      <c r="G13" s="168"/>
      <c r="H13" s="169"/>
      <c r="I13" s="167"/>
      <c r="J13" s="168"/>
      <c r="K13" s="168">
        <v>2</v>
      </c>
      <c r="L13" s="169">
        <v>2</v>
      </c>
      <c r="M13" s="167"/>
      <c r="N13" s="168">
        <v>1</v>
      </c>
      <c r="O13" s="168">
        <v>2</v>
      </c>
      <c r="P13" s="170">
        <v>3</v>
      </c>
      <c r="Q13" s="168"/>
      <c r="R13" s="168"/>
      <c r="S13" s="168"/>
      <c r="T13" s="170"/>
      <c r="U13" s="168"/>
      <c r="V13" s="168"/>
      <c r="W13" s="171">
        <v>2</v>
      </c>
      <c r="X13" s="172">
        <v>2</v>
      </c>
      <c r="Y13" s="168">
        <v>4</v>
      </c>
      <c r="Z13" s="168">
        <v>1</v>
      </c>
      <c r="AA13" s="171">
        <v>5</v>
      </c>
      <c r="AB13" s="172">
        <f t="shared" si="0"/>
        <v>10</v>
      </c>
      <c r="AC13" s="168"/>
      <c r="AD13" s="168"/>
      <c r="AE13" s="171"/>
      <c r="AF13" s="172">
        <f t="shared" si="1"/>
        <v>0</v>
      </c>
      <c r="AG13" s="168"/>
      <c r="AH13" s="168"/>
      <c r="AI13" s="171"/>
      <c r="AJ13" s="172">
        <f t="shared" si="2"/>
        <v>0</v>
      </c>
    </row>
    <row r="14" spans="2:36" s="47" customFormat="1" ht="14.25" customHeight="1" x14ac:dyDescent="0.2">
      <c r="B14" s="6377"/>
      <c r="C14" s="6377"/>
      <c r="D14" s="160" t="s">
        <v>238</v>
      </c>
      <c r="E14" s="167"/>
      <c r="F14" s="168"/>
      <c r="G14" s="168"/>
      <c r="H14" s="169"/>
      <c r="I14" s="167"/>
      <c r="J14" s="168"/>
      <c r="K14" s="168"/>
      <c r="L14" s="169"/>
      <c r="M14" s="167"/>
      <c r="N14" s="168"/>
      <c r="O14" s="168"/>
      <c r="P14" s="170"/>
      <c r="Q14" s="168"/>
      <c r="R14" s="168"/>
      <c r="S14" s="168"/>
      <c r="T14" s="170"/>
      <c r="U14" s="168"/>
      <c r="V14" s="168"/>
      <c r="W14" s="151"/>
      <c r="X14" s="152"/>
      <c r="Y14" s="168"/>
      <c r="Z14" s="168"/>
      <c r="AA14" s="151"/>
      <c r="AB14" s="152">
        <f t="shared" si="0"/>
        <v>0</v>
      </c>
      <c r="AC14" s="168"/>
      <c r="AD14" s="168"/>
      <c r="AE14" s="151"/>
      <c r="AF14" s="152">
        <f t="shared" si="1"/>
        <v>0</v>
      </c>
      <c r="AG14" s="168"/>
      <c r="AH14" s="168"/>
      <c r="AI14" s="151"/>
      <c r="AJ14" s="152">
        <f t="shared" si="2"/>
        <v>0</v>
      </c>
    </row>
    <row r="15" spans="2:36" s="47" customFormat="1" ht="14.25" customHeight="1" x14ac:dyDescent="0.2">
      <c r="B15" s="6377"/>
      <c r="C15" s="6377"/>
      <c r="D15" s="160" t="s">
        <v>239</v>
      </c>
      <c r="E15" s="167"/>
      <c r="F15" s="168"/>
      <c r="G15" s="168"/>
      <c r="H15" s="169"/>
      <c r="I15" s="167"/>
      <c r="J15" s="168"/>
      <c r="K15" s="168"/>
      <c r="L15" s="169"/>
      <c r="M15" s="167"/>
      <c r="N15" s="168"/>
      <c r="O15" s="168"/>
      <c r="P15" s="170"/>
      <c r="Q15" s="168"/>
      <c r="R15" s="168"/>
      <c r="S15" s="168"/>
      <c r="T15" s="170"/>
      <c r="U15" s="168"/>
      <c r="V15" s="168"/>
      <c r="W15" s="151"/>
      <c r="X15" s="152"/>
      <c r="Y15" s="168"/>
      <c r="Z15" s="168"/>
      <c r="AA15" s="151"/>
      <c r="AB15" s="152">
        <f t="shared" si="0"/>
        <v>0</v>
      </c>
      <c r="AC15" s="168"/>
      <c r="AD15" s="168"/>
      <c r="AE15" s="151"/>
      <c r="AF15" s="152">
        <f t="shared" si="1"/>
        <v>0</v>
      </c>
      <c r="AG15" s="168"/>
      <c r="AH15" s="168"/>
      <c r="AI15" s="151"/>
      <c r="AJ15" s="152">
        <f t="shared" si="2"/>
        <v>0</v>
      </c>
    </row>
    <row r="16" spans="2:36" s="47" customFormat="1" ht="14.25" customHeight="1" x14ac:dyDescent="0.2">
      <c r="B16" s="6377"/>
      <c r="C16" s="6377"/>
      <c r="D16" s="160" t="s">
        <v>240</v>
      </c>
      <c r="E16" s="167"/>
      <c r="F16" s="168"/>
      <c r="G16" s="168"/>
      <c r="H16" s="169"/>
      <c r="I16" s="167"/>
      <c r="J16" s="168"/>
      <c r="K16" s="168"/>
      <c r="L16" s="169"/>
      <c r="M16" s="167"/>
      <c r="N16" s="168"/>
      <c r="O16" s="168"/>
      <c r="P16" s="170"/>
      <c r="Q16" s="168"/>
      <c r="R16" s="168"/>
      <c r="S16" s="168"/>
      <c r="T16" s="170"/>
      <c r="U16" s="168"/>
      <c r="V16" s="168"/>
      <c r="W16" s="151"/>
      <c r="X16" s="152"/>
      <c r="Y16" s="168"/>
      <c r="Z16" s="168"/>
      <c r="AA16" s="151"/>
      <c r="AB16" s="152">
        <f t="shared" si="0"/>
        <v>0</v>
      </c>
      <c r="AC16" s="168"/>
      <c r="AD16" s="168"/>
      <c r="AE16" s="151"/>
      <c r="AF16" s="152">
        <f t="shared" si="1"/>
        <v>0</v>
      </c>
      <c r="AG16" s="168"/>
      <c r="AH16" s="168"/>
      <c r="AI16" s="151"/>
      <c r="AJ16" s="152">
        <f t="shared" si="2"/>
        <v>0</v>
      </c>
    </row>
    <row r="17" spans="2:36" s="47" customFormat="1" ht="15" x14ac:dyDescent="0.2">
      <c r="B17" s="6377"/>
      <c r="C17" s="6377"/>
      <c r="D17" s="160" t="s">
        <v>241</v>
      </c>
      <c r="E17" s="167">
        <v>3</v>
      </c>
      <c r="F17" s="168">
        <v>1</v>
      </c>
      <c r="G17" s="168">
        <v>1</v>
      </c>
      <c r="H17" s="169">
        <v>5</v>
      </c>
      <c r="I17" s="167"/>
      <c r="J17" s="168"/>
      <c r="K17" s="168">
        <v>14</v>
      </c>
      <c r="L17" s="169">
        <v>14</v>
      </c>
      <c r="M17" s="167">
        <v>1</v>
      </c>
      <c r="N17" s="168"/>
      <c r="O17" s="168">
        <v>2</v>
      </c>
      <c r="P17" s="170">
        <v>3</v>
      </c>
      <c r="Q17" s="168"/>
      <c r="R17" s="168">
        <v>4</v>
      </c>
      <c r="S17" s="168">
        <v>6</v>
      </c>
      <c r="T17" s="170">
        <v>10</v>
      </c>
      <c r="U17" s="168"/>
      <c r="V17" s="168"/>
      <c r="W17" s="171"/>
      <c r="X17" s="172"/>
      <c r="Y17" s="168"/>
      <c r="Z17" s="168"/>
      <c r="AA17" s="171">
        <v>10</v>
      </c>
      <c r="AB17" s="172">
        <f t="shared" si="0"/>
        <v>10</v>
      </c>
      <c r="AC17" s="168"/>
      <c r="AD17" s="168"/>
      <c r="AE17" s="171"/>
      <c r="AF17" s="172">
        <f t="shared" si="1"/>
        <v>0</v>
      </c>
      <c r="AG17" s="168"/>
      <c r="AH17" s="168"/>
      <c r="AI17" s="171"/>
      <c r="AJ17" s="172">
        <f t="shared" si="2"/>
        <v>0</v>
      </c>
    </row>
    <row r="18" spans="2:36" s="47" customFormat="1" ht="14.25" customHeight="1" x14ac:dyDescent="0.2">
      <c r="B18" s="6377"/>
      <c r="C18" s="6377"/>
      <c r="D18" s="173" t="s">
        <v>242</v>
      </c>
      <c r="E18" s="167"/>
      <c r="F18" s="168"/>
      <c r="G18" s="168"/>
      <c r="H18" s="169"/>
      <c r="I18" s="167"/>
      <c r="J18" s="168"/>
      <c r="K18" s="168"/>
      <c r="L18" s="169"/>
      <c r="M18" s="167"/>
      <c r="N18" s="168"/>
      <c r="O18" s="168"/>
      <c r="P18" s="170"/>
      <c r="Q18" s="168"/>
      <c r="R18" s="168"/>
      <c r="S18" s="168"/>
      <c r="T18" s="170"/>
      <c r="U18" s="168"/>
      <c r="V18" s="168"/>
      <c r="W18" s="151"/>
      <c r="X18" s="152"/>
      <c r="Y18" s="168"/>
      <c r="Z18" s="168"/>
      <c r="AA18" s="151"/>
      <c r="AB18" s="152">
        <f t="shared" si="0"/>
        <v>0</v>
      </c>
      <c r="AC18" s="168">
        <v>2</v>
      </c>
      <c r="AD18" s="168"/>
      <c r="AE18" s="151"/>
      <c r="AF18" s="152">
        <f t="shared" si="1"/>
        <v>2</v>
      </c>
      <c r="AG18" s="168"/>
      <c r="AH18" s="168"/>
      <c r="AI18" s="151"/>
      <c r="AJ18" s="152">
        <f t="shared" si="2"/>
        <v>0</v>
      </c>
    </row>
    <row r="19" spans="2:36" s="47" customFormat="1" ht="14.25" customHeight="1" x14ac:dyDescent="0.2">
      <c r="B19" s="6377"/>
      <c r="C19" s="6377"/>
      <c r="D19" s="173" t="s">
        <v>243</v>
      </c>
      <c r="E19" s="167"/>
      <c r="F19" s="168"/>
      <c r="G19" s="168"/>
      <c r="H19" s="169"/>
      <c r="I19" s="167"/>
      <c r="J19" s="168"/>
      <c r="K19" s="168"/>
      <c r="L19" s="169"/>
      <c r="M19" s="167"/>
      <c r="N19" s="168"/>
      <c r="O19" s="168"/>
      <c r="P19" s="170"/>
      <c r="Q19" s="168"/>
      <c r="R19" s="168"/>
      <c r="S19" s="168"/>
      <c r="T19" s="170"/>
      <c r="U19" s="168"/>
      <c r="V19" s="168"/>
      <c r="W19" s="151"/>
      <c r="X19" s="152"/>
      <c r="Y19" s="168"/>
      <c r="Z19" s="168"/>
      <c r="AA19" s="151"/>
      <c r="AB19" s="152">
        <f t="shared" si="0"/>
        <v>0</v>
      </c>
      <c r="AC19" s="168">
        <v>1</v>
      </c>
      <c r="AD19" s="168"/>
      <c r="AE19" s="151"/>
      <c r="AF19" s="152">
        <f t="shared" si="1"/>
        <v>1</v>
      </c>
      <c r="AG19" s="168"/>
      <c r="AH19" s="168"/>
      <c r="AI19" s="151"/>
      <c r="AJ19" s="152">
        <f t="shared" si="2"/>
        <v>0</v>
      </c>
    </row>
    <row r="20" spans="2:36" s="47" customFormat="1" ht="14.25" customHeight="1" x14ac:dyDescent="0.2">
      <c r="B20" s="6377"/>
      <c r="C20" s="6377"/>
      <c r="D20" s="160" t="s">
        <v>244</v>
      </c>
      <c r="E20" s="167"/>
      <c r="F20" s="168"/>
      <c r="G20" s="168"/>
      <c r="H20" s="169"/>
      <c r="I20" s="167"/>
      <c r="J20" s="168"/>
      <c r="K20" s="168"/>
      <c r="L20" s="169"/>
      <c r="M20" s="167"/>
      <c r="N20" s="168"/>
      <c r="O20" s="168"/>
      <c r="P20" s="170"/>
      <c r="Q20" s="168"/>
      <c r="R20" s="168"/>
      <c r="S20" s="168"/>
      <c r="T20" s="170"/>
      <c r="U20" s="168"/>
      <c r="V20" s="168"/>
      <c r="W20" s="151"/>
      <c r="X20" s="152"/>
      <c r="Y20" s="168">
        <v>1</v>
      </c>
      <c r="Z20" s="168"/>
      <c r="AA20" s="151"/>
      <c r="AB20" s="152">
        <f t="shared" si="0"/>
        <v>1</v>
      </c>
      <c r="AC20" s="168"/>
      <c r="AD20" s="168"/>
      <c r="AE20" s="151"/>
      <c r="AF20" s="152">
        <f t="shared" si="1"/>
        <v>0</v>
      </c>
      <c r="AG20" s="168"/>
      <c r="AH20" s="168"/>
      <c r="AI20" s="151"/>
      <c r="AJ20" s="152">
        <f t="shared" si="2"/>
        <v>0</v>
      </c>
    </row>
    <row r="21" spans="2:36" s="47" customFormat="1" ht="15" x14ac:dyDescent="0.2">
      <c r="B21" s="6377"/>
      <c r="C21" s="6377"/>
      <c r="D21" s="160" t="s">
        <v>245</v>
      </c>
      <c r="E21" s="167"/>
      <c r="F21" s="168"/>
      <c r="G21" s="168"/>
      <c r="H21" s="169"/>
      <c r="I21" s="167"/>
      <c r="J21" s="168"/>
      <c r="K21" s="168"/>
      <c r="L21" s="169"/>
      <c r="M21" s="167"/>
      <c r="N21" s="168"/>
      <c r="O21" s="168">
        <v>1</v>
      </c>
      <c r="P21" s="170">
        <v>1</v>
      </c>
      <c r="Q21" s="168"/>
      <c r="R21" s="168"/>
      <c r="S21" s="168"/>
      <c r="T21" s="170"/>
      <c r="U21" s="168"/>
      <c r="V21" s="168"/>
      <c r="W21" s="171"/>
      <c r="X21" s="172"/>
      <c r="Y21" s="168"/>
      <c r="Z21" s="168"/>
      <c r="AA21" s="171"/>
      <c r="AB21" s="172">
        <f t="shared" si="0"/>
        <v>0</v>
      </c>
      <c r="AC21" s="168"/>
      <c r="AD21" s="168"/>
      <c r="AE21" s="171"/>
      <c r="AF21" s="172">
        <f t="shared" si="1"/>
        <v>0</v>
      </c>
      <c r="AG21" s="168"/>
      <c r="AH21" s="168"/>
      <c r="AI21" s="171"/>
      <c r="AJ21" s="172">
        <f t="shared" si="2"/>
        <v>0</v>
      </c>
    </row>
    <row r="22" spans="2:36" s="47" customFormat="1" ht="22.5" x14ac:dyDescent="0.2">
      <c r="B22" s="6377"/>
      <c r="C22" s="6377"/>
      <c r="D22" s="160" t="s">
        <v>246</v>
      </c>
      <c r="E22" s="167">
        <v>5</v>
      </c>
      <c r="F22" s="168">
        <v>1</v>
      </c>
      <c r="G22" s="168">
        <v>2</v>
      </c>
      <c r="H22" s="169">
        <v>8</v>
      </c>
      <c r="I22" s="167"/>
      <c r="J22" s="168">
        <v>1</v>
      </c>
      <c r="K22" s="168">
        <v>1</v>
      </c>
      <c r="L22" s="169">
        <v>2</v>
      </c>
      <c r="M22" s="167"/>
      <c r="N22" s="168"/>
      <c r="O22" s="168"/>
      <c r="P22" s="170"/>
      <c r="Q22" s="168">
        <v>3</v>
      </c>
      <c r="R22" s="168"/>
      <c r="S22" s="168"/>
      <c r="T22" s="170">
        <v>3</v>
      </c>
      <c r="U22" s="168">
        <v>1</v>
      </c>
      <c r="V22" s="168"/>
      <c r="W22" s="171"/>
      <c r="X22" s="172">
        <v>1</v>
      </c>
      <c r="Y22" s="168">
        <v>2</v>
      </c>
      <c r="Z22" s="168">
        <v>1</v>
      </c>
      <c r="AA22" s="171">
        <v>1</v>
      </c>
      <c r="AB22" s="172">
        <f t="shared" si="0"/>
        <v>4</v>
      </c>
      <c r="AC22" s="168">
        <v>2</v>
      </c>
      <c r="AD22" s="168"/>
      <c r="AE22" s="171"/>
      <c r="AF22" s="172">
        <f t="shared" si="1"/>
        <v>2</v>
      </c>
      <c r="AG22" s="168"/>
      <c r="AH22" s="168"/>
      <c r="AI22" s="171"/>
      <c r="AJ22" s="172">
        <f t="shared" si="2"/>
        <v>0</v>
      </c>
    </row>
    <row r="23" spans="2:36" s="47" customFormat="1" ht="22.5" x14ac:dyDescent="0.2">
      <c r="B23" s="6377"/>
      <c r="C23" s="6378"/>
      <c r="D23" s="414" t="s">
        <v>247</v>
      </c>
      <c r="E23" s="415">
        <v>2</v>
      </c>
      <c r="F23" s="416"/>
      <c r="G23" s="416"/>
      <c r="H23" s="417">
        <v>2</v>
      </c>
      <c r="I23" s="415">
        <v>5</v>
      </c>
      <c r="J23" s="416"/>
      <c r="K23" s="416"/>
      <c r="L23" s="417">
        <v>5</v>
      </c>
      <c r="M23" s="415"/>
      <c r="N23" s="416"/>
      <c r="O23" s="416">
        <v>2</v>
      </c>
      <c r="P23" s="418">
        <v>2</v>
      </c>
      <c r="Q23" s="416"/>
      <c r="R23" s="416"/>
      <c r="S23" s="416"/>
      <c r="T23" s="418"/>
      <c r="U23" s="416"/>
      <c r="V23" s="416"/>
      <c r="W23" s="419"/>
      <c r="X23" s="420"/>
      <c r="Y23" s="416">
        <v>6</v>
      </c>
      <c r="Z23" s="416"/>
      <c r="AA23" s="419"/>
      <c r="AB23" s="420">
        <f t="shared" si="0"/>
        <v>6</v>
      </c>
      <c r="AC23" s="416"/>
      <c r="AD23" s="416"/>
      <c r="AE23" s="419"/>
      <c r="AF23" s="420">
        <f t="shared" si="1"/>
        <v>0</v>
      </c>
      <c r="AG23" s="416"/>
      <c r="AH23" s="416"/>
      <c r="AI23" s="419"/>
      <c r="AJ23" s="420">
        <f t="shared" si="2"/>
        <v>0</v>
      </c>
    </row>
    <row r="24" spans="2:36" s="47" customFormat="1" ht="14.25" customHeight="1" x14ac:dyDescent="0.2">
      <c r="B24" s="6377"/>
      <c r="C24" s="6377" t="s">
        <v>7</v>
      </c>
      <c r="D24" s="160" t="s">
        <v>313</v>
      </c>
      <c r="E24" s="167">
        <v>10</v>
      </c>
      <c r="F24" s="168"/>
      <c r="G24" s="168"/>
      <c r="H24" s="169">
        <v>10</v>
      </c>
      <c r="I24" s="167"/>
      <c r="J24" s="168"/>
      <c r="K24" s="168"/>
      <c r="L24" s="169"/>
      <c r="M24" s="167"/>
      <c r="N24" s="168"/>
      <c r="O24" s="168"/>
      <c r="P24" s="170"/>
      <c r="Q24" s="168"/>
      <c r="R24" s="168"/>
      <c r="S24" s="168"/>
      <c r="T24" s="170"/>
      <c r="U24" s="168"/>
      <c r="V24" s="168"/>
      <c r="W24" s="168"/>
      <c r="X24" s="170"/>
      <c r="Y24" s="168"/>
      <c r="Z24" s="168"/>
      <c r="AA24" s="168"/>
      <c r="AB24" s="170">
        <f t="shared" si="0"/>
        <v>0</v>
      </c>
      <c r="AC24" s="168"/>
      <c r="AD24" s="168"/>
      <c r="AE24" s="168"/>
      <c r="AF24" s="170">
        <f t="shared" si="1"/>
        <v>0</v>
      </c>
      <c r="AG24" s="168"/>
      <c r="AH24" s="168"/>
      <c r="AI24" s="168"/>
      <c r="AJ24" s="170">
        <f t="shared" si="2"/>
        <v>0</v>
      </c>
    </row>
    <row r="25" spans="2:36" s="47" customFormat="1" ht="14.25" customHeight="1" x14ac:dyDescent="0.2">
      <c r="B25" s="6377"/>
      <c r="C25" s="6377"/>
      <c r="D25" s="160" t="s">
        <v>248</v>
      </c>
      <c r="E25" s="167">
        <v>11</v>
      </c>
      <c r="F25" s="168">
        <v>2</v>
      </c>
      <c r="G25" s="168">
        <v>11</v>
      </c>
      <c r="H25" s="169">
        <v>24</v>
      </c>
      <c r="I25" s="167"/>
      <c r="J25" s="168"/>
      <c r="K25" s="168">
        <v>17</v>
      </c>
      <c r="L25" s="169">
        <v>17</v>
      </c>
      <c r="M25" s="167"/>
      <c r="N25" s="168"/>
      <c r="O25" s="168">
        <v>4</v>
      </c>
      <c r="P25" s="170">
        <v>4</v>
      </c>
      <c r="Q25" s="168"/>
      <c r="R25" s="168">
        <v>3</v>
      </c>
      <c r="S25" s="168">
        <v>13</v>
      </c>
      <c r="T25" s="170">
        <v>16</v>
      </c>
      <c r="U25" s="168"/>
      <c r="V25" s="168"/>
      <c r="W25" s="168">
        <v>8</v>
      </c>
      <c r="X25" s="170">
        <v>8</v>
      </c>
      <c r="Y25" s="168"/>
      <c r="Z25" s="168">
        <v>1</v>
      </c>
      <c r="AA25" s="168">
        <v>21</v>
      </c>
      <c r="AB25" s="170">
        <f t="shared" si="0"/>
        <v>22</v>
      </c>
      <c r="AC25" s="168"/>
      <c r="AD25" s="168"/>
      <c r="AE25" s="168"/>
      <c r="AF25" s="170">
        <f t="shared" si="1"/>
        <v>0</v>
      </c>
      <c r="AG25" s="168"/>
      <c r="AH25" s="168"/>
      <c r="AI25" s="168"/>
      <c r="AJ25" s="170">
        <f t="shared" si="2"/>
        <v>0</v>
      </c>
    </row>
    <row r="26" spans="2:36" s="47" customFormat="1" ht="14.25" customHeight="1" x14ac:dyDescent="0.2">
      <c r="B26" s="6377"/>
      <c r="C26" s="6377"/>
      <c r="D26" s="160" t="s">
        <v>249</v>
      </c>
      <c r="E26" s="167">
        <v>8</v>
      </c>
      <c r="F26" s="168">
        <v>7</v>
      </c>
      <c r="G26" s="168">
        <v>2</v>
      </c>
      <c r="H26" s="169">
        <v>17</v>
      </c>
      <c r="I26" s="167"/>
      <c r="J26" s="168"/>
      <c r="K26" s="168">
        <v>13</v>
      </c>
      <c r="L26" s="169">
        <v>13</v>
      </c>
      <c r="M26" s="167"/>
      <c r="N26" s="168"/>
      <c r="O26" s="168">
        <v>4</v>
      </c>
      <c r="P26" s="170">
        <v>4</v>
      </c>
      <c r="Q26" s="168">
        <v>1</v>
      </c>
      <c r="R26" s="168">
        <v>11</v>
      </c>
      <c r="S26" s="168">
        <v>1</v>
      </c>
      <c r="T26" s="170">
        <v>13</v>
      </c>
      <c r="U26" s="168"/>
      <c r="V26" s="168">
        <v>3</v>
      </c>
      <c r="W26" s="168">
        <v>2</v>
      </c>
      <c r="X26" s="170">
        <v>5</v>
      </c>
      <c r="Y26" s="168">
        <v>2</v>
      </c>
      <c r="Z26" s="168"/>
      <c r="AA26" s="168">
        <v>18</v>
      </c>
      <c r="AB26" s="170">
        <f t="shared" si="0"/>
        <v>20</v>
      </c>
      <c r="AC26" s="168"/>
      <c r="AD26" s="168"/>
      <c r="AE26" s="168"/>
      <c r="AF26" s="170">
        <f t="shared" si="1"/>
        <v>0</v>
      </c>
      <c r="AG26" s="168"/>
      <c r="AH26" s="168"/>
      <c r="AI26" s="168"/>
      <c r="AJ26" s="170">
        <f t="shared" si="2"/>
        <v>0</v>
      </c>
    </row>
    <row r="27" spans="2:36" s="47" customFormat="1" ht="14.25" customHeight="1" x14ac:dyDescent="0.2">
      <c r="B27" s="6377"/>
      <c r="C27" s="6377"/>
      <c r="D27" s="160" t="s">
        <v>250</v>
      </c>
      <c r="E27" s="167"/>
      <c r="F27" s="168"/>
      <c r="G27" s="168">
        <v>9</v>
      </c>
      <c r="H27" s="169">
        <v>9</v>
      </c>
      <c r="I27" s="167"/>
      <c r="J27" s="168">
        <v>1</v>
      </c>
      <c r="K27" s="168"/>
      <c r="L27" s="169">
        <v>1</v>
      </c>
      <c r="M27" s="167"/>
      <c r="N27" s="168"/>
      <c r="O27" s="168">
        <v>4</v>
      </c>
      <c r="P27" s="170">
        <v>4</v>
      </c>
      <c r="Q27" s="168"/>
      <c r="R27" s="168"/>
      <c r="S27" s="168">
        <v>3</v>
      </c>
      <c r="T27" s="170">
        <v>3</v>
      </c>
      <c r="U27" s="168"/>
      <c r="V27" s="168"/>
      <c r="W27" s="168"/>
      <c r="X27" s="170"/>
      <c r="Y27" s="168"/>
      <c r="Z27" s="168"/>
      <c r="AA27" s="168"/>
      <c r="AB27" s="170">
        <f t="shared" si="0"/>
        <v>0</v>
      </c>
      <c r="AC27" s="168"/>
      <c r="AD27" s="168"/>
      <c r="AE27" s="168"/>
      <c r="AF27" s="170">
        <f t="shared" si="1"/>
        <v>0</v>
      </c>
      <c r="AG27" s="168"/>
      <c r="AH27" s="168"/>
      <c r="AI27" s="168"/>
      <c r="AJ27" s="170">
        <f t="shared" si="2"/>
        <v>0</v>
      </c>
    </row>
    <row r="28" spans="2:36" s="47" customFormat="1" ht="14.25" customHeight="1" x14ac:dyDescent="0.2">
      <c r="B28" s="6378"/>
      <c r="C28" s="6377"/>
      <c r="D28" s="160" t="s">
        <v>314</v>
      </c>
      <c r="E28" s="167">
        <v>1</v>
      </c>
      <c r="F28" s="168"/>
      <c r="G28" s="168"/>
      <c r="H28" s="169">
        <v>1</v>
      </c>
      <c r="I28" s="167"/>
      <c r="J28" s="168"/>
      <c r="K28" s="168"/>
      <c r="L28" s="169"/>
      <c r="M28" s="167"/>
      <c r="N28" s="168"/>
      <c r="O28" s="168"/>
      <c r="P28" s="170"/>
      <c r="Q28" s="168"/>
      <c r="R28" s="168"/>
      <c r="S28" s="168"/>
      <c r="T28" s="170"/>
      <c r="U28" s="168"/>
      <c r="V28" s="168"/>
      <c r="W28" s="168"/>
      <c r="X28" s="170"/>
      <c r="Y28" s="168"/>
      <c r="Z28" s="168"/>
      <c r="AA28" s="168"/>
      <c r="AB28" s="170">
        <f t="shared" si="0"/>
        <v>0</v>
      </c>
      <c r="AC28" s="168"/>
      <c r="AD28" s="168"/>
      <c r="AE28" s="168"/>
      <c r="AF28" s="170">
        <f t="shared" si="1"/>
        <v>0</v>
      </c>
      <c r="AG28" s="168"/>
      <c r="AH28" s="168"/>
      <c r="AI28" s="168"/>
      <c r="AJ28" s="170">
        <f t="shared" si="2"/>
        <v>0</v>
      </c>
    </row>
    <row r="29" spans="2:36" s="47" customFormat="1" ht="14.25" customHeight="1" x14ac:dyDescent="0.2">
      <c r="B29" s="6376" t="s">
        <v>441</v>
      </c>
      <c r="C29" s="6376" t="s">
        <v>5</v>
      </c>
      <c r="D29" s="421" t="s">
        <v>251</v>
      </c>
      <c r="E29" s="161">
        <v>2</v>
      </c>
      <c r="F29" s="162"/>
      <c r="G29" s="162">
        <v>2</v>
      </c>
      <c r="H29" s="163">
        <v>4</v>
      </c>
      <c r="I29" s="161"/>
      <c r="J29" s="162"/>
      <c r="K29" s="162"/>
      <c r="L29" s="163"/>
      <c r="M29" s="161">
        <v>2</v>
      </c>
      <c r="N29" s="162">
        <v>1</v>
      </c>
      <c r="O29" s="162"/>
      <c r="P29" s="164">
        <v>3</v>
      </c>
      <c r="Q29" s="162">
        <v>2</v>
      </c>
      <c r="R29" s="162">
        <v>1</v>
      </c>
      <c r="S29" s="162">
        <v>2</v>
      </c>
      <c r="T29" s="164">
        <v>5</v>
      </c>
      <c r="U29" s="162"/>
      <c r="V29" s="162"/>
      <c r="W29" s="162"/>
      <c r="X29" s="164"/>
      <c r="Y29" s="162"/>
      <c r="Z29" s="162"/>
      <c r="AA29" s="162"/>
      <c r="AB29" s="164">
        <f t="shared" si="0"/>
        <v>0</v>
      </c>
      <c r="AC29" s="162"/>
      <c r="AD29" s="162"/>
      <c r="AE29" s="162">
        <v>1</v>
      </c>
      <c r="AF29" s="164">
        <f t="shared" si="1"/>
        <v>1</v>
      </c>
      <c r="AG29" s="162"/>
      <c r="AH29" s="162"/>
      <c r="AI29" s="162"/>
      <c r="AJ29" s="164">
        <f t="shared" si="2"/>
        <v>0</v>
      </c>
    </row>
    <row r="30" spans="2:36" s="47" customFormat="1" ht="14.25" customHeight="1" x14ac:dyDescent="0.2">
      <c r="B30" s="6377"/>
      <c r="C30" s="6377"/>
      <c r="D30" s="173" t="s">
        <v>252</v>
      </c>
      <c r="E30" s="167">
        <v>1</v>
      </c>
      <c r="F30" s="168"/>
      <c r="G30" s="168"/>
      <c r="H30" s="169">
        <v>1</v>
      </c>
      <c r="I30" s="167"/>
      <c r="J30" s="168"/>
      <c r="K30" s="168"/>
      <c r="L30" s="169"/>
      <c r="M30" s="167"/>
      <c r="N30" s="168">
        <v>1</v>
      </c>
      <c r="O30" s="168"/>
      <c r="P30" s="170">
        <v>1</v>
      </c>
      <c r="Q30" s="168"/>
      <c r="R30" s="168"/>
      <c r="S30" s="168"/>
      <c r="T30" s="170"/>
      <c r="U30" s="168"/>
      <c r="V30" s="168"/>
      <c r="W30" s="168"/>
      <c r="X30" s="170"/>
      <c r="Y30" s="168">
        <v>1</v>
      </c>
      <c r="Z30" s="168"/>
      <c r="AA30" s="168">
        <v>2</v>
      </c>
      <c r="AB30" s="170">
        <f t="shared" si="0"/>
        <v>3</v>
      </c>
      <c r="AC30" s="168"/>
      <c r="AD30" s="168"/>
      <c r="AE30" s="168">
        <v>1</v>
      </c>
      <c r="AF30" s="170">
        <f t="shared" si="1"/>
        <v>1</v>
      </c>
      <c r="AG30" s="168"/>
      <c r="AH30" s="168"/>
      <c r="AI30" s="168"/>
      <c r="AJ30" s="170">
        <f t="shared" si="2"/>
        <v>0</v>
      </c>
    </row>
    <row r="31" spans="2:36" s="47" customFormat="1" ht="14.25" customHeight="1" x14ac:dyDescent="0.2">
      <c r="B31" s="6377"/>
      <c r="C31" s="6377"/>
      <c r="D31" s="173" t="s">
        <v>303</v>
      </c>
      <c r="E31" s="167"/>
      <c r="F31" s="168">
        <v>1</v>
      </c>
      <c r="G31" s="168">
        <v>3</v>
      </c>
      <c r="H31" s="169">
        <v>4</v>
      </c>
      <c r="I31" s="167">
        <v>4</v>
      </c>
      <c r="J31" s="168">
        <v>2</v>
      </c>
      <c r="K31" s="168">
        <v>4</v>
      </c>
      <c r="L31" s="169">
        <v>10</v>
      </c>
      <c r="M31" s="167">
        <v>1</v>
      </c>
      <c r="N31" s="168"/>
      <c r="O31" s="168">
        <v>1</v>
      </c>
      <c r="P31" s="170">
        <v>2</v>
      </c>
      <c r="Q31" s="168">
        <v>2</v>
      </c>
      <c r="R31" s="168"/>
      <c r="S31" s="168">
        <v>3</v>
      </c>
      <c r="T31" s="170">
        <v>5</v>
      </c>
      <c r="U31" s="168"/>
      <c r="V31" s="168">
        <v>1</v>
      </c>
      <c r="W31" s="168">
        <v>2</v>
      </c>
      <c r="X31" s="170">
        <v>3</v>
      </c>
      <c r="Y31" s="168"/>
      <c r="Z31" s="168"/>
      <c r="AA31" s="168">
        <v>5</v>
      </c>
      <c r="AB31" s="170">
        <f t="shared" si="0"/>
        <v>5</v>
      </c>
      <c r="AC31" s="168">
        <v>3</v>
      </c>
      <c r="AD31" s="168">
        <v>1</v>
      </c>
      <c r="AE31" s="168">
        <v>9</v>
      </c>
      <c r="AF31" s="170">
        <f t="shared" si="1"/>
        <v>13</v>
      </c>
      <c r="AG31" s="168"/>
      <c r="AH31" s="168"/>
      <c r="AI31" s="168"/>
      <c r="AJ31" s="170">
        <f t="shared" si="2"/>
        <v>0</v>
      </c>
    </row>
    <row r="32" spans="2:36" s="47" customFormat="1" ht="14.25" customHeight="1" x14ac:dyDescent="0.2">
      <c r="B32" s="6377"/>
      <c r="C32" s="6377"/>
      <c r="D32" s="173" t="s">
        <v>253</v>
      </c>
      <c r="E32" s="167"/>
      <c r="F32" s="168"/>
      <c r="G32" s="168"/>
      <c r="H32" s="169"/>
      <c r="I32" s="167"/>
      <c r="J32" s="168"/>
      <c r="K32" s="168"/>
      <c r="L32" s="169"/>
      <c r="M32" s="167"/>
      <c r="N32" s="168">
        <v>1</v>
      </c>
      <c r="O32" s="168"/>
      <c r="P32" s="170">
        <v>1</v>
      </c>
      <c r="Q32" s="168"/>
      <c r="R32" s="168"/>
      <c r="S32" s="168"/>
      <c r="T32" s="170"/>
      <c r="U32" s="168">
        <v>1</v>
      </c>
      <c r="V32" s="168"/>
      <c r="W32" s="168">
        <v>1</v>
      </c>
      <c r="X32" s="170">
        <v>2</v>
      </c>
      <c r="Y32" s="168"/>
      <c r="Z32" s="168"/>
      <c r="AA32" s="168"/>
      <c r="AB32" s="170">
        <f t="shared" si="0"/>
        <v>0</v>
      </c>
      <c r="AC32" s="168">
        <v>1</v>
      </c>
      <c r="AD32" s="168"/>
      <c r="AE32" s="168"/>
      <c r="AF32" s="170">
        <f t="shared" si="1"/>
        <v>1</v>
      </c>
      <c r="AG32" s="168"/>
      <c r="AH32" s="168"/>
      <c r="AI32" s="168"/>
      <c r="AJ32" s="170">
        <f t="shared" si="2"/>
        <v>0</v>
      </c>
    </row>
    <row r="33" spans="2:36" s="47" customFormat="1" ht="14.25" customHeight="1" x14ac:dyDescent="0.2">
      <c r="B33" s="6377"/>
      <c r="C33" s="6377"/>
      <c r="D33" s="173" t="s">
        <v>254</v>
      </c>
      <c r="E33" s="167">
        <v>3</v>
      </c>
      <c r="F33" s="168">
        <v>2</v>
      </c>
      <c r="G33" s="168">
        <v>2</v>
      </c>
      <c r="H33" s="169">
        <v>7</v>
      </c>
      <c r="I33" s="167">
        <v>1</v>
      </c>
      <c r="J33" s="168"/>
      <c r="K33" s="168">
        <v>3</v>
      </c>
      <c r="L33" s="169">
        <v>4</v>
      </c>
      <c r="M33" s="167">
        <v>2</v>
      </c>
      <c r="N33" s="168"/>
      <c r="O33" s="168"/>
      <c r="P33" s="170">
        <v>2</v>
      </c>
      <c r="Q33" s="168"/>
      <c r="R33" s="168"/>
      <c r="S33" s="168"/>
      <c r="T33" s="170"/>
      <c r="U33" s="168"/>
      <c r="V33" s="168"/>
      <c r="W33" s="168">
        <v>1</v>
      </c>
      <c r="X33" s="170">
        <v>1</v>
      </c>
      <c r="Y33" s="168">
        <v>1</v>
      </c>
      <c r="Z33" s="168"/>
      <c r="AA33" s="168">
        <v>1</v>
      </c>
      <c r="AB33" s="170">
        <f t="shared" si="0"/>
        <v>2</v>
      </c>
      <c r="AC33" s="168">
        <v>2</v>
      </c>
      <c r="AD33" s="168">
        <v>1</v>
      </c>
      <c r="AE33" s="168"/>
      <c r="AF33" s="170">
        <f t="shared" si="1"/>
        <v>3</v>
      </c>
      <c r="AG33" s="168"/>
      <c r="AH33" s="168"/>
      <c r="AI33" s="168"/>
      <c r="AJ33" s="170">
        <f t="shared" si="2"/>
        <v>0</v>
      </c>
    </row>
    <row r="34" spans="2:36" s="47" customFormat="1" ht="14.25" customHeight="1" x14ac:dyDescent="0.2">
      <c r="B34" s="6377"/>
      <c r="C34" s="6377"/>
      <c r="D34" s="173" t="s">
        <v>255</v>
      </c>
      <c r="E34" s="167">
        <v>1</v>
      </c>
      <c r="F34" s="168"/>
      <c r="G34" s="168"/>
      <c r="H34" s="169">
        <v>1</v>
      </c>
      <c r="I34" s="167"/>
      <c r="J34" s="168"/>
      <c r="K34" s="168"/>
      <c r="L34" s="169"/>
      <c r="M34" s="167"/>
      <c r="N34" s="168"/>
      <c r="O34" s="168"/>
      <c r="P34" s="170"/>
      <c r="Q34" s="168"/>
      <c r="R34" s="168"/>
      <c r="S34" s="168">
        <v>1</v>
      </c>
      <c r="T34" s="170">
        <v>1</v>
      </c>
      <c r="U34" s="168"/>
      <c r="V34" s="168"/>
      <c r="W34" s="168">
        <v>2</v>
      </c>
      <c r="X34" s="170">
        <v>2</v>
      </c>
      <c r="Y34" s="168">
        <v>6</v>
      </c>
      <c r="Z34" s="168">
        <v>2</v>
      </c>
      <c r="AA34" s="168">
        <v>6</v>
      </c>
      <c r="AB34" s="170">
        <f t="shared" si="0"/>
        <v>14</v>
      </c>
      <c r="AC34" s="168"/>
      <c r="AD34" s="168"/>
      <c r="AE34" s="168">
        <v>1</v>
      </c>
      <c r="AF34" s="170">
        <f t="shared" si="1"/>
        <v>1</v>
      </c>
      <c r="AG34" s="168"/>
      <c r="AH34" s="168"/>
      <c r="AI34" s="168"/>
      <c r="AJ34" s="170">
        <f t="shared" si="2"/>
        <v>0</v>
      </c>
    </row>
    <row r="35" spans="2:36" s="47" customFormat="1" ht="14.25" customHeight="1" x14ac:dyDescent="0.2">
      <c r="B35" s="6377"/>
      <c r="C35" s="6377"/>
      <c r="D35" s="173" t="s">
        <v>256</v>
      </c>
      <c r="E35" s="167"/>
      <c r="F35" s="168"/>
      <c r="G35" s="168">
        <v>2</v>
      </c>
      <c r="H35" s="169">
        <v>2</v>
      </c>
      <c r="I35" s="167"/>
      <c r="J35" s="168"/>
      <c r="K35" s="168">
        <v>2</v>
      </c>
      <c r="L35" s="169">
        <v>2</v>
      </c>
      <c r="M35" s="167"/>
      <c r="N35" s="168"/>
      <c r="O35" s="168">
        <v>3</v>
      </c>
      <c r="P35" s="170">
        <v>3</v>
      </c>
      <c r="Q35" s="168"/>
      <c r="R35" s="168"/>
      <c r="S35" s="168">
        <v>2</v>
      </c>
      <c r="T35" s="170">
        <v>2</v>
      </c>
      <c r="U35" s="168">
        <v>1</v>
      </c>
      <c r="V35" s="168"/>
      <c r="W35" s="168">
        <v>3</v>
      </c>
      <c r="X35" s="170">
        <v>4</v>
      </c>
      <c r="Y35" s="168"/>
      <c r="Z35" s="168"/>
      <c r="AA35" s="168">
        <v>3</v>
      </c>
      <c r="AB35" s="170">
        <f t="shared" si="0"/>
        <v>3</v>
      </c>
      <c r="AC35" s="168"/>
      <c r="AD35" s="168"/>
      <c r="AE35" s="168">
        <v>1</v>
      </c>
      <c r="AF35" s="170">
        <f t="shared" si="1"/>
        <v>1</v>
      </c>
      <c r="AG35" s="168"/>
      <c r="AH35" s="168"/>
      <c r="AI35" s="168"/>
      <c r="AJ35" s="170">
        <f t="shared" si="2"/>
        <v>0</v>
      </c>
    </row>
    <row r="36" spans="2:36" s="47" customFormat="1" ht="14.25" customHeight="1" x14ac:dyDescent="0.2">
      <c r="B36" s="6377"/>
      <c r="C36" s="6377"/>
      <c r="D36" s="173" t="s">
        <v>257</v>
      </c>
      <c r="E36" s="167"/>
      <c r="F36" s="168"/>
      <c r="G36" s="168"/>
      <c r="H36" s="169"/>
      <c r="I36" s="167"/>
      <c r="J36" s="168"/>
      <c r="K36" s="168"/>
      <c r="L36" s="169"/>
      <c r="M36" s="167"/>
      <c r="N36" s="168"/>
      <c r="O36" s="168"/>
      <c r="P36" s="170"/>
      <c r="Q36" s="168"/>
      <c r="R36" s="168"/>
      <c r="S36" s="168"/>
      <c r="T36" s="170"/>
      <c r="U36" s="168"/>
      <c r="V36" s="168"/>
      <c r="W36" s="168">
        <v>2</v>
      </c>
      <c r="X36" s="170">
        <v>2</v>
      </c>
      <c r="Y36" s="168">
        <v>1</v>
      </c>
      <c r="Z36" s="168"/>
      <c r="AA36" s="168">
        <v>2</v>
      </c>
      <c r="AB36" s="170">
        <f t="shared" si="0"/>
        <v>3</v>
      </c>
      <c r="AC36" s="168"/>
      <c r="AD36" s="168"/>
      <c r="AE36" s="168">
        <v>3</v>
      </c>
      <c r="AF36" s="170">
        <f t="shared" si="1"/>
        <v>3</v>
      </c>
      <c r="AG36" s="168"/>
      <c r="AH36" s="168"/>
      <c r="AI36" s="168"/>
      <c r="AJ36" s="170">
        <f t="shared" si="2"/>
        <v>0</v>
      </c>
    </row>
    <row r="37" spans="2:36" s="47" customFormat="1" ht="14.25" customHeight="1" x14ac:dyDescent="0.2">
      <c r="B37" s="6377"/>
      <c r="C37" s="6377"/>
      <c r="D37" s="173" t="s">
        <v>258</v>
      </c>
      <c r="E37" s="167"/>
      <c r="F37" s="168">
        <v>1</v>
      </c>
      <c r="G37" s="168">
        <v>2</v>
      </c>
      <c r="H37" s="169">
        <v>3</v>
      </c>
      <c r="I37" s="167"/>
      <c r="J37" s="168">
        <v>3</v>
      </c>
      <c r="K37" s="168"/>
      <c r="L37" s="169">
        <v>3</v>
      </c>
      <c r="M37" s="167">
        <v>1</v>
      </c>
      <c r="N37" s="168"/>
      <c r="O37" s="168">
        <v>1</v>
      </c>
      <c r="P37" s="170">
        <v>2</v>
      </c>
      <c r="Q37" s="168">
        <v>2</v>
      </c>
      <c r="R37" s="168">
        <v>1</v>
      </c>
      <c r="S37" s="168">
        <v>1</v>
      </c>
      <c r="T37" s="170">
        <v>4</v>
      </c>
      <c r="U37" s="168"/>
      <c r="V37" s="168">
        <v>4</v>
      </c>
      <c r="W37" s="168">
        <v>2</v>
      </c>
      <c r="X37" s="170">
        <v>6</v>
      </c>
      <c r="Y37" s="168">
        <v>1</v>
      </c>
      <c r="Z37" s="168">
        <v>4</v>
      </c>
      <c r="AA37" s="168">
        <v>1</v>
      </c>
      <c r="AB37" s="170">
        <f t="shared" si="0"/>
        <v>6</v>
      </c>
      <c r="AC37" s="168">
        <v>1</v>
      </c>
      <c r="AD37" s="168"/>
      <c r="AE37" s="168">
        <v>7</v>
      </c>
      <c r="AF37" s="170">
        <f t="shared" si="1"/>
        <v>8</v>
      </c>
      <c r="AG37" s="168"/>
      <c r="AH37" s="168"/>
      <c r="AI37" s="168"/>
      <c r="AJ37" s="170">
        <f t="shared" si="2"/>
        <v>0</v>
      </c>
    </row>
    <row r="38" spans="2:36" s="47" customFormat="1" ht="14.25" customHeight="1" x14ac:dyDescent="0.2">
      <c r="B38" s="6377"/>
      <c r="C38" s="6377"/>
      <c r="D38" s="173" t="s">
        <v>259</v>
      </c>
      <c r="E38" s="167"/>
      <c r="F38" s="168"/>
      <c r="G38" s="168"/>
      <c r="H38" s="169"/>
      <c r="I38" s="167"/>
      <c r="J38" s="168"/>
      <c r="K38" s="168"/>
      <c r="L38" s="169"/>
      <c r="M38" s="167"/>
      <c r="N38" s="168"/>
      <c r="O38" s="168"/>
      <c r="P38" s="170"/>
      <c r="Q38" s="168"/>
      <c r="R38" s="168"/>
      <c r="S38" s="168"/>
      <c r="T38" s="170"/>
      <c r="U38" s="168"/>
      <c r="V38" s="168">
        <v>1</v>
      </c>
      <c r="W38" s="168">
        <v>1</v>
      </c>
      <c r="X38" s="170">
        <v>2</v>
      </c>
      <c r="Y38" s="168"/>
      <c r="Z38" s="168"/>
      <c r="AA38" s="168">
        <v>2</v>
      </c>
      <c r="AB38" s="170">
        <f t="shared" si="0"/>
        <v>2</v>
      </c>
      <c r="AC38" s="168"/>
      <c r="AD38" s="168"/>
      <c r="AE38" s="168"/>
      <c r="AF38" s="170">
        <f t="shared" si="1"/>
        <v>0</v>
      </c>
      <c r="AG38" s="168"/>
      <c r="AH38" s="168"/>
      <c r="AI38" s="168"/>
      <c r="AJ38" s="170">
        <f t="shared" si="2"/>
        <v>0</v>
      </c>
    </row>
    <row r="39" spans="2:36" s="47" customFormat="1" ht="22.5" x14ac:dyDescent="0.2">
      <c r="B39" s="6377"/>
      <c r="C39" s="6377"/>
      <c r="D39" s="173" t="s">
        <v>260</v>
      </c>
      <c r="E39" s="167"/>
      <c r="F39" s="168"/>
      <c r="G39" s="168"/>
      <c r="H39" s="169"/>
      <c r="I39" s="167"/>
      <c r="J39" s="168"/>
      <c r="K39" s="168"/>
      <c r="L39" s="169"/>
      <c r="M39" s="167"/>
      <c r="N39" s="168"/>
      <c r="O39" s="168"/>
      <c r="P39" s="170"/>
      <c r="Q39" s="168"/>
      <c r="R39" s="168"/>
      <c r="S39" s="168">
        <v>1</v>
      </c>
      <c r="T39" s="170">
        <v>1</v>
      </c>
      <c r="U39" s="168"/>
      <c r="V39" s="168">
        <v>3</v>
      </c>
      <c r="W39" s="168"/>
      <c r="X39" s="170">
        <v>3</v>
      </c>
      <c r="Y39" s="168"/>
      <c r="Z39" s="168"/>
      <c r="AA39" s="168"/>
      <c r="AB39" s="170">
        <f t="shared" si="0"/>
        <v>0</v>
      </c>
      <c r="AC39" s="168"/>
      <c r="AD39" s="168"/>
      <c r="AE39" s="168">
        <v>4</v>
      </c>
      <c r="AF39" s="170">
        <f t="shared" si="1"/>
        <v>4</v>
      </c>
      <c r="AG39" s="168"/>
      <c r="AH39" s="168"/>
      <c r="AI39" s="168"/>
      <c r="AJ39" s="170">
        <f t="shared" si="2"/>
        <v>0</v>
      </c>
    </row>
    <row r="40" spans="2:36" s="47" customFormat="1" ht="14.25" customHeight="1" x14ac:dyDescent="0.2">
      <c r="B40" s="6377"/>
      <c r="C40" s="6377"/>
      <c r="D40" s="173" t="s">
        <v>315</v>
      </c>
      <c r="E40" s="167"/>
      <c r="F40" s="168"/>
      <c r="G40" s="168"/>
      <c r="H40" s="169"/>
      <c r="I40" s="167"/>
      <c r="J40" s="168"/>
      <c r="K40" s="168"/>
      <c r="L40" s="169"/>
      <c r="M40" s="167"/>
      <c r="N40" s="168"/>
      <c r="O40" s="168"/>
      <c r="P40" s="170"/>
      <c r="Q40" s="168"/>
      <c r="R40" s="168"/>
      <c r="S40" s="168"/>
      <c r="T40" s="170"/>
      <c r="U40" s="168"/>
      <c r="V40" s="168">
        <v>1</v>
      </c>
      <c r="W40" s="168"/>
      <c r="X40" s="170">
        <v>1</v>
      </c>
      <c r="Y40" s="168"/>
      <c r="Z40" s="168"/>
      <c r="AA40" s="168"/>
      <c r="AB40" s="170">
        <f t="shared" si="0"/>
        <v>0</v>
      </c>
      <c r="AC40" s="168"/>
      <c r="AD40" s="168"/>
      <c r="AE40" s="168"/>
      <c r="AF40" s="170">
        <f t="shared" si="1"/>
        <v>0</v>
      </c>
      <c r="AG40" s="168"/>
      <c r="AH40" s="168"/>
      <c r="AI40" s="168"/>
      <c r="AJ40" s="170">
        <f t="shared" si="2"/>
        <v>0</v>
      </c>
    </row>
    <row r="41" spans="2:36" s="47" customFormat="1" ht="14.25" customHeight="1" x14ac:dyDescent="0.2">
      <c r="B41" s="6377"/>
      <c r="C41" s="6378"/>
      <c r="D41" s="422" t="s">
        <v>261</v>
      </c>
      <c r="E41" s="415">
        <v>1</v>
      </c>
      <c r="F41" s="416">
        <v>6</v>
      </c>
      <c r="G41" s="416">
        <v>5</v>
      </c>
      <c r="H41" s="417">
        <v>12</v>
      </c>
      <c r="I41" s="415">
        <v>2</v>
      </c>
      <c r="J41" s="416">
        <v>4</v>
      </c>
      <c r="K41" s="416">
        <v>4</v>
      </c>
      <c r="L41" s="417">
        <v>10</v>
      </c>
      <c r="M41" s="415">
        <v>3</v>
      </c>
      <c r="N41" s="416">
        <v>2</v>
      </c>
      <c r="O41" s="416"/>
      <c r="P41" s="418">
        <v>5</v>
      </c>
      <c r="Q41" s="416"/>
      <c r="R41" s="416"/>
      <c r="S41" s="416"/>
      <c r="T41" s="418"/>
      <c r="U41" s="416"/>
      <c r="V41" s="416"/>
      <c r="W41" s="416"/>
      <c r="X41" s="418"/>
      <c r="Y41" s="416"/>
      <c r="Z41" s="416"/>
      <c r="AA41" s="416"/>
      <c r="AB41" s="418">
        <f t="shared" si="0"/>
        <v>0</v>
      </c>
      <c r="AC41" s="416">
        <v>1</v>
      </c>
      <c r="AD41" s="416"/>
      <c r="AE41" s="416">
        <v>2</v>
      </c>
      <c r="AF41" s="418">
        <f t="shared" si="1"/>
        <v>3</v>
      </c>
      <c r="AG41" s="416"/>
      <c r="AH41" s="416"/>
      <c r="AI41" s="416"/>
      <c r="AJ41" s="418">
        <f t="shared" si="2"/>
        <v>0</v>
      </c>
    </row>
    <row r="42" spans="2:36" s="47" customFormat="1" ht="14.25" customHeight="1" x14ac:dyDescent="0.2">
      <c r="B42" s="6377"/>
      <c r="C42" s="6377" t="s">
        <v>6</v>
      </c>
      <c r="D42" s="173" t="s">
        <v>262</v>
      </c>
      <c r="E42" s="167"/>
      <c r="F42" s="168"/>
      <c r="G42" s="168">
        <v>4</v>
      </c>
      <c r="H42" s="169">
        <v>4</v>
      </c>
      <c r="I42" s="167">
        <v>9</v>
      </c>
      <c r="J42" s="168"/>
      <c r="K42" s="168">
        <v>9</v>
      </c>
      <c r="L42" s="169">
        <v>18</v>
      </c>
      <c r="M42" s="167"/>
      <c r="N42" s="168">
        <v>3</v>
      </c>
      <c r="O42" s="168">
        <v>1</v>
      </c>
      <c r="P42" s="170">
        <v>4</v>
      </c>
      <c r="Q42" s="168">
        <v>12</v>
      </c>
      <c r="R42" s="168">
        <v>3</v>
      </c>
      <c r="S42" s="168">
        <v>4</v>
      </c>
      <c r="T42" s="170">
        <v>19</v>
      </c>
      <c r="U42" s="168"/>
      <c r="V42" s="168"/>
      <c r="W42" s="168"/>
      <c r="X42" s="170"/>
      <c r="Y42" s="168">
        <v>11</v>
      </c>
      <c r="Z42" s="168">
        <v>9</v>
      </c>
      <c r="AA42" s="168">
        <v>2</v>
      </c>
      <c r="AB42" s="170">
        <f t="shared" si="0"/>
        <v>22</v>
      </c>
      <c r="AC42" s="168">
        <v>27</v>
      </c>
      <c r="AD42" s="168"/>
      <c r="AE42" s="168"/>
      <c r="AF42" s="170">
        <f t="shared" si="1"/>
        <v>27</v>
      </c>
      <c r="AG42" s="168"/>
      <c r="AH42" s="168"/>
      <c r="AI42" s="168"/>
      <c r="AJ42" s="170">
        <f t="shared" si="2"/>
        <v>0</v>
      </c>
    </row>
    <row r="43" spans="2:36" s="47" customFormat="1" ht="14.25" customHeight="1" x14ac:dyDescent="0.2">
      <c r="B43" s="6377"/>
      <c r="C43" s="6377"/>
      <c r="D43" s="173" t="s">
        <v>263</v>
      </c>
      <c r="E43" s="167"/>
      <c r="F43" s="168"/>
      <c r="G43" s="168">
        <v>2</v>
      </c>
      <c r="H43" s="169">
        <v>2</v>
      </c>
      <c r="I43" s="167"/>
      <c r="J43" s="168"/>
      <c r="K43" s="168">
        <v>1</v>
      </c>
      <c r="L43" s="169">
        <v>1</v>
      </c>
      <c r="M43" s="167">
        <v>2</v>
      </c>
      <c r="N43" s="168">
        <v>1</v>
      </c>
      <c r="O43" s="168">
        <v>2</v>
      </c>
      <c r="P43" s="170">
        <v>5</v>
      </c>
      <c r="Q43" s="168"/>
      <c r="R43" s="168"/>
      <c r="S43" s="168">
        <v>1</v>
      </c>
      <c r="T43" s="170">
        <v>1</v>
      </c>
      <c r="U43" s="168"/>
      <c r="V43" s="168"/>
      <c r="W43" s="168">
        <v>1</v>
      </c>
      <c r="X43" s="170">
        <v>1</v>
      </c>
      <c r="Y43" s="168"/>
      <c r="Z43" s="168"/>
      <c r="AA43" s="168">
        <v>1</v>
      </c>
      <c r="AB43" s="170">
        <f t="shared" si="0"/>
        <v>1</v>
      </c>
      <c r="AC43" s="168"/>
      <c r="AD43" s="168"/>
      <c r="AE43" s="168">
        <v>1</v>
      </c>
      <c r="AF43" s="170">
        <f t="shared" si="1"/>
        <v>1</v>
      </c>
      <c r="AG43" s="168"/>
      <c r="AH43" s="168"/>
      <c r="AI43" s="168"/>
      <c r="AJ43" s="170">
        <f t="shared" si="2"/>
        <v>0</v>
      </c>
    </row>
    <row r="44" spans="2:36" s="47" customFormat="1" ht="14.25" customHeight="1" x14ac:dyDescent="0.2">
      <c r="B44" s="6377"/>
      <c r="C44" s="6377"/>
      <c r="D44" s="173" t="s">
        <v>264</v>
      </c>
      <c r="E44" s="167">
        <v>5</v>
      </c>
      <c r="F44" s="168">
        <v>1</v>
      </c>
      <c r="G44" s="168">
        <v>8</v>
      </c>
      <c r="H44" s="169">
        <v>14</v>
      </c>
      <c r="I44" s="167">
        <v>1</v>
      </c>
      <c r="J44" s="168"/>
      <c r="K44" s="168">
        <v>3</v>
      </c>
      <c r="L44" s="169">
        <v>4</v>
      </c>
      <c r="M44" s="167">
        <v>1</v>
      </c>
      <c r="N44" s="168"/>
      <c r="O44" s="168">
        <v>6</v>
      </c>
      <c r="P44" s="170">
        <v>7</v>
      </c>
      <c r="Q44" s="168">
        <v>1</v>
      </c>
      <c r="R44" s="168">
        <v>2</v>
      </c>
      <c r="S44" s="168">
        <v>2</v>
      </c>
      <c r="T44" s="170">
        <v>5</v>
      </c>
      <c r="U44" s="168"/>
      <c r="V44" s="168"/>
      <c r="W44" s="168">
        <v>3</v>
      </c>
      <c r="X44" s="170">
        <v>3</v>
      </c>
      <c r="Y44" s="168">
        <v>1</v>
      </c>
      <c r="Z44" s="168">
        <v>1</v>
      </c>
      <c r="AA44" s="168">
        <v>10</v>
      </c>
      <c r="AB44" s="170">
        <f t="shared" si="0"/>
        <v>12</v>
      </c>
      <c r="AC44" s="168"/>
      <c r="AD44" s="168"/>
      <c r="AE44" s="168">
        <v>8</v>
      </c>
      <c r="AF44" s="170">
        <f t="shared" si="1"/>
        <v>8</v>
      </c>
      <c r="AG44" s="168"/>
      <c r="AH44" s="168"/>
      <c r="AI44" s="168"/>
      <c r="AJ44" s="170">
        <f t="shared" si="2"/>
        <v>0</v>
      </c>
    </row>
    <row r="45" spans="2:36" s="47" customFormat="1" ht="14.25" customHeight="1" x14ac:dyDescent="0.2">
      <c r="B45" s="6377"/>
      <c r="C45" s="6377"/>
      <c r="D45" s="173" t="s">
        <v>265</v>
      </c>
      <c r="E45" s="167"/>
      <c r="F45" s="168"/>
      <c r="G45" s="168">
        <v>1</v>
      </c>
      <c r="H45" s="169">
        <v>1</v>
      </c>
      <c r="I45" s="167"/>
      <c r="J45" s="168"/>
      <c r="K45" s="168"/>
      <c r="L45" s="169"/>
      <c r="M45" s="167"/>
      <c r="N45" s="168"/>
      <c r="O45" s="168">
        <v>3</v>
      </c>
      <c r="P45" s="170">
        <v>3</v>
      </c>
      <c r="Q45" s="168">
        <v>1</v>
      </c>
      <c r="R45" s="168"/>
      <c r="S45" s="168"/>
      <c r="T45" s="170">
        <v>1</v>
      </c>
      <c r="U45" s="168"/>
      <c r="V45" s="168"/>
      <c r="W45" s="168">
        <v>7</v>
      </c>
      <c r="X45" s="170">
        <v>7</v>
      </c>
      <c r="Y45" s="168"/>
      <c r="Z45" s="168"/>
      <c r="AA45" s="168"/>
      <c r="AB45" s="170">
        <f t="shared" si="0"/>
        <v>0</v>
      </c>
      <c r="AC45" s="168"/>
      <c r="AD45" s="168"/>
      <c r="AE45" s="168">
        <v>7</v>
      </c>
      <c r="AF45" s="170">
        <f t="shared" si="1"/>
        <v>7</v>
      </c>
      <c r="AG45" s="168"/>
      <c r="AH45" s="168"/>
      <c r="AI45" s="168"/>
      <c r="AJ45" s="170">
        <f t="shared" si="2"/>
        <v>0</v>
      </c>
    </row>
    <row r="46" spans="2:36" s="47" customFormat="1" ht="14.25" customHeight="1" x14ac:dyDescent="0.2">
      <c r="B46" s="6377"/>
      <c r="C46" s="6377"/>
      <c r="D46" s="173" t="s">
        <v>266</v>
      </c>
      <c r="E46" s="167"/>
      <c r="F46" s="168"/>
      <c r="G46" s="168">
        <v>7</v>
      </c>
      <c r="H46" s="169">
        <v>7</v>
      </c>
      <c r="I46" s="167"/>
      <c r="J46" s="168">
        <v>1</v>
      </c>
      <c r="K46" s="168">
        <v>2</v>
      </c>
      <c r="L46" s="169">
        <v>3</v>
      </c>
      <c r="M46" s="167"/>
      <c r="N46" s="168"/>
      <c r="O46" s="168">
        <v>2</v>
      </c>
      <c r="P46" s="170">
        <v>2</v>
      </c>
      <c r="Q46" s="168">
        <v>1</v>
      </c>
      <c r="R46" s="168"/>
      <c r="S46" s="168">
        <v>9</v>
      </c>
      <c r="T46" s="170">
        <v>10</v>
      </c>
      <c r="U46" s="168"/>
      <c r="V46" s="168">
        <v>7</v>
      </c>
      <c r="W46" s="168">
        <v>2</v>
      </c>
      <c r="X46" s="170">
        <v>9</v>
      </c>
      <c r="Y46" s="168"/>
      <c r="Z46" s="168"/>
      <c r="AA46" s="168">
        <v>8</v>
      </c>
      <c r="AB46" s="170">
        <f t="shared" si="0"/>
        <v>8</v>
      </c>
      <c r="AC46" s="168"/>
      <c r="AD46" s="168"/>
      <c r="AE46" s="168"/>
      <c r="AF46" s="170">
        <f t="shared" si="1"/>
        <v>0</v>
      </c>
      <c r="AG46" s="168"/>
      <c r="AH46" s="168"/>
      <c r="AI46" s="168"/>
      <c r="AJ46" s="170">
        <f t="shared" si="2"/>
        <v>0</v>
      </c>
    </row>
    <row r="47" spans="2:36" s="47" customFormat="1" ht="14.25" customHeight="1" x14ac:dyDescent="0.2">
      <c r="B47" s="6377"/>
      <c r="C47" s="6377"/>
      <c r="D47" s="173" t="s">
        <v>267</v>
      </c>
      <c r="E47" s="167"/>
      <c r="F47" s="168"/>
      <c r="G47" s="168">
        <v>7</v>
      </c>
      <c r="H47" s="169">
        <v>7</v>
      </c>
      <c r="I47" s="167"/>
      <c r="J47" s="168"/>
      <c r="K47" s="168">
        <v>35</v>
      </c>
      <c r="L47" s="169">
        <v>35</v>
      </c>
      <c r="M47" s="167">
        <v>1</v>
      </c>
      <c r="N47" s="168">
        <v>1</v>
      </c>
      <c r="O47" s="168">
        <v>2</v>
      </c>
      <c r="P47" s="170">
        <v>4</v>
      </c>
      <c r="Q47" s="168">
        <v>1</v>
      </c>
      <c r="R47" s="168"/>
      <c r="S47" s="168">
        <v>17</v>
      </c>
      <c r="T47" s="170">
        <v>18</v>
      </c>
      <c r="U47" s="168"/>
      <c r="V47" s="168"/>
      <c r="W47" s="168"/>
      <c r="X47" s="170"/>
      <c r="Y47" s="168"/>
      <c r="Z47" s="168"/>
      <c r="AA47" s="168"/>
      <c r="AB47" s="170">
        <f t="shared" si="0"/>
        <v>0</v>
      </c>
      <c r="AC47" s="168">
        <v>26</v>
      </c>
      <c r="AD47" s="168"/>
      <c r="AE47" s="168"/>
      <c r="AF47" s="170">
        <f t="shared" si="1"/>
        <v>26</v>
      </c>
      <c r="AG47" s="168"/>
      <c r="AH47" s="168"/>
      <c r="AI47" s="168"/>
      <c r="AJ47" s="170">
        <f t="shared" si="2"/>
        <v>0</v>
      </c>
    </row>
    <row r="48" spans="2:36" s="47" customFormat="1" ht="14.25" customHeight="1" x14ac:dyDescent="0.2">
      <c r="B48" s="6377"/>
      <c r="C48" s="6377"/>
      <c r="D48" s="173" t="s">
        <v>268</v>
      </c>
      <c r="E48" s="167"/>
      <c r="F48" s="168"/>
      <c r="G48" s="168">
        <v>4</v>
      </c>
      <c r="H48" s="169">
        <v>4</v>
      </c>
      <c r="I48" s="167">
        <v>3</v>
      </c>
      <c r="J48" s="168"/>
      <c r="K48" s="168">
        <v>10</v>
      </c>
      <c r="L48" s="169">
        <v>13</v>
      </c>
      <c r="M48" s="167">
        <v>3</v>
      </c>
      <c r="N48" s="168"/>
      <c r="O48" s="168"/>
      <c r="P48" s="170">
        <v>3</v>
      </c>
      <c r="Q48" s="168">
        <v>2</v>
      </c>
      <c r="R48" s="168"/>
      <c r="S48" s="168">
        <v>6</v>
      </c>
      <c r="T48" s="170">
        <v>8</v>
      </c>
      <c r="U48" s="168"/>
      <c r="V48" s="168"/>
      <c r="W48" s="168">
        <v>1</v>
      </c>
      <c r="X48" s="170">
        <v>1</v>
      </c>
      <c r="Y48" s="168"/>
      <c r="Z48" s="168"/>
      <c r="AA48" s="168"/>
      <c r="AB48" s="170">
        <f t="shared" si="0"/>
        <v>0</v>
      </c>
      <c r="AC48" s="168">
        <v>5</v>
      </c>
      <c r="AD48" s="168"/>
      <c r="AE48" s="168"/>
      <c r="AF48" s="170">
        <f t="shared" si="1"/>
        <v>5</v>
      </c>
      <c r="AG48" s="168"/>
      <c r="AH48" s="168"/>
      <c r="AI48" s="168"/>
      <c r="AJ48" s="170">
        <f t="shared" si="2"/>
        <v>0</v>
      </c>
    </row>
    <row r="49" spans="2:36" s="47" customFormat="1" ht="14.25" customHeight="1" x14ac:dyDescent="0.2">
      <c r="B49" s="6377"/>
      <c r="C49" s="6377"/>
      <c r="D49" s="173" t="s">
        <v>269</v>
      </c>
      <c r="E49" s="167">
        <v>2</v>
      </c>
      <c r="F49" s="168">
        <v>2</v>
      </c>
      <c r="G49" s="168">
        <v>1</v>
      </c>
      <c r="H49" s="169">
        <v>5</v>
      </c>
      <c r="I49" s="167">
        <v>4</v>
      </c>
      <c r="J49" s="168">
        <v>5</v>
      </c>
      <c r="K49" s="168">
        <v>11</v>
      </c>
      <c r="L49" s="169">
        <v>20</v>
      </c>
      <c r="M49" s="167">
        <v>1</v>
      </c>
      <c r="N49" s="168"/>
      <c r="O49" s="168"/>
      <c r="P49" s="170">
        <v>1</v>
      </c>
      <c r="Q49" s="168">
        <v>2</v>
      </c>
      <c r="R49" s="168"/>
      <c r="S49" s="168">
        <v>5</v>
      </c>
      <c r="T49" s="170">
        <v>7</v>
      </c>
      <c r="U49" s="168"/>
      <c r="V49" s="168"/>
      <c r="W49" s="168"/>
      <c r="X49" s="170"/>
      <c r="Y49" s="168"/>
      <c r="Z49" s="168"/>
      <c r="AA49" s="168">
        <v>2</v>
      </c>
      <c r="AB49" s="170">
        <f t="shared" si="0"/>
        <v>2</v>
      </c>
      <c r="AC49" s="168"/>
      <c r="AD49" s="168">
        <v>1</v>
      </c>
      <c r="AE49" s="168">
        <v>2</v>
      </c>
      <c r="AF49" s="170">
        <f t="shared" si="1"/>
        <v>3</v>
      </c>
      <c r="AG49" s="168"/>
      <c r="AH49" s="168"/>
      <c r="AI49" s="168"/>
      <c r="AJ49" s="170">
        <f t="shared" si="2"/>
        <v>0</v>
      </c>
    </row>
    <row r="50" spans="2:36" s="47" customFormat="1" ht="14.25" customHeight="1" x14ac:dyDescent="0.2">
      <c r="B50" s="6377"/>
      <c r="C50" s="6377"/>
      <c r="D50" s="173" t="s">
        <v>270</v>
      </c>
      <c r="E50" s="167"/>
      <c r="F50" s="168"/>
      <c r="G50" s="168"/>
      <c r="H50" s="169"/>
      <c r="I50" s="167">
        <v>3</v>
      </c>
      <c r="J50" s="168">
        <v>3</v>
      </c>
      <c r="K50" s="168">
        <v>8</v>
      </c>
      <c r="L50" s="169">
        <v>14</v>
      </c>
      <c r="M50" s="167">
        <v>1</v>
      </c>
      <c r="N50" s="168">
        <v>2</v>
      </c>
      <c r="O50" s="168">
        <v>2</v>
      </c>
      <c r="P50" s="170">
        <v>5</v>
      </c>
      <c r="Q50" s="168">
        <v>2</v>
      </c>
      <c r="R50" s="168"/>
      <c r="S50" s="168">
        <v>4</v>
      </c>
      <c r="T50" s="170">
        <v>6</v>
      </c>
      <c r="U50" s="168"/>
      <c r="V50" s="168"/>
      <c r="W50" s="168">
        <v>3</v>
      </c>
      <c r="X50" s="170">
        <v>3</v>
      </c>
      <c r="Y50" s="168"/>
      <c r="Z50" s="168"/>
      <c r="AA50" s="168"/>
      <c r="AB50" s="170">
        <f t="shared" si="0"/>
        <v>0</v>
      </c>
      <c r="AC50" s="168">
        <v>1</v>
      </c>
      <c r="AD50" s="168"/>
      <c r="AE50" s="168">
        <v>4</v>
      </c>
      <c r="AF50" s="170">
        <f t="shared" si="1"/>
        <v>5</v>
      </c>
      <c r="AG50" s="168"/>
      <c r="AH50" s="168"/>
      <c r="AI50" s="168"/>
      <c r="AJ50" s="170">
        <f t="shared" si="2"/>
        <v>0</v>
      </c>
    </row>
    <row r="51" spans="2:36" s="47" customFormat="1" ht="14.25" customHeight="1" x14ac:dyDescent="0.2">
      <c r="B51" s="6377"/>
      <c r="C51" s="6377"/>
      <c r="D51" s="160" t="s">
        <v>242</v>
      </c>
      <c r="E51" s="167"/>
      <c r="F51" s="168"/>
      <c r="G51" s="168"/>
      <c r="H51" s="169"/>
      <c r="I51" s="167">
        <v>7</v>
      </c>
      <c r="J51" s="168"/>
      <c r="K51" s="168"/>
      <c r="L51" s="169">
        <v>7</v>
      </c>
      <c r="M51" s="167">
        <v>1</v>
      </c>
      <c r="N51" s="168"/>
      <c r="O51" s="168"/>
      <c r="P51" s="170">
        <v>1</v>
      </c>
      <c r="Q51" s="168">
        <v>2</v>
      </c>
      <c r="R51" s="168">
        <v>1</v>
      </c>
      <c r="S51" s="168"/>
      <c r="T51" s="170">
        <v>3</v>
      </c>
      <c r="U51" s="168"/>
      <c r="V51" s="168"/>
      <c r="W51" s="168"/>
      <c r="X51" s="170"/>
      <c r="Y51" s="168"/>
      <c r="Z51" s="168"/>
      <c r="AA51" s="168"/>
      <c r="AB51" s="170">
        <f t="shared" si="0"/>
        <v>0</v>
      </c>
      <c r="AC51" s="168">
        <v>4</v>
      </c>
      <c r="AD51" s="168"/>
      <c r="AE51" s="168"/>
      <c r="AF51" s="170">
        <f t="shared" si="1"/>
        <v>4</v>
      </c>
      <c r="AG51" s="168"/>
      <c r="AH51" s="168"/>
      <c r="AI51" s="168"/>
      <c r="AJ51" s="170">
        <f t="shared" si="2"/>
        <v>0</v>
      </c>
    </row>
    <row r="52" spans="2:36" s="47" customFormat="1" ht="14.25" customHeight="1" x14ac:dyDescent="0.2">
      <c r="B52" s="6377"/>
      <c r="C52" s="6377"/>
      <c r="D52" s="160" t="s">
        <v>243</v>
      </c>
      <c r="E52" s="167"/>
      <c r="F52" s="168"/>
      <c r="G52" s="168"/>
      <c r="H52" s="169"/>
      <c r="I52" s="167"/>
      <c r="J52" s="168"/>
      <c r="K52" s="168"/>
      <c r="L52" s="169"/>
      <c r="M52" s="167"/>
      <c r="N52" s="168"/>
      <c r="O52" s="168"/>
      <c r="P52" s="170"/>
      <c r="Q52" s="168">
        <v>11</v>
      </c>
      <c r="R52" s="168"/>
      <c r="S52" s="168">
        <v>1</v>
      </c>
      <c r="T52" s="170">
        <v>12</v>
      </c>
      <c r="U52" s="168"/>
      <c r="V52" s="168">
        <v>6</v>
      </c>
      <c r="W52" s="168">
        <v>1</v>
      </c>
      <c r="X52" s="170">
        <v>7</v>
      </c>
      <c r="Y52" s="168">
        <v>3</v>
      </c>
      <c r="Z52" s="168"/>
      <c r="AA52" s="168"/>
      <c r="AB52" s="170">
        <f t="shared" si="0"/>
        <v>3</v>
      </c>
      <c r="AC52" s="168">
        <v>1</v>
      </c>
      <c r="AD52" s="168"/>
      <c r="AE52" s="168"/>
      <c r="AF52" s="170">
        <f t="shared" si="1"/>
        <v>1</v>
      </c>
      <c r="AG52" s="168"/>
      <c r="AH52" s="168"/>
      <c r="AI52" s="168"/>
      <c r="AJ52" s="170">
        <f t="shared" si="2"/>
        <v>0</v>
      </c>
    </row>
    <row r="53" spans="2:36" s="47" customFormat="1" ht="14.25" customHeight="1" x14ac:dyDescent="0.2">
      <c r="B53" s="6377"/>
      <c r="C53" s="6376" t="s">
        <v>11</v>
      </c>
      <c r="D53" s="413" t="s">
        <v>271</v>
      </c>
      <c r="E53" s="161"/>
      <c r="F53" s="162"/>
      <c r="G53" s="162">
        <v>1</v>
      </c>
      <c r="H53" s="163">
        <v>1</v>
      </c>
      <c r="I53" s="161"/>
      <c r="J53" s="162">
        <v>1</v>
      </c>
      <c r="K53" s="162">
        <v>1</v>
      </c>
      <c r="L53" s="163">
        <v>2</v>
      </c>
      <c r="M53" s="161"/>
      <c r="N53" s="162"/>
      <c r="O53" s="162"/>
      <c r="P53" s="164"/>
      <c r="Q53" s="162">
        <v>2</v>
      </c>
      <c r="R53" s="162">
        <v>1</v>
      </c>
      <c r="S53" s="162">
        <v>5</v>
      </c>
      <c r="T53" s="164">
        <v>8</v>
      </c>
      <c r="U53" s="162"/>
      <c r="V53" s="162"/>
      <c r="W53" s="162">
        <v>2</v>
      </c>
      <c r="X53" s="164">
        <v>2</v>
      </c>
      <c r="Y53" s="162">
        <v>2</v>
      </c>
      <c r="Z53" s="162">
        <v>2</v>
      </c>
      <c r="AA53" s="162">
        <v>1</v>
      </c>
      <c r="AB53" s="164">
        <f t="shared" si="0"/>
        <v>5</v>
      </c>
      <c r="AC53" s="162"/>
      <c r="AD53" s="162"/>
      <c r="AE53" s="162">
        <v>3</v>
      </c>
      <c r="AF53" s="164">
        <f t="shared" si="1"/>
        <v>3</v>
      </c>
      <c r="AG53" s="162"/>
      <c r="AH53" s="162"/>
      <c r="AI53" s="162"/>
      <c r="AJ53" s="164">
        <f t="shared" si="2"/>
        <v>0</v>
      </c>
    </row>
    <row r="54" spans="2:36" s="47" customFormat="1" ht="14.25" customHeight="1" x14ac:dyDescent="0.2">
      <c r="B54" s="6377"/>
      <c r="C54" s="6377"/>
      <c r="D54" s="173" t="s">
        <v>272</v>
      </c>
      <c r="E54" s="167"/>
      <c r="F54" s="168"/>
      <c r="G54" s="168">
        <v>7</v>
      </c>
      <c r="H54" s="169">
        <v>7</v>
      </c>
      <c r="I54" s="167"/>
      <c r="J54" s="168"/>
      <c r="K54" s="168">
        <v>3</v>
      </c>
      <c r="L54" s="169">
        <v>3</v>
      </c>
      <c r="M54" s="167"/>
      <c r="N54" s="168"/>
      <c r="O54" s="168">
        <v>3</v>
      </c>
      <c r="P54" s="170">
        <v>3</v>
      </c>
      <c r="Q54" s="168"/>
      <c r="R54" s="168"/>
      <c r="S54" s="168"/>
      <c r="T54" s="170"/>
      <c r="U54" s="168"/>
      <c r="V54" s="168"/>
      <c r="W54" s="168">
        <v>5</v>
      </c>
      <c r="X54" s="170">
        <v>5</v>
      </c>
      <c r="Y54" s="168">
        <v>1</v>
      </c>
      <c r="Z54" s="168"/>
      <c r="AA54" s="168">
        <v>1</v>
      </c>
      <c r="AB54" s="170">
        <f t="shared" si="0"/>
        <v>2</v>
      </c>
      <c r="AC54" s="168"/>
      <c r="AD54" s="168"/>
      <c r="AE54" s="168">
        <v>2</v>
      </c>
      <c r="AF54" s="170">
        <f t="shared" si="1"/>
        <v>2</v>
      </c>
      <c r="AG54" s="168"/>
      <c r="AH54" s="168"/>
      <c r="AI54" s="168"/>
      <c r="AJ54" s="170">
        <f t="shared" si="2"/>
        <v>0</v>
      </c>
    </row>
    <row r="55" spans="2:36" s="47" customFormat="1" ht="14.25" customHeight="1" x14ac:dyDescent="0.2">
      <c r="B55" s="6377"/>
      <c r="C55" s="6377"/>
      <c r="D55" s="173" t="s">
        <v>273</v>
      </c>
      <c r="E55" s="167">
        <v>2</v>
      </c>
      <c r="F55" s="168"/>
      <c r="G55" s="168">
        <v>1</v>
      </c>
      <c r="H55" s="169">
        <v>3</v>
      </c>
      <c r="I55" s="167">
        <v>2</v>
      </c>
      <c r="J55" s="168"/>
      <c r="K55" s="168">
        <v>1</v>
      </c>
      <c r="L55" s="169">
        <v>3</v>
      </c>
      <c r="M55" s="167"/>
      <c r="N55" s="168"/>
      <c r="O55" s="168">
        <v>1</v>
      </c>
      <c r="P55" s="170">
        <v>1</v>
      </c>
      <c r="Q55" s="168">
        <v>1</v>
      </c>
      <c r="R55" s="168"/>
      <c r="S55" s="168">
        <v>5</v>
      </c>
      <c r="T55" s="170">
        <v>6</v>
      </c>
      <c r="U55" s="168"/>
      <c r="V55" s="168">
        <v>1</v>
      </c>
      <c r="W55" s="168">
        <v>9</v>
      </c>
      <c r="X55" s="170">
        <v>10</v>
      </c>
      <c r="Y55" s="168">
        <v>3</v>
      </c>
      <c r="Z55" s="168"/>
      <c r="AA55" s="168"/>
      <c r="AB55" s="170">
        <f t="shared" si="0"/>
        <v>3</v>
      </c>
      <c r="AC55" s="168"/>
      <c r="AD55" s="168"/>
      <c r="AE55" s="168"/>
      <c r="AF55" s="170">
        <f t="shared" si="1"/>
        <v>0</v>
      </c>
      <c r="AG55" s="168"/>
      <c r="AH55" s="168"/>
      <c r="AI55" s="168"/>
      <c r="AJ55" s="170">
        <f t="shared" si="2"/>
        <v>0</v>
      </c>
    </row>
    <row r="56" spans="2:36" s="47" customFormat="1" ht="14.25" customHeight="1" x14ac:dyDescent="0.2">
      <c r="B56" s="6377"/>
      <c r="C56" s="6377"/>
      <c r="D56" s="160" t="s">
        <v>274</v>
      </c>
      <c r="E56" s="167"/>
      <c r="F56" s="168"/>
      <c r="G56" s="168">
        <v>7</v>
      </c>
      <c r="H56" s="169">
        <v>7</v>
      </c>
      <c r="I56" s="167"/>
      <c r="J56" s="168"/>
      <c r="K56" s="168">
        <v>5</v>
      </c>
      <c r="L56" s="169">
        <v>5</v>
      </c>
      <c r="M56" s="167"/>
      <c r="N56" s="168"/>
      <c r="O56" s="168">
        <v>1</v>
      </c>
      <c r="P56" s="170">
        <v>1</v>
      </c>
      <c r="Q56" s="168"/>
      <c r="R56" s="168"/>
      <c r="S56" s="168">
        <v>6</v>
      </c>
      <c r="T56" s="170">
        <v>6</v>
      </c>
      <c r="U56" s="168"/>
      <c r="V56" s="168"/>
      <c r="W56" s="168">
        <v>9</v>
      </c>
      <c r="X56" s="170">
        <v>9</v>
      </c>
      <c r="Y56" s="168">
        <v>1</v>
      </c>
      <c r="Z56" s="168"/>
      <c r="AA56" s="168">
        <v>6</v>
      </c>
      <c r="AB56" s="170">
        <f t="shared" si="0"/>
        <v>7</v>
      </c>
      <c r="AC56" s="168"/>
      <c r="AD56" s="168"/>
      <c r="AE56" s="168">
        <v>3</v>
      </c>
      <c r="AF56" s="170">
        <f t="shared" si="1"/>
        <v>3</v>
      </c>
      <c r="AG56" s="168"/>
      <c r="AH56" s="168"/>
      <c r="AI56" s="168"/>
      <c r="AJ56" s="170">
        <f t="shared" si="2"/>
        <v>0</v>
      </c>
    </row>
    <row r="57" spans="2:36" s="47" customFormat="1" ht="22.5" x14ac:dyDescent="0.2">
      <c r="B57" s="6377"/>
      <c r="C57" s="6377"/>
      <c r="D57" s="160" t="s">
        <v>275</v>
      </c>
      <c r="E57" s="167">
        <v>2</v>
      </c>
      <c r="F57" s="168"/>
      <c r="G57" s="168"/>
      <c r="H57" s="169">
        <v>2</v>
      </c>
      <c r="I57" s="167">
        <v>5</v>
      </c>
      <c r="J57" s="168"/>
      <c r="K57" s="168"/>
      <c r="L57" s="169">
        <v>5</v>
      </c>
      <c r="M57" s="167">
        <v>1</v>
      </c>
      <c r="N57" s="168"/>
      <c r="O57" s="168"/>
      <c r="P57" s="170">
        <v>1</v>
      </c>
      <c r="Q57" s="168"/>
      <c r="R57" s="168">
        <v>1</v>
      </c>
      <c r="S57" s="168"/>
      <c r="T57" s="170">
        <v>1</v>
      </c>
      <c r="U57" s="168"/>
      <c r="V57" s="168"/>
      <c r="W57" s="168"/>
      <c r="X57" s="170"/>
      <c r="Y57" s="168"/>
      <c r="Z57" s="168"/>
      <c r="AA57" s="168"/>
      <c r="AB57" s="170">
        <f t="shared" si="0"/>
        <v>0</v>
      </c>
      <c r="AC57" s="168"/>
      <c r="AD57" s="168"/>
      <c r="AE57" s="168"/>
      <c r="AF57" s="170">
        <f t="shared" si="1"/>
        <v>0</v>
      </c>
      <c r="AG57" s="168"/>
      <c r="AH57" s="168"/>
      <c r="AI57" s="168"/>
      <c r="AJ57" s="170">
        <f t="shared" si="2"/>
        <v>0</v>
      </c>
    </row>
    <row r="58" spans="2:36" s="47" customFormat="1" ht="14.25" customHeight="1" x14ac:dyDescent="0.2">
      <c r="B58" s="6377"/>
      <c r="C58" s="6377"/>
      <c r="D58" s="173" t="s">
        <v>276</v>
      </c>
      <c r="E58" s="167"/>
      <c r="F58" s="168"/>
      <c r="G58" s="168">
        <v>3</v>
      </c>
      <c r="H58" s="169">
        <v>3</v>
      </c>
      <c r="I58" s="167"/>
      <c r="J58" s="168"/>
      <c r="K58" s="168">
        <v>4</v>
      </c>
      <c r="L58" s="169">
        <v>4</v>
      </c>
      <c r="M58" s="167"/>
      <c r="N58" s="168"/>
      <c r="O58" s="168"/>
      <c r="P58" s="170"/>
      <c r="Q58" s="168"/>
      <c r="R58" s="168"/>
      <c r="S58" s="168">
        <v>2</v>
      </c>
      <c r="T58" s="170">
        <v>2</v>
      </c>
      <c r="U58" s="168"/>
      <c r="V58" s="168"/>
      <c r="W58" s="168">
        <v>1</v>
      </c>
      <c r="X58" s="170">
        <v>1</v>
      </c>
      <c r="Y58" s="168"/>
      <c r="Z58" s="168"/>
      <c r="AA58" s="168"/>
      <c r="AB58" s="170">
        <f t="shared" si="0"/>
        <v>0</v>
      </c>
      <c r="AC58" s="168">
        <v>1</v>
      </c>
      <c r="AD58" s="168"/>
      <c r="AE58" s="168">
        <v>1</v>
      </c>
      <c r="AF58" s="170">
        <f t="shared" si="1"/>
        <v>2</v>
      </c>
      <c r="AG58" s="168"/>
      <c r="AH58" s="168"/>
      <c r="AI58" s="168"/>
      <c r="AJ58" s="170">
        <f t="shared" si="2"/>
        <v>0</v>
      </c>
    </row>
    <row r="59" spans="2:36" s="47" customFormat="1" ht="22.5" x14ac:dyDescent="0.2">
      <c r="B59" s="6377"/>
      <c r="C59" s="6377"/>
      <c r="D59" s="173" t="s">
        <v>277</v>
      </c>
      <c r="E59" s="167"/>
      <c r="F59" s="168"/>
      <c r="G59" s="168"/>
      <c r="H59" s="169"/>
      <c r="I59" s="167"/>
      <c r="J59" s="168"/>
      <c r="K59" s="168"/>
      <c r="L59" s="169"/>
      <c r="M59" s="167"/>
      <c r="N59" s="168"/>
      <c r="O59" s="168"/>
      <c r="P59" s="170"/>
      <c r="Q59" s="168"/>
      <c r="R59" s="168"/>
      <c r="S59" s="168"/>
      <c r="T59" s="170"/>
      <c r="U59" s="168"/>
      <c r="V59" s="168"/>
      <c r="W59" s="168"/>
      <c r="X59" s="170"/>
      <c r="Y59" s="168">
        <v>2</v>
      </c>
      <c r="Z59" s="168"/>
      <c r="AA59" s="168"/>
      <c r="AB59" s="170">
        <f t="shared" si="0"/>
        <v>2</v>
      </c>
      <c r="AC59" s="168">
        <v>2</v>
      </c>
      <c r="AD59" s="168"/>
      <c r="AE59" s="168"/>
      <c r="AF59" s="170">
        <f t="shared" si="1"/>
        <v>2</v>
      </c>
      <c r="AG59" s="168"/>
      <c r="AH59" s="168"/>
      <c r="AI59" s="168"/>
      <c r="AJ59" s="170">
        <f t="shared" si="2"/>
        <v>0</v>
      </c>
    </row>
    <row r="60" spans="2:36" s="47" customFormat="1" ht="14.25" customHeight="1" x14ac:dyDescent="0.2">
      <c r="B60" s="6377"/>
      <c r="C60" s="6377"/>
      <c r="D60" s="160" t="s">
        <v>278</v>
      </c>
      <c r="E60" s="167"/>
      <c r="F60" s="168"/>
      <c r="G60" s="168"/>
      <c r="H60" s="169"/>
      <c r="I60" s="167">
        <v>1</v>
      </c>
      <c r="J60" s="168"/>
      <c r="K60" s="168"/>
      <c r="L60" s="169">
        <v>1</v>
      </c>
      <c r="M60" s="167"/>
      <c r="N60" s="168"/>
      <c r="O60" s="168"/>
      <c r="P60" s="170"/>
      <c r="Q60" s="168"/>
      <c r="R60" s="168">
        <v>2</v>
      </c>
      <c r="S60" s="168"/>
      <c r="T60" s="170">
        <v>2</v>
      </c>
      <c r="U60" s="168"/>
      <c r="V60" s="168">
        <v>1</v>
      </c>
      <c r="W60" s="168"/>
      <c r="X60" s="170">
        <v>1</v>
      </c>
      <c r="Y60" s="168"/>
      <c r="Z60" s="168">
        <v>1</v>
      </c>
      <c r="AA60" s="168"/>
      <c r="AB60" s="170">
        <f t="shared" si="0"/>
        <v>1</v>
      </c>
      <c r="AC60" s="168"/>
      <c r="AD60" s="168"/>
      <c r="AE60" s="168">
        <v>6</v>
      </c>
      <c r="AF60" s="170">
        <f t="shared" si="1"/>
        <v>6</v>
      </c>
      <c r="AG60" s="168"/>
      <c r="AH60" s="168"/>
      <c r="AI60" s="168"/>
      <c r="AJ60" s="170">
        <f t="shared" si="2"/>
        <v>0</v>
      </c>
    </row>
    <row r="61" spans="2:36" s="47" customFormat="1" ht="14.25" customHeight="1" x14ac:dyDescent="0.2">
      <c r="B61" s="6378"/>
      <c r="C61" s="6378"/>
      <c r="D61" s="414" t="s">
        <v>279</v>
      </c>
      <c r="E61" s="415"/>
      <c r="F61" s="416"/>
      <c r="G61" s="416">
        <v>8</v>
      </c>
      <c r="H61" s="417">
        <v>8</v>
      </c>
      <c r="I61" s="415"/>
      <c r="J61" s="416"/>
      <c r="K61" s="416">
        <v>6</v>
      </c>
      <c r="L61" s="417">
        <v>6</v>
      </c>
      <c r="M61" s="415"/>
      <c r="N61" s="416"/>
      <c r="O61" s="416">
        <v>10</v>
      </c>
      <c r="P61" s="418">
        <v>10</v>
      </c>
      <c r="Q61" s="416"/>
      <c r="R61" s="416"/>
      <c r="S61" s="416">
        <v>4</v>
      </c>
      <c r="T61" s="418">
        <v>4</v>
      </c>
      <c r="U61" s="416"/>
      <c r="V61" s="416"/>
      <c r="W61" s="416">
        <v>7</v>
      </c>
      <c r="X61" s="418">
        <v>7</v>
      </c>
      <c r="Y61" s="416">
        <v>1</v>
      </c>
      <c r="Z61" s="416"/>
      <c r="AA61" s="416">
        <v>2</v>
      </c>
      <c r="AB61" s="418">
        <f t="shared" si="0"/>
        <v>3</v>
      </c>
      <c r="AC61" s="416">
        <v>1</v>
      </c>
      <c r="AD61" s="416"/>
      <c r="AE61" s="416">
        <v>1</v>
      </c>
      <c r="AF61" s="418">
        <f t="shared" si="1"/>
        <v>2</v>
      </c>
      <c r="AG61" s="416"/>
      <c r="AH61" s="416"/>
      <c r="AI61" s="416"/>
      <c r="AJ61" s="418">
        <f t="shared" si="2"/>
        <v>0</v>
      </c>
    </row>
    <row r="62" spans="2:36" s="47" customFormat="1" ht="14.25" customHeight="1" x14ac:dyDescent="0.2">
      <c r="B62" s="6376" t="s">
        <v>442</v>
      </c>
      <c r="C62" s="6377" t="s">
        <v>6</v>
      </c>
      <c r="D62" s="173" t="s">
        <v>280</v>
      </c>
      <c r="E62" s="167">
        <v>6</v>
      </c>
      <c r="F62" s="168"/>
      <c r="G62" s="168"/>
      <c r="H62" s="169">
        <v>6</v>
      </c>
      <c r="I62" s="167"/>
      <c r="J62" s="168"/>
      <c r="K62" s="168">
        <v>11</v>
      </c>
      <c r="L62" s="169">
        <v>11</v>
      </c>
      <c r="M62" s="167"/>
      <c r="N62" s="168"/>
      <c r="O62" s="168"/>
      <c r="P62" s="170"/>
      <c r="Q62" s="168">
        <v>1</v>
      </c>
      <c r="R62" s="168"/>
      <c r="S62" s="168">
        <v>5</v>
      </c>
      <c r="T62" s="170">
        <v>6</v>
      </c>
      <c r="U62" s="168"/>
      <c r="V62" s="168"/>
      <c r="W62" s="168"/>
      <c r="X62" s="170"/>
      <c r="Y62" s="168"/>
      <c r="Z62" s="168"/>
      <c r="AA62" s="168">
        <v>4</v>
      </c>
      <c r="AB62" s="170">
        <f t="shared" si="0"/>
        <v>4</v>
      </c>
      <c r="AC62" s="168"/>
      <c r="AD62" s="168"/>
      <c r="AE62" s="168"/>
      <c r="AF62" s="170">
        <f t="shared" si="1"/>
        <v>0</v>
      </c>
      <c r="AG62" s="168"/>
      <c r="AH62" s="168"/>
      <c r="AI62" s="168"/>
      <c r="AJ62" s="170">
        <f t="shared" si="2"/>
        <v>0</v>
      </c>
    </row>
    <row r="63" spans="2:36" s="47" customFormat="1" ht="14.25" customHeight="1" x14ac:dyDescent="0.2">
      <c r="B63" s="6377"/>
      <c r="C63" s="6377"/>
      <c r="D63" s="173" t="s">
        <v>281</v>
      </c>
      <c r="E63" s="167"/>
      <c r="F63" s="168">
        <v>4</v>
      </c>
      <c r="G63" s="168">
        <v>1</v>
      </c>
      <c r="H63" s="169">
        <v>5</v>
      </c>
      <c r="I63" s="167"/>
      <c r="J63" s="168"/>
      <c r="K63" s="168"/>
      <c r="L63" s="169"/>
      <c r="M63" s="167"/>
      <c r="N63" s="168"/>
      <c r="O63" s="168">
        <v>4</v>
      </c>
      <c r="P63" s="170">
        <v>4</v>
      </c>
      <c r="Q63" s="168"/>
      <c r="R63" s="168"/>
      <c r="S63" s="168"/>
      <c r="T63" s="170"/>
      <c r="U63" s="168"/>
      <c r="V63" s="168">
        <v>9</v>
      </c>
      <c r="W63" s="168"/>
      <c r="X63" s="170">
        <v>9</v>
      </c>
      <c r="Y63" s="168"/>
      <c r="Z63" s="168"/>
      <c r="AA63" s="168"/>
      <c r="AB63" s="170">
        <f t="shared" si="0"/>
        <v>0</v>
      </c>
      <c r="AC63" s="168"/>
      <c r="AD63" s="168"/>
      <c r="AE63" s="168"/>
      <c r="AF63" s="170">
        <f t="shared" si="1"/>
        <v>0</v>
      </c>
      <c r="AG63" s="168"/>
      <c r="AH63" s="168"/>
      <c r="AI63" s="168"/>
      <c r="AJ63" s="170">
        <f t="shared" si="2"/>
        <v>0</v>
      </c>
    </row>
    <row r="64" spans="2:36" s="47" customFormat="1" ht="14.25" customHeight="1" x14ac:dyDescent="0.2">
      <c r="B64" s="6377"/>
      <c r="C64" s="6377"/>
      <c r="D64" s="173" t="s">
        <v>282</v>
      </c>
      <c r="E64" s="167"/>
      <c r="F64" s="168"/>
      <c r="G64" s="168"/>
      <c r="H64" s="169"/>
      <c r="I64" s="167"/>
      <c r="J64" s="168"/>
      <c r="K64" s="168"/>
      <c r="L64" s="169"/>
      <c r="M64" s="167"/>
      <c r="N64" s="168"/>
      <c r="O64" s="168"/>
      <c r="P64" s="170"/>
      <c r="Q64" s="168"/>
      <c r="R64" s="168"/>
      <c r="S64" s="168"/>
      <c r="T64" s="170"/>
      <c r="U64" s="168"/>
      <c r="V64" s="168"/>
      <c r="W64" s="168"/>
      <c r="X64" s="170"/>
      <c r="Y64" s="168"/>
      <c r="Z64" s="168"/>
      <c r="AA64" s="168"/>
      <c r="AB64" s="170">
        <f t="shared" si="0"/>
        <v>0</v>
      </c>
      <c r="AC64" s="168"/>
      <c r="AD64" s="168"/>
      <c r="AE64" s="168"/>
      <c r="AF64" s="170">
        <f t="shared" si="1"/>
        <v>0</v>
      </c>
      <c r="AG64" s="168"/>
      <c r="AH64" s="168"/>
      <c r="AI64" s="168"/>
      <c r="AJ64" s="170">
        <f t="shared" si="2"/>
        <v>0</v>
      </c>
    </row>
    <row r="65" spans="2:36" s="47" customFormat="1" ht="14.25" customHeight="1" x14ac:dyDescent="0.2">
      <c r="B65" s="6377"/>
      <c r="C65" s="6377"/>
      <c r="D65" s="173" t="s">
        <v>283</v>
      </c>
      <c r="E65" s="167">
        <v>1</v>
      </c>
      <c r="F65" s="168"/>
      <c r="G65" s="168"/>
      <c r="H65" s="169">
        <v>1</v>
      </c>
      <c r="I65" s="167">
        <v>5</v>
      </c>
      <c r="J65" s="168"/>
      <c r="K65" s="168"/>
      <c r="L65" s="169">
        <v>5</v>
      </c>
      <c r="M65" s="167">
        <v>12</v>
      </c>
      <c r="N65" s="168"/>
      <c r="O65" s="168"/>
      <c r="P65" s="170">
        <v>12</v>
      </c>
      <c r="Q65" s="168"/>
      <c r="R65" s="168">
        <v>16</v>
      </c>
      <c r="S65" s="168">
        <v>1</v>
      </c>
      <c r="T65" s="170">
        <v>17</v>
      </c>
      <c r="U65" s="168"/>
      <c r="V65" s="168"/>
      <c r="W65" s="168">
        <v>13</v>
      </c>
      <c r="X65" s="170">
        <v>13</v>
      </c>
      <c r="Y65" s="168"/>
      <c r="Z65" s="168"/>
      <c r="AA65" s="168">
        <v>2</v>
      </c>
      <c r="AB65" s="170">
        <f t="shared" si="0"/>
        <v>2</v>
      </c>
      <c r="AC65" s="168"/>
      <c r="AD65" s="168"/>
      <c r="AE65" s="168"/>
      <c r="AF65" s="170">
        <f t="shared" si="1"/>
        <v>0</v>
      </c>
      <c r="AG65" s="168"/>
      <c r="AH65" s="168"/>
      <c r="AI65" s="168"/>
      <c r="AJ65" s="170">
        <f t="shared" si="2"/>
        <v>0</v>
      </c>
    </row>
    <row r="66" spans="2:36" s="47" customFormat="1" ht="14.25" customHeight="1" x14ac:dyDescent="0.2">
      <c r="B66" s="6377"/>
      <c r="C66" s="6377"/>
      <c r="D66" s="173" t="s">
        <v>284</v>
      </c>
      <c r="E66" s="167"/>
      <c r="F66" s="168"/>
      <c r="G66" s="168"/>
      <c r="H66" s="169"/>
      <c r="I66" s="167">
        <v>1</v>
      </c>
      <c r="J66" s="168"/>
      <c r="K66" s="168"/>
      <c r="L66" s="169">
        <v>1</v>
      </c>
      <c r="M66" s="167"/>
      <c r="N66" s="168"/>
      <c r="O66" s="168"/>
      <c r="P66" s="170"/>
      <c r="Q66" s="168"/>
      <c r="R66" s="168"/>
      <c r="S66" s="168"/>
      <c r="T66" s="170"/>
      <c r="U66" s="168">
        <v>1</v>
      </c>
      <c r="V66" s="168"/>
      <c r="W66" s="168"/>
      <c r="X66" s="170">
        <v>1</v>
      </c>
      <c r="Y66" s="168">
        <v>5</v>
      </c>
      <c r="Z66" s="168"/>
      <c r="AA66" s="168"/>
      <c r="AB66" s="170">
        <f t="shared" si="0"/>
        <v>5</v>
      </c>
      <c r="AC66" s="168"/>
      <c r="AD66" s="168"/>
      <c r="AE66" s="168"/>
      <c r="AF66" s="170">
        <f t="shared" si="1"/>
        <v>0</v>
      </c>
      <c r="AG66" s="168"/>
      <c r="AH66" s="168"/>
      <c r="AI66" s="168"/>
      <c r="AJ66" s="170">
        <f t="shared" si="2"/>
        <v>0</v>
      </c>
    </row>
    <row r="67" spans="2:36" s="47" customFormat="1" ht="22.5" x14ac:dyDescent="0.2">
      <c r="B67" s="6377"/>
      <c r="C67" s="6377"/>
      <c r="D67" s="160" t="s">
        <v>285</v>
      </c>
      <c r="E67" s="167"/>
      <c r="F67" s="168">
        <v>7</v>
      </c>
      <c r="G67" s="168">
        <v>1</v>
      </c>
      <c r="H67" s="169">
        <v>8</v>
      </c>
      <c r="I67" s="167"/>
      <c r="J67" s="168"/>
      <c r="K67" s="168"/>
      <c r="L67" s="169"/>
      <c r="M67" s="167"/>
      <c r="N67" s="168">
        <v>4</v>
      </c>
      <c r="O67" s="168"/>
      <c r="P67" s="170">
        <v>4</v>
      </c>
      <c r="Q67" s="168"/>
      <c r="R67" s="168"/>
      <c r="S67" s="168"/>
      <c r="T67" s="170"/>
      <c r="U67" s="168"/>
      <c r="V67" s="168">
        <v>5</v>
      </c>
      <c r="W67" s="168"/>
      <c r="X67" s="170">
        <v>5</v>
      </c>
      <c r="Y67" s="168"/>
      <c r="Z67" s="168"/>
      <c r="AA67" s="168">
        <v>16</v>
      </c>
      <c r="AB67" s="170">
        <f t="shared" si="0"/>
        <v>16</v>
      </c>
      <c r="AC67" s="168"/>
      <c r="AD67" s="168"/>
      <c r="AE67" s="168"/>
      <c r="AF67" s="170">
        <f t="shared" si="1"/>
        <v>0</v>
      </c>
      <c r="AG67" s="168"/>
      <c r="AH67" s="168"/>
      <c r="AI67" s="168"/>
      <c r="AJ67" s="170">
        <f t="shared" si="2"/>
        <v>0</v>
      </c>
    </row>
    <row r="68" spans="2:36" s="47" customFormat="1" ht="22.5" x14ac:dyDescent="0.2">
      <c r="B68" s="6377"/>
      <c r="C68" s="6377"/>
      <c r="D68" s="160" t="s">
        <v>286</v>
      </c>
      <c r="E68" s="167">
        <v>14</v>
      </c>
      <c r="F68" s="168"/>
      <c r="G68" s="168"/>
      <c r="H68" s="169">
        <v>14</v>
      </c>
      <c r="I68" s="167"/>
      <c r="J68" s="168"/>
      <c r="K68" s="168">
        <v>11</v>
      </c>
      <c r="L68" s="169">
        <v>11</v>
      </c>
      <c r="M68" s="167"/>
      <c r="N68" s="168"/>
      <c r="O68" s="168"/>
      <c r="P68" s="170"/>
      <c r="Q68" s="168"/>
      <c r="R68" s="168"/>
      <c r="S68" s="168">
        <v>11</v>
      </c>
      <c r="T68" s="170">
        <v>11</v>
      </c>
      <c r="U68" s="168">
        <v>1</v>
      </c>
      <c r="V68" s="168"/>
      <c r="W68" s="168"/>
      <c r="X68" s="170">
        <v>1</v>
      </c>
      <c r="Y68" s="168"/>
      <c r="Z68" s="168"/>
      <c r="AA68" s="168">
        <v>6</v>
      </c>
      <c r="AB68" s="170">
        <f t="shared" si="0"/>
        <v>6</v>
      </c>
      <c r="AC68" s="168"/>
      <c r="AD68" s="168"/>
      <c r="AE68" s="168"/>
      <c r="AF68" s="170">
        <f t="shared" si="1"/>
        <v>0</v>
      </c>
      <c r="AG68" s="168"/>
      <c r="AH68" s="168"/>
      <c r="AI68" s="168"/>
      <c r="AJ68" s="170">
        <f t="shared" si="2"/>
        <v>0</v>
      </c>
    </row>
    <row r="69" spans="2:36" s="47" customFormat="1" ht="22.5" x14ac:dyDescent="0.2">
      <c r="B69" s="6377"/>
      <c r="C69" s="6377"/>
      <c r="D69" s="160" t="s">
        <v>287</v>
      </c>
      <c r="E69" s="167">
        <v>18</v>
      </c>
      <c r="F69" s="168"/>
      <c r="G69" s="168"/>
      <c r="H69" s="169">
        <v>18</v>
      </c>
      <c r="I69" s="167"/>
      <c r="J69" s="168"/>
      <c r="K69" s="168">
        <v>16</v>
      </c>
      <c r="L69" s="169">
        <v>16</v>
      </c>
      <c r="M69" s="167"/>
      <c r="N69" s="168"/>
      <c r="O69" s="168"/>
      <c r="P69" s="170"/>
      <c r="Q69" s="168"/>
      <c r="R69" s="168"/>
      <c r="S69" s="168">
        <v>17</v>
      </c>
      <c r="T69" s="170">
        <v>17</v>
      </c>
      <c r="U69" s="168"/>
      <c r="V69" s="168"/>
      <c r="W69" s="168"/>
      <c r="X69" s="170"/>
      <c r="Y69" s="168"/>
      <c r="Z69" s="168"/>
      <c r="AA69" s="168">
        <v>12</v>
      </c>
      <c r="AB69" s="170">
        <f t="shared" si="0"/>
        <v>12</v>
      </c>
      <c r="AC69" s="168"/>
      <c r="AD69" s="168"/>
      <c r="AE69" s="168"/>
      <c r="AF69" s="170">
        <f t="shared" si="1"/>
        <v>0</v>
      </c>
      <c r="AG69" s="168"/>
      <c r="AH69" s="168"/>
      <c r="AI69" s="168"/>
      <c r="AJ69" s="170">
        <f t="shared" si="2"/>
        <v>0</v>
      </c>
    </row>
    <row r="70" spans="2:36" s="47" customFormat="1" ht="14.25" customHeight="1" x14ac:dyDescent="0.2">
      <c r="B70" s="6377"/>
      <c r="C70" s="6377"/>
      <c r="D70" s="160" t="s">
        <v>288</v>
      </c>
      <c r="E70" s="167">
        <v>12</v>
      </c>
      <c r="F70" s="168"/>
      <c r="G70" s="168"/>
      <c r="H70" s="169">
        <v>12</v>
      </c>
      <c r="I70" s="167"/>
      <c r="J70" s="168"/>
      <c r="K70" s="168">
        <v>11</v>
      </c>
      <c r="L70" s="169">
        <v>11</v>
      </c>
      <c r="M70" s="167"/>
      <c r="N70" s="168"/>
      <c r="O70" s="168"/>
      <c r="P70" s="170"/>
      <c r="Q70" s="168"/>
      <c r="R70" s="168"/>
      <c r="S70" s="168">
        <v>12</v>
      </c>
      <c r="T70" s="170">
        <v>12</v>
      </c>
      <c r="U70" s="168"/>
      <c r="V70" s="168"/>
      <c r="W70" s="168"/>
      <c r="X70" s="170"/>
      <c r="Y70" s="168"/>
      <c r="Z70" s="168"/>
      <c r="AA70" s="168">
        <v>10</v>
      </c>
      <c r="AB70" s="170">
        <f t="shared" si="0"/>
        <v>10</v>
      </c>
      <c r="AC70" s="168"/>
      <c r="AD70" s="168"/>
      <c r="AE70" s="168"/>
      <c r="AF70" s="170">
        <f t="shared" si="1"/>
        <v>0</v>
      </c>
      <c r="AG70" s="168"/>
      <c r="AH70" s="168"/>
      <c r="AI70" s="168"/>
      <c r="AJ70" s="170">
        <f t="shared" si="2"/>
        <v>0</v>
      </c>
    </row>
    <row r="71" spans="2:36" s="47" customFormat="1" ht="14.25" customHeight="1" x14ac:dyDescent="0.2">
      <c r="B71" s="6377"/>
      <c r="C71" s="6377"/>
      <c r="D71" s="160" t="s">
        <v>289</v>
      </c>
      <c r="E71" s="167"/>
      <c r="F71" s="168">
        <v>4</v>
      </c>
      <c r="G71" s="168"/>
      <c r="H71" s="169">
        <v>4</v>
      </c>
      <c r="I71" s="167"/>
      <c r="J71" s="168">
        <v>15</v>
      </c>
      <c r="K71" s="168">
        <v>1</v>
      </c>
      <c r="L71" s="169">
        <v>16</v>
      </c>
      <c r="M71" s="167"/>
      <c r="N71" s="168"/>
      <c r="O71" s="168">
        <v>1</v>
      </c>
      <c r="P71" s="170">
        <v>1</v>
      </c>
      <c r="Q71" s="168"/>
      <c r="R71" s="168">
        <v>16</v>
      </c>
      <c r="S71" s="168"/>
      <c r="T71" s="170">
        <v>16</v>
      </c>
      <c r="U71" s="168"/>
      <c r="V71" s="168">
        <v>1</v>
      </c>
      <c r="W71" s="168"/>
      <c r="X71" s="170">
        <v>1</v>
      </c>
      <c r="Y71" s="168"/>
      <c r="Z71" s="168">
        <v>2</v>
      </c>
      <c r="AA71" s="168">
        <v>11</v>
      </c>
      <c r="AB71" s="170">
        <f t="shared" si="0"/>
        <v>13</v>
      </c>
      <c r="AC71" s="168"/>
      <c r="AD71" s="168"/>
      <c r="AE71" s="168"/>
      <c r="AF71" s="170">
        <f t="shared" si="1"/>
        <v>0</v>
      </c>
      <c r="AG71" s="168"/>
      <c r="AH71" s="168"/>
      <c r="AI71" s="168"/>
      <c r="AJ71" s="170">
        <f t="shared" si="2"/>
        <v>0</v>
      </c>
    </row>
    <row r="72" spans="2:36" s="47" customFormat="1" ht="14.25" customHeight="1" x14ac:dyDescent="0.2">
      <c r="B72" s="6377"/>
      <c r="C72" s="6377"/>
      <c r="D72" s="173" t="s">
        <v>242</v>
      </c>
      <c r="E72" s="167"/>
      <c r="F72" s="168"/>
      <c r="G72" s="168"/>
      <c r="H72" s="169"/>
      <c r="I72" s="167"/>
      <c r="J72" s="168"/>
      <c r="K72" s="168"/>
      <c r="L72" s="169"/>
      <c r="M72" s="167"/>
      <c r="N72" s="168"/>
      <c r="O72" s="168"/>
      <c r="P72" s="170"/>
      <c r="Q72" s="168">
        <v>3</v>
      </c>
      <c r="R72" s="168"/>
      <c r="S72" s="168"/>
      <c r="T72" s="170">
        <v>3</v>
      </c>
      <c r="U72" s="168"/>
      <c r="V72" s="168"/>
      <c r="W72" s="168"/>
      <c r="X72" s="170"/>
      <c r="Y72" s="168">
        <v>2</v>
      </c>
      <c r="Z72" s="168"/>
      <c r="AA72" s="168"/>
      <c r="AB72" s="170">
        <f t="shared" ref="AB72:AB89" si="3">SUM(Y72:AA72)</f>
        <v>2</v>
      </c>
      <c r="AC72" s="168"/>
      <c r="AD72" s="168"/>
      <c r="AE72" s="168"/>
      <c r="AF72" s="170">
        <f t="shared" ref="AF72:AF89" si="4">SUM(AC72:AE72)</f>
        <v>0</v>
      </c>
      <c r="AG72" s="168"/>
      <c r="AH72" s="168"/>
      <c r="AI72" s="168"/>
      <c r="AJ72" s="170">
        <f t="shared" ref="AJ72:AJ89" si="5">SUM(AG72:AI72)</f>
        <v>0</v>
      </c>
    </row>
    <row r="73" spans="2:36" s="47" customFormat="1" ht="20.25" x14ac:dyDescent="0.2">
      <c r="B73" s="6377"/>
      <c r="C73" s="6377"/>
      <c r="D73" s="173" t="s">
        <v>316</v>
      </c>
      <c r="E73" s="176"/>
      <c r="F73" s="168"/>
      <c r="G73" s="168"/>
      <c r="H73" s="169"/>
      <c r="I73" s="167"/>
      <c r="J73" s="168"/>
      <c r="K73" s="168"/>
      <c r="L73" s="169"/>
      <c r="M73" s="167"/>
      <c r="N73" s="168"/>
      <c r="O73" s="168"/>
      <c r="P73" s="170"/>
      <c r="Q73" s="168"/>
      <c r="R73" s="168">
        <v>1</v>
      </c>
      <c r="S73" s="168"/>
      <c r="T73" s="170">
        <v>1</v>
      </c>
      <c r="U73" s="168"/>
      <c r="V73" s="168"/>
      <c r="W73" s="168"/>
      <c r="X73" s="170"/>
      <c r="Y73" s="168"/>
      <c r="Z73" s="168"/>
      <c r="AA73" s="168"/>
      <c r="AB73" s="170">
        <f t="shared" si="3"/>
        <v>0</v>
      </c>
      <c r="AC73" s="168"/>
      <c r="AD73" s="168"/>
      <c r="AE73" s="168"/>
      <c r="AF73" s="170">
        <f t="shared" si="4"/>
        <v>0</v>
      </c>
      <c r="AG73" s="168"/>
      <c r="AH73" s="168"/>
      <c r="AI73" s="168"/>
      <c r="AJ73" s="170">
        <f t="shared" si="5"/>
        <v>0</v>
      </c>
    </row>
    <row r="74" spans="2:36" s="47" customFormat="1" ht="20.25" x14ac:dyDescent="0.2">
      <c r="B74" s="6377"/>
      <c r="C74" s="6377"/>
      <c r="D74" s="173" t="s">
        <v>317</v>
      </c>
      <c r="E74" s="176"/>
      <c r="F74" s="168"/>
      <c r="G74" s="168">
        <v>6</v>
      </c>
      <c r="H74" s="169">
        <v>6</v>
      </c>
      <c r="I74" s="167"/>
      <c r="J74" s="168"/>
      <c r="K74" s="168"/>
      <c r="L74" s="169"/>
      <c r="M74" s="167"/>
      <c r="N74" s="168"/>
      <c r="O74" s="168"/>
      <c r="P74" s="170"/>
      <c r="Q74" s="168"/>
      <c r="R74" s="168"/>
      <c r="S74" s="168"/>
      <c r="T74" s="170"/>
      <c r="U74" s="168"/>
      <c r="V74" s="168"/>
      <c r="W74" s="168"/>
      <c r="X74" s="170"/>
      <c r="Y74" s="168"/>
      <c r="Z74" s="168"/>
      <c r="AA74" s="168"/>
      <c r="AB74" s="170">
        <f t="shared" si="3"/>
        <v>0</v>
      </c>
      <c r="AC74" s="168"/>
      <c r="AD74" s="168"/>
      <c r="AE74" s="168"/>
      <c r="AF74" s="170">
        <f t="shared" si="4"/>
        <v>0</v>
      </c>
      <c r="AG74" s="168"/>
      <c r="AH74" s="168"/>
      <c r="AI74" s="168"/>
      <c r="AJ74" s="170">
        <f t="shared" si="5"/>
        <v>0</v>
      </c>
    </row>
    <row r="75" spans="2:36" s="47" customFormat="1" ht="14.25" customHeight="1" x14ac:dyDescent="0.2">
      <c r="B75" s="6377"/>
      <c r="C75" s="6377"/>
      <c r="D75" s="173" t="s">
        <v>243</v>
      </c>
      <c r="E75" s="167"/>
      <c r="F75" s="168"/>
      <c r="G75" s="168"/>
      <c r="H75" s="169"/>
      <c r="I75" s="167"/>
      <c r="J75" s="168"/>
      <c r="K75" s="168"/>
      <c r="L75" s="169"/>
      <c r="M75" s="167"/>
      <c r="N75" s="168"/>
      <c r="O75" s="168"/>
      <c r="P75" s="170"/>
      <c r="Q75" s="168"/>
      <c r="R75" s="168"/>
      <c r="S75" s="168"/>
      <c r="T75" s="170"/>
      <c r="U75" s="168"/>
      <c r="V75" s="168">
        <v>2</v>
      </c>
      <c r="W75" s="168"/>
      <c r="X75" s="170">
        <v>2</v>
      </c>
      <c r="Y75" s="168">
        <v>4</v>
      </c>
      <c r="Z75" s="168"/>
      <c r="AA75" s="168"/>
      <c r="AB75" s="170">
        <f t="shared" si="3"/>
        <v>4</v>
      </c>
      <c r="AC75" s="168">
        <v>2</v>
      </c>
      <c r="AD75" s="168"/>
      <c r="AE75" s="168"/>
      <c r="AF75" s="170">
        <f t="shared" si="4"/>
        <v>2</v>
      </c>
      <c r="AG75" s="168"/>
      <c r="AH75" s="168"/>
      <c r="AI75" s="168"/>
      <c r="AJ75" s="170">
        <f t="shared" si="5"/>
        <v>0</v>
      </c>
    </row>
    <row r="76" spans="2:36" s="47" customFormat="1" ht="14.25" customHeight="1" x14ac:dyDescent="0.2">
      <c r="B76" s="6377"/>
      <c r="C76" s="6377"/>
      <c r="D76" s="173" t="s">
        <v>290</v>
      </c>
      <c r="E76" s="167">
        <v>27</v>
      </c>
      <c r="F76" s="168">
        <v>13</v>
      </c>
      <c r="G76" s="168"/>
      <c r="H76" s="169">
        <v>40</v>
      </c>
      <c r="I76" s="167"/>
      <c r="J76" s="168">
        <v>5</v>
      </c>
      <c r="K76" s="168"/>
      <c r="L76" s="169">
        <v>5</v>
      </c>
      <c r="M76" s="167">
        <v>29</v>
      </c>
      <c r="N76" s="168"/>
      <c r="O76" s="168">
        <v>1</v>
      </c>
      <c r="P76" s="170">
        <v>30</v>
      </c>
      <c r="Q76" s="168"/>
      <c r="R76" s="168">
        <v>8</v>
      </c>
      <c r="S76" s="168"/>
      <c r="T76" s="170">
        <v>8</v>
      </c>
      <c r="U76" s="168"/>
      <c r="V76" s="168">
        <v>12</v>
      </c>
      <c r="W76" s="168"/>
      <c r="X76" s="170">
        <v>12</v>
      </c>
      <c r="Y76" s="168">
        <v>1</v>
      </c>
      <c r="Z76" s="168"/>
      <c r="AA76" s="168"/>
      <c r="AB76" s="170">
        <f t="shared" si="3"/>
        <v>1</v>
      </c>
      <c r="AC76" s="168">
        <v>21</v>
      </c>
      <c r="AD76" s="168"/>
      <c r="AE76" s="168"/>
      <c r="AF76" s="170">
        <f t="shared" si="4"/>
        <v>21</v>
      </c>
      <c r="AG76" s="168"/>
      <c r="AH76" s="168"/>
      <c r="AI76" s="168"/>
      <c r="AJ76" s="170">
        <f t="shared" si="5"/>
        <v>0</v>
      </c>
    </row>
    <row r="77" spans="2:36" s="47" customFormat="1" ht="22.5" x14ac:dyDescent="0.2">
      <c r="B77" s="6377"/>
      <c r="C77" s="6376" t="s">
        <v>11</v>
      </c>
      <c r="D77" s="413" t="s">
        <v>291</v>
      </c>
      <c r="E77" s="161"/>
      <c r="F77" s="162"/>
      <c r="G77" s="162"/>
      <c r="H77" s="163"/>
      <c r="I77" s="161"/>
      <c r="J77" s="162"/>
      <c r="K77" s="162"/>
      <c r="L77" s="163"/>
      <c r="M77" s="161">
        <v>1</v>
      </c>
      <c r="N77" s="162"/>
      <c r="O77" s="162"/>
      <c r="P77" s="164">
        <v>1</v>
      </c>
      <c r="Q77" s="162">
        <v>1</v>
      </c>
      <c r="R77" s="162"/>
      <c r="S77" s="162"/>
      <c r="T77" s="164">
        <v>1</v>
      </c>
      <c r="U77" s="162"/>
      <c r="V77" s="162"/>
      <c r="W77" s="162"/>
      <c r="X77" s="164"/>
      <c r="Y77" s="162">
        <v>1</v>
      </c>
      <c r="Z77" s="162"/>
      <c r="AA77" s="162"/>
      <c r="AB77" s="164">
        <f t="shared" si="3"/>
        <v>1</v>
      </c>
      <c r="AC77" s="162"/>
      <c r="AD77" s="162"/>
      <c r="AE77" s="162"/>
      <c r="AF77" s="164">
        <f t="shared" si="4"/>
        <v>0</v>
      </c>
      <c r="AG77" s="162"/>
      <c r="AH77" s="162"/>
      <c r="AI77" s="162"/>
      <c r="AJ77" s="164">
        <f t="shared" si="5"/>
        <v>0</v>
      </c>
    </row>
    <row r="78" spans="2:36" s="47" customFormat="1" ht="22.5" x14ac:dyDescent="0.2">
      <c r="B78" s="6377"/>
      <c r="C78" s="6377"/>
      <c r="D78" s="160" t="s">
        <v>292</v>
      </c>
      <c r="E78" s="167">
        <v>4</v>
      </c>
      <c r="F78" s="168"/>
      <c r="G78" s="168"/>
      <c r="H78" s="169">
        <v>4</v>
      </c>
      <c r="I78" s="167"/>
      <c r="J78" s="168"/>
      <c r="K78" s="168"/>
      <c r="L78" s="169"/>
      <c r="M78" s="167"/>
      <c r="N78" s="168"/>
      <c r="O78" s="168"/>
      <c r="P78" s="170"/>
      <c r="Q78" s="168"/>
      <c r="R78" s="168"/>
      <c r="S78" s="168"/>
      <c r="T78" s="170"/>
      <c r="U78" s="168"/>
      <c r="V78" s="168"/>
      <c r="W78" s="168"/>
      <c r="X78" s="170"/>
      <c r="Y78" s="168"/>
      <c r="Z78" s="168"/>
      <c r="AA78" s="168"/>
      <c r="AB78" s="170">
        <f t="shared" si="3"/>
        <v>0</v>
      </c>
      <c r="AC78" s="168"/>
      <c r="AD78" s="168"/>
      <c r="AE78" s="168"/>
      <c r="AF78" s="170">
        <f t="shared" si="4"/>
        <v>0</v>
      </c>
      <c r="AG78" s="168"/>
      <c r="AH78" s="168"/>
      <c r="AI78" s="168"/>
      <c r="AJ78" s="170">
        <f t="shared" si="5"/>
        <v>0</v>
      </c>
    </row>
    <row r="79" spans="2:36" s="47" customFormat="1" ht="14.25" customHeight="1" x14ac:dyDescent="0.2">
      <c r="B79" s="6377"/>
      <c r="C79" s="6377"/>
      <c r="D79" s="160" t="s">
        <v>293</v>
      </c>
      <c r="E79" s="167"/>
      <c r="F79" s="168"/>
      <c r="G79" s="168">
        <v>4</v>
      </c>
      <c r="H79" s="169">
        <v>4</v>
      </c>
      <c r="I79" s="167"/>
      <c r="J79" s="168"/>
      <c r="K79" s="168"/>
      <c r="L79" s="169"/>
      <c r="M79" s="167"/>
      <c r="N79" s="168"/>
      <c r="O79" s="168"/>
      <c r="P79" s="170"/>
      <c r="Q79" s="168"/>
      <c r="R79" s="168"/>
      <c r="S79" s="168"/>
      <c r="T79" s="170"/>
      <c r="U79" s="168"/>
      <c r="V79" s="168"/>
      <c r="W79" s="168"/>
      <c r="X79" s="170"/>
      <c r="Y79" s="168"/>
      <c r="Z79" s="168"/>
      <c r="AA79" s="168"/>
      <c r="AB79" s="170">
        <f t="shared" si="3"/>
        <v>0</v>
      </c>
      <c r="AC79" s="168"/>
      <c r="AD79" s="168"/>
      <c r="AE79" s="168"/>
      <c r="AF79" s="170">
        <f t="shared" si="4"/>
        <v>0</v>
      </c>
      <c r="AG79" s="168"/>
      <c r="AH79" s="168"/>
      <c r="AI79" s="168"/>
      <c r="AJ79" s="170">
        <f t="shared" si="5"/>
        <v>0</v>
      </c>
    </row>
    <row r="80" spans="2:36" s="47" customFormat="1" ht="14.25" customHeight="1" x14ac:dyDescent="0.2">
      <c r="B80" s="6377"/>
      <c r="C80" s="6377"/>
      <c r="D80" s="160" t="s">
        <v>294</v>
      </c>
      <c r="E80" s="167">
        <v>5</v>
      </c>
      <c r="F80" s="168"/>
      <c r="G80" s="168"/>
      <c r="H80" s="169">
        <v>5</v>
      </c>
      <c r="I80" s="167"/>
      <c r="J80" s="168"/>
      <c r="K80" s="168">
        <v>4</v>
      </c>
      <c r="L80" s="169">
        <v>4</v>
      </c>
      <c r="M80" s="167"/>
      <c r="N80" s="168">
        <v>1</v>
      </c>
      <c r="O80" s="168"/>
      <c r="P80" s="170">
        <v>1</v>
      </c>
      <c r="Q80" s="168"/>
      <c r="R80" s="168"/>
      <c r="S80" s="168">
        <v>7</v>
      </c>
      <c r="T80" s="170">
        <v>7</v>
      </c>
      <c r="U80" s="168"/>
      <c r="V80" s="168"/>
      <c r="W80" s="168">
        <v>8</v>
      </c>
      <c r="X80" s="170">
        <v>8</v>
      </c>
      <c r="Y80" s="168">
        <v>1</v>
      </c>
      <c r="Z80" s="168"/>
      <c r="AA80" s="168"/>
      <c r="AB80" s="170">
        <f t="shared" si="3"/>
        <v>1</v>
      </c>
      <c r="AC80" s="168"/>
      <c r="AD80" s="168"/>
      <c r="AE80" s="168"/>
      <c r="AF80" s="170">
        <f t="shared" si="4"/>
        <v>0</v>
      </c>
      <c r="AG80" s="168"/>
      <c r="AH80" s="168"/>
      <c r="AI80" s="168"/>
      <c r="AJ80" s="170">
        <f t="shared" si="5"/>
        <v>0</v>
      </c>
    </row>
    <row r="81" spans="2:36" s="47" customFormat="1" ht="14.25" customHeight="1" x14ac:dyDescent="0.2">
      <c r="B81" s="6377"/>
      <c r="C81" s="6377"/>
      <c r="D81" s="160" t="s">
        <v>295</v>
      </c>
      <c r="E81" s="167">
        <v>3</v>
      </c>
      <c r="F81" s="168">
        <v>6</v>
      </c>
      <c r="G81" s="168"/>
      <c r="H81" s="169">
        <v>9</v>
      </c>
      <c r="I81" s="167"/>
      <c r="J81" s="168">
        <v>6</v>
      </c>
      <c r="K81" s="168"/>
      <c r="L81" s="169">
        <v>6</v>
      </c>
      <c r="M81" s="167"/>
      <c r="N81" s="168">
        <v>9</v>
      </c>
      <c r="O81" s="168">
        <v>1</v>
      </c>
      <c r="P81" s="170">
        <v>10</v>
      </c>
      <c r="Q81" s="168">
        <v>1</v>
      </c>
      <c r="R81" s="168">
        <v>10</v>
      </c>
      <c r="S81" s="168">
        <v>2</v>
      </c>
      <c r="T81" s="170">
        <v>13</v>
      </c>
      <c r="U81" s="168">
        <v>1</v>
      </c>
      <c r="V81" s="168">
        <v>6</v>
      </c>
      <c r="W81" s="168">
        <v>3</v>
      </c>
      <c r="X81" s="170">
        <v>10</v>
      </c>
      <c r="Y81" s="168"/>
      <c r="Z81" s="168"/>
      <c r="AA81" s="168">
        <v>3</v>
      </c>
      <c r="AB81" s="170">
        <f t="shared" si="3"/>
        <v>3</v>
      </c>
      <c r="AC81" s="168"/>
      <c r="AD81" s="168"/>
      <c r="AE81" s="168"/>
      <c r="AF81" s="170">
        <f t="shared" si="4"/>
        <v>0</v>
      </c>
      <c r="AG81" s="168"/>
      <c r="AH81" s="168"/>
      <c r="AI81" s="168"/>
      <c r="AJ81" s="170">
        <f t="shared" si="5"/>
        <v>0</v>
      </c>
    </row>
    <row r="82" spans="2:36" s="47" customFormat="1" ht="14.25" customHeight="1" x14ac:dyDescent="0.2">
      <c r="B82" s="6377"/>
      <c r="C82" s="6377"/>
      <c r="D82" s="160" t="s">
        <v>296</v>
      </c>
      <c r="E82" s="167"/>
      <c r="F82" s="168">
        <v>5</v>
      </c>
      <c r="G82" s="168"/>
      <c r="H82" s="169">
        <v>5</v>
      </c>
      <c r="I82" s="167"/>
      <c r="J82" s="168"/>
      <c r="K82" s="168"/>
      <c r="L82" s="169"/>
      <c r="M82" s="167">
        <v>2</v>
      </c>
      <c r="N82" s="168"/>
      <c r="O82" s="168"/>
      <c r="P82" s="170">
        <v>2</v>
      </c>
      <c r="Q82" s="168"/>
      <c r="R82" s="168"/>
      <c r="S82" s="168">
        <v>5</v>
      </c>
      <c r="T82" s="170">
        <v>5</v>
      </c>
      <c r="U82" s="168"/>
      <c r="V82" s="168"/>
      <c r="W82" s="168"/>
      <c r="X82" s="170"/>
      <c r="Y82" s="168"/>
      <c r="Z82" s="168">
        <v>5</v>
      </c>
      <c r="AA82" s="168"/>
      <c r="AB82" s="170">
        <f t="shared" si="3"/>
        <v>5</v>
      </c>
      <c r="AC82" s="168"/>
      <c r="AD82" s="168"/>
      <c r="AE82" s="168"/>
      <c r="AF82" s="170">
        <f t="shared" si="4"/>
        <v>0</v>
      </c>
      <c r="AG82" s="168"/>
      <c r="AH82" s="168"/>
      <c r="AI82" s="168"/>
      <c r="AJ82" s="170">
        <f t="shared" si="5"/>
        <v>0</v>
      </c>
    </row>
    <row r="83" spans="2:36" s="47" customFormat="1" ht="22.5" x14ac:dyDescent="0.2">
      <c r="B83" s="6377"/>
      <c r="C83" s="6377"/>
      <c r="D83" s="160" t="s">
        <v>297</v>
      </c>
      <c r="E83" s="167"/>
      <c r="F83" s="168"/>
      <c r="G83" s="168">
        <v>4</v>
      </c>
      <c r="H83" s="169">
        <v>4</v>
      </c>
      <c r="I83" s="167"/>
      <c r="J83" s="168"/>
      <c r="K83" s="168"/>
      <c r="L83" s="169"/>
      <c r="M83" s="167"/>
      <c r="N83" s="168"/>
      <c r="O83" s="168">
        <v>11</v>
      </c>
      <c r="P83" s="170">
        <v>11</v>
      </c>
      <c r="Q83" s="168"/>
      <c r="R83" s="168"/>
      <c r="S83" s="168"/>
      <c r="T83" s="170"/>
      <c r="U83" s="168"/>
      <c r="V83" s="168"/>
      <c r="W83" s="168">
        <v>8</v>
      </c>
      <c r="X83" s="170">
        <v>8</v>
      </c>
      <c r="Y83" s="168"/>
      <c r="Z83" s="168"/>
      <c r="AA83" s="168"/>
      <c r="AB83" s="170">
        <f t="shared" si="3"/>
        <v>0</v>
      </c>
      <c r="AC83" s="168"/>
      <c r="AD83" s="168"/>
      <c r="AE83" s="168"/>
      <c r="AF83" s="170">
        <f t="shared" si="4"/>
        <v>0</v>
      </c>
      <c r="AG83" s="168"/>
      <c r="AH83" s="168"/>
      <c r="AI83" s="168"/>
      <c r="AJ83" s="170">
        <f t="shared" si="5"/>
        <v>0</v>
      </c>
    </row>
    <row r="84" spans="2:36" s="47" customFormat="1" ht="14.25" customHeight="1" x14ac:dyDescent="0.2">
      <c r="B84" s="6377"/>
      <c r="C84" s="6377"/>
      <c r="D84" s="160" t="s">
        <v>298</v>
      </c>
      <c r="E84" s="167">
        <v>7</v>
      </c>
      <c r="F84" s="168">
        <v>1</v>
      </c>
      <c r="G84" s="168"/>
      <c r="H84" s="169">
        <v>8</v>
      </c>
      <c r="I84" s="167">
        <v>6</v>
      </c>
      <c r="J84" s="168"/>
      <c r="K84" s="168"/>
      <c r="L84" s="169">
        <v>6</v>
      </c>
      <c r="M84" s="167">
        <v>1</v>
      </c>
      <c r="N84" s="168"/>
      <c r="O84" s="168"/>
      <c r="P84" s="170">
        <v>1</v>
      </c>
      <c r="Q84" s="168">
        <v>1</v>
      </c>
      <c r="R84" s="168"/>
      <c r="S84" s="168"/>
      <c r="T84" s="170">
        <v>1</v>
      </c>
      <c r="U84" s="168"/>
      <c r="V84" s="168">
        <v>4</v>
      </c>
      <c r="W84" s="168"/>
      <c r="X84" s="170">
        <v>4</v>
      </c>
      <c r="Y84" s="168"/>
      <c r="Z84" s="168"/>
      <c r="AA84" s="168">
        <v>2</v>
      </c>
      <c r="AB84" s="170">
        <f t="shared" si="3"/>
        <v>2</v>
      </c>
      <c r="AC84" s="168">
        <v>2</v>
      </c>
      <c r="AD84" s="168"/>
      <c r="AE84" s="168"/>
      <c r="AF84" s="170">
        <f t="shared" si="4"/>
        <v>2</v>
      </c>
      <c r="AG84" s="168"/>
      <c r="AH84" s="168"/>
      <c r="AI84" s="168"/>
      <c r="AJ84" s="170">
        <f t="shared" si="5"/>
        <v>0</v>
      </c>
    </row>
    <row r="85" spans="2:36" s="47" customFormat="1" ht="14.25" customHeight="1" x14ac:dyDescent="0.2">
      <c r="B85" s="6377"/>
      <c r="C85" s="6377"/>
      <c r="D85" s="160" t="s">
        <v>299</v>
      </c>
      <c r="E85" s="167"/>
      <c r="F85" s="168"/>
      <c r="G85" s="168"/>
      <c r="H85" s="169"/>
      <c r="I85" s="167"/>
      <c r="J85" s="168"/>
      <c r="K85" s="168"/>
      <c r="L85" s="169"/>
      <c r="M85" s="167"/>
      <c r="N85" s="168"/>
      <c r="O85" s="168"/>
      <c r="P85" s="170"/>
      <c r="Q85" s="168">
        <v>6</v>
      </c>
      <c r="R85" s="168"/>
      <c r="S85" s="168">
        <v>2</v>
      </c>
      <c r="T85" s="170">
        <v>8</v>
      </c>
      <c r="U85" s="168"/>
      <c r="V85" s="168"/>
      <c r="W85" s="168"/>
      <c r="X85" s="170"/>
      <c r="Y85" s="168"/>
      <c r="Z85" s="168">
        <v>3</v>
      </c>
      <c r="AA85" s="168"/>
      <c r="AB85" s="170">
        <f t="shared" si="3"/>
        <v>3</v>
      </c>
      <c r="AC85" s="168"/>
      <c r="AD85" s="168"/>
      <c r="AE85" s="168"/>
      <c r="AF85" s="170">
        <f t="shared" si="4"/>
        <v>0</v>
      </c>
      <c r="AG85" s="168"/>
      <c r="AH85" s="168"/>
      <c r="AI85" s="168"/>
      <c r="AJ85" s="170">
        <f t="shared" si="5"/>
        <v>0</v>
      </c>
    </row>
    <row r="86" spans="2:36" s="47" customFormat="1" ht="14.25" customHeight="1" x14ac:dyDescent="0.2">
      <c r="B86" s="6377"/>
      <c r="C86" s="6377"/>
      <c r="D86" s="173" t="s">
        <v>279</v>
      </c>
      <c r="E86" s="167">
        <v>1</v>
      </c>
      <c r="F86" s="168"/>
      <c r="G86" s="168">
        <v>7</v>
      </c>
      <c r="H86" s="169">
        <v>8</v>
      </c>
      <c r="I86" s="167"/>
      <c r="J86" s="168"/>
      <c r="K86" s="168">
        <v>4</v>
      </c>
      <c r="L86" s="169">
        <v>4</v>
      </c>
      <c r="M86" s="167"/>
      <c r="N86" s="168"/>
      <c r="O86" s="168">
        <v>2</v>
      </c>
      <c r="P86" s="170">
        <v>2</v>
      </c>
      <c r="Q86" s="168"/>
      <c r="R86" s="168"/>
      <c r="S86" s="168">
        <v>2</v>
      </c>
      <c r="T86" s="170">
        <v>2</v>
      </c>
      <c r="U86" s="168"/>
      <c r="V86" s="168"/>
      <c r="W86" s="168">
        <v>7</v>
      </c>
      <c r="X86" s="170">
        <v>7</v>
      </c>
      <c r="Y86" s="168">
        <v>4</v>
      </c>
      <c r="Z86" s="168"/>
      <c r="AA86" s="168">
        <v>7</v>
      </c>
      <c r="AB86" s="170">
        <f t="shared" si="3"/>
        <v>11</v>
      </c>
      <c r="AC86" s="168">
        <v>2</v>
      </c>
      <c r="AD86" s="168"/>
      <c r="AE86" s="168"/>
      <c r="AF86" s="170">
        <f t="shared" si="4"/>
        <v>2</v>
      </c>
      <c r="AG86" s="168"/>
      <c r="AH86" s="168"/>
      <c r="AI86" s="168"/>
      <c r="AJ86" s="170">
        <f t="shared" si="5"/>
        <v>0</v>
      </c>
    </row>
    <row r="87" spans="2:36" s="47" customFormat="1" ht="14.25" customHeight="1" x14ac:dyDescent="0.2">
      <c r="B87" s="6377"/>
      <c r="C87" s="6378"/>
      <c r="D87" s="422" t="s">
        <v>300</v>
      </c>
      <c r="E87" s="415"/>
      <c r="F87" s="416"/>
      <c r="G87" s="416"/>
      <c r="H87" s="417"/>
      <c r="I87" s="415"/>
      <c r="J87" s="416"/>
      <c r="K87" s="416"/>
      <c r="L87" s="417"/>
      <c r="M87" s="415"/>
      <c r="N87" s="416"/>
      <c r="O87" s="416"/>
      <c r="P87" s="418"/>
      <c r="Q87" s="416"/>
      <c r="R87" s="416"/>
      <c r="S87" s="416">
        <v>1</v>
      </c>
      <c r="T87" s="418">
        <v>1</v>
      </c>
      <c r="U87" s="416"/>
      <c r="V87" s="416"/>
      <c r="W87" s="416"/>
      <c r="X87" s="418"/>
      <c r="Y87" s="416"/>
      <c r="Z87" s="416"/>
      <c r="AA87" s="416"/>
      <c r="AB87" s="418">
        <f t="shared" si="3"/>
        <v>0</v>
      </c>
      <c r="AC87" s="416">
        <v>1</v>
      </c>
      <c r="AD87" s="416"/>
      <c r="AE87" s="416"/>
      <c r="AF87" s="418">
        <f t="shared" si="4"/>
        <v>1</v>
      </c>
      <c r="AG87" s="416"/>
      <c r="AH87" s="416"/>
      <c r="AI87" s="416"/>
      <c r="AJ87" s="418">
        <f t="shared" si="5"/>
        <v>0</v>
      </c>
    </row>
    <row r="88" spans="2:36" s="47" customFormat="1" ht="14.25" customHeight="1" x14ac:dyDescent="0.2">
      <c r="B88" s="6377"/>
      <c r="C88" s="6377" t="s">
        <v>7</v>
      </c>
      <c r="D88" s="173" t="s">
        <v>301</v>
      </c>
      <c r="E88" s="167"/>
      <c r="F88" s="168"/>
      <c r="G88" s="168"/>
      <c r="H88" s="169"/>
      <c r="I88" s="167"/>
      <c r="J88" s="168">
        <v>16</v>
      </c>
      <c r="K88" s="168"/>
      <c r="L88" s="169">
        <v>16</v>
      </c>
      <c r="M88" s="167"/>
      <c r="N88" s="168"/>
      <c r="O88" s="168"/>
      <c r="P88" s="170"/>
      <c r="Q88" s="168"/>
      <c r="R88" s="168"/>
      <c r="S88" s="168">
        <v>6</v>
      </c>
      <c r="T88" s="170">
        <v>6</v>
      </c>
      <c r="U88" s="168"/>
      <c r="V88" s="168"/>
      <c r="W88" s="168">
        <v>2</v>
      </c>
      <c r="X88" s="170">
        <v>2</v>
      </c>
      <c r="Y88" s="168"/>
      <c r="Z88" s="168"/>
      <c r="AA88" s="168"/>
      <c r="AB88" s="170">
        <f t="shared" si="3"/>
        <v>0</v>
      </c>
      <c r="AC88" s="168"/>
      <c r="AD88" s="168"/>
      <c r="AE88" s="168"/>
      <c r="AF88" s="170">
        <f t="shared" si="4"/>
        <v>0</v>
      </c>
      <c r="AG88" s="168"/>
      <c r="AH88" s="168"/>
      <c r="AI88" s="168"/>
      <c r="AJ88" s="170">
        <f t="shared" si="5"/>
        <v>0</v>
      </c>
    </row>
    <row r="89" spans="2:36" s="47" customFormat="1" ht="14.25" customHeight="1" x14ac:dyDescent="0.2">
      <c r="B89" s="6378"/>
      <c r="C89" s="6378"/>
      <c r="D89" s="173" t="s">
        <v>302</v>
      </c>
      <c r="E89" s="150"/>
      <c r="F89" s="151"/>
      <c r="G89" s="151"/>
      <c r="H89" s="15"/>
      <c r="I89" s="150"/>
      <c r="J89" s="151"/>
      <c r="K89" s="151"/>
      <c r="L89" s="15"/>
      <c r="M89" s="150"/>
      <c r="N89" s="151"/>
      <c r="O89" s="151"/>
      <c r="P89" s="152"/>
      <c r="Q89" s="151"/>
      <c r="R89" s="151"/>
      <c r="S89" s="151"/>
      <c r="T89" s="152"/>
      <c r="U89" s="151"/>
      <c r="V89" s="151"/>
      <c r="W89" s="151"/>
      <c r="X89" s="152"/>
      <c r="Y89" s="151"/>
      <c r="Z89" s="151">
        <v>8</v>
      </c>
      <c r="AA89" s="151">
        <v>3</v>
      </c>
      <c r="AB89" s="152">
        <f t="shared" si="3"/>
        <v>11</v>
      </c>
      <c r="AC89" s="151"/>
      <c r="AD89" s="151"/>
      <c r="AE89" s="151"/>
      <c r="AF89" s="152">
        <f t="shared" si="4"/>
        <v>0</v>
      </c>
      <c r="AG89" s="151"/>
      <c r="AH89" s="151"/>
      <c r="AI89" s="151"/>
      <c r="AJ89" s="152">
        <f t="shared" si="5"/>
        <v>0</v>
      </c>
    </row>
    <row r="90" spans="2:36" s="75" customFormat="1" ht="15" x14ac:dyDescent="0.2">
      <c r="B90" s="6379" t="s">
        <v>76</v>
      </c>
      <c r="C90" s="6380"/>
      <c r="D90" s="6380"/>
      <c r="E90" s="323">
        <f t="shared" ref="E90:X90" si="6">SUM(E6:E89)</f>
        <v>180</v>
      </c>
      <c r="F90" s="324">
        <f t="shared" si="6"/>
        <v>70</v>
      </c>
      <c r="G90" s="324">
        <f t="shared" si="6"/>
        <v>132</v>
      </c>
      <c r="H90" s="324">
        <f t="shared" si="6"/>
        <v>382</v>
      </c>
      <c r="I90" s="323">
        <f t="shared" si="6"/>
        <v>64</v>
      </c>
      <c r="J90" s="324">
        <f t="shared" si="6"/>
        <v>67</v>
      </c>
      <c r="K90" s="324">
        <f t="shared" si="6"/>
        <v>244</v>
      </c>
      <c r="L90" s="324">
        <f t="shared" si="6"/>
        <v>375</v>
      </c>
      <c r="M90" s="323">
        <f t="shared" si="6"/>
        <v>71</v>
      </c>
      <c r="N90" s="324">
        <f t="shared" si="6"/>
        <v>37</v>
      </c>
      <c r="O90" s="324">
        <f t="shared" si="6"/>
        <v>98</v>
      </c>
      <c r="P90" s="325">
        <f t="shared" si="6"/>
        <v>206</v>
      </c>
      <c r="Q90" s="324">
        <f t="shared" si="6"/>
        <v>64</v>
      </c>
      <c r="R90" s="324">
        <f t="shared" si="6"/>
        <v>84</v>
      </c>
      <c r="S90" s="324">
        <f t="shared" si="6"/>
        <v>186</v>
      </c>
      <c r="T90" s="325">
        <f t="shared" si="6"/>
        <v>334</v>
      </c>
      <c r="U90" s="324">
        <f t="shared" si="6"/>
        <v>6</v>
      </c>
      <c r="V90" s="324">
        <f t="shared" si="6"/>
        <v>76</v>
      </c>
      <c r="W90" s="324">
        <f t="shared" si="6"/>
        <v>133</v>
      </c>
      <c r="X90" s="325">
        <f t="shared" si="6"/>
        <v>215</v>
      </c>
      <c r="Y90" s="324">
        <f t="shared" ref="Y90:AF90" si="7">SUM(Y6:Y89)</f>
        <v>79</v>
      </c>
      <c r="Z90" s="324">
        <f t="shared" si="7"/>
        <v>44</v>
      </c>
      <c r="AA90" s="324">
        <f t="shared" si="7"/>
        <v>193</v>
      </c>
      <c r="AB90" s="325">
        <f t="shared" si="7"/>
        <v>316</v>
      </c>
      <c r="AC90" s="324">
        <f t="shared" si="7"/>
        <v>119</v>
      </c>
      <c r="AD90" s="324">
        <f t="shared" si="7"/>
        <v>3</v>
      </c>
      <c r="AE90" s="324">
        <f t="shared" si="7"/>
        <v>67</v>
      </c>
      <c r="AF90" s="325">
        <f t="shared" si="7"/>
        <v>189</v>
      </c>
      <c r="AG90" s="324">
        <f>SUM(AG6:AG89)</f>
        <v>0</v>
      </c>
      <c r="AH90" s="324">
        <f>SUM(AH6:AH89)</f>
        <v>0</v>
      </c>
      <c r="AI90" s="324">
        <f>SUM(AI6:AI89)</f>
        <v>0</v>
      </c>
      <c r="AJ90" s="325">
        <f>SUM(AJ6:AJ89)</f>
        <v>0</v>
      </c>
    </row>
    <row r="91" spans="2:36" s="75" customFormat="1" x14ac:dyDescent="0.2">
      <c r="B91" s="6381" t="s">
        <v>0</v>
      </c>
      <c r="C91" s="6381"/>
      <c r="D91" s="6381"/>
    </row>
    <row r="92" spans="2:36" x14ac:dyDescent="0.2">
      <c r="E92" s="76"/>
      <c r="F92" s="76"/>
      <c r="G92" s="76"/>
      <c r="H92" s="60"/>
      <c r="I92" s="76"/>
      <c r="J92" s="76"/>
      <c r="K92" s="76"/>
      <c r="L92" s="60"/>
      <c r="M92" s="76"/>
      <c r="N92" s="76"/>
      <c r="O92" s="76"/>
      <c r="P92" s="60"/>
      <c r="Q92" s="76"/>
      <c r="R92" s="76"/>
      <c r="S92" s="76"/>
      <c r="T92" s="60"/>
      <c r="U92" s="76"/>
      <c r="V92" s="76"/>
      <c r="W92" s="76"/>
      <c r="X92" s="60"/>
      <c r="Y92" s="76"/>
      <c r="Z92" s="76"/>
      <c r="AA92" s="76"/>
      <c r="AB92" s="60"/>
    </row>
  </sheetData>
  <mergeCells count="49">
    <mergeCell ref="AI5:AI6"/>
    <mergeCell ref="AJ5:AJ6"/>
    <mergeCell ref="C62:C76"/>
    <mergeCell ref="C77:C87"/>
    <mergeCell ref="C88:C89"/>
    <mergeCell ref="AG5:AG6"/>
    <mergeCell ref="AH5:AH6"/>
    <mergeCell ref="C12:C23"/>
    <mergeCell ref="C24:C28"/>
    <mergeCell ref="C29:C41"/>
    <mergeCell ref="C42:C52"/>
    <mergeCell ref="C53:C61"/>
    <mergeCell ref="U5:U6"/>
    <mergeCell ref="V5:V6"/>
    <mergeCell ref="W5:W6"/>
    <mergeCell ref="O5:O6"/>
    <mergeCell ref="AC5:AC6"/>
    <mergeCell ref="AD5:AD6"/>
    <mergeCell ref="AE5:AE6"/>
    <mergeCell ref="AF5:AF6"/>
    <mergeCell ref="T5:T6"/>
    <mergeCell ref="AA5:AA6"/>
    <mergeCell ref="AB5:AB6"/>
    <mergeCell ref="X5:X6"/>
    <mergeCell ref="Y5:Y6"/>
    <mergeCell ref="Z5:Z6"/>
    <mergeCell ref="R5:R6"/>
    <mergeCell ref="S5:S6"/>
    <mergeCell ref="L5:L6"/>
    <mergeCell ref="M5:M6"/>
    <mergeCell ref="N5:N6"/>
    <mergeCell ref="P5:P6"/>
    <mergeCell ref="Q5:Q6"/>
    <mergeCell ref="B90:D90"/>
    <mergeCell ref="B91:D91"/>
    <mergeCell ref="B5:B6"/>
    <mergeCell ref="C5:C6"/>
    <mergeCell ref="D5:D6"/>
    <mergeCell ref="B29:B61"/>
    <mergeCell ref="B62:B89"/>
    <mergeCell ref="E5:E6"/>
    <mergeCell ref="F5:F6"/>
    <mergeCell ref="G5:G6"/>
    <mergeCell ref="K5:K6"/>
    <mergeCell ref="B7:B28"/>
    <mergeCell ref="C7:C11"/>
    <mergeCell ref="H5:H6"/>
    <mergeCell ref="I5:I6"/>
    <mergeCell ref="J5:J6"/>
  </mergeCells>
  <printOptions horizontalCentered="1" verticalCentered="1"/>
  <pageMargins left="0.39370078740157483" right="0.39370078740157483" top="0.51181102362204722" bottom="0.59055118110236227" header="0.43307086614173229" footer="0.31496062992125984"/>
  <pageSetup scale="40" orientation="portrait" horizontalDpi="1200" verticalDpi="1200" r:id="rId1"/>
  <headerFooter alignWithMargins="0">
    <oddHeader>&amp;LANEXO ESTADÍSTICO  2008&amp;CCOBERTURA EDUCATIVA&amp;R&amp;G</oddHeader>
    <oddFooter>&amp;R37</oddFooter>
  </headerFooter>
  <ignoredErrors>
    <ignoredError sqref="AB7:AB34 AB35:AB90" formulaRange="1"/>
  </ignoredErrors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AJ74"/>
  <sheetViews>
    <sheetView showGridLines="0" topLeftCell="I1" zoomScale="90" zoomScaleNormal="90" workbookViewId="0">
      <selection activeCell="C4" sqref="C4"/>
    </sheetView>
  </sheetViews>
  <sheetFormatPr baseColWidth="10" defaultRowHeight="12.75" x14ac:dyDescent="0.2"/>
  <cols>
    <col min="1" max="1" width="1.5703125" style="1" customWidth="1"/>
    <col min="2" max="2" width="16.7109375" style="1" customWidth="1"/>
    <col min="3" max="3" width="9.28515625" style="1" bestFit="1" customWidth="1"/>
    <col min="4" max="4" width="29.7109375" style="74" customWidth="1"/>
    <col min="5" max="8" width="7.5703125" style="74" customWidth="1"/>
    <col min="9" max="11" width="7.5703125" style="1" customWidth="1"/>
    <col min="12" max="12" width="7.5703125" style="27" customWidth="1"/>
    <col min="13" max="15" width="7.5703125" style="1" customWidth="1"/>
    <col min="16" max="16" width="7.5703125" style="27" customWidth="1"/>
    <col min="17" max="19" width="7.5703125" style="1" customWidth="1"/>
    <col min="20" max="20" width="7.5703125" style="27" customWidth="1"/>
    <col min="21" max="23" width="7.5703125" style="1" customWidth="1"/>
    <col min="24" max="24" width="7.5703125" style="27" customWidth="1"/>
    <col min="25" max="27" width="7.5703125" style="1" customWidth="1"/>
    <col min="28" max="28" width="7.7109375" style="1" customWidth="1"/>
    <col min="29" max="31" width="7.5703125" style="1" customWidth="1"/>
    <col min="32" max="36" width="7.7109375" style="1" customWidth="1"/>
    <col min="37" max="16384" width="11.42578125" style="1"/>
  </cols>
  <sheetData>
    <row r="1" spans="2:36" s="75" customFormat="1" ht="18" x14ac:dyDescent="0.2"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</row>
    <row r="2" spans="2:36" s="75" customFormat="1" ht="18" x14ac:dyDescent="0.2">
      <c r="B2" s="6399" t="s">
        <v>34</v>
      </c>
      <c r="C2" s="6399"/>
      <c r="D2" s="6399"/>
      <c r="E2" s="6399"/>
      <c r="F2" s="6399"/>
      <c r="G2" s="6399"/>
      <c r="H2" s="6399"/>
      <c r="I2" s="6399"/>
      <c r="J2" s="6399"/>
      <c r="K2" s="6399"/>
      <c r="L2" s="6399"/>
      <c r="M2" s="6399"/>
      <c r="N2" s="6399"/>
      <c r="O2" s="6399"/>
      <c r="P2" s="6399"/>
      <c r="Q2" s="6399"/>
      <c r="R2" s="6399"/>
      <c r="S2" s="6399"/>
      <c r="T2" s="6399"/>
      <c r="U2" s="6399"/>
      <c r="V2" s="6399"/>
      <c r="W2" s="6399"/>
      <c r="X2" s="6399"/>
      <c r="Y2" s="6399"/>
      <c r="Z2" s="6399"/>
      <c r="AA2" s="6399"/>
      <c r="AB2" s="6399"/>
    </row>
    <row r="3" spans="2:36" s="75" customFormat="1" ht="18" x14ac:dyDescent="0.2">
      <c r="B3" s="6399" t="s">
        <v>153</v>
      </c>
      <c r="C3" s="6399"/>
      <c r="D3" s="6399"/>
      <c r="E3" s="6399"/>
      <c r="F3" s="6399"/>
      <c r="G3" s="6399"/>
      <c r="H3" s="6399"/>
      <c r="I3" s="6399"/>
      <c r="J3" s="6399"/>
      <c r="K3" s="6399"/>
      <c r="L3" s="6399"/>
      <c r="M3" s="6399"/>
      <c r="N3" s="6399"/>
      <c r="O3" s="6399"/>
      <c r="P3" s="6399"/>
      <c r="Q3" s="6399"/>
      <c r="R3" s="6399"/>
      <c r="S3" s="6399"/>
      <c r="T3" s="6399"/>
      <c r="U3" s="6399"/>
      <c r="V3" s="6399"/>
      <c r="W3" s="6399"/>
      <c r="X3" s="6399"/>
      <c r="Y3" s="6399"/>
      <c r="Z3" s="6399"/>
      <c r="AA3" s="6399"/>
      <c r="AB3" s="6399"/>
    </row>
    <row r="4" spans="2:36" s="75" customFormat="1" ht="20.25" x14ac:dyDescent="0.2"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</row>
    <row r="5" spans="2:36" ht="12.75" customHeight="1" x14ac:dyDescent="0.2">
      <c r="B5" s="6382" t="s">
        <v>16</v>
      </c>
      <c r="C5" s="6382" t="s">
        <v>4</v>
      </c>
      <c r="D5" s="6382" t="s">
        <v>25</v>
      </c>
      <c r="E5" s="6385" t="s">
        <v>156</v>
      </c>
      <c r="F5" s="6385" t="s">
        <v>154</v>
      </c>
      <c r="G5" s="6385" t="s">
        <v>155</v>
      </c>
      <c r="H5" s="6385" t="s">
        <v>157</v>
      </c>
      <c r="I5" s="6384" t="s">
        <v>73</v>
      </c>
      <c r="J5" s="6384" t="s">
        <v>71</v>
      </c>
      <c r="K5" s="6384" t="s">
        <v>70</v>
      </c>
      <c r="L5" s="6401" t="s">
        <v>61</v>
      </c>
      <c r="M5" s="6384" t="s">
        <v>72</v>
      </c>
      <c r="N5" s="6384" t="s">
        <v>24</v>
      </c>
      <c r="O5" s="6384" t="s">
        <v>23</v>
      </c>
      <c r="P5" s="6384" t="s">
        <v>62</v>
      </c>
      <c r="Q5" s="6400" t="s">
        <v>69</v>
      </c>
      <c r="R5" s="6384" t="s">
        <v>59</v>
      </c>
      <c r="S5" s="6384" t="s">
        <v>21</v>
      </c>
      <c r="T5" s="6384" t="s">
        <v>63</v>
      </c>
      <c r="U5" s="6400" t="s">
        <v>22</v>
      </c>
      <c r="V5" s="6384" t="s">
        <v>17</v>
      </c>
      <c r="W5" s="6384" t="s">
        <v>18</v>
      </c>
      <c r="X5" s="6384" t="s">
        <v>64</v>
      </c>
      <c r="Y5" s="6402" t="s">
        <v>150</v>
      </c>
      <c r="Z5" s="6403" t="s">
        <v>148</v>
      </c>
      <c r="AA5" s="6403" t="s">
        <v>149</v>
      </c>
      <c r="AB5" s="6404" t="s">
        <v>151</v>
      </c>
      <c r="AC5" s="6403" t="s">
        <v>324</v>
      </c>
      <c r="AD5" s="6403" t="s">
        <v>323</v>
      </c>
      <c r="AE5" s="6403" t="s">
        <v>322</v>
      </c>
      <c r="AF5" s="6404" t="s">
        <v>326</v>
      </c>
      <c r="AG5" s="6402" t="s">
        <v>337</v>
      </c>
      <c r="AH5" s="6403" t="s">
        <v>334</v>
      </c>
      <c r="AI5" s="6403" t="s">
        <v>335</v>
      </c>
      <c r="AJ5" s="6404" t="s">
        <v>338</v>
      </c>
    </row>
    <row r="6" spans="2:36" ht="12.75" customHeight="1" x14ac:dyDescent="0.2">
      <c r="B6" s="6382"/>
      <c r="C6" s="6382"/>
      <c r="D6" s="6382"/>
      <c r="E6" s="6386"/>
      <c r="F6" s="6386"/>
      <c r="G6" s="6386"/>
      <c r="H6" s="6386"/>
      <c r="I6" s="6384"/>
      <c r="J6" s="6384"/>
      <c r="K6" s="6384"/>
      <c r="L6" s="6401"/>
      <c r="M6" s="6384"/>
      <c r="N6" s="6384"/>
      <c r="O6" s="6384"/>
      <c r="P6" s="6384"/>
      <c r="Q6" s="6400"/>
      <c r="R6" s="6384"/>
      <c r="S6" s="6384"/>
      <c r="T6" s="6384"/>
      <c r="U6" s="6400"/>
      <c r="V6" s="6384"/>
      <c r="W6" s="6384"/>
      <c r="X6" s="6384"/>
      <c r="Y6" s="6402"/>
      <c r="Z6" s="6403"/>
      <c r="AA6" s="6403"/>
      <c r="AB6" s="6405"/>
      <c r="AC6" s="6403"/>
      <c r="AD6" s="6403"/>
      <c r="AE6" s="6403"/>
      <c r="AF6" s="6405"/>
      <c r="AG6" s="6402"/>
      <c r="AH6" s="6403"/>
      <c r="AI6" s="6403"/>
      <c r="AJ6" s="6405"/>
    </row>
    <row r="7" spans="2:36" ht="12.75" customHeight="1" x14ac:dyDescent="0.2">
      <c r="D7" s="1"/>
      <c r="E7" s="1"/>
      <c r="F7" s="1"/>
      <c r="G7" s="1"/>
      <c r="H7" s="1"/>
      <c r="L7" s="1"/>
      <c r="P7" s="1"/>
      <c r="T7" s="1"/>
      <c r="X7" s="1"/>
    </row>
    <row r="8" spans="2:36" ht="12.75" customHeight="1" x14ac:dyDescent="0.2">
      <c r="B8" s="6393" t="s">
        <v>3</v>
      </c>
      <c r="C8" s="6396" t="s">
        <v>5</v>
      </c>
      <c r="D8" s="282" t="s">
        <v>26</v>
      </c>
      <c r="E8" s="356"/>
      <c r="F8" s="355"/>
      <c r="G8" s="355"/>
      <c r="H8" s="357"/>
      <c r="I8" s="285"/>
      <c r="J8" s="283"/>
      <c r="K8" s="283"/>
      <c r="L8" s="284"/>
      <c r="M8" s="285"/>
      <c r="N8" s="283"/>
      <c r="O8" s="283"/>
      <c r="P8" s="286"/>
      <c r="Q8" s="283"/>
      <c r="R8" s="283"/>
      <c r="S8" s="283"/>
      <c r="T8" s="286"/>
      <c r="U8" s="283"/>
      <c r="V8" s="283"/>
      <c r="W8" s="283"/>
      <c r="X8" s="286"/>
      <c r="Y8" s="287"/>
      <c r="Z8" s="288"/>
      <c r="AA8" s="288"/>
      <c r="AB8" s="358"/>
      <c r="AC8" s="287"/>
      <c r="AD8" s="288"/>
      <c r="AE8" s="288"/>
      <c r="AF8" s="359"/>
      <c r="AG8" s="287"/>
      <c r="AH8" s="288"/>
      <c r="AI8" s="288"/>
      <c r="AJ8" s="359"/>
    </row>
    <row r="9" spans="2:36" ht="12.75" customHeight="1" x14ac:dyDescent="0.2">
      <c r="B9" s="6394"/>
      <c r="C9" s="6397"/>
      <c r="D9" s="290" t="s">
        <v>27</v>
      </c>
      <c r="E9" s="338">
        <v>17</v>
      </c>
      <c r="F9" s="339">
        <v>6</v>
      </c>
      <c r="G9" s="339">
        <v>5</v>
      </c>
      <c r="H9" s="340">
        <v>28</v>
      </c>
      <c r="I9" s="293">
        <v>4</v>
      </c>
      <c r="J9" s="291">
        <v>3</v>
      </c>
      <c r="K9" s="291">
        <v>18</v>
      </c>
      <c r="L9" s="292">
        <v>25</v>
      </c>
      <c r="M9" s="293">
        <v>5</v>
      </c>
      <c r="N9" s="291">
        <v>10</v>
      </c>
      <c r="O9" s="291">
        <v>12</v>
      </c>
      <c r="P9" s="294">
        <v>27</v>
      </c>
      <c r="Q9" s="291">
        <v>3</v>
      </c>
      <c r="R9" s="291">
        <v>2</v>
      </c>
      <c r="S9" s="291">
        <v>9</v>
      </c>
      <c r="T9" s="294">
        <v>14</v>
      </c>
      <c r="U9" s="291">
        <v>0</v>
      </c>
      <c r="V9" s="291">
        <v>9</v>
      </c>
      <c r="W9" s="291">
        <v>7</v>
      </c>
      <c r="X9" s="294">
        <v>16</v>
      </c>
      <c r="Y9" s="295">
        <v>10</v>
      </c>
      <c r="Z9" s="296">
        <v>2</v>
      </c>
      <c r="AA9" s="296">
        <v>6</v>
      </c>
      <c r="AB9" s="341">
        <v>18</v>
      </c>
      <c r="AC9" s="295">
        <v>9</v>
      </c>
      <c r="AD9" s="296"/>
      <c r="AE9" s="296"/>
      <c r="AF9" s="342">
        <f>SUM(AC9:AE9)</f>
        <v>9</v>
      </c>
      <c r="AG9" s="295"/>
      <c r="AH9" s="296"/>
      <c r="AI9" s="296"/>
      <c r="AJ9" s="342">
        <f>SUM(AG9:AI9)</f>
        <v>0</v>
      </c>
    </row>
    <row r="10" spans="2:36" s="27" customFormat="1" ht="12.75" customHeight="1" x14ac:dyDescent="0.2">
      <c r="B10" s="6394"/>
      <c r="C10" s="6397"/>
      <c r="D10" s="290" t="s">
        <v>28</v>
      </c>
      <c r="E10" s="338">
        <v>0</v>
      </c>
      <c r="F10" s="339">
        <v>0</v>
      </c>
      <c r="G10" s="339">
        <v>0</v>
      </c>
      <c r="H10" s="340">
        <v>0</v>
      </c>
      <c r="I10" s="293">
        <v>1</v>
      </c>
      <c r="J10" s="291">
        <v>0</v>
      </c>
      <c r="K10" s="291">
        <v>1</v>
      </c>
      <c r="L10" s="292">
        <v>2</v>
      </c>
      <c r="M10" s="293">
        <v>0</v>
      </c>
      <c r="N10" s="291">
        <v>0</v>
      </c>
      <c r="O10" s="291">
        <v>1</v>
      </c>
      <c r="P10" s="294">
        <v>1</v>
      </c>
      <c r="Q10" s="291">
        <v>0</v>
      </c>
      <c r="R10" s="291">
        <v>1</v>
      </c>
      <c r="S10" s="291">
        <v>0</v>
      </c>
      <c r="T10" s="294">
        <v>1</v>
      </c>
      <c r="U10" s="291">
        <v>0</v>
      </c>
      <c r="V10" s="291">
        <v>0</v>
      </c>
      <c r="W10" s="291">
        <v>1</v>
      </c>
      <c r="X10" s="294">
        <v>1</v>
      </c>
      <c r="Y10" s="295">
        <v>1</v>
      </c>
      <c r="Z10" s="296">
        <v>1</v>
      </c>
      <c r="AA10" s="296">
        <v>0</v>
      </c>
      <c r="AB10" s="341">
        <v>2</v>
      </c>
      <c r="AC10" s="295">
        <v>1</v>
      </c>
      <c r="AD10" s="296"/>
      <c r="AE10" s="296"/>
      <c r="AF10" s="342">
        <f>SUM(AC10:AE10)</f>
        <v>1</v>
      </c>
      <c r="AG10" s="295"/>
      <c r="AH10" s="296"/>
      <c r="AI10" s="296"/>
      <c r="AJ10" s="342">
        <f>SUM(AG10:AI10)</f>
        <v>0</v>
      </c>
    </row>
    <row r="11" spans="2:36" s="27" customFormat="1" ht="12.75" customHeight="1" x14ac:dyDescent="0.2">
      <c r="B11" s="6394"/>
      <c r="C11" s="6397"/>
      <c r="D11" s="423" t="s">
        <v>13</v>
      </c>
      <c r="E11" s="424">
        <v>17</v>
      </c>
      <c r="F11" s="425">
        <v>6</v>
      </c>
      <c r="G11" s="425">
        <v>5</v>
      </c>
      <c r="H11" s="426">
        <v>28</v>
      </c>
      <c r="I11" s="427">
        <v>5</v>
      </c>
      <c r="J11" s="428">
        <v>3</v>
      </c>
      <c r="K11" s="428">
        <v>19</v>
      </c>
      <c r="L11" s="428">
        <v>27</v>
      </c>
      <c r="M11" s="427">
        <v>5</v>
      </c>
      <c r="N11" s="428">
        <v>10</v>
      </c>
      <c r="O11" s="428">
        <v>13</v>
      </c>
      <c r="P11" s="429">
        <v>28</v>
      </c>
      <c r="Q11" s="428">
        <v>3</v>
      </c>
      <c r="R11" s="428">
        <v>3</v>
      </c>
      <c r="S11" s="428">
        <v>9</v>
      </c>
      <c r="T11" s="429">
        <v>15</v>
      </c>
      <c r="U11" s="428">
        <v>0</v>
      </c>
      <c r="V11" s="428">
        <v>9</v>
      </c>
      <c r="W11" s="428">
        <v>8</v>
      </c>
      <c r="X11" s="429">
        <v>17</v>
      </c>
      <c r="Y11" s="430">
        <v>11</v>
      </c>
      <c r="Z11" s="431">
        <v>3</v>
      </c>
      <c r="AA11" s="431">
        <v>6</v>
      </c>
      <c r="AB11" s="431">
        <v>20</v>
      </c>
      <c r="AC11" s="430">
        <f t="shared" ref="AC11:AJ11" si="0">SUM(AC8:AC10)</f>
        <v>10</v>
      </c>
      <c r="AD11" s="431">
        <f t="shared" si="0"/>
        <v>0</v>
      </c>
      <c r="AE11" s="431">
        <f t="shared" si="0"/>
        <v>0</v>
      </c>
      <c r="AF11" s="432">
        <f t="shared" si="0"/>
        <v>10</v>
      </c>
      <c r="AG11" s="430">
        <f t="shared" si="0"/>
        <v>0</v>
      </c>
      <c r="AH11" s="431">
        <f t="shared" si="0"/>
        <v>0</v>
      </c>
      <c r="AI11" s="431">
        <f t="shared" si="0"/>
        <v>0</v>
      </c>
      <c r="AJ11" s="432">
        <f t="shared" si="0"/>
        <v>0</v>
      </c>
    </row>
    <row r="12" spans="2:36" x14ac:dyDescent="0.2">
      <c r="B12" s="6394"/>
      <c r="C12" s="6396" t="s">
        <v>6</v>
      </c>
      <c r="D12" s="343"/>
      <c r="E12" s="344"/>
      <c r="F12" s="345"/>
      <c r="G12" s="345"/>
      <c r="H12" s="346"/>
      <c r="I12" s="347"/>
      <c r="J12" s="348"/>
      <c r="K12" s="348"/>
      <c r="L12" s="349"/>
      <c r="M12" s="347"/>
      <c r="N12" s="348"/>
      <c r="O12" s="348"/>
      <c r="P12" s="350"/>
      <c r="Q12" s="348"/>
      <c r="R12" s="348"/>
      <c r="S12" s="348"/>
      <c r="T12" s="350"/>
      <c r="U12" s="348"/>
      <c r="V12" s="348"/>
      <c r="W12" s="348"/>
      <c r="X12" s="350"/>
      <c r="Y12" s="295"/>
      <c r="Z12" s="296"/>
      <c r="AA12" s="296"/>
      <c r="AB12" s="341"/>
      <c r="AC12" s="295"/>
      <c r="AD12" s="296"/>
      <c r="AE12" s="296"/>
      <c r="AF12" s="342"/>
      <c r="AG12" s="295"/>
      <c r="AH12" s="296"/>
      <c r="AI12" s="296"/>
      <c r="AJ12" s="342"/>
    </row>
    <row r="13" spans="2:36" x14ac:dyDescent="0.2">
      <c r="B13" s="6394"/>
      <c r="C13" s="6397"/>
      <c r="D13" s="290" t="s">
        <v>26</v>
      </c>
      <c r="E13" s="338">
        <v>6</v>
      </c>
      <c r="F13" s="339">
        <v>0</v>
      </c>
      <c r="G13" s="339">
        <v>2</v>
      </c>
      <c r="H13" s="340">
        <v>8</v>
      </c>
      <c r="I13" s="293">
        <v>0</v>
      </c>
      <c r="J13" s="291">
        <v>1</v>
      </c>
      <c r="K13" s="291">
        <v>10</v>
      </c>
      <c r="L13" s="292">
        <v>11</v>
      </c>
      <c r="M13" s="293">
        <v>0</v>
      </c>
      <c r="N13" s="291">
        <v>1</v>
      </c>
      <c r="O13" s="291">
        <v>10</v>
      </c>
      <c r="P13" s="294">
        <v>11</v>
      </c>
      <c r="Q13" s="291">
        <v>0</v>
      </c>
      <c r="R13" s="291">
        <v>0</v>
      </c>
      <c r="S13" s="291">
        <v>2</v>
      </c>
      <c r="T13" s="294">
        <v>2</v>
      </c>
      <c r="U13" s="291">
        <v>0</v>
      </c>
      <c r="V13" s="291">
        <v>0</v>
      </c>
      <c r="W13" s="291">
        <v>9</v>
      </c>
      <c r="X13" s="294">
        <v>9</v>
      </c>
      <c r="Y13" s="295">
        <v>4</v>
      </c>
      <c r="Z13" s="296">
        <v>2</v>
      </c>
      <c r="AA13" s="296">
        <v>6</v>
      </c>
      <c r="AB13" s="341">
        <v>12</v>
      </c>
      <c r="AC13" s="295"/>
      <c r="AD13" s="296"/>
      <c r="AE13" s="296"/>
      <c r="AF13" s="342"/>
      <c r="AG13" s="295"/>
      <c r="AH13" s="296"/>
      <c r="AI13" s="296"/>
      <c r="AJ13" s="342"/>
    </row>
    <row r="14" spans="2:36" x14ac:dyDescent="0.2">
      <c r="B14" s="6394"/>
      <c r="C14" s="6397"/>
      <c r="D14" s="290" t="s">
        <v>27</v>
      </c>
      <c r="E14" s="338">
        <v>10</v>
      </c>
      <c r="F14" s="339">
        <v>2</v>
      </c>
      <c r="G14" s="339">
        <v>3</v>
      </c>
      <c r="H14" s="340">
        <v>15</v>
      </c>
      <c r="I14" s="293">
        <v>5</v>
      </c>
      <c r="J14" s="291">
        <v>1</v>
      </c>
      <c r="K14" s="291">
        <v>15</v>
      </c>
      <c r="L14" s="292">
        <v>21</v>
      </c>
      <c r="M14" s="293">
        <v>1</v>
      </c>
      <c r="N14" s="291">
        <v>0</v>
      </c>
      <c r="O14" s="291">
        <v>4</v>
      </c>
      <c r="P14" s="294">
        <v>5</v>
      </c>
      <c r="Q14" s="291">
        <v>3</v>
      </c>
      <c r="R14" s="291">
        <v>4</v>
      </c>
      <c r="S14" s="291">
        <v>6</v>
      </c>
      <c r="T14" s="294">
        <v>13</v>
      </c>
      <c r="U14" s="291">
        <v>1</v>
      </c>
      <c r="V14" s="291">
        <v>0</v>
      </c>
      <c r="W14" s="291">
        <v>0</v>
      </c>
      <c r="X14" s="294">
        <v>1</v>
      </c>
      <c r="Y14" s="295">
        <v>9</v>
      </c>
      <c r="Z14" s="296">
        <v>1</v>
      </c>
      <c r="AA14" s="296">
        <v>11</v>
      </c>
      <c r="AB14" s="341">
        <v>21</v>
      </c>
      <c r="AC14" s="295">
        <v>4</v>
      </c>
      <c r="AD14" s="296"/>
      <c r="AE14" s="296"/>
      <c r="AF14" s="342">
        <f>SUM(AC14:AE14)</f>
        <v>4</v>
      </c>
      <c r="AG14" s="295"/>
      <c r="AH14" s="296"/>
      <c r="AI14" s="296"/>
      <c r="AJ14" s="342">
        <f>SUM(AG14:AI14)</f>
        <v>0</v>
      </c>
    </row>
    <row r="15" spans="2:36" x14ac:dyDescent="0.2">
      <c r="B15" s="6394"/>
      <c r="C15" s="6397"/>
      <c r="D15" s="290" t="s">
        <v>28</v>
      </c>
      <c r="E15" s="338">
        <v>0</v>
      </c>
      <c r="F15" s="339">
        <v>0</v>
      </c>
      <c r="G15" s="339">
        <v>0</v>
      </c>
      <c r="H15" s="340">
        <v>0</v>
      </c>
      <c r="I15" s="293">
        <v>0</v>
      </c>
      <c r="J15" s="291">
        <v>0</v>
      </c>
      <c r="K15" s="291">
        <v>0</v>
      </c>
      <c r="L15" s="292">
        <v>0</v>
      </c>
      <c r="M15" s="293">
        <v>0</v>
      </c>
      <c r="N15" s="291">
        <v>0</v>
      </c>
      <c r="O15" s="291">
        <v>1</v>
      </c>
      <c r="P15" s="294">
        <v>1</v>
      </c>
      <c r="Q15" s="291">
        <v>0</v>
      </c>
      <c r="R15" s="291">
        <v>0</v>
      </c>
      <c r="S15" s="291">
        <v>0</v>
      </c>
      <c r="T15" s="294">
        <v>0</v>
      </c>
      <c r="U15" s="291">
        <v>0</v>
      </c>
      <c r="V15" s="291">
        <v>0</v>
      </c>
      <c r="W15" s="291">
        <v>0</v>
      </c>
      <c r="X15" s="294">
        <v>0</v>
      </c>
      <c r="Y15" s="295">
        <v>0</v>
      </c>
      <c r="Z15" s="296">
        <v>0</v>
      </c>
      <c r="AA15" s="296">
        <v>0</v>
      </c>
      <c r="AB15" s="341">
        <v>0</v>
      </c>
      <c r="AC15" s="295">
        <v>1</v>
      </c>
      <c r="AD15" s="296"/>
      <c r="AE15" s="296"/>
      <c r="AF15" s="342">
        <f>SUM(AC15:AE15)</f>
        <v>1</v>
      </c>
      <c r="AG15" s="295"/>
      <c r="AH15" s="296"/>
      <c r="AI15" s="296"/>
      <c r="AJ15" s="342">
        <f>SUM(AG15:AI15)</f>
        <v>0</v>
      </c>
    </row>
    <row r="16" spans="2:36" s="27" customFormat="1" x14ac:dyDescent="0.2">
      <c r="B16" s="6394"/>
      <c r="C16" s="6398"/>
      <c r="D16" s="423" t="s">
        <v>14</v>
      </c>
      <c r="E16" s="424">
        <v>16</v>
      </c>
      <c r="F16" s="425">
        <v>2</v>
      </c>
      <c r="G16" s="425">
        <v>5</v>
      </c>
      <c r="H16" s="426">
        <v>23</v>
      </c>
      <c r="I16" s="427">
        <v>5</v>
      </c>
      <c r="J16" s="428">
        <v>2</v>
      </c>
      <c r="K16" s="428">
        <v>25</v>
      </c>
      <c r="L16" s="428">
        <v>32</v>
      </c>
      <c r="M16" s="427">
        <v>1</v>
      </c>
      <c r="N16" s="428">
        <v>1</v>
      </c>
      <c r="O16" s="428">
        <v>15</v>
      </c>
      <c r="P16" s="429">
        <v>17</v>
      </c>
      <c r="Q16" s="428">
        <v>3</v>
      </c>
      <c r="R16" s="428">
        <v>4</v>
      </c>
      <c r="S16" s="428">
        <v>8</v>
      </c>
      <c r="T16" s="429">
        <v>15</v>
      </c>
      <c r="U16" s="428">
        <v>1</v>
      </c>
      <c r="V16" s="428">
        <v>0</v>
      </c>
      <c r="W16" s="428">
        <v>9</v>
      </c>
      <c r="X16" s="429">
        <v>10</v>
      </c>
      <c r="Y16" s="430">
        <v>13</v>
      </c>
      <c r="Z16" s="431">
        <v>3</v>
      </c>
      <c r="AA16" s="431">
        <v>17</v>
      </c>
      <c r="AB16" s="431">
        <v>33</v>
      </c>
      <c r="AC16" s="430">
        <f>SUM(AC13:AC15)</f>
        <v>5</v>
      </c>
      <c r="AD16" s="431">
        <f>SUM(AD13:AD15)</f>
        <v>0</v>
      </c>
      <c r="AE16" s="431">
        <f>SUM(AE13:AE15)</f>
        <v>0</v>
      </c>
      <c r="AF16" s="432">
        <f>SUM(AC16:AE16)</f>
        <v>5</v>
      </c>
      <c r="AG16" s="430">
        <f>SUM(AG13:AG15)</f>
        <v>0</v>
      </c>
      <c r="AH16" s="431">
        <f>SUM(AH13:AH15)</f>
        <v>0</v>
      </c>
      <c r="AI16" s="431">
        <f>SUM(AI13:AI15)</f>
        <v>0</v>
      </c>
      <c r="AJ16" s="432">
        <f>SUM(AG16:AI16)</f>
        <v>0</v>
      </c>
    </row>
    <row r="17" spans="2:36" x14ac:dyDescent="0.2">
      <c r="B17" s="6394"/>
      <c r="C17" s="6397" t="s">
        <v>7</v>
      </c>
      <c r="D17" s="343"/>
      <c r="E17" s="344"/>
      <c r="F17" s="345"/>
      <c r="G17" s="345"/>
      <c r="H17" s="346"/>
      <c r="I17" s="347"/>
      <c r="J17" s="348"/>
      <c r="K17" s="348"/>
      <c r="L17" s="349"/>
      <c r="M17" s="347"/>
      <c r="N17" s="348"/>
      <c r="O17" s="348"/>
      <c r="P17" s="350"/>
      <c r="Q17" s="348"/>
      <c r="R17" s="348"/>
      <c r="S17" s="348"/>
      <c r="T17" s="350"/>
      <c r="U17" s="348"/>
      <c r="V17" s="348"/>
      <c r="W17" s="348"/>
      <c r="X17" s="350"/>
      <c r="Y17" s="295"/>
      <c r="Z17" s="296"/>
      <c r="AA17" s="296"/>
      <c r="AB17" s="341"/>
      <c r="AC17" s="295"/>
      <c r="AD17" s="296"/>
      <c r="AE17" s="296"/>
      <c r="AF17" s="342"/>
      <c r="AG17" s="295"/>
      <c r="AH17" s="296"/>
      <c r="AI17" s="296"/>
      <c r="AJ17" s="342"/>
    </row>
    <row r="18" spans="2:36" x14ac:dyDescent="0.2">
      <c r="B18" s="6394"/>
      <c r="C18" s="6397"/>
      <c r="D18" s="290" t="s">
        <v>26</v>
      </c>
      <c r="E18" s="338">
        <v>21</v>
      </c>
      <c r="F18" s="339">
        <v>2</v>
      </c>
      <c r="G18" s="339">
        <v>11</v>
      </c>
      <c r="H18" s="340">
        <v>34</v>
      </c>
      <c r="I18" s="293">
        <v>0</v>
      </c>
      <c r="J18" s="291">
        <v>0</v>
      </c>
      <c r="K18" s="291">
        <v>17</v>
      </c>
      <c r="L18" s="292">
        <v>17</v>
      </c>
      <c r="M18" s="293">
        <v>0</v>
      </c>
      <c r="N18" s="291">
        <v>0</v>
      </c>
      <c r="O18" s="291">
        <v>4</v>
      </c>
      <c r="P18" s="294">
        <v>4</v>
      </c>
      <c r="Q18" s="291">
        <v>0</v>
      </c>
      <c r="R18" s="291">
        <v>3</v>
      </c>
      <c r="S18" s="291">
        <v>13</v>
      </c>
      <c r="T18" s="294">
        <v>16</v>
      </c>
      <c r="U18" s="291">
        <v>0</v>
      </c>
      <c r="V18" s="291">
        <v>0</v>
      </c>
      <c r="W18" s="291">
        <v>8</v>
      </c>
      <c r="X18" s="294">
        <v>8</v>
      </c>
      <c r="Y18" s="295">
        <v>0</v>
      </c>
      <c r="Z18" s="296">
        <v>1</v>
      </c>
      <c r="AA18" s="296">
        <v>21</v>
      </c>
      <c r="AB18" s="341">
        <v>22</v>
      </c>
      <c r="AC18" s="295"/>
      <c r="AD18" s="296"/>
      <c r="AE18" s="296"/>
      <c r="AF18" s="342"/>
      <c r="AG18" s="295"/>
      <c r="AH18" s="296"/>
      <c r="AI18" s="296"/>
      <c r="AJ18" s="342"/>
    </row>
    <row r="19" spans="2:36" x14ac:dyDescent="0.2">
      <c r="B19" s="6394"/>
      <c r="C19" s="6397"/>
      <c r="D19" s="290" t="s">
        <v>27</v>
      </c>
      <c r="E19" s="338">
        <v>9</v>
      </c>
      <c r="F19" s="339">
        <v>7</v>
      </c>
      <c r="G19" s="339">
        <v>2</v>
      </c>
      <c r="H19" s="340">
        <v>18</v>
      </c>
      <c r="I19" s="293">
        <v>0</v>
      </c>
      <c r="J19" s="291">
        <v>0</v>
      </c>
      <c r="K19" s="291">
        <v>13</v>
      </c>
      <c r="L19" s="292">
        <v>13</v>
      </c>
      <c r="M19" s="293">
        <v>0</v>
      </c>
      <c r="N19" s="291">
        <v>0</v>
      </c>
      <c r="O19" s="291">
        <v>4</v>
      </c>
      <c r="P19" s="294">
        <v>4</v>
      </c>
      <c r="Q19" s="291">
        <v>1</v>
      </c>
      <c r="R19" s="291">
        <v>11</v>
      </c>
      <c r="S19" s="291">
        <v>1</v>
      </c>
      <c r="T19" s="294">
        <v>13</v>
      </c>
      <c r="U19" s="291">
        <v>0</v>
      </c>
      <c r="V19" s="291">
        <v>3</v>
      </c>
      <c r="W19" s="291">
        <v>2</v>
      </c>
      <c r="X19" s="294">
        <v>5</v>
      </c>
      <c r="Y19" s="295">
        <v>2</v>
      </c>
      <c r="Z19" s="296">
        <v>0</v>
      </c>
      <c r="AA19" s="296">
        <v>18</v>
      </c>
      <c r="AB19" s="341">
        <v>20</v>
      </c>
      <c r="AC19" s="295"/>
      <c r="AD19" s="296"/>
      <c r="AE19" s="296"/>
      <c r="AF19" s="342"/>
      <c r="AG19" s="295"/>
      <c r="AH19" s="296"/>
      <c r="AI19" s="296"/>
      <c r="AJ19" s="342"/>
    </row>
    <row r="20" spans="2:36" x14ac:dyDescent="0.2">
      <c r="B20" s="6394"/>
      <c r="C20" s="6397"/>
      <c r="D20" s="290" t="s">
        <v>28</v>
      </c>
      <c r="E20" s="338">
        <v>0</v>
      </c>
      <c r="F20" s="339">
        <v>0</v>
      </c>
      <c r="G20" s="339">
        <v>9</v>
      </c>
      <c r="H20" s="340">
        <v>9</v>
      </c>
      <c r="I20" s="293">
        <v>0</v>
      </c>
      <c r="J20" s="291">
        <v>1</v>
      </c>
      <c r="K20" s="291">
        <v>0</v>
      </c>
      <c r="L20" s="292">
        <v>1</v>
      </c>
      <c r="M20" s="293">
        <v>0</v>
      </c>
      <c r="N20" s="291">
        <v>0</v>
      </c>
      <c r="O20" s="291">
        <v>4</v>
      </c>
      <c r="P20" s="294">
        <v>4</v>
      </c>
      <c r="Q20" s="291">
        <v>0</v>
      </c>
      <c r="R20" s="291">
        <v>0</v>
      </c>
      <c r="S20" s="291">
        <v>3</v>
      </c>
      <c r="T20" s="294">
        <v>3</v>
      </c>
      <c r="U20" s="291">
        <v>0</v>
      </c>
      <c r="V20" s="291">
        <v>0</v>
      </c>
      <c r="W20" s="291">
        <v>0</v>
      </c>
      <c r="X20" s="294">
        <v>0</v>
      </c>
      <c r="Y20" s="295">
        <v>0</v>
      </c>
      <c r="Z20" s="296">
        <v>0</v>
      </c>
      <c r="AA20" s="296">
        <v>0</v>
      </c>
      <c r="AB20" s="341">
        <v>0</v>
      </c>
      <c r="AC20" s="295"/>
      <c r="AD20" s="296"/>
      <c r="AE20" s="296"/>
      <c r="AF20" s="342"/>
      <c r="AG20" s="295"/>
      <c r="AH20" s="296"/>
      <c r="AI20" s="296"/>
      <c r="AJ20" s="342"/>
    </row>
    <row r="21" spans="2:36" s="27" customFormat="1" x14ac:dyDescent="0.2">
      <c r="B21" s="6394"/>
      <c r="C21" s="6397"/>
      <c r="D21" s="423" t="s">
        <v>15</v>
      </c>
      <c r="E21" s="424">
        <v>30</v>
      </c>
      <c r="F21" s="425">
        <v>9</v>
      </c>
      <c r="G21" s="425">
        <v>22</v>
      </c>
      <c r="H21" s="426">
        <v>61</v>
      </c>
      <c r="I21" s="427">
        <v>0</v>
      </c>
      <c r="J21" s="428">
        <v>1</v>
      </c>
      <c r="K21" s="428">
        <v>30</v>
      </c>
      <c r="L21" s="428">
        <v>31</v>
      </c>
      <c r="M21" s="427">
        <v>0</v>
      </c>
      <c r="N21" s="428">
        <v>0</v>
      </c>
      <c r="O21" s="428">
        <v>12</v>
      </c>
      <c r="P21" s="429">
        <v>12</v>
      </c>
      <c r="Q21" s="428">
        <v>1</v>
      </c>
      <c r="R21" s="428">
        <v>14</v>
      </c>
      <c r="S21" s="428">
        <v>17</v>
      </c>
      <c r="T21" s="429">
        <v>32</v>
      </c>
      <c r="U21" s="428">
        <v>0</v>
      </c>
      <c r="V21" s="428">
        <v>3</v>
      </c>
      <c r="W21" s="428">
        <v>10</v>
      </c>
      <c r="X21" s="429">
        <v>13</v>
      </c>
      <c r="Y21" s="430">
        <v>2</v>
      </c>
      <c r="Z21" s="431">
        <v>1</v>
      </c>
      <c r="AA21" s="431">
        <v>39</v>
      </c>
      <c r="AB21" s="431">
        <v>42</v>
      </c>
      <c r="AC21" s="430"/>
      <c r="AD21" s="431"/>
      <c r="AE21" s="431"/>
      <c r="AF21" s="432"/>
      <c r="AG21" s="430"/>
      <c r="AH21" s="431"/>
      <c r="AI21" s="431"/>
      <c r="AJ21" s="432"/>
    </row>
    <row r="22" spans="2:36" x14ac:dyDescent="0.2">
      <c r="B22" s="6394"/>
      <c r="C22" s="6393" t="s">
        <v>16</v>
      </c>
      <c r="D22" s="340"/>
      <c r="E22" s="338"/>
      <c r="F22" s="339"/>
      <c r="G22" s="339"/>
      <c r="H22" s="340"/>
      <c r="I22" s="347"/>
      <c r="J22" s="348"/>
      <c r="K22" s="348"/>
      <c r="L22" s="349"/>
      <c r="M22" s="347"/>
      <c r="N22" s="348"/>
      <c r="O22" s="348"/>
      <c r="P22" s="350"/>
      <c r="Q22" s="348"/>
      <c r="R22" s="348"/>
      <c r="S22" s="348"/>
      <c r="T22" s="350"/>
      <c r="U22" s="348"/>
      <c r="V22" s="348"/>
      <c r="W22" s="348"/>
      <c r="X22" s="350"/>
      <c r="Y22" s="295"/>
      <c r="Z22" s="296"/>
      <c r="AA22" s="296"/>
      <c r="AB22" s="341"/>
      <c r="AC22" s="351"/>
      <c r="AD22" s="296"/>
      <c r="AE22" s="296"/>
      <c r="AF22" s="342"/>
      <c r="AG22" s="351"/>
      <c r="AH22" s="296"/>
      <c r="AI22" s="296"/>
      <c r="AJ22" s="342"/>
    </row>
    <row r="23" spans="2:36" x14ac:dyDescent="0.2">
      <c r="B23" s="6394"/>
      <c r="C23" s="6394"/>
      <c r="D23" s="340" t="s">
        <v>26</v>
      </c>
      <c r="E23" s="338">
        <v>27</v>
      </c>
      <c r="F23" s="339">
        <v>2</v>
      </c>
      <c r="G23" s="339">
        <v>13</v>
      </c>
      <c r="H23" s="340">
        <v>42</v>
      </c>
      <c r="I23" s="293">
        <f t="shared" ref="I23:X23" si="1">I8+I13+I18</f>
        <v>0</v>
      </c>
      <c r="J23" s="291">
        <f t="shared" si="1"/>
        <v>1</v>
      </c>
      <c r="K23" s="291">
        <f t="shared" si="1"/>
        <v>27</v>
      </c>
      <c r="L23" s="292">
        <f t="shared" si="1"/>
        <v>28</v>
      </c>
      <c r="M23" s="293">
        <f t="shared" si="1"/>
        <v>0</v>
      </c>
      <c r="N23" s="291">
        <f t="shared" si="1"/>
        <v>1</v>
      </c>
      <c r="O23" s="291">
        <f t="shared" si="1"/>
        <v>14</v>
      </c>
      <c r="P23" s="294">
        <f t="shared" si="1"/>
        <v>15</v>
      </c>
      <c r="Q23" s="291">
        <f t="shared" si="1"/>
        <v>0</v>
      </c>
      <c r="R23" s="291">
        <f t="shared" si="1"/>
        <v>3</v>
      </c>
      <c r="S23" s="291">
        <f t="shared" si="1"/>
        <v>15</v>
      </c>
      <c r="T23" s="294">
        <f t="shared" si="1"/>
        <v>18</v>
      </c>
      <c r="U23" s="291">
        <f t="shared" si="1"/>
        <v>0</v>
      </c>
      <c r="V23" s="291">
        <f t="shared" si="1"/>
        <v>0</v>
      </c>
      <c r="W23" s="291">
        <f t="shared" si="1"/>
        <v>17</v>
      </c>
      <c r="X23" s="294">
        <f t="shared" si="1"/>
        <v>17</v>
      </c>
      <c r="Y23" s="295">
        <v>4</v>
      </c>
      <c r="Z23" s="296">
        <v>3</v>
      </c>
      <c r="AA23" s="296">
        <v>27</v>
      </c>
      <c r="AB23" s="296">
        <v>34</v>
      </c>
      <c r="AC23" s="295">
        <f>SUM(AC8,AC13,AC18)</f>
        <v>0</v>
      </c>
      <c r="AD23" s="296"/>
      <c r="AE23" s="296"/>
      <c r="AF23" s="342">
        <f>SUM(AC23:AE23)</f>
        <v>0</v>
      </c>
      <c r="AG23" s="295">
        <f>SUM(AG8,AG13,AG18)</f>
        <v>0</v>
      </c>
      <c r="AH23" s="296"/>
      <c r="AI23" s="296"/>
      <c r="AJ23" s="342">
        <f>SUM(AG23:AI23)</f>
        <v>0</v>
      </c>
    </row>
    <row r="24" spans="2:36" x14ac:dyDescent="0.2">
      <c r="B24" s="6394"/>
      <c r="C24" s="6394"/>
      <c r="D24" s="340" t="s">
        <v>27</v>
      </c>
      <c r="E24" s="338">
        <v>36</v>
      </c>
      <c r="F24" s="339">
        <v>15</v>
      </c>
      <c r="G24" s="339">
        <v>10</v>
      </c>
      <c r="H24" s="340">
        <v>61</v>
      </c>
      <c r="I24" s="293">
        <f t="shared" ref="I24:X24" si="2">I9+I14+I19</f>
        <v>9</v>
      </c>
      <c r="J24" s="291">
        <f t="shared" si="2"/>
        <v>4</v>
      </c>
      <c r="K24" s="291">
        <f t="shared" si="2"/>
        <v>46</v>
      </c>
      <c r="L24" s="292">
        <f t="shared" si="2"/>
        <v>59</v>
      </c>
      <c r="M24" s="293">
        <f t="shared" si="2"/>
        <v>6</v>
      </c>
      <c r="N24" s="291">
        <f t="shared" si="2"/>
        <v>10</v>
      </c>
      <c r="O24" s="291">
        <f t="shared" si="2"/>
        <v>20</v>
      </c>
      <c r="P24" s="294">
        <f t="shared" si="2"/>
        <v>36</v>
      </c>
      <c r="Q24" s="291">
        <f t="shared" si="2"/>
        <v>7</v>
      </c>
      <c r="R24" s="291">
        <f t="shared" si="2"/>
        <v>17</v>
      </c>
      <c r="S24" s="291">
        <f t="shared" si="2"/>
        <v>16</v>
      </c>
      <c r="T24" s="294">
        <f t="shared" si="2"/>
        <v>40</v>
      </c>
      <c r="U24" s="291">
        <f t="shared" si="2"/>
        <v>1</v>
      </c>
      <c r="V24" s="291">
        <f t="shared" si="2"/>
        <v>12</v>
      </c>
      <c r="W24" s="291">
        <f t="shared" si="2"/>
        <v>9</v>
      </c>
      <c r="X24" s="294">
        <f t="shared" si="2"/>
        <v>22</v>
      </c>
      <c r="Y24" s="295">
        <v>21</v>
      </c>
      <c r="Z24" s="296">
        <v>3</v>
      </c>
      <c r="AA24" s="296">
        <v>35</v>
      </c>
      <c r="AB24" s="296">
        <v>59</v>
      </c>
      <c r="AC24" s="295">
        <f>SUM(AC9,AC14,AC19)</f>
        <v>13</v>
      </c>
      <c r="AD24" s="296"/>
      <c r="AE24" s="296"/>
      <c r="AF24" s="342">
        <f>SUM(AC24:AE24)</f>
        <v>13</v>
      </c>
      <c r="AG24" s="295">
        <f>SUM(AG9,AG14,AG19)</f>
        <v>0</v>
      </c>
      <c r="AH24" s="296"/>
      <c r="AI24" s="296"/>
      <c r="AJ24" s="342">
        <f>SUM(AG24:AI24)</f>
        <v>0</v>
      </c>
    </row>
    <row r="25" spans="2:36" x14ac:dyDescent="0.2">
      <c r="B25" s="6394"/>
      <c r="C25" s="6394"/>
      <c r="D25" s="362" t="s">
        <v>28</v>
      </c>
      <c r="E25" s="360">
        <v>0</v>
      </c>
      <c r="F25" s="361">
        <v>0</v>
      </c>
      <c r="G25" s="361">
        <v>9</v>
      </c>
      <c r="H25" s="362">
        <v>9</v>
      </c>
      <c r="I25" s="363">
        <f t="shared" ref="I25:X25" si="3">I10+I15+I20</f>
        <v>1</v>
      </c>
      <c r="J25" s="364">
        <f t="shared" si="3"/>
        <v>1</v>
      </c>
      <c r="K25" s="364">
        <f t="shared" si="3"/>
        <v>1</v>
      </c>
      <c r="L25" s="365">
        <f t="shared" si="3"/>
        <v>3</v>
      </c>
      <c r="M25" s="363">
        <f t="shared" si="3"/>
        <v>0</v>
      </c>
      <c r="N25" s="364">
        <f t="shared" si="3"/>
        <v>0</v>
      </c>
      <c r="O25" s="364">
        <f t="shared" si="3"/>
        <v>6</v>
      </c>
      <c r="P25" s="366">
        <f t="shared" si="3"/>
        <v>6</v>
      </c>
      <c r="Q25" s="364">
        <f t="shared" si="3"/>
        <v>0</v>
      </c>
      <c r="R25" s="364">
        <f t="shared" si="3"/>
        <v>1</v>
      </c>
      <c r="S25" s="364">
        <f t="shared" si="3"/>
        <v>3</v>
      </c>
      <c r="T25" s="366">
        <f t="shared" si="3"/>
        <v>4</v>
      </c>
      <c r="U25" s="364">
        <f t="shared" si="3"/>
        <v>0</v>
      </c>
      <c r="V25" s="364">
        <f t="shared" si="3"/>
        <v>0</v>
      </c>
      <c r="W25" s="364">
        <f t="shared" si="3"/>
        <v>1</v>
      </c>
      <c r="X25" s="366">
        <f t="shared" si="3"/>
        <v>1</v>
      </c>
      <c r="Y25" s="367">
        <v>1</v>
      </c>
      <c r="Z25" s="368">
        <v>1</v>
      </c>
      <c r="AA25" s="368">
        <v>0</v>
      </c>
      <c r="AB25" s="368">
        <v>2</v>
      </c>
      <c r="AC25" s="367">
        <f>SUM(AC10,AC15,AC20)</f>
        <v>2</v>
      </c>
      <c r="AD25" s="368"/>
      <c r="AE25" s="368"/>
      <c r="AF25" s="369">
        <f>SUM(AC25:AE25)</f>
        <v>2</v>
      </c>
      <c r="AG25" s="367">
        <f>SUM(AG10,AG15,AG20)</f>
        <v>0</v>
      </c>
      <c r="AH25" s="368"/>
      <c r="AI25" s="368"/>
      <c r="AJ25" s="369">
        <f>SUM(AG25:AI25)</f>
        <v>0</v>
      </c>
    </row>
    <row r="26" spans="2:36" s="38" customFormat="1" ht="15" x14ac:dyDescent="0.2">
      <c r="B26" s="6395"/>
      <c r="C26" s="6395"/>
      <c r="D26" s="385" t="s">
        <v>12</v>
      </c>
      <c r="E26" s="383">
        <v>63</v>
      </c>
      <c r="F26" s="384">
        <v>17</v>
      </c>
      <c r="G26" s="384">
        <v>32</v>
      </c>
      <c r="H26" s="385">
        <v>112</v>
      </c>
      <c r="I26" s="280">
        <f t="shared" ref="I26:X26" si="4">SUM(I23:I25)</f>
        <v>10</v>
      </c>
      <c r="J26" s="279">
        <f t="shared" si="4"/>
        <v>6</v>
      </c>
      <c r="K26" s="279">
        <f t="shared" si="4"/>
        <v>74</v>
      </c>
      <c r="L26" s="279">
        <f t="shared" si="4"/>
        <v>90</v>
      </c>
      <c r="M26" s="280">
        <f t="shared" si="4"/>
        <v>6</v>
      </c>
      <c r="N26" s="279">
        <f t="shared" si="4"/>
        <v>11</v>
      </c>
      <c r="O26" s="279">
        <f t="shared" si="4"/>
        <v>40</v>
      </c>
      <c r="P26" s="281">
        <f t="shared" si="4"/>
        <v>57</v>
      </c>
      <c r="Q26" s="279">
        <f t="shared" si="4"/>
        <v>7</v>
      </c>
      <c r="R26" s="279">
        <f t="shared" si="4"/>
        <v>21</v>
      </c>
      <c r="S26" s="279">
        <f t="shared" si="4"/>
        <v>34</v>
      </c>
      <c r="T26" s="281">
        <f t="shared" si="4"/>
        <v>62</v>
      </c>
      <c r="U26" s="279">
        <f t="shared" si="4"/>
        <v>1</v>
      </c>
      <c r="V26" s="279">
        <f t="shared" si="4"/>
        <v>12</v>
      </c>
      <c r="W26" s="279">
        <f t="shared" si="4"/>
        <v>27</v>
      </c>
      <c r="X26" s="281">
        <f t="shared" si="4"/>
        <v>40</v>
      </c>
      <c r="Y26" s="258">
        <v>26</v>
      </c>
      <c r="Z26" s="259">
        <v>7</v>
      </c>
      <c r="AA26" s="259">
        <v>62</v>
      </c>
      <c r="AB26" s="259">
        <v>95</v>
      </c>
      <c r="AC26" s="258">
        <f t="shared" ref="AC26:AJ26" si="5">SUM(AC23:AC25)</f>
        <v>15</v>
      </c>
      <c r="AD26" s="259">
        <f t="shared" si="5"/>
        <v>0</v>
      </c>
      <c r="AE26" s="259">
        <f t="shared" si="5"/>
        <v>0</v>
      </c>
      <c r="AF26" s="260">
        <f t="shared" si="5"/>
        <v>15</v>
      </c>
      <c r="AG26" s="258">
        <f t="shared" si="5"/>
        <v>0</v>
      </c>
      <c r="AH26" s="259">
        <f t="shared" si="5"/>
        <v>0</v>
      </c>
      <c r="AI26" s="259">
        <f t="shared" si="5"/>
        <v>0</v>
      </c>
      <c r="AJ26" s="260">
        <f t="shared" si="5"/>
        <v>0</v>
      </c>
    </row>
    <row r="27" spans="2:36" x14ac:dyDescent="0.2">
      <c r="D27" s="1"/>
      <c r="E27" s="1"/>
      <c r="F27" s="1"/>
      <c r="G27" s="1"/>
      <c r="H27" s="1"/>
      <c r="L27" s="1"/>
      <c r="P27" s="1"/>
      <c r="T27" s="1"/>
      <c r="X27" s="1"/>
    </row>
    <row r="28" spans="2:36" x14ac:dyDescent="0.2">
      <c r="B28" s="6393" t="s">
        <v>75</v>
      </c>
      <c r="C28" s="6396" t="s">
        <v>5</v>
      </c>
      <c r="D28" s="282" t="s">
        <v>26</v>
      </c>
      <c r="E28" s="356"/>
      <c r="F28" s="355"/>
      <c r="G28" s="355"/>
      <c r="H28" s="357"/>
      <c r="I28" s="285"/>
      <c r="J28" s="283"/>
      <c r="K28" s="283"/>
      <c r="L28" s="284"/>
      <c r="M28" s="285"/>
      <c r="N28" s="283"/>
      <c r="O28" s="283"/>
      <c r="P28" s="286"/>
      <c r="Q28" s="283"/>
      <c r="R28" s="283"/>
      <c r="S28" s="283"/>
      <c r="T28" s="286"/>
      <c r="U28" s="283"/>
      <c r="V28" s="283"/>
      <c r="W28" s="283"/>
      <c r="X28" s="286"/>
      <c r="Y28" s="287"/>
      <c r="Z28" s="288"/>
      <c r="AA28" s="288"/>
      <c r="AB28" s="358"/>
      <c r="AC28" s="287"/>
      <c r="AD28" s="288"/>
      <c r="AE28" s="288"/>
      <c r="AF28" s="359"/>
      <c r="AG28" s="287"/>
      <c r="AH28" s="288"/>
      <c r="AI28" s="288"/>
      <c r="AJ28" s="359"/>
    </row>
    <row r="29" spans="2:36" x14ac:dyDescent="0.2">
      <c r="B29" s="6394"/>
      <c r="C29" s="6397"/>
      <c r="D29" s="290" t="s">
        <v>27</v>
      </c>
      <c r="E29" s="338">
        <v>5</v>
      </c>
      <c r="F29" s="339">
        <v>4</v>
      </c>
      <c r="G29" s="339">
        <v>11</v>
      </c>
      <c r="H29" s="340">
        <v>20</v>
      </c>
      <c r="I29" s="293">
        <v>5</v>
      </c>
      <c r="J29" s="291">
        <v>5</v>
      </c>
      <c r="K29" s="291">
        <v>9</v>
      </c>
      <c r="L29" s="292">
        <v>19</v>
      </c>
      <c r="M29" s="293">
        <v>6</v>
      </c>
      <c r="N29" s="291">
        <v>1</v>
      </c>
      <c r="O29" s="291">
        <v>5</v>
      </c>
      <c r="P29" s="294">
        <v>12</v>
      </c>
      <c r="Q29" s="291">
        <v>6</v>
      </c>
      <c r="R29" s="291">
        <v>2</v>
      </c>
      <c r="S29" s="291">
        <v>9</v>
      </c>
      <c r="T29" s="294">
        <v>17</v>
      </c>
      <c r="U29" s="291">
        <v>1</v>
      </c>
      <c r="V29" s="291">
        <v>9</v>
      </c>
      <c r="W29" s="291">
        <v>8</v>
      </c>
      <c r="X29" s="294">
        <v>18</v>
      </c>
      <c r="Y29" s="295">
        <v>2</v>
      </c>
      <c r="Z29" s="296">
        <v>4</v>
      </c>
      <c r="AA29" s="296">
        <v>10</v>
      </c>
      <c r="AB29" s="341">
        <v>16</v>
      </c>
      <c r="AC29" s="295">
        <v>6</v>
      </c>
      <c r="AD29" s="296">
        <v>2</v>
      </c>
      <c r="AE29" s="296">
        <v>22</v>
      </c>
      <c r="AF29" s="342">
        <f>SUM(AC29:AE29)</f>
        <v>30</v>
      </c>
      <c r="AG29" s="295"/>
      <c r="AH29" s="296"/>
      <c r="AI29" s="296"/>
      <c r="AJ29" s="342">
        <f>SUM(AG29:AI29)</f>
        <v>0</v>
      </c>
    </row>
    <row r="30" spans="2:36" x14ac:dyDescent="0.2">
      <c r="B30" s="6394"/>
      <c r="C30" s="6397"/>
      <c r="D30" s="290" t="s">
        <v>28</v>
      </c>
      <c r="E30" s="338">
        <v>3</v>
      </c>
      <c r="F30" s="339">
        <v>6</v>
      </c>
      <c r="G30" s="339">
        <v>5</v>
      </c>
      <c r="H30" s="340">
        <v>14</v>
      </c>
      <c r="I30" s="293">
        <v>2</v>
      </c>
      <c r="J30" s="291">
        <v>4</v>
      </c>
      <c r="K30" s="291">
        <v>4</v>
      </c>
      <c r="L30" s="292">
        <v>10</v>
      </c>
      <c r="M30" s="293">
        <v>3</v>
      </c>
      <c r="N30" s="291">
        <v>4</v>
      </c>
      <c r="O30" s="291">
        <v>0</v>
      </c>
      <c r="P30" s="294">
        <v>7</v>
      </c>
      <c r="Q30" s="291">
        <v>0</v>
      </c>
      <c r="R30" s="291">
        <v>0</v>
      </c>
      <c r="S30" s="291">
        <v>1</v>
      </c>
      <c r="T30" s="294">
        <v>1</v>
      </c>
      <c r="U30" s="291">
        <v>1</v>
      </c>
      <c r="V30" s="291">
        <v>1</v>
      </c>
      <c r="W30" s="291">
        <v>6</v>
      </c>
      <c r="X30" s="294">
        <v>8</v>
      </c>
      <c r="Y30" s="295">
        <v>8</v>
      </c>
      <c r="Z30" s="296">
        <v>2</v>
      </c>
      <c r="AA30" s="296">
        <v>12</v>
      </c>
      <c r="AB30" s="341">
        <v>22</v>
      </c>
      <c r="AC30" s="295">
        <v>2</v>
      </c>
      <c r="AD30" s="296"/>
      <c r="AE30" s="296">
        <v>7</v>
      </c>
      <c r="AF30" s="342">
        <f>SUM(AC30:AE30)</f>
        <v>9</v>
      </c>
      <c r="AG30" s="295"/>
      <c r="AH30" s="296"/>
      <c r="AI30" s="296"/>
      <c r="AJ30" s="342">
        <f>SUM(AG30:AI30)</f>
        <v>0</v>
      </c>
    </row>
    <row r="31" spans="2:36" s="27" customFormat="1" x14ac:dyDescent="0.2">
      <c r="B31" s="6394"/>
      <c r="C31" s="6406"/>
      <c r="D31" s="423" t="s">
        <v>13</v>
      </c>
      <c r="E31" s="424">
        <v>8</v>
      </c>
      <c r="F31" s="425">
        <v>10</v>
      </c>
      <c r="G31" s="425">
        <v>16</v>
      </c>
      <c r="H31" s="426">
        <v>34</v>
      </c>
      <c r="I31" s="427">
        <v>7</v>
      </c>
      <c r="J31" s="428">
        <v>9</v>
      </c>
      <c r="K31" s="428">
        <v>13</v>
      </c>
      <c r="L31" s="428">
        <v>29</v>
      </c>
      <c r="M31" s="427">
        <v>9</v>
      </c>
      <c r="N31" s="428">
        <v>5</v>
      </c>
      <c r="O31" s="428">
        <v>5</v>
      </c>
      <c r="P31" s="429">
        <v>19</v>
      </c>
      <c r="Q31" s="428">
        <v>6</v>
      </c>
      <c r="R31" s="428">
        <v>2</v>
      </c>
      <c r="S31" s="428">
        <v>10</v>
      </c>
      <c r="T31" s="429">
        <v>18</v>
      </c>
      <c r="U31" s="428">
        <v>2</v>
      </c>
      <c r="V31" s="428">
        <v>10</v>
      </c>
      <c r="W31" s="428">
        <v>14</v>
      </c>
      <c r="X31" s="429">
        <v>26</v>
      </c>
      <c r="Y31" s="430">
        <v>10</v>
      </c>
      <c r="Z31" s="431">
        <v>6</v>
      </c>
      <c r="AA31" s="431">
        <v>22</v>
      </c>
      <c r="AB31" s="431">
        <v>38</v>
      </c>
      <c r="AC31" s="430">
        <f t="shared" ref="AC31:AJ31" si="6">SUM(AC28:AC30)</f>
        <v>8</v>
      </c>
      <c r="AD31" s="431">
        <f t="shared" si="6"/>
        <v>2</v>
      </c>
      <c r="AE31" s="431">
        <f t="shared" si="6"/>
        <v>29</v>
      </c>
      <c r="AF31" s="432">
        <f t="shared" si="6"/>
        <v>39</v>
      </c>
      <c r="AG31" s="430">
        <f t="shared" si="6"/>
        <v>0</v>
      </c>
      <c r="AH31" s="431">
        <f t="shared" si="6"/>
        <v>0</v>
      </c>
      <c r="AI31" s="431">
        <f t="shared" si="6"/>
        <v>0</v>
      </c>
      <c r="AJ31" s="432">
        <f t="shared" si="6"/>
        <v>0</v>
      </c>
    </row>
    <row r="32" spans="2:36" x14ac:dyDescent="0.2">
      <c r="B32" s="6394"/>
      <c r="C32" s="6407" t="s">
        <v>6</v>
      </c>
      <c r="D32" s="343"/>
      <c r="E32" s="344"/>
      <c r="F32" s="345"/>
      <c r="G32" s="345"/>
      <c r="H32" s="346"/>
      <c r="I32" s="293"/>
      <c r="J32" s="291"/>
      <c r="K32" s="291"/>
      <c r="L32" s="292"/>
      <c r="M32" s="293"/>
      <c r="N32" s="291"/>
      <c r="O32" s="291"/>
      <c r="P32" s="294"/>
      <c r="Q32" s="291"/>
      <c r="R32" s="291"/>
      <c r="S32" s="291"/>
      <c r="T32" s="294"/>
      <c r="U32" s="291"/>
      <c r="V32" s="291"/>
      <c r="W32" s="291"/>
      <c r="X32" s="294"/>
      <c r="Y32" s="295"/>
      <c r="Z32" s="296"/>
      <c r="AA32" s="296"/>
      <c r="AB32" s="341"/>
      <c r="AC32" s="295"/>
      <c r="AD32" s="296"/>
      <c r="AE32" s="296"/>
      <c r="AF32" s="342"/>
      <c r="AG32" s="295"/>
      <c r="AH32" s="296"/>
      <c r="AI32" s="296"/>
      <c r="AJ32" s="342"/>
    </row>
    <row r="33" spans="2:36" x14ac:dyDescent="0.2">
      <c r="B33" s="6394"/>
      <c r="C33" s="6397"/>
      <c r="D33" s="290" t="s">
        <v>26</v>
      </c>
      <c r="E33" s="338">
        <v>0</v>
      </c>
      <c r="F33" s="339">
        <v>0</v>
      </c>
      <c r="G33" s="339">
        <v>4</v>
      </c>
      <c r="H33" s="340">
        <v>4</v>
      </c>
      <c r="I33" s="293">
        <v>9</v>
      </c>
      <c r="J33" s="291">
        <v>0</v>
      </c>
      <c r="K33" s="291">
        <v>9</v>
      </c>
      <c r="L33" s="292">
        <v>18</v>
      </c>
      <c r="M33" s="293">
        <v>0</v>
      </c>
      <c r="N33" s="291">
        <v>3</v>
      </c>
      <c r="O33" s="291">
        <v>1</v>
      </c>
      <c r="P33" s="294">
        <v>4</v>
      </c>
      <c r="Q33" s="291">
        <v>12</v>
      </c>
      <c r="R33" s="291">
        <v>3</v>
      </c>
      <c r="S33" s="291">
        <v>4</v>
      </c>
      <c r="T33" s="294">
        <v>19</v>
      </c>
      <c r="U33" s="291">
        <v>0</v>
      </c>
      <c r="V33" s="291">
        <v>0</v>
      </c>
      <c r="W33" s="291">
        <v>0</v>
      </c>
      <c r="X33" s="294">
        <v>0</v>
      </c>
      <c r="Y33" s="295">
        <v>11</v>
      </c>
      <c r="Z33" s="296">
        <v>9</v>
      </c>
      <c r="AA33" s="296">
        <v>2</v>
      </c>
      <c r="AB33" s="341">
        <v>22</v>
      </c>
      <c r="AC33" s="295">
        <v>27</v>
      </c>
      <c r="AD33" s="296"/>
      <c r="AE33" s="296"/>
      <c r="AF33" s="342">
        <f>SUM(AC33:AE33)</f>
        <v>27</v>
      </c>
      <c r="AG33" s="295"/>
      <c r="AH33" s="296"/>
      <c r="AI33" s="296"/>
      <c r="AJ33" s="342">
        <f>SUM(AG33:AI33)</f>
        <v>0</v>
      </c>
    </row>
    <row r="34" spans="2:36" x14ac:dyDescent="0.2">
      <c r="B34" s="6394"/>
      <c r="C34" s="6397"/>
      <c r="D34" s="290" t="s">
        <v>27</v>
      </c>
      <c r="E34" s="338">
        <v>2</v>
      </c>
      <c r="F34" s="339">
        <v>2</v>
      </c>
      <c r="G34" s="339">
        <v>11</v>
      </c>
      <c r="H34" s="340">
        <v>15</v>
      </c>
      <c r="I34" s="293">
        <v>11</v>
      </c>
      <c r="J34" s="291">
        <v>5</v>
      </c>
      <c r="K34" s="291">
        <v>47</v>
      </c>
      <c r="L34" s="292">
        <v>63</v>
      </c>
      <c r="M34" s="293">
        <v>5</v>
      </c>
      <c r="N34" s="291">
        <v>2</v>
      </c>
      <c r="O34" s="291">
        <v>7</v>
      </c>
      <c r="P34" s="294">
        <v>14</v>
      </c>
      <c r="Q34" s="291">
        <v>6</v>
      </c>
      <c r="R34" s="291">
        <v>1</v>
      </c>
      <c r="S34" s="291">
        <v>23</v>
      </c>
      <c r="T34" s="294">
        <v>30</v>
      </c>
      <c r="U34" s="291">
        <v>0</v>
      </c>
      <c r="V34" s="291">
        <v>0</v>
      </c>
      <c r="W34" s="291">
        <v>8</v>
      </c>
      <c r="X34" s="294">
        <v>8</v>
      </c>
      <c r="Y34" s="295">
        <v>0</v>
      </c>
      <c r="Z34" s="296">
        <v>0</v>
      </c>
      <c r="AA34" s="296">
        <v>3</v>
      </c>
      <c r="AB34" s="341">
        <v>3</v>
      </c>
      <c r="AC34" s="295">
        <v>30</v>
      </c>
      <c r="AD34" s="296">
        <v>1</v>
      </c>
      <c r="AE34" s="296">
        <v>10</v>
      </c>
      <c r="AF34" s="342">
        <f>SUM(AC34:AE34)</f>
        <v>41</v>
      </c>
      <c r="AG34" s="295"/>
      <c r="AH34" s="296"/>
      <c r="AI34" s="296"/>
      <c r="AJ34" s="342">
        <f>SUM(AG34:AI34)</f>
        <v>0</v>
      </c>
    </row>
    <row r="35" spans="2:36" x14ac:dyDescent="0.2">
      <c r="B35" s="6394"/>
      <c r="C35" s="6397"/>
      <c r="D35" s="290" t="s">
        <v>28</v>
      </c>
      <c r="E35" s="338">
        <v>5</v>
      </c>
      <c r="F35" s="339">
        <v>1</v>
      </c>
      <c r="G35" s="339">
        <v>19</v>
      </c>
      <c r="H35" s="340">
        <v>25</v>
      </c>
      <c r="I35" s="293">
        <v>7</v>
      </c>
      <c r="J35" s="291">
        <v>4</v>
      </c>
      <c r="K35" s="291">
        <v>23</v>
      </c>
      <c r="L35" s="292">
        <v>34</v>
      </c>
      <c r="M35" s="293">
        <v>5</v>
      </c>
      <c r="N35" s="291">
        <v>2</v>
      </c>
      <c r="O35" s="291">
        <v>10</v>
      </c>
      <c r="P35" s="294">
        <v>17</v>
      </c>
      <c r="Q35" s="291">
        <v>17</v>
      </c>
      <c r="R35" s="291">
        <v>2</v>
      </c>
      <c r="S35" s="291">
        <v>22</v>
      </c>
      <c r="T35" s="294">
        <v>41</v>
      </c>
      <c r="U35" s="291">
        <v>0</v>
      </c>
      <c r="V35" s="291">
        <v>13</v>
      </c>
      <c r="W35" s="291">
        <v>10</v>
      </c>
      <c r="X35" s="294">
        <v>23</v>
      </c>
      <c r="Y35" s="295">
        <v>4</v>
      </c>
      <c r="Z35" s="296">
        <v>1</v>
      </c>
      <c r="AA35" s="296">
        <v>18</v>
      </c>
      <c r="AB35" s="341">
        <v>23</v>
      </c>
      <c r="AC35" s="295">
        <v>7</v>
      </c>
      <c r="AD35" s="296"/>
      <c r="AE35" s="296">
        <v>12</v>
      </c>
      <c r="AF35" s="342">
        <f>SUM(AC35:AE35)</f>
        <v>19</v>
      </c>
      <c r="AG35" s="295"/>
      <c r="AH35" s="296"/>
      <c r="AI35" s="296"/>
      <c r="AJ35" s="342">
        <f>SUM(AG35:AI35)</f>
        <v>0</v>
      </c>
    </row>
    <row r="36" spans="2:36" s="27" customFormat="1" x14ac:dyDescent="0.2">
      <c r="B36" s="6394"/>
      <c r="C36" s="6406"/>
      <c r="D36" s="423" t="s">
        <v>14</v>
      </c>
      <c r="E36" s="424">
        <v>7</v>
      </c>
      <c r="F36" s="425">
        <v>3</v>
      </c>
      <c r="G36" s="425">
        <v>34</v>
      </c>
      <c r="H36" s="426">
        <v>44</v>
      </c>
      <c r="I36" s="427">
        <v>27</v>
      </c>
      <c r="J36" s="428">
        <v>9</v>
      </c>
      <c r="K36" s="428">
        <v>79</v>
      </c>
      <c r="L36" s="428">
        <v>115</v>
      </c>
      <c r="M36" s="427">
        <v>10</v>
      </c>
      <c r="N36" s="428">
        <v>7</v>
      </c>
      <c r="O36" s="428">
        <v>18</v>
      </c>
      <c r="P36" s="429">
        <v>35</v>
      </c>
      <c r="Q36" s="428">
        <v>35</v>
      </c>
      <c r="R36" s="428">
        <v>6</v>
      </c>
      <c r="S36" s="428">
        <v>49</v>
      </c>
      <c r="T36" s="429">
        <v>90</v>
      </c>
      <c r="U36" s="428">
        <v>0</v>
      </c>
      <c r="V36" s="428">
        <v>13</v>
      </c>
      <c r="W36" s="428">
        <v>18</v>
      </c>
      <c r="X36" s="429">
        <v>31</v>
      </c>
      <c r="Y36" s="430">
        <v>15</v>
      </c>
      <c r="Z36" s="431">
        <v>10</v>
      </c>
      <c r="AA36" s="431">
        <v>23</v>
      </c>
      <c r="AB36" s="431">
        <v>48</v>
      </c>
      <c r="AC36" s="430">
        <f t="shared" ref="AC36:AJ36" si="7">SUM(AC33:AC35)</f>
        <v>64</v>
      </c>
      <c r="AD36" s="431">
        <f t="shared" si="7"/>
        <v>1</v>
      </c>
      <c r="AE36" s="431">
        <f t="shared" si="7"/>
        <v>22</v>
      </c>
      <c r="AF36" s="432">
        <f t="shared" si="7"/>
        <v>87</v>
      </c>
      <c r="AG36" s="430">
        <f t="shared" si="7"/>
        <v>0</v>
      </c>
      <c r="AH36" s="431">
        <f t="shared" si="7"/>
        <v>0</v>
      </c>
      <c r="AI36" s="431">
        <f t="shared" si="7"/>
        <v>0</v>
      </c>
      <c r="AJ36" s="432">
        <f t="shared" si="7"/>
        <v>0</v>
      </c>
    </row>
    <row r="37" spans="2:36" x14ac:dyDescent="0.2">
      <c r="B37" s="6394"/>
      <c r="C37" s="6407" t="s">
        <v>11</v>
      </c>
      <c r="D37" s="343"/>
      <c r="E37" s="344"/>
      <c r="F37" s="345"/>
      <c r="G37" s="345"/>
      <c r="H37" s="346"/>
      <c r="I37" s="293"/>
      <c r="J37" s="291"/>
      <c r="K37" s="291"/>
      <c r="L37" s="292"/>
      <c r="M37" s="293"/>
      <c r="N37" s="291"/>
      <c r="O37" s="291"/>
      <c r="P37" s="294"/>
      <c r="Q37" s="291"/>
      <c r="R37" s="291"/>
      <c r="S37" s="291"/>
      <c r="T37" s="294"/>
      <c r="U37" s="291"/>
      <c r="V37" s="291"/>
      <c r="W37" s="291"/>
      <c r="X37" s="294"/>
      <c r="Y37" s="295"/>
      <c r="Z37" s="296"/>
      <c r="AA37" s="296"/>
      <c r="AB37" s="341"/>
      <c r="AC37" s="295"/>
      <c r="AD37" s="296"/>
      <c r="AE37" s="296"/>
      <c r="AF37" s="342"/>
      <c r="AG37" s="295"/>
      <c r="AH37" s="296"/>
      <c r="AI37" s="296"/>
      <c r="AJ37" s="342"/>
    </row>
    <row r="38" spans="2:36" x14ac:dyDescent="0.2">
      <c r="B38" s="6394"/>
      <c r="C38" s="6397"/>
      <c r="D38" s="290" t="s">
        <v>26</v>
      </c>
      <c r="E38" s="338">
        <v>0</v>
      </c>
      <c r="F38" s="339">
        <v>0</v>
      </c>
      <c r="G38" s="339">
        <v>8</v>
      </c>
      <c r="H38" s="340">
        <v>8</v>
      </c>
      <c r="I38" s="293">
        <v>0</v>
      </c>
      <c r="J38" s="291">
        <v>1</v>
      </c>
      <c r="K38" s="291">
        <v>6</v>
      </c>
      <c r="L38" s="292">
        <v>7</v>
      </c>
      <c r="M38" s="293">
        <v>0</v>
      </c>
      <c r="N38" s="291">
        <v>0</v>
      </c>
      <c r="O38" s="291">
        <v>1</v>
      </c>
      <c r="P38" s="294">
        <v>1</v>
      </c>
      <c r="Q38" s="291">
        <v>2</v>
      </c>
      <c r="R38" s="291">
        <v>1</v>
      </c>
      <c r="S38" s="291">
        <v>11</v>
      </c>
      <c r="T38" s="294">
        <v>14</v>
      </c>
      <c r="U38" s="291">
        <v>0</v>
      </c>
      <c r="V38" s="291">
        <v>0</v>
      </c>
      <c r="W38" s="291">
        <v>11</v>
      </c>
      <c r="X38" s="294">
        <v>11</v>
      </c>
      <c r="Y38" s="295">
        <v>3</v>
      </c>
      <c r="Z38" s="296">
        <v>2</v>
      </c>
      <c r="AA38" s="296">
        <v>7</v>
      </c>
      <c r="AB38" s="341">
        <v>12</v>
      </c>
      <c r="AC38" s="295"/>
      <c r="AD38" s="296"/>
      <c r="AE38" s="296">
        <v>6</v>
      </c>
      <c r="AF38" s="342">
        <f>SUM(AC38:AE38)</f>
        <v>6</v>
      </c>
      <c r="AG38" s="295"/>
      <c r="AH38" s="296"/>
      <c r="AI38" s="296"/>
      <c r="AJ38" s="342">
        <f>SUM(AG38:AI38)</f>
        <v>0</v>
      </c>
    </row>
    <row r="39" spans="2:36" x14ac:dyDescent="0.2">
      <c r="B39" s="6394"/>
      <c r="C39" s="6397"/>
      <c r="D39" s="290" t="s">
        <v>27</v>
      </c>
      <c r="E39" s="338">
        <v>2</v>
      </c>
      <c r="F39" s="339">
        <v>0</v>
      </c>
      <c r="G39" s="339">
        <v>10</v>
      </c>
      <c r="H39" s="340">
        <v>12</v>
      </c>
      <c r="I39" s="293">
        <v>6</v>
      </c>
      <c r="J39" s="291">
        <v>0</v>
      </c>
      <c r="K39" s="291">
        <v>7</v>
      </c>
      <c r="L39" s="292">
        <v>13</v>
      </c>
      <c r="M39" s="293">
        <v>1</v>
      </c>
      <c r="N39" s="291">
        <v>0</v>
      </c>
      <c r="O39" s="291">
        <v>3</v>
      </c>
      <c r="P39" s="294">
        <v>4</v>
      </c>
      <c r="Q39" s="291">
        <v>0</v>
      </c>
      <c r="R39" s="291">
        <v>3</v>
      </c>
      <c r="S39" s="291">
        <v>2</v>
      </c>
      <c r="T39" s="294">
        <v>5</v>
      </c>
      <c r="U39" s="291">
        <v>0</v>
      </c>
      <c r="V39" s="291">
        <v>1</v>
      </c>
      <c r="W39" s="291">
        <v>6</v>
      </c>
      <c r="X39" s="294">
        <v>7</v>
      </c>
      <c r="Y39" s="295">
        <v>1</v>
      </c>
      <c r="Z39" s="296">
        <v>1</v>
      </c>
      <c r="AA39" s="296">
        <v>1</v>
      </c>
      <c r="AB39" s="341">
        <v>3</v>
      </c>
      <c r="AC39" s="295">
        <v>1</v>
      </c>
      <c r="AD39" s="296"/>
      <c r="AE39" s="296">
        <v>9</v>
      </c>
      <c r="AF39" s="342">
        <f>SUM(AC39:AE39)</f>
        <v>10</v>
      </c>
      <c r="AG39" s="295"/>
      <c r="AH39" s="296"/>
      <c r="AI39" s="296"/>
      <c r="AJ39" s="342">
        <f>SUM(AG39:AI39)</f>
        <v>0</v>
      </c>
    </row>
    <row r="40" spans="2:36" x14ac:dyDescent="0.2">
      <c r="B40" s="6394"/>
      <c r="C40" s="6397"/>
      <c r="D40" s="290" t="s">
        <v>28</v>
      </c>
      <c r="E40" s="338">
        <v>2</v>
      </c>
      <c r="F40" s="339">
        <v>0</v>
      </c>
      <c r="G40" s="339">
        <v>9</v>
      </c>
      <c r="H40" s="340">
        <v>11</v>
      </c>
      <c r="I40" s="293">
        <v>2</v>
      </c>
      <c r="J40" s="291">
        <v>0</v>
      </c>
      <c r="K40" s="291">
        <v>7</v>
      </c>
      <c r="L40" s="292">
        <v>9</v>
      </c>
      <c r="M40" s="293">
        <v>0</v>
      </c>
      <c r="N40" s="291">
        <v>0</v>
      </c>
      <c r="O40" s="291">
        <v>11</v>
      </c>
      <c r="P40" s="294">
        <v>11</v>
      </c>
      <c r="Q40" s="291">
        <v>1</v>
      </c>
      <c r="R40" s="291">
        <v>0</v>
      </c>
      <c r="S40" s="291">
        <v>9</v>
      </c>
      <c r="T40" s="294">
        <v>10</v>
      </c>
      <c r="U40" s="291">
        <v>0</v>
      </c>
      <c r="V40" s="291">
        <v>1</v>
      </c>
      <c r="W40" s="291">
        <v>16</v>
      </c>
      <c r="X40" s="294">
        <v>17</v>
      </c>
      <c r="Y40" s="295">
        <v>6</v>
      </c>
      <c r="Z40" s="296">
        <v>0</v>
      </c>
      <c r="AA40" s="296">
        <v>2</v>
      </c>
      <c r="AB40" s="341">
        <v>8</v>
      </c>
      <c r="AC40" s="295">
        <v>3</v>
      </c>
      <c r="AD40" s="296"/>
      <c r="AE40" s="296">
        <v>1</v>
      </c>
      <c r="AF40" s="342">
        <f>SUM(AC40:AE40)</f>
        <v>4</v>
      </c>
      <c r="AG40" s="295"/>
      <c r="AH40" s="296"/>
      <c r="AI40" s="296"/>
      <c r="AJ40" s="342">
        <f>SUM(AG40:AI40)</f>
        <v>0</v>
      </c>
    </row>
    <row r="41" spans="2:36" s="27" customFormat="1" x14ac:dyDescent="0.2">
      <c r="B41" s="6394"/>
      <c r="C41" s="6397"/>
      <c r="D41" s="423" t="s">
        <v>30</v>
      </c>
      <c r="E41" s="424">
        <v>4</v>
      </c>
      <c r="F41" s="425">
        <v>0</v>
      </c>
      <c r="G41" s="425">
        <v>27</v>
      </c>
      <c r="H41" s="426">
        <v>31</v>
      </c>
      <c r="I41" s="427">
        <v>8</v>
      </c>
      <c r="J41" s="428">
        <v>1</v>
      </c>
      <c r="K41" s="428">
        <v>20</v>
      </c>
      <c r="L41" s="428">
        <v>29</v>
      </c>
      <c r="M41" s="427">
        <v>1</v>
      </c>
      <c r="N41" s="428">
        <v>0</v>
      </c>
      <c r="O41" s="428">
        <v>15</v>
      </c>
      <c r="P41" s="429">
        <v>16</v>
      </c>
      <c r="Q41" s="428">
        <v>3</v>
      </c>
      <c r="R41" s="428">
        <v>4</v>
      </c>
      <c r="S41" s="428">
        <v>22</v>
      </c>
      <c r="T41" s="429">
        <v>29</v>
      </c>
      <c r="U41" s="428">
        <v>0</v>
      </c>
      <c r="V41" s="428">
        <v>2</v>
      </c>
      <c r="W41" s="428">
        <v>33</v>
      </c>
      <c r="X41" s="429">
        <v>35</v>
      </c>
      <c r="Y41" s="430">
        <v>10</v>
      </c>
      <c r="Z41" s="431">
        <v>3</v>
      </c>
      <c r="AA41" s="431">
        <v>10</v>
      </c>
      <c r="AB41" s="431">
        <v>23</v>
      </c>
      <c r="AC41" s="430">
        <f t="shared" ref="AC41:AJ41" si="8">SUM(AC38:AC40)</f>
        <v>4</v>
      </c>
      <c r="AD41" s="431">
        <f t="shared" si="8"/>
        <v>0</v>
      </c>
      <c r="AE41" s="431">
        <f t="shared" si="8"/>
        <v>16</v>
      </c>
      <c r="AF41" s="432">
        <f t="shared" si="8"/>
        <v>20</v>
      </c>
      <c r="AG41" s="430">
        <f t="shared" si="8"/>
        <v>0</v>
      </c>
      <c r="AH41" s="431">
        <f t="shared" si="8"/>
        <v>0</v>
      </c>
      <c r="AI41" s="431">
        <f t="shared" si="8"/>
        <v>0</v>
      </c>
      <c r="AJ41" s="432">
        <f t="shared" si="8"/>
        <v>0</v>
      </c>
    </row>
    <row r="42" spans="2:36" x14ac:dyDescent="0.2">
      <c r="B42" s="6394"/>
      <c r="C42" s="6393" t="s">
        <v>16</v>
      </c>
      <c r="D42" s="340"/>
      <c r="E42" s="338"/>
      <c r="F42" s="339"/>
      <c r="G42" s="339"/>
      <c r="H42" s="340"/>
      <c r="I42" s="293"/>
      <c r="J42" s="291"/>
      <c r="K42" s="291"/>
      <c r="L42" s="292"/>
      <c r="M42" s="293"/>
      <c r="N42" s="291"/>
      <c r="O42" s="291"/>
      <c r="P42" s="294"/>
      <c r="Q42" s="291"/>
      <c r="R42" s="291"/>
      <c r="S42" s="291"/>
      <c r="T42" s="294"/>
      <c r="U42" s="291"/>
      <c r="V42" s="291"/>
      <c r="W42" s="291"/>
      <c r="X42" s="294"/>
      <c r="Y42" s="295"/>
      <c r="Z42" s="296"/>
      <c r="AA42" s="296"/>
      <c r="AB42" s="341"/>
      <c r="AC42" s="295"/>
      <c r="AD42" s="296"/>
      <c r="AE42" s="296"/>
      <c r="AF42" s="342"/>
      <c r="AG42" s="295"/>
      <c r="AH42" s="296"/>
      <c r="AI42" s="296"/>
      <c r="AJ42" s="342"/>
    </row>
    <row r="43" spans="2:36" x14ac:dyDescent="0.2">
      <c r="B43" s="6394"/>
      <c r="C43" s="6394"/>
      <c r="D43" s="340" t="s">
        <v>26</v>
      </c>
      <c r="E43" s="338">
        <v>0</v>
      </c>
      <c r="F43" s="339">
        <v>0</v>
      </c>
      <c r="G43" s="339">
        <v>12</v>
      </c>
      <c r="H43" s="340">
        <v>12</v>
      </c>
      <c r="I43" s="293">
        <f t="shared" ref="I43:X43" si="9">I28+I33+I38</f>
        <v>9</v>
      </c>
      <c r="J43" s="291">
        <f t="shared" si="9"/>
        <v>1</v>
      </c>
      <c r="K43" s="291">
        <f t="shared" si="9"/>
        <v>15</v>
      </c>
      <c r="L43" s="292">
        <f t="shared" si="9"/>
        <v>25</v>
      </c>
      <c r="M43" s="293">
        <f t="shared" si="9"/>
        <v>0</v>
      </c>
      <c r="N43" s="291">
        <f t="shared" si="9"/>
        <v>3</v>
      </c>
      <c r="O43" s="291">
        <f t="shared" si="9"/>
        <v>2</v>
      </c>
      <c r="P43" s="294">
        <f t="shared" si="9"/>
        <v>5</v>
      </c>
      <c r="Q43" s="291">
        <f t="shared" si="9"/>
        <v>14</v>
      </c>
      <c r="R43" s="291">
        <f t="shared" si="9"/>
        <v>4</v>
      </c>
      <c r="S43" s="291">
        <f t="shared" si="9"/>
        <v>15</v>
      </c>
      <c r="T43" s="294">
        <f t="shared" si="9"/>
        <v>33</v>
      </c>
      <c r="U43" s="291">
        <f t="shared" si="9"/>
        <v>0</v>
      </c>
      <c r="V43" s="291">
        <f t="shared" si="9"/>
        <v>0</v>
      </c>
      <c r="W43" s="291">
        <f t="shared" si="9"/>
        <v>11</v>
      </c>
      <c r="X43" s="294">
        <f t="shared" si="9"/>
        <v>11</v>
      </c>
      <c r="Y43" s="295">
        <v>14</v>
      </c>
      <c r="Z43" s="296">
        <v>11</v>
      </c>
      <c r="AA43" s="296">
        <v>9</v>
      </c>
      <c r="AB43" s="296">
        <v>34</v>
      </c>
      <c r="AC43" s="295">
        <f t="shared" ref="AC43:AJ45" si="10">SUM(AC28,AC33,AC38)</f>
        <v>27</v>
      </c>
      <c r="AD43" s="296">
        <f t="shared" si="10"/>
        <v>0</v>
      </c>
      <c r="AE43" s="296">
        <f t="shared" si="10"/>
        <v>6</v>
      </c>
      <c r="AF43" s="297">
        <f t="shared" si="10"/>
        <v>33</v>
      </c>
      <c r="AG43" s="295">
        <f t="shared" si="10"/>
        <v>0</v>
      </c>
      <c r="AH43" s="296">
        <f t="shared" si="10"/>
        <v>0</v>
      </c>
      <c r="AI43" s="296">
        <f t="shared" si="10"/>
        <v>0</v>
      </c>
      <c r="AJ43" s="297">
        <f t="shared" si="10"/>
        <v>0</v>
      </c>
    </row>
    <row r="44" spans="2:36" x14ac:dyDescent="0.2">
      <c r="B44" s="6394"/>
      <c r="C44" s="6394"/>
      <c r="D44" s="340" t="s">
        <v>27</v>
      </c>
      <c r="E44" s="338">
        <v>9</v>
      </c>
      <c r="F44" s="339">
        <v>6</v>
      </c>
      <c r="G44" s="339">
        <v>32</v>
      </c>
      <c r="H44" s="340">
        <v>47</v>
      </c>
      <c r="I44" s="293">
        <f t="shared" ref="I44:X44" si="11">I29+I34+I39</f>
        <v>22</v>
      </c>
      <c r="J44" s="291">
        <f t="shared" si="11"/>
        <v>10</v>
      </c>
      <c r="K44" s="291">
        <f t="shared" si="11"/>
        <v>63</v>
      </c>
      <c r="L44" s="292">
        <f t="shared" si="11"/>
        <v>95</v>
      </c>
      <c r="M44" s="293">
        <f t="shared" si="11"/>
        <v>12</v>
      </c>
      <c r="N44" s="291">
        <f t="shared" si="11"/>
        <v>3</v>
      </c>
      <c r="O44" s="291">
        <f t="shared" si="11"/>
        <v>15</v>
      </c>
      <c r="P44" s="294">
        <f t="shared" si="11"/>
        <v>30</v>
      </c>
      <c r="Q44" s="291">
        <f t="shared" si="11"/>
        <v>12</v>
      </c>
      <c r="R44" s="291">
        <f t="shared" si="11"/>
        <v>6</v>
      </c>
      <c r="S44" s="291">
        <f t="shared" si="11"/>
        <v>34</v>
      </c>
      <c r="T44" s="294">
        <f t="shared" si="11"/>
        <v>52</v>
      </c>
      <c r="U44" s="291">
        <f t="shared" si="11"/>
        <v>1</v>
      </c>
      <c r="V44" s="291">
        <f t="shared" si="11"/>
        <v>10</v>
      </c>
      <c r="W44" s="291">
        <f t="shared" si="11"/>
        <v>22</v>
      </c>
      <c r="X44" s="294">
        <f t="shared" si="11"/>
        <v>33</v>
      </c>
      <c r="Y44" s="295">
        <v>3</v>
      </c>
      <c r="Z44" s="296">
        <v>5</v>
      </c>
      <c r="AA44" s="296">
        <v>14</v>
      </c>
      <c r="AB44" s="296">
        <v>22</v>
      </c>
      <c r="AC44" s="295">
        <f t="shared" si="10"/>
        <v>37</v>
      </c>
      <c r="AD44" s="296">
        <f t="shared" si="10"/>
        <v>3</v>
      </c>
      <c r="AE44" s="296">
        <f t="shared" si="10"/>
        <v>41</v>
      </c>
      <c r="AF44" s="297">
        <f t="shared" si="10"/>
        <v>81</v>
      </c>
      <c r="AG44" s="295">
        <f t="shared" si="10"/>
        <v>0</v>
      </c>
      <c r="AH44" s="296">
        <f t="shared" si="10"/>
        <v>0</v>
      </c>
      <c r="AI44" s="296">
        <f t="shared" si="10"/>
        <v>0</v>
      </c>
      <c r="AJ44" s="297">
        <f t="shared" si="10"/>
        <v>0</v>
      </c>
    </row>
    <row r="45" spans="2:36" x14ac:dyDescent="0.2">
      <c r="B45" s="6394"/>
      <c r="C45" s="6394"/>
      <c r="D45" s="362" t="s">
        <v>28</v>
      </c>
      <c r="E45" s="360">
        <v>10</v>
      </c>
      <c r="F45" s="361">
        <v>7</v>
      </c>
      <c r="G45" s="361">
        <v>33</v>
      </c>
      <c r="H45" s="362">
        <v>50</v>
      </c>
      <c r="I45" s="363">
        <f t="shared" ref="I45:X45" si="12">I30+I35+I40</f>
        <v>11</v>
      </c>
      <c r="J45" s="364">
        <f t="shared" si="12"/>
        <v>8</v>
      </c>
      <c r="K45" s="364">
        <f t="shared" si="12"/>
        <v>34</v>
      </c>
      <c r="L45" s="365">
        <f t="shared" si="12"/>
        <v>53</v>
      </c>
      <c r="M45" s="363">
        <f t="shared" si="12"/>
        <v>8</v>
      </c>
      <c r="N45" s="364">
        <f t="shared" si="12"/>
        <v>6</v>
      </c>
      <c r="O45" s="364">
        <f t="shared" si="12"/>
        <v>21</v>
      </c>
      <c r="P45" s="366">
        <f t="shared" si="12"/>
        <v>35</v>
      </c>
      <c r="Q45" s="364">
        <f t="shared" si="12"/>
        <v>18</v>
      </c>
      <c r="R45" s="364">
        <f t="shared" si="12"/>
        <v>2</v>
      </c>
      <c r="S45" s="364">
        <f t="shared" si="12"/>
        <v>32</v>
      </c>
      <c r="T45" s="366">
        <f t="shared" si="12"/>
        <v>52</v>
      </c>
      <c r="U45" s="364">
        <f t="shared" si="12"/>
        <v>1</v>
      </c>
      <c r="V45" s="364">
        <f t="shared" si="12"/>
        <v>15</v>
      </c>
      <c r="W45" s="364">
        <f t="shared" si="12"/>
        <v>32</v>
      </c>
      <c r="X45" s="366">
        <f t="shared" si="12"/>
        <v>48</v>
      </c>
      <c r="Y45" s="367">
        <v>18</v>
      </c>
      <c r="Z45" s="368">
        <v>3</v>
      </c>
      <c r="AA45" s="368">
        <v>32</v>
      </c>
      <c r="AB45" s="368">
        <v>53</v>
      </c>
      <c r="AC45" s="367">
        <f t="shared" si="10"/>
        <v>12</v>
      </c>
      <c r="AD45" s="368">
        <f t="shared" si="10"/>
        <v>0</v>
      </c>
      <c r="AE45" s="368">
        <f t="shared" si="10"/>
        <v>20</v>
      </c>
      <c r="AF45" s="370">
        <f t="shared" si="10"/>
        <v>32</v>
      </c>
      <c r="AG45" s="367">
        <f t="shared" si="10"/>
        <v>0</v>
      </c>
      <c r="AH45" s="368">
        <f t="shared" si="10"/>
        <v>0</v>
      </c>
      <c r="AI45" s="368">
        <f t="shared" si="10"/>
        <v>0</v>
      </c>
      <c r="AJ45" s="370">
        <f t="shared" si="10"/>
        <v>0</v>
      </c>
    </row>
    <row r="46" spans="2:36" s="27" customFormat="1" ht="15" x14ac:dyDescent="0.2">
      <c r="B46" s="6395"/>
      <c r="C46" s="6395"/>
      <c r="D46" s="385" t="s">
        <v>12</v>
      </c>
      <c r="E46" s="383">
        <v>19</v>
      </c>
      <c r="F46" s="384">
        <v>13</v>
      </c>
      <c r="G46" s="384">
        <v>77</v>
      </c>
      <c r="H46" s="385">
        <v>109</v>
      </c>
      <c r="I46" s="280">
        <f t="shared" ref="I46:X46" si="13">SUM(I43:I45)</f>
        <v>42</v>
      </c>
      <c r="J46" s="279">
        <f t="shared" si="13"/>
        <v>19</v>
      </c>
      <c r="K46" s="279">
        <f t="shared" si="13"/>
        <v>112</v>
      </c>
      <c r="L46" s="279">
        <f t="shared" si="13"/>
        <v>173</v>
      </c>
      <c r="M46" s="280">
        <f t="shared" si="13"/>
        <v>20</v>
      </c>
      <c r="N46" s="279">
        <f t="shared" si="13"/>
        <v>12</v>
      </c>
      <c r="O46" s="279">
        <f t="shared" si="13"/>
        <v>38</v>
      </c>
      <c r="P46" s="281">
        <f t="shared" si="13"/>
        <v>70</v>
      </c>
      <c r="Q46" s="279">
        <f t="shared" si="13"/>
        <v>44</v>
      </c>
      <c r="R46" s="279">
        <f t="shared" si="13"/>
        <v>12</v>
      </c>
      <c r="S46" s="279">
        <f t="shared" si="13"/>
        <v>81</v>
      </c>
      <c r="T46" s="281">
        <f t="shared" si="13"/>
        <v>137</v>
      </c>
      <c r="U46" s="279">
        <f t="shared" si="13"/>
        <v>2</v>
      </c>
      <c r="V46" s="279">
        <f t="shared" si="13"/>
        <v>25</v>
      </c>
      <c r="W46" s="279">
        <f t="shared" si="13"/>
        <v>65</v>
      </c>
      <c r="X46" s="281">
        <f t="shared" si="13"/>
        <v>92</v>
      </c>
      <c r="Y46" s="258">
        <v>35</v>
      </c>
      <c r="Z46" s="259">
        <v>19</v>
      </c>
      <c r="AA46" s="259">
        <v>55</v>
      </c>
      <c r="AB46" s="259">
        <v>109</v>
      </c>
      <c r="AC46" s="258">
        <f t="shared" ref="AC46:AJ46" si="14">SUM(AC43:AC45)</f>
        <v>76</v>
      </c>
      <c r="AD46" s="259">
        <f t="shared" si="14"/>
        <v>3</v>
      </c>
      <c r="AE46" s="259">
        <f t="shared" si="14"/>
        <v>67</v>
      </c>
      <c r="AF46" s="260">
        <f t="shared" si="14"/>
        <v>146</v>
      </c>
      <c r="AG46" s="258">
        <f t="shared" si="14"/>
        <v>0</v>
      </c>
      <c r="AH46" s="259">
        <f t="shared" si="14"/>
        <v>0</v>
      </c>
      <c r="AI46" s="259">
        <f t="shared" si="14"/>
        <v>0</v>
      </c>
      <c r="AJ46" s="260">
        <f t="shared" si="14"/>
        <v>0</v>
      </c>
    </row>
    <row r="47" spans="2:36" x14ac:dyDescent="0.2">
      <c r="D47" s="1"/>
      <c r="E47" s="1"/>
      <c r="F47" s="1"/>
      <c r="G47" s="1"/>
      <c r="H47" s="1"/>
      <c r="L47" s="1"/>
      <c r="P47" s="1"/>
      <c r="T47" s="1"/>
      <c r="X47" s="1"/>
    </row>
    <row r="48" spans="2:36" x14ac:dyDescent="0.2">
      <c r="B48" s="6393" t="s">
        <v>10</v>
      </c>
      <c r="C48" s="6396" t="s">
        <v>6</v>
      </c>
      <c r="D48" s="282" t="s">
        <v>26</v>
      </c>
      <c r="E48" s="356">
        <v>6</v>
      </c>
      <c r="F48" s="355">
        <v>0</v>
      </c>
      <c r="G48" s="355">
        <v>0</v>
      </c>
      <c r="H48" s="357">
        <v>6</v>
      </c>
      <c r="I48" s="285">
        <v>0</v>
      </c>
      <c r="J48" s="283">
        <v>0</v>
      </c>
      <c r="K48" s="283">
        <v>11</v>
      </c>
      <c r="L48" s="284">
        <v>11</v>
      </c>
      <c r="M48" s="285">
        <v>0</v>
      </c>
      <c r="N48" s="283">
        <v>0</v>
      </c>
      <c r="O48" s="283">
        <v>0</v>
      </c>
      <c r="P48" s="286">
        <v>0</v>
      </c>
      <c r="Q48" s="283">
        <v>1</v>
      </c>
      <c r="R48" s="283">
        <v>0</v>
      </c>
      <c r="S48" s="283">
        <v>5</v>
      </c>
      <c r="T48" s="286">
        <v>6</v>
      </c>
      <c r="U48" s="283">
        <v>0</v>
      </c>
      <c r="V48" s="283">
        <v>0</v>
      </c>
      <c r="W48" s="283">
        <v>0</v>
      </c>
      <c r="X48" s="286">
        <v>0</v>
      </c>
      <c r="Y48" s="287">
        <v>0</v>
      </c>
      <c r="Z48" s="288">
        <v>0</v>
      </c>
      <c r="AA48" s="288">
        <v>4</v>
      </c>
      <c r="AB48" s="358">
        <v>4</v>
      </c>
      <c r="AC48" s="287"/>
      <c r="AD48" s="288"/>
      <c r="AE48" s="288"/>
      <c r="AF48" s="359"/>
      <c r="AG48" s="287"/>
      <c r="AH48" s="288"/>
      <c r="AI48" s="288"/>
      <c r="AJ48" s="359"/>
    </row>
    <row r="49" spans="2:36" x14ac:dyDescent="0.2">
      <c r="B49" s="6394"/>
      <c r="C49" s="6397"/>
      <c r="D49" s="290" t="s">
        <v>27</v>
      </c>
      <c r="E49" s="338">
        <v>45</v>
      </c>
      <c r="F49" s="339">
        <v>15</v>
      </c>
      <c r="G49" s="339">
        <v>8</v>
      </c>
      <c r="H49" s="340">
        <v>68</v>
      </c>
      <c r="I49" s="293">
        <v>5</v>
      </c>
      <c r="J49" s="291">
        <v>15</v>
      </c>
      <c r="K49" s="291">
        <v>39</v>
      </c>
      <c r="L49" s="292">
        <v>59</v>
      </c>
      <c r="M49" s="293">
        <v>12</v>
      </c>
      <c r="N49" s="291">
        <v>4</v>
      </c>
      <c r="O49" s="291">
        <v>5</v>
      </c>
      <c r="P49" s="294">
        <v>21</v>
      </c>
      <c r="Q49" s="291">
        <v>3</v>
      </c>
      <c r="R49" s="291">
        <v>33</v>
      </c>
      <c r="S49" s="291">
        <v>41</v>
      </c>
      <c r="T49" s="294">
        <v>77</v>
      </c>
      <c r="U49" s="291">
        <v>1</v>
      </c>
      <c r="V49" s="291">
        <v>15</v>
      </c>
      <c r="W49" s="291">
        <v>13</v>
      </c>
      <c r="X49" s="294">
        <v>29</v>
      </c>
      <c r="Y49" s="295">
        <v>2</v>
      </c>
      <c r="Z49" s="296">
        <v>2</v>
      </c>
      <c r="AA49" s="296">
        <v>57</v>
      </c>
      <c r="AB49" s="341">
        <v>61</v>
      </c>
      <c r="AC49" s="295"/>
      <c r="AD49" s="296"/>
      <c r="AE49" s="296"/>
      <c r="AF49" s="342"/>
      <c r="AG49" s="295"/>
      <c r="AH49" s="296"/>
      <c r="AI49" s="296"/>
      <c r="AJ49" s="342"/>
    </row>
    <row r="50" spans="2:36" x14ac:dyDescent="0.2">
      <c r="B50" s="6394"/>
      <c r="C50" s="6397"/>
      <c r="D50" s="290" t="s">
        <v>28</v>
      </c>
      <c r="E50" s="338">
        <v>27</v>
      </c>
      <c r="F50" s="339">
        <v>13</v>
      </c>
      <c r="G50" s="339">
        <v>0</v>
      </c>
      <c r="H50" s="340">
        <v>40</v>
      </c>
      <c r="I50" s="293">
        <v>1</v>
      </c>
      <c r="J50" s="291">
        <v>5</v>
      </c>
      <c r="K50" s="291">
        <v>0</v>
      </c>
      <c r="L50" s="292">
        <v>6</v>
      </c>
      <c r="M50" s="293">
        <v>29</v>
      </c>
      <c r="N50" s="291">
        <v>0</v>
      </c>
      <c r="O50" s="291">
        <v>1</v>
      </c>
      <c r="P50" s="294">
        <v>30</v>
      </c>
      <c r="Q50" s="291">
        <v>0</v>
      </c>
      <c r="R50" s="291">
        <v>8</v>
      </c>
      <c r="S50" s="291">
        <v>0</v>
      </c>
      <c r="T50" s="294">
        <v>8</v>
      </c>
      <c r="U50" s="291">
        <v>1</v>
      </c>
      <c r="V50" s="291">
        <v>14</v>
      </c>
      <c r="W50" s="291">
        <v>0</v>
      </c>
      <c r="X50" s="294">
        <v>15</v>
      </c>
      <c r="Y50" s="295">
        <v>10</v>
      </c>
      <c r="Z50" s="296">
        <v>0</v>
      </c>
      <c r="AA50" s="296">
        <v>0</v>
      </c>
      <c r="AB50" s="341">
        <v>10</v>
      </c>
      <c r="AC50" s="295">
        <v>23</v>
      </c>
      <c r="AD50" s="296"/>
      <c r="AE50" s="296"/>
      <c r="AF50" s="342">
        <v>23</v>
      </c>
      <c r="AG50" s="295"/>
      <c r="AH50" s="296"/>
      <c r="AI50" s="296"/>
      <c r="AJ50" s="342"/>
    </row>
    <row r="51" spans="2:36" s="27" customFormat="1" x14ac:dyDescent="0.2">
      <c r="B51" s="6394"/>
      <c r="C51" s="6398"/>
      <c r="D51" s="423" t="s">
        <v>14</v>
      </c>
      <c r="E51" s="424">
        <v>78</v>
      </c>
      <c r="F51" s="425">
        <v>28</v>
      </c>
      <c r="G51" s="425">
        <v>8</v>
      </c>
      <c r="H51" s="426">
        <v>114</v>
      </c>
      <c r="I51" s="427">
        <v>6</v>
      </c>
      <c r="J51" s="428">
        <v>20</v>
      </c>
      <c r="K51" s="428">
        <v>50</v>
      </c>
      <c r="L51" s="428">
        <v>76</v>
      </c>
      <c r="M51" s="427">
        <v>41</v>
      </c>
      <c r="N51" s="428">
        <v>4</v>
      </c>
      <c r="O51" s="428">
        <v>6</v>
      </c>
      <c r="P51" s="429">
        <v>51</v>
      </c>
      <c r="Q51" s="428">
        <v>4</v>
      </c>
      <c r="R51" s="428">
        <v>41</v>
      </c>
      <c r="S51" s="428">
        <v>46</v>
      </c>
      <c r="T51" s="429">
        <v>91</v>
      </c>
      <c r="U51" s="428">
        <v>2</v>
      </c>
      <c r="V51" s="428">
        <v>29</v>
      </c>
      <c r="W51" s="428">
        <v>13</v>
      </c>
      <c r="X51" s="429">
        <v>44</v>
      </c>
      <c r="Y51" s="430">
        <v>12</v>
      </c>
      <c r="Z51" s="431">
        <v>2</v>
      </c>
      <c r="AA51" s="431">
        <v>61</v>
      </c>
      <c r="AB51" s="431">
        <v>75</v>
      </c>
      <c r="AC51" s="430"/>
      <c r="AD51" s="431"/>
      <c r="AE51" s="431"/>
      <c r="AF51" s="432"/>
      <c r="AG51" s="430"/>
      <c r="AH51" s="431"/>
      <c r="AI51" s="431"/>
      <c r="AJ51" s="432"/>
    </row>
    <row r="52" spans="2:36" x14ac:dyDescent="0.2">
      <c r="B52" s="6394"/>
      <c r="C52" s="6396" t="s">
        <v>11</v>
      </c>
      <c r="D52" s="343"/>
      <c r="E52" s="344"/>
      <c r="F52" s="345"/>
      <c r="G52" s="345"/>
      <c r="H52" s="346"/>
      <c r="I52" s="293"/>
      <c r="J52" s="291"/>
      <c r="K52" s="291"/>
      <c r="L52" s="292"/>
      <c r="M52" s="293"/>
      <c r="N52" s="291"/>
      <c r="O52" s="291"/>
      <c r="P52" s="294"/>
      <c r="Q52" s="291"/>
      <c r="R52" s="291"/>
      <c r="S52" s="291"/>
      <c r="T52" s="294"/>
      <c r="U52" s="291"/>
      <c r="V52" s="291"/>
      <c r="W52" s="291"/>
      <c r="X52" s="294"/>
      <c r="Y52" s="295"/>
      <c r="Z52" s="296"/>
      <c r="AA52" s="296"/>
      <c r="AB52" s="341"/>
      <c r="AC52" s="295"/>
      <c r="AD52" s="296"/>
      <c r="AE52" s="296"/>
      <c r="AF52" s="342"/>
      <c r="AG52" s="295"/>
      <c r="AH52" s="296"/>
      <c r="AI52" s="296"/>
      <c r="AJ52" s="342"/>
    </row>
    <row r="53" spans="2:36" x14ac:dyDescent="0.2">
      <c r="B53" s="6394"/>
      <c r="C53" s="6397"/>
      <c r="D53" s="290" t="s">
        <v>26</v>
      </c>
      <c r="E53" s="338">
        <v>4</v>
      </c>
      <c r="F53" s="339">
        <v>0</v>
      </c>
      <c r="G53" s="339">
        <v>4</v>
      </c>
      <c r="H53" s="340">
        <v>8</v>
      </c>
      <c r="I53" s="293">
        <v>0</v>
      </c>
      <c r="J53" s="291">
        <v>0</v>
      </c>
      <c r="K53" s="291">
        <v>0</v>
      </c>
      <c r="L53" s="292">
        <v>0</v>
      </c>
      <c r="M53" s="293">
        <v>1</v>
      </c>
      <c r="N53" s="291">
        <v>0</v>
      </c>
      <c r="O53" s="291">
        <v>0</v>
      </c>
      <c r="P53" s="294">
        <v>1</v>
      </c>
      <c r="Q53" s="291">
        <v>1</v>
      </c>
      <c r="R53" s="291">
        <v>0</v>
      </c>
      <c r="S53" s="291">
        <v>0</v>
      </c>
      <c r="T53" s="294">
        <v>1</v>
      </c>
      <c r="U53" s="291">
        <v>0</v>
      </c>
      <c r="V53" s="291">
        <v>0</v>
      </c>
      <c r="W53" s="291">
        <v>0</v>
      </c>
      <c r="X53" s="294">
        <v>0</v>
      </c>
      <c r="Y53" s="295">
        <v>1</v>
      </c>
      <c r="Z53" s="296">
        <v>0</v>
      </c>
      <c r="AA53" s="296">
        <v>0</v>
      </c>
      <c r="AB53" s="341">
        <v>1</v>
      </c>
      <c r="AC53" s="295"/>
      <c r="AD53" s="296"/>
      <c r="AE53" s="296"/>
      <c r="AF53" s="342"/>
      <c r="AG53" s="295"/>
      <c r="AH53" s="296"/>
      <c r="AI53" s="296"/>
      <c r="AJ53" s="342"/>
    </row>
    <row r="54" spans="2:36" x14ac:dyDescent="0.2">
      <c r="B54" s="6394"/>
      <c r="C54" s="6397"/>
      <c r="D54" s="290" t="s">
        <v>27</v>
      </c>
      <c r="E54" s="338">
        <v>15</v>
      </c>
      <c r="F54" s="339">
        <v>12</v>
      </c>
      <c r="G54" s="339">
        <v>4</v>
      </c>
      <c r="H54" s="340">
        <v>31</v>
      </c>
      <c r="I54" s="293">
        <v>6</v>
      </c>
      <c r="J54" s="291">
        <v>6</v>
      </c>
      <c r="K54" s="291">
        <v>4</v>
      </c>
      <c r="L54" s="292">
        <v>16</v>
      </c>
      <c r="M54" s="293">
        <v>3</v>
      </c>
      <c r="N54" s="291">
        <v>10</v>
      </c>
      <c r="O54" s="291">
        <v>12</v>
      </c>
      <c r="P54" s="294">
        <v>25</v>
      </c>
      <c r="Q54" s="291">
        <v>8</v>
      </c>
      <c r="R54" s="291">
        <v>10</v>
      </c>
      <c r="S54" s="291">
        <v>16</v>
      </c>
      <c r="T54" s="294">
        <v>34</v>
      </c>
      <c r="U54" s="291">
        <v>1</v>
      </c>
      <c r="V54" s="291">
        <v>10</v>
      </c>
      <c r="W54" s="291">
        <v>19</v>
      </c>
      <c r="X54" s="294">
        <v>30</v>
      </c>
      <c r="Y54" s="295">
        <v>1</v>
      </c>
      <c r="Z54" s="296">
        <v>8</v>
      </c>
      <c r="AA54" s="296">
        <v>5</v>
      </c>
      <c r="AB54" s="341">
        <v>14</v>
      </c>
      <c r="AC54" s="295">
        <v>2</v>
      </c>
      <c r="AD54" s="296"/>
      <c r="AE54" s="296"/>
      <c r="AF54" s="342">
        <v>2</v>
      </c>
      <c r="AG54" s="295"/>
      <c r="AH54" s="296"/>
      <c r="AI54" s="296"/>
      <c r="AJ54" s="342"/>
    </row>
    <row r="55" spans="2:36" x14ac:dyDescent="0.2">
      <c r="B55" s="6394"/>
      <c r="C55" s="6397"/>
      <c r="D55" s="290" t="s">
        <v>28</v>
      </c>
      <c r="E55" s="338">
        <v>1</v>
      </c>
      <c r="F55" s="339">
        <v>0</v>
      </c>
      <c r="G55" s="339">
        <v>7</v>
      </c>
      <c r="H55" s="340">
        <v>8</v>
      </c>
      <c r="I55" s="293">
        <v>0</v>
      </c>
      <c r="J55" s="291">
        <v>0</v>
      </c>
      <c r="K55" s="291">
        <v>4</v>
      </c>
      <c r="L55" s="292">
        <v>4</v>
      </c>
      <c r="M55" s="293">
        <v>0</v>
      </c>
      <c r="N55" s="291">
        <v>0</v>
      </c>
      <c r="O55" s="291">
        <v>2</v>
      </c>
      <c r="P55" s="294">
        <v>2</v>
      </c>
      <c r="Q55" s="291">
        <v>0</v>
      </c>
      <c r="R55" s="291">
        <v>0</v>
      </c>
      <c r="S55" s="291">
        <v>3</v>
      </c>
      <c r="T55" s="294">
        <v>3</v>
      </c>
      <c r="U55" s="291">
        <v>0</v>
      </c>
      <c r="V55" s="291">
        <v>0</v>
      </c>
      <c r="W55" s="291">
        <v>7</v>
      </c>
      <c r="X55" s="294">
        <v>7</v>
      </c>
      <c r="Y55" s="295">
        <v>4</v>
      </c>
      <c r="Z55" s="296">
        <v>0</v>
      </c>
      <c r="AA55" s="296">
        <v>7</v>
      </c>
      <c r="AB55" s="341">
        <v>11</v>
      </c>
      <c r="AC55" s="295">
        <v>3</v>
      </c>
      <c r="AD55" s="296"/>
      <c r="AE55" s="296"/>
      <c r="AF55" s="342">
        <v>3</v>
      </c>
      <c r="AG55" s="295"/>
      <c r="AH55" s="296"/>
      <c r="AI55" s="296"/>
      <c r="AJ55" s="342"/>
    </row>
    <row r="56" spans="2:36" s="27" customFormat="1" x14ac:dyDescent="0.2">
      <c r="B56" s="6394"/>
      <c r="C56" s="6398"/>
      <c r="D56" s="423" t="s">
        <v>30</v>
      </c>
      <c r="E56" s="424">
        <v>20</v>
      </c>
      <c r="F56" s="425">
        <v>12</v>
      </c>
      <c r="G56" s="425">
        <v>15</v>
      </c>
      <c r="H56" s="426">
        <v>47</v>
      </c>
      <c r="I56" s="427">
        <v>6</v>
      </c>
      <c r="J56" s="428">
        <v>6</v>
      </c>
      <c r="K56" s="428">
        <v>8</v>
      </c>
      <c r="L56" s="428">
        <v>20</v>
      </c>
      <c r="M56" s="427">
        <v>4</v>
      </c>
      <c r="N56" s="428">
        <v>10</v>
      </c>
      <c r="O56" s="428">
        <v>14</v>
      </c>
      <c r="P56" s="429">
        <v>28</v>
      </c>
      <c r="Q56" s="428">
        <v>9</v>
      </c>
      <c r="R56" s="428">
        <v>10</v>
      </c>
      <c r="S56" s="428">
        <v>19</v>
      </c>
      <c r="T56" s="429">
        <v>38</v>
      </c>
      <c r="U56" s="428">
        <v>1</v>
      </c>
      <c r="V56" s="428">
        <v>10</v>
      </c>
      <c r="W56" s="428">
        <v>26</v>
      </c>
      <c r="X56" s="429">
        <v>37</v>
      </c>
      <c r="Y56" s="430">
        <v>6</v>
      </c>
      <c r="Z56" s="431">
        <v>8</v>
      </c>
      <c r="AA56" s="431">
        <v>12</v>
      </c>
      <c r="AB56" s="431">
        <v>26</v>
      </c>
      <c r="AC56" s="430"/>
      <c r="AD56" s="431"/>
      <c r="AE56" s="431"/>
      <c r="AF56" s="432"/>
      <c r="AG56" s="430"/>
      <c r="AH56" s="431"/>
      <c r="AI56" s="431"/>
      <c r="AJ56" s="432"/>
    </row>
    <row r="57" spans="2:36" x14ac:dyDescent="0.2">
      <c r="B57" s="6394"/>
      <c r="C57" s="6396" t="s">
        <v>7</v>
      </c>
      <c r="D57" s="343"/>
      <c r="E57" s="344"/>
      <c r="F57" s="345"/>
      <c r="G57" s="345"/>
      <c r="H57" s="346"/>
      <c r="I57" s="293"/>
      <c r="J57" s="291"/>
      <c r="K57" s="291"/>
      <c r="L57" s="292"/>
      <c r="M57" s="293"/>
      <c r="N57" s="291"/>
      <c r="O57" s="291"/>
      <c r="P57" s="294"/>
      <c r="Q57" s="291"/>
      <c r="R57" s="291"/>
      <c r="S57" s="291"/>
      <c r="T57" s="294"/>
      <c r="U57" s="291"/>
      <c r="V57" s="291"/>
      <c r="W57" s="291"/>
      <c r="X57" s="294"/>
      <c r="Y57" s="295"/>
      <c r="Z57" s="296"/>
      <c r="AA57" s="296"/>
      <c r="AB57" s="341"/>
      <c r="AC57" s="295"/>
      <c r="AD57" s="296"/>
      <c r="AE57" s="296"/>
      <c r="AF57" s="342"/>
      <c r="AG57" s="295"/>
      <c r="AH57" s="296"/>
      <c r="AI57" s="296"/>
      <c r="AJ57" s="342"/>
    </row>
    <row r="58" spans="2:36" x14ac:dyDescent="0.2">
      <c r="B58" s="6394"/>
      <c r="C58" s="6397"/>
      <c r="D58" s="290" t="s">
        <v>26</v>
      </c>
      <c r="E58" s="338"/>
      <c r="F58" s="339"/>
      <c r="G58" s="339"/>
      <c r="H58" s="340"/>
      <c r="I58" s="293"/>
      <c r="J58" s="291"/>
      <c r="K58" s="291"/>
      <c r="L58" s="292"/>
      <c r="M58" s="293"/>
      <c r="N58" s="291"/>
      <c r="O58" s="291"/>
      <c r="P58" s="294"/>
      <c r="Q58" s="291"/>
      <c r="R58" s="291"/>
      <c r="S58" s="291"/>
      <c r="T58" s="294"/>
      <c r="U58" s="291"/>
      <c r="V58" s="291"/>
      <c r="W58" s="291"/>
      <c r="X58" s="294"/>
      <c r="Y58" s="295"/>
      <c r="Z58" s="296"/>
      <c r="AA58" s="296"/>
      <c r="AB58" s="341"/>
      <c r="AC58" s="295"/>
      <c r="AD58" s="296"/>
      <c r="AE58" s="296"/>
      <c r="AF58" s="342"/>
      <c r="AG58" s="295"/>
      <c r="AH58" s="296"/>
      <c r="AI58" s="296"/>
      <c r="AJ58" s="342"/>
    </row>
    <row r="59" spans="2:36" x14ac:dyDescent="0.2">
      <c r="B59" s="6394"/>
      <c r="C59" s="6397"/>
      <c r="D59" s="290" t="s">
        <v>27</v>
      </c>
      <c r="E59" s="338">
        <v>0</v>
      </c>
      <c r="F59" s="339">
        <v>0</v>
      </c>
      <c r="G59" s="339">
        <v>0</v>
      </c>
      <c r="H59" s="340">
        <v>0</v>
      </c>
      <c r="I59" s="293">
        <v>0</v>
      </c>
      <c r="J59" s="291">
        <v>16</v>
      </c>
      <c r="K59" s="291">
        <v>0</v>
      </c>
      <c r="L59" s="292">
        <v>16</v>
      </c>
      <c r="M59" s="293">
        <v>0</v>
      </c>
      <c r="N59" s="291">
        <v>0</v>
      </c>
      <c r="O59" s="291">
        <v>0</v>
      </c>
      <c r="P59" s="294">
        <v>0</v>
      </c>
      <c r="Q59" s="291">
        <v>0</v>
      </c>
      <c r="R59" s="291">
        <v>0</v>
      </c>
      <c r="S59" s="291">
        <v>6</v>
      </c>
      <c r="T59" s="294">
        <v>6</v>
      </c>
      <c r="U59" s="291">
        <v>0</v>
      </c>
      <c r="V59" s="291">
        <v>0</v>
      </c>
      <c r="W59" s="291">
        <v>2</v>
      </c>
      <c r="X59" s="294">
        <v>2</v>
      </c>
      <c r="Y59" s="295">
        <v>0</v>
      </c>
      <c r="Z59" s="296">
        <v>0</v>
      </c>
      <c r="AA59" s="296">
        <v>0</v>
      </c>
      <c r="AB59" s="341">
        <v>0</v>
      </c>
      <c r="AC59" s="295"/>
      <c r="AD59" s="296"/>
      <c r="AE59" s="296"/>
      <c r="AF59" s="342"/>
      <c r="AG59" s="295"/>
      <c r="AH59" s="296"/>
      <c r="AI59" s="296"/>
      <c r="AJ59" s="342"/>
    </row>
    <row r="60" spans="2:36" x14ac:dyDescent="0.2">
      <c r="B60" s="6394"/>
      <c r="C60" s="6397"/>
      <c r="D60" s="290" t="s">
        <v>28</v>
      </c>
      <c r="E60" s="338">
        <v>0</v>
      </c>
      <c r="F60" s="339">
        <v>0</v>
      </c>
      <c r="G60" s="339">
        <v>0</v>
      </c>
      <c r="H60" s="340">
        <v>0</v>
      </c>
      <c r="I60" s="293">
        <v>0</v>
      </c>
      <c r="J60" s="291">
        <v>0</v>
      </c>
      <c r="K60" s="291">
        <v>0</v>
      </c>
      <c r="L60" s="292">
        <v>0</v>
      </c>
      <c r="M60" s="293">
        <v>0</v>
      </c>
      <c r="N60" s="291">
        <v>0</v>
      </c>
      <c r="O60" s="291">
        <v>0</v>
      </c>
      <c r="P60" s="294">
        <v>0</v>
      </c>
      <c r="Q60" s="291">
        <v>0</v>
      </c>
      <c r="R60" s="291">
        <v>0</v>
      </c>
      <c r="S60" s="291">
        <v>0</v>
      </c>
      <c r="T60" s="294">
        <v>0</v>
      </c>
      <c r="U60" s="291">
        <v>0</v>
      </c>
      <c r="V60" s="291">
        <v>0</v>
      </c>
      <c r="W60" s="291">
        <v>0</v>
      </c>
      <c r="X60" s="294">
        <v>0</v>
      </c>
      <c r="Y60" s="295">
        <v>0</v>
      </c>
      <c r="Z60" s="296">
        <v>8</v>
      </c>
      <c r="AA60" s="296">
        <v>3</v>
      </c>
      <c r="AB60" s="341">
        <v>11</v>
      </c>
      <c r="AC60" s="295"/>
      <c r="AD60" s="296"/>
      <c r="AE60" s="296"/>
      <c r="AF60" s="342"/>
      <c r="AG60" s="295"/>
      <c r="AH60" s="296"/>
      <c r="AI60" s="296"/>
      <c r="AJ60" s="342"/>
    </row>
    <row r="61" spans="2:36" s="27" customFormat="1" x14ac:dyDescent="0.2">
      <c r="B61" s="6394"/>
      <c r="C61" s="6398"/>
      <c r="D61" s="423" t="s">
        <v>15</v>
      </c>
      <c r="E61" s="424">
        <v>0</v>
      </c>
      <c r="F61" s="425">
        <v>0</v>
      </c>
      <c r="G61" s="425">
        <v>0</v>
      </c>
      <c r="H61" s="426">
        <v>0</v>
      </c>
      <c r="I61" s="427">
        <v>0</v>
      </c>
      <c r="J61" s="428">
        <v>16</v>
      </c>
      <c r="K61" s="428">
        <v>0</v>
      </c>
      <c r="L61" s="428">
        <v>16</v>
      </c>
      <c r="M61" s="427">
        <v>0</v>
      </c>
      <c r="N61" s="428">
        <v>0</v>
      </c>
      <c r="O61" s="428">
        <v>0</v>
      </c>
      <c r="P61" s="429">
        <v>0</v>
      </c>
      <c r="Q61" s="428">
        <v>0</v>
      </c>
      <c r="R61" s="428">
        <v>0</v>
      </c>
      <c r="S61" s="428">
        <v>6</v>
      </c>
      <c r="T61" s="429">
        <v>6</v>
      </c>
      <c r="U61" s="428">
        <v>0</v>
      </c>
      <c r="V61" s="428">
        <v>0</v>
      </c>
      <c r="W61" s="428">
        <v>2</v>
      </c>
      <c r="X61" s="429">
        <v>2</v>
      </c>
      <c r="Y61" s="430">
        <v>0</v>
      </c>
      <c r="Z61" s="431">
        <v>8</v>
      </c>
      <c r="AA61" s="431">
        <v>3</v>
      </c>
      <c r="AB61" s="431">
        <v>11</v>
      </c>
      <c r="AC61" s="430"/>
      <c r="AD61" s="431"/>
      <c r="AE61" s="431"/>
      <c r="AF61" s="432"/>
      <c r="AG61" s="430"/>
      <c r="AH61" s="431"/>
      <c r="AI61" s="431"/>
      <c r="AJ61" s="432"/>
    </row>
    <row r="62" spans="2:36" x14ac:dyDescent="0.2">
      <c r="B62" s="6394"/>
      <c r="C62" s="6393" t="s">
        <v>16</v>
      </c>
      <c r="D62" s="340"/>
      <c r="E62" s="338"/>
      <c r="F62" s="339"/>
      <c r="G62" s="339"/>
      <c r="H62" s="340"/>
      <c r="I62" s="293"/>
      <c r="J62" s="291"/>
      <c r="K62" s="291"/>
      <c r="L62" s="292"/>
      <c r="M62" s="293"/>
      <c r="N62" s="291"/>
      <c r="O62" s="291"/>
      <c r="P62" s="294"/>
      <c r="Q62" s="291"/>
      <c r="R62" s="291"/>
      <c r="S62" s="291"/>
      <c r="T62" s="294"/>
      <c r="U62" s="291"/>
      <c r="V62" s="291"/>
      <c r="W62" s="291"/>
      <c r="X62" s="294"/>
      <c r="Y62" s="295"/>
      <c r="Z62" s="296"/>
      <c r="AA62" s="296"/>
      <c r="AB62" s="341"/>
      <c r="AC62" s="295"/>
      <c r="AD62" s="296"/>
      <c r="AE62" s="296"/>
      <c r="AF62" s="342"/>
      <c r="AG62" s="295"/>
      <c r="AH62" s="296"/>
      <c r="AI62" s="296"/>
      <c r="AJ62" s="342"/>
    </row>
    <row r="63" spans="2:36" x14ac:dyDescent="0.2">
      <c r="B63" s="6394"/>
      <c r="C63" s="6394"/>
      <c r="D63" s="340" t="s">
        <v>26</v>
      </c>
      <c r="E63" s="338">
        <v>10</v>
      </c>
      <c r="F63" s="339">
        <v>0</v>
      </c>
      <c r="G63" s="339">
        <v>4</v>
      </c>
      <c r="H63" s="340">
        <v>14</v>
      </c>
      <c r="I63" s="293">
        <f t="shared" ref="I63:X63" si="15">I48+I53+I58</f>
        <v>0</v>
      </c>
      <c r="J63" s="291">
        <f t="shared" si="15"/>
        <v>0</v>
      </c>
      <c r="K63" s="291">
        <f t="shared" si="15"/>
        <v>11</v>
      </c>
      <c r="L63" s="292">
        <f t="shared" si="15"/>
        <v>11</v>
      </c>
      <c r="M63" s="293">
        <f t="shared" si="15"/>
        <v>1</v>
      </c>
      <c r="N63" s="291">
        <f t="shared" si="15"/>
        <v>0</v>
      </c>
      <c r="O63" s="291">
        <f t="shared" si="15"/>
        <v>0</v>
      </c>
      <c r="P63" s="294">
        <f t="shared" si="15"/>
        <v>1</v>
      </c>
      <c r="Q63" s="291">
        <f t="shared" si="15"/>
        <v>2</v>
      </c>
      <c r="R63" s="291">
        <f t="shared" si="15"/>
        <v>0</v>
      </c>
      <c r="S63" s="291">
        <f t="shared" si="15"/>
        <v>5</v>
      </c>
      <c r="T63" s="294">
        <f t="shared" si="15"/>
        <v>7</v>
      </c>
      <c r="U63" s="291">
        <f t="shared" si="15"/>
        <v>0</v>
      </c>
      <c r="V63" s="291">
        <f t="shared" si="15"/>
        <v>0</v>
      </c>
      <c r="W63" s="291">
        <f t="shared" si="15"/>
        <v>0</v>
      </c>
      <c r="X63" s="294">
        <f t="shared" si="15"/>
        <v>0</v>
      </c>
      <c r="Y63" s="295">
        <v>1</v>
      </c>
      <c r="Z63" s="296">
        <v>0</v>
      </c>
      <c r="AA63" s="296">
        <v>4</v>
      </c>
      <c r="AB63" s="296">
        <v>5</v>
      </c>
      <c r="AC63" s="295"/>
      <c r="AD63" s="296"/>
      <c r="AE63" s="296"/>
      <c r="AF63" s="297"/>
      <c r="AG63" s="295"/>
      <c r="AH63" s="296"/>
      <c r="AI63" s="296"/>
      <c r="AJ63" s="297"/>
    </row>
    <row r="64" spans="2:36" x14ac:dyDescent="0.2">
      <c r="B64" s="6394"/>
      <c r="C64" s="6394"/>
      <c r="D64" s="340" t="s">
        <v>27</v>
      </c>
      <c r="E64" s="338">
        <v>60</v>
      </c>
      <c r="F64" s="339">
        <v>27</v>
      </c>
      <c r="G64" s="339">
        <v>12</v>
      </c>
      <c r="H64" s="340">
        <v>99</v>
      </c>
      <c r="I64" s="293">
        <f t="shared" ref="I64:X64" si="16">I49+I54+I59</f>
        <v>11</v>
      </c>
      <c r="J64" s="291">
        <f t="shared" si="16"/>
        <v>37</v>
      </c>
      <c r="K64" s="291">
        <f t="shared" si="16"/>
        <v>43</v>
      </c>
      <c r="L64" s="292">
        <f t="shared" si="16"/>
        <v>91</v>
      </c>
      <c r="M64" s="293">
        <f t="shared" si="16"/>
        <v>15</v>
      </c>
      <c r="N64" s="291">
        <f t="shared" si="16"/>
        <v>14</v>
      </c>
      <c r="O64" s="291">
        <f t="shared" si="16"/>
        <v>17</v>
      </c>
      <c r="P64" s="294">
        <f t="shared" si="16"/>
        <v>46</v>
      </c>
      <c r="Q64" s="291">
        <f t="shared" si="16"/>
        <v>11</v>
      </c>
      <c r="R64" s="291">
        <f t="shared" si="16"/>
        <v>43</v>
      </c>
      <c r="S64" s="291">
        <f t="shared" si="16"/>
        <v>63</v>
      </c>
      <c r="T64" s="294">
        <f t="shared" si="16"/>
        <v>117</v>
      </c>
      <c r="U64" s="291">
        <f t="shared" si="16"/>
        <v>2</v>
      </c>
      <c r="V64" s="291">
        <f t="shared" si="16"/>
        <v>25</v>
      </c>
      <c r="W64" s="291">
        <f t="shared" si="16"/>
        <v>34</v>
      </c>
      <c r="X64" s="294">
        <f t="shared" si="16"/>
        <v>61</v>
      </c>
      <c r="Y64" s="295">
        <v>3</v>
      </c>
      <c r="Z64" s="296">
        <v>10</v>
      </c>
      <c r="AA64" s="296">
        <v>62</v>
      </c>
      <c r="AB64" s="296">
        <v>75</v>
      </c>
      <c r="AC64" s="295">
        <v>2</v>
      </c>
      <c r="AD64" s="296"/>
      <c r="AE64" s="296"/>
      <c r="AF64" s="297">
        <v>2</v>
      </c>
      <c r="AG64" s="295"/>
      <c r="AH64" s="296"/>
      <c r="AI64" s="296"/>
      <c r="AJ64" s="297"/>
    </row>
    <row r="65" spans="2:36" x14ac:dyDescent="0.2">
      <c r="B65" s="6394"/>
      <c r="C65" s="6394"/>
      <c r="D65" s="362" t="s">
        <v>28</v>
      </c>
      <c r="E65" s="360">
        <v>28</v>
      </c>
      <c r="F65" s="361">
        <v>13</v>
      </c>
      <c r="G65" s="361">
        <v>7</v>
      </c>
      <c r="H65" s="362">
        <v>48</v>
      </c>
      <c r="I65" s="363">
        <f t="shared" ref="I65:X65" si="17">I50+I55+I60</f>
        <v>1</v>
      </c>
      <c r="J65" s="364">
        <f t="shared" si="17"/>
        <v>5</v>
      </c>
      <c r="K65" s="364">
        <f t="shared" si="17"/>
        <v>4</v>
      </c>
      <c r="L65" s="365">
        <f t="shared" si="17"/>
        <v>10</v>
      </c>
      <c r="M65" s="363">
        <f t="shared" si="17"/>
        <v>29</v>
      </c>
      <c r="N65" s="364">
        <f t="shared" si="17"/>
        <v>0</v>
      </c>
      <c r="O65" s="364">
        <f t="shared" si="17"/>
        <v>3</v>
      </c>
      <c r="P65" s="366">
        <f t="shared" si="17"/>
        <v>32</v>
      </c>
      <c r="Q65" s="364">
        <f t="shared" si="17"/>
        <v>0</v>
      </c>
      <c r="R65" s="364">
        <f t="shared" si="17"/>
        <v>8</v>
      </c>
      <c r="S65" s="364">
        <f t="shared" si="17"/>
        <v>3</v>
      </c>
      <c r="T65" s="366">
        <f t="shared" si="17"/>
        <v>11</v>
      </c>
      <c r="U65" s="364">
        <f t="shared" si="17"/>
        <v>1</v>
      </c>
      <c r="V65" s="364">
        <f t="shared" si="17"/>
        <v>14</v>
      </c>
      <c r="W65" s="364">
        <f t="shared" si="17"/>
        <v>7</v>
      </c>
      <c r="X65" s="366">
        <f t="shared" si="17"/>
        <v>22</v>
      </c>
      <c r="Y65" s="367">
        <v>14</v>
      </c>
      <c r="Z65" s="368">
        <v>8</v>
      </c>
      <c r="AA65" s="368">
        <v>10</v>
      </c>
      <c r="AB65" s="368">
        <v>32</v>
      </c>
      <c r="AC65" s="367">
        <v>26</v>
      </c>
      <c r="AD65" s="368"/>
      <c r="AE65" s="368"/>
      <c r="AF65" s="370">
        <v>26</v>
      </c>
      <c r="AG65" s="367"/>
      <c r="AH65" s="368"/>
      <c r="AI65" s="368"/>
      <c r="AJ65" s="370"/>
    </row>
    <row r="66" spans="2:36" s="27" customFormat="1" ht="15" x14ac:dyDescent="0.2">
      <c r="B66" s="6395"/>
      <c r="C66" s="6395"/>
      <c r="D66" s="385" t="s">
        <v>12</v>
      </c>
      <c r="E66" s="383">
        <v>98</v>
      </c>
      <c r="F66" s="384">
        <v>40</v>
      </c>
      <c r="G66" s="384">
        <v>23</v>
      </c>
      <c r="H66" s="385">
        <v>161</v>
      </c>
      <c r="I66" s="280">
        <f t="shared" ref="I66:X66" si="18">SUM(I63:I65)</f>
        <v>12</v>
      </c>
      <c r="J66" s="279">
        <f t="shared" si="18"/>
        <v>42</v>
      </c>
      <c r="K66" s="279">
        <f t="shared" si="18"/>
        <v>58</v>
      </c>
      <c r="L66" s="279">
        <f t="shared" si="18"/>
        <v>112</v>
      </c>
      <c r="M66" s="280">
        <f t="shared" si="18"/>
        <v>45</v>
      </c>
      <c r="N66" s="279">
        <f t="shared" si="18"/>
        <v>14</v>
      </c>
      <c r="O66" s="279">
        <f t="shared" si="18"/>
        <v>20</v>
      </c>
      <c r="P66" s="281">
        <f t="shared" si="18"/>
        <v>79</v>
      </c>
      <c r="Q66" s="279">
        <f t="shared" si="18"/>
        <v>13</v>
      </c>
      <c r="R66" s="279">
        <f t="shared" si="18"/>
        <v>51</v>
      </c>
      <c r="S66" s="279">
        <f t="shared" si="18"/>
        <v>71</v>
      </c>
      <c r="T66" s="281">
        <f t="shared" si="18"/>
        <v>135</v>
      </c>
      <c r="U66" s="279">
        <f t="shared" si="18"/>
        <v>3</v>
      </c>
      <c r="V66" s="279">
        <f t="shared" si="18"/>
        <v>39</v>
      </c>
      <c r="W66" s="279">
        <f t="shared" si="18"/>
        <v>41</v>
      </c>
      <c r="X66" s="281">
        <f t="shared" si="18"/>
        <v>83</v>
      </c>
      <c r="Y66" s="258">
        <v>18</v>
      </c>
      <c r="Z66" s="259">
        <v>18</v>
      </c>
      <c r="AA66" s="259">
        <v>76</v>
      </c>
      <c r="AB66" s="259">
        <v>112</v>
      </c>
      <c r="AC66" s="258">
        <v>28</v>
      </c>
      <c r="AD66" s="259"/>
      <c r="AE66" s="259"/>
      <c r="AF66" s="260">
        <v>28</v>
      </c>
      <c r="AG66" s="258"/>
      <c r="AH66" s="259"/>
      <c r="AI66" s="259"/>
      <c r="AJ66" s="260"/>
    </row>
    <row r="67" spans="2:36" x14ac:dyDescent="0.2">
      <c r="D67" s="1"/>
      <c r="E67" s="1"/>
      <c r="F67" s="1"/>
      <c r="G67" s="1"/>
      <c r="H67" s="1"/>
      <c r="L67" s="1"/>
      <c r="P67" s="1"/>
      <c r="T67" s="1"/>
      <c r="X67" s="1"/>
    </row>
    <row r="68" spans="2:36" x14ac:dyDescent="0.2">
      <c r="B68" s="6387" t="s">
        <v>60</v>
      </c>
      <c r="C68" s="6388"/>
      <c r="D68" s="282" t="s">
        <v>26</v>
      </c>
      <c r="E68" s="356">
        <v>37</v>
      </c>
      <c r="F68" s="355">
        <v>2</v>
      </c>
      <c r="G68" s="355">
        <v>29</v>
      </c>
      <c r="H68" s="357">
        <v>68</v>
      </c>
      <c r="I68" s="285">
        <f t="shared" ref="I68:X68" si="19">I23+I43+I63</f>
        <v>9</v>
      </c>
      <c r="J68" s="283">
        <f t="shared" si="19"/>
        <v>2</v>
      </c>
      <c r="K68" s="283">
        <f t="shared" si="19"/>
        <v>53</v>
      </c>
      <c r="L68" s="284">
        <f t="shared" si="19"/>
        <v>64</v>
      </c>
      <c r="M68" s="285">
        <f t="shared" si="19"/>
        <v>1</v>
      </c>
      <c r="N68" s="283">
        <f t="shared" si="19"/>
        <v>4</v>
      </c>
      <c r="O68" s="283">
        <f t="shared" si="19"/>
        <v>16</v>
      </c>
      <c r="P68" s="286">
        <f t="shared" si="19"/>
        <v>21</v>
      </c>
      <c r="Q68" s="283">
        <f t="shared" si="19"/>
        <v>16</v>
      </c>
      <c r="R68" s="283">
        <f t="shared" si="19"/>
        <v>7</v>
      </c>
      <c r="S68" s="283">
        <f t="shared" si="19"/>
        <v>35</v>
      </c>
      <c r="T68" s="286">
        <f t="shared" si="19"/>
        <v>58</v>
      </c>
      <c r="U68" s="283">
        <f t="shared" si="19"/>
        <v>0</v>
      </c>
      <c r="V68" s="283">
        <f t="shared" si="19"/>
        <v>0</v>
      </c>
      <c r="W68" s="283">
        <f t="shared" si="19"/>
        <v>28</v>
      </c>
      <c r="X68" s="286">
        <f t="shared" si="19"/>
        <v>28</v>
      </c>
      <c r="Y68" s="287">
        <v>19</v>
      </c>
      <c r="Z68" s="288">
        <v>14</v>
      </c>
      <c r="AA68" s="288">
        <v>40</v>
      </c>
      <c r="AB68" s="288">
        <v>73</v>
      </c>
      <c r="AC68" s="287">
        <f t="shared" ref="AC68:AI70" si="20">SUM(AC23,AC43,AC63)</f>
        <v>27</v>
      </c>
      <c r="AD68" s="288">
        <f t="shared" si="20"/>
        <v>0</v>
      </c>
      <c r="AE68" s="288">
        <f t="shared" si="20"/>
        <v>6</v>
      </c>
      <c r="AF68" s="289">
        <f t="shared" si="20"/>
        <v>33</v>
      </c>
      <c r="AG68" s="287">
        <f t="shared" si="20"/>
        <v>0</v>
      </c>
      <c r="AH68" s="288">
        <f t="shared" si="20"/>
        <v>0</v>
      </c>
      <c r="AI68" s="288">
        <f t="shared" si="20"/>
        <v>0</v>
      </c>
      <c r="AJ68" s="289"/>
    </row>
    <row r="69" spans="2:36" x14ac:dyDescent="0.2">
      <c r="B69" s="6389"/>
      <c r="C69" s="6390"/>
      <c r="D69" s="290" t="s">
        <v>27</v>
      </c>
      <c r="E69" s="338">
        <v>105</v>
      </c>
      <c r="F69" s="339">
        <v>48</v>
      </c>
      <c r="G69" s="339">
        <v>54</v>
      </c>
      <c r="H69" s="340">
        <v>207</v>
      </c>
      <c r="I69" s="293">
        <f t="shared" ref="I69:X69" si="21">I24+I44+I64</f>
        <v>42</v>
      </c>
      <c r="J69" s="291">
        <f t="shared" si="21"/>
        <v>51</v>
      </c>
      <c r="K69" s="291">
        <f t="shared" si="21"/>
        <v>152</v>
      </c>
      <c r="L69" s="292">
        <f t="shared" si="21"/>
        <v>245</v>
      </c>
      <c r="M69" s="293">
        <f t="shared" si="21"/>
        <v>33</v>
      </c>
      <c r="N69" s="291">
        <f t="shared" si="21"/>
        <v>27</v>
      </c>
      <c r="O69" s="291">
        <f t="shared" si="21"/>
        <v>52</v>
      </c>
      <c r="P69" s="294">
        <f t="shared" si="21"/>
        <v>112</v>
      </c>
      <c r="Q69" s="291">
        <f t="shared" si="21"/>
        <v>30</v>
      </c>
      <c r="R69" s="291">
        <f t="shared" si="21"/>
        <v>66</v>
      </c>
      <c r="S69" s="291">
        <f t="shared" si="21"/>
        <v>113</v>
      </c>
      <c r="T69" s="294">
        <f t="shared" si="21"/>
        <v>209</v>
      </c>
      <c r="U69" s="291">
        <f t="shared" si="21"/>
        <v>4</v>
      </c>
      <c r="V69" s="291">
        <f t="shared" si="21"/>
        <v>47</v>
      </c>
      <c r="W69" s="291">
        <f t="shared" si="21"/>
        <v>65</v>
      </c>
      <c r="X69" s="294">
        <f t="shared" si="21"/>
        <v>116</v>
      </c>
      <c r="Y69" s="295">
        <v>27</v>
      </c>
      <c r="Z69" s="296">
        <v>18</v>
      </c>
      <c r="AA69" s="296">
        <v>111</v>
      </c>
      <c r="AB69" s="296">
        <v>156</v>
      </c>
      <c r="AC69" s="295">
        <f t="shared" si="20"/>
        <v>52</v>
      </c>
      <c r="AD69" s="296">
        <f t="shared" si="20"/>
        <v>3</v>
      </c>
      <c r="AE69" s="296">
        <f t="shared" si="20"/>
        <v>41</v>
      </c>
      <c r="AF69" s="297">
        <f t="shared" si="20"/>
        <v>96</v>
      </c>
      <c r="AG69" s="295">
        <f t="shared" si="20"/>
        <v>0</v>
      </c>
      <c r="AH69" s="296">
        <f t="shared" si="20"/>
        <v>0</v>
      </c>
      <c r="AI69" s="296">
        <f t="shared" si="20"/>
        <v>0</v>
      </c>
      <c r="AJ69" s="297"/>
    </row>
    <row r="70" spans="2:36" x14ac:dyDescent="0.2">
      <c r="B70" s="6389"/>
      <c r="C70" s="6390"/>
      <c r="D70" s="298" t="s">
        <v>28</v>
      </c>
      <c r="E70" s="352">
        <v>38</v>
      </c>
      <c r="F70" s="353">
        <v>20</v>
      </c>
      <c r="G70" s="353">
        <v>49</v>
      </c>
      <c r="H70" s="354">
        <v>107</v>
      </c>
      <c r="I70" s="301">
        <f t="shared" ref="I70:X70" si="22">I25+I45+I65</f>
        <v>13</v>
      </c>
      <c r="J70" s="299">
        <f t="shared" si="22"/>
        <v>14</v>
      </c>
      <c r="K70" s="299">
        <f t="shared" si="22"/>
        <v>39</v>
      </c>
      <c r="L70" s="300">
        <f t="shared" si="22"/>
        <v>66</v>
      </c>
      <c r="M70" s="301">
        <f t="shared" si="22"/>
        <v>37</v>
      </c>
      <c r="N70" s="299">
        <f t="shared" si="22"/>
        <v>6</v>
      </c>
      <c r="O70" s="299">
        <f t="shared" si="22"/>
        <v>30</v>
      </c>
      <c r="P70" s="302">
        <f t="shared" si="22"/>
        <v>73</v>
      </c>
      <c r="Q70" s="299">
        <f t="shared" si="22"/>
        <v>18</v>
      </c>
      <c r="R70" s="299">
        <f t="shared" si="22"/>
        <v>11</v>
      </c>
      <c r="S70" s="299">
        <f t="shared" si="22"/>
        <v>38</v>
      </c>
      <c r="T70" s="302">
        <f t="shared" si="22"/>
        <v>67</v>
      </c>
      <c r="U70" s="299">
        <f t="shared" si="22"/>
        <v>2</v>
      </c>
      <c r="V70" s="299">
        <f t="shared" si="22"/>
        <v>29</v>
      </c>
      <c r="W70" s="299">
        <f t="shared" si="22"/>
        <v>40</v>
      </c>
      <c r="X70" s="302">
        <f t="shared" si="22"/>
        <v>71</v>
      </c>
      <c r="Y70" s="303">
        <v>33</v>
      </c>
      <c r="Z70" s="304">
        <v>12</v>
      </c>
      <c r="AA70" s="304">
        <v>42</v>
      </c>
      <c r="AB70" s="304">
        <v>87</v>
      </c>
      <c r="AC70" s="303">
        <f t="shared" si="20"/>
        <v>40</v>
      </c>
      <c r="AD70" s="304">
        <f t="shared" si="20"/>
        <v>0</v>
      </c>
      <c r="AE70" s="304">
        <f t="shared" si="20"/>
        <v>20</v>
      </c>
      <c r="AF70" s="305">
        <f t="shared" si="20"/>
        <v>60</v>
      </c>
      <c r="AG70" s="303">
        <f t="shared" si="20"/>
        <v>0</v>
      </c>
      <c r="AH70" s="304">
        <f t="shared" si="20"/>
        <v>0</v>
      </c>
      <c r="AI70" s="304">
        <f t="shared" si="20"/>
        <v>0</v>
      </c>
      <c r="AJ70" s="305"/>
    </row>
    <row r="71" spans="2:36" s="38" customFormat="1" ht="15" x14ac:dyDescent="0.2">
      <c r="B71" s="6391"/>
      <c r="C71" s="6392"/>
      <c r="D71" s="385" t="s">
        <v>12</v>
      </c>
      <c r="E71" s="306">
        <v>180</v>
      </c>
      <c r="F71" s="306">
        <v>70</v>
      </c>
      <c r="G71" s="306">
        <v>132</v>
      </c>
      <c r="H71" s="306">
        <v>382</v>
      </c>
      <c r="I71" s="280">
        <f t="shared" ref="I71:X71" si="23">SUM(I68:I70)</f>
        <v>64</v>
      </c>
      <c r="J71" s="279">
        <f t="shared" si="23"/>
        <v>67</v>
      </c>
      <c r="K71" s="279">
        <f t="shared" si="23"/>
        <v>244</v>
      </c>
      <c r="L71" s="279">
        <f t="shared" si="23"/>
        <v>375</v>
      </c>
      <c r="M71" s="280">
        <f t="shared" si="23"/>
        <v>71</v>
      </c>
      <c r="N71" s="279">
        <f t="shared" si="23"/>
        <v>37</v>
      </c>
      <c r="O71" s="279">
        <f t="shared" si="23"/>
        <v>98</v>
      </c>
      <c r="P71" s="281">
        <f t="shared" si="23"/>
        <v>206</v>
      </c>
      <c r="Q71" s="279">
        <f t="shared" si="23"/>
        <v>64</v>
      </c>
      <c r="R71" s="279">
        <f t="shared" si="23"/>
        <v>84</v>
      </c>
      <c r="S71" s="279">
        <f t="shared" si="23"/>
        <v>186</v>
      </c>
      <c r="T71" s="281">
        <f t="shared" si="23"/>
        <v>334</v>
      </c>
      <c r="U71" s="279">
        <f t="shared" si="23"/>
        <v>6</v>
      </c>
      <c r="V71" s="279">
        <f t="shared" si="23"/>
        <v>76</v>
      </c>
      <c r="W71" s="279">
        <f t="shared" si="23"/>
        <v>133</v>
      </c>
      <c r="X71" s="281">
        <f t="shared" si="23"/>
        <v>215</v>
      </c>
      <c r="Y71" s="258">
        <v>79</v>
      </c>
      <c r="Z71" s="259">
        <v>44</v>
      </c>
      <c r="AA71" s="259">
        <v>193</v>
      </c>
      <c r="AB71" s="259">
        <v>316</v>
      </c>
      <c r="AC71" s="258">
        <f t="shared" ref="AC71:AI71" si="24">SUM(AC68:AC70)</f>
        <v>119</v>
      </c>
      <c r="AD71" s="259">
        <f t="shared" si="24"/>
        <v>3</v>
      </c>
      <c r="AE71" s="259">
        <f t="shared" si="24"/>
        <v>67</v>
      </c>
      <c r="AF71" s="260">
        <f t="shared" si="24"/>
        <v>189</v>
      </c>
      <c r="AG71" s="258">
        <f t="shared" si="24"/>
        <v>0</v>
      </c>
      <c r="AH71" s="259">
        <f t="shared" si="24"/>
        <v>0</v>
      </c>
      <c r="AI71" s="259">
        <f t="shared" si="24"/>
        <v>0</v>
      </c>
      <c r="AJ71" s="260"/>
    </row>
    <row r="72" spans="2:36" x14ac:dyDescent="0.2">
      <c r="B72" s="6383" t="s">
        <v>0</v>
      </c>
      <c r="C72" s="6383"/>
      <c r="D72" s="6383"/>
      <c r="E72" s="45"/>
      <c r="F72" s="45"/>
      <c r="G72" s="45"/>
      <c r="H72" s="45"/>
      <c r="I72" s="26"/>
      <c r="J72" s="26"/>
      <c r="K72" s="26"/>
      <c r="L72" s="61"/>
      <c r="M72" s="26"/>
      <c r="N72" s="26"/>
      <c r="O72" s="26"/>
      <c r="P72" s="61"/>
      <c r="Q72" s="26"/>
      <c r="R72" s="26"/>
      <c r="S72" s="26"/>
      <c r="T72" s="61"/>
      <c r="U72" s="26"/>
      <c r="V72" s="26"/>
      <c r="W72" s="26"/>
      <c r="X72" s="61"/>
    </row>
    <row r="73" spans="2:36" s="47" customFormat="1" x14ac:dyDescent="0.2">
      <c r="D73" s="63"/>
      <c r="E73" s="63"/>
      <c r="F73" s="63"/>
      <c r="G73" s="63"/>
      <c r="H73" s="63"/>
      <c r="L73" s="75"/>
      <c r="P73" s="75"/>
      <c r="T73" s="75"/>
      <c r="X73" s="75"/>
    </row>
    <row r="74" spans="2:36" x14ac:dyDescent="0.2">
      <c r="I74" s="76"/>
      <c r="J74" s="76"/>
      <c r="K74" s="76"/>
      <c r="L74" s="60"/>
      <c r="M74" s="76"/>
      <c r="N74" s="76"/>
      <c r="O74" s="76"/>
      <c r="P74" s="60"/>
      <c r="Q74" s="76"/>
      <c r="R74" s="76"/>
      <c r="S74" s="76"/>
      <c r="T74" s="60"/>
      <c r="U74" s="76"/>
      <c r="V74" s="76"/>
      <c r="W74" s="76"/>
      <c r="X74" s="60"/>
    </row>
  </sheetData>
  <mergeCells count="54">
    <mergeCell ref="C48:C51"/>
    <mergeCell ref="C52:C56"/>
    <mergeCell ref="AJ5:AJ6"/>
    <mergeCell ref="C37:C41"/>
    <mergeCell ref="C42:C46"/>
    <mergeCell ref="Y5:Y6"/>
    <mergeCell ref="Z5:Z6"/>
    <mergeCell ref="AA5:AA6"/>
    <mergeCell ref="AB5:AB6"/>
    <mergeCell ref="K5:K6"/>
    <mergeCell ref="N5:N6"/>
    <mergeCell ref="M5:M6"/>
    <mergeCell ref="W5:W6"/>
    <mergeCell ref="C57:C61"/>
    <mergeCell ref="C62:C66"/>
    <mergeCell ref="AG5:AG6"/>
    <mergeCell ref="AH5:AH6"/>
    <mergeCell ref="AI5:AI6"/>
    <mergeCell ref="AC5:AC6"/>
    <mergeCell ref="AD5:AD6"/>
    <mergeCell ref="AE5:AE6"/>
    <mergeCell ref="AF5:AF6"/>
    <mergeCell ref="V5:V6"/>
    <mergeCell ref="T5:T6"/>
    <mergeCell ref="Q5:Q6"/>
    <mergeCell ref="X5:X6"/>
    <mergeCell ref="C22:C26"/>
    <mergeCell ref="C28:C31"/>
    <mergeCell ref="C32:C36"/>
    <mergeCell ref="B2:AB2"/>
    <mergeCell ref="R5:R6"/>
    <mergeCell ref="J5:J6"/>
    <mergeCell ref="U5:U6"/>
    <mergeCell ref="P5:P6"/>
    <mergeCell ref="B3:AB3"/>
    <mergeCell ref="S5:S6"/>
    <mergeCell ref="O5:O6"/>
    <mergeCell ref="L5:L6"/>
    <mergeCell ref="B72:D72"/>
    <mergeCell ref="B5:B6"/>
    <mergeCell ref="C5:C6"/>
    <mergeCell ref="D5:D6"/>
    <mergeCell ref="I5:I6"/>
    <mergeCell ref="H5:H6"/>
    <mergeCell ref="G5:G6"/>
    <mergeCell ref="F5:F6"/>
    <mergeCell ref="E5:E6"/>
    <mergeCell ref="B68:C71"/>
    <mergeCell ref="B8:B26"/>
    <mergeCell ref="B28:B46"/>
    <mergeCell ref="B48:B66"/>
    <mergeCell ref="C8:C11"/>
    <mergeCell ref="C12:C16"/>
    <mergeCell ref="C17:C21"/>
  </mergeCells>
  <phoneticPr fontId="81" type="noConversion"/>
  <printOptions horizontalCentered="1" verticalCentered="1"/>
  <pageMargins left="0.39370078740157483" right="0.39370078740157483" top="0.51181102362204722" bottom="0.59055118110236227" header="0.43307086614173229" footer="0.31496062992125984"/>
  <pageSetup scale="50" orientation="landscape" horizontalDpi="1200" verticalDpi="1200" r:id="rId1"/>
  <headerFooter alignWithMargins="0">
    <oddHeader>&amp;LANEXO ESTADÍSTICO 2008&amp;CCOBERTURA EDUCATIVA&amp;R&amp;G</oddHeader>
    <oddFooter>&amp;R38</oddFooter>
  </headerFooter>
  <ignoredErrors>
    <ignoredError sqref="AF9:AF15 AF29:AF35 AF38:AF40" formulaRange="1"/>
  </ignoredErrors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S156"/>
  <sheetViews>
    <sheetView showGridLines="0" zoomScaleNormal="100" zoomScaleSheetLayoutView="100" workbookViewId="0">
      <pane xSplit="4" ySplit="4" topLeftCell="K5" activePane="bottomRight" state="frozen"/>
      <selection pane="topRight"/>
      <selection pane="bottomLeft"/>
      <selection pane="bottomRight" sqref="A1:C1"/>
    </sheetView>
  </sheetViews>
  <sheetFormatPr baseColWidth="10" defaultColWidth="1.5703125" defaultRowHeight="12.75" x14ac:dyDescent="0.2"/>
  <cols>
    <col min="1" max="1" width="10.85546875" style="209" customWidth="1"/>
    <col min="2" max="2" width="10.42578125" style="209" customWidth="1"/>
    <col min="3" max="3" width="10.5703125" style="209" customWidth="1"/>
    <col min="4" max="4" width="90.42578125" style="209" bestFit="1" customWidth="1"/>
    <col min="5" max="19" width="9.7109375" style="209" customWidth="1"/>
    <col min="20" max="256" width="11.42578125" style="209" customWidth="1"/>
    <col min="257" max="257" width="1.5703125" style="209"/>
    <col min="258" max="258" width="16.5703125" style="209" bestFit="1" customWidth="1"/>
    <col min="259" max="259" width="11.28515625" style="209" customWidth="1"/>
    <col min="260" max="260" width="77" style="209" customWidth="1"/>
    <col min="261" max="267" width="8.7109375" style="209" customWidth="1"/>
    <col min="268" max="268" width="8.85546875" style="209" customWidth="1"/>
    <col min="269" max="512" width="11.42578125" style="209" customWidth="1"/>
    <col min="513" max="513" width="1.5703125" style="209"/>
    <col min="514" max="514" width="16.5703125" style="209" bestFit="1" customWidth="1"/>
    <col min="515" max="515" width="11.28515625" style="209" customWidth="1"/>
    <col min="516" max="516" width="77" style="209" customWidth="1"/>
    <col min="517" max="523" width="8.7109375" style="209" customWidth="1"/>
    <col min="524" max="524" width="8.85546875" style="209" customWidth="1"/>
    <col min="525" max="768" width="11.42578125" style="209" customWidth="1"/>
    <col min="769" max="769" width="1.5703125" style="209"/>
    <col min="770" max="770" width="16.5703125" style="209" bestFit="1" customWidth="1"/>
    <col min="771" max="771" width="11.28515625" style="209" customWidth="1"/>
    <col min="772" max="772" width="77" style="209" customWidth="1"/>
    <col min="773" max="779" width="8.7109375" style="209" customWidth="1"/>
    <col min="780" max="780" width="8.85546875" style="209" customWidth="1"/>
    <col min="781" max="1024" width="11.42578125" style="209" customWidth="1"/>
    <col min="1025" max="1025" width="1.5703125" style="209"/>
    <col min="1026" max="1026" width="16.5703125" style="209" bestFit="1" customWidth="1"/>
    <col min="1027" max="1027" width="11.28515625" style="209" customWidth="1"/>
    <col min="1028" max="1028" width="77" style="209" customWidth="1"/>
    <col min="1029" max="1035" width="8.7109375" style="209" customWidth="1"/>
    <col min="1036" max="1036" width="8.85546875" style="209" customWidth="1"/>
    <col min="1037" max="1280" width="11.42578125" style="209" customWidth="1"/>
    <col min="1281" max="1281" width="1.5703125" style="209"/>
    <col min="1282" max="1282" width="16.5703125" style="209" bestFit="1" customWidth="1"/>
    <col min="1283" max="1283" width="11.28515625" style="209" customWidth="1"/>
    <col min="1284" max="1284" width="77" style="209" customWidth="1"/>
    <col min="1285" max="1291" width="8.7109375" style="209" customWidth="1"/>
    <col min="1292" max="1292" width="8.85546875" style="209" customWidth="1"/>
    <col min="1293" max="1536" width="11.42578125" style="209" customWidth="1"/>
    <col min="1537" max="1537" width="1.5703125" style="209"/>
    <col min="1538" max="1538" width="16.5703125" style="209" bestFit="1" customWidth="1"/>
    <col min="1539" max="1539" width="11.28515625" style="209" customWidth="1"/>
    <col min="1540" max="1540" width="77" style="209" customWidth="1"/>
    <col min="1541" max="1547" width="8.7109375" style="209" customWidth="1"/>
    <col min="1548" max="1548" width="8.85546875" style="209" customWidth="1"/>
    <col min="1549" max="1792" width="11.42578125" style="209" customWidth="1"/>
    <col min="1793" max="1793" width="1.5703125" style="209"/>
    <col min="1794" max="1794" width="16.5703125" style="209" bestFit="1" customWidth="1"/>
    <col min="1795" max="1795" width="11.28515625" style="209" customWidth="1"/>
    <col min="1796" max="1796" width="77" style="209" customWidth="1"/>
    <col min="1797" max="1803" width="8.7109375" style="209" customWidth="1"/>
    <col min="1804" max="1804" width="8.85546875" style="209" customWidth="1"/>
    <col min="1805" max="2048" width="11.42578125" style="209" customWidth="1"/>
    <col min="2049" max="2049" width="1.5703125" style="209"/>
    <col min="2050" max="2050" width="16.5703125" style="209" bestFit="1" customWidth="1"/>
    <col min="2051" max="2051" width="11.28515625" style="209" customWidth="1"/>
    <col min="2052" max="2052" width="77" style="209" customWidth="1"/>
    <col min="2053" max="2059" width="8.7109375" style="209" customWidth="1"/>
    <col min="2060" max="2060" width="8.85546875" style="209" customWidth="1"/>
    <col min="2061" max="2304" width="11.42578125" style="209" customWidth="1"/>
    <col min="2305" max="2305" width="1.5703125" style="209"/>
    <col min="2306" max="2306" width="16.5703125" style="209" bestFit="1" customWidth="1"/>
    <col min="2307" max="2307" width="11.28515625" style="209" customWidth="1"/>
    <col min="2308" max="2308" width="77" style="209" customWidth="1"/>
    <col min="2309" max="2315" width="8.7109375" style="209" customWidth="1"/>
    <col min="2316" max="2316" width="8.85546875" style="209" customWidth="1"/>
    <col min="2317" max="2560" width="11.42578125" style="209" customWidth="1"/>
    <col min="2561" max="2561" width="1.5703125" style="209"/>
    <col min="2562" max="2562" width="16.5703125" style="209" bestFit="1" customWidth="1"/>
    <col min="2563" max="2563" width="11.28515625" style="209" customWidth="1"/>
    <col min="2564" max="2564" width="77" style="209" customWidth="1"/>
    <col min="2565" max="2571" width="8.7109375" style="209" customWidth="1"/>
    <col min="2572" max="2572" width="8.85546875" style="209" customWidth="1"/>
    <col min="2573" max="2816" width="11.42578125" style="209" customWidth="1"/>
    <col min="2817" max="2817" width="1.5703125" style="209"/>
    <col min="2818" max="2818" width="16.5703125" style="209" bestFit="1" customWidth="1"/>
    <col min="2819" max="2819" width="11.28515625" style="209" customWidth="1"/>
    <col min="2820" max="2820" width="77" style="209" customWidth="1"/>
    <col min="2821" max="2827" width="8.7109375" style="209" customWidth="1"/>
    <col min="2828" max="2828" width="8.85546875" style="209" customWidth="1"/>
    <col min="2829" max="3072" width="11.42578125" style="209" customWidth="1"/>
    <col min="3073" max="3073" width="1.5703125" style="209"/>
    <col min="3074" max="3074" width="16.5703125" style="209" bestFit="1" customWidth="1"/>
    <col min="3075" max="3075" width="11.28515625" style="209" customWidth="1"/>
    <col min="3076" max="3076" width="77" style="209" customWidth="1"/>
    <col min="3077" max="3083" width="8.7109375" style="209" customWidth="1"/>
    <col min="3084" max="3084" width="8.85546875" style="209" customWidth="1"/>
    <col min="3085" max="3328" width="11.42578125" style="209" customWidth="1"/>
    <col min="3329" max="3329" width="1.5703125" style="209"/>
    <col min="3330" max="3330" width="16.5703125" style="209" bestFit="1" customWidth="1"/>
    <col min="3331" max="3331" width="11.28515625" style="209" customWidth="1"/>
    <col min="3332" max="3332" width="77" style="209" customWidth="1"/>
    <col min="3333" max="3339" width="8.7109375" style="209" customWidth="1"/>
    <col min="3340" max="3340" width="8.85546875" style="209" customWidth="1"/>
    <col min="3341" max="3584" width="11.42578125" style="209" customWidth="1"/>
    <col min="3585" max="3585" width="1.5703125" style="209"/>
    <col min="3586" max="3586" width="16.5703125" style="209" bestFit="1" customWidth="1"/>
    <col min="3587" max="3587" width="11.28515625" style="209" customWidth="1"/>
    <col min="3588" max="3588" width="77" style="209" customWidth="1"/>
    <col min="3589" max="3595" width="8.7109375" style="209" customWidth="1"/>
    <col min="3596" max="3596" width="8.85546875" style="209" customWidth="1"/>
    <col min="3597" max="3840" width="11.42578125" style="209" customWidth="1"/>
    <col min="3841" max="3841" width="1.5703125" style="209"/>
    <col min="3842" max="3842" width="16.5703125" style="209" bestFit="1" customWidth="1"/>
    <col min="3843" max="3843" width="11.28515625" style="209" customWidth="1"/>
    <col min="3844" max="3844" width="77" style="209" customWidth="1"/>
    <col min="3845" max="3851" width="8.7109375" style="209" customWidth="1"/>
    <col min="3852" max="3852" width="8.85546875" style="209" customWidth="1"/>
    <col min="3853" max="4096" width="11.42578125" style="209" customWidth="1"/>
    <col min="4097" max="4097" width="1.5703125" style="209"/>
    <col min="4098" max="4098" width="16.5703125" style="209" bestFit="1" customWidth="1"/>
    <col min="4099" max="4099" width="11.28515625" style="209" customWidth="1"/>
    <col min="4100" max="4100" width="77" style="209" customWidth="1"/>
    <col min="4101" max="4107" width="8.7109375" style="209" customWidth="1"/>
    <col min="4108" max="4108" width="8.85546875" style="209" customWidth="1"/>
    <col min="4109" max="4352" width="11.42578125" style="209" customWidth="1"/>
    <col min="4353" max="4353" width="1.5703125" style="209"/>
    <col min="4354" max="4354" width="16.5703125" style="209" bestFit="1" customWidth="1"/>
    <col min="4355" max="4355" width="11.28515625" style="209" customWidth="1"/>
    <col min="4356" max="4356" width="77" style="209" customWidth="1"/>
    <col min="4357" max="4363" width="8.7109375" style="209" customWidth="1"/>
    <col min="4364" max="4364" width="8.85546875" style="209" customWidth="1"/>
    <col min="4365" max="4608" width="11.42578125" style="209" customWidth="1"/>
    <col min="4609" max="4609" width="1.5703125" style="209"/>
    <col min="4610" max="4610" width="16.5703125" style="209" bestFit="1" customWidth="1"/>
    <col min="4611" max="4611" width="11.28515625" style="209" customWidth="1"/>
    <col min="4612" max="4612" width="77" style="209" customWidth="1"/>
    <col min="4613" max="4619" width="8.7109375" style="209" customWidth="1"/>
    <col min="4620" max="4620" width="8.85546875" style="209" customWidth="1"/>
    <col min="4621" max="4864" width="11.42578125" style="209" customWidth="1"/>
    <col min="4865" max="4865" width="1.5703125" style="209"/>
    <col min="4866" max="4866" width="16.5703125" style="209" bestFit="1" customWidth="1"/>
    <col min="4867" max="4867" width="11.28515625" style="209" customWidth="1"/>
    <col min="4868" max="4868" width="77" style="209" customWidth="1"/>
    <col min="4869" max="4875" width="8.7109375" style="209" customWidth="1"/>
    <col min="4876" max="4876" width="8.85546875" style="209" customWidth="1"/>
    <col min="4877" max="5120" width="11.42578125" style="209" customWidth="1"/>
    <col min="5121" max="5121" width="1.5703125" style="209"/>
    <col min="5122" max="5122" width="16.5703125" style="209" bestFit="1" customWidth="1"/>
    <col min="5123" max="5123" width="11.28515625" style="209" customWidth="1"/>
    <col min="5124" max="5124" width="77" style="209" customWidth="1"/>
    <col min="5125" max="5131" width="8.7109375" style="209" customWidth="1"/>
    <col min="5132" max="5132" width="8.85546875" style="209" customWidth="1"/>
    <col min="5133" max="5376" width="11.42578125" style="209" customWidth="1"/>
    <col min="5377" max="5377" width="1.5703125" style="209"/>
    <col min="5378" max="5378" width="16.5703125" style="209" bestFit="1" customWidth="1"/>
    <col min="5379" max="5379" width="11.28515625" style="209" customWidth="1"/>
    <col min="5380" max="5380" width="77" style="209" customWidth="1"/>
    <col min="5381" max="5387" width="8.7109375" style="209" customWidth="1"/>
    <col min="5388" max="5388" width="8.85546875" style="209" customWidth="1"/>
    <col min="5389" max="5632" width="11.42578125" style="209" customWidth="1"/>
    <col min="5633" max="5633" width="1.5703125" style="209"/>
    <col min="5634" max="5634" width="16.5703125" style="209" bestFit="1" customWidth="1"/>
    <col min="5635" max="5635" width="11.28515625" style="209" customWidth="1"/>
    <col min="5636" max="5636" width="77" style="209" customWidth="1"/>
    <col min="5637" max="5643" width="8.7109375" style="209" customWidth="1"/>
    <col min="5644" max="5644" width="8.85546875" style="209" customWidth="1"/>
    <col min="5645" max="5888" width="11.42578125" style="209" customWidth="1"/>
    <col min="5889" max="5889" width="1.5703125" style="209"/>
    <col min="5890" max="5890" width="16.5703125" style="209" bestFit="1" customWidth="1"/>
    <col min="5891" max="5891" width="11.28515625" style="209" customWidth="1"/>
    <col min="5892" max="5892" width="77" style="209" customWidth="1"/>
    <col min="5893" max="5899" width="8.7109375" style="209" customWidth="1"/>
    <col min="5900" max="5900" width="8.85546875" style="209" customWidth="1"/>
    <col min="5901" max="6144" width="11.42578125" style="209" customWidth="1"/>
    <col min="6145" max="6145" width="1.5703125" style="209"/>
    <col min="6146" max="6146" width="16.5703125" style="209" bestFit="1" customWidth="1"/>
    <col min="6147" max="6147" width="11.28515625" style="209" customWidth="1"/>
    <col min="6148" max="6148" width="77" style="209" customWidth="1"/>
    <col min="6149" max="6155" width="8.7109375" style="209" customWidth="1"/>
    <col min="6156" max="6156" width="8.85546875" style="209" customWidth="1"/>
    <col min="6157" max="6400" width="11.42578125" style="209" customWidth="1"/>
    <col min="6401" max="6401" width="1.5703125" style="209"/>
    <col min="6402" max="6402" width="16.5703125" style="209" bestFit="1" customWidth="1"/>
    <col min="6403" max="6403" width="11.28515625" style="209" customWidth="1"/>
    <col min="6404" max="6404" width="77" style="209" customWidth="1"/>
    <col min="6405" max="6411" width="8.7109375" style="209" customWidth="1"/>
    <col min="6412" max="6412" width="8.85546875" style="209" customWidth="1"/>
    <col min="6413" max="6656" width="11.42578125" style="209" customWidth="1"/>
    <col min="6657" max="6657" width="1.5703125" style="209"/>
    <col min="6658" max="6658" width="16.5703125" style="209" bestFit="1" customWidth="1"/>
    <col min="6659" max="6659" width="11.28515625" style="209" customWidth="1"/>
    <col min="6660" max="6660" width="77" style="209" customWidth="1"/>
    <col min="6661" max="6667" width="8.7109375" style="209" customWidth="1"/>
    <col min="6668" max="6668" width="8.85546875" style="209" customWidth="1"/>
    <col min="6669" max="6912" width="11.42578125" style="209" customWidth="1"/>
    <col min="6913" max="6913" width="1.5703125" style="209"/>
    <col min="6914" max="6914" width="16.5703125" style="209" bestFit="1" customWidth="1"/>
    <col min="6915" max="6915" width="11.28515625" style="209" customWidth="1"/>
    <col min="6916" max="6916" width="77" style="209" customWidth="1"/>
    <col min="6917" max="6923" width="8.7109375" style="209" customWidth="1"/>
    <col min="6924" max="6924" width="8.85546875" style="209" customWidth="1"/>
    <col min="6925" max="7168" width="11.42578125" style="209" customWidth="1"/>
    <col min="7169" max="7169" width="1.5703125" style="209"/>
    <col min="7170" max="7170" width="16.5703125" style="209" bestFit="1" customWidth="1"/>
    <col min="7171" max="7171" width="11.28515625" style="209" customWidth="1"/>
    <col min="7172" max="7172" width="77" style="209" customWidth="1"/>
    <col min="7173" max="7179" width="8.7109375" style="209" customWidth="1"/>
    <col min="7180" max="7180" width="8.85546875" style="209" customWidth="1"/>
    <col min="7181" max="7424" width="11.42578125" style="209" customWidth="1"/>
    <col min="7425" max="7425" width="1.5703125" style="209"/>
    <col min="7426" max="7426" width="16.5703125" style="209" bestFit="1" customWidth="1"/>
    <col min="7427" max="7427" width="11.28515625" style="209" customWidth="1"/>
    <col min="7428" max="7428" width="77" style="209" customWidth="1"/>
    <col min="7429" max="7435" width="8.7109375" style="209" customWidth="1"/>
    <col min="7436" max="7436" width="8.85546875" style="209" customWidth="1"/>
    <col min="7437" max="7680" width="11.42578125" style="209" customWidth="1"/>
    <col min="7681" max="7681" width="1.5703125" style="209"/>
    <col min="7682" max="7682" width="16.5703125" style="209" bestFit="1" customWidth="1"/>
    <col min="7683" max="7683" width="11.28515625" style="209" customWidth="1"/>
    <col min="7684" max="7684" width="77" style="209" customWidth="1"/>
    <col min="7685" max="7691" width="8.7109375" style="209" customWidth="1"/>
    <col min="7692" max="7692" width="8.85546875" style="209" customWidth="1"/>
    <col min="7693" max="7936" width="11.42578125" style="209" customWidth="1"/>
    <col min="7937" max="7937" width="1.5703125" style="209"/>
    <col min="7938" max="7938" width="16.5703125" style="209" bestFit="1" customWidth="1"/>
    <col min="7939" max="7939" width="11.28515625" style="209" customWidth="1"/>
    <col min="7940" max="7940" width="77" style="209" customWidth="1"/>
    <col min="7941" max="7947" width="8.7109375" style="209" customWidth="1"/>
    <col min="7948" max="7948" width="8.85546875" style="209" customWidth="1"/>
    <col min="7949" max="8192" width="11.42578125" style="209" customWidth="1"/>
    <col min="8193" max="8193" width="1.5703125" style="209"/>
    <col min="8194" max="8194" width="16.5703125" style="209" bestFit="1" customWidth="1"/>
    <col min="8195" max="8195" width="11.28515625" style="209" customWidth="1"/>
    <col min="8196" max="8196" width="77" style="209" customWidth="1"/>
    <col min="8197" max="8203" width="8.7109375" style="209" customWidth="1"/>
    <col min="8204" max="8204" width="8.85546875" style="209" customWidth="1"/>
    <col min="8205" max="8448" width="11.42578125" style="209" customWidth="1"/>
    <col min="8449" max="8449" width="1.5703125" style="209"/>
    <col min="8450" max="8450" width="16.5703125" style="209" bestFit="1" customWidth="1"/>
    <col min="8451" max="8451" width="11.28515625" style="209" customWidth="1"/>
    <col min="8452" max="8452" width="77" style="209" customWidth="1"/>
    <col min="8453" max="8459" width="8.7109375" style="209" customWidth="1"/>
    <col min="8460" max="8460" width="8.85546875" style="209" customWidth="1"/>
    <col min="8461" max="8704" width="11.42578125" style="209" customWidth="1"/>
    <col min="8705" max="8705" width="1.5703125" style="209"/>
    <col min="8706" max="8706" width="16.5703125" style="209" bestFit="1" customWidth="1"/>
    <col min="8707" max="8707" width="11.28515625" style="209" customWidth="1"/>
    <col min="8708" max="8708" width="77" style="209" customWidth="1"/>
    <col min="8709" max="8715" width="8.7109375" style="209" customWidth="1"/>
    <col min="8716" max="8716" width="8.85546875" style="209" customWidth="1"/>
    <col min="8717" max="8960" width="11.42578125" style="209" customWidth="1"/>
    <col min="8961" max="8961" width="1.5703125" style="209"/>
    <col min="8962" max="8962" width="16.5703125" style="209" bestFit="1" customWidth="1"/>
    <col min="8963" max="8963" width="11.28515625" style="209" customWidth="1"/>
    <col min="8964" max="8964" width="77" style="209" customWidth="1"/>
    <col min="8965" max="8971" width="8.7109375" style="209" customWidth="1"/>
    <col min="8972" max="8972" width="8.85546875" style="209" customWidth="1"/>
    <col min="8973" max="9216" width="11.42578125" style="209" customWidth="1"/>
    <col min="9217" max="9217" width="1.5703125" style="209"/>
    <col min="9218" max="9218" width="16.5703125" style="209" bestFit="1" customWidth="1"/>
    <col min="9219" max="9219" width="11.28515625" style="209" customWidth="1"/>
    <col min="9220" max="9220" width="77" style="209" customWidth="1"/>
    <col min="9221" max="9227" width="8.7109375" style="209" customWidth="1"/>
    <col min="9228" max="9228" width="8.85546875" style="209" customWidth="1"/>
    <col min="9229" max="9472" width="11.42578125" style="209" customWidth="1"/>
    <col min="9473" max="9473" width="1.5703125" style="209"/>
    <col min="9474" max="9474" width="16.5703125" style="209" bestFit="1" customWidth="1"/>
    <col min="9475" max="9475" width="11.28515625" style="209" customWidth="1"/>
    <col min="9476" max="9476" width="77" style="209" customWidth="1"/>
    <col min="9477" max="9483" width="8.7109375" style="209" customWidth="1"/>
    <col min="9484" max="9484" width="8.85546875" style="209" customWidth="1"/>
    <col min="9485" max="9728" width="11.42578125" style="209" customWidth="1"/>
    <col min="9729" max="9729" width="1.5703125" style="209"/>
    <col min="9730" max="9730" width="16.5703125" style="209" bestFit="1" customWidth="1"/>
    <col min="9731" max="9731" width="11.28515625" style="209" customWidth="1"/>
    <col min="9732" max="9732" width="77" style="209" customWidth="1"/>
    <col min="9733" max="9739" width="8.7109375" style="209" customWidth="1"/>
    <col min="9740" max="9740" width="8.85546875" style="209" customWidth="1"/>
    <col min="9741" max="9984" width="11.42578125" style="209" customWidth="1"/>
    <col min="9985" max="9985" width="1.5703125" style="209"/>
    <col min="9986" max="9986" width="16.5703125" style="209" bestFit="1" customWidth="1"/>
    <col min="9987" max="9987" width="11.28515625" style="209" customWidth="1"/>
    <col min="9988" max="9988" width="77" style="209" customWidth="1"/>
    <col min="9989" max="9995" width="8.7109375" style="209" customWidth="1"/>
    <col min="9996" max="9996" width="8.85546875" style="209" customWidth="1"/>
    <col min="9997" max="10240" width="11.42578125" style="209" customWidth="1"/>
    <col min="10241" max="10241" width="1.5703125" style="209"/>
    <col min="10242" max="10242" width="16.5703125" style="209" bestFit="1" customWidth="1"/>
    <col min="10243" max="10243" width="11.28515625" style="209" customWidth="1"/>
    <col min="10244" max="10244" width="77" style="209" customWidth="1"/>
    <col min="10245" max="10251" width="8.7109375" style="209" customWidth="1"/>
    <col min="10252" max="10252" width="8.85546875" style="209" customWidth="1"/>
    <col min="10253" max="10496" width="11.42578125" style="209" customWidth="1"/>
    <col min="10497" max="10497" width="1.5703125" style="209"/>
    <col min="10498" max="10498" width="16.5703125" style="209" bestFit="1" customWidth="1"/>
    <col min="10499" max="10499" width="11.28515625" style="209" customWidth="1"/>
    <col min="10500" max="10500" width="77" style="209" customWidth="1"/>
    <col min="10501" max="10507" width="8.7109375" style="209" customWidth="1"/>
    <col min="10508" max="10508" width="8.85546875" style="209" customWidth="1"/>
    <col min="10509" max="10752" width="11.42578125" style="209" customWidth="1"/>
    <col min="10753" max="10753" width="1.5703125" style="209"/>
    <col min="10754" max="10754" width="16.5703125" style="209" bestFit="1" customWidth="1"/>
    <col min="10755" max="10755" width="11.28515625" style="209" customWidth="1"/>
    <col min="10756" max="10756" width="77" style="209" customWidth="1"/>
    <col min="10757" max="10763" width="8.7109375" style="209" customWidth="1"/>
    <col min="10764" max="10764" width="8.85546875" style="209" customWidth="1"/>
    <col min="10765" max="11008" width="11.42578125" style="209" customWidth="1"/>
    <col min="11009" max="11009" width="1.5703125" style="209"/>
    <col min="11010" max="11010" width="16.5703125" style="209" bestFit="1" customWidth="1"/>
    <col min="11011" max="11011" width="11.28515625" style="209" customWidth="1"/>
    <col min="11012" max="11012" width="77" style="209" customWidth="1"/>
    <col min="11013" max="11019" width="8.7109375" style="209" customWidth="1"/>
    <col min="11020" max="11020" width="8.85546875" style="209" customWidth="1"/>
    <col min="11021" max="11264" width="11.42578125" style="209" customWidth="1"/>
    <col min="11265" max="11265" width="1.5703125" style="209"/>
    <col min="11266" max="11266" width="16.5703125" style="209" bestFit="1" customWidth="1"/>
    <col min="11267" max="11267" width="11.28515625" style="209" customWidth="1"/>
    <col min="11268" max="11268" width="77" style="209" customWidth="1"/>
    <col min="11269" max="11275" width="8.7109375" style="209" customWidth="1"/>
    <col min="11276" max="11276" width="8.85546875" style="209" customWidth="1"/>
    <col min="11277" max="11520" width="11.42578125" style="209" customWidth="1"/>
    <col min="11521" max="11521" width="1.5703125" style="209"/>
    <col min="11522" max="11522" width="16.5703125" style="209" bestFit="1" customWidth="1"/>
    <col min="11523" max="11523" width="11.28515625" style="209" customWidth="1"/>
    <col min="11524" max="11524" width="77" style="209" customWidth="1"/>
    <col min="11525" max="11531" width="8.7109375" style="209" customWidth="1"/>
    <col min="11532" max="11532" width="8.85546875" style="209" customWidth="1"/>
    <col min="11533" max="11776" width="11.42578125" style="209" customWidth="1"/>
    <col min="11777" max="11777" width="1.5703125" style="209"/>
    <col min="11778" max="11778" width="16.5703125" style="209" bestFit="1" customWidth="1"/>
    <col min="11779" max="11779" width="11.28515625" style="209" customWidth="1"/>
    <col min="11780" max="11780" width="77" style="209" customWidth="1"/>
    <col min="11781" max="11787" width="8.7109375" style="209" customWidth="1"/>
    <col min="11788" max="11788" width="8.85546875" style="209" customWidth="1"/>
    <col min="11789" max="12032" width="11.42578125" style="209" customWidth="1"/>
    <col min="12033" max="12033" width="1.5703125" style="209"/>
    <col min="12034" max="12034" width="16.5703125" style="209" bestFit="1" customWidth="1"/>
    <col min="12035" max="12035" width="11.28515625" style="209" customWidth="1"/>
    <col min="12036" max="12036" width="77" style="209" customWidth="1"/>
    <col min="12037" max="12043" width="8.7109375" style="209" customWidth="1"/>
    <col min="12044" max="12044" width="8.85546875" style="209" customWidth="1"/>
    <col min="12045" max="12288" width="11.42578125" style="209" customWidth="1"/>
    <col min="12289" max="12289" width="1.5703125" style="209"/>
    <col min="12290" max="12290" width="16.5703125" style="209" bestFit="1" customWidth="1"/>
    <col min="12291" max="12291" width="11.28515625" style="209" customWidth="1"/>
    <col min="12292" max="12292" width="77" style="209" customWidth="1"/>
    <col min="12293" max="12299" width="8.7109375" style="209" customWidth="1"/>
    <col min="12300" max="12300" width="8.85546875" style="209" customWidth="1"/>
    <col min="12301" max="12544" width="11.42578125" style="209" customWidth="1"/>
    <col min="12545" max="12545" width="1.5703125" style="209"/>
    <col min="12546" max="12546" width="16.5703125" style="209" bestFit="1" customWidth="1"/>
    <col min="12547" max="12547" width="11.28515625" style="209" customWidth="1"/>
    <col min="12548" max="12548" width="77" style="209" customWidth="1"/>
    <col min="12549" max="12555" width="8.7109375" style="209" customWidth="1"/>
    <col min="12556" max="12556" width="8.85546875" style="209" customWidth="1"/>
    <col min="12557" max="12800" width="11.42578125" style="209" customWidth="1"/>
    <col min="12801" max="12801" width="1.5703125" style="209"/>
    <col min="12802" max="12802" width="16.5703125" style="209" bestFit="1" customWidth="1"/>
    <col min="12803" max="12803" width="11.28515625" style="209" customWidth="1"/>
    <col min="12804" max="12804" width="77" style="209" customWidth="1"/>
    <col min="12805" max="12811" width="8.7109375" style="209" customWidth="1"/>
    <col min="12812" max="12812" width="8.85546875" style="209" customWidth="1"/>
    <col min="12813" max="13056" width="11.42578125" style="209" customWidth="1"/>
    <col min="13057" max="13057" width="1.5703125" style="209"/>
    <col min="13058" max="13058" width="16.5703125" style="209" bestFit="1" customWidth="1"/>
    <col min="13059" max="13059" width="11.28515625" style="209" customWidth="1"/>
    <col min="13060" max="13060" width="77" style="209" customWidth="1"/>
    <col min="13061" max="13067" width="8.7109375" style="209" customWidth="1"/>
    <col min="13068" max="13068" width="8.85546875" style="209" customWidth="1"/>
    <col min="13069" max="13312" width="11.42578125" style="209" customWidth="1"/>
    <col min="13313" max="13313" width="1.5703125" style="209"/>
    <col min="13314" max="13314" width="16.5703125" style="209" bestFit="1" customWidth="1"/>
    <col min="13315" max="13315" width="11.28515625" style="209" customWidth="1"/>
    <col min="13316" max="13316" width="77" style="209" customWidth="1"/>
    <col min="13317" max="13323" width="8.7109375" style="209" customWidth="1"/>
    <col min="13324" max="13324" width="8.85546875" style="209" customWidth="1"/>
    <col min="13325" max="13568" width="11.42578125" style="209" customWidth="1"/>
    <col min="13569" max="13569" width="1.5703125" style="209"/>
    <col min="13570" max="13570" width="16.5703125" style="209" bestFit="1" customWidth="1"/>
    <col min="13571" max="13571" width="11.28515625" style="209" customWidth="1"/>
    <col min="13572" max="13572" width="77" style="209" customWidth="1"/>
    <col min="13573" max="13579" width="8.7109375" style="209" customWidth="1"/>
    <col min="13580" max="13580" width="8.85546875" style="209" customWidth="1"/>
    <col min="13581" max="13824" width="11.42578125" style="209" customWidth="1"/>
    <col min="13825" max="13825" width="1.5703125" style="209"/>
    <col min="13826" max="13826" width="16.5703125" style="209" bestFit="1" customWidth="1"/>
    <col min="13827" max="13827" width="11.28515625" style="209" customWidth="1"/>
    <col min="13828" max="13828" width="77" style="209" customWidth="1"/>
    <col min="13829" max="13835" width="8.7109375" style="209" customWidth="1"/>
    <col min="13836" max="13836" width="8.85546875" style="209" customWidth="1"/>
    <col min="13837" max="14080" width="11.42578125" style="209" customWidth="1"/>
    <col min="14081" max="14081" width="1.5703125" style="209"/>
    <col min="14082" max="14082" width="16.5703125" style="209" bestFit="1" customWidth="1"/>
    <col min="14083" max="14083" width="11.28515625" style="209" customWidth="1"/>
    <col min="14084" max="14084" width="77" style="209" customWidth="1"/>
    <col min="14085" max="14091" width="8.7109375" style="209" customWidth="1"/>
    <col min="14092" max="14092" width="8.85546875" style="209" customWidth="1"/>
    <col min="14093" max="14336" width="11.42578125" style="209" customWidth="1"/>
    <col min="14337" max="14337" width="1.5703125" style="209"/>
    <col min="14338" max="14338" width="16.5703125" style="209" bestFit="1" customWidth="1"/>
    <col min="14339" max="14339" width="11.28515625" style="209" customWidth="1"/>
    <col min="14340" max="14340" width="77" style="209" customWidth="1"/>
    <col min="14341" max="14347" width="8.7109375" style="209" customWidth="1"/>
    <col min="14348" max="14348" width="8.85546875" style="209" customWidth="1"/>
    <col min="14349" max="14592" width="11.42578125" style="209" customWidth="1"/>
    <col min="14593" max="14593" width="1.5703125" style="209"/>
    <col min="14594" max="14594" width="16.5703125" style="209" bestFit="1" customWidth="1"/>
    <col min="14595" max="14595" width="11.28515625" style="209" customWidth="1"/>
    <col min="14596" max="14596" width="77" style="209" customWidth="1"/>
    <col min="14597" max="14603" width="8.7109375" style="209" customWidth="1"/>
    <col min="14604" max="14604" width="8.85546875" style="209" customWidth="1"/>
    <col min="14605" max="14848" width="11.42578125" style="209" customWidth="1"/>
    <col min="14849" max="14849" width="1.5703125" style="209"/>
    <col min="14850" max="14850" width="16.5703125" style="209" bestFit="1" customWidth="1"/>
    <col min="14851" max="14851" width="11.28515625" style="209" customWidth="1"/>
    <col min="14852" max="14852" width="77" style="209" customWidth="1"/>
    <col min="14853" max="14859" width="8.7109375" style="209" customWidth="1"/>
    <col min="14860" max="14860" width="8.85546875" style="209" customWidth="1"/>
    <col min="14861" max="15104" width="11.42578125" style="209" customWidth="1"/>
    <col min="15105" max="15105" width="1.5703125" style="209"/>
    <col min="15106" max="15106" width="16.5703125" style="209" bestFit="1" customWidth="1"/>
    <col min="15107" max="15107" width="11.28515625" style="209" customWidth="1"/>
    <col min="15108" max="15108" width="77" style="209" customWidth="1"/>
    <col min="15109" max="15115" width="8.7109375" style="209" customWidth="1"/>
    <col min="15116" max="15116" width="8.85546875" style="209" customWidth="1"/>
    <col min="15117" max="15360" width="11.42578125" style="209" customWidth="1"/>
    <col min="15361" max="15361" width="1.5703125" style="209"/>
    <col min="15362" max="15362" width="16.5703125" style="209" bestFit="1" customWidth="1"/>
    <col min="15363" max="15363" width="11.28515625" style="209" customWidth="1"/>
    <col min="15364" max="15364" width="77" style="209" customWidth="1"/>
    <col min="15365" max="15371" width="8.7109375" style="209" customWidth="1"/>
    <col min="15372" max="15372" width="8.85546875" style="209" customWidth="1"/>
    <col min="15373" max="15616" width="11.42578125" style="209" customWidth="1"/>
    <col min="15617" max="15617" width="1.5703125" style="209"/>
    <col min="15618" max="15618" width="16.5703125" style="209" bestFit="1" customWidth="1"/>
    <col min="15619" max="15619" width="11.28515625" style="209" customWidth="1"/>
    <col min="15620" max="15620" width="77" style="209" customWidth="1"/>
    <col min="15621" max="15627" width="8.7109375" style="209" customWidth="1"/>
    <col min="15628" max="15628" width="8.85546875" style="209" customWidth="1"/>
    <col min="15629" max="15872" width="11.42578125" style="209" customWidth="1"/>
    <col min="15873" max="15873" width="1.5703125" style="209"/>
    <col min="15874" max="15874" width="16.5703125" style="209" bestFit="1" customWidth="1"/>
    <col min="15875" max="15875" width="11.28515625" style="209" customWidth="1"/>
    <col min="15876" max="15876" width="77" style="209" customWidth="1"/>
    <col min="15877" max="15883" width="8.7109375" style="209" customWidth="1"/>
    <col min="15884" max="15884" width="8.85546875" style="209" customWidth="1"/>
    <col min="15885" max="16128" width="11.42578125" style="209" customWidth="1"/>
    <col min="16129" max="16129" width="1.5703125" style="209"/>
    <col min="16130" max="16130" width="16.5703125" style="209" bestFit="1" customWidth="1"/>
    <col min="16131" max="16131" width="11.28515625" style="209" customWidth="1"/>
    <col min="16132" max="16132" width="77" style="209" customWidth="1"/>
    <col min="16133" max="16139" width="8.7109375" style="209" customWidth="1"/>
    <col min="16140" max="16140" width="8.85546875" style="209" customWidth="1"/>
    <col min="16141" max="16384" width="11.42578125" style="209" customWidth="1"/>
  </cols>
  <sheetData>
    <row r="1" spans="1:19" ht="48" customHeight="1" x14ac:dyDescent="0.2">
      <c r="A1" s="5682" t="s">
        <v>1278</v>
      </c>
      <c r="B1" s="5682"/>
      <c r="C1" s="5682"/>
      <c r="D1" s="1461"/>
      <c r="E1" s="1461"/>
      <c r="F1" s="1461"/>
      <c r="G1" s="1461"/>
      <c r="H1" s="1461"/>
      <c r="I1" s="1461"/>
      <c r="J1" s="1461"/>
      <c r="K1" s="1461"/>
      <c r="L1" s="1461"/>
    </row>
    <row r="2" spans="1:19" ht="15.75" customHeight="1" x14ac:dyDescent="0.2"/>
    <row r="3" spans="1:19" ht="27.75" customHeight="1" x14ac:dyDescent="0.2">
      <c r="A3" s="2007" t="s">
        <v>16</v>
      </c>
      <c r="B3" s="2007" t="s">
        <v>4</v>
      </c>
      <c r="C3" s="3913" t="s">
        <v>144</v>
      </c>
      <c r="D3" s="3913" t="s">
        <v>349</v>
      </c>
      <c r="E3" s="1460">
        <v>2003</v>
      </c>
      <c r="F3" s="1460">
        <v>2004</v>
      </c>
      <c r="G3" s="1460">
        <v>2005</v>
      </c>
      <c r="H3" s="1460">
        <v>2006</v>
      </c>
      <c r="I3" s="1460">
        <v>2007</v>
      </c>
      <c r="J3" s="1460">
        <v>2008</v>
      </c>
      <c r="K3" s="1460">
        <v>2009</v>
      </c>
      <c r="L3" s="1460">
        <v>2010</v>
      </c>
      <c r="M3" s="1460">
        <v>2011</v>
      </c>
      <c r="N3" s="1460">
        <v>2012</v>
      </c>
      <c r="O3" s="1460">
        <v>2013</v>
      </c>
      <c r="P3" s="1460">
        <v>2014</v>
      </c>
      <c r="Q3" s="1460">
        <v>2015</v>
      </c>
      <c r="R3" s="1460">
        <v>2016</v>
      </c>
      <c r="S3" s="1460">
        <v>2017</v>
      </c>
    </row>
    <row r="4" spans="1:19" ht="15" hidden="1" customHeight="1" x14ac:dyDescent="0.25">
      <c r="A4" s="6408" t="s">
        <v>3</v>
      </c>
      <c r="B4" s="6200" t="s">
        <v>5</v>
      </c>
      <c r="C4" s="1157" t="s">
        <v>522</v>
      </c>
      <c r="D4" s="1189" t="s">
        <v>564</v>
      </c>
      <c r="E4" s="1190"/>
      <c r="F4" s="1191"/>
      <c r="G4" s="1191"/>
      <c r="H4" s="1191"/>
      <c r="I4" s="1191"/>
      <c r="J4" s="1191"/>
      <c r="K4" s="1191"/>
      <c r="L4" s="1191"/>
      <c r="M4" s="1191"/>
      <c r="N4" s="1191"/>
      <c r="O4" s="1191"/>
      <c r="P4" s="1191"/>
      <c r="Q4" s="1191"/>
      <c r="R4" s="1191"/>
      <c r="S4" s="1191"/>
    </row>
    <row r="5" spans="1:19" ht="14.25" customHeight="1" x14ac:dyDescent="0.25">
      <c r="A5" s="6314"/>
      <c r="B5" s="6201"/>
      <c r="C5" s="6308" t="s">
        <v>521</v>
      </c>
      <c r="D5" s="1192" t="s">
        <v>1586</v>
      </c>
      <c r="E5" s="1193">
        <v>77</v>
      </c>
      <c r="F5" s="1194">
        <v>80</v>
      </c>
      <c r="G5" s="1194">
        <v>77</v>
      </c>
      <c r="H5" s="1194">
        <v>88</v>
      </c>
      <c r="I5" s="1194">
        <v>77</v>
      </c>
      <c r="J5" s="1194">
        <v>54</v>
      </c>
      <c r="K5" s="1194">
        <v>67</v>
      </c>
      <c r="L5" s="1194">
        <v>74</v>
      </c>
      <c r="M5" s="1194">
        <v>74</v>
      </c>
      <c r="N5" s="1194">
        <v>65</v>
      </c>
      <c r="O5" s="1194">
        <v>72</v>
      </c>
      <c r="P5" s="1194">
        <v>96</v>
      </c>
      <c r="Q5" s="1194">
        <v>98</v>
      </c>
      <c r="R5" s="1194">
        <v>110</v>
      </c>
      <c r="S5" s="1194">
        <v>19</v>
      </c>
    </row>
    <row r="6" spans="1:19" ht="14.25" customHeight="1" x14ac:dyDescent="0.25">
      <c r="A6" s="6314"/>
      <c r="B6" s="6201"/>
      <c r="C6" s="6309"/>
      <c r="D6" s="1195" t="s">
        <v>136</v>
      </c>
      <c r="E6" s="1193">
        <v>13</v>
      </c>
      <c r="F6" s="1194">
        <v>17</v>
      </c>
      <c r="G6" s="1194">
        <v>23</v>
      </c>
      <c r="H6" s="1194">
        <v>21</v>
      </c>
      <c r="I6" s="1194">
        <v>25</v>
      </c>
      <c r="J6" s="1194">
        <v>21</v>
      </c>
      <c r="K6" s="1194">
        <v>22</v>
      </c>
      <c r="L6" s="1194">
        <v>27</v>
      </c>
      <c r="M6" s="1194">
        <v>38</v>
      </c>
      <c r="N6" s="1194">
        <v>39</v>
      </c>
      <c r="O6" s="1194">
        <v>43</v>
      </c>
      <c r="P6" s="1194">
        <v>47</v>
      </c>
      <c r="Q6" s="1194">
        <v>49</v>
      </c>
      <c r="R6" s="1194">
        <v>54</v>
      </c>
      <c r="S6" s="1194">
        <v>58</v>
      </c>
    </row>
    <row r="7" spans="1:19" ht="14.25" customHeight="1" x14ac:dyDescent="0.25">
      <c r="A7" s="6314"/>
      <c r="B7" s="6201"/>
      <c r="C7" s="6309"/>
      <c r="D7" s="1196" t="s">
        <v>618</v>
      </c>
      <c r="E7" s="1197"/>
      <c r="F7" s="1198"/>
      <c r="G7" s="1198"/>
      <c r="H7" s="1198"/>
      <c r="I7" s="1198"/>
      <c r="J7" s="1198"/>
      <c r="K7" s="1198"/>
      <c r="L7" s="1198"/>
      <c r="M7" s="1198"/>
      <c r="N7" s="1198">
        <v>12</v>
      </c>
      <c r="O7" s="1198">
        <v>21</v>
      </c>
      <c r="P7" s="1198">
        <v>36</v>
      </c>
      <c r="Q7" s="1198">
        <v>41</v>
      </c>
      <c r="R7" s="1198">
        <v>45</v>
      </c>
      <c r="S7" s="1198">
        <v>46</v>
      </c>
    </row>
    <row r="8" spans="1:19" ht="14.25" customHeight="1" x14ac:dyDescent="0.25">
      <c r="A8" s="6314"/>
      <c r="B8" s="6201"/>
      <c r="C8" s="6309"/>
      <c r="D8" s="1196" t="s">
        <v>619</v>
      </c>
      <c r="E8" s="1197"/>
      <c r="F8" s="1198"/>
      <c r="G8" s="1198"/>
      <c r="H8" s="1198"/>
      <c r="I8" s="1198"/>
      <c r="J8" s="1198"/>
      <c r="K8" s="1198"/>
      <c r="L8" s="1198"/>
      <c r="M8" s="1198"/>
      <c r="N8" s="1198">
        <v>4</v>
      </c>
      <c r="O8" s="1198">
        <v>8</v>
      </c>
      <c r="P8" s="1198">
        <v>11</v>
      </c>
      <c r="Q8" s="1198">
        <v>14</v>
      </c>
      <c r="R8" s="1198">
        <v>16</v>
      </c>
      <c r="S8" s="1198">
        <v>18</v>
      </c>
    </row>
    <row r="9" spans="1:19" ht="14.25" customHeight="1" x14ac:dyDescent="0.25">
      <c r="A9" s="6314"/>
      <c r="B9" s="6201"/>
      <c r="C9" s="6309"/>
      <c r="D9" s="1196" t="s">
        <v>135</v>
      </c>
      <c r="E9" s="1197">
        <v>39</v>
      </c>
      <c r="F9" s="1198">
        <v>31</v>
      </c>
      <c r="G9" s="1198">
        <v>28</v>
      </c>
      <c r="H9" s="1198">
        <v>16</v>
      </c>
      <c r="I9" s="1198">
        <v>13</v>
      </c>
      <c r="J9" s="1198">
        <v>10</v>
      </c>
      <c r="K9" s="1198">
        <v>26</v>
      </c>
      <c r="L9" s="1198">
        <v>30</v>
      </c>
      <c r="M9" s="1198">
        <v>24</v>
      </c>
      <c r="N9" s="1198">
        <v>11</v>
      </c>
      <c r="O9" s="1198">
        <v>9</v>
      </c>
      <c r="P9" s="1198">
        <v>4</v>
      </c>
      <c r="Q9" s="1198">
        <v>7</v>
      </c>
      <c r="R9" s="1198">
        <v>11</v>
      </c>
      <c r="S9" s="1198">
        <v>15</v>
      </c>
    </row>
    <row r="10" spans="1:19" ht="14.25" customHeight="1" x14ac:dyDescent="0.25">
      <c r="A10" s="6314"/>
      <c r="B10" s="6210"/>
      <c r="C10" s="6310"/>
      <c r="D10" s="1221" t="s">
        <v>1584</v>
      </c>
      <c r="E10" s="1197"/>
      <c r="F10" s="1198"/>
      <c r="G10" s="1198"/>
      <c r="H10" s="1198"/>
      <c r="I10" s="1198"/>
      <c r="J10" s="1198"/>
      <c r="K10" s="1198"/>
      <c r="L10" s="1198"/>
      <c r="M10" s="1198"/>
      <c r="N10" s="1198"/>
      <c r="O10" s="1198"/>
      <c r="P10" s="1198"/>
      <c r="Q10" s="1198"/>
      <c r="R10" s="1198"/>
      <c r="S10" s="1198">
        <v>75</v>
      </c>
    </row>
    <row r="11" spans="1:19" ht="15" customHeight="1" x14ac:dyDescent="0.25">
      <c r="A11" s="6314"/>
      <c r="B11" s="6210"/>
      <c r="C11" s="6308" t="s">
        <v>520</v>
      </c>
      <c r="D11" s="1221" t="s">
        <v>1585</v>
      </c>
      <c r="E11" s="1197">
        <v>25</v>
      </c>
      <c r="F11" s="1198">
        <v>25</v>
      </c>
      <c r="G11" s="1198">
        <v>26</v>
      </c>
      <c r="H11" s="1198">
        <v>16</v>
      </c>
      <c r="I11" s="1198">
        <v>25</v>
      </c>
      <c r="J11" s="1198">
        <v>35</v>
      </c>
      <c r="K11" s="1198">
        <v>32</v>
      </c>
      <c r="L11" s="1198">
        <v>30</v>
      </c>
      <c r="M11" s="1198">
        <v>35</v>
      </c>
      <c r="N11" s="1198">
        <v>27</v>
      </c>
      <c r="O11" s="1198">
        <v>24</v>
      </c>
      <c r="P11" s="1198">
        <v>26</v>
      </c>
      <c r="Q11" s="1198">
        <v>27</v>
      </c>
      <c r="R11" s="1198">
        <v>30</v>
      </c>
      <c r="S11" s="1198">
        <v>6</v>
      </c>
    </row>
    <row r="12" spans="1:19" ht="15" customHeight="1" x14ac:dyDescent="0.25">
      <c r="A12" s="6314"/>
      <c r="B12" s="6210"/>
      <c r="C12" s="6309"/>
      <c r="D12" s="1221" t="s">
        <v>137</v>
      </c>
      <c r="E12" s="1193">
        <v>6</v>
      </c>
      <c r="F12" s="1194">
        <v>7</v>
      </c>
      <c r="G12" s="1194">
        <v>9</v>
      </c>
      <c r="H12" s="1194">
        <v>11</v>
      </c>
      <c r="I12" s="1194">
        <v>10</v>
      </c>
      <c r="J12" s="1194">
        <v>10</v>
      </c>
      <c r="K12" s="1194">
        <v>10</v>
      </c>
      <c r="L12" s="1194">
        <v>10</v>
      </c>
      <c r="M12" s="1194">
        <v>7</v>
      </c>
      <c r="N12" s="1194">
        <v>6</v>
      </c>
      <c r="O12" s="1194">
        <v>6</v>
      </c>
      <c r="P12" s="1194">
        <v>5</v>
      </c>
      <c r="Q12" s="1194">
        <v>5</v>
      </c>
      <c r="R12" s="1194">
        <v>7</v>
      </c>
      <c r="S12" s="1194">
        <v>12</v>
      </c>
    </row>
    <row r="13" spans="1:19" ht="15" customHeight="1" x14ac:dyDescent="0.25">
      <c r="A13" s="6314"/>
      <c r="B13" s="6210"/>
      <c r="C13" s="6309"/>
      <c r="D13" s="1221" t="s">
        <v>618</v>
      </c>
      <c r="E13" s="1205"/>
      <c r="F13" s="1205"/>
      <c r="G13" s="1205"/>
      <c r="H13" s="1205"/>
      <c r="I13" s="1205"/>
      <c r="J13" s="1205"/>
      <c r="K13" s="1205"/>
      <c r="L13" s="1205"/>
      <c r="M13" s="1205"/>
      <c r="N13" s="1205"/>
      <c r="O13" s="1205">
        <v>3</v>
      </c>
      <c r="P13" s="1205">
        <v>3</v>
      </c>
      <c r="Q13" s="1205">
        <v>9</v>
      </c>
      <c r="R13" s="1205">
        <v>9</v>
      </c>
      <c r="S13" s="1205">
        <v>9</v>
      </c>
    </row>
    <row r="14" spans="1:19" ht="15" customHeight="1" x14ac:dyDescent="0.25">
      <c r="A14" s="6314"/>
      <c r="B14" s="6210"/>
      <c r="C14" s="6309"/>
      <c r="D14" s="1221" t="s">
        <v>619</v>
      </c>
      <c r="E14" s="1197"/>
      <c r="F14" s="1198"/>
      <c r="G14" s="1198"/>
      <c r="H14" s="1198"/>
      <c r="I14" s="1198"/>
      <c r="J14" s="1198"/>
      <c r="K14" s="1198"/>
      <c r="L14" s="1198"/>
      <c r="M14" s="1198"/>
      <c r="N14" s="1198"/>
      <c r="O14" s="1198">
        <v>2</v>
      </c>
      <c r="P14" s="1198">
        <v>2</v>
      </c>
      <c r="Q14" s="1198">
        <v>3</v>
      </c>
      <c r="R14" s="1198">
        <v>6</v>
      </c>
      <c r="S14" s="1198">
        <v>6</v>
      </c>
    </row>
    <row r="15" spans="1:19" ht="15" customHeight="1" x14ac:dyDescent="0.25">
      <c r="A15" s="6314"/>
      <c r="B15" s="6210"/>
      <c r="C15" s="6310"/>
      <c r="D15" s="1221" t="s">
        <v>1584</v>
      </c>
      <c r="E15" s="1197"/>
      <c r="F15" s="1198"/>
      <c r="G15" s="1198"/>
      <c r="H15" s="1198"/>
      <c r="I15" s="1198"/>
      <c r="J15" s="1198"/>
      <c r="K15" s="1198"/>
      <c r="L15" s="1198"/>
      <c r="M15" s="1198"/>
      <c r="N15" s="1198"/>
      <c r="O15" s="1198"/>
      <c r="P15" s="1198"/>
      <c r="Q15" s="1198"/>
      <c r="R15" s="1198"/>
      <c r="S15" s="1198">
        <v>22</v>
      </c>
    </row>
    <row r="16" spans="1:19" ht="15" customHeight="1" x14ac:dyDescent="0.2">
      <c r="A16" s="6314"/>
      <c r="B16" s="6202"/>
      <c r="C16" s="5153"/>
      <c r="D16" s="1749" t="s">
        <v>160</v>
      </c>
      <c r="E16" s="1220">
        <f>SUM(E4:E12)</f>
        <v>160</v>
      </c>
      <c r="F16" s="1220">
        <f t="shared" ref="F16:N16" si="0">SUM(F4:F12)</f>
        <v>160</v>
      </c>
      <c r="G16" s="1220">
        <f t="shared" si="0"/>
        <v>163</v>
      </c>
      <c r="H16" s="1220">
        <f t="shared" si="0"/>
        <v>152</v>
      </c>
      <c r="I16" s="1220">
        <f t="shared" si="0"/>
        <v>150</v>
      </c>
      <c r="J16" s="1220">
        <f t="shared" si="0"/>
        <v>130</v>
      </c>
      <c r="K16" s="1220">
        <f t="shared" si="0"/>
        <v>157</v>
      </c>
      <c r="L16" s="1220">
        <f t="shared" si="0"/>
        <v>171</v>
      </c>
      <c r="M16" s="1220">
        <f t="shared" si="0"/>
        <v>178</v>
      </c>
      <c r="N16" s="1220">
        <f t="shared" si="0"/>
        <v>164</v>
      </c>
      <c r="O16" s="1220">
        <f>SUM(O4:O14)</f>
        <v>188</v>
      </c>
      <c r="P16" s="1220">
        <f>SUM(P4:P14)</f>
        <v>230</v>
      </c>
      <c r="Q16" s="1220">
        <f>SUM(Q5:Q14)</f>
        <v>253</v>
      </c>
      <c r="R16" s="1220">
        <f>SUM(R5:R14)</f>
        <v>288</v>
      </c>
      <c r="S16" s="1220">
        <f>SUM(S5:S15)</f>
        <v>286</v>
      </c>
    </row>
    <row r="17" spans="1:19" ht="15" customHeight="1" x14ac:dyDescent="0.25">
      <c r="A17" s="6314"/>
      <c r="B17" s="6200" t="s">
        <v>6</v>
      </c>
      <c r="C17" s="6176" t="s">
        <v>522</v>
      </c>
      <c r="D17" s="1201" t="s">
        <v>365</v>
      </c>
      <c r="E17" s="1202">
        <v>44</v>
      </c>
      <c r="F17" s="1203">
        <v>46</v>
      </c>
      <c r="G17" s="1203">
        <v>41</v>
      </c>
      <c r="H17" s="1203">
        <v>35</v>
      </c>
      <c r="I17" s="1203">
        <v>35</v>
      </c>
      <c r="J17" s="1203">
        <v>35</v>
      </c>
      <c r="K17" s="1203">
        <v>36</v>
      </c>
      <c r="L17" s="1203">
        <v>29</v>
      </c>
      <c r="M17" s="1203">
        <v>31</v>
      </c>
      <c r="N17" s="1203">
        <v>35</v>
      </c>
      <c r="O17" s="1203">
        <v>36</v>
      </c>
      <c r="P17" s="1203">
        <v>37</v>
      </c>
      <c r="Q17" s="1203">
        <v>40</v>
      </c>
      <c r="R17" s="1203">
        <v>43</v>
      </c>
      <c r="S17" s="1203">
        <v>40</v>
      </c>
    </row>
    <row r="18" spans="1:19" ht="15" customHeight="1" x14ac:dyDescent="0.25">
      <c r="A18" s="6314"/>
      <c r="B18" s="6201"/>
      <c r="C18" s="6174"/>
      <c r="D18" s="1192" t="s">
        <v>358</v>
      </c>
      <c r="E18" s="1193"/>
      <c r="F18" s="1194">
        <v>18</v>
      </c>
      <c r="G18" s="1194">
        <v>26</v>
      </c>
      <c r="H18" s="1194">
        <v>27</v>
      </c>
      <c r="I18" s="1194">
        <v>30</v>
      </c>
      <c r="J18" s="1194">
        <v>24</v>
      </c>
      <c r="K18" s="1194">
        <v>12</v>
      </c>
      <c r="L18" s="1194">
        <v>12</v>
      </c>
      <c r="M18" s="1194">
        <v>21</v>
      </c>
      <c r="N18" s="1194">
        <v>10</v>
      </c>
      <c r="O18" s="1194">
        <v>11</v>
      </c>
      <c r="P18" s="1194">
        <v>9</v>
      </c>
      <c r="Q18" s="1194">
        <v>9</v>
      </c>
      <c r="R18" s="1194">
        <v>6</v>
      </c>
      <c r="S18" s="1194"/>
    </row>
    <row r="19" spans="1:19" ht="15" customHeight="1" x14ac:dyDescent="0.25">
      <c r="A19" s="6314"/>
      <c r="B19" s="6201"/>
      <c r="C19" s="6175"/>
      <c r="D19" s="1192" t="s">
        <v>760</v>
      </c>
      <c r="E19" s="1193"/>
      <c r="F19" s="1194"/>
      <c r="G19" s="1194"/>
      <c r="H19" s="1194"/>
      <c r="I19" s="1194">
        <v>5</v>
      </c>
      <c r="J19" s="1194"/>
      <c r="K19" s="1194"/>
      <c r="L19" s="1194"/>
      <c r="M19" s="1194"/>
      <c r="N19" s="1194">
        <v>2</v>
      </c>
      <c r="O19" s="1194"/>
      <c r="P19" s="1194"/>
      <c r="Q19" s="1194"/>
      <c r="R19" s="1194"/>
      <c r="S19" s="1194"/>
    </row>
    <row r="20" spans="1:19" ht="15" customHeight="1" x14ac:dyDescent="0.25">
      <c r="A20" s="6314"/>
      <c r="B20" s="6201"/>
      <c r="C20" s="6173" t="s">
        <v>521</v>
      </c>
      <c r="D20" s="1192" t="s">
        <v>533</v>
      </c>
      <c r="E20" s="1193"/>
      <c r="F20" s="1194"/>
      <c r="G20" s="1194"/>
      <c r="H20" s="1194"/>
      <c r="I20" s="1194">
        <v>10</v>
      </c>
      <c r="J20" s="1194">
        <v>11</v>
      </c>
      <c r="K20" s="1194">
        <v>23</v>
      </c>
      <c r="L20" s="1194">
        <v>21</v>
      </c>
      <c r="M20" s="1194">
        <v>22</v>
      </c>
      <c r="N20" s="1194">
        <v>8</v>
      </c>
      <c r="O20" s="1194">
        <v>20</v>
      </c>
      <c r="P20" s="1194">
        <v>18</v>
      </c>
      <c r="Q20" s="1194">
        <v>17</v>
      </c>
      <c r="R20" s="1194">
        <v>13</v>
      </c>
      <c r="S20" s="1194">
        <v>13</v>
      </c>
    </row>
    <row r="21" spans="1:19" ht="15" customHeight="1" x14ac:dyDescent="0.25">
      <c r="A21" s="6314"/>
      <c r="B21" s="6201"/>
      <c r="C21" s="6174"/>
      <c r="D21" s="1192" t="s">
        <v>366</v>
      </c>
      <c r="E21" s="1193">
        <v>18</v>
      </c>
      <c r="F21" s="1194">
        <v>41</v>
      </c>
      <c r="G21" s="1194">
        <v>21</v>
      </c>
      <c r="H21" s="1194">
        <v>17</v>
      </c>
      <c r="I21" s="1194"/>
      <c r="J21" s="1194">
        <v>1</v>
      </c>
      <c r="K21" s="1194"/>
      <c r="L21" s="1194">
        <v>2</v>
      </c>
      <c r="M21" s="1194">
        <v>3</v>
      </c>
      <c r="N21" s="1194"/>
      <c r="O21" s="1194"/>
      <c r="P21" s="1194"/>
      <c r="Q21" s="1194"/>
      <c r="R21" s="1194"/>
      <c r="S21" s="1194"/>
    </row>
    <row r="22" spans="1:19" ht="15" customHeight="1" x14ac:dyDescent="0.25">
      <c r="A22" s="6314"/>
      <c r="B22" s="6201"/>
      <c r="C22" s="6174"/>
      <c r="D22" s="1195" t="s">
        <v>139</v>
      </c>
      <c r="E22" s="1193"/>
      <c r="F22" s="1194"/>
      <c r="G22" s="1194">
        <v>1</v>
      </c>
      <c r="H22" s="1194">
        <v>2</v>
      </c>
      <c r="I22" s="1194">
        <v>11</v>
      </c>
      <c r="J22" s="1194"/>
      <c r="K22" s="1194"/>
      <c r="L22" s="1194"/>
      <c r="M22" s="1194">
        <v>1</v>
      </c>
      <c r="N22" s="1194">
        <v>1</v>
      </c>
      <c r="O22" s="1194"/>
      <c r="P22" s="1194"/>
      <c r="Q22" s="1194"/>
      <c r="R22" s="1194"/>
      <c r="S22" s="1194"/>
    </row>
    <row r="23" spans="1:19" ht="15" customHeight="1" x14ac:dyDescent="0.25">
      <c r="A23" s="6314"/>
      <c r="B23" s="6201"/>
      <c r="C23" s="6174"/>
      <c r="D23" s="1192" t="s">
        <v>367</v>
      </c>
      <c r="E23" s="1193"/>
      <c r="F23" s="1194"/>
      <c r="G23" s="1194">
        <v>20</v>
      </c>
      <c r="H23" s="1194">
        <v>19</v>
      </c>
      <c r="I23" s="1194">
        <v>41</v>
      </c>
      <c r="J23" s="1194">
        <v>25</v>
      </c>
      <c r="K23" s="1194">
        <v>37</v>
      </c>
      <c r="L23" s="1194">
        <v>16</v>
      </c>
      <c r="M23" s="1194">
        <v>13</v>
      </c>
      <c r="N23" s="1194">
        <v>16</v>
      </c>
      <c r="O23" s="1194">
        <v>14</v>
      </c>
      <c r="P23" s="1194">
        <v>32</v>
      </c>
      <c r="Q23" s="1194">
        <v>42</v>
      </c>
      <c r="R23" s="1194">
        <v>28</v>
      </c>
      <c r="S23" s="1194">
        <v>40</v>
      </c>
    </row>
    <row r="24" spans="1:19" ht="15" customHeight="1" x14ac:dyDescent="0.25">
      <c r="A24" s="6314"/>
      <c r="B24" s="6201"/>
      <c r="C24" s="6174"/>
      <c r="D24" s="1192" t="s">
        <v>141</v>
      </c>
      <c r="E24" s="1193">
        <v>18</v>
      </c>
      <c r="F24" s="1194">
        <v>17</v>
      </c>
      <c r="G24" s="1194">
        <v>17</v>
      </c>
      <c r="H24" s="1194">
        <v>9</v>
      </c>
      <c r="I24" s="1194">
        <v>20</v>
      </c>
      <c r="J24" s="1194">
        <v>28</v>
      </c>
      <c r="K24" s="1194">
        <v>32</v>
      </c>
      <c r="L24" s="1194">
        <v>25</v>
      </c>
      <c r="M24" s="1194">
        <v>37</v>
      </c>
      <c r="N24" s="1194">
        <v>37</v>
      </c>
      <c r="O24" s="1194">
        <v>43</v>
      </c>
      <c r="P24" s="1194">
        <v>42</v>
      </c>
      <c r="Q24" s="1194">
        <v>33</v>
      </c>
      <c r="R24" s="1194">
        <v>29</v>
      </c>
      <c r="S24" s="1194">
        <v>26</v>
      </c>
    </row>
    <row r="25" spans="1:19" ht="15" customHeight="1" x14ac:dyDescent="0.25">
      <c r="A25" s="6314"/>
      <c r="B25" s="6201"/>
      <c r="C25" s="6174"/>
      <c r="D25" s="1204" t="s">
        <v>419</v>
      </c>
      <c r="E25" s="1197"/>
      <c r="F25" s="1198"/>
      <c r="G25" s="1198"/>
      <c r="H25" s="1198"/>
      <c r="I25" s="1198"/>
      <c r="J25" s="1198"/>
      <c r="K25" s="1198"/>
      <c r="L25" s="1198"/>
      <c r="M25" s="1198"/>
      <c r="N25" s="1198">
        <v>8</v>
      </c>
      <c r="O25" s="1198">
        <v>12</v>
      </c>
      <c r="P25" s="1198">
        <v>29</v>
      </c>
      <c r="Q25" s="1198">
        <v>19</v>
      </c>
      <c r="R25" s="1198">
        <v>33</v>
      </c>
      <c r="S25" s="1198">
        <v>23</v>
      </c>
    </row>
    <row r="26" spans="1:19" ht="15" customHeight="1" x14ac:dyDescent="0.25">
      <c r="A26" s="6314"/>
      <c r="B26" s="6201"/>
      <c r="C26" s="6174"/>
      <c r="D26" s="1204" t="s">
        <v>140</v>
      </c>
      <c r="E26" s="1193">
        <v>21</v>
      </c>
      <c r="F26" s="1194">
        <v>11</v>
      </c>
      <c r="G26" s="1194">
        <v>7</v>
      </c>
      <c r="H26" s="1194">
        <v>15</v>
      </c>
      <c r="I26" s="1194">
        <v>15</v>
      </c>
      <c r="J26" s="1194">
        <v>18</v>
      </c>
      <c r="K26" s="1194">
        <v>33</v>
      </c>
      <c r="L26" s="1194">
        <v>18</v>
      </c>
      <c r="M26" s="1194">
        <v>40</v>
      </c>
      <c r="N26" s="1194">
        <v>26</v>
      </c>
      <c r="O26" s="1194">
        <v>49</v>
      </c>
      <c r="P26" s="1194">
        <v>26</v>
      </c>
      <c r="Q26" s="1194">
        <v>32</v>
      </c>
      <c r="R26" s="1194">
        <v>18</v>
      </c>
      <c r="S26" s="1194">
        <v>29</v>
      </c>
    </row>
    <row r="27" spans="1:19" ht="15" customHeight="1" x14ac:dyDescent="0.2">
      <c r="A27" s="6314"/>
      <c r="B27" s="6201"/>
      <c r="C27" s="6174"/>
      <c r="D27" s="5148" t="s">
        <v>1587</v>
      </c>
      <c r="E27" s="1193"/>
      <c r="F27" s="1194"/>
      <c r="G27" s="1194"/>
      <c r="H27" s="1194"/>
      <c r="I27" s="1194"/>
      <c r="J27" s="1194"/>
      <c r="K27" s="1194"/>
      <c r="L27" s="1194"/>
      <c r="M27" s="1194"/>
      <c r="N27" s="1194"/>
      <c r="O27" s="1194"/>
      <c r="P27" s="1194"/>
      <c r="Q27" s="1194"/>
      <c r="R27" s="1194"/>
      <c r="S27" s="1194">
        <v>52</v>
      </c>
    </row>
    <row r="28" spans="1:19" ht="15" customHeight="1" x14ac:dyDescent="0.2">
      <c r="A28" s="6314"/>
      <c r="B28" s="6201"/>
      <c r="C28" s="6175"/>
      <c r="D28" s="5148" t="s">
        <v>1580</v>
      </c>
      <c r="E28" s="1193"/>
      <c r="F28" s="1194"/>
      <c r="G28" s="1194"/>
      <c r="H28" s="1194"/>
      <c r="I28" s="1194"/>
      <c r="J28" s="1194"/>
      <c r="K28" s="1194"/>
      <c r="L28" s="1194"/>
      <c r="M28" s="1194"/>
      <c r="N28" s="1194"/>
      <c r="O28" s="1194"/>
      <c r="P28" s="1194"/>
      <c r="Q28" s="1194"/>
      <c r="R28" s="1194"/>
      <c r="S28" s="1194">
        <v>13</v>
      </c>
    </row>
    <row r="29" spans="1:19" ht="15" customHeight="1" x14ac:dyDescent="0.25">
      <c r="A29" s="6314"/>
      <c r="B29" s="6201"/>
      <c r="C29" s="6173" t="s">
        <v>520</v>
      </c>
      <c r="D29" s="5151" t="s">
        <v>533</v>
      </c>
      <c r="E29" s="1193"/>
      <c r="F29" s="1194"/>
      <c r="G29" s="1194"/>
      <c r="H29" s="1194"/>
      <c r="I29" s="1194">
        <v>16</v>
      </c>
      <c r="J29" s="1194">
        <v>12</v>
      </c>
      <c r="K29" s="1194">
        <v>18</v>
      </c>
      <c r="L29" s="1194">
        <v>18</v>
      </c>
      <c r="M29" s="1194">
        <v>17</v>
      </c>
      <c r="N29" s="1194">
        <v>15</v>
      </c>
      <c r="O29" s="1194">
        <v>24</v>
      </c>
      <c r="P29" s="1194">
        <v>24</v>
      </c>
      <c r="Q29" s="1194">
        <v>26</v>
      </c>
      <c r="R29" s="1194">
        <v>18</v>
      </c>
      <c r="S29" s="1194">
        <v>17</v>
      </c>
    </row>
    <row r="30" spans="1:19" ht="15" customHeight="1" x14ac:dyDescent="0.25">
      <c r="A30" s="6314"/>
      <c r="B30" s="6201"/>
      <c r="C30" s="6174"/>
      <c r="D30" s="4569" t="s">
        <v>143</v>
      </c>
      <c r="E30" s="1193">
        <v>7</v>
      </c>
      <c r="F30" s="1194">
        <v>9</v>
      </c>
      <c r="G30" s="1194">
        <v>5</v>
      </c>
      <c r="H30" s="1194">
        <v>5</v>
      </c>
      <c r="I30" s="1194">
        <v>23</v>
      </c>
      <c r="J30" s="1194">
        <v>7</v>
      </c>
      <c r="K30" s="1194">
        <v>7</v>
      </c>
      <c r="L30" s="1194">
        <v>3</v>
      </c>
      <c r="M30" s="1194">
        <v>3</v>
      </c>
      <c r="N30" s="1194">
        <v>2</v>
      </c>
      <c r="O30" s="1194">
        <v>1</v>
      </c>
      <c r="P30" s="1194">
        <v>1</v>
      </c>
      <c r="Q30" s="1194"/>
      <c r="R30" s="1194"/>
      <c r="S30" s="1194"/>
    </row>
    <row r="31" spans="1:19" ht="15" customHeight="1" x14ac:dyDescent="0.25">
      <c r="A31" s="6314"/>
      <c r="B31" s="6201"/>
      <c r="C31" s="6174"/>
      <c r="D31" s="5151" t="s">
        <v>142</v>
      </c>
      <c r="E31" s="1193"/>
      <c r="F31" s="1194"/>
      <c r="G31" s="1194">
        <v>12</v>
      </c>
      <c r="H31" s="1194">
        <v>12</v>
      </c>
      <c r="I31" s="1194">
        <v>22</v>
      </c>
      <c r="J31" s="1194">
        <v>21</v>
      </c>
      <c r="K31" s="1194">
        <v>14</v>
      </c>
      <c r="L31" s="1194">
        <v>33</v>
      </c>
      <c r="M31" s="1194">
        <v>25</v>
      </c>
      <c r="N31" s="1194">
        <v>29</v>
      </c>
      <c r="O31" s="1194">
        <v>29</v>
      </c>
      <c r="P31" s="1194">
        <v>26</v>
      </c>
      <c r="Q31" s="1194">
        <v>24</v>
      </c>
      <c r="R31" s="1194">
        <v>49</v>
      </c>
      <c r="S31" s="1194">
        <v>47</v>
      </c>
    </row>
    <row r="32" spans="1:19" ht="15" customHeight="1" x14ac:dyDescent="0.2">
      <c r="A32" s="6314"/>
      <c r="B32" s="6201"/>
      <c r="C32" s="5144"/>
      <c r="D32" s="5150" t="s">
        <v>1580</v>
      </c>
      <c r="E32" s="5149"/>
      <c r="F32" s="3915"/>
      <c r="G32" s="3915"/>
      <c r="H32" s="3915"/>
      <c r="I32" s="3915"/>
      <c r="J32" s="3915"/>
      <c r="K32" s="3915"/>
      <c r="L32" s="3915"/>
      <c r="M32" s="3915"/>
      <c r="N32" s="3915"/>
      <c r="O32" s="3915"/>
      <c r="P32" s="3915"/>
      <c r="Q32" s="3915"/>
      <c r="R32" s="3915"/>
      <c r="S32" s="3915">
        <v>3</v>
      </c>
    </row>
    <row r="33" spans="1:19" ht="15" customHeight="1" x14ac:dyDescent="0.2">
      <c r="A33" s="6314"/>
      <c r="B33" s="6202"/>
      <c r="C33" s="5153"/>
      <c r="D33" s="5152" t="s">
        <v>160</v>
      </c>
      <c r="E33" s="1222">
        <f t="shared" ref="E33:N33" si="1">SUM(E17:E31)</f>
        <v>108</v>
      </c>
      <c r="F33" s="1222">
        <f t="shared" si="1"/>
        <v>142</v>
      </c>
      <c r="G33" s="1222">
        <f t="shared" si="1"/>
        <v>150</v>
      </c>
      <c r="H33" s="1222">
        <f t="shared" si="1"/>
        <v>141</v>
      </c>
      <c r="I33" s="1222">
        <f t="shared" si="1"/>
        <v>228</v>
      </c>
      <c r="J33" s="1222">
        <f t="shared" si="1"/>
        <v>182</v>
      </c>
      <c r="K33" s="1222">
        <f t="shared" si="1"/>
        <v>212</v>
      </c>
      <c r="L33" s="1222">
        <f t="shared" si="1"/>
        <v>177</v>
      </c>
      <c r="M33" s="1222">
        <f t="shared" si="1"/>
        <v>213</v>
      </c>
      <c r="N33" s="1222">
        <f t="shared" si="1"/>
        <v>189</v>
      </c>
      <c r="O33" s="1222">
        <f>SUM(O17:O31)</f>
        <v>239</v>
      </c>
      <c r="P33" s="1222">
        <f>SUM(P17:P31)</f>
        <v>244</v>
      </c>
      <c r="Q33" s="1222">
        <f>SUM(Q17:Q31)</f>
        <v>242</v>
      </c>
      <c r="R33" s="1222">
        <f>SUM(R17:R31)</f>
        <v>237</v>
      </c>
      <c r="S33" s="1222">
        <f>SUM(S17:S32)</f>
        <v>303</v>
      </c>
    </row>
    <row r="34" spans="1:19" ht="15" customHeight="1" x14ac:dyDescent="0.25">
      <c r="A34" s="6314"/>
      <c r="B34" s="6200" t="s">
        <v>7</v>
      </c>
      <c r="C34" s="6177" t="s">
        <v>522</v>
      </c>
      <c r="D34" s="1189" t="s">
        <v>360</v>
      </c>
      <c r="E34" s="1205">
        <v>43</v>
      </c>
      <c r="F34" s="1206">
        <v>37</v>
      </c>
      <c r="G34" s="1206">
        <v>29</v>
      </c>
      <c r="H34" s="1206">
        <v>34</v>
      </c>
      <c r="I34" s="1206">
        <v>61</v>
      </c>
      <c r="J34" s="1206">
        <v>64</v>
      </c>
      <c r="K34" s="1206">
        <v>103</v>
      </c>
      <c r="L34" s="1206">
        <v>102</v>
      </c>
      <c r="M34" s="1206">
        <v>20</v>
      </c>
      <c r="N34" s="1206">
        <v>95</v>
      </c>
      <c r="O34" s="1206">
        <v>23</v>
      </c>
      <c r="P34" s="1206">
        <v>70</v>
      </c>
      <c r="Q34" s="1206">
        <v>24</v>
      </c>
      <c r="R34" s="1206"/>
      <c r="S34" s="1206"/>
    </row>
    <row r="35" spans="1:19" ht="15" customHeight="1" x14ac:dyDescent="0.25">
      <c r="A35" s="6314"/>
      <c r="B35" s="6201"/>
      <c r="C35" s="6174"/>
      <c r="D35" s="1201" t="s">
        <v>535</v>
      </c>
      <c r="E35" s="1205"/>
      <c r="F35" s="1206"/>
      <c r="G35" s="1206"/>
      <c r="H35" s="1206"/>
      <c r="I35" s="1206"/>
      <c r="J35" s="1206"/>
      <c r="K35" s="1206"/>
      <c r="L35" s="1206"/>
      <c r="M35" s="1206"/>
      <c r="N35" s="1206"/>
      <c r="O35" s="1206"/>
      <c r="P35" s="1206"/>
      <c r="Q35" s="1206"/>
      <c r="R35" s="1206"/>
      <c r="S35" s="1206">
        <v>5</v>
      </c>
    </row>
    <row r="36" spans="1:19" ht="15" customHeight="1" x14ac:dyDescent="0.25">
      <c r="A36" s="6314"/>
      <c r="B36" s="6201"/>
      <c r="C36" s="6175"/>
      <c r="D36" s="1192" t="s">
        <v>1303</v>
      </c>
      <c r="E36" s="1205"/>
      <c r="F36" s="1206"/>
      <c r="G36" s="1206"/>
      <c r="H36" s="1206"/>
      <c r="I36" s="1206"/>
      <c r="J36" s="1206"/>
      <c r="K36" s="1206"/>
      <c r="L36" s="1206"/>
      <c r="M36" s="1206"/>
      <c r="N36" s="1206"/>
      <c r="O36" s="1206"/>
      <c r="P36" s="1206"/>
      <c r="Q36" s="1206"/>
      <c r="R36" s="1206">
        <v>9</v>
      </c>
      <c r="S36" s="1206">
        <v>9</v>
      </c>
    </row>
    <row r="37" spans="1:19" ht="15" customHeight="1" x14ac:dyDescent="0.25">
      <c r="A37" s="6314"/>
      <c r="B37" s="6201"/>
      <c r="C37" s="6177" t="s">
        <v>521</v>
      </c>
      <c r="D37" s="1192" t="s">
        <v>361</v>
      </c>
      <c r="E37" s="1193">
        <v>45</v>
      </c>
      <c r="F37" s="1194">
        <v>37</v>
      </c>
      <c r="G37" s="1194">
        <v>48</v>
      </c>
      <c r="H37" s="1194">
        <v>55</v>
      </c>
      <c r="I37" s="1194">
        <v>51</v>
      </c>
      <c r="J37" s="1194">
        <v>55</v>
      </c>
      <c r="K37" s="1194">
        <v>47</v>
      </c>
      <c r="L37" s="1194">
        <v>87</v>
      </c>
      <c r="M37" s="1194">
        <v>108</v>
      </c>
      <c r="N37" s="1194">
        <v>79</v>
      </c>
      <c r="O37" s="1194">
        <v>102</v>
      </c>
      <c r="P37" s="1194">
        <v>74</v>
      </c>
      <c r="Q37" s="1194">
        <v>38</v>
      </c>
      <c r="R37" s="1194"/>
      <c r="S37" s="1194"/>
    </row>
    <row r="38" spans="1:19" ht="15" customHeight="1" x14ac:dyDescent="0.25">
      <c r="A38" s="6314"/>
      <c r="B38" s="6201"/>
      <c r="C38" s="6174"/>
      <c r="D38" s="1192" t="s">
        <v>1300</v>
      </c>
      <c r="E38" s="1193"/>
      <c r="F38" s="1194"/>
      <c r="G38" s="1194"/>
      <c r="H38" s="1194"/>
      <c r="I38" s="1194"/>
      <c r="J38" s="1194"/>
      <c r="K38" s="1194"/>
      <c r="L38" s="1194"/>
      <c r="M38" s="1194"/>
      <c r="N38" s="1194"/>
      <c r="O38" s="1194"/>
      <c r="P38" s="1194"/>
      <c r="Q38" s="1194">
        <v>16</v>
      </c>
      <c r="R38" s="1194">
        <v>22</v>
      </c>
      <c r="S38" s="1194">
        <v>10</v>
      </c>
    </row>
    <row r="39" spans="1:19" ht="15" customHeight="1" x14ac:dyDescent="0.25">
      <c r="A39" s="6314"/>
      <c r="B39" s="6201"/>
      <c r="C39" s="6174"/>
      <c r="D39" s="1192" t="s">
        <v>1301</v>
      </c>
      <c r="E39" s="1193"/>
      <c r="F39" s="1194"/>
      <c r="G39" s="1194"/>
      <c r="H39" s="1194"/>
      <c r="I39" s="1194"/>
      <c r="J39" s="1194"/>
      <c r="K39" s="1194"/>
      <c r="L39" s="1194"/>
      <c r="M39" s="1194"/>
      <c r="N39" s="1194"/>
      <c r="O39" s="1194"/>
      <c r="P39" s="1194"/>
      <c r="Q39" s="1194">
        <v>14</v>
      </c>
      <c r="R39" s="1194">
        <v>18</v>
      </c>
      <c r="S39" s="1194">
        <v>20</v>
      </c>
    </row>
    <row r="40" spans="1:19" ht="15" customHeight="1" x14ac:dyDescent="0.25">
      <c r="A40" s="6314"/>
      <c r="B40" s="6201"/>
      <c r="C40" s="6174"/>
      <c r="D40" s="1192" t="s">
        <v>1302</v>
      </c>
      <c r="E40" s="1193"/>
      <c r="F40" s="1194"/>
      <c r="G40" s="1194"/>
      <c r="H40" s="1194"/>
      <c r="I40" s="1194"/>
      <c r="J40" s="1194"/>
      <c r="K40" s="1194"/>
      <c r="L40" s="1194"/>
      <c r="M40" s="1194"/>
      <c r="N40" s="1194"/>
      <c r="O40" s="1194"/>
      <c r="P40" s="1194"/>
      <c r="Q40" s="1194">
        <v>21</v>
      </c>
      <c r="R40" s="1194">
        <v>28</v>
      </c>
      <c r="S40" s="1194">
        <v>28</v>
      </c>
    </row>
    <row r="41" spans="1:19" ht="15" customHeight="1" x14ac:dyDescent="0.25">
      <c r="A41" s="6314"/>
      <c r="B41" s="6201"/>
      <c r="C41" s="6174"/>
      <c r="D41" s="1192" t="s">
        <v>1303</v>
      </c>
      <c r="E41" s="1193"/>
      <c r="F41" s="1194"/>
      <c r="G41" s="1194"/>
      <c r="H41" s="1194"/>
      <c r="I41" s="1194"/>
      <c r="J41" s="1194"/>
      <c r="K41" s="1194"/>
      <c r="L41" s="1194"/>
      <c r="M41" s="1194"/>
      <c r="N41" s="1194"/>
      <c r="O41" s="1194"/>
      <c r="P41" s="1194"/>
      <c r="Q41" s="1194">
        <v>9</v>
      </c>
      <c r="R41" s="1194">
        <v>21</v>
      </c>
      <c r="S41" s="1194">
        <v>26</v>
      </c>
    </row>
    <row r="42" spans="1:19" ht="15" customHeight="1" x14ac:dyDescent="0.25">
      <c r="A42" s="6314"/>
      <c r="B42" s="6201"/>
      <c r="C42" s="6174"/>
      <c r="D42" s="1192" t="s">
        <v>1304</v>
      </c>
      <c r="E42" s="1193"/>
      <c r="F42" s="1194"/>
      <c r="G42" s="1194"/>
      <c r="H42" s="1194"/>
      <c r="I42" s="1194"/>
      <c r="J42" s="1194"/>
      <c r="K42" s="1194"/>
      <c r="L42" s="1194"/>
      <c r="M42" s="1194"/>
      <c r="N42" s="1194"/>
      <c r="O42" s="1194"/>
      <c r="P42" s="1194"/>
      <c r="Q42" s="1194">
        <v>12</v>
      </c>
      <c r="R42" s="1194">
        <v>24</v>
      </c>
      <c r="S42" s="1194">
        <v>25</v>
      </c>
    </row>
    <row r="43" spans="1:19" ht="15" customHeight="1" x14ac:dyDescent="0.25">
      <c r="A43" s="6314"/>
      <c r="B43" s="6201"/>
      <c r="C43" s="6175"/>
      <c r="D43" s="1192" t="s">
        <v>1305</v>
      </c>
      <c r="E43" s="1193"/>
      <c r="F43" s="1194"/>
      <c r="G43" s="1194"/>
      <c r="H43" s="1194"/>
      <c r="I43" s="1194"/>
      <c r="J43" s="1194"/>
      <c r="K43" s="1194"/>
      <c r="L43" s="1194"/>
      <c r="M43" s="1194"/>
      <c r="N43" s="1194"/>
      <c r="O43" s="1194"/>
      <c r="P43" s="1194"/>
      <c r="Q43" s="1194">
        <v>7</v>
      </c>
      <c r="R43" s="1194">
        <v>9</v>
      </c>
      <c r="S43" s="1194">
        <v>14</v>
      </c>
    </row>
    <row r="44" spans="1:19" ht="15" customHeight="1" x14ac:dyDescent="0.25">
      <c r="A44" s="6314"/>
      <c r="B44" s="6201"/>
      <c r="C44" s="6177" t="s">
        <v>520</v>
      </c>
      <c r="D44" s="1204" t="s">
        <v>362</v>
      </c>
      <c r="E44" s="1193">
        <v>18</v>
      </c>
      <c r="F44" s="1194">
        <v>5</v>
      </c>
      <c r="G44" s="1194">
        <v>8</v>
      </c>
      <c r="H44" s="1194">
        <v>13</v>
      </c>
      <c r="I44" s="1194">
        <v>20</v>
      </c>
      <c r="J44" s="1194">
        <v>31</v>
      </c>
      <c r="K44" s="1194">
        <v>34</v>
      </c>
      <c r="L44" s="1194">
        <v>62</v>
      </c>
      <c r="M44" s="1194">
        <v>56</v>
      </c>
      <c r="N44" s="1194">
        <v>63</v>
      </c>
      <c r="O44" s="1194">
        <v>55</v>
      </c>
      <c r="P44" s="1194">
        <v>80</v>
      </c>
      <c r="Q44" s="1194">
        <v>15</v>
      </c>
      <c r="R44" s="1194"/>
      <c r="S44" s="1194"/>
    </row>
    <row r="45" spans="1:19" ht="15" customHeight="1" x14ac:dyDescent="0.25">
      <c r="A45" s="6314"/>
      <c r="B45" s="6201"/>
      <c r="C45" s="6174"/>
      <c r="D45" s="1192" t="s">
        <v>1300</v>
      </c>
      <c r="E45" s="1194"/>
      <c r="F45" s="1194"/>
      <c r="G45" s="1194"/>
      <c r="H45" s="1194"/>
      <c r="I45" s="1194"/>
      <c r="J45" s="1194"/>
      <c r="K45" s="1194"/>
      <c r="L45" s="1194"/>
      <c r="M45" s="1194"/>
      <c r="N45" s="1194"/>
      <c r="O45" s="1194"/>
      <c r="P45" s="1194"/>
      <c r="Q45" s="1194">
        <v>4</v>
      </c>
      <c r="R45" s="1194">
        <v>4</v>
      </c>
      <c r="S45" s="1194">
        <v>8</v>
      </c>
    </row>
    <row r="46" spans="1:19" ht="15" customHeight="1" x14ac:dyDescent="0.25">
      <c r="A46" s="6314"/>
      <c r="B46" s="6201"/>
      <c r="C46" s="6174"/>
      <c r="D46" s="1192" t="s">
        <v>1301</v>
      </c>
      <c r="E46" s="1194"/>
      <c r="F46" s="1194"/>
      <c r="G46" s="1194"/>
      <c r="H46" s="1194"/>
      <c r="I46" s="1194"/>
      <c r="J46" s="1194"/>
      <c r="K46" s="1194"/>
      <c r="L46" s="1194"/>
      <c r="M46" s="1194"/>
      <c r="N46" s="1194"/>
      <c r="O46" s="1194"/>
      <c r="P46" s="1194"/>
      <c r="Q46" s="1194">
        <v>9</v>
      </c>
      <c r="R46" s="1194">
        <v>11</v>
      </c>
      <c r="S46" s="1194">
        <v>12</v>
      </c>
    </row>
    <row r="47" spans="1:19" ht="15" customHeight="1" x14ac:dyDescent="0.25">
      <c r="A47" s="6314"/>
      <c r="B47" s="6201"/>
      <c r="C47" s="6174"/>
      <c r="D47" s="1192" t="s">
        <v>1302</v>
      </c>
      <c r="E47" s="1194"/>
      <c r="F47" s="1194"/>
      <c r="G47" s="1194"/>
      <c r="H47" s="1194"/>
      <c r="I47" s="1194"/>
      <c r="J47" s="1194"/>
      <c r="K47" s="1194"/>
      <c r="L47" s="1194"/>
      <c r="M47" s="1194"/>
      <c r="N47" s="1194"/>
      <c r="O47" s="1194"/>
      <c r="P47" s="1194"/>
      <c r="Q47" s="1194">
        <v>23</v>
      </c>
      <c r="R47" s="1194">
        <v>28</v>
      </c>
      <c r="S47" s="1194">
        <v>34</v>
      </c>
    </row>
    <row r="48" spans="1:19" ht="15" customHeight="1" x14ac:dyDescent="0.25">
      <c r="A48" s="6314"/>
      <c r="B48" s="6201"/>
      <c r="C48" s="6174"/>
      <c r="D48" s="1192" t="s">
        <v>1303</v>
      </c>
      <c r="E48" s="1194"/>
      <c r="F48" s="1194"/>
      <c r="G48" s="1194"/>
      <c r="H48" s="1194"/>
      <c r="I48" s="1194"/>
      <c r="J48" s="1194"/>
      <c r="K48" s="1194"/>
      <c r="L48" s="1194"/>
      <c r="M48" s="1194"/>
      <c r="N48" s="1194"/>
      <c r="O48" s="1194"/>
      <c r="P48" s="1194"/>
      <c r="Q48" s="1194">
        <v>2</v>
      </c>
      <c r="R48" s="1194">
        <v>2</v>
      </c>
      <c r="S48" s="1194">
        <v>5</v>
      </c>
    </row>
    <row r="49" spans="1:19" ht="15" customHeight="1" x14ac:dyDescent="0.25">
      <c r="A49" s="6314"/>
      <c r="B49" s="6201"/>
      <c r="C49" s="6174"/>
      <c r="D49" s="1192" t="s">
        <v>1304</v>
      </c>
      <c r="E49" s="1194"/>
      <c r="F49" s="1194"/>
      <c r="G49" s="1194"/>
      <c r="H49" s="1194"/>
      <c r="I49" s="1194"/>
      <c r="J49" s="1194"/>
      <c r="K49" s="1194"/>
      <c r="L49" s="1194"/>
      <c r="M49" s="1194"/>
      <c r="N49" s="1194"/>
      <c r="O49" s="1194"/>
      <c r="P49" s="1194"/>
      <c r="Q49" s="1194">
        <v>18</v>
      </c>
      <c r="R49" s="1194">
        <v>26</v>
      </c>
      <c r="S49" s="1194">
        <v>28</v>
      </c>
    </row>
    <row r="50" spans="1:19" ht="15" customHeight="1" x14ac:dyDescent="0.25">
      <c r="A50" s="6314"/>
      <c r="B50" s="6201"/>
      <c r="C50" s="6175"/>
      <c r="D50" s="1192" t="s">
        <v>1305</v>
      </c>
      <c r="E50" s="1194"/>
      <c r="F50" s="1194"/>
      <c r="G50" s="1194"/>
      <c r="H50" s="1194"/>
      <c r="I50" s="1194"/>
      <c r="J50" s="1194"/>
      <c r="K50" s="1194"/>
      <c r="L50" s="1194"/>
      <c r="M50" s="1194"/>
      <c r="N50" s="1194"/>
      <c r="O50" s="1194"/>
      <c r="P50" s="1194"/>
      <c r="Q50" s="3915">
        <v>0</v>
      </c>
      <c r="R50" s="3915"/>
      <c r="S50" s="3915">
        <v>3</v>
      </c>
    </row>
    <row r="51" spans="1:19" ht="15" customHeight="1" x14ac:dyDescent="0.2">
      <c r="A51" s="6314"/>
      <c r="B51" s="6202"/>
      <c r="C51" s="5153"/>
      <c r="D51" s="5154" t="s">
        <v>160</v>
      </c>
      <c r="E51" s="1222">
        <f>SUM(E34:E44)</f>
        <v>106</v>
      </c>
      <c r="F51" s="1222">
        <f t="shared" ref="F51:N51" si="2">SUM(F34:F44)</f>
        <v>79</v>
      </c>
      <c r="G51" s="1222">
        <f t="shared" si="2"/>
        <v>85</v>
      </c>
      <c r="H51" s="1222">
        <f t="shared" si="2"/>
        <v>102</v>
      </c>
      <c r="I51" s="1222">
        <f t="shared" si="2"/>
        <v>132</v>
      </c>
      <c r="J51" s="1222">
        <f t="shared" si="2"/>
        <v>150</v>
      </c>
      <c r="K51" s="1222">
        <f t="shared" si="2"/>
        <v>184</v>
      </c>
      <c r="L51" s="1222">
        <f t="shared" si="2"/>
        <v>251</v>
      </c>
      <c r="M51" s="1222">
        <f t="shared" si="2"/>
        <v>184</v>
      </c>
      <c r="N51" s="1222">
        <f t="shared" si="2"/>
        <v>237</v>
      </c>
      <c r="O51" s="1222">
        <f>SUM(O34:O44)</f>
        <v>180</v>
      </c>
      <c r="P51" s="1222">
        <f>SUM(P34:P44)</f>
        <v>224</v>
      </c>
      <c r="Q51" s="1222">
        <f>SUM(Q34:Q50)</f>
        <v>212</v>
      </c>
      <c r="R51" s="1222">
        <f>SUM(R34:R50)</f>
        <v>202</v>
      </c>
      <c r="S51" s="1222">
        <f>SUM(S34:S50)</f>
        <v>227</v>
      </c>
    </row>
    <row r="52" spans="1:19" ht="15" customHeight="1" x14ac:dyDescent="0.2">
      <c r="A52" s="6315"/>
      <c r="B52" s="4689"/>
      <c r="C52" s="4689"/>
      <c r="D52" s="4724" t="s">
        <v>523</v>
      </c>
      <c r="E52" s="4068">
        <f t="shared" ref="E52:N52" si="3">SUM(E16,E33,E51)</f>
        <v>374</v>
      </c>
      <c r="F52" s="4711">
        <f t="shared" si="3"/>
        <v>381</v>
      </c>
      <c r="G52" s="4711">
        <f t="shared" si="3"/>
        <v>398</v>
      </c>
      <c r="H52" s="4711">
        <f t="shared" si="3"/>
        <v>395</v>
      </c>
      <c r="I52" s="4711">
        <f t="shared" si="3"/>
        <v>510</v>
      </c>
      <c r="J52" s="4711">
        <f t="shared" si="3"/>
        <v>462</v>
      </c>
      <c r="K52" s="4711">
        <f t="shared" si="3"/>
        <v>553</v>
      </c>
      <c r="L52" s="4711">
        <f t="shared" si="3"/>
        <v>599</v>
      </c>
      <c r="M52" s="4711">
        <f t="shared" si="3"/>
        <v>575</v>
      </c>
      <c r="N52" s="4711">
        <f t="shared" si="3"/>
        <v>590</v>
      </c>
      <c r="O52" s="4711">
        <f>SUM(O16,O33,O51)</f>
        <v>607</v>
      </c>
      <c r="P52" s="4711">
        <f>SUM(P16,P33,P51)</f>
        <v>698</v>
      </c>
      <c r="Q52" s="4711">
        <f>SUM(Q16,Q33,Q51)</f>
        <v>707</v>
      </c>
      <c r="R52" s="4711">
        <f>SUM(R16,R33,R51)</f>
        <v>727</v>
      </c>
      <c r="S52" s="4711">
        <f>SUM(S16,S33,S51)</f>
        <v>816</v>
      </c>
    </row>
    <row r="53" spans="1:19" ht="15" customHeight="1" x14ac:dyDescent="0.25">
      <c r="A53" s="6409" t="s">
        <v>75</v>
      </c>
      <c r="B53" s="6262" t="s">
        <v>5</v>
      </c>
      <c r="C53" s="4566" t="s">
        <v>522</v>
      </c>
      <c r="D53" s="4569" t="s">
        <v>1466</v>
      </c>
      <c r="E53" s="1208"/>
      <c r="F53" s="1209"/>
      <c r="G53" s="1209"/>
      <c r="H53" s="1209"/>
      <c r="I53" s="1209"/>
      <c r="J53" s="1209"/>
      <c r="K53" s="1209"/>
      <c r="L53" s="1209"/>
      <c r="M53" s="1209"/>
      <c r="N53" s="1209"/>
      <c r="O53" s="1209"/>
      <c r="P53" s="1209"/>
      <c r="Q53" s="1209"/>
      <c r="R53" s="1209">
        <v>2</v>
      </c>
      <c r="S53" s="1209">
        <v>4</v>
      </c>
    </row>
    <row r="54" spans="1:19" ht="15" customHeight="1" x14ac:dyDescent="0.25">
      <c r="A54" s="6322"/>
      <c r="B54" s="6195"/>
      <c r="C54" s="6177" t="s">
        <v>521</v>
      </c>
      <c r="D54" s="4568" t="s">
        <v>542</v>
      </c>
      <c r="E54" s="1208">
        <v>6</v>
      </c>
      <c r="F54" s="1209">
        <v>3</v>
      </c>
      <c r="G54" s="1209">
        <v>5</v>
      </c>
      <c r="H54" s="1209">
        <v>10</v>
      </c>
      <c r="I54" s="1209">
        <v>13</v>
      </c>
      <c r="J54" s="1209">
        <v>16</v>
      </c>
      <c r="K54" s="1209">
        <v>15</v>
      </c>
      <c r="L54" s="1209">
        <v>12</v>
      </c>
      <c r="M54" s="1209">
        <v>16</v>
      </c>
      <c r="N54" s="1209">
        <v>29</v>
      </c>
      <c r="O54" s="1209">
        <v>30</v>
      </c>
      <c r="P54" s="1209">
        <v>30</v>
      </c>
      <c r="Q54" s="1209">
        <v>36</v>
      </c>
      <c r="R54" s="1209">
        <v>49</v>
      </c>
      <c r="S54" s="1209">
        <v>63</v>
      </c>
    </row>
    <row r="55" spans="1:19" ht="15" customHeight="1" x14ac:dyDescent="0.25">
      <c r="A55" s="6322"/>
      <c r="B55" s="6195"/>
      <c r="C55" s="6174"/>
      <c r="D55" s="4569" t="s">
        <v>543</v>
      </c>
      <c r="E55" s="1208">
        <v>13</v>
      </c>
      <c r="F55" s="1209">
        <v>25</v>
      </c>
      <c r="G55" s="1209">
        <v>50</v>
      </c>
      <c r="H55" s="1209">
        <v>58</v>
      </c>
      <c r="I55" s="1209">
        <v>60</v>
      </c>
      <c r="J55" s="1209">
        <v>70</v>
      </c>
      <c r="K55" s="1209">
        <v>78</v>
      </c>
      <c r="L55" s="1209">
        <v>52</v>
      </c>
      <c r="M55" s="1209">
        <v>72</v>
      </c>
      <c r="N55" s="1209">
        <v>96</v>
      </c>
      <c r="O55" s="1209">
        <v>74</v>
      </c>
      <c r="P55" s="1209">
        <v>82</v>
      </c>
      <c r="Q55" s="1209">
        <v>79</v>
      </c>
      <c r="R55" s="1209">
        <v>71</v>
      </c>
      <c r="S55" s="1209">
        <v>59</v>
      </c>
    </row>
    <row r="56" spans="1:19" ht="15" customHeight="1" x14ac:dyDescent="0.25">
      <c r="A56" s="6322"/>
      <c r="B56" s="6195"/>
      <c r="C56" s="6174"/>
      <c r="D56" s="4569" t="s">
        <v>544</v>
      </c>
      <c r="E56" s="1208">
        <v>14</v>
      </c>
      <c r="F56" s="1209">
        <v>17</v>
      </c>
      <c r="G56" s="1209">
        <v>18</v>
      </c>
      <c r="H56" s="1209">
        <v>15</v>
      </c>
      <c r="I56" s="1209">
        <v>18</v>
      </c>
      <c r="J56" s="1209">
        <v>20</v>
      </c>
      <c r="K56" s="1209">
        <v>26</v>
      </c>
      <c r="L56" s="1209">
        <v>18</v>
      </c>
      <c r="M56" s="1209">
        <v>17</v>
      </c>
      <c r="N56" s="1209">
        <v>68</v>
      </c>
      <c r="O56" s="1209">
        <v>18</v>
      </c>
      <c r="P56" s="1209">
        <v>20</v>
      </c>
      <c r="Q56" s="1209">
        <v>22</v>
      </c>
      <c r="R56" s="1209">
        <v>36</v>
      </c>
      <c r="S56" s="1209">
        <v>36</v>
      </c>
    </row>
    <row r="57" spans="1:19" ht="15" customHeight="1" x14ac:dyDescent="0.25">
      <c r="A57" s="6322"/>
      <c r="B57" s="6195"/>
      <c r="C57" s="6174"/>
      <c r="D57" s="4569" t="s">
        <v>545</v>
      </c>
      <c r="E57" s="1208">
        <v>28</v>
      </c>
      <c r="F57" s="1209">
        <v>24</v>
      </c>
      <c r="G57" s="1209">
        <v>24</v>
      </c>
      <c r="H57" s="1209">
        <v>24</v>
      </c>
      <c r="I57" s="1209">
        <v>21</v>
      </c>
      <c r="J57" s="1209">
        <v>24</v>
      </c>
      <c r="K57" s="1209">
        <v>33</v>
      </c>
      <c r="L57" s="1209">
        <v>38</v>
      </c>
      <c r="M57" s="1209">
        <v>30</v>
      </c>
      <c r="N57" s="1209">
        <v>36</v>
      </c>
      <c r="O57" s="1209">
        <v>31</v>
      </c>
      <c r="P57" s="1209">
        <v>26</v>
      </c>
      <c r="Q57" s="1209">
        <v>32</v>
      </c>
      <c r="R57" s="1209">
        <v>35</v>
      </c>
      <c r="S57" s="1209">
        <v>35</v>
      </c>
    </row>
    <row r="58" spans="1:19" ht="15" customHeight="1" x14ac:dyDescent="0.25">
      <c r="A58" s="6322"/>
      <c r="B58" s="6195"/>
      <c r="C58" s="6174"/>
      <c r="D58" s="4569" t="s">
        <v>546</v>
      </c>
      <c r="E58" s="1208">
        <v>22</v>
      </c>
      <c r="F58" s="1209">
        <v>30</v>
      </c>
      <c r="G58" s="1209">
        <v>45</v>
      </c>
      <c r="H58" s="1209">
        <v>51</v>
      </c>
      <c r="I58" s="1209">
        <v>60</v>
      </c>
      <c r="J58" s="1209">
        <v>61</v>
      </c>
      <c r="K58" s="1209">
        <v>55</v>
      </c>
      <c r="L58" s="1209">
        <v>52</v>
      </c>
      <c r="M58" s="1209">
        <v>58</v>
      </c>
      <c r="N58" s="1209">
        <v>56</v>
      </c>
      <c r="O58" s="1209">
        <v>43</v>
      </c>
      <c r="P58" s="1209">
        <v>32</v>
      </c>
      <c r="Q58" s="1209">
        <v>26</v>
      </c>
      <c r="R58" s="1209">
        <v>32</v>
      </c>
      <c r="S58" s="1209">
        <v>33</v>
      </c>
    </row>
    <row r="59" spans="1:19" ht="15" customHeight="1" x14ac:dyDescent="0.25">
      <c r="A59" s="6322"/>
      <c r="B59" s="6195"/>
      <c r="C59" s="6174"/>
      <c r="D59" s="4569" t="s">
        <v>68</v>
      </c>
      <c r="E59" s="1208"/>
      <c r="F59" s="1209"/>
      <c r="G59" s="1209">
        <v>11</v>
      </c>
      <c r="H59" s="1209">
        <v>21</v>
      </c>
      <c r="I59" s="1209">
        <v>25</v>
      </c>
      <c r="J59" s="1209">
        <v>28</v>
      </c>
      <c r="K59" s="1209">
        <v>37</v>
      </c>
      <c r="L59" s="1209">
        <v>48</v>
      </c>
      <c r="M59" s="1209">
        <v>58</v>
      </c>
      <c r="N59" s="1209">
        <v>60</v>
      </c>
      <c r="O59" s="1209">
        <v>52</v>
      </c>
      <c r="P59" s="1209">
        <v>47</v>
      </c>
      <c r="Q59" s="1209">
        <v>41</v>
      </c>
      <c r="R59" s="1209">
        <v>38</v>
      </c>
      <c r="S59" s="1209">
        <v>36</v>
      </c>
    </row>
    <row r="60" spans="1:19" ht="15" customHeight="1" x14ac:dyDescent="0.25">
      <c r="A60" s="6322"/>
      <c r="B60" s="6195"/>
      <c r="C60" s="6175"/>
      <c r="D60" s="4569" t="s">
        <v>761</v>
      </c>
      <c r="E60" s="1208"/>
      <c r="F60" s="1209"/>
      <c r="G60" s="1209"/>
      <c r="H60" s="1209"/>
      <c r="I60" s="1209"/>
      <c r="J60" s="1209"/>
      <c r="K60" s="1209"/>
      <c r="L60" s="1209"/>
      <c r="M60" s="1209"/>
      <c r="N60" s="1209"/>
      <c r="O60" s="1209">
        <v>25</v>
      </c>
      <c r="P60" s="1209">
        <v>33</v>
      </c>
      <c r="Q60" s="1209">
        <v>44</v>
      </c>
      <c r="R60" s="1209">
        <v>63</v>
      </c>
      <c r="S60" s="1209">
        <v>62</v>
      </c>
    </row>
    <row r="61" spans="1:19" ht="15" customHeight="1" x14ac:dyDescent="0.25">
      <c r="A61" s="6322"/>
      <c r="B61" s="6195"/>
      <c r="C61" s="6173" t="s">
        <v>520</v>
      </c>
      <c r="D61" s="1195" t="s">
        <v>542</v>
      </c>
      <c r="E61" s="1193">
        <v>34</v>
      </c>
      <c r="F61" s="1194">
        <v>35</v>
      </c>
      <c r="G61" s="1194">
        <v>36</v>
      </c>
      <c r="H61" s="1194">
        <v>35</v>
      </c>
      <c r="I61" s="1194">
        <v>38</v>
      </c>
      <c r="J61" s="1194">
        <v>32</v>
      </c>
      <c r="K61" s="1194">
        <v>32</v>
      </c>
      <c r="L61" s="1194">
        <v>30</v>
      </c>
      <c r="M61" s="1194">
        <v>27</v>
      </c>
      <c r="N61" s="1194">
        <v>19</v>
      </c>
      <c r="O61" s="1194">
        <v>24</v>
      </c>
      <c r="P61" s="1194">
        <v>26</v>
      </c>
      <c r="Q61" s="1194">
        <v>27</v>
      </c>
      <c r="R61" s="1194">
        <v>25</v>
      </c>
      <c r="S61" s="1194">
        <v>25</v>
      </c>
    </row>
    <row r="62" spans="1:19" ht="15" customHeight="1" x14ac:dyDescent="0.25">
      <c r="A62" s="6322"/>
      <c r="B62" s="6195"/>
      <c r="C62" s="6174"/>
      <c r="D62" s="1195" t="s">
        <v>543</v>
      </c>
      <c r="E62" s="1208">
        <v>20</v>
      </c>
      <c r="F62" s="1209">
        <v>28</v>
      </c>
      <c r="G62" s="1209">
        <v>32</v>
      </c>
      <c r="H62" s="1209">
        <v>34</v>
      </c>
      <c r="I62" s="1209">
        <v>34</v>
      </c>
      <c r="J62" s="1209">
        <v>37</v>
      </c>
      <c r="K62" s="1209">
        <v>30</v>
      </c>
      <c r="L62" s="1209">
        <v>51</v>
      </c>
      <c r="M62" s="1209">
        <v>58</v>
      </c>
      <c r="N62" s="1209">
        <v>43</v>
      </c>
      <c r="O62" s="1209">
        <v>62</v>
      </c>
      <c r="P62" s="1209">
        <v>61</v>
      </c>
      <c r="Q62" s="1209">
        <v>63</v>
      </c>
      <c r="R62" s="1209">
        <v>61</v>
      </c>
      <c r="S62" s="1209">
        <v>52</v>
      </c>
    </row>
    <row r="63" spans="1:19" ht="15" customHeight="1" x14ac:dyDescent="0.25">
      <c r="A63" s="6322"/>
      <c r="B63" s="6195"/>
      <c r="C63" s="6174"/>
      <c r="D63" s="1195" t="s">
        <v>544</v>
      </c>
      <c r="E63" s="1208">
        <v>85</v>
      </c>
      <c r="F63" s="1209">
        <v>92</v>
      </c>
      <c r="G63" s="1209">
        <v>101</v>
      </c>
      <c r="H63" s="1209">
        <v>97</v>
      </c>
      <c r="I63" s="1209">
        <v>95</v>
      </c>
      <c r="J63" s="1209">
        <v>79</v>
      </c>
      <c r="K63" s="1209">
        <v>71</v>
      </c>
      <c r="L63" s="1209">
        <v>90</v>
      </c>
      <c r="M63" s="1209">
        <v>93</v>
      </c>
      <c r="N63" s="1209">
        <v>49</v>
      </c>
      <c r="O63" s="1209">
        <v>100</v>
      </c>
      <c r="P63" s="1209">
        <v>104</v>
      </c>
      <c r="Q63" s="1209">
        <v>86</v>
      </c>
      <c r="R63" s="1209">
        <v>70</v>
      </c>
      <c r="S63" s="1209">
        <v>63</v>
      </c>
    </row>
    <row r="64" spans="1:19" ht="15" customHeight="1" x14ac:dyDescent="0.25">
      <c r="A64" s="6322"/>
      <c r="B64" s="6195"/>
      <c r="C64" s="6174"/>
      <c r="D64" s="1195" t="s">
        <v>545</v>
      </c>
      <c r="E64" s="1208">
        <v>57</v>
      </c>
      <c r="F64" s="1209">
        <v>58</v>
      </c>
      <c r="G64" s="1209">
        <v>60</v>
      </c>
      <c r="H64" s="1209">
        <v>54</v>
      </c>
      <c r="I64" s="1209">
        <v>53</v>
      </c>
      <c r="J64" s="1209">
        <v>42</v>
      </c>
      <c r="K64" s="1209">
        <v>40</v>
      </c>
      <c r="L64" s="1209">
        <v>34</v>
      </c>
      <c r="M64" s="1209">
        <v>43</v>
      </c>
      <c r="N64" s="1209">
        <v>40</v>
      </c>
      <c r="O64" s="1209">
        <v>41</v>
      </c>
      <c r="P64" s="1209">
        <v>37</v>
      </c>
      <c r="Q64" s="1209">
        <v>41</v>
      </c>
      <c r="R64" s="1209">
        <v>40</v>
      </c>
      <c r="S64" s="1209">
        <v>37</v>
      </c>
    </row>
    <row r="65" spans="1:19" ht="15" customHeight="1" x14ac:dyDescent="0.25">
      <c r="A65" s="6322"/>
      <c r="B65" s="6195"/>
      <c r="C65" s="6174"/>
      <c r="D65" s="1195" t="s">
        <v>546</v>
      </c>
      <c r="E65" s="1208">
        <v>17</v>
      </c>
      <c r="F65" s="1209">
        <v>13</v>
      </c>
      <c r="G65" s="1209">
        <v>15</v>
      </c>
      <c r="H65" s="1209">
        <v>19</v>
      </c>
      <c r="I65" s="1209">
        <v>15</v>
      </c>
      <c r="J65" s="1209">
        <v>15</v>
      </c>
      <c r="K65" s="1209">
        <v>14</v>
      </c>
      <c r="L65" s="1209">
        <v>21</v>
      </c>
      <c r="M65" s="1209">
        <v>19</v>
      </c>
      <c r="N65" s="1209">
        <v>18</v>
      </c>
      <c r="O65" s="1209">
        <v>27</v>
      </c>
      <c r="P65" s="1209">
        <v>29</v>
      </c>
      <c r="Q65" s="1209">
        <v>32</v>
      </c>
      <c r="R65" s="1209">
        <v>29</v>
      </c>
      <c r="S65" s="1209">
        <v>26</v>
      </c>
    </row>
    <row r="66" spans="1:19" ht="15" customHeight="1" x14ac:dyDescent="0.25">
      <c r="A66" s="6322"/>
      <c r="B66" s="6195"/>
      <c r="C66" s="6174"/>
      <c r="D66" s="1195" t="s">
        <v>372</v>
      </c>
      <c r="E66" s="1199"/>
      <c r="F66" s="1200"/>
      <c r="G66" s="1200"/>
      <c r="H66" s="1200"/>
      <c r="I66" s="1200"/>
      <c r="J66" s="1200"/>
      <c r="K66" s="1200"/>
      <c r="L66" s="1200"/>
      <c r="M66" s="1200">
        <v>6</v>
      </c>
      <c r="N66" s="1200">
        <v>6</v>
      </c>
      <c r="O66" s="1200">
        <v>24</v>
      </c>
      <c r="P66" s="1200">
        <v>31</v>
      </c>
      <c r="Q66" s="1200">
        <v>29</v>
      </c>
      <c r="R66" s="1200">
        <v>30</v>
      </c>
      <c r="S66" s="1200">
        <v>28</v>
      </c>
    </row>
    <row r="67" spans="1:19" ht="15" customHeight="1" x14ac:dyDescent="0.25">
      <c r="A67" s="6322"/>
      <c r="B67" s="6195"/>
      <c r="C67" s="6174"/>
      <c r="D67" s="1195" t="s">
        <v>363</v>
      </c>
      <c r="E67" s="1208">
        <v>47</v>
      </c>
      <c r="F67" s="1209">
        <v>24</v>
      </c>
      <c r="G67" s="1209">
        <v>4</v>
      </c>
      <c r="H67" s="1209">
        <v>2</v>
      </c>
      <c r="I67" s="1209"/>
      <c r="J67" s="1209">
        <v>2</v>
      </c>
      <c r="K67" s="1209">
        <v>10</v>
      </c>
      <c r="L67" s="1209">
        <v>8</v>
      </c>
      <c r="M67" s="1209"/>
      <c r="N67" s="1209"/>
      <c r="O67" s="1209"/>
      <c r="P67" s="1209"/>
      <c r="Q67" s="1209"/>
      <c r="R67" s="1209"/>
      <c r="S67" s="1209"/>
    </row>
    <row r="68" spans="1:19" ht="15" customHeight="1" x14ac:dyDescent="0.25">
      <c r="A68" s="6322"/>
      <c r="B68" s="6195"/>
      <c r="C68" s="6175"/>
      <c r="D68" s="1195" t="s">
        <v>761</v>
      </c>
      <c r="E68" s="1208"/>
      <c r="F68" s="1209"/>
      <c r="G68" s="1209"/>
      <c r="H68" s="1209"/>
      <c r="I68" s="1209"/>
      <c r="J68" s="1209"/>
      <c r="K68" s="1209"/>
      <c r="L68" s="1209"/>
      <c r="M68" s="1209"/>
      <c r="N68" s="1209"/>
      <c r="O68" s="1209">
        <v>5</v>
      </c>
      <c r="P68" s="1209">
        <v>8</v>
      </c>
      <c r="Q68" s="1209">
        <v>10</v>
      </c>
      <c r="R68" s="1209">
        <v>14</v>
      </c>
      <c r="S68" s="1209">
        <v>16</v>
      </c>
    </row>
    <row r="69" spans="1:19" ht="15" customHeight="1" x14ac:dyDescent="0.2">
      <c r="A69" s="6322"/>
      <c r="B69" s="6196"/>
      <c r="C69" s="5153"/>
      <c r="D69" s="5152" t="s">
        <v>160</v>
      </c>
      <c r="E69" s="1222">
        <f>SUM(E54:E67)</f>
        <v>343</v>
      </c>
      <c r="F69" s="1222">
        <f t="shared" ref="F69:N69" si="4">SUM(F54:F67)</f>
        <v>349</v>
      </c>
      <c r="G69" s="1222">
        <f t="shared" si="4"/>
        <v>401</v>
      </c>
      <c r="H69" s="1222">
        <f t="shared" si="4"/>
        <v>420</v>
      </c>
      <c r="I69" s="1222">
        <f t="shared" si="4"/>
        <v>432</v>
      </c>
      <c r="J69" s="1222">
        <f t="shared" si="4"/>
        <v>426</v>
      </c>
      <c r="K69" s="1222">
        <f t="shared" si="4"/>
        <v>441</v>
      </c>
      <c r="L69" s="1222">
        <f t="shared" si="4"/>
        <v>454</v>
      </c>
      <c r="M69" s="1222">
        <f t="shared" si="4"/>
        <v>497</v>
      </c>
      <c r="N69" s="1222">
        <f t="shared" si="4"/>
        <v>520</v>
      </c>
      <c r="O69" s="1222">
        <f>SUM(O54:O68)</f>
        <v>556</v>
      </c>
      <c r="P69" s="1222">
        <f>SUM(P54:P68)</f>
        <v>566</v>
      </c>
      <c r="Q69" s="1222">
        <f>SUM(Q54:Q68)</f>
        <v>568</v>
      </c>
      <c r="R69" s="1222">
        <f>SUM(R53:R68)</f>
        <v>595</v>
      </c>
      <c r="S69" s="1222">
        <f>SUM(S53:S68)</f>
        <v>575</v>
      </c>
    </row>
    <row r="70" spans="1:19" ht="15" customHeight="1" x14ac:dyDescent="0.25">
      <c r="A70" s="6322"/>
      <c r="B70" s="6257" t="s">
        <v>6</v>
      </c>
      <c r="C70" s="1053" t="s">
        <v>522</v>
      </c>
      <c r="D70" s="1212" t="s">
        <v>78</v>
      </c>
      <c r="E70" s="1190">
        <v>47</v>
      </c>
      <c r="F70" s="1191">
        <v>114</v>
      </c>
      <c r="G70" s="1191">
        <v>74</v>
      </c>
      <c r="H70" s="1191">
        <v>86</v>
      </c>
      <c r="I70" s="1191">
        <v>109</v>
      </c>
      <c r="J70" s="1191">
        <v>101</v>
      </c>
      <c r="K70" s="1191">
        <v>118</v>
      </c>
      <c r="L70" s="1191">
        <v>169</v>
      </c>
      <c r="M70" s="1203">
        <v>153</v>
      </c>
      <c r="N70" s="1203">
        <v>83</v>
      </c>
      <c r="O70" s="1203">
        <v>36</v>
      </c>
      <c r="P70" s="1203">
        <v>44</v>
      </c>
      <c r="Q70" s="1203">
        <v>59</v>
      </c>
      <c r="R70" s="1203">
        <v>34</v>
      </c>
      <c r="S70" s="1203">
        <v>61</v>
      </c>
    </row>
    <row r="71" spans="1:19" ht="15" customHeight="1" x14ac:dyDescent="0.25">
      <c r="A71" s="6322"/>
      <c r="B71" s="6195"/>
      <c r="C71" s="6308" t="s">
        <v>521</v>
      </c>
      <c r="D71" s="1195" t="s">
        <v>80</v>
      </c>
      <c r="E71" s="1208">
        <v>9</v>
      </c>
      <c r="F71" s="1209">
        <v>7</v>
      </c>
      <c r="G71" s="1209">
        <v>11</v>
      </c>
      <c r="H71" s="1209">
        <v>10</v>
      </c>
      <c r="I71" s="1209">
        <v>11</v>
      </c>
      <c r="J71" s="1209">
        <v>21</v>
      </c>
      <c r="K71" s="1209">
        <v>19</v>
      </c>
      <c r="L71" s="1209">
        <v>16</v>
      </c>
      <c r="M71" s="1194">
        <v>4</v>
      </c>
      <c r="N71" s="1194">
        <v>15</v>
      </c>
      <c r="O71" s="1194">
        <v>15</v>
      </c>
      <c r="P71" s="1194">
        <v>4</v>
      </c>
      <c r="Q71" s="1194">
        <v>15</v>
      </c>
      <c r="R71" s="1194">
        <v>6</v>
      </c>
      <c r="S71" s="1194">
        <v>12</v>
      </c>
    </row>
    <row r="72" spans="1:19" ht="15" customHeight="1" x14ac:dyDescent="0.25">
      <c r="A72" s="6322"/>
      <c r="B72" s="6195"/>
      <c r="C72" s="6309"/>
      <c r="D72" s="1195" t="s">
        <v>381</v>
      </c>
      <c r="E72" s="1208"/>
      <c r="F72" s="1209"/>
      <c r="G72" s="1209"/>
      <c r="H72" s="1209"/>
      <c r="I72" s="1209"/>
      <c r="J72" s="1209"/>
      <c r="K72" s="1209">
        <v>1</v>
      </c>
      <c r="L72" s="1209">
        <v>1</v>
      </c>
      <c r="M72" s="1209">
        <v>1</v>
      </c>
      <c r="N72" s="1209"/>
      <c r="O72" s="1209"/>
      <c r="P72" s="1209"/>
      <c r="Q72" s="1209"/>
      <c r="R72" s="1209"/>
      <c r="S72" s="1209"/>
    </row>
    <row r="73" spans="1:19" ht="15" customHeight="1" x14ac:dyDescent="0.25">
      <c r="A73" s="6322"/>
      <c r="B73" s="6195"/>
      <c r="C73" s="6309"/>
      <c r="D73" s="1195" t="s">
        <v>364</v>
      </c>
      <c r="E73" s="1208"/>
      <c r="F73" s="1209"/>
      <c r="G73" s="1209"/>
      <c r="H73" s="1209"/>
      <c r="I73" s="1209"/>
      <c r="J73" s="1209"/>
      <c r="K73" s="1209">
        <v>1</v>
      </c>
      <c r="L73" s="1209"/>
      <c r="M73" s="1209"/>
      <c r="N73" s="1209"/>
      <c r="O73" s="1209"/>
      <c r="P73" s="1209"/>
      <c r="Q73" s="1209"/>
      <c r="R73" s="1209"/>
      <c r="S73" s="1209"/>
    </row>
    <row r="74" spans="1:19" ht="15" customHeight="1" x14ac:dyDescent="0.25">
      <c r="A74" s="6322"/>
      <c r="B74" s="6195"/>
      <c r="C74" s="6309"/>
      <c r="D74" s="1195" t="s">
        <v>81</v>
      </c>
      <c r="E74" s="1208">
        <v>26</v>
      </c>
      <c r="F74" s="1209">
        <v>19</v>
      </c>
      <c r="G74" s="1209">
        <v>28</v>
      </c>
      <c r="H74" s="1209">
        <v>19</v>
      </c>
      <c r="I74" s="1209">
        <v>28</v>
      </c>
      <c r="J74" s="1209">
        <v>41</v>
      </c>
      <c r="K74" s="1209">
        <v>50</v>
      </c>
      <c r="L74" s="1209">
        <v>32</v>
      </c>
      <c r="M74" s="1209">
        <v>43</v>
      </c>
      <c r="N74" s="1209">
        <v>32</v>
      </c>
      <c r="O74" s="1209">
        <v>22</v>
      </c>
      <c r="P74" s="1209">
        <v>33</v>
      </c>
      <c r="Q74" s="1209">
        <v>46</v>
      </c>
      <c r="R74" s="1209">
        <v>43</v>
      </c>
      <c r="S74" s="1209">
        <v>54</v>
      </c>
    </row>
    <row r="75" spans="1:19" ht="15" customHeight="1" x14ac:dyDescent="0.25">
      <c r="A75" s="6322"/>
      <c r="B75" s="6195"/>
      <c r="C75" s="6309"/>
      <c r="D75" s="1195" t="s">
        <v>79</v>
      </c>
      <c r="E75" s="1208">
        <v>64</v>
      </c>
      <c r="F75" s="1209">
        <v>47</v>
      </c>
      <c r="G75" s="1209">
        <v>78</v>
      </c>
      <c r="H75" s="1209">
        <v>63</v>
      </c>
      <c r="I75" s="1209">
        <v>98</v>
      </c>
      <c r="J75" s="1209">
        <v>156</v>
      </c>
      <c r="K75" s="1209">
        <v>161</v>
      </c>
      <c r="L75" s="1209">
        <v>191</v>
      </c>
      <c r="M75" s="1209">
        <v>153</v>
      </c>
      <c r="N75" s="1209">
        <v>142</v>
      </c>
      <c r="O75" s="1209">
        <v>101</v>
      </c>
      <c r="P75" s="1209">
        <v>131</v>
      </c>
      <c r="Q75" s="1209">
        <v>82</v>
      </c>
      <c r="R75" s="1209">
        <v>111</v>
      </c>
      <c r="S75" s="1209">
        <v>61</v>
      </c>
    </row>
    <row r="76" spans="1:19" ht="15" customHeight="1" x14ac:dyDescent="0.25">
      <c r="A76" s="6322"/>
      <c r="B76" s="6195"/>
      <c r="C76" s="6309"/>
      <c r="D76" s="1195" t="s">
        <v>82</v>
      </c>
      <c r="E76" s="1208">
        <v>38</v>
      </c>
      <c r="F76" s="1209">
        <v>50</v>
      </c>
      <c r="G76" s="1209">
        <v>37</v>
      </c>
      <c r="H76" s="1209">
        <v>58</v>
      </c>
      <c r="I76" s="1209">
        <v>51</v>
      </c>
      <c r="J76" s="1209">
        <v>69</v>
      </c>
      <c r="K76" s="1209">
        <v>43</v>
      </c>
      <c r="L76" s="1209">
        <v>58</v>
      </c>
      <c r="M76" s="1209">
        <v>44</v>
      </c>
      <c r="N76" s="1209">
        <v>52</v>
      </c>
      <c r="O76" s="1209">
        <v>30</v>
      </c>
      <c r="P76" s="1209">
        <v>36</v>
      </c>
      <c r="Q76" s="1209">
        <v>25</v>
      </c>
      <c r="R76" s="1209">
        <v>32</v>
      </c>
      <c r="S76" s="1209">
        <v>19</v>
      </c>
    </row>
    <row r="77" spans="1:19" ht="15" customHeight="1" x14ac:dyDescent="0.25">
      <c r="A77" s="6322"/>
      <c r="B77" s="6195"/>
      <c r="C77" s="6309"/>
      <c r="D77" s="1192" t="s">
        <v>139</v>
      </c>
      <c r="E77" s="1208"/>
      <c r="F77" s="1209">
        <v>2</v>
      </c>
      <c r="G77" s="1209">
        <v>8</v>
      </c>
      <c r="H77" s="1209">
        <v>6</v>
      </c>
      <c r="I77" s="1209">
        <v>1</v>
      </c>
      <c r="J77" s="1209">
        <v>14</v>
      </c>
      <c r="K77" s="1209">
        <v>8</v>
      </c>
      <c r="L77" s="1209">
        <v>24</v>
      </c>
      <c r="M77" s="1209">
        <v>29</v>
      </c>
      <c r="N77" s="1209">
        <v>28</v>
      </c>
      <c r="O77" s="1209">
        <v>40</v>
      </c>
      <c r="P77" s="1209">
        <v>34</v>
      </c>
      <c r="Q77" s="1209">
        <v>23</v>
      </c>
      <c r="R77" s="1209">
        <v>22</v>
      </c>
      <c r="S77" s="1209">
        <v>24</v>
      </c>
    </row>
    <row r="78" spans="1:19" ht="15" customHeight="1" x14ac:dyDescent="0.25">
      <c r="A78" s="6322"/>
      <c r="B78" s="6195"/>
      <c r="C78" s="6309"/>
      <c r="D78" s="5155" t="s">
        <v>1580</v>
      </c>
      <c r="E78" s="1208"/>
      <c r="F78" s="1209"/>
      <c r="G78" s="1209"/>
      <c r="H78" s="1209"/>
      <c r="I78" s="1209"/>
      <c r="J78" s="1209"/>
      <c r="K78" s="1209"/>
      <c r="L78" s="1209"/>
      <c r="M78" s="1209"/>
      <c r="N78" s="1209"/>
      <c r="O78" s="1209"/>
      <c r="P78" s="1209"/>
      <c r="Q78" s="1209"/>
      <c r="R78" s="1209"/>
      <c r="S78" s="1209">
        <v>10</v>
      </c>
    </row>
    <row r="79" spans="1:19" ht="15" customHeight="1" x14ac:dyDescent="0.25">
      <c r="A79" s="6322"/>
      <c r="B79" s="6195"/>
      <c r="C79" s="6310"/>
      <c r="D79" s="5155" t="s">
        <v>1588</v>
      </c>
      <c r="E79" s="1208"/>
      <c r="F79" s="1209"/>
      <c r="G79" s="1209"/>
      <c r="H79" s="1209"/>
      <c r="I79" s="1209"/>
      <c r="J79" s="1209"/>
      <c r="K79" s="1209"/>
      <c r="L79" s="1209"/>
      <c r="M79" s="1209"/>
      <c r="N79" s="1209"/>
      <c r="O79" s="1209"/>
      <c r="P79" s="1209"/>
      <c r="Q79" s="1209"/>
      <c r="R79" s="1209"/>
      <c r="S79" s="1209">
        <v>9</v>
      </c>
    </row>
    <row r="80" spans="1:19" ht="15" customHeight="1" x14ac:dyDescent="0.25">
      <c r="A80" s="6322"/>
      <c r="B80" s="6195"/>
      <c r="C80" s="6308" t="s">
        <v>520</v>
      </c>
      <c r="D80" s="1195" t="s">
        <v>84</v>
      </c>
      <c r="E80" s="1208">
        <v>69</v>
      </c>
      <c r="F80" s="1209">
        <v>64</v>
      </c>
      <c r="G80" s="1209">
        <v>67</v>
      </c>
      <c r="H80" s="1209">
        <v>54</v>
      </c>
      <c r="I80" s="1209">
        <v>51</v>
      </c>
      <c r="J80" s="1209">
        <v>56</v>
      </c>
      <c r="K80" s="1209">
        <v>66</v>
      </c>
      <c r="L80" s="1209">
        <v>79</v>
      </c>
      <c r="M80" s="1209">
        <v>76</v>
      </c>
      <c r="N80" s="1209">
        <v>71</v>
      </c>
      <c r="O80" s="1209">
        <v>69</v>
      </c>
      <c r="P80" s="1209">
        <v>76</v>
      </c>
      <c r="Q80" s="1209">
        <v>63</v>
      </c>
      <c r="R80" s="1209">
        <v>76</v>
      </c>
      <c r="S80" s="1209">
        <v>51</v>
      </c>
    </row>
    <row r="81" spans="1:19" ht="15" customHeight="1" x14ac:dyDescent="0.25">
      <c r="A81" s="6322"/>
      <c r="B81" s="6195"/>
      <c r="C81" s="6309"/>
      <c r="D81" s="1195" t="s">
        <v>85</v>
      </c>
      <c r="E81" s="1208">
        <v>92</v>
      </c>
      <c r="F81" s="1209">
        <v>111</v>
      </c>
      <c r="G81" s="1209">
        <v>88</v>
      </c>
      <c r="H81" s="1209">
        <v>88</v>
      </c>
      <c r="I81" s="1209">
        <v>75</v>
      </c>
      <c r="J81" s="1209">
        <v>57</v>
      </c>
      <c r="K81" s="1209">
        <v>57</v>
      </c>
      <c r="L81" s="1209">
        <v>77</v>
      </c>
      <c r="M81" s="1209">
        <v>84</v>
      </c>
      <c r="N81" s="1209">
        <v>81</v>
      </c>
      <c r="O81" s="1209">
        <v>77</v>
      </c>
      <c r="P81" s="1209">
        <v>73</v>
      </c>
      <c r="Q81" s="1209">
        <v>53</v>
      </c>
      <c r="R81" s="1209">
        <v>57</v>
      </c>
      <c r="S81" s="1209">
        <v>47</v>
      </c>
    </row>
    <row r="82" spans="1:19" ht="15" customHeight="1" x14ac:dyDescent="0.25">
      <c r="A82" s="6322"/>
      <c r="B82" s="6195"/>
      <c r="C82" s="6309"/>
      <c r="D82" s="1195" t="s">
        <v>83</v>
      </c>
      <c r="E82" s="1208">
        <v>44</v>
      </c>
      <c r="F82" s="1209">
        <v>33</v>
      </c>
      <c r="G82" s="1209">
        <v>20</v>
      </c>
      <c r="H82" s="1209">
        <v>25</v>
      </c>
      <c r="I82" s="1209">
        <v>38</v>
      </c>
      <c r="J82" s="1209">
        <v>70</v>
      </c>
      <c r="K82" s="1209">
        <v>94</v>
      </c>
      <c r="L82" s="1209">
        <v>121</v>
      </c>
      <c r="M82" s="1209">
        <v>137</v>
      </c>
      <c r="N82" s="1209">
        <v>142</v>
      </c>
      <c r="O82" s="1209">
        <v>139</v>
      </c>
      <c r="P82" s="1209">
        <v>140</v>
      </c>
      <c r="Q82" s="1209">
        <v>135</v>
      </c>
      <c r="R82" s="1209">
        <v>136</v>
      </c>
      <c r="S82" s="1209">
        <v>129</v>
      </c>
    </row>
    <row r="83" spans="1:19" ht="15" customHeight="1" x14ac:dyDescent="0.25">
      <c r="A83" s="6322"/>
      <c r="B83" s="6195"/>
      <c r="C83" s="6309"/>
      <c r="D83" s="1195" t="s">
        <v>86</v>
      </c>
      <c r="E83" s="1208">
        <v>53</v>
      </c>
      <c r="F83" s="1209">
        <v>57</v>
      </c>
      <c r="G83" s="1209">
        <v>47</v>
      </c>
      <c r="H83" s="1209">
        <v>49</v>
      </c>
      <c r="I83" s="1209">
        <v>43</v>
      </c>
      <c r="J83" s="1209">
        <v>55</v>
      </c>
      <c r="K83" s="1209">
        <v>52</v>
      </c>
      <c r="L83" s="1209">
        <v>64</v>
      </c>
      <c r="M83" s="1209">
        <v>53</v>
      </c>
      <c r="N83" s="1209">
        <v>67</v>
      </c>
      <c r="O83" s="1209">
        <v>52</v>
      </c>
      <c r="P83" s="1209">
        <v>71</v>
      </c>
      <c r="Q83" s="1209">
        <v>60</v>
      </c>
      <c r="R83" s="1209">
        <v>74</v>
      </c>
      <c r="S83" s="1209">
        <v>49</v>
      </c>
    </row>
    <row r="84" spans="1:19" ht="15" customHeight="1" x14ac:dyDescent="0.25">
      <c r="A84" s="6322"/>
      <c r="B84" s="6195"/>
      <c r="C84" s="6309"/>
      <c r="D84" s="1192" t="s">
        <v>143</v>
      </c>
      <c r="E84" s="1208">
        <v>4</v>
      </c>
      <c r="F84" s="1209">
        <v>14</v>
      </c>
      <c r="G84" s="1209">
        <v>26</v>
      </c>
      <c r="H84" s="1209">
        <v>8</v>
      </c>
      <c r="I84" s="1209">
        <v>5</v>
      </c>
      <c r="J84" s="1209">
        <v>9</v>
      </c>
      <c r="K84" s="1209">
        <v>15</v>
      </c>
      <c r="L84" s="1209">
        <v>34</v>
      </c>
      <c r="M84" s="1209">
        <v>48</v>
      </c>
      <c r="N84" s="1209">
        <v>56</v>
      </c>
      <c r="O84" s="1209">
        <v>68</v>
      </c>
      <c r="P84" s="1209">
        <v>72</v>
      </c>
      <c r="Q84" s="1209">
        <v>79</v>
      </c>
      <c r="R84" s="1209">
        <v>83</v>
      </c>
      <c r="S84" s="1209">
        <v>75</v>
      </c>
    </row>
    <row r="85" spans="1:19" ht="15" customHeight="1" x14ac:dyDescent="0.25">
      <c r="A85" s="6322"/>
      <c r="B85" s="6195"/>
      <c r="C85" s="6309"/>
      <c r="D85" s="5155" t="s">
        <v>1580</v>
      </c>
      <c r="E85" s="1208"/>
      <c r="F85" s="1209"/>
      <c r="G85" s="1209"/>
      <c r="H85" s="1209"/>
      <c r="I85" s="1209"/>
      <c r="J85" s="1209"/>
      <c r="K85" s="1209"/>
      <c r="L85" s="1209"/>
      <c r="M85" s="1209"/>
      <c r="N85" s="1209"/>
      <c r="O85" s="1209"/>
      <c r="P85" s="1209"/>
      <c r="Q85" s="1209"/>
      <c r="R85" s="1209"/>
      <c r="S85" s="1209">
        <v>7</v>
      </c>
    </row>
    <row r="86" spans="1:19" ht="15" customHeight="1" x14ac:dyDescent="0.25">
      <c r="A86" s="6322"/>
      <c r="B86" s="6195"/>
      <c r="C86" s="6310"/>
      <c r="D86" s="5155" t="s">
        <v>1588</v>
      </c>
      <c r="E86" s="1208"/>
      <c r="F86" s="1209"/>
      <c r="G86" s="1209"/>
      <c r="H86" s="1209"/>
      <c r="I86" s="1209"/>
      <c r="J86" s="1209"/>
      <c r="K86" s="1209"/>
      <c r="L86" s="1209"/>
      <c r="M86" s="1209"/>
      <c r="N86" s="1209"/>
      <c r="O86" s="1209"/>
      <c r="P86" s="1209"/>
      <c r="Q86" s="1209"/>
      <c r="R86" s="1209"/>
      <c r="S86" s="1209">
        <v>3</v>
      </c>
    </row>
    <row r="87" spans="1:19" ht="15" customHeight="1" x14ac:dyDescent="0.2">
      <c r="A87" s="6322"/>
      <c r="B87" s="6325"/>
      <c r="C87" s="5153"/>
      <c r="D87" s="5154" t="s">
        <v>160</v>
      </c>
      <c r="E87" s="1222">
        <f>SUM(E70:E84)</f>
        <v>446</v>
      </c>
      <c r="F87" s="1222">
        <f t="shared" ref="F87:N87" si="5">SUM(F70:F84)</f>
        <v>518</v>
      </c>
      <c r="G87" s="1222">
        <f t="shared" si="5"/>
        <v>484</v>
      </c>
      <c r="H87" s="1222">
        <f t="shared" si="5"/>
        <v>466</v>
      </c>
      <c r="I87" s="1222">
        <f t="shared" si="5"/>
        <v>510</v>
      </c>
      <c r="J87" s="1222">
        <f t="shared" si="5"/>
        <v>649</v>
      </c>
      <c r="K87" s="1222">
        <f t="shared" si="5"/>
        <v>685</v>
      </c>
      <c r="L87" s="1222">
        <f t="shared" si="5"/>
        <v>866</v>
      </c>
      <c r="M87" s="1222">
        <f t="shared" si="5"/>
        <v>825</v>
      </c>
      <c r="N87" s="1222">
        <f t="shared" si="5"/>
        <v>769</v>
      </c>
      <c r="O87" s="1222">
        <f>SUM(O70:O84)</f>
        <v>649</v>
      </c>
      <c r="P87" s="1222">
        <f>SUM(P70:P84)</f>
        <v>714</v>
      </c>
      <c r="Q87" s="1222">
        <f>SUM(Q70:Q84)</f>
        <v>640</v>
      </c>
      <c r="R87" s="1222">
        <f>SUM(R70:R84)</f>
        <v>674</v>
      </c>
      <c r="S87" s="1222">
        <f>SUM(S70:S86)</f>
        <v>611</v>
      </c>
    </row>
    <row r="88" spans="1:19" ht="15" customHeight="1" x14ac:dyDescent="0.25">
      <c r="A88" s="6322"/>
      <c r="B88" s="6257" t="s">
        <v>11</v>
      </c>
      <c r="C88" s="6341" t="s">
        <v>522</v>
      </c>
      <c r="D88" s="1201" t="s">
        <v>56</v>
      </c>
      <c r="E88" s="1213">
        <v>12</v>
      </c>
      <c r="F88" s="1214">
        <v>12</v>
      </c>
      <c r="G88" s="1214">
        <v>17</v>
      </c>
      <c r="H88" s="1214">
        <v>35</v>
      </c>
      <c r="I88" s="1214">
        <v>36</v>
      </c>
      <c r="J88" s="1214">
        <v>33</v>
      </c>
      <c r="K88" s="1214">
        <v>33</v>
      </c>
      <c r="L88" s="1214">
        <v>40</v>
      </c>
      <c r="M88" s="1214">
        <v>43</v>
      </c>
      <c r="N88" s="1214">
        <v>42</v>
      </c>
      <c r="O88" s="1214">
        <v>35</v>
      </c>
      <c r="P88" s="1214">
        <v>28</v>
      </c>
      <c r="Q88" s="1214">
        <v>34</v>
      </c>
      <c r="R88" s="1214">
        <v>29</v>
      </c>
      <c r="S88" s="1214">
        <v>24</v>
      </c>
    </row>
    <row r="89" spans="1:19" ht="15" customHeight="1" x14ac:dyDescent="0.25">
      <c r="A89" s="6322"/>
      <c r="B89" s="6195"/>
      <c r="C89" s="6309"/>
      <c r="D89" s="1192" t="s">
        <v>57</v>
      </c>
      <c r="E89" s="1208">
        <v>41</v>
      </c>
      <c r="F89" s="1209">
        <v>38</v>
      </c>
      <c r="G89" s="1209">
        <v>34</v>
      </c>
      <c r="H89" s="1209">
        <v>19</v>
      </c>
      <c r="I89" s="1209">
        <v>31</v>
      </c>
      <c r="J89" s="1209">
        <v>28</v>
      </c>
      <c r="K89" s="1209">
        <v>30</v>
      </c>
      <c r="L89" s="1209">
        <v>23</v>
      </c>
      <c r="M89" s="1209">
        <v>23</v>
      </c>
      <c r="N89" s="1209">
        <v>23</v>
      </c>
      <c r="O89" s="1209">
        <v>28</v>
      </c>
      <c r="P89" s="1209">
        <v>27</v>
      </c>
      <c r="Q89" s="1209">
        <v>17</v>
      </c>
      <c r="R89" s="1209">
        <v>13</v>
      </c>
      <c r="S89" s="1209">
        <v>13</v>
      </c>
    </row>
    <row r="90" spans="1:19" ht="15" customHeight="1" x14ac:dyDescent="0.25">
      <c r="A90" s="6322"/>
      <c r="B90" s="6195"/>
      <c r="C90" s="4567"/>
      <c r="D90" s="4569" t="s">
        <v>1466</v>
      </c>
      <c r="E90" s="1208"/>
      <c r="F90" s="1209"/>
      <c r="G90" s="1209"/>
      <c r="H90" s="1209"/>
      <c r="I90" s="1209"/>
      <c r="J90" s="1209"/>
      <c r="K90" s="1209"/>
      <c r="L90" s="1209"/>
      <c r="M90" s="1209"/>
      <c r="N90" s="1209"/>
      <c r="O90" s="1209"/>
      <c r="P90" s="1209"/>
      <c r="Q90" s="1209"/>
      <c r="R90" s="1209">
        <v>1</v>
      </c>
      <c r="S90" s="1209"/>
    </row>
    <row r="91" spans="1:19" ht="15" customHeight="1" x14ac:dyDescent="0.25">
      <c r="A91" s="6322"/>
      <c r="B91" s="6195"/>
      <c r="C91" s="6341" t="s">
        <v>521</v>
      </c>
      <c r="D91" s="1195" t="s">
        <v>551</v>
      </c>
      <c r="E91" s="1208">
        <v>63</v>
      </c>
      <c r="F91" s="1209">
        <v>51</v>
      </c>
      <c r="G91" s="1209">
        <v>44</v>
      </c>
      <c r="H91" s="1209">
        <v>51</v>
      </c>
      <c r="I91" s="1209">
        <v>68</v>
      </c>
      <c r="J91" s="1209">
        <v>60</v>
      </c>
      <c r="K91" s="1209">
        <v>77</v>
      </c>
      <c r="L91" s="1209">
        <v>59</v>
      </c>
      <c r="M91" s="1209">
        <v>53</v>
      </c>
      <c r="N91" s="1209">
        <v>56</v>
      </c>
      <c r="O91" s="1209">
        <v>62</v>
      </c>
      <c r="P91" s="1209">
        <v>69</v>
      </c>
      <c r="Q91" s="1209">
        <v>65</v>
      </c>
      <c r="R91" s="1209">
        <v>52</v>
      </c>
      <c r="S91" s="1209">
        <v>41</v>
      </c>
    </row>
    <row r="92" spans="1:19" ht="15" customHeight="1" x14ac:dyDescent="0.25">
      <c r="A92" s="6322"/>
      <c r="B92" s="6195"/>
      <c r="C92" s="6309"/>
      <c r="D92" s="1192" t="s">
        <v>384</v>
      </c>
      <c r="E92" s="1208">
        <v>5</v>
      </c>
      <c r="F92" s="1209">
        <v>1</v>
      </c>
      <c r="G92" s="1209"/>
      <c r="H92" s="1209"/>
      <c r="I92" s="1209"/>
      <c r="J92" s="1209"/>
      <c r="K92" s="1209">
        <v>1</v>
      </c>
      <c r="L92" s="1209">
        <v>1</v>
      </c>
      <c r="M92" s="1209"/>
      <c r="N92" s="1209">
        <v>16</v>
      </c>
      <c r="O92" s="1209">
        <v>26</v>
      </c>
      <c r="P92" s="1209">
        <v>41</v>
      </c>
      <c r="Q92" s="1209">
        <v>41</v>
      </c>
      <c r="R92" s="1209">
        <v>47</v>
      </c>
      <c r="S92" s="1209">
        <v>51</v>
      </c>
    </row>
    <row r="93" spans="1:19" ht="15" customHeight="1" x14ac:dyDescent="0.25">
      <c r="A93" s="6322"/>
      <c r="B93" s="6195"/>
      <c r="C93" s="6309"/>
      <c r="D93" s="1195" t="s">
        <v>552</v>
      </c>
      <c r="E93" s="1208">
        <v>24</v>
      </c>
      <c r="F93" s="1209">
        <v>24</v>
      </c>
      <c r="G93" s="1209">
        <v>26</v>
      </c>
      <c r="H93" s="1209">
        <v>24</v>
      </c>
      <c r="I93" s="1209">
        <v>35</v>
      </c>
      <c r="J93" s="1209">
        <v>44</v>
      </c>
      <c r="K93" s="1209">
        <v>60</v>
      </c>
      <c r="L93" s="1209">
        <v>63</v>
      </c>
      <c r="M93" s="1209">
        <v>71</v>
      </c>
      <c r="N93" s="1209">
        <v>71</v>
      </c>
      <c r="O93" s="1209">
        <v>62</v>
      </c>
      <c r="P93" s="1209">
        <v>55</v>
      </c>
      <c r="Q93" s="1209">
        <v>48</v>
      </c>
      <c r="R93" s="1209">
        <v>46</v>
      </c>
      <c r="S93" s="1209">
        <v>38</v>
      </c>
    </row>
    <row r="94" spans="1:19" ht="15" customHeight="1" x14ac:dyDescent="0.25">
      <c r="A94" s="6322"/>
      <c r="B94" s="6195"/>
      <c r="C94" s="6310"/>
      <c r="D94" s="1192" t="s">
        <v>87</v>
      </c>
      <c r="E94" s="1208">
        <v>41</v>
      </c>
      <c r="F94" s="1209">
        <v>42</v>
      </c>
      <c r="G94" s="1209">
        <v>32</v>
      </c>
      <c r="H94" s="1209">
        <v>28</v>
      </c>
      <c r="I94" s="1209">
        <v>34</v>
      </c>
      <c r="J94" s="1209">
        <v>54</v>
      </c>
      <c r="K94" s="1209">
        <v>57</v>
      </c>
      <c r="L94" s="1209">
        <v>58</v>
      </c>
      <c r="M94" s="1209">
        <v>74</v>
      </c>
      <c r="N94" s="1209">
        <v>66</v>
      </c>
      <c r="O94" s="1209">
        <v>83</v>
      </c>
      <c r="P94" s="1209">
        <v>84</v>
      </c>
      <c r="Q94" s="1209">
        <v>87</v>
      </c>
      <c r="R94" s="1209">
        <v>80</v>
      </c>
      <c r="S94" s="1209">
        <v>64</v>
      </c>
    </row>
    <row r="95" spans="1:19" ht="15" customHeight="1" x14ac:dyDescent="0.25">
      <c r="A95" s="6322"/>
      <c r="B95" s="6195"/>
      <c r="C95" s="6308" t="s">
        <v>520</v>
      </c>
      <c r="D95" s="1195" t="s">
        <v>551</v>
      </c>
      <c r="E95" s="1208">
        <v>57</v>
      </c>
      <c r="F95" s="1209">
        <v>66</v>
      </c>
      <c r="G95" s="1209">
        <v>71</v>
      </c>
      <c r="H95" s="1209">
        <v>77</v>
      </c>
      <c r="I95" s="1209">
        <v>73</v>
      </c>
      <c r="J95" s="1209">
        <v>79</v>
      </c>
      <c r="K95" s="1209">
        <v>83</v>
      </c>
      <c r="L95" s="1209">
        <v>105</v>
      </c>
      <c r="M95" s="1209">
        <v>111</v>
      </c>
      <c r="N95" s="1209">
        <v>115</v>
      </c>
      <c r="O95" s="1209">
        <v>115</v>
      </c>
      <c r="P95" s="1209">
        <v>115</v>
      </c>
      <c r="Q95" s="1209">
        <v>116</v>
      </c>
      <c r="R95" s="1209">
        <v>110</v>
      </c>
      <c r="S95" s="1209">
        <v>117</v>
      </c>
    </row>
    <row r="96" spans="1:19" ht="15" customHeight="1" x14ac:dyDescent="0.25">
      <c r="A96" s="6322"/>
      <c r="B96" s="6195"/>
      <c r="C96" s="6309"/>
      <c r="D96" s="1195" t="s">
        <v>552</v>
      </c>
      <c r="E96" s="1208">
        <v>21</v>
      </c>
      <c r="F96" s="1209">
        <v>26</v>
      </c>
      <c r="G96" s="1209">
        <v>35</v>
      </c>
      <c r="H96" s="1209">
        <v>33</v>
      </c>
      <c r="I96" s="1209">
        <v>37</v>
      </c>
      <c r="J96" s="1209">
        <v>40</v>
      </c>
      <c r="K96" s="1209">
        <v>36</v>
      </c>
      <c r="L96" s="1209">
        <v>47</v>
      </c>
      <c r="M96" s="1209">
        <v>55</v>
      </c>
      <c r="N96" s="1209">
        <v>67</v>
      </c>
      <c r="O96" s="1209">
        <v>70</v>
      </c>
      <c r="P96" s="1209">
        <v>74</v>
      </c>
      <c r="Q96" s="1209">
        <v>74</v>
      </c>
      <c r="R96" s="1209">
        <v>62</v>
      </c>
      <c r="S96" s="1209">
        <v>64</v>
      </c>
    </row>
    <row r="97" spans="1:19" ht="15" customHeight="1" x14ac:dyDescent="0.25">
      <c r="A97" s="6322"/>
      <c r="B97" s="6195"/>
      <c r="C97" s="6310"/>
      <c r="D97" s="5155" t="s">
        <v>387</v>
      </c>
      <c r="E97" s="1208">
        <v>89</v>
      </c>
      <c r="F97" s="1209">
        <v>82</v>
      </c>
      <c r="G97" s="1209">
        <v>69</v>
      </c>
      <c r="H97" s="1209">
        <v>57</v>
      </c>
      <c r="I97" s="1209">
        <v>58</v>
      </c>
      <c r="J97" s="1209">
        <v>46</v>
      </c>
      <c r="K97" s="1209">
        <v>60</v>
      </c>
      <c r="L97" s="1209">
        <v>65</v>
      </c>
      <c r="M97" s="1209">
        <v>69</v>
      </c>
      <c r="N97" s="1209">
        <v>81</v>
      </c>
      <c r="O97" s="1209">
        <v>87</v>
      </c>
      <c r="P97" s="1209">
        <v>102</v>
      </c>
      <c r="Q97" s="1209">
        <v>112</v>
      </c>
      <c r="R97" s="1209">
        <v>124</v>
      </c>
      <c r="S97" s="1209">
        <v>119</v>
      </c>
    </row>
    <row r="98" spans="1:19" ht="15" customHeight="1" x14ac:dyDescent="0.2">
      <c r="A98" s="6322"/>
      <c r="B98" s="6196"/>
      <c r="C98" s="5153"/>
      <c r="D98" s="5154" t="s">
        <v>160</v>
      </c>
      <c r="E98" s="1222">
        <f>SUM(E88:E97)</f>
        <v>353</v>
      </c>
      <c r="F98" s="1222">
        <f t="shared" ref="F98:N98" si="6">SUM(F88:F97)</f>
        <v>342</v>
      </c>
      <c r="G98" s="1222">
        <f t="shared" si="6"/>
        <v>328</v>
      </c>
      <c r="H98" s="1222">
        <f t="shared" si="6"/>
        <v>324</v>
      </c>
      <c r="I98" s="1222">
        <f t="shared" si="6"/>
        <v>372</v>
      </c>
      <c r="J98" s="1222">
        <f t="shared" si="6"/>
        <v>384</v>
      </c>
      <c r="K98" s="1222">
        <f t="shared" si="6"/>
        <v>437</v>
      </c>
      <c r="L98" s="1222">
        <f t="shared" si="6"/>
        <v>461</v>
      </c>
      <c r="M98" s="1222">
        <f t="shared" si="6"/>
        <v>499</v>
      </c>
      <c r="N98" s="1222">
        <f t="shared" si="6"/>
        <v>537</v>
      </c>
      <c r="O98" s="1222">
        <f>SUM(O88:O97)</f>
        <v>568</v>
      </c>
      <c r="P98" s="1222">
        <f>SUM(P88:P97)</f>
        <v>595</v>
      </c>
      <c r="Q98" s="1222">
        <f>SUM(Q88:Q97)</f>
        <v>594</v>
      </c>
      <c r="R98" s="1222">
        <f>SUM(R88:R97)</f>
        <v>564</v>
      </c>
      <c r="S98" s="1222">
        <f>SUM(S88:S97)</f>
        <v>531</v>
      </c>
    </row>
    <row r="99" spans="1:19" ht="15" customHeight="1" x14ac:dyDescent="0.2">
      <c r="A99" s="6323"/>
      <c r="B99" s="4699"/>
      <c r="C99" s="4699"/>
      <c r="D99" s="4725" t="s">
        <v>524</v>
      </c>
      <c r="E99" s="4720">
        <f>SUM(E98,E87,E69)</f>
        <v>1142</v>
      </c>
      <c r="F99" s="4720">
        <f t="shared" ref="F99:N99" si="7">SUM(F98,F87,F69)</f>
        <v>1209</v>
      </c>
      <c r="G99" s="4720">
        <f t="shared" si="7"/>
        <v>1213</v>
      </c>
      <c r="H99" s="4720">
        <f t="shared" si="7"/>
        <v>1210</v>
      </c>
      <c r="I99" s="4720">
        <f t="shared" si="7"/>
        <v>1314</v>
      </c>
      <c r="J99" s="4720">
        <f t="shared" si="7"/>
        <v>1459</v>
      </c>
      <c r="K99" s="4720">
        <f t="shared" si="7"/>
        <v>1563</v>
      </c>
      <c r="L99" s="4720">
        <f t="shared" si="7"/>
        <v>1781</v>
      </c>
      <c r="M99" s="4720">
        <f t="shared" si="7"/>
        <v>1821</v>
      </c>
      <c r="N99" s="4720">
        <f t="shared" si="7"/>
        <v>1826</v>
      </c>
      <c r="O99" s="4720">
        <f>SUM(O98,O87,O69)</f>
        <v>1773</v>
      </c>
      <c r="P99" s="4720">
        <f>SUM(P98,P87,P69)</f>
        <v>1875</v>
      </c>
      <c r="Q99" s="4720">
        <f>SUM(Q98,Q87,Q69)</f>
        <v>1802</v>
      </c>
      <c r="R99" s="4720">
        <f>SUM(R98,R87,R69)</f>
        <v>1833</v>
      </c>
      <c r="S99" s="4720">
        <f>SUM(S69,S87,S98)</f>
        <v>1717</v>
      </c>
    </row>
    <row r="100" spans="1:19" ht="15" customHeight="1" x14ac:dyDescent="0.25">
      <c r="A100" s="6411" t="s">
        <v>10</v>
      </c>
      <c r="B100" s="6182" t="s">
        <v>6</v>
      </c>
      <c r="C100" s="6341" t="s">
        <v>522</v>
      </c>
      <c r="D100" s="1212" t="s">
        <v>58</v>
      </c>
      <c r="E100" s="1190">
        <v>7</v>
      </c>
      <c r="F100" s="1191">
        <v>5</v>
      </c>
      <c r="G100" s="1191">
        <v>3</v>
      </c>
      <c r="H100" s="1191">
        <v>5</v>
      </c>
      <c r="I100" s="1191">
        <v>20</v>
      </c>
      <c r="J100" s="1191">
        <v>25</v>
      </c>
      <c r="K100" s="1191">
        <v>20</v>
      </c>
      <c r="L100" s="1191">
        <v>19</v>
      </c>
      <c r="M100" s="1191">
        <v>1</v>
      </c>
      <c r="N100" s="1191"/>
      <c r="O100" s="1191"/>
      <c r="P100" s="1191"/>
      <c r="Q100" s="1191"/>
      <c r="R100" s="1191"/>
      <c r="S100" s="1191"/>
    </row>
    <row r="101" spans="1:19" ht="15" customHeight="1" x14ac:dyDescent="0.25">
      <c r="A101" s="6412"/>
      <c r="B101" s="6183"/>
      <c r="C101" s="6309"/>
      <c r="D101" s="1207" t="s">
        <v>420</v>
      </c>
      <c r="E101" s="1213"/>
      <c r="F101" s="1214"/>
      <c r="G101" s="1214"/>
      <c r="H101" s="1214"/>
      <c r="I101" s="1214"/>
      <c r="J101" s="1214"/>
      <c r="K101" s="1214"/>
      <c r="L101" s="1214"/>
      <c r="M101" s="1214"/>
      <c r="N101" s="1214">
        <v>17</v>
      </c>
      <c r="O101" s="1214"/>
      <c r="P101" s="1214"/>
      <c r="Q101" s="1214"/>
      <c r="R101" s="1214"/>
      <c r="S101" s="1214"/>
    </row>
    <row r="102" spans="1:19" ht="15" customHeight="1" x14ac:dyDescent="0.25">
      <c r="A102" s="6412"/>
      <c r="B102" s="6183"/>
      <c r="C102" s="6310"/>
      <c r="D102" s="1195" t="s">
        <v>388</v>
      </c>
      <c r="E102" s="1208">
        <v>17</v>
      </c>
      <c r="F102" s="1209">
        <v>1</v>
      </c>
      <c r="G102" s="1209">
        <v>1</v>
      </c>
      <c r="H102" s="1209"/>
      <c r="I102" s="1209">
        <v>1</v>
      </c>
      <c r="J102" s="1209"/>
      <c r="K102" s="1209">
        <v>2</v>
      </c>
      <c r="L102" s="1209"/>
      <c r="M102" s="1209">
        <v>35</v>
      </c>
      <c r="N102" s="1209">
        <v>39</v>
      </c>
      <c r="O102" s="1209">
        <v>34</v>
      </c>
      <c r="P102" s="1209">
        <v>2</v>
      </c>
      <c r="Q102" s="1209"/>
      <c r="R102" s="1209"/>
      <c r="S102" s="1209">
        <v>30</v>
      </c>
    </row>
    <row r="103" spans="1:19" ht="15" customHeight="1" x14ac:dyDescent="0.25">
      <c r="A103" s="6412"/>
      <c r="B103" s="6183"/>
      <c r="C103" s="6308" t="s">
        <v>521</v>
      </c>
      <c r="D103" s="1195" t="s">
        <v>89</v>
      </c>
      <c r="E103" s="1208">
        <v>14</v>
      </c>
      <c r="F103" s="1209">
        <v>34</v>
      </c>
      <c r="G103" s="1209">
        <v>20</v>
      </c>
      <c r="H103" s="1209">
        <v>32</v>
      </c>
      <c r="I103" s="1209">
        <v>12</v>
      </c>
      <c r="J103" s="1209">
        <v>21</v>
      </c>
      <c r="K103" s="1209">
        <v>9</v>
      </c>
      <c r="L103" s="1209">
        <v>18</v>
      </c>
      <c r="M103" s="1209">
        <v>20</v>
      </c>
      <c r="N103" s="1209">
        <v>23</v>
      </c>
      <c r="O103" s="1209">
        <v>23</v>
      </c>
      <c r="P103" s="1209">
        <v>45</v>
      </c>
      <c r="Q103" s="1209">
        <v>22</v>
      </c>
      <c r="R103" s="1209">
        <v>43</v>
      </c>
      <c r="S103" s="1209">
        <v>24</v>
      </c>
    </row>
    <row r="104" spans="1:19" ht="15" customHeight="1" x14ac:dyDescent="0.25">
      <c r="A104" s="6412"/>
      <c r="B104" s="6183"/>
      <c r="C104" s="6309"/>
      <c r="D104" s="1195" t="s">
        <v>389</v>
      </c>
      <c r="E104" s="1208">
        <v>46</v>
      </c>
      <c r="F104" s="1209">
        <v>29</v>
      </c>
      <c r="G104" s="1209">
        <v>55</v>
      </c>
      <c r="H104" s="1209">
        <v>32</v>
      </c>
      <c r="I104" s="1209">
        <v>71</v>
      </c>
      <c r="J104" s="1209">
        <v>37</v>
      </c>
      <c r="K104" s="1209">
        <v>74</v>
      </c>
      <c r="L104" s="1209">
        <v>41</v>
      </c>
      <c r="M104" s="1209">
        <v>39</v>
      </c>
      <c r="N104" s="1209">
        <v>1</v>
      </c>
      <c r="O104" s="1209">
        <v>40</v>
      </c>
      <c r="P104" s="1209">
        <v>33</v>
      </c>
      <c r="Q104" s="1209">
        <v>66</v>
      </c>
      <c r="R104" s="1209">
        <v>37</v>
      </c>
      <c r="S104" s="1209">
        <v>34</v>
      </c>
    </row>
    <row r="105" spans="1:19" ht="15" customHeight="1" x14ac:dyDescent="0.25">
      <c r="A105" s="6412"/>
      <c r="B105" s="6183"/>
      <c r="C105" s="6309"/>
      <c r="D105" s="1192" t="s">
        <v>390</v>
      </c>
      <c r="E105" s="1208">
        <v>18</v>
      </c>
      <c r="F105" s="1209">
        <v>36</v>
      </c>
      <c r="G105" s="1209">
        <v>27</v>
      </c>
      <c r="H105" s="1209">
        <v>39</v>
      </c>
      <c r="I105" s="1209">
        <v>26</v>
      </c>
      <c r="J105" s="1209">
        <v>54</v>
      </c>
      <c r="K105" s="1209">
        <v>40</v>
      </c>
      <c r="L105" s="1209">
        <v>60</v>
      </c>
      <c r="M105" s="1209">
        <v>37</v>
      </c>
      <c r="N105" s="1209">
        <v>72</v>
      </c>
      <c r="O105" s="1209">
        <v>47</v>
      </c>
      <c r="P105" s="1209">
        <v>66</v>
      </c>
      <c r="Q105" s="1209">
        <v>34</v>
      </c>
      <c r="R105" s="1209">
        <v>61</v>
      </c>
      <c r="S105" s="1209">
        <v>29</v>
      </c>
    </row>
    <row r="106" spans="1:19" ht="15" customHeight="1" x14ac:dyDescent="0.25">
      <c r="A106" s="6412"/>
      <c r="B106" s="6183"/>
      <c r="C106" s="6309"/>
      <c r="D106" s="1192" t="s">
        <v>1484</v>
      </c>
      <c r="E106" s="1208">
        <v>23</v>
      </c>
      <c r="F106" s="1209">
        <v>41</v>
      </c>
      <c r="G106" s="1209">
        <v>18</v>
      </c>
      <c r="H106" s="1209">
        <v>29</v>
      </c>
      <c r="I106" s="1209">
        <v>13</v>
      </c>
      <c r="J106" s="1209">
        <v>35</v>
      </c>
      <c r="K106" s="1209">
        <v>27</v>
      </c>
      <c r="L106" s="1209">
        <v>54</v>
      </c>
      <c r="M106" s="1209">
        <v>27</v>
      </c>
      <c r="N106" s="1209">
        <v>52</v>
      </c>
      <c r="O106" s="1209">
        <v>24</v>
      </c>
      <c r="P106" s="1209">
        <v>37</v>
      </c>
      <c r="Q106" s="1209">
        <v>15</v>
      </c>
      <c r="R106" s="1209">
        <v>31</v>
      </c>
      <c r="S106" s="1209">
        <v>18</v>
      </c>
    </row>
    <row r="107" spans="1:19" ht="15" customHeight="1" x14ac:dyDescent="0.25">
      <c r="A107" s="6412"/>
      <c r="B107" s="6183"/>
      <c r="C107" s="6309"/>
      <c r="D107" s="1192" t="s">
        <v>19</v>
      </c>
      <c r="E107" s="1208">
        <v>28</v>
      </c>
      <c r="F107" s="1209">
        <v>46</v>
      </c>
      <c r="G107" s="1209">
        <v>22</v>
      </c>
      <c r="H107" s="1209">
        <v>40</v>
      </c>
      <c r="I107" s="1209">
        <v>26</v>
      </c>
      <c r="J107" s="1209">
        <v>48</v>
      </c>
      <c r="K107" s="1209">
        <v>32</v>
      </c>
      <c r="L107" s="1209">
        <v>46</v>
      </c>
      <c r="M107" s="1209">
        <v>23</v>
      </c>
      <c r="N107" s="1209">
        <v>39</v>
      </c>
      <c r="O107" s="1209">
        <v>28</v>
      </c>
      <c r="P107" s="1209">
        <v>41</v>
      </c>
      <c r="Q107" s="1209">
        <v>21</v>
      </c>
      <c r="R107" s="1209">
        <v>43</v>
      </c>
      <c r="S107" s="1209">
        <v>25</v>
      </c>
    </row>
    <row r="108" spans="1:19" ht="15" customHeight="1" x14ac:dyDescent="0.25">
      <c r="A108" s="6412"/>
      <c r="B108" s="6183"/>
      <c r="C108" s="6309"/>
      <c r="D108" s="1192" t="s">
        <v>88</v>
      </c>
      <c r="E108" s="1208">
        <v>23</v>
      </c>
      <c r="F108" s="1209">
        <v>42</v>
      </c>
      <c r="G108" s="1209">
        <v>17</v>
      </c>
      <c r="H108" s="1209">
        <v>37</v>
      </c>
      <c r="I108" s="1209">
        <v>23</v>
      </c>
      <c r="J108" s="1209">
        <v>41</v>
      </c>
      <c r="K108" s="1209">
        <v>23</v>
      </c>
      <c r="L108" s="1209">
        <v>42</v>
      </c>
      <c r="M108" s="1209">
        <v>20</v>
      </c>
      <c r="N108" s="1209">
        <v>35</v>
      </c>
      <c r="O108" s="1209">
        <v>15</v>
      </c>
      <c r="P108" s="1209">
        <v>29</v>
      </c>
      <c r="Q108" s="1209">
        <v>19</v>
      </c>
      <c r="R108" s="1209">
        <v>35</v>
      </c>
      <c r="S108" s="1209">
        <v>21</v>
      </c>
    </row>
    <row r="109" spans="1:19" ht="15" customHeight="1" x14ac:dyDescent="0.25">
      <c r="A109" s="6412"/>
      <c r="B109" s="6183"/>
      <c r="C109" s="6309"/>
      <c r="D109" s="1192" t="s">
        <v>391</v>
      </c>
      <c r="E109" s="1208">
        <v>34</v>
      </c>
      <c r="F109" s="1209">
        <v>44</v>
      </c>
      <c r="G109" s="1209">
        <v>31</v>
      </c>
      <c r="H109" s="1209">
        <v>46</v>
      </c>
      <c r="I109" s="1209">
        <v>29</v>
      </c>
      <c r="J109" s="1209">
        <v>32</v>
      </c>
      <c r="K109" s="1209">
        <v>24</v>
      </c>
      <c r="L109" s="1209">
        <v>35</v>
      </c>
      <c r="M109" s="1209">
        <v>16</v>
      </c>
      <c r="N109" s="1209">
        <v>27</v>
      </c>
      <c r="O109" s="1209">
        <v>20</v>
      </c>
      <c r="P109" s="1209">
        <v>31</v>
      </c>
      <c r="Q109" s="1209">
        <v>25</v>
      </c>
      <c r="R109" s="1209">
        <v>35</v>
      </c>
      <c r="S109" s="1209">
        <v>17</v>
      </c>
    </row>
    <row r="110" spans="1:19" ht="15" customHeight="1" x14ac:dyDescent="0.25">
      <c r="A110" s="6412"/>
      <c r="B110" s="6183"/>
      <c r="C110" s="6309"/>
      <c r="D110" s="1195" t="s">
        <v>139</v>
      </c>
      <c r="E110" s="1208">
        <v>2</v>
      </c>
      <c r="F110" s="1209">
        <v>3</v>
      </c>
      <c r="G110" s="1209">
        <v>2</v>
      </c>
      <c r="H110" s="1209">
        <v>12</v>
      </c>
      <c r="I110" s="1209"/>
      <c r="J110" s="1209">
        <v>3</v>
      </c>
      <c r="K110" s="1209">
        <v>15</v>
      </c>
      <c r="L110" s="1209">
        <v>1</v>
      </c>
      <c r="M110" s="1209"/>
      <c r="N110" s="1209"/>
      <c r="O110" s="1209"/>
      <c r="P110" s="1209"/>
      <c r="Q110" s="1209"/>
      <c r="R110" s="1209"/>
      <c r="S110" s="1209"/>
    </row>
    <row r="111" spans="1:19" ht="15" customHeight="1" x14ac:dyDescent="0.25">
      <c r="A111" s="6412"/>
      <c r="B111" s="6183"/>
      <c r="C111" s="6309"/>
      <c r="D111" s="1196" t="s">
        <v>421</v>
      </c>
      <c r="E111" s="1199"/>
      <c r="F111" s="1200"/>
      <c r="G111" s="1200"/>
      <c r="H111" s="1200"/>
      <c r="I111" s="1200"/>
      <c r="J111" s="1200"/>
      <c r="K111" s="1200"/>
      <c r="L111" s="1200"/>
      <c r="M111" s="1200"/>
      <c r="N111" s="1200">
        <v>19</v>
      </c>
      <c r="O111" s="1200">
        <v>16</v>
      </c>
      <c r="P111" s="1200">
        <v>22</v>
      </c>
      <c r="Q111" s="1200">
        <v>20</v>
      </c>
      <c r="R111" s="1200">
        <v>29</v>
      </c>
      <c r="S111" s="1200">
        <v>16</v>
      </c>
    </row>
    <row r="112" spans="1:19" ht="15" customHeight="1" x14ac:dyDescent="0.2">
      <c r="A112" s="6412"/>
      <c r="B112" s="6183"/>
      <c r="C112" s="6309"/>
      <c r="D112" s="5148" t="s">
        <v>1580</v>
      </c>
      <c r="E112" s="1199"/>
      <c r="F112" s="1200"/>
      <c r="G112" s="1200"/>
      <c r="H112" s="1200"/>
      <c r="I112" s="1200"/>
      <c r="J112" s="1200"/>
      <c r="K112" s="1200"/>
      <c r="L112" s="1200"/>
      <c r="M112" s="1200"/>
      <c r="N112" s="1200"/>
      <c r="O112" s="1200"/>
      <c r="P112" s="1200"/>
      <c r="Q112" s="1200"/>
      <c r="R112" s="1200"/>
      <c r="S112" s="1200">
        <v>4</v>
      </c>
    </row>
    <row r="113" spans="1:19" ht="15" customHeight="1" x14ac:dyDescent="0.2">
      <c r="A113" s="6412"/>
      <c r="B113" s="6183"/>
      <c r="C113" s="6310"/>
      <c r="D113" s="5148" t="s">
        <v>1589</v>
      </c>
      <c r="E113" s="1199"/>
      <c r="F113" s="1200"/>
      <c r="G113" s="1200"/>
      <c r="H113" s="1200"/>
      <c r="I113" s="1200"/>
      <c r="J113" s="1200"/>
      <c r="K113" s="1200"/>
      <c r="L113" s="1200"/>
      <c r="M113" s="1200"/>
      <c r="N113" s="1200"/>
      <c r="O113" s="1200"/>
      <c r="P113" s="1200"/>
      <c r="Q113" s="1200"/>
      <c r="R113" s="1200"/>
      <c r="S113" s="1200">
        <v>19</v>
      </c>
    </row>
    <row r="114" spans="1:19" ht="15" customHeight="1" x14ac:dyDescent="0.25">
      <c r="A114" s="6412"/>
      <c r="B114" s="6183"/>
      <c r="C114" s="6308" t="s">
        <v>520</v>
      </c>
      <c r="D114" s="1195" t="s">
        <v>90</v>
      </c>
      <c r="E114" s="1208">
        <v>29</v>
      </c>
      <c r="F114" s="1209">
        <v>28</v>
      </c>
      <c r="G114" s="1209">
        <v>31</v>
      </c>
      <c r="H114" s="1209">
        <v>28</v>
      </c>
      <c r="I114" s="1209">
        <v>41</v>
      </c>
      <c r="J114" s="1209">
        <v>26</v>
      </c>
      <c r="K114" s="1209">
        <v>30</v>
      </c>
      <c r="L114" s="1209">
        <v>32</v>
      </c>
      <c r="M114" s="1209">
        <v>53</v>
      </c>
      <c r="N114" s="1209">
        <v>31</v>
      </c>
      <c r="O114" s="1209">
        <v>52</v>
      </c>
      <c r="P114" s="1209">
        <v>40</v>
      </c>
      <c r="Q114" s="1209">
        <v>63</v>
      </c>
      <c r="R114" s="1209">
        <v>45</v>
      </c>
      <c r="S114" s="1209">
        <v>57</v>
      </c>
    </row>
    <row r="115" spans="1:19" ht="15" customHeight="1" x14ac:dyDescent="0.25">
      <c r="A115" s="6412"/>
      <c r="B115" s="6183"/>
      <c r="C115" s="6309"/>
      <c r="D115" s="1195" t="s">
        <v>143</v>
      </c>
      <c r="E115" s="1208">
        <v>23</v>
      </c>
      <c r="F115" s="1209">
        <v>13</v>
      </c>
      <c r="G115" s="1209">
        <v>8</v>
      </c>
      <c r="H115" s="1209">
        <v>17</v>
      </c>
      <c r="I115" s="1209">
        <v>1</v>
      </c>
      <c r="J115" s="1209">
        <v>4</v>
      </c>
      <c r="K115" s="1209">
        <v>11</v>
      </c>
      <c r="L115" s="1209">
        <v>4</v>
      </c>
      <c r="M115" s="1209">
        <v>4</v>
      </c>
      <c r="N115" s="1209">
        <v>5</v>
      </c>
      <c r="O115" s="1209">
        <v>3</v>
      </c>
      <c r="P115" s="1209">
        <v>2</v>
      </c>
      <c r="Q115" s="1209"/>
      <c r="R115" s="1209"/>
      <c r="S115" s="1209">
        <v>8</v>
      </c>
    </row>
    <row r="116" spans="1:19" ht="15" customHeight="1" x14ac:dyDescent="0.25">
      <c r="A116" s="6412"/>
      <c r="B116" s="6183"/>
      <c r="C116" s="6309"/>
      <c r="D116" s="1196" t="s">
        <v>20</v>
      </c>
      <c r="E116" s="1210">
        <v>90</v>
      </c>
      <c r="F116" s="1211">
        <v>59</v>
      </c>
      <c r="G116" s="1211">
        <v>97</v>
      </c>
      <c r="H116" s="1211">
        <v>73</v>
      </c>
      <c r="I116" s="1211">
        <v>145</v>
      </c>
      <c r="J116" s="1211">
        <v>126</v>
      </c>
      <c r="K116" s="1211">
        <v>161</v>
      </c>
      <c r="L116" s="1211">
        <v>135</v>
      </c>
      <c r="M116" s="1211">
        <v>154</v>
      </c>
      <c r="N116" s="1211">
        <v>107</v>
      </c>
      <c r="O116" s="1211">
        <v>123</v>
      </c>
      <c r="P116" s="1211">
        <v>106</v>
      </c>
      <c r="Q116" s="1211">
        <v>120</v>
      </c>
      <c r="R116" s="1211">
        <v>109</v>
      </c>
      <c r="S116" s="1211">
        <v>136</v>
      </c>
    </row>
    <row r="117" spans="1:19" ht="15" customHeight="1" x14ac:dyDescent="0.25">
      <c r="A117" s="6412"/>
      <c r="B117" s="6183"/>
      <c r="C117" s="6309"/>
      <c r="D117" s="1195" t="s">
        <v>1580</v>
      </c>
      <c r="E117" s="1208"/>
      <c r="F117" s="1209"/>
      <c r="G117" s="1209"/>
      <c r="H117" s="1209"/>
      <c r="I117" s="1209"/>
      <c r="J117" s="1209"/>
      <c r="K117" s="1209"/>
      <c r="L117" s="1209"/>
      <c r="M117" s="1209"/>
      <c r="N117" s="1209"/>
      <c r="O117" s="1209"/>
      <c r="P117" s="1209"/>
      <c r="Q117" s="1209"/>
      <c r="R117" s="1209"/>
      <c r="S117" s="1209">
        <v>1</v>
      </c>
    </row>
    <row r="118" spans="1:19" ht="15" customHeight="1" x14ac:dyDescent="0.25">
      <c r="A118" s="6412"/>
      <c r="B118" s="6183"/>
      <c r="C118" s="6310"/>
      <c r="D118" s="1196" t="s">
        <v>1590</v>
      </c>
      <c r="E118" s="1199"/>
      <c r="F118" s="1200"/>
      <c r="G118" s="1200"/>
      <c r="H118" s="1200"/>
      <c r="I118" s="1200"/>
      <c r="J118" s="1200"/>
      <c r="K118" s="1200"/>
      <c r="L118" s="1200"/>
      <c r="M118" s="1200"/>
      <c r="N118" s="1200"/>
      <c r="O118" s="1200"/>
      <c r="P118" s="1200"/>
      <c r="Q118" s="1200"/>
      <c r="R118" s="1200"/>
      <c r="S118" s="1200">
        <v>15</v>
      </c>
    </row>
    <row r="119" spans="1:19" ht="15" customHeight="1" x14ac:dyDescent="0.2">
      <c r="A119" s="6412"/>
      <c r="B119" s="6185"/>
      <c r="C119" s="5153"/>
      <c r="D119" s="5154" t="s">
        <v>160</v>
      </c>
      <c r="E119" s="1222">
        <f>SUM(E100:E116)</f>
        <v>354</v>
      </c>
      <c r="F119" s="1222">
        <f t="shared" ref="F119:N119" si="8">SUM(F100:F116)</f>
        <v>381</v>
      </c>
      <c r="G119" s="1222">
        <f t="shared" si="8"/>
        <v>332</v>
      </c>
      <c r="H119" s="1222">
        <f t="shared" si="8"/>
        <v>390</v>
      </c>
      <c r="I119" s="1222">
        <f t="shared" si="8"/>
        <v>408</v>
      </c>
      <c r="J119" s="1222">
        <f t="shared" si="8"/>
        <v>452</v>
      </c>
      <c r="K119" s="1222">
        <f t="shared" si="8"/>
        <v>468</v>
      </c>
      <c r="L119" s="1222">
        <f t="shared" si="8"/>
        <v>487</v>
      </c>
      <c r="M119" s="1222">
        <f t="shared" si="8"/>
        <v>429</v>
      </c>
      <c r="N119" s="1222">
        <f t="shared" si="8"/>
        <v>467</v>
      </c>
      <c r="O119" s="1222">
        <f>SUM(O100:O116)</f>
        <v>425</v>
      </c>
      <c r="P119" s="1222">
        <f>SUM(P100:P116)</f>
        <v>454</v>
      </c>
      <c r="Q119" s="1222">
        <f>SUM(Q100:Q116)</f>
        <v>405</v>
      </c>
      <c r="R119" s="1222">
        <f>SUM(R100:R116)</f>
        <v>468</v>
      </c>
      <c r="S119" s="1222">
        <f>SUM(S100:S118)</f>
        <v>454</v>
      </c>
    </row>
    <row r="120" spans="1:19" ht="15" customHeight="1" x14ac:dyDescent="0.25">
      <c r="A120" s="6412"/>
      <c r="B120" s="6183" t="s">
        <v>11</v>
      </c>
      <c r="C120" s="6341" t="s">
        <v>522</v>
      </c>
      <c r="D120" s="1201" t="s">
        <v>392</v>
      </c>
      <c r="E120" s="1190">
        <v>8</v>
      </c>
      <c r="F120" s="1191">
        <v>11</v>
      </c>
      <c r="G120" s="1191"/>
      <c r="H120" s="1191">
        <v>13</v>
      </c>
      <c r="I120" s="1191">
        <v>8</v>
      </c>
      <c r="J120" s="1191">
        <v>12</v>
      </c>
      <c r="K120" s="1191">
        <v>11</v>
      </c>
      <c r="L120" s="1191"/>
      <c r="M120" s="1191">
        <v>16</v>
      </c>
      <c r="N120" s="1191">
        <v>1</v>
      </c>
      <c r="O120" s="1191">
        <v>12</v>
      </c>
      <c r="P120" s="1191"/>
      <c r="Q120" s="1191"/>
      <c r="R120" s="1191"/>
      <c r="S120" s="1191"/>
    </row>
    <row r="121" spans="1:19" ht="15" customHeight="1" x14ac:dyDescent="0.25">
      <c r="A121" s="6412"/>
      <c r="B121" s="6183"/>
      <c r="C121" s="6309"/>
      <c r="D121" s="1192" t="s">
        <v>394</v>
      </c>
      <c r="E121" s="1208">
        <v>4</v>
      </c>
      <c r="F121" s="1209"/>
      <c r="G121" s="1209"/>
      <c r="H121" s="1209"/>
      <c r="I121" s="1209"/>
      <c r="J121" s="1209"/>
      <c r="K121" s="1209"/>
      <c r="L121" s="1209"/>
      <c r="M121" s="1209"/>
      <c r="N121" s="1209"/>
      <c r="O121" s="1209"/>
      <c r="P121" s="1209"/>
      <c r="Q121" s="1209"/>
      <c r="R121" s="1209"/>
      <c r="S121" s="1209"/>
    </row>
    <row r="122" spans="1:19" ht="15" customHeight="1" x14ac:dyDescent="0.25">
      <c r="A122" s="6412"/>
      <c r="B122" s="6183"/>
      <c r="C122" s="6310"/>
      <c r="D122" s="1192" t="s">
        <v>91</v>
      </c>
      <c r="E122" s="1208"/>
      <c r="F122" s="1209"/>
      <c r="G122" s="1209"/>
      <c r="H122" s="1209"/>
      <c r="I122" s="1209"/>
      <c r="J122" s="1209"/>
      <c r="K122" s="1209"/>
      <c r="L122" s="1209"/>
      <c r="M122" s="1209">
        <v>20</v>
      </c>
      <c r="N122" s="1209">
        <v>16</v>
      </c>
      <c r="O122" s="1209">
        <v>1</v>
      </c>
      <c r="P122" s="1209"/>
      <c r="Q122" s="1209"/>
      <c r="R122" s="1209"/>
      <c r="S122" s="1209"/>
    </row>
    <row r="123" spans="1:19" ht="15" customHeight="1" x14ac:dyDescent="0.25">
      <c r="A123" s="6412"/>
      <c r="B123" s="6183"/>
      <c r="C123" s="6341" t="s">
        <v>521</v>
      </c>
      <c r="D123" s="1192" t="s">
        <v>393</v>
      </c>
      <c r="E123" s="1208"/>
      <c r="F123" s="1209"/>
      <c r="G123" s="1209"/>
      <c r="H123" s="1209"/>
      <c r="I123" s="1209"/>
      <c r="J123" s="1209"/>
      <c r="K123" s="1209"/>
      <c r="L123" s="1209">
        <v>6</v>
      </c>
      <c r="M123" s="1209">
        <v>1</v>
      </c>
      <c r="N123" s="1209">
        <v>9</v>
      </c>
      <c r="O123" s="1209">
        <v>7</v>
      </c>
      <c r="P123" s="1209">
        <v>8</v>
      </c>
      <c r="Q123" s="1209">
        <v>12</v>
      </c>
      <c r="R123" s="1209">
        <v>10</v>
      </c>
      <c r="S123" s="1209">
        <v>12</v>
      </c>
    </row>
    <row r="124" spans="1:19" ht="15" customHeight="1" x14ac:dyDescent="0.25">
      <c r="A124" s="6412"/>
      <c r="B124" s="6183"/>
      <c r="C124" s="6309"/>
      <c r="D124" s="1192" t="s">
        <v>94</v>
      </c>
      <c r="E124" s="1208">
        <v>32</v>
      </c>
      <c r="F124" s="1209">
        <v>14</v>
      </c>
      <c r="G124" s="1209">
        <v>26</v>
      </c>
      <c r="H124" s="1209">
        <v>12</v>
      </c>
      <c r="I124" s="1209">
        <v>27</v>
      </c>
      <c r="J124" s="1209">
        <v>16</v>
      </c>
      <c r="K124" s="1209">
        <v>31</v>
      </c>
      <c r="L124" s="1209">
        <v>16</v>
      </c>
      <c r="M124" s="1209">
        <v>14</v>
      </c>
      <c r="N124" s="1209">
        <v>6</v>
      </c>
      <c r="O124" s="1209">
        <v>31</v>
      </c>
      <c r="P124" s="1209">
        <v>11</v>
      </c>
      <c r="Q124" s="1209">
        <v>25</v>
      </c>
      <c r="R124" s="1209">
        <v>13</v>
      </c>
      <c r="S124" s="1209">
        <v>20</v>
      </c>
    </row>
    <row r="125" spans="1:19" ht="15" customHeight="1" x14ac:dyDescent="0.25">
      <c r="A125" s="6412"/>
      <c r="B125" s="6183"/>
      <c r="C125" s="6309"/>
      <c r="D125" s="1192" t="s">
        <v>93</v>
      </c>
      <c r="E125" s="1208">
        <v>24</v>
      </c>
      <c r="F125" s="1209">
        <v>19</v>
      </c>
      <c r="G125" s="1209">
        <v>27</v>
      </c>
      <c r="H125" s="1209">
        <v>38</v>
      </c>
      <c r="I125" s="1209">
        <v>34</v>
      </c>
      <c r="J125" s="1209">
        <v>36</v>
      </c>
      <c r="K125" s="1209">
        <v>43</v>
      </c>
      <c r="L125" s="1209">
        <v>46</v>
      </c>
      <c r="M125" s="1209">
        <v>43</v>
      </c>
      <c r="N125" s="1209">
        <v>42</v>
      </c>
      <c r="O125" s="1209">
        <v>50</v>
      </c>
      <c r="P125" s="1209">
        <v>45</v>
      </c>
      <c r="Q125" s="1209">
        <v>45</v>
      </c>
      <c r="R125" s="1209">
        <v>41</v>
      </c>
      <c r="S125" s="1209">
        <v>39</v>
      </c>
    </row>
    <row r="126" spans="1:19" ht="15" customHeight="1" x14ac:dyDescent="0.25">
      <c r="A126" s="6412"/>
      <c r="B126" s="6183"/>
      <c r="C126" s="6309"/>
      <c r="D126" s="1192" t="s">
        <v>395</v>
      </c>
      <c r="E126" s="1208">
        <v>17</v>
      </c>
      <c r="F126" s="1209">
        <v>6</v>
      </c>
      <c r="G126" s="1209">
        <v>12</v>
      </c>
      <c r="H126" s="1209">
        <v>21</v>
      </c>
      <c r="I126" s="1209">
        <v>15</v>
      </c>
      <c r="J126" s="1209">
        <v>19</v>
      </c>
      <c r="K126" s="1209">
        <v>9</v>
      </c>
      <c r="L126" s="1209">
        <v>16</v>
      </c>
      <c r="M126" s="1209">
        <v>24</v>
      </c>
      <c r="N126" s="1209">
        <v>18</v>
      </c>
      <c r="O126" s="1209">
        <v>26</v>
      </c>
      <c r="P126" s="1209">
        <v>10</v>
      </c>
      <c r="Q126" s="1209">
        <v>19</v>
      </c>
      <c r="R126" s="1209">
        <v>29</v>
      </c>
      <c r="S126" s="1209">
        <v>24</v>
      </c>
    </row>
    <row r="127" spans="1:19" ht="15" customHeight="1" x14ac:dyDescent="0.25">
      <c r="A127" s="6412"/>
      <c r="B127" s="6183"/>
      <c r="C127" s="6309"/>
      <c r="D127" s="1192" t="s">
        <v>437</v>
      </c>
      <c r="E127" s="1208">
        <v>17</v>
      </c>
      <c r="F127" s="1209">
        <v>10</v>
      </c>
      <c r="G127" s="1209">
        <v>15</v>
      </c>
      <c r="H127" s="1209">
        <v>5</v>
      </c>
      <c r="I127" s="1209">
        <v>15</v>
      </c>
      <c r="J127" s="1209">
        <v>9</v>
      </c>
      <c r="K127" s="1209">
        <v>8</v>
      </c>
      <c r="L127" s="1209">
        <v>6</v>
      </c>
      <c r="M127" s="1209">
        <v>6</v>
      </c>
      <c r="N127" s="1209">
        <v>11</v>
      </c>
      <c r="O127" s="1209">
        <v>6</v>
      </c>
      <c r="P127" s="1209">
        <v>4</v>
      </c>
      <c r="Q127" s="1209">
        <v>7</v>
      </c>
      <c r="R127" s="1209">
        <v>7</v>
      </c>
      <c r="S127" s="1209">
        <v>17</v>
      </c>
    </row>
    <row r="128" spans="1:19" ht="15" customHeight="1" x14ac:dyDescent="0.25">
      <c r="A128" s="6412"/>
      <c r="B128" s="6183"/>
      <c r="C128" s="6309"/>
      <c r="D128" s="1192" t="s">
        <v>95</v>
      </c>
      <c r="E128" s="1208">
        <v>28</v>
      </c>
      <c r="F128" s="1209">
        <v>23</v>
      </c>
      <c r="G128" s="1209">
        <v>34</v>
      </c>
      <c r="H128" s="1209">
        <v>30</v>
      </c>
      <c r="I128" s="1209">
        <v>32</v>
      </c>
      <c r="J128" s="1209">
        <v>40</v>
      </c>
      <c r="K128" s="1209">
        <v>54</v>
      </c>
      <c r="L128" s="1209">
        <v>50</v>
      </c>
      <c r="M128" s="1209">
        <v>41</v>
      </c>
      <c r="N128" s="1209">
        <v>37</v>
      </c>
      <c r="O128" s="1209">
        <v>43</v>
      </c>
      <c r="P128" s="1209">
        <v>48</v>
      </c>
      <c r="Q128" s="1209">
        <v>50</v>
      </c>
      <c r="R128" s="1209">
        <v>53</v>
      </c>
      <c r="S128" s="1209">
        <v>50</v>
      </c>
    </row>
    <row r="129" spans="1:19" ht="15" customHeight="1" x14ac:dyDescent="0.25">
      <c r="A129" s="6412"/>
      <c r="B129" s="6183"/>
      <c r="C129" s="6309"/>
      <c r="D129" s="1192" t="s">
        <v>92</v>
      </c>
      <c r="E129" s="1208">
        <v>26</v>
      </c>
      <c r="F129" s="1209">
        <v>22</v>
      </c>
      <c r="G129" s="1209">
        <v>40</v>
      </c>
      <c r="H129" s="1209">
        <v>49</v>
      </c>
      <c r="I129" s="1209">
        <v>57</v>
      </c>
      <c r="J129" s="1209">
        <v>50</v>
      </c>
      <c r="K129" s="1209">
        <v>50</v>
      </c>
      <c r="L129" s="1209">
        <v>60</v>
      </c>
      <c r="M129" s="1209">
        <v>64</v>
      </c>
      <c r="N129" s="1209">
        <v>70</v>
      </c>
      <c r="O129" s="1209">
        <v>79</v>
      </c>
      <c r="P129" s="1209">
        <v>76</v>
      </c>
      <c r="Q129" s="1209">
        <v>80</v>
      </c>
      <c r="R129" s="1209">
        <v>72</v>
      </c>
      <c r="S129" s="1209">
        <v>69</v>
      </c>
    </row>
    <row r="130" spans="1:19" ht="15" customHeight="1" x14ac:dyDescent="0.25">
      <c r="A130" s="6412"/>
      <c r="B130" s="6183"/>
      <c r="C130" s="6310"/>
      <c r="D130" s="1192" t="s">
        <v>759</v>
      </c>
      <c r="E130" s="1208"/>
      <c r="F130" s="1209"/>
      <c r="G130" s="1209"/>
      <c r="H130" s="1209"/>
      <c r="I130" s="1209"/>
      <c r="J130" s="1209"/>
      <c r="K130" s="1209"/>
      <c r="L130" s="1209"/>
      <c r="M130" s="1209"/>
      <c r="N130" s="1209"/>
      <c r="O130" s="1209"/>
      <c r="P130" s="1209">
        <v>10</v>
      </c>
      <c r="Q130" s="1209">
        <v>20</v>
      </c>
      <c r="R130" s="1209">
        <v>30</v>
      </c>
      <c r="S130" s="1209">
        <v>28</v>
      </c>
    </row>
    <row r="131" spans="1:19" ht="15" customHeight="1" x14ac:dyDescent="0.25">
      <c r="A131" s="6412"/>
      <c r="B131" s="6183"/>
      <c r="C131" s="6308" t="s">
        <v>520</v>
      </c>
      <c r="D131" s="1195" t="s">
        <v>359</v>
      </c>
      <c r="E131" s="1163">
        <v>66</v>
      </c>
      <c r="F131" s="1215">
        <v>51</v>
      </c>
      <c r="G131" s="1215">
        <v>47</v>
      </c>
      <c r="H131" s="1215">
        <v>47</v>
      </c>
      <c r="I131" s="1215">
        <v>55</v>
      </c>
      <c r="J131" s="1215">
        <v>55</v>
      </c>
      <c r="K131" s="1215">
        <v>61</v>
      </c>
      <c r="L131" s="1215">
        <v>69</v>
      </c>
      <c r="M131" s="1215">
        <v>76</v>
      </c>
      <c r="N131" s="1215">
        <v>73</v>
      </c>
      <c r="O131" s="1215">
        <v>71</v>
      </c>
      <c r="P131" s="1215">
        <v>70</v>
      </c>
      <c r="Q131" s="1215">
        <v>80</v>
      </c>
      <c r="R131" s="1215">
        <v>85</v>
      </c>
      <c r="S131" s="1215">
        <v>82</v>
      </c>
    </row>
    <row r="132" spans="1:19" ht="15" customHeight="1" x14ac:dyDescent="0.25">
      <c r="A132" s="6412"/>
      <c r="B132" s="6183"/>
      <c r="C132" s="6309"/>
      <c r="D132" s="1192" t="s">
        <v>96</v>
      </c>
      <c r="E132" s="1208">
        <v>11</v>
      </c>
      <c r="F132" s="1209">
        <v>14</v>
      </c>
      <c r="G132" s="1209">
        <v>25</v>
      </c>
      <c r="H132" s="1209">
        <v>34</v>
      </c>
      <c r="I132" s="1209">
        <v>43</v>
      </c>
      <c r="J132" s="1209">
        <v>34</v>
      </c>
      <c r="K132" s="1209">
        <v>43</v>
      </c>
      <c r="L132" s="1209">
        <v>41</v>
      </c>
      <c r="M132" s="1209">
        <v>28</v>
      </c>
      <c r="N132" s="1209">
        <v>41</v>
      </c>
      <c r="O132" s="1209">
        <v>38</v>
      </c>
      <c r="P132" s="1209">
        <v>41</v>
      </c>
      <c r="Q132" s="1209">
        <v>27</v>
      </c>
      <c r="R132" s="1209">
        <v>34</v>
      </c>
      <c r="S132" s="1209">
        <v>35</v>
      </c>
    </row>
    <row r="133" spans="1:19" ht="15" customHeight="1" x14ac:dyDescent="0.25">
      <c r="A133" s="6412"/>
      <c r="B133" s="6183"/>
      <c r="C133" s="6310"/>
      <c r="D133" s="1192" t="s">
        <v>581</v>
      </c>
      <c r="E133" s="1208"/>
      <c r="F133" s="1209"/>
      <c r="G133" s="1209"/>
      <c r="H133" s="1209"/>
      <c r="I133" s="1209"/>
      <c r="J133" s="1209"/>
      <c r="K133" s="1209"/>
      <c r="L133" s="1209"/>
      <c r="M133" s="1209"/>
      <c r="N133" s="1209"/>
      <c r="O133" s="1209">
        <v>9</v>
      </c>
      <c r="P133" s="1209">
        <v>16</v>
      </c>
      <c r="Q133" s="1209">
        <v>21</v>
      </c>
      <c r="R133" s="1209">
        <v>25</v>
      </c>
      <c r="S133" s="1209">
        <v>30</v>
      </c>
    </row>
    <row r="134" spans="1:19" ht="15" customHeight="1" x14ac:dyDescent="0.2">
      <c r="A134" s="6412"/>
      <c r="B134" s="6185"/>
      <c r="C134" s="5153"/>
      <c r="D134" s="5154" t="s">
        <v>160</v>
      </c>
      <c r="E134" s="1222">
        <f>SUM(E120:E132)</f>
        <v>233</v>
      </c>
      <c r="F134" s="1222">
        <f t="shared" ref="F134:N134" si="9">SUM(F120:F132)</f>
        <v>170</v>
      </c>
      <c r="G134" s="1222">
        <f t="shared" si="9"/>
        <v>226</v>
      </c>
      <c r="H134" s="1222">
        <f t="shared" si="9"/>
        <v>249</v>
      </c>
      <c r="I134" s="1222">
        <f t="shared" si="9"/>
        <v>286</v>
      </c>
      <c r="J134" s="1222">
        <f t="shared" si="9"/>
        <v>271</v>
      </c>
      <c r="K134" s="1222">
        <f t="shared" si="9"/>
        <v>310</v>
      </c>
      <c r="L134" s="1222">
        <f t="shared" si="9"/>
        <v>310</v>
      </c>
      <c r="M134" s="1222">
        <f t="shared" si="9"/>
        <v>333</v>
      </c>
      <c r="N134" s="1222">
        <f t="shared" si="9"/>
        <v>324</v>
      </c>
      <c r="O134" s="1222">
        <f>SUM(O120:O133)</f>
        <v>373</v>
      </c>
      <c r="P134" s="1222">
        <f>SUM(P120:P133)</f>
        <v>339</v>
      </c>
      <c r="Q134" s="1222">
        <f>SUM(Q120:Q133)</f>
        <v>386</v>
      </c>
      <c r="R134" s="1222">
        <f>SUM(R120:R133)</f>
        <v>399</v>
      </c>
      <c r="S134" s="1222">
        <f>SUM(S120:S133)</f>
        <v>406</v>
      </c>
    </row>
    <row r="135" spans="1:19" ht="15" customHeight="1" x14ac:dyDescent="0.25">
      <c r="A135" s="6412"/>
      <c r="B135" s="6182" t="s">
        <v>7</v>
      </c>
      <c r="C135" s="6341" t="s">
        <v>521</v>
      </c>
      <c r="D135" s="1212" t="s">
        <v>1</v>
      </c>
      <c r="E135" s="1213">
        <v>40</v>
      </c>
      <c r="F135" s="1214">
        <v>67</v>
      </c>
      <c r="G135" s="1214">
        <v>68</v>
      </c>
      <c r="H135" s="1214">
        <v>70</v>
      </c>
      <c r="I135" s="1214">
        <v>66</v>
      </c>
      <c r="J135" s="1214">
        <v>62</v>
      </c>
      <c r="K135" s="1214">
        <v>63</v>
      </c>
      <c r="L135" s="1214">
        <v>60</v>
      </c>
      <c r="M135" s="1214">
        <v>58</v>
      </c>
      <c r="N135" s="1214">
        <v>53</v>
      </c>
      <c r="O135" s="1214">
        <v>62</v>
      </c>
      <c r="P135" s="1214">
        <v>68</v>
      </c>
      <c r="Q135" s="1214">
        <v>72</v>
      </c>
      <c r="R135" s="1214">
        <v>75</v>
      </c>
      <c r="S135" s="1214">
        <v>71</v>
      </c>
    </row>
    <row r="136" spans="1:19" ht="15" customHeight="1" x14ac:dyDescent="0.25">
      <c r="A136" s="6412"/>
      <c r="B136" s="6183"/>
      <c r="C136" s="6309"/>
      <c r="D136" s="1192" t="s">
        <v>396</v>
      </c>
      <c r="E136" s="1208"/>
      <c r="F136" s="1209"/>
      <c r="G136" s="1209"/>
      <c r="H136" s="1209"/>
      <c r="I136" s="1209"/>
      <c r="J136" s="1209"/>
      <c r="K136" s="1209">
        <v>17</v>
      </c>
      <c r="L136" s="1209">
        <v>17</v>
      </c>
      <c r="M136" s="1209">
        <v>32</v>
      </c>
      <c r="N136" s="1209">
        <v>16</v>
      </c>
      <c r="O136" s="1209">
        <v>35</v>
      </c>
      <c r="P136" s="1209">
        <v>21</v>
      </c>
      <c r="Q136" s="1209">
        <v>42</v>
      </c>
      <c r="R136" s="1209">
        <v>21</v>
      </c>
      <c r="S136" s="1209">
        <v>37</v>
      </c>
    </row>
    <row r="137" spans="1:19" ht="15" customHeight="1" x14ac:dyDescent="0.25">
      <c r="A137" s="6412"/>
      <c r="B137" s="6183"/>
      <c r="C137" s="6310"/>
      <c r="D137" s="1196" t="s">
        <v>397</v>
      </c>
      <c r="E137" s="1210"/>
      <c r="F137" s="1211"/>
      <c r="G137" s="1211"/>
      <c r="H137" s="1211"/>
      <c r="I137" s="1211"/>
      <c r="J137" s="1211"/>
      <c r="K137" s="1211">
        <v>33</v>
      </c>
      <c r="L137" s="1211">
        <v>33</v>
      </c>
      <c r="M137" s="1211">
        <v>57</v>
      </c>
      <c r="N137" s="1211">
        <v>31</v>
      </c>
      <c r="O137" s="1211">
        <v>48</v>
      </c>
      <c r="P137" s="1211">
        <v>25</v>
      </c>
      <c r="Q137" s="1211">
        <v>45</v>
      </c>
      <c r="R137" s="1211">
        <v>25</v>
      </c>
      <c r="S137" s="1211">
        <v>48</v>
      </c>
    </row>
    <row r="138" spans="1:19" ht="15" customHeight="1" x14ac:dyDescent="0.25">
      <c r="A138" s="6412"/>
      <c r="B138" s="6183"/>
      <c r="C138" s="5145" t="s">
        <v>520</v>
      </c>
      <c r="D138" s="1192" t="s">
        <v>2</v>
      </c>
      <c r="E138" s="1208">
        <v>11</v>
      </c>
      <c r="F138" s="1209">
        <v>24</v>
      </c>
      <c r="G138" s="1209">
        <v>19</v>
      </c>
      <c r="H138" s="1209">
        <v>30</v>
      </c>
      <c r="I138" s="1209">
        <v>33</v>
      </c>
      <c r="J138" s="1209">
        <v>38</v>
      </c>
      <c r="K138" s="1209">
        <v>42</v>
      </c>
      <c r="L138" s="1209">
        <v>39</v>
      </c>
      <c r="M138" s="1209">
        <v>43</v>
      </c>
      <c r="N138" s="1209">
        <v>45</v>
      </c>
      <c r="O138" s="1209">
        <v>47</v>
      </c>
      <c r="P138" s="1209">
        <v>49</v>
      </c>
      <c r="Q138" s="1209">
        <v>40</v>
      </c>
      <c r="R138" s="1209">
        <v>41</v>
      </c>
      <c r="S138" s="1209">
        <v>37</v>
      </c>
    </row>
    <row r="139" spans="1:19" ht="15" customHeight="1" x14ac:dyDescent="0.2">
      <c r="A139" s="6412"/>
      <c r="B139" s="6185"/>
      <c r="C139" s="5153"/>
      <c r="D139" s="5154" t="s">
        <v>160</v>
      </c>
      <c r="E139" s="1222">
        <f>SUM(E135:E138)</f>
        <v>51</v>
      </c>
      <c r="F139" s="1222">
        <f t="shared" ref="F139:N139" si="10">SUM(F135:F138)</f>
        <v>91</v>
      </c>
      <c r="G139" s="1222">
        <f t="shared" si="10"/>
        <v>87</v>
      </c>
      <c r="H139" s="1222">
        <f t="shared" si="10"/>
        <v>100</v>
      </c>
      <c r="I139" s="1222">
        <f t="shared" si="10"/>
        <v>99</v>
      </c>
      <c r="J139" s="1222">
        <f t="shared" si="10"/>
        <v>100</v>
      </c>
      <c r="K139" s="1222">
        <f t="shared" si="10"/>
        <v>155</v>
      </c>
      <c r="L139" s="1222">
        <f t="shared" si="10"/>
        <v>149</v>
      </c>
      <c r="M139" s="1222">
        <f t="shared" si="10"/>
        <v>190</v>
      </c>
      <c r="N139" s="1222">
        <f t="shared" si="10"/>
        <v>145</v>
      </c>
      <c r="O139" s="1222">
        <f>SUM(O135:O138)</f>
        <v>192</v>
      </c>
      <c r="P139" s="1222">
        <f>SUM(P135:P138)</f>
        <v>163</v>
      </c>
      <c r="Q139" s="1222">
        <f>SUM(Q135:Q138)</f>
        <v>199</v>
      </c>
      <c r="R139" s="1222">
        <f>SUM(R135:R138)</f>
        <v>162</v>
      </c>
      <c r="S139" s="1222">
        <f>SUM(S135:S138)</f>
        <v>193</v>
      </c>
    </row>
    <row r="140" spans="1:19" ht="15" customHeight="1" x14ac:dyDescent="0.2">
      <c r="A140" s="6413"/>
      <c r="B140" s="4704"/>
      <c r="C140" s="4704"/>
      <c r="D140" s="4726" t="s">
        <v>525</v>
      </c>
      <c r="E140" s="4723">
        <f>SUM(E139,E134,E119)</f>
        <v>638</v>
      </c>
      <c r="F140" s="4723">
        <f t="shared" ref="F140:N140" si="11">SUM(F139,F134,F119)</f>
        <v>642</v>
      </c>
      <c r="G140" s="4723">
        <f t="shared" si="11"/>
        <v>645</v>
      </c>
      <c r="H140" s="4723">
        <f t="shared" si="11"/>
        <v>739</v>
      </c>
      <c r="I140" s="4723">
        <f t="shared" si="11"/>
        <v>793</v>
      </c>
      <c r="J140" s="4723">
        <f t="shared" si="11"/>
        <v>823</v>
      </c>
      <c r="K140" s="4723">
        <f t="shared" si="11"/>
        <v>933</v>
      </c>
      <c r="L140" s="4723">
        <f t="shared" si="11"/>
        <v>946</v>
      </c>
      <c r="M140" s="4723">
        <f t="shared" si="11"/>
        <v>952</v>
      </c>
      <c r="N140" s="4723">
        <f t="shared" si="11"/>
        <v>936</v>
      </c>
      <c r="O140" s="4723">
        <f>SUM(O139,O134,O119)</f>
        <v>990</v>
      </c>
      <c r="P140" s="4723">
        <f>SUM(P139,P134,P119)</f>
        <v>956</v>
      </c>
      <c r="Q140" s="4723">
        <f>SUM(Q139,Q134,Q119)</f>
        <v>990</v>
      </c>
      <c r="R140" s="4723">
        <f>SUM(R139,R134,R119)</f>
        <v>1029</v>
      </c>
      <c r="S140" s="4723">
        <f>SUM(S119,S134,S139)</f>
        <v>1053</v>
      </c>
    </row>
    <row r="141" spans="1:19" ht="15" customHeight="1" x14ac:dyDescent="0.25">
      <c r="A141" s="6410" t="s">
        <v>8</v>
      </c>
      <c r="B141" s="6188" t="s">
        <v>6</v>
      </c>
      <c r="C141" s="1157" t="s">
        <v>521</v>
      </c>
      <c r="D141" s="1216" t="s">
        <v>398</v>
      </c>
      <c r="E141" s="1217"/>
      <c r="F141" s="1218"/>
      <c r="G141" s="1218"/>
      <c r="H141" s="1218"/>
      <c r="I141" s="1218"/>
      <c r="J141" s="1218"/>
      <c r="K141" s="1218"/>
      <c r="L141" s="1218"/>
      <c r="M141" s="1218">
        <v>20</v>
      </c>
      <c r="N141" s="1218">
        <v>31</v>
      </c>
      <c r="O141" s="1218">
        <v>38</v>
      </c>
      <c r="P141" s="1218">
        <v>36</v>
      </c>
      <c r="Q141" s="1218">
        <v>36</v>
      </c>
      <c r="R141" s="1218">
        <v>43</v>
      </c>
      <c r="S141" s="1218">
        <v>43</v>
      </c>
    </row>
    <row r="142" spans="1:19" ht="15" customHeight="1" x14ac:dyDescent="0.25">
      <c r="A142" s="6328"/>
      <c r="B142" s="6190"/>
      <c r="C142" s="5145" t="s">
        <v>520</v>
      </c>
      <c r="D142" s="1196" t="s">
        <v>399</v>
      </c>
      <c r="E142" s="1210"/>
      <c r="F142" s="1211"/>
      <c r="G142" s="1211"/>
      <c r="H142" s="1211"/>
      <c r="I142" s="1211"/>
      <c r="J142" s="1211"/>
      <c r="K142" s="1211"/>
      <c r="L142" s="1211"/>
      <c r="M142" s="1211">
        <v>12</v>
      </c>
      <c r="N142" s="1211">
        <v>22</v>
      </c>
      <c r="O142" s="1211">
        <v>36</v>
      </c>
      <c r="P142" s="1211">
        <v>42</v>
      </c>
      <c r="Q142" s="1211">
        <v>56</v>
      </c>
      <c r="R142" s="1211">
        <v>63</v>
      </c>
      <c r="S142" s="1211">
        <v>59</v>
      </c>
    </row>
    <row r="143" spans="1:19" ht="15" customHeight="1" x14ac:dyDescent="0.2">
      <c r="A143" s="6328"/>
      <c r="B143" s="6189"/>
      <c r="C143" s="5156"/>
      <c r="D143" s="5154" t="s">
        <v>160</v>
      </c>
      <c r="E143" s="1222"/>
      <c r="F143" s="1222"/>
      <c r="G143" s="1222"/>
      <c r="H143" s="1222"/>
      <c r="I143" s="1222"/>
      <c r="J143" s="1222"/>
      <c r="K143" s="1222"/>
      <c r="L143" s="1222"/>
      <c r="M143" s="1222">
        <f t="shared" ref="M143:R143" si="12">SUM(M141:M142)</f>
        <v>32</v>
      </c>
      <c r="N143" s="1222">
        <f t="shared" si="12"/>
        <v>53</v>
      </c>
      <c r="O143" s="1222">
        <f t="shared" si="12"/>
        <v>74</v>
      </c>
      <c r="P143" s="1222">
        <f t="shared" si="12"/>
        <v>78</v>
      </c>
      <c r="Q143" s="1222">
        <f t="shared" si="12"/>
        <v>92</v>
      </c>
      <c r="R143" s="1222">
        <f t="shared" si="12"/>
        <v>106</v>
      </c>
      <c r="S143" s="1222">
        <f>SUM(S141:S142)</f>
        <v>102</v>
      </c>
    </row>
    <row r="144" spans="1:19" ht="15" customHeight="1" x14ac:dyDescent="0.25">
      <c r="A144" s="6328"/>
      <c r="B144" s="6188" t="s">
        <v>9</v>
      </c>
      <c r="C144" s="5145" t="s">
        <v>521</v>
      </c>
      <c r="D144" s="1196" t="s">
        <v>412</v>
      </c>
      <c r="E144" s="1210"/>
      <c r="F144" s="1211"/>
      <c r="G144" s="1211"/>
      <c r="H144" s="1211"/>
      <c r="I144" s="1211"/>
      <c r="J144" s="1211"/>
      <c r="K144" s="1211"/>
      <c r="L144" s="1211"/>
      <c r="M144" s="1211"/>
      <c r="N144" s="1211">
        <v>12</v>
      </c>
      <c r="O144" s="1211">
        <v>24</v>
      </c>
      <c r="P144" s="1211">
        <v>42</v>
      </c>
      <c r="Q144" s="1211">
        <v>50</v>
      </c>
      <c r="R144" s="1211">
        <v>61</v>
      </c>
      <c r="S144" s="1211">
        <v>62</v>
      </c>
    </row>
    <row r="145" spans="1:19" ht="15" customHeight="1" x14ac:dyDescent="0.2">
      <c r="A145" s="6328"/>
      <c r="B145" s="6189"/>
      <c r="C145" s="5156"/>
      <c r="D145" s="5154" t="s">
        <v>160</v>
      </c>
      <c r="E145" s="1222"/>
      <c r="F145" s="1222"/>
      <c r="G145" s="1222"/>
      <c r="H145" s="1222"/>
      <c r="I145" s="1222"/>
      <c r="J145" s="1222"/>
      <c r="K145" s="1222"/>
      <c r="L145" s="1222"/>
      <c r="M145" s="1222"/>
      <c r="N145" s="1222">
        <f t="shared" ref="N145:S145" si="13">SUM(N144)</f>
        <v>12</v>
      </c>
      <c r="O145" s="1222">
        <f t="shared" si="13"/>
        <v>24</v>
      </c>
      <c r="P145" s="1222">
        <f t="shared" si="13"/>
        <v>42</v>
      </c>
      <c r="Q145" s="1222">
        <f t="shared" si="13"/>
        <v>50</v>
      </c>
      <c r="R145" s="1222">
        <f t="shared" si="13"/>
        <v>61</v>
      </c>
      <c r="S145" s="1222">
        <f t="shared" si="13"/>
        <v>62</v>
      </c>
    </row>
    <row r="146" spans="1:19" ht="15" customHeight="1" x14ac:dyDescent="0.25">
      <c r="A146" s="6328"/>
      <c r="B146" s="6188" t="s">
        <v>74</v>
      </c>
      <c r="C146" s="1058" t="s">
        <v>522</v>
      </c>
      <c r="D146" s="1216" t="s">
        <v>422</v>
      </c>
      <c r="E146" s="1217"/>
      <c r="F146" s="1218"/>
      <c r="G146" s="1218"/>
      <c r="H146" s="1218"/>
      <c r="I146" s="1218"/>
      <c r="J146" s="1218"/>
      <c r="K146" s="1218"/>
      <c r="L146" s="1218"/>
      <c r="M146" s="1218"/>
      <c r="N146" s="1218">
        <v>3</v>
      </c>
      <c r="O146" s="1218">
        <v>5</v>
      </c>
      <c r="P146" s="1218">
        <v>4</v>
      </c>
      <c r="Q146" s="1218">
        <v>7</v>
      </c>
      <c r="R146" s="1218">
        <v>8</v>
      </c>
      <c r="S146" s="1218">
        <v>6</v>
      </c>
    </row>
    <row r="147" spans="1:19" ht="15" customHeight="1" x14ac:dyDescent="0.25">
      <c r="A147" s="6328"/>
      <c r="B147" s="6190"/>
      <c r="C147" s="1157" t="s">
        <v>521</v>
      </c>
      <c r="D147" s="1192" t="s">
        <v>423</v>
      </c>
      <c r="E147" s="1208"/>
      <c r="F147" s="1209"/>
      <c r="G147" s="1209"/>
      <c r="H147" s="1209"/>
      <c r="I147" s="1209"/>
      <c r="J147" s="1209"/>
      <c r="K147" s="1209"/>
      <c r="L147" s="1209"/>
      <c r="M147" s="1209"/>
      <c r="N147" s="1209">
        <v>9</v>
      </c>
      <c r="O147" s="1209">
        <v>22</v>
      </c>
      <c r="P147" s="1209">
        <v>34</v>
      </c>
      <c r="Q147" s="1209">
        <v>37</v>
      </c>
      <c r="R147" s="1209">
        <v>42</v>
      </c>
      <c r="S147" s="1209">
        <v>42</v>
      </c>
    </row>
    <row r="148" spans="1:19" ht="15" customHeight="1" x14ac:dyDescent="0.25">
      <c r="A148" s="6328"/>
      <c r="B148" s="6190"/>
      <c r="C148" s="6308" t="s">
        <v>520</v>
      </c>
      <c r="D148" s="1196" t="s">
        <v>424</v>
      </c>
      <c r="E148" s="1163"/>
      <c r="F148" s="1215"/>
      <c r="G148" s="1215"/>
      <c r="H148" s="1215"/>
      <c r="I148" s="1215"/>
      <c r="J148" s="1215"/>
      <c r="K148" s="1215"/>
      <c r="L148" s="1215"/>
      <c r="M148" s="1215"/>
      <c r="N148" s="1215">
        <v>7</v>
      </c>
      <c r="O148" s="1215">
        <v>13</v>
      </c>
      <c r="P148" s="1215">
        <v>21</v>
      </c>
      <c r="Q148" s="1215">
        <v>33</v>
      </c>
      <c r="R148" s="1215">
        <v>34</v>
      </c>
      <c r="S148" s="1215">
        <v>38</v>
      </c>
    </row>
    <row r="149" spans="1:19" ht="15" customHeight="1" x14ac:dyDescent="0.25">
      <c r="A149" s="6328"/>
      <c r="B149" s="6190"/>
      <c r="C149" s="6310"/>
      <c r="D149" s="1195" t="s">
        <v>359</v>
      </c>
      <c r="E149" s="1208"/>
      <c r="F149" s="1209"/>
      <c r="G149" s="1209"/>
      <c r="H149" s="1209"/>
      <c r="I149" s="1209"/>
      <c r="J149" s="1209"/>
      <c r="K149" s="1209"/>
      <c r="L149" s="1209"/>
      <c r="M149" s="1209"/>
      <c r="N149" s="1209"/>
      <c r="O149" s="1209"/>
      <c r="P149" s="1209"/>
      <c r="Q149" s="1209"/>
      <c r="R149" s="1209">
        <v>2</v>
      </c>
      <c r="S149" s="1209">
        <v>2</v>
      </c>
    </row>
    <row r="150" spans="1:19" ht="15" customHeight="1" x14ac:dyDescent="0.2">
      <c r="A150" s="6328"/>
      <c r="B150" s="6189"/>
      <c r="C150" s="5156"/>
      <c r="D150" s="5154" t="s">
        <v>160</v>
      </c>
      <c r="E150" s="1222"/>
      <c r="F150" s="1222"/>
      <c r="G150" s="1222"/>
      <c r="H150" s="1222"/>
      <c r="I150" s="1222"/>
      <c r="J150" s="1222"/>
      <c r="K150" s="1222"/>
      <c r="L150" s="1222"/>
      <c r="M150" s="1222"/>
      <c r="N150" s="1222">
        <f>SUM(N146:N148)</f>
        <v>19</v>
      </c>
      <c r="O150" s="1222">
        <f>SUM(O146:O148)</f>
        <v>40</v>
      </c>
      <c r="P150" s="1222">
        <f>SUM(P146:P148)</f>
        <v>59</v>
      </c>
      <c r="Q150" s="1222">
        <f>SUM(Q146:Q148)</f>
        <v>77</v>
      </c>
      <c r="R150" s="1222">
        <f>SUM(R146:R149)</f>
        <v>86</v>
      </c>
      <c r="S150" s="1222">
        <f>SUM(S146:S149)</f>
        <v>88</v>
      </c>
    </row>
    <row r="151" spans="1:19" ht="15" x14ac:dyDescent="0.2">
      <c r="A151" s="6329"/>
      <c r="B151" s="4727"/>
      <c r="C151" s="4727"/>
      <c r="D151" s="4728" t="s">
        <v>526</v>
      </c>
      <c r="E151" s="4717"/>
      <c r="F151" s="4717"/>
      <c r="G151" s="4717"/>
      <c r="H151" s="4717"/>
      <c r="I151" s="4717"/>
      <c r="J151" s="4717"/>
      <c r="K151" s="4717"/>
      <c r="L151" s="4717"/>
      <c r="M151" s="4717">
        <f t="shared" ref="M151:R151" si="14">SUM(M143,M145,M150)</f>
        <v>32</v>
      </c>
      <c r="N151" s="4717">
        <f t="shared" si="14"/>
        <v>84</v>
      </c>
      <c r="O151" s="4717">
        <f t="shared" si="14"/>
        <v>138</v>
      </c>
      <c r="P151" s="4717">
        <f t="shared" si="14"/>
        <v>179</v>
      </c>
      <c r="Q151" s="4717">
        <f t="shared" si="14"/>
        <v>219</v>
      </c>
      <c r="R151" s="4717">
        <f t="shared" si="14"/>
        <v>253</v>
      </c>
      <c r="S151" s="4717">
        <f>SUM(S143,S145,S150)</f>
        <v>252</v>
      </c>
    </row>
    <row r="153" spans="1:19" ht="15" customHeight="1" x14ac:dyDescent="0.2">
      <c r="A153" s="5655" t="s">
        <v>76</v>
      </c>
      <c r="B153" s="5656"/>
      <c r="C153" s="5656"/>
      <c r="D153" s="5657"/>
      <c r="E153" s="1219">
        <f t="shared" ref="E153:O153" si="15">SUM(E52,E99,E140,E151)</f>
        <v>2154</v>
      </c>
      <c r="F153" s="1219">
        <f t="shared" si="15"/>
        <v>2232</v>
      </c>
      <c r="G153" s="1219">
        <f t="shared" si="15"/>
        <v>2256</v>
      </c>
      <c r="H153" s="1219">
        <f t="shared" si="15"/>
        <v>2344</v>
      </c>
      <c r="I153" s="1219">
        <f t="shared" si="15"/>
        <v>2617</v>
      </c>
      <c r="J153" s="1219">
        <f t="shared" si="15"/>
        <v>2744</v>
      </c>
      <c r="K153" s="1219">
        <f t="shared" si="15"/>
        <v>3049</v>
      </c>
      <c r="L153" s="1219">
        <f t="shared" si="15"/>
        <v>3326</v>
      </c>
      <c r="M153" s="1219">
        <f t="shared" si="15"/>
        <v>3380</v>
      </c>
      <c r="N153" s="1219">
        <f t="shared" si="15"/>
        <v>3436</v>
      </c>
      <c r="O153" s="1219">
        <f t="shared" si="15"/>
        <v>3508</v>
      </c>
      <c r="P153" s="1219">
        <f>SUM(P52,P99,P140,P151)</f>
        <v>3708</v>
      </c>
      <c r="Q153" s="1219">
        <f>SUM(Q52,Q99,Q140,Q151)</f>
        <v>3718</v>
      </c>
      <c r="R153" s="1219">
        <f>SUM(R52,R99,R140,R151)</f>
        <v>3842</v>
      </c>
      <c r="S153" s="1219">
        <f>SUM(S52,S99,S140,S151)</f>
        <v>3838</v>
      </c>
    </row>
    <row r="154" spans="1:19" x14ac:dyDescent="0.2">
      <c r="A154" s="240" t="s">
        <v>1571</v>
      </c>
    </row>
    <row r="156" spans="1:19" x14ac:dyDescent="0.2">
      <c r="B156" s="6272"/>
      <c r="C156" s="6272"/>
      <c r="D156" s="6272"/>
    </row>
  </sheetData>
  <sheetProtection algorithmName="SHA-512" hashValue="DfINLlVwrYL015a60k7ETnNDpL2jr/z10iNqxtNbRtVshFABEbj0G1/VmAB9wH0Gdg0lyf7w0Ib0E88FKQG/Yw==" saltValue="6yw0vp12Ey7yu0MBOXDzUA==" spinCount="100000" sheet="1" objects="1" scenarios="1"/>
  <mergeCells count="42">
    <mergeCell ref="C148:C149"/>
    <mergeCell ref="C44:C50"/>
    <mergeCell ref="C88:C89"/>
    <mergeCell ref="C131:C133"/>
    <mergeCell ref="C120:C122"/>
    <mergeCell ref="C123:C130"/>
    <mergeCell ref="C103:C113"/>
    <mergeCell ref="C114:C118"/>
    <mergeCell ref="A1:C1"/>
    <mergeCell ref="A153:D153"/>
    <mergeCell ref="B156:D156"/>
    <mergeCell ref="B88:B98"/>
    <mergeCell ref="A141:A151"/>
    <mergeCell ref="B141:B143"/>
    <mergeCell ref="B144:B145"/>
    <mergeCell ref="B146:B150"/>
    <mergeCell ref="C91:C94"/>
    <mergeCell ref="C95:C97"/>
    <mergeCell ref="A100:A140"/>
    <mergeCell ref="B100:B119"/>
    <mergeCell ref="B120:B134"/>
    <mergeCell ref="B135:B139"/>
    <mergeCell ref="C100:C102"/>
    <mergeCell ref="C135:C137"/>
    <mergeCell ref="B70:B87"/>
    <mergeCell ref="A4:A52"/>
    <mergeCell ref="B34:B51"/>
    <mergeCell ref="B17:B33"/>
    <mergeCell ref="B4:B16"/>
    <mergeCell ref="A53:A99"/>
    <mergeCell ref="B53:B69"/>
    <mergeCell ref="C5:C10"/>
    <mergeCell ref="C11:C15"/>
    <mergeCell ref="C20:C28"/>
    <mergeCell ref="C71:C79"/>
    <mergeCell ref="C80:C86"/>
    <mergeCell ref="C61:C68"/>
    <mergeCell ref="C54:C60"/>
    <mergeCell ref="C17:C19"/>
    <mergeCell ref="C29:C31"/>
    <mergeCell ref="C37:C43"/>
    <mergeCell ref="C34:C36"/>
  </mergeCells>
  <printOptions horizontalCentered="1" verticalCentered="1"/>
  <pageMargins left="0.39370078740157483" right="0.39370078740157483" top="0.27559055118110237" bottom="0.31496062992125984" header="0" footer="0.31496062992125984"/>
  <pageSetup scale="50" orientation="landscape" horizontalDpi="1200" verticalDpi="1200" r:id="rId1"/>
  <headerFooter alignWithMargins="0"/>
  <rowBreaks count="2" manualBreakCount="2">
    <brk id="53" max="17" man="1"/>
    <brk id="99" max="17" man="1"/>
  </rowBreaks>
  <ignoredErrors>
    <ignoredError sqref="E16:P16" formulaRange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B1:R319"/>
  <sheetViews>
    <sheetView showGridLines="0" tabSelected="1" topLeftCell="B1" zoomScaleNormal="100" zoomScaleSheetLayoutView="100" workbookViewId="0">
      <pane xSplit="2" ySplit="4" topLeftCell="D5" activePane="bottomRight" state="frozen"/>
      <selection sqref="A1:E1"/>
      <selection pane="topRight" sqref="A1:E1"/>
      <selection pane="bottomLeft" sqref="A1:E1"/>
      <selection pane="bottomRight" activeCell="C16" sqref="C16"/>
    </sheetView>
  </sheetViews>
  <sheetFormatPr baseColWidth="10" defaultColWidth="1.5703125" defaultRowHeight="12.75" x14ac:dyDescent="0.2"/>
  <cols>
    <col min="1" max="1" width="7" style="209" customWidth="1"/>
    <col min="2" max="2" width="15.140625" style="209" customWidth="1"/>
    <col min="3" max="3" width="16.5703125" style="209" bestFit="1" customWidth="1"/>
    <col min="4" max="18" width="9.7109375" style="209" customWidth="1"/>
    <col min="19" max="255" width="11.42578125" style="209" customWidth="1"/>
    <col min="256" max="256" width="1.5703125" style="209"/>
    <col min="257" max="257" width="1.5703125" style="209" customWidth="1"/>
    <col min="258" max="258" width="15.7109375" style="209" customWidth="1"/>
    <col min="259" max="259" width="28.85546875" style="209" customWidth="1"/>
    <col min="260" max="264" width="12.7109375" style="209" customWidth="1"/>
    <col min="265" max="511" width="11.42578125" style="209" customWidth="1"/>
    <col min="512" max="512" width="1.5703125" style="209"/>
    <col min="513" max="513" width="1.5703125" style="209" customWidth="1"/>
    <col min="514" max="514" width="15.7109375" style="209" customWidth="1"/>
    <col min="515" max="515" width="28.85546875" style="209" customWidth="1"/>
    <col min="516" max="520" width="12.7109375" style="209" customWidth="1"/>
    <col min="521" max="767" width="11.42578125" style="209" customWidth="1"/>
    <col min="768" max="768" width="1.5703125" style="209"/>
    <col min="769" max="769" width="1.5703125" style="209" customWidth="1"/>
    <col min="770" max="770" width="15.7109375" style="209" customWidth="1"/>
    <col min="771" max="771" width="28.85546875" style="209" customWidth="1"/>
    <col min="772" max="776" width="12.7109375" style="209" customWidth="1"/>
    <col min="777" max="1023" width="11.42578125" style="209" customWidth="1"/>
    <col min="1024" max="1024" width="1.5703125" style="209"/>
    <col min="1025" max="1025" width="1.5703125" style="209" customWidth="1"/>
    <col min="1026" max="1026" width="15.7109375" style="209" customWidth="1"/>
    <col min="1027" max="1027" width="28.85546875" style="209" customWidth="1"/>
    <col min="1028" max="1032" width="12.7109375" style="209" customWidth="1"/>
    <col min="1033" max="1279" width="11.42578125" style="209" customWidth="1"/>
    <col min="1280" max="1280" width="1.5703125" style="209"/>
    <col min="1281" max="1281" width="1.5703125" style="209" customWidth="1"/>
    <col min="1282" max="1282" width="15.7109375" style="209" customWidth="1"/>
    <col min="1283" max="1283" width="28.85546875" style="209" customWidth="1"/>
    <col min="1284" max="1288" width="12.7109375" style="209" customWidth="1"/>
    <col min="1289" max="1535" width="11.42578125" style="209" customWidth="1"/>
    <col min="1536" max="1536" width="1.5703125" style="209"/>
    <col min="1537" max="1537" width="1.5703125" style="209" customWidth="1"/>
    <col min="1538" max="1538" width="15.7109375" style="209" customWidth="1"/>
    <col min="1539" max="1539" width="28.85546875" style="209" customWidth="1"/>
    <col min="1540" max="1544" width="12.7109375" style="209" customWidth="1"/>
    <col min="1545" max="1791" width="11.42578125" style="209" customWidth="1"/>
    <col min="1792" max="1792" width="1.5703125" style="209"/>
    <col min="1793" max="1793" width="1.5703125" style="209" customWidth="1"/>
    <col min="1794" max="1794" width="15.7109375" style="209" customWidth="1"/>
    <col min="1795" max="1795" width="28.85546875" style="209" customWidth="1"/>
    <col min="1796" max="1800" width="12.7109375" style="209" customWidth="1"/>
    <col min="1801" max="2047" width="11.42578125" style="209" customWidth="1"/>
    <col min="2048" max="2048" width="1.5703125" style="209"/>
    <col min="2049" max="2049" width="1.5703125" style="209" customWidth="1"/>
    <col min="2050" max="2050" width="15.7109375" style="209" customWidth="1"/>
    <col min="2051" max="2051" width="28.85546875" style="209" customWidth="1"/>
    <col min="2052" max="2056" width="12.7109375" style="209" customWidth="1"/>
    <col min="2057" max="2303" width="11.42578125" style="209" customWidth="1"/>
    <col min="2304" max="2304" width="1.5703125" style="209"/>
    <col min="2305" max="2305" width="1.5703125" style="209" customWidth="1"/>
    <col min="2306" max="2306" width="15.7109375" style="209" customWidth="1"/>
    <col min="2307" max="2307" width="28.85546875" style="209" customWidth="1"/>
    <col min="2308" max="2312" width="12.7109375" style="209" customWidth="1"/>
    <col min="2313" max="2559" width="11.42578125" style="209" customWidth="1"/>
    <col min="2560" max="2560" width="1.5703125" style="209"/>
    <col min="2561" max="2561" width="1.5703125" style="209" customWidth="1"/>
    <col min="2562" max="2562" width="15.7109375" style="209" customWidth="1"/>
    <col min="2563" max="2563" width="28.85546875" style="209" customWidth="1"/>
    <col min="2564" max="2568" width="12.7109375" style="209" customWidth="1"/>
    <col min="2569" max="2815" width="11.42578125" style="209" customWidth="1"/>
    <col min="2816" max="2816" width="1.5703125" style="209"/>
    <col min="2817" max="2817" width="1.5703125" style="209" customWidth="1"/>
    <col min="2818" max="2818" width="15.7109375" style="209" customWidth="1"/>
    <col min="2819" max="2819" width="28.85546875" style="209" customWidth="1"/>
    <col min="2820" max="2824" width="12.7109375" style="209" customWidth="1"/>
    <col min="2825" max="3071" width="11.42578125" style="209" customWidth="1"/>
    <col min="3072" max="3072" width="1.5703125" style="209"/>
    <col min="3073" max="3073" width="1.5703125" style="209" customWidth="1"/>
    <col min="3074" max="3074" width="15.7109375" style="209" customWidth="1"/>
    <col min="3075" max="3075" width="28.85546875" style="209" customWidth="1"/>
    <col min="3076" max="3080" width="12.7109375" style="209" customWidth="1"/>
    <col min="3081" max="3327" width="11.42578125" style="209" customWidth="1"/>
    <col min="3328" max="3328" width="1.5703125" style="209"/>
    <col min="3329" max="3329" width="1.5703125" style="209" customWidth="1"/>
    <col min="3330" max="3330" width="15.7109375" style="209" customWidth="1"/>
    <col min="3331" max="3331" width="28.85546875" style="209" customWidth="1"/>
    <col min="3332" max="3336" width="12.7109375" style="209" customWidth="1"/>
    <col min="3337" max="3583" width="11.42578125" style="209" customWidth="1"/>
    <col min="3584" max="3584" width="1.5703125" style="209"/>
    <col min="3585" max="3585" width="1.5703125" style="209" customWidth="1"/>
    <col min="3586" max="3586" width="15.7109375" style="209" customWidth="1"/>
    <col min="3587" max="3587" width="28.85546875" style="209" customWidth="1"/>
    <col min="3588" max="3592" width="12.7109375" style="209" customWidth="1"/>
    <col min="3593" max="3839" width="11.42578125" style="209" customWidth="1"/>
    <col min="3840" max="3840" width="1.5703125" style="209"/>
    <col min="3841" max="3841" width="1.5703125" style="209" customWidth="1"/>
    <col min="3842" max="3842" width="15.7109375" style="209" customWidth="1"/>
    <col min="3843" max="3843" width="28.85546875" style="209" customWidth="1"/>
    <col min="3844" max="3848" width="12.7109375" style="209" customWidth="1"/>
    <col min="3849" max="4095" width="11.42578125" style="209" customWidth="1"/>
    <col min="4096" max="4096" width="1.5703125" style="209"/>
    <col min="4097" max="4097" width="1.5703125" style="209" customWidth="1"/>
    <col min="4098" max="4098" width="15.7109375" style="209" customWidth="1"/>
    <col min="4099" max="4099" width="28.85546875" style="209" customWidth="1"/>
    <col min="4100" max="4104" width="12.7109375" style="209" customWidth="1"/>
    <col min="4105" max="4351" width="11.42578125" style="209" customWidth="1"/>
    <col min="4352" max="4352" width="1.5703125" style="209"/>
    <col min="4353" max="4353" width="1.5703125" style="209" customWidth="1"/>
    <col min="4354" max="4354" width="15.7109375" style="209" customWidth="1"/>
    <col min="4355" max="4355" width="28.85546875" style="209" customWidth="1"/>
    <col min="4356" max="4360" width="12.7109375" style="209" customWidth="1"/>
    <col min="4361" max="4607" width="11.42578125" style="209" customWidth="1"/>
    <col min="4608" max="4608" width="1.5703125" style="209"/>
    <col min="4609" max="4609" width="1.5703125" style="209" customWidth="1"/>
    <col min="4610" max="4610" width="15.7109375" style="209" customWidth="1"/>
    <col min="4611" max="4611" width="28.85546875" style="209" customWidth="1"/>
    <col min="4612" max="4616" width="12.7109375" style="209" customWidth="1"/>
    <col min="4617" max="4863" width="11.42578125" style="209" customWidth="1"/>
    <col min="4864" max="4864" width="1.5703125" style="209"/>
    <col min="4865" max="4865" width="1.5703125" style="209" customWidth="1"/>
    <col min="4866" max="4866" width="15.7109375" style="209" customWidth="1"/>
    <col min="4867" max="4867" width="28.85546875" style="209" customWidth="1"/>
    <col min="4868" max="4872" width="12.7109375" style="209" customWidth="1"/>
    <col min="4873" max="5119" width="11.42578125" style="209" customWidth="1"/>
    <col min="5120" max="5120" width="1.5703125" style="209"/>
    <col min="5121" max="5121" width="1.5703125" style="209" customWidth="1"/>
    <col min="5122" max="5122" width="15.7109375" style="209" customWidth="1"/>
    <col min="5123" max="5123" width="28.85546875" style="209" customWidth="1"/>
    <col min="5124" max="5128" width="12.7109375" style="209" customWidth="1"/>
    <col min="5129" max="5375" width="11.42578125" style="209" customWidth="1"/>
    <col min="5376" max="5376" width="1.5703125" style="209"/>
    <col min="5377" max="5377" width="1.5703125" style="209" customWidth="1"/>
    <col min="5378" max="5378" width="15.7109375" style="209" customWidth="1"/>
    <col min="5379" max="5379" width="28.85546875" style="209" customWidth="1"/>
    <col min="5380" max="5384" width="12.7109375" style="209" customWidth="1"/>
    <col min="5385" max="5631" width="11.42578125" style="209" customWidth="1"/>
    <col min="5632" max="5632" width="1.5703125" style="209"/>
    <col min="5633" max="5633" width="1.5703125" style="209" customWidth="1"/>
    <col min="5634" max="5634" width="15.7109375" style="209" customWidth="1"/>
    <col min="5635" max="5635" width="28.85546875" style="209" customWidth="1"/>
    <col min="5636" max="5640" width="12.7109375" style="209" customWidth="1"/>
    <col min="5641" max="5887" width="11.42578125" style="209" customWidth="1"/>
    <col min="5888" max="5888" width="1.5703125" style="209"/>
    <col min="5889" max="5889" width="1.5703125" style="209" customWidth="1"/>
    <col min="5890" max="5890" width="15.7109375" style="209" customWidth="1"/>
    <col min="5891" max="5891" width="28.85546875" style="209" customWidth="1"/>
    <col min="5892" max="5896" width="12.7109375" style="209" customWidth="1"/>
    <col min="5897" max="6143" width="11.42578125" style="209" customWidth="1"/>
    <col min="6144" max="6144" width="1.5703125" style="209"/>
    <col min="6145" max="6145" width="1.5703125" style="209" customWidth="1"/>
    <col min="6146" max="6146" width="15.7109375" style="209" customWidth="1"/>
    <col min="6147" max="6147" width="28.85546875" style="209" customWidth="1"/>
    <col min="6148" max="6152" width="12.7109375" style="209" customWidth="1"/>
    <col min="6153" max="6399" width="11.42578125" style="209" customWidth="1"/>
    <col min="6400" max="6400" width="1.5703125" style="209"/>
    <col min="6401" max="6401" width="1.5703125" style="209" customWidth="1"/>
    <col min="6402" max="6402" width="15.7109375" style="209" customWidth="1"/>
    <col min="6403" max="6403" width="28.85546875" style="209" customWidth="1"/>
    <col min="6404" max="6408" width="12.7109375" style="209" customWidth="1"/>
    <col min="6409" max="6655" width="11.42578125" style="209" customWidth="1"/>
    <col min="6656" max="6656" width="1.5703125" style="209"/>
    <col min="6657" max="6657" width="1.5703125" style="209" customWidth="1"/>
    <col min="6658" max="6658" width="15.7109375" style="209" customWidth="1"/>
    <col min="6659" max="6659" width="28.85546875" style="209" customWidth="1"/>
    <col min="6660" max="6664" width="12.7109375" style="209" customWidth="1"/>
    <col min="6665" max="6911" width="11.42578125" style="209" customWidth="1"/>
    <col min="6912" max="6912" width="1.5703125" style="209"/>
    <col min="6913" max="6913" width="1.5703125" style="209" customWidth="1"/>
    <col min="6914" max="6914" width="15.7109375" style="209" customWidth="1"/>
    <col min="6915" max="6915" width="28.85546875" style="209" customWidth="1"/>
    <col min="6916" max="6920" width="12.7109375" style="209" customWidth="1"/>
    <col min="6921" max="7167" width="11.42578125" style="209" customWidth="1"/>
    <col min="7168" max="7168" width="1.5703125" style="209"/>
    <col min="7169" max="7169" width="1.5703125" style="209" customWidth="1"/>
    <col min="7170" max="7170" width="15.7109375" style="209" customWidth="1"/>
    <col min="7171" max="7171" width="28.85546875" style="209" customWidth="1"/>
    <col min="7172" max="7176" width="12.7109375" style="209" customWidth="1"/>
    <col min="7177" max="7423" width="11.42578125" style="209" customWidth="1"/>
    <col min="7424" max="7424" width="1.5703125" style="209"/>
    <col min="7425" max="7425" width="1.5703125" style="209" customWidth="1"/>
    <col min="7426" max="7426" width="15.7109375" style="209" customWidth="1"/>
    <col min="7427" max="7427" width="28.85546875" style="209" customWidth="1"/>
    <col min="7428" max="7432" width="12.7109375" style="209" customWidth="1"/>
    <col min="7433" max="7679" width="11.42578125" style="209" customWidth="1"/>
    <col min="7680" max="7680" width="1.5703125" style="209"/>
    <col min="7681" max="7681" width="1.5703125" style="209" customWidth="1"/>
    <col min="7682" max="7682" width="15.7109375" style="209" customWidth="1"/>
    <col min="7683" max="7683" width="28.85546875" style="209" customWidth="1"/>
    <col min="7684" max="7688" width="12.7109375" style="209" customWidth="1"/>
    <col min="7689" max="7935" width="11.42578125" style="209" customWidth="1"/>
    <col min="7936" max="7936" width="1.5703125" style="209"/>
    <col min="7937" max="7937" width="1.5703125" style="209" customWidth="1"/>
    <col min="7938" max="7938" width="15.7109375" style="209" customWidth="1"/>
    <col min="7939" max="7939" width="28.85546875" style="209" customWidth="1"/>
    <col min="7940" max="7944" width="12.7109375" style="209" customWidth="1"/>
    <col min="7945" max="8191" width="11.42578125" style="209" customWidth="1"/>
    <col min="8192" max="8192" width="1.5703125" style="209"/>
    <col min="8193" max="8193" width="1.5703125" style="209" customWidth="1"/>
    <col min="8194" max="8194" width="15.7109375" style="209" customWidth="1"/>
    <col min="8195" max="8195" width="28.85546875" style="209" customWidth="1"/>
    <col min="8196" max="8200" width="12.7109375" style="209" customWidth="1"/>
    <col min="8201" max="8447" width="11.42578125" style="209" customWidth="1"/>
    <col min="8448" max="8448" width="1.5703125" style="209"/>
    <col min="8449" max="8449" width="1.5703125" style="209" customWidth="1"/>
    <col min="8450" max="8450" width="15.7109375" style="209" customWidth="1"/>
    <col min="8451" max="8451" width="28.85546875" style="209" customWidth="1"/>
    <col min="8452" max="8456" width="12.7109375" style="209" customWidth="1"/>
    <col min="8457" max="8703" width="11.42578125" style="209" customWidth="1"/>
    <col min="8704" max="8704" width="1.5703125" style="209"/>
    <col min="8705" max="8705" width="1.5703125" style="209" customWidth="1"/>
    <col min="8706" max="8706" width="15.7109375" style="209" customWidth="1"/>
    <col min="8707" max="8707" width="28.85546875" style="209" customWidth="1"/>
    <col min="8708" max="8712" width="12.7109375" style="209" customWidth="1"/>
    <col min="8713" max="8959" width="11.42578125" style="209" customWidth="1"/>
    <col min="8960" max="8960" width="1.5703125" style="209"/>
    <col min="8961" max="8961" width="1.5703125" style="209" customWidth="1"/>
    <col min="8962" max="8962" width="15.7109375" style="209" customWidth="1"/>
    <col min="8963" max="8963" width="28.85546875" style="209" customWidth="1"/>
    <col min="8964" max="8968" width="12.7109375" style="209" customWidth="1"/>
    <col min="8969" max="9215" width="11.42578125" style="209" customWidth="1"/>
    <col min="9216" max="9216" width="1.5703125" style="209"/>
    <col min="9217" max="9217" width="1.5703125" style="209" customWidth="1"/>
    <col min="9218" max="9218" width="15.7109375" style="209" customWidth="1"/>
    <col min="9219" max="9219" width="28.85546875" style="209" customWidth="1"/>
    <col min="9220" max="9224" width="12.7109375" style="209" customWidth="1"/>
    <col min="9225" max="9471" width="11.42578125" style="209" customWidth="1"/>
    <col min="9472" max="9472" width="1.5703125" style="209"/>
    <col min="9473" max="9473" width="1.5703125" style="209" customWidth="1"/>
    <col min="9474" max="9474" width="15.7109375" style="209" customWidth="1"/>
    <col min="9475" max="9475" width="28.85546875" style="209" customWidth="1"/>
    <col min="9476" max="9480" width="12.7109375" style="209" customWidth="1"/>
    <col min="9481" max="9727" width="11.42578125" style="209" customWidth="1"/>
    <col min="9728" max="9728" width="1.5703125" style="209"/>
    <col min="9729" max="9729" width="1.5703125" style="209" customWidth="1"/>
    <col min="9730" max="9730" width="15.7109375" style="209" customWidth="1"/>
    <col min="9731" max="9731" width="28.85546875" style="209" customWidth="1"/>
    <col min="9732" max="9736" width="12.7109375" style="209" customWidth="1"/>
    <col min="9737" max="9983" width="11.42578125" style="209" customWidth="1"/>
    <col min="9984" max="9984" width="1.5703125" style="209"/>
    <col min="9985" max="9985" width="1.5703125" style="209" customWidth="1"/>
    <col min="9986" max="9986" width="15.7109375" style="209" customWidth="1"/>
    <col min="9987" max="9987" width="28.85546875" style="209" customWidth="1"/>
    <col min="9988" max="9992" width="12.7109375" style="209" customWidth="1"/>
    <col min="9993" max="10239" width="11.42578125" style="209" customWidth="1"/>
    <col min="10240" max="10240" width="1.5703125" style="209"/>
    <col min="10241" max="10241" width="1.5703125" style="209" customWidth="1"/>
    <col min="10242" max="10242" width="15.7109375" style="209" customWidth="1"/>
    <col min="10243" max="10243" width="28.85546875" style="209" customWidth="1"/>
    <col min="10244" max="10248" width="12.7109375" style="209" customWidth="1"/>
    <col min="10249" max="10495" width="11.42578125" style="209" customWidth="1"/>
    <col min="10496" max="10496" width="1.5703125" style="209"/>
    <col min="10497" max="10497" width="1.5703125" style="209" customWidth="1"/>
    <col min="10498" max="10498" width="15.7109375" style="209" customWidth="1"/>
    <col min="10499" max="10499" width="28.85546875" style="209" customWidth="1"/>
    <col min="10500" max="10504" width="12.7109375" style="209" customWidth="1"/>
    <col min="10505" max="10751" width="11.42578125" style="209" customWidth="1"/>
    <col min="10752" max="10752" width="1.5703125" style="209"/>
    <col min="10753" max="10753" width="1.5703125" style="209" customWidth="1"/>
    <col min="10754" max="10754" width="15.7109375" style="209" customWidth="1"/>
    <col min="10755" max="10755" width="28.85546875" style="209" customWidth="1"/>
    <col min="10756" max="10760" width="12.7109375" style="209" customWidth="1"/>
    <col min="10761" max="11007" width="11.42578125" style="209" customWidth="1"/>
    <col min="11008" max="11008" width="1.5703125" style="209"/>
    <col min="11009" max="11009" width="1.5703125" style="209" customWidth="1"/>
    <col min="11010" max="11010" width="15.7109375" style="209" customWidth="1"/>
    <col min="11011" max="11011" width="28.85546875" style="209" customWidth="1"/>
    <col min="11012" max="11016" width="12.7109375" style="209" customWidth="1"/>
    <col min="11017" max="11263" width="11.42578125" style="209" customWidth="1"/>
    <col min="11264" max="11264" width="1.5703125" style="209"/>
    <col min="11265" max="11265" width="1.5703125" style="209" customWidth="1"/>
    <col min="11266" max="11266" width="15.7109375" style="209" customWidth="1"/>
    <col min="11267" max="11267" width="28.85546875" style="209" customWidth="1"/>
    <col min="11268" max="11272" width="12.7109375" style="209" customWidth="1"/>
    <col min="11273" max="11519" width="11.42578125" style="209" customWidth="1"/>
    <col min="11520" max="11520" width="1.5703125" style="209"/>
    <col min="11521" max="11521" width="1.5703125" style="209" customWidth="1"/>
    <col min="11522" max="11522" width="15.7109375" style="209" customWidth="1"/>
    <col min="11523" max="11523" width="28.85546875" style="209" customWidth="1"/>
    <col min="11524" max="11528" width="12.7109375" style="209" customWidth="1"/>
    <col min="11529" max="11775" width="11.42578125" style="209" customWidth="1"/>
    <col min="11776" max="11776" width="1.5703125" style="209"/>
    <col min="11777" max="11777" width="1.5703125" style="209" customWidth="1"/>
    <col min="11778" max="11778" width="15.7109375" style="209" customWidth="1"/>
    <col min="11779" max="11779" width="28.85546875" style="209" customWidth="1"/>
    <col min="11780" max="11784" width="12.7109375" style="209" customWidth="1"/>
    <col min="11785" max="12031" width="11.42578125" style="209" customWidth="1"/>
    <col min="12032" max="12032" width="1.5703125" style="209"/>
    <col min="12033" max="12033" width="1.5703125" style="209" customWidth="1"/>
    <col min="12034" max="12034" width="15.7109375" style="209" customWidth="1"/>
    <col min="12035" max="12035" width="28.85546875" style="209" customWidth="1"/>
    <col min="12036" max="12040" width="12.7109375" style="209" customWidth="1"/>
    <col min="12041" max="12287" width="11.42578125" style="209" customWidth="1"/>
    <col min="12288" max="12288" width="1.5703125" style="209"/>
    <col min="12289" max="12289" width="1.5703125" style="209" customWidth="1"/>
    <col min="12290" max="12290" width="15.7109375" style="209" customWidth="1"/>
    <col min="12291" max="12291" width="28.85546875" style="209" customWidth="1"/>
    <col min="12292" max="12296" width="12.7109375" style="209" customWidth="1"/>
    <col min="12297" max="12543" width="11.42578125" style="209" customWidth="1"/>
    <col min="12544" max="12544" width="1.5703125" style="209"/>
    <col min="12545" max="12545" width="1.5703125" style="209" customWidth="1"/>
    <col min="12546" max="12546" width="15.7109375" style="209" customWidth="1"/>
    <col min="12547" max="12547" width="28.85546875" style="209" customWidth="1"/>
    <col min="12548" max="12552" width="12.7109375" style="209" customWidth="1"/>
    <col min="12553" max="12799" width="11.42578125" style="209" customWidth="1"/>
    <col min="12800" max="12800" width="1.5703125" style="209"/>
    <col min="12801" max="12801" width="1.5703125" style="209" customWidth="1"/>
    <col min="12802" max="12802" width="15.7109375" style="209" customWidth="1"/>
    <col min="12803" max="12803" width="28.85546875" style="209" customWidth="1"/>
    <col min="12804" max="12808" width="12.7109375" style="209" customWidth="1"/>
    <col min="12809" max="13055" width="11.42578125" style="209" customWidth="1"/>
    <col min="13056" max="13056" width="1.5703125" style="209"/>
    <col min="13057" max="13057" width="1.5703125" style="209" customWidth="1"/>
    <col min="13058" max="13058" width="15.7109375" style="209" customWidth="1"/>
    <col min="13059" max="13059" width="28.85546875" style="209" customWidth="1"/>
    <col min="13060" max="13064" width="12.7109375" style="209" customWidth="1"/>
    <col min="13065" max="13311" width="11.42578125" style="209" customWidth="1"/>
    <col min="13312" max="13312" width="1.5703125" style="209"/>
    <col min="13313" max="13313" width="1.5703125" style="209" customWidth="1"/>
    <col min="13314" max="13314" width="15.7109375" style="209" customWidth="1"/>
    <col min="13315" max="13315" width="28.85546875" style="209" customWidth="1"/>
    <col min="13316" max="13320" width="12.7109375" style="209" customWidth="1"/>
    <col min="13321" max="13567" width="11.42578125" style="209" customWidth="1"/>
    <col min="13568" max="13568" width="1.5703125" style="209"/>
    <col min="13569" max="13569" width="1.5703125" style="209" customWidth="1"/>
    <col min="13570" max="13570" width="15.7109375" style="209" customWidth="1"/>
    <col min="13571" max="13571" width="28.85546875" style="209" customWidth="1"/>
    <col min="13572" max="13576" width="12.7109375" style="209" customWidth="1"/>
    <col min="13577" max="13823" width="11.42578125" style="209" customWidth="1"/>
    <col min="13824" max="13824" width="1.5703125" style="209"/>
    <col min="13825" max="13825" width="1.5703125" style="209" customWidth="1"/>
    <col min="13826" max="13826" width="15.7109375" style="209" customWidth="1"/>
    <col min="13827" max="13827" width="28.85546875" style="209" customWidth="1"/>
    <col min="13828" max="13832" width="12.7109375" style="209" customWidth="1"/>
    <col min="13833" max="14079" width="11.42578125" style="209" customWidth="1"/>
    <col min="14080" max="14080" width="1.5703125" style="209"/>
    <col min="14081" max="14081" width="1.5703125" style="209" customWidth="1"/>
    <col min="14082" max="14082" width="15.7109375" style="209" customWidth="1"/>
    <col min="14083" max="14083" width="28.85546875" style="209" customWidth="1"/>
    <col min="14084" max="14088" width="12.7109375" style="209" customWidth="1"/>
    <col min="14089" max="14335" width="11.42578125" style="209" customWidth="1"/>
    <col min="14336" max="14336" width="1.5703125" style="209"/>
    <col min="14337" max="14337" width="1.5703125" style="209" customWidth="1"/>
    <col min="14338" max="14338" width="15.7109375" style="209" customWidth="1"/>
    <col min="14339" max="14339" width="28.85546875" style="209" customWidth="1"/>
    <col min="14340" max="14344" width="12.7109375" style="209" customWidth="1"/>
    <col min="14345" max="14591" width="11.42578125" style="209" customWidth="1"/>
    <col min="14592" max="14592" width="1.5703125" style="209"/>
    <col min="14593" max="14593" width="1.5703125" style="209" customWidth="1"/>
    <col min="14594" max="14594" width="15.7109375" style="209" customWidth="1"/>
    <col min="14595" max="14595" width="28.85546875" style="209" customWidth="1"/>
    <col min="14596" max="14600" width="12.7109375" style="209" customWidth="1"/>
    <col min="14601" max="14847" width="11.42578125" style="209" customWidth="1"/>
    <col min="14848" max="14848" width="1.5703125" style="209"/>
    <col min="14849" max="14849" width="1.5703125" style="209" customWidth="1"/>
    <col min="14850" max="14850" width="15.7109375" style="209" customWidth="1"/>
    <col min="14851" max="14851" width="28.85546875" style="209" customWidth="1"/>
    <col min="14852" max="14856" width="12.7109375" style="209" customWidth="1"/>
    <col min="14857" max="15103" width="11.42578125" style="209" customWidth="1"/>
    <col min="15104" max="15104" width="1.5703125" style="209"/>
    <col min="15105" max="15105" width="1.5703125" style="209" customWidth="1"/>
    <col min="15106" max="15106" width="15.7109375" style="209" customWidth="1"/>
    <col min="15107" max="15107" width="28.85546875" style="209" customWidth="1"/>
    <col min="15108" max="15112" width="12.7109375" style="209" customWidth="1"/>
    <col min="15113" max="15359" width="11.42578125" style="209" customWidth="1"/>
    <col min="15360" max="15360" width="1.5703125" style="209"/>
    <col min="15361" max="15361" width="1.5703125" style="209" customWidth="1"/>
    <col min="15362" max="15362" width="15.7109375" style="209" customWidth="1"/>
    <col min="15363" max="15363" width="28.85546875" style="209" customWidth="1"/>
    <col min="15364" max="15368" width="12.7109375" style="209" customWidth="1"/>
    <col min="15369" max="15615" width="11.42578125" style="209" customWidth="1"/>
    <col min="15616" max="15616" width="1.5703125" style="209"/>
    <col min="15617" max="15617" width="1.5703125" style="209" customWidth="1"/>
    <col min="15618" max="15618" width="15.7109375" style="209" customWidth="1"/>
    <col min="15619" max="15619" width="28.85546875" style="209" customWidth="1"/>
    <col min="15620" max="15624" width="12.7109375" style="209" customWidth="1"/>
    <col min="15625" max="15871" width="11.42578125" style="209" customWidth="1"/>
    <col min="15872" max="15872" width="1.5703125" style="209"/>
    <col min="15873" max="15873" width="1.5703125" style="209" customWidth="1"/>
    <col min="15874" max="15874" width="15.7109375" style="209" customWidth="1"/>
    <col min="15875" max="15875" width="28.85546875" style="209" customWidth="1"/>
    <col min="15876" max="15880" width="12.7109375" style="209" customWidth="1"/>
    <col min="15881" max="16127" width="11.42578125" style="209" customWidth="1"/>
    <col min="16128" max="16128" width="1.5703125" style="209"/>
    <col min="16129" max="16129" width="1.5703125" style="209" customWidth="1"/>
    <col min="16130" max="16130" width="15.7109375" style="209" customWidth="1"/>
    <col min="16131" max="16131" width="28.85546875" style="209" customWidth="1"/>
    <col min="16132" max="16136" width="12.7109375" style="209" customWidth="1"/>
    <col min="16137" max="16383" width="11.42578125" style="209" customWidth="1"/>
    <col min="16384" max="16384" width="1.5703125" style="209"/>
  </cols>
  <sheetData>
    <row r="1" spans="2:18" ht="45" customHeight="1" x14ac:dyDescent="0.2">
      <c r="B1" s="5682" t="s">
        <v>1278</v>
      </c>
      <c r="C1" s="5682"/>
      <c r="D1" s="579"/>
      <c r="E1" s="579"/>
      <c r="F1" s="579"/>
      <c r="G1" s="579"/>
      <c r="H1" s="579"/>
      <c r="I1" s="579"/>
      <c r="J1" s="579"/>
      <c r="K1" s="579"/>
      <c r="L1" s="579"/>
    </row>
    <row r="2" spans="2:18" ht="15.75" x14ac:dyDescent="0.2">
      <c r="B2" s="6414"/>
      <c r="C2" s="6414"/>
      <c r="D2" s="6414"/>
      <c r="E2" s="6414"/>
      <c r="F2" s="6414"/>
      <c r="G2" s="6414"/>
      <c r="H2" s="6414"/>
      <c r="I2" s="6414"/>
      <c r="J2" s="6414"/>
      <c r="K2" s="6414"/>
      <c r="L2" s="6414"/>
    </row>
    <row r="3" spans="2:18" ht="32.25" customHeight="1" x14ac:dyDescent="0.2">
      <c r="B3" s="2006" t="s">
        <v>164</v>
      </c>
      <c r="C3" s="2006" t="s">
        <v>25</v>
      </c>
      <c r="D3" s="1460">
        <v>2003</v>
      </c>
      <c r="E3" s="1460">
        <v>2004</v>
      </c>
      <c r="F3" s="1460">
        <v>2005</v>
      </c>
      <c r="G3" s="1460">
        <v>2006</v>
      </c>
      <c r="H3" s="1460">
        <v>2007</v>
      </c>
      <c r="I3" s="1460">
        <v>2008</v>
      </c>
      <c r="J3" s="1460">
        <v>2009</v>
      </c>
      <c r="K3" s="1460">
        <v>2010</v>
      </c>
      <c r="L3" s="1460">
        <v>2011</v>
      </c>
      <c r="M3" s="1460">
        <v>2012</v>
      </c>
      <c r="N3" s="1460">
        <v>2013</v>
      </c>
      <c r="O3" s="1460">
        <v>2014</v>
      </c>
      <c r="P3" s="1460">
        <v>2015</v>
      </c>
      <c r="Q3" s="1460">
        <v>2016</v>
      </c>
      <c r="R3" s="1460">
        <v>2017</v>
      </c>
    </row>
    <row r="4" spans="2:18" ht="15" x14ac:dyDescent="0.2">
      <c r="B4" s="262"/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</row>
    <row r="5" spans="2:18" ht="15" x14ac:dyDescent="0.2">
      <c r="B5" s="6213" t="s">
        <v>5</v>
      </c>
      <c r="C5" s="1029" t="s">
        <v>615</v>
      </c>
      <c r="D5" s="4374"/>
      <c r="E5" s="4374"/>
      <c r="F5" s="4374"/>
      <c r="G5" s="4375"/>
      <c r="H5" s="4374"/>
      <c r="I5" s="4374"/>
      <c r="J5" s="4374"/>
      <c r="K5" s="4374"/>
      <c r="L5" s="4374"/>
      <c r="M5" s="4374"/>
      <c r="N5" s="4374">
        <f>SUM('ACTIVOS-POS plan'!O4)</f>
        <v>0</v>
      </c>
      <c r="O5" s="4374">
        <f>SUM('ACTIVOS-POS plan'!P4)</f>
        <v>0</v>
      </c>
      <c r="P5" s="4374">
        <f>SUM('ACTIVOS-POS plan'!Q4)</f>
        <v>0</v>
      </c>
      <c r="Q5" s="4374">
        <f>SUM('ACTIVOS-POS plan'!R4)</f>
        <v>0</v>
      </c>
      <c r="R5" s="4374">
        <f>SUM('ACTIVOS-POS plan'!S4)</f>
        <v>0</v>
      </c>
    </row>
    <row r="6" spans="2:18" ht="15" x14ac:dyDescent="0.2">
      <c r="B6" s="6211"/>
      <c r="C6" s="1034" t="s">
        <v>616</v>
      </c>
      <c r="D6" s="4376">
        <v>129</v>
      </c>
      <c r="E6" s="4376">
        <v>128</v>
      </c>
      <c r="F6" s="4376">
        <v>128</v>
      </c>
      <c r="G6" s="4376">
        <v>125</v>
      </c>
      <c r="H6" s="4376">
        <v>115</v>
      </c>
      <c r="I6" s="4376">
        <v>85</v>
      </c>
      <c r="J6" s="4376">
        <v>115</v>
      </c>
      <c r="K6" s="4376">
        <v>131</v>
      </c>
      <c r="L6" s="4376">
        <v>136</v>
      </c>
      <c r="M6" s="4376">
        <v>131</v>
      </c>
      <c r="N6" s="4376">
        <f>SUM('ACTIVOS-POS plan'!O5:O9)</f>
        <v>153</v>
      </c>
      <c r="O6" s="4376">
        <f>SUM('ACTIVOS-POS plan'!P5:P9)</f>
        <v>194</v>
      </c>
      <c r="P6" s="4376">
        <f>SUM('ACTIVOS-POS plan'!Q5:Q9)</f>
        <v>209</v>
      </c>
      <c r="Q6" s="4376">
        <f>SUM('ACTIVOS-POS plan'!R5:R9)</f>
        <v>236</v>
      </c>
      <c r="R6" s="4376">
        <f>SUM('ACTIVOS-POS plan'!S5:S10)</f>
        <v>231</v>
      </c>
    </row>
    <row r="7" spans="2:18" ht="15" x14ac:dyDescent="0.2">
      <c r="B7" s="6211"/>
      <c r="C7" s="1040" t="s">
        <v>617</v>
      </c>
      <c r="D7" s="4376">
        <v>31</v>
      </c>
      <c r="E7" s="4376">
        <v>32</v>
      </c>
      <c r="F7" s="4376">
        <v>35</v>
      </c>
      <c r="G7" s="4376">
        <v>27</v>
      </c>
      <c r="H7" s="4376">
        <v>35</v>
      </c>
      <c r="I7" s="4376">
        <v>45</v>
      </c>
      <c r="J7" s="4376">
        <v>42</v>
      </c>
      <c r="K7" s="4376">
        <v>40</v>
      </c>
      <c r="L7" s="4376">
        <v>42</v>
      </c>
      <c r="M7" s="4376">
        <v>33</v>
      </c>
      <c r="N7" s="4376">
        <f>SUM('ACTIVOS-POS plan'!O11:O14)</f>
        <v>35</v>
      </c>
      <c r="O7" s="4376">
        <f>SUM('ACTIVOS-POS plan'!P11:P14)</f>
        <v>36</v>
      </c>
      <c r="P7" s="4376">
        <f>SUM('ACTIVOS-POS plan'!Q11:Q14)</f>
        <v>44</v>
      </c>
      <c r="Q7" s="4376">
        <f>SUM('ACTIVOS-POS plan'!R11:R14)</f>
        <v>52</v>
      </c>
      <c r="R7" s="4376">
        <f>SUM('ACTIVOS-POS plan'!S11:S15)</f>
        <v>55</v>
      </c>
    </row>
    <row r="8" spans="2:18" ht="15" x14ac:dyDescent="0.2">
      <c r="B8" s="6212"/>
      <c r="C8" s="574" t="s">
        <v>13</v>
      </c>
      <c r="D8" s="4377">
        <v>160</v>
      </c>
      <c r="E8" s="4377">
        <v>160</v>
      </c>
      <c r="F8" s="4377">
        <v>163</v>
      </c>
      <c r="G8" s="4377">
        <v>152</v>
      </c>
      <c r="H8" s="4377">
        <v>150</v>
      </c>
      <c r="I8" s="4377">
        <v>130</v>
      </c>
      <c r="J8" s="4377">
        <f t="shared" ref="J8:O8" si="0">SUM(J5:J7)</f>
        <v>157</v>
      </c>
      <c r="K8" s="4377">
        <f t="shared" si="0"/>
        <v>171</v>
      </c>
      <c r="L8" s="4377">
        <f t="shared" si="0"/>
        <v>178</v>
      </c>
      <c r="M8" s="4377">
        <f t="shared" si="0"/>
        <v>164</v>
      </c>
      <c r="N8" s="4377">
        <f t="shared" si="0"/>
        <v>188</v>
      </c>
      <c r="O8" s="4377">
        <f t="shared" si="0"/>
        <v>230</v>
      </c>
      <c r="P8" s="4377">
        <f>SUM(P5:P7)</f>
        <v>253</v>
      </c>
      <c r="Q8" s="4377">
        <f>SUM(Q5:Q7)</f>
        <v>288</v>
      </c>
      <c r="R8" s="4377">
        <f>SUM(R5:R7)</f>
        <v>286</v>
      </c>
    </row>
    <row r="9" spans="2:18" ht="15" x14ac:dyDescent="0.2">
      <c r="B9" s="6213" t="s">
        <v>6</v>
      </c>
      <c r="C9" s="1029" t="s">
        <v>615</v>
      </c>
      <c r="D9" s="4374">
        <v>44</v>
      </c>
      <c r="E9" s="4374">
        <v>64</v>
      </c>
      <c r="F9" s="4374">
        <v>67</v>
      </c>
      <c r="G9" s="4375">
        <v>62</v>
      </c>
      <c r="H9" s="4374">
        <v>70</v>
      </c>
      <c r="I9" s="4374">
        <v>59</v>
      </c>
      <c r="J9" s="4374">
        <v>48</v>
      </c>
      <c r="K9" s="4374">
        <v>41</v>
      </c>
      <c r="L9" s="4374">
        <v>52</v>
      </c>
      <c r="M9" s="4374">
        <v>47</v>
      </c>
      <c r="N9" s="4374">
        <f>SUM('ACTIVOS-POS plan'!O17:O19)</f>
        <v>47</v>
      </c>
      <c r="O9" s="4374">
        <f>SUM('ACTIVOS-POS plan'!P17:P19)</f>
        <v>46</v>
      </c>
      <c r="P9" s="4374">
        <f>SUM('ACTIVOS-POS plan'!Q17:Q19)</f>
        <v>49</v>
      </c>
      <c r="Q9" s="4374">
        <f>SUM('ACTIVOS-POS plan'!R17:R19)</f>
        <v>49</v>
      </c>
      <c r="R9" s="4374">
        <f>SUM('ACTIVOS-POS plan'!S17:S19)</f>
        <v>40</v>
      </c>
    </row>
    <row r="10" spans="2:18" ht="15" x14ac:dyDescent="0.2">
      <c r="B10" s="6211"/>
      <c r="C10" s="1034" t="s">
        <v>616</v>
      </c>
      <c r="D10" s="4376">
        <v>57</v>
      </c>
      <c r="E10" s="4376">
        <v>69</v>
      </c>
      <c r="F10" s="4376">
        <v>66</v>
      </c>
      <c r="G10" s="4376">
        <v>62</v>
      </c>
      <c r="H10" s="4376">
        <v>97</v>
      </c>
      <c r="I10" s="4376">
        <v>83</v>
      </c>
      <c r="J10" s="4376">
        <v>125</v>
      </c>
      <c r="K10" s="4376">
        <v>82</v>
      </c>
      <c r="L10" s="4376">
        <v>116</v>
      </c>
      <c r="M10" s="4376">
        <v>95</v>
      </c>
      <c r="N10" s="4376">
        <f>SUM('ACTIVOS-POS plan'!O20:O26)</f>
        <v>138</v>
      </c>
      <c r="O10" s="4376">
        <f>SUM('ACTIVOS-POS plan'!P20:P26)</f>
        <v>147</v>
      </c>
      <c r="P10" s="4376">
        <f>SUM('ACTIVOS-POS plan'!Q20:Q26)</f>
        <v>143</v>
      </c>
      <c r="Q10" s="4376">
        <f>SUM('ACTIVOS-POS plan'!R20:R26)</f>
        <v>121</v>
      </c>
      <c r="R10" s="4376">
        <f>SUM('ACTIVOS-POS plan'!S20:S28)</f>
        <v>196</v>
      </c>
    </row>
    <row r="11" spans="2:18" ht="15" x14ac:dyDescent="0.2">
      <c r="B11" s="6211"/>
      <c r="C11" s="1040" t="s">
        <v>617</v>
      </c>
      <c r="D11" s="4376">
        <v>7</v>
      </c>
      <c r="E11" s="4376">
        <v>9</v>
      </c>
      <c r="F11" s="4376">
        <v>17</v>
      </c>
      <c r="G11" s="4376">
        <v>17</v>
      </c>
      <c r="H11" s="4376">
        <v>61</v>
      </c>
      <c r="I11" s="4376">
        <v>40</v>
      </c>
      <c r="J11" s="4376">
        <v>39</v>
      </c>
      <c r="K11" s="4376">
        <v>54</v>
      </c>
      <c r="L11" s="4376">
        <v>45</v>
      </c>
      <c r="M11" s="4376">
        <v>46</v>
      </c>
      <c r="N11" s="4376">
        <f>SUM('ACTIVOS-POS plan'!O29:O31)</f>
        <v>54</v>
      </c>
      <c r="O11" s="4376">
        <f>SUM('ACTIVOS-POS plan'!P29:P31)</f>
        <v>51</v>
      </c>
      <c r="P11" s="4376">
        <f>SUM('ACTIVOS-POS plan'!Q29:Q31)</f>
        <v>50</v>
      </c>
      <c r="Q11" s="4376">
        <f>SUM('ACTIVOS-POS plan'!R29:R31)</f>
        <v>67</v>
      </c>
      <c r="R11" s="4376">
        <f>SUM('ACTIVOS-POS plan'!S29:S32)</f>
        <v>67</v>
      </c>
    </row>
    <row r="12" spans="2:18" ht="15" x14ac:dyDescent="0.2">
      <c r="B12" s="6212"/>
      <c r="C12" s="574" t="s">
        <v>14</v>
      </c>
      <c r="D12" s="1226">
        <v>108</v>
      </c>
      <c r="E12" s="1226">
        <v>142</v>
      </c>
      <c r="F12" s="1226">
        <v>150</v>
      </c>
      <c r="G12" s="1226">
        <v>141</v>
      </c>
      <c r="H12" s="1226">
        <v>228</v>
      </c>
      <c r="I12" s="1226">
        <v>182</v>
      </c>
      <c r="J12" s="1226">
        <f t="shared" ref="J12:O12" si="1">SUM(J9:J11)</f>
        <v>212</v>
      </c>
      <c r="K12" s="1226">
        <f t="shared" si="1"/>
        <v>177</v>
      </c>
      <c r="L12" s="1226">
        <f t="shared" si="1"/>
        <v>213</v>
      </c>
      <c r="M12" s="1226">
        <f t="shared" si="1"/>
        <v>188</v>
      </c>
      <c r="N12" s="1226">
        <f t="shared" si="1"/>
        <v>239</v>
      </c>
      <c r="O12" s="1226">
        <f t="shared" si="1"/>
        <v>244</v>
      </c>
      <c r="P12" s="1226">
        <f>SUM(P9:P11)</f>
        <v>242</v>
      </c>
      <c r="Q12" s="1226">
        <f>SUM(Q9:Q11)</f>
        <v>237</v>
      </c>
      <c r="R12" s="1226">
        <f>SUM(R9:R11)</f>
        <v>303</v>
      </c>
    </row>
    <row r="13" spans="2:18" ht="15" x14ac:dyDescent="0.2">
      <c r="B13" s="6213" t="s">
        <v>7</v>
      </c>
      <c r="C13" s="1029" t="s">
        <v>615</v>
      </c>
      <c r="D13" s="4374">
        <v>43</v>
      </c>
      <c r="E13" s="4374">
        <v>37</v>
      </c>
      <c r="F13" s="4374">
        <v>29</v>
      </c>
      <c r="G13" s="4375">
        <v>34</v>
      </c>
      <c r="H13" s="4374">
        <v>61</v>
      </c>
      <c r="I13" s="4374">
        <v>64</v>
      </c>
      <c r="J13" s="4374">
        <v>103</v>
      </c>
      <c r="K13" s="4374">
        <v>102</v>
      </c>
      <c r="L13" s="4374">
        <v>20</v>
      </c>
      <c r="M13" s="4374">
        <v>95</v>
      </c>
      <c r="N13" s="4374">
        <f>SUM('ACTIVOS-POS plan'!O34)</f>
        <v>23</v>
      </c>
      <c r="O13" s="4374">
        <f>SUM('ACTIVOS-POS plan'!P34)</f>
        <v>70</v>
      </c>
      <c r="P13" s="4374">
        <f>SUM('ACTIVOS-POS plan'!Q34)</f>
        <v>24</v>
      </c>
      <c r="Q13" s="4374">
        <f>SUM('ACTIVOS-POS plan'!R34:R36)</f>
        <v>9</v>
      </c>
      <c r="R13" s="4374">
        <f>SUM('ACTIVOS-POS plan'!S34:S36)</f>
        <v>14</v>
      </c>
    </row>
    <row r="14" spans="2:18" ht="15" x14ac:dyDescent="0.2">
      <c r="B14" s="6211"/>
      <c r="C14" s="1034" t="s">
        <v>616</v>
      </c>
      <c r="D14" s="4376">
        <v>45</v>
      </c>
      <c r="E14" s="4376">
        <v>37</v>
      </c>
      <c r="F14" s="4376">
        <v>48</v>
      </c>
      <c r="G14" s="4376">
        <v>55</v>
      </c>
      <c r="H14" s="4376">
        <v>51</v>
      </c>
      <c r="I14" s="4376">
        <v>55</v>
      </c>
      <c r="J14" s="4376">
        <v>47</v>
      </c>
      <c r="K14" s="4376">
        <v>87</v>
      </c>
      <c r="L14" s="4376">
        <v>108</v>
      </c>
      <c r="M14" s="4376">
        <v>79</v>
      </c>
      <c r="N14" s="4376">
        <f>SUM('ACTIVOS-POS plan'!O37)</f>
        <v>102</v>
      </c>
      <c r="O14" s="4376">
        <f>SUM('ACTIVOS-POS plan'!P37)</f>
        <v>74</v>
      </c>
      <c r="P14" s="4376">
        <f>SUM('ACTIVOS-POS plan'!Q37:Q43)</f>
        <v>117</v>
      </c>
      <c r="Q14" s="4376">
        <f>SUM('ACTIVOS-POS plan'!R37:R43)</f>
        <v>122</v>
      </c>
      <c r="R14" s="4376">
        <f>SUM('ACTIVOS-POS plan'!S37:S43)</f>
        <v>123</v>
      </c>
    </row>
    <row r="15" spans="2:18" ht="15" x14ac:dyDescent="0.2">
      <c r="B15" s="6211"/>
      <c r="C15" s="1040" t="s">
        <v>617</v>
      </c>
      <c r="D15" s="4376">
        <v>18</v>
      </c>
      <c r="E15" s="4376">
        <v>5</v>
      </c>
      <c r="F15" s="4376">
        <v>8</v>
      </c>
      <c r="G15" s="4376">
        <v>13</v>
      </c>
      <c r="H15" s="4376">
        <v>20</v>
      </c>
      <c r="I15" s="4376">
        <v>31</v>
      </c>
      <c r="J15" s="4376">
        <v>34</v>
      </c>
      <c r="K15" s="4376">
        <v>62</v>
      </c>
      <c r="L15" s="4376">
        <v>56</v>
      </c>
      <c r="M15" s="4376">
        <v>63</v>
      </c>
      <c r="N15" s="4376">
        <f>SUM('ACTIVOS-POS plan'!O44)</f>
        <v>55</v>
      </c>
      <c r="O15" s="4376">
        <f>SUM('ACTIVOS-POS plan'!P44)</f>
        <v>80</v>
      </c>
      <c r="P15" s="4376">
        <f>SUM('ACTIVOS-POS plan'!Q44:Q50)</f>
        <v>71</v>
      </c>
      <c r="Q15" s="4376">
        <f>SUM('ACTIVOS-POS plan'!R44:R50)</f>
        <v>71</v>
      </c>
      <c r="R15" s="4376">
        <f>SUM('ACTIVOS-POS plan'!S44:S50)</f>
        <v>90</v>
      </c>
    </row>
    <row r="16" spans="2:18" ht="15" x14ac:dyDescent="0.2">
      <c r="B16" s="6212"/>
      <c r="C16" s="574" t="s">
        <v>15</v>
      </c>
      <c r="D16" s="1226">
        <v>106</v>
      </c>
      <c r="E16" s="1226">
        <v>79</v>
      </c>
      <c r="F16" s="1226">
        <v>85</v>
      </c>
      <c r="G16" s="1226">
        <v>102</v>
      </c>
      <c r="H16" s="1226">
        <v>132</v>
      </c>
      <c r="I16" s="1226">
        <v>150</v>
      </c>
      <c r="J16" s="1226">
        <f t="shared" ref="J16:O16" si="2">SUM(J13:J15)</f>
        <v>184</v>
      </c>
      <c r="K16" s="1226">
        <f t="shared" si="2"/>
        <v>251</v>
      </c>
      <c r="L16" s="1226">
        <f t="shared" si="2"/>
        <v>184</v>
      </c>
      <c r="M16" s="1226">
        <f t="shared" si="2"/>
        <v>237</v>
      </c>
      <c r="N16" s="1226">
        <f t="shared" si="2"/>
        <v>180</v>
      </c>
      <c r="O16" s="1226">
        <f t="shared" si="2"/>
        <v>224</v>
      </c>
      <c r="P16" s="1226">
        <f>SUM(P13:P15)</f>
        <v>212</v>
      </c>
      <c r="Q16" s="1226">
        <f>SUM(Q13:Q15)</f>
        <v>202</v>
      </c>
      <c r="R16" s="1226">
        <f>SUM(R13:R15)</f>
        <v>227</v>
      </c>
    </row>
    <row r="17" spans="2:18" ht="15" customHeight="1" x14ac:dyDescent="0.2">
      <c r="B17" s="6338" t="s">
        <v>677</v>
      </c>
      <c r="C17" s="1029" t="s">
        <v>615</v>
      </c>
      <c r="D17" s="4374">
        <f>D5+D9+D13</f>
        <v>87</v>
      </c>
      <c r="E17" s="4374">
        <f t="shared" ref="D17:K19" si="3">E5+E9+E13</f>
        <v>101</v>
      </c>
      <c r="F17" s="4374">
        <f t="shared" si="3"/>
        <v>96</v>
      </c>
      <c r="G17" s="4375">
        <f t="shared" si="3"/>
        <v>96</v>
      </c>
      <c r="H17" s="4374">
        <f t="shared" si="3"/>
        <v>131</v>
      </c>
      <c r="I17" s="4374">
        <f t="shared" si="3"/>
        <v>123</v>
      </c>
      <c r="J17" s="4374">
        <f t="shared" si="3"/>
        <v>151</v>
      </c>
      <c r="K17" s="4374">
        <f t="shared" si="3"/>
        <v>143</v>
      </c>
      <c r="L17" s="4374">
        <f t="shared" ref="L17:M19" si="4">L5+L9+L13</f>
        <v>72</v>
      </c>
      <c r="M17" s="4374">
        <f t="shared" si="4"/>
        <v>142</v>
      </c>
      <c r="N17" s="4374">
        <f t="shared" ref="N17:O19" si="5">SUM(N5,N9,N13)</f>
        <v>70</v>
      </c>
      <c r="O17" s="4374">
        <f t="shared" si="5"/>
        <v>116</v>
      </c>
      <c r="P17" s="4374">
        <f t="shared" ref="P17:R19" si="6">SUM(P5,P9,P13)</f>
        <v>73</v>
      </c>
      <c r="Q17" s="4374">
        <f t="shared" si="6"/>
        <v>58</v>
      </c>
      <c r="R17" s="4374">
        <f t="shared" si="6"/>
        <v>54</v>
      </c>
    </row>
    <row r="18" spans="2:18" ht="15" x14ac:dyDescent="0.2">
      <c r="B18" s="6339"/>
      <c r="C18" s="1034" t="s">
        <v>616</v>
      </c>
      <c r="D18" s="4376">
        <f t="shared" si="3"/>
        <v>231</v>
      </c>
      <c r="E18" s="4376">
        <f t="shared" si="3"/>
        <v>234</v>
      </c>
      <c r="F18" s="4376">
        <f t="shared" si="3"/>
        <v>242</v>
      </c>
      <c r="G18" s="4376">
        <f t="shared" si="3"/>
        <v>242</v>
      </c>
      <c r="H18" s="4376">
        <f t="shared" si="3"/>
        <v>263</v>
      </c>
      <c r="I18" s="4376">
        <f t="shared" si="3"/>
        <v>223</v>
      </c>
      <c r="J18" s="4376">
        <f t="shared" si="3"/>
        <v>287</v>
      </c>
      <c r="K18" s="4376">
        <f t="shared" si="3"/>
        <v>300</v>
      </c>
      <c r="L18" s="4376">
        <f t="shared" si="4"/>
        <v>360</v>
      </c>
      <c r="M18" s="4376">
        <f t="shared" si="4"/>
        <v>305</v>
      </c>
      <c r="N18" s="4376">
        <f t="shared" si="5"/>
        <v>393</v>
      </c>
      <c r="O18" s="4376">
        <f t="shared" si="5"/>
        <v>415</v>
      </c>
      <c r="P18" s="4376">
        <f t="shared" si="6"/>
        <v>469</v>
      </c>
      <c r="Q18" s="4376">
        <f t="shared" si="6"/>
        <v>479</v>
      </c>
      <c r="R18" s="4376">
        <f t="shared" si="6"/>
        <v>550</v>
      </c>
    </row>
    <row r="19" spans="2:18" ht="15" x14ac:dyDescent="0.2">
      <c r="B19" s="6339"/>
      <c r="C19" s="1040" t="s">
        <v>617</v>
      </c>
      <c r="D19" s="4376">
        <f t="shared" si="3"/>
        <v>56</v>
      </c>
      <c r="E19" s="4376">
        <f t="shared" si="3"/>
        <v>46</v>
      </c>
      <c r="F19" s="4376">
        <f t="shared" si="3"/>
        <v>60</v>
      </c>
      <c r="G19" s="4376">
        <f t="shared" si="3"/>
        <v>57</v>
      </c>
      <c r="H19" s="4376">
        <f t="shared" si="3"/>
        <v>116</v>
      </c>
      <c r="I19" s="4376">
        <f t="shared" si="3"/>
        <v>116</v>
      </c>
      <c r="J19" s="4376">
        <f t="shared" si="3"/>
        <v>115</v>
      </c>
      <c r="K19" s="4376">
        <f t="shared" si="3"/>
        <v>156</v>
      </c>
      <c r="L19" s="4376">
        <f t="shared" si="4"/>
        <v>143</v>
      </c>
      <c r="M19" s="4376">
        <f t="shared" si="4"/>
        <v>142</v>
      </c>
      <c r="N19" s="4376">
        <f t="shared" si="5"/>
        <v>144</v>
      </c>
      <c r="O19" s="4376">
        <f t="shared" si="5"/>
        <v>167</v>
      </c>
      <c r="P19" s="4376">
        <f t="shared" si="6"/>
        <v>165</v>
      </c>
      <c r="Q19" s="4376">
        <f t="shared" si="6"/>
        <v>190</v>
      </c>
      <c r="R19" s="4376">
        <f t="shared" si="6"/>
        <v>212</v>
      </c>
    </row>
    <row r="20" spans="2:18" ht="15" x14ac:dyDescent="0.2">
      <c r="B20" s="6340"/>
      <c r="C20" s="2434" t="s">
        <v>12</v>
      </c>
      <c r="D20" s="2438">
        <f t="shared" ref="D20:I20" si="7">SUM(D17:D19)</f>
        <v>374</v>
      </c>
      <c r="E20" s="2438">
        <f t="shared" si="7"/>
        <v>381</v>
      </c>
      <c r="F20" s="2438">
        <f t="shared" si="7"/>
        <v>398</v>
      </c>
      <c r="G20" s="2438">
        <f t="shared" si="7"/>
        <v>395</v>
      </c>
      <c r="H20" s="2438">
        <f t="shared" si="7"/>
        <v>510</v>
      </c>
      <c r="I20" s="2438">
        <f t="shared" si="7"/>
        <v>462</v>
      </c>
      <c r="J20" s="2438">
        <f>J8+J12+J16</f>
        <v>553</v>
      </c>
      <c r="K20" s="2438">
        <f>K8+K12+K16</f>
        <v>599</v>
      </c>
      <c r="L20" s="2438">
        <f>L8+L12+L16</f>
        <v>575</v>
      </c>
      <c r="M20" s="2438">
        <f t="shared" ref="M20:R20" si="8">SUM(M17:M19)</f>
        <v>589</v>
      </c>
      <c r="N20" s="2438">
        <f t="shared" si="8"/>
        <v>607</v>
      </c>
      <c r="O20" s="2438">
        <f t="shared" si="8"/>
        <v>698</v>
      </c>
      <c r="P20" s="2438">
        <f t="shared" si="8"/>
        <v>707</v>
      </c>
      <c r="Q20" s="2438">
        <f t="shared" si="8"/>
        <v>727</v>
      </c>
      <c r="R20" s="2438">
        <f t="shared" si="8"/>
        <v>816</v>
      </c>
    </row>
    <row r="21" spans="2:18" ht="15" x14ac:dyDescent="0.2">
      <c r="B21" s="262"/>
      <c r="C21" s="904"/>
      <c r="D21" s="262"/>
      <c r="E21" s="262"/>
      <c r="F21" s="262"/>
      <c r="G21" s="262"/>
      <c r="H21" s="262"/>
      <c r="I21" s="262"/>
      <c r="J21" s="262"/>
      <c r="K21" s="262"/>
      <c r="L21" s="262"/>
      <c r="M21" s="262"/>
      <c r="N21" s="262"/>
      <c r="O21" s="262"/>
      <c r="P21" s="262"/>
      <c r="Q21" s="262"/>
      <c r="R21" s="262"/>
    </row>
    <row r="22" spans="2:18" ht="15" x14ac:dyDescent="0.2">
      <c r="B22" s="6218" t="s">
        <v>5</v>
      </c>
      <c r="C22" s="1029" t="s">
        <v>615</v>
      </c>
      <c r="D22" s="4374"/>
      <c r="E22" s="4374"/>
      <c r="F22" s="4374"/>
      <c r="G22" s="4375"/>
      <c r="H22" s="4374"/>
      <c r="I22" s="4374"/>
      <c r="J22" s="4374"/>
      <c r="K22" s="4374"/>
      <c r="L22" s="4374"/>
      <c r="M22" s="4374"/>
      <c r="N22" s="4374"/>
      <c r="O22" s="4374"/>
      <c r="P22" s="4374"/>
      <c r="Q22" s="4374">
        <f>SUM('ACTIVOS-POS plan'!R53)</f>
        <v>2</v>
      </c>
      <c r="R22" s="4374">
        <f>SUM('ACTIVOS-POS plan'!S53)</f>
        <v>4</v>
      </c>
    </row>
    <row r="23" spans="2:18" ht="15" x14ac:dyDescent="0.2">
      <c r="B23" s="6219"/>
      <c r="C23" s="1034" t="s">
        <v>616</v>
      </c>
      <c r="D23" s="4376">
        <v>83</v>
      </c>
      <c r="E23" s="4376">
        <v>99</v>
      </c>
      <c r="F23" s="4376">
        <v>153</v>
      </c>
      <c r="G23" s="4376">
        <v>179</v>
      </c>
      <c r="H23" s="4376">
        <v>197</v>
      </c>
      <c r="I23" s="4376">
        <v>219</v>
      </c>
      <c r="J23" s="4376">
        <v>244</v>
      </c>
      <c r="K23" s="4376">
        <v>220</v>
      </c>
      <c r="L23" s="4376">
        <v>251</v>
      </c>
      <c r="M23" s="4376">
        <v>345</v>
      </c>
      <c r="N23" s="4376">
        <f>SUM('ACTIVOS-POS plan'!O54:O60)</f>
        <v>273</v>
      </c>
      <c r="O23" s="4376">
        <f>SUM('ACTIVOS-POS plan'!P54:P60)</f>
        <v>270</v>
      </c>
      <c r="P23" s="4376">
        <f>SUM('ACTIVOS-POS plan'!Q54:Q60)</f>
        <v>280</v>
      </c>
      <c r="Q23" s="4376">
        <f>SUM('ACTIVOS-POS plan'!R54:R60)</f>
        <v>324</v>
      </c>
      <c r="R23" s="4376">
        <f>SUM('ACTIVOS-POS plan'!S54:S60)</f>
        <v>324</v>
      </c>
    </row>
    <row r="24" spans="2:18" ht="15" x14ac:dyDescent="0.2">
      <c r="B24" s="6219"/>
      <c r="C24" s="1040" t="s">
        <v>617</v>
      </c>
      <c r="D24" s="4376">
        <v>260</v>
      </c>
      <c r="E24" s="4376">
        <v>250</v>
      </c>
      <c r="F24" s="4376">
        <v>248</v>
      </c>
      <c r="G24" s="4376">
        <v>241</v>
      </c>
      <c r="H24" s="4376">
        <v>235</v>
      </c>
      <c r="I24" s="4376">
        <v>207</v>
      </c>
      <c r="J24" s="4376">
        <v>197</v>
      </c>
      <c r="K24" s="4376">
        <v>234</v>
      </c>
      <c r="L24" s="4376">
        <v>246</v>
      </c>
      <c r="M24" s="4376">
        <v>175</v>
      </c>
      <c r="N24" s="4376">
        <f>SUM('ACTIVOS-POS plan'!O61:O68)</f>
        <v>283</v>
      </c>
      <c r="O24" s="4376">
        <f>SUM('ACTIVOS-POS plan'!P61:P68)</f>
        <v>296</v>
      </c>
      <c r="P24" s="4376">
        <f>SUM('ACTIVOS-POS plan'!Q61:Q68)</f>
        <v>288</v>
      </c>
      <c r="Q24" s="4376">
        <f>SUM('ACTIVOS-POS plan'!R61:R68)</f>
        <v>269</v>
      </c>
      <c r="R24" s="4376">
        <f>SUM('ACTIVOS-POS plan'!S61:S68)</f>
        <v>247</v>
      </c>
    </row>
    <row r="25" spans="2:18" ht="15" x14ac:dyDescent="0.2">
      <c r="B25" s="6219"/>
      <c r="C25" s="574" t="s">
        <v>13</v>
      </c>
      <c r="D25" s="1226">
        <v>343</v>
      </c>
      <c r="E25" s="1226">
        <v>349</v>
      </c>
      <c r="F25" s="1226">
        <v>401</v>
      </c>
      <c r="G25" s="1226">
        <v>420</v>
      </c>
      <c r="H25" s="1226">
        <v>432</v>
      </c>
      <c r="I25" s="1226">
        <v>426</v>
      </c>
      <c r="J25" s="1226">
        <f>SUM(J22:J24)</f>
        <v>441</v>
      </c>
      <c r="K25" s="1226">
        <f>SUM(K22:K24)</f>
        <v>454</v>
      </c>
      <c r="L25" s="1226">
        <f>SUM(L22:L24)</f>
        <v>497</v>
      </c>
      <c r="M25" s="1226">
        <f>SUM(M23:M24)</f>
        <v>520</v>
      </c>
      <c r="N25" s="1226">
        <f>SUM(N23:N24)</f>
        <v>556</v>
      </c>
      <c r="O25" s="1226">
        <f>SUM(O23:O24)</f>
        <v>566</v>
      </c>
      <c r="P25" s="1226">
        <f>SUM(P23:P24)</f>
        <v>568</v>
      </c>
      <c r="Q25" s="1226">
        <f>SUM(Q22:Q24)</f>
        <v>595</v>
      </c>
      <c r="R25" s="1226">
        <f>SUM(R22:R24)</f>
        <v>575</v>
      </c>
    </row>
    <row r="26" spans="2:18" ht="15" x14ac:dyDescent="0.2">
      <c r="B26" s="6218" t="s">
        <v>6</v>
      </c>
      <c r="C26" s="1029" t="s">
        <v>615</v>
      </c>
      <c r="D26" s="4374">
        <v>47</v>
      </c>
      <c r="E26" s="4374">
        <v>114</v>
      </c>
      <c r="F26" s="4374">
        <v>74</v>
      </c>
      <c r="G26" s="4375">
        <v>86</v>
      </c>
      <c r="H26" s="4374">
        <v>109</v>
      </c>
      <c r="I26" s="4374">
        <v>101</v>
      </c>
      <c r="J26" s="4374">
        <v>118</v>
      </c>
      <c r="K26" s="4374">
        <v>169</v>
      </c>
      <c r="L26" s="4374">
        <v>153</v>
      </c>
      <c r="M26" s="4374">
        <v>83</v>
      </c>
      <c r="N26" s="4374">
        <f>SUM('ACTIVOS-POS plan'!O70)</f>
        <v>36</v>
      </c>
      <c r="O26" s="4374">
        <f>SUM('ACTIVOS-POS plan'!P70)</f>
        <v>44</v>
      </c>
      <c r="P26" s="4374">
        <f>SUM('ACTIVOS-POS plan'!Q70)</f>
        <v>59</v>
      </c>
      <c r="Q26" s="4374">
        <f>SUM('ACTIVOS-POS plan'!R70)</f>
        <v>34</v>
      </c>
      <c r="R26" s="4374">
        <f>SUM('ACTIVOS-POS plan'!S70)</f>
        <v>61</v>
      </c>
    </row>
    <row r="27" spans="2:18" ht="15" x14ac:dyDescent="0.2">
      <c r="B27" s="6219"/>
      <c r="C27" s="1034" t="s">
        <v>616</v>
      </c>
      <c r="D27" s="4376">
        <v>137</v>
      </c>
      <c r="E27" s="4376">
        <v>125</v>
      </c>
      <c r="F27" s="4376">
        <v>162</v>
      </c>
      <c r="G27" s="4376">
        <v>156</v>
      </c>
      <c r="H27" s="4376">
        <v>189</v>
      </c>
      <c r="I27" s="4376">
        <v>301</v>
      </c>
      <c r="J27" s="4376">
        <v>283</v>
      </c>
      <c r="K27" s="4376">
        <v>322</v>
      </c>
      <c r="L27" s="4376">
        <v>274</v>
      </c>
      <c r="M27" s="4376">
        <v>269</v>
      </c>
      <c r="N27" s="4376">
        <f>SUM('ACTIVOS-POS plan'!O71:O77)</f>
        <v>208</v>
      </c>
      <c r="O27" s="4376">
        <f>SUM('ACTIVOS-POS plan'!P71:P77)</f>
        <v>238</v>
      </c>
      <c r="P27" s="4376">
        <f>SUM('ACTIVOS-POS plan'!Q71:Q77)</f>
        <v>191</v>
      </c>
      <c r="Q27" s="4376">
        <f>SUM('ACTIVOS-POS plan'!R71:R77)</f>
        <v>214</v>
      </c>
      <c r="R27" s="4376">
        <f>SUM('ACTIVOS-POS plan'!S71:S79)</f>
        <v>189</v>
      </c>
    </row>
    <row r="28" spans="2:18" ht="15" x14ac:dyDescent="0.2">
      <c r="B28" s="6219"/>
      <c r="C28" s="1040" t="s">
        <v>617</v>
      </c>
      <c r="D28" s="4376">
        <v>262</v>
      </c>
      <c r="E28" s="4376">
        <v>279</v>
      </c>
      <c r="F28" s="4376">
        <v>248</v>
      </c>
      <c r="G28" s="4376">
        <v>224</v>
      </c>
      <c r="H28" s="4376">
        <v>212</v>
      </c>
      <c r="I28" s="4376">
        <v>247</v>
      </c>
      <c r="J28" s="4376">
        <v>284</v>
      </c>
      <c r="K28" s="4376">
        <v>375</v>
      </c>
      <c r="L28" s="4376">
        <v>398</v>
      </c>
      <c r="M28" s="4376">
        <v>417</v>
      </c>
      <c r="N28" s="4376">
        <f>SUM('ACTIVOS-POS plan'!O80:O84)</f>
        <v>405</v>
      </c>
      <c r="O28" s="4376">
        <f>SUM('ACTIVOS-POS plan'!P80:P84)</f>
        <v>432</v>
      </c>
      <c r="P28" s="4376">
        <f>SUM('ACTIVOS-POS plan'!Q80:Q84)</f>
        <v>390</v>
      </c>
      <c r="Q28" s="4376">
        <f>SUM('ACTIVOS-POS plan'!R80:R84)</f>
        <v>426</v>
      </c>
      <c r="R28" s="4376">
        <f>SUM('ACTIVOS-POS plan'!S80:S86)</f>
        <v>361</v>
      </c>
    </row>
    <row r="29" spans="2:18" ht="15" x14ac:dyDescent="0.2">
      <c r="B29" s="6219"/>
      <c r="C29" s="574" t="s">
        <v>14</v>
      </c>
      <c r="D29" s="1226">
        <v>446</v>
      </c>
      <c r="E29" s="1226">
        <v>518</v>
      </c>
      <c r="F29" s="1226">
        <v>484</v>
      </c>
      <c r="G29" s="1226">
        <v>466</v>
      </c>
      <c r="H29" s="1226">
        <v>510</v>
      </c>
      <c r="I29" s="1226">
        <v>649</v>
      </c>
      <c r="J29" s="1226">
        <f t="shared" ref="J29:O29" si="9">SUM(J26:J28)</f>
        <v>685</v>
      </c>
      <c r="K29" s="1226">
        <f t="shared" si="9"/>
        <v>866</v>
      </c>
      <c r="L29" s="1226">
        <f t="shared" si="9"/>
        <v>825</v>
      </c>
      <c r="M29" s="1226">
        <f t="shared" si="9"/>
        <v>769</v>
      </c>
      <c r="N29" s="1226">
        <f t="shared" si="9"/>
        <v>649</v>
      </c>
      <c r="O29" s="1226">
        <f t="shared" si="9"/>
        <v>714</v>
      </c>
      <c r="P29" s="1226">
        <f>SUM(P26:P28)</f>
        <v>640</v>
      </c>
      <c r="Q29" s="1226">
        <f>SUM(Q26:Q28)</f>
        <v>674</v>
      </c>
      <c r="R29" s="1226">
        <f>SUM(R26:R28)</f>
        <v>611</v>
      </c>
    </row>
    <row r="30" spans="2:18" ht="15" x14ac:dyDescent="0.2">
      <c r="B30" s="6218" t="s">
        <v>11</v>
      </c>
      <c r="C30" s="1029" t="s">
        <v>615</v>
      </c>
      <c r="D30" s="4374">
        <v>53</v>
      </c>
      <c r="E30" s="4374">
        <v>50</v>
      </c>
      <c r="F30" s="4374">
        <v>51</v>
      </c>
      <c r="G30" s="4375">
        <v>54</v>
      </c>
      <c r="H30" s="4374">
        <v>67</v>
      </c>
      <c r="I30" s="4374">
        <v>61</v>
      </c>
      <c r="J30" s="4374">
        <v>63</v>
      </c>
      <c r="K30" s="4374">
        <v>63</v>
      </c>
      <c r="L30" s="4374">
        <v>66</v>
      </c>
      <c r="M30" s="4374">
        <v>65</v>
      </c>
      <c r="N30" s="4374">
        <f>SUM('ACTIVOS-POS plan'!O88:O89)</f>
        <v>63</v>
      </c>
      <c r="O30" s="4374">
        <f>SUM('ACTIVOS-POS plan'!P88:P89)</f>
        <v>55</v>
      </c>
      <c r="P30" s="4374">
        <f>SUM('ACTIVOS-POS plan'!Q88:Q89)</f>
        <v>51</v>
      </c>
      <c r="Q30" s="4374">
        <f>SUM('ACTIVOS-POS plan'!R88:R90)</f>
        <v>43</v>
      </c>
      <c r="R30" s="4374">
        <f>SUM('ACTIVOS-POS plan'!S88:S90)</f>
        <v>37</v>
      </c>
    </row>
    <row r="31" spans="2:18" ht="15" x14ac:dyDescent="0.2">
      <c r="B31" s="6219"/>
      <c r="C31" s="1034" t="s">
        <v>616</v>
      </c>
      <c r="D31" s="4376">
        <v>133</v>
      </c>
      <c r="E31" s="4376">
        <v>118</v>
      </c>
      <c r="F31" s="4376">
        <v>102</v>
      </c>
      <c r="G31" s="4376">
        <v>103</v>
      </c>
      <c r="H31" s="4376">
        <v>137</v>
      </c>
      <c r="I31" s="4376">
        <v>158</v>
      </c>
      <c r="J31" s="4376">
        <v>195</v>
      </c>
      <c r="K31" s="4376">
        <v>181</v>
      </c>
      <c r="L31" s="4376">
        <v>198</v>
      </c>
      <c r="M31" s="4376">
        <v>209</v>
      </c>
      <c r="N31" s="4376">
        <f>SUM('ACTIVOS-POS plan'!O91:O94)</f>
        <v>233</v>
      </c>
      <c r="O31" s="4376">
        <f>SUM('ACTIVOS-POS plan'!P91:P94)</f>
        <v>249</v>
      </c>
      <c r="P31" s="4376">
        <f>SUM('ACTIVOS-POS plan'!Q91:Q94)</f>
        <v>241</v>
      </c>
      <c r="Q31" s="4376">
        <f>SUM('ACTIVOS-POS plan'!R91:R94)</f>
        <v>225</v>
      </c>
      <c r="R31" s="4376">
        <f>SUM('ACTIVOS-POS plan'!S91:S94)</f>
        <v>194</v>
      </c>
    </row>
    <row r="32" spans="2:18" ht="15" x14ac:dyDescent="0.2">
      <c r="B32" s="6219"/>
      <c r="C32" s="1040" t="s">
        <v>617</v>
      </c>
      <c r="D32" s="4376">
        <v>167</v>
      </c>
      <c r="E32" s="4376">
        <v>174</v>
      </c>
      <c r="F32" s="4376">
        <v>175</v>
      </c>
      <c r="G32" s="4376">
        <v>167</v>
      </c>
      <c r="H32" s="4376">
        <v>168</v>
      </c>
      <c r="I32" s="4376">
        <v>165</v>
      </c>
      <c r="J32" s="4376">
        <v>179</v>
      </c>
      <c r="K32" s="4376">
        <v>217</v>
      </c>
      <c r="L32" s="4376">
        <v>235</v>
      </c>
      <c r="M32" s="4376">
        <v>263</v>
      </c>
      <c r="N32" s="4376">
        <f>SUM('ACTIVOS-POS plan'!O95:O97)</f>
        <v>272</v>
      </c>
      <c r="O32" s="4376">
        <f>SUM('ACTIVOS-POS plan'!P95:P97)</f>
        <v>291</v>
      </c>
      <c r="P32" s="4376">
        <f>SUM('ACTIVOS-POS plan'!Q95:Q97)</f>
        <v>302</v>
      </c>
      <c r="Q32" s="4376">
        <f>SUM('ACTIVOS-POS plan'!R95:R97)</f>
        <v>296</v>
      </c>
      <c r="R32" s="4376">
        <f>SUM('ACTIVOS-POS plan'!S95:S97)</f>
        <v>300</v>
      </c>
    </row>
    <row r="33" spans="2:18" ht="15" x14ac:dyDescent="0.2">
      <c r="B33" s="6219"/>
      <c r="C33" s="574" t="s">
        <v>30</v>
      </c>
      <c r="D33" s="1226">
        <v>353</v>
      </c>
      <c r="E33" s="1226">
        <v>342</v>
      </c>
      <c r="F33" s="1226">
        <v>328</v>
      </c>
      <c r="G33" s="1226">
        <v>324</v>
      </c>
      <c r="H33" s="1226">
        <v>372</v>
      </c>
      <c r="I33" s="1226">
        <v>384</v>
      </c>
      <c r="J33" s="1226">
        <f t="shared" ref="J33:O33" si="10">SUM(J30:J32)</f>
        <v>437</v>
      </c>
      <c r="K33" s="1226">
        <f t="shared" si="10"/>
        <v>461</v>
      </c>
      <c r="L33" s="1226">
        <f t="shared" si="10"/>
        <v>499</v>
      </c>
      <c r="M33" s="1226">
        <f t="shared" si="10"/>
        <v>537</v>
      </c>
      <c r="N33" s="1226">
        <f t="shared" si="10"/>
        <v>568</v>
      </c>
      <c r="O33" s="1226">
        <f t="shared" si="10"/>
        <v>595</v>
      </c>
      <c r="P33" s="1226">
        <f>SUM(P30:P32)</f>
        <v>594</v>
      </c>
      <c r="Q33" s="1226">
        <f>SUM(Q30:Q32)</f>
        <v>564</v>
      </c>
      <c r="R33" s="1226">
        <f>SUM(R30:R32)</f>
        <v>531</v>
      </c>
    </row>
    <row r="34" spans="2:18" ht="15" customHeight="1" x14ac:dyDescent="0.2">
      <c r="B34" s="6342" t="s">
        <v>679</v>
      </c>
      <c r="C34" s="1029" t="s">
        <v>615</v>
      </c>
      <c r="D34" s="4374">
        <f t="shared" ref="D34:K36" si="11">D22+D26+D30</f>
        <v>100</v>
      </c>
      <c r="E34" s="4374">
        <f t="shared" si="11"/>
        <v>164</v>
      </c>
      <c r="F34" s="4374">
        <f t="shared" si="11"/>
        <v>125</v>
      </c>
      <c r="G34" s="4375">
        <f t="shared" si="11"/>
        <v>140</v>
      </c>
      <c r="H34" s="4374">
        <f t="shared" si="11"/>
        <v>176</v>
      </c>
      <c r="I34" s="4374">
        <f t="shared" si="11"/>
        <v>162</v>
      </c>
      <c r="J34" s="4374">
        <f t="shared" si="11"/>
        <v>181</v>
      </c>
      <c r="K34" s="4374">
        <f t="shared" si="11"/>
        <v>232</v>
      </c>
      <c r="L34" s="4374">
        <f t="shared" ref="L34:M36" si="12">L22+L26+L30</f>
        <v>219</v>
      </c>
      <c r="M34" s="4374">
        <f t="shared" si="12"/>
        <v>148</v>
      </c>
      <c r="N34" s="4374">
        <f t="shared" ref="N34:O36" si="13">SUM(N22,N26,N30)</f>
        <v>99</v>
      </c>
      <c r="O34" s="4374">
        <f t="shared" si="13"/>
        <v>99</v>
      </c>
      <c r="P34" s="4374">
        <f t="shared" ref="P34:R36" si="14">SUM(P22,P26,P30)</f>
        <v>110</v>
      </c>
      <c r="Q34" s="4374">
        <f t="shared" si="14"/>
        <v>79</v>
      </c>
      <c r="R34" s="4374">
        <f t="shared" si="14"/>
        <v>102</v>
      </c>
    </row>
    <row r="35" spans="2:18" ht="15" x14ac:dyDescent="0.2">
      <c r="B35" s="6343"/>
      <c r="C35" s="1034" t="s">
        <v>616</v>
      </c>
      <c r="D35" s="4376">
        <f t="shared" si="11"/>
        <v>353</v>
      </c>
      <c r="E35" s="4376">
        <f t="shared" si="11"/>
        <v>342</v>
      </c>
      <c r="F35" s="4376">
        <f t="shared" si="11"/>
        <v>417</v>
      </c>
      <c r="G35" s="4376">
        <f t="shared" si="11"/>
        <v>438</v>
      </c>
      <c r="H35" s="4376">
        <f t="shared" si="11"/>
        <v>523</v>
      </c>
      <c r="I35" s="4376">
        <f t="shared" si="11"/>
        <v>678</v>
      </c>
      <c r="J35" s="4376">
        <f t="shared" si="11"/>
        <v>722</v>
      </c>
      <c r="K35" s="4376">
        <f t="shared" si="11"/>
        <v>723</v>
      </c>
      <c r="L35" s="4376">
        <f t="shared" si="12"/>
        <v>723</v>
      </c>
      <c r="M35" s="4376">
        <f t="shared" si="12"/>
        <v>823</v>
      </c>
      <c r="N35" s="4376">
        <f t="shared" si="13"/>
        <v>714</v>
      </c>
      <c r="O35" s="4376">
        <f t="shared" si="13"/>
        <v>757</v>
      </c>
      <c r="P35" s="4376">
        <f t="shared" si="14"/>
        <v>712</v>
      </c>
      <c r="Q35" s="4376">
        <f t="shared" si="14"/>
        <v>763</v>
      </c>
      <c r="R35" s="4376">
        <f t="shared" si="14"/>
        <v>707</v>
      </c>
    </row>
    <row r="36" spans="2:18" ht="15" x14ac:dyDescent="0.2">
      <c r="B36" s="6343"/>
      <c r="C36" s="1040" t="s">
        <v>617</v>
      </c>
      <c r="D36" s="4376">
        <f t="shared" si="11"/>
        <v>689</v>
      </c>
      <c r="E36" s="4376">
        <f t="shared" si="11"/>
        <v>703</v>
      </c>
      <c r="F36" s="4376">
        <f t="shared" si="11"/>
        <v>671</v>
      </c>
      <c r="G36" s="4376">
        <f t="shared" si="11"/>
        <v>632</v>
      </c>
      <c r="H36" s="4376">
        <f t="shared" si="11"/>
        <v>615</v>
      </c>
      <c r="I36" s="4376">
        <f t="shared" si="11"/>
        <v>619</v>
      </c>
      <c r="J36" s="4376">
        <f t="shared" si="11"/>
        <v>660</v>
      </c>
      <c r="K36" s="4376">
        <f t="shared" si="11"/>
        <v>826</v>
      </c>
      <c r="L36" s="4376">
        <f t="shared" si="12"/>
        <v>879</v>
      </c>
      <c r="M36" s="4376">
        <f t="shared" si="12"/>
        <v>855</v>
      </c>
      <c r="N36" s="4376">
        <f t="shared" si="13"/>
        <v>960</v>
      </c>
      <c r="O36" s="4376">
        <f t="shared" si="13"/>
        <v>1019</v>
      </c>
      <c r="P36" s="4376">
        <f t="shared" si="14"/>
        <v>980</v>
      </c>
      <c r="Q36" s="4376">
        <f t="shared" si="14"/>
        <v>991</v>
      </c>
      <c r="R36" s="4376">
        <f t="shared" si="14"/>
        <v>908</v>
      </c>
    </row>
    <row r="37" spans="2:18" ht="15" x14ac:dyDescent="0.2">
      <c r="B37" s="6344"/>
      <c r="C37" s="2433" t="s">
        <v>12</v>
      </c>
      <c r="D37" s="2437">
        <f t="shared" ref="D37:I37" si="15">SUM(D34:D36)</f>
        <v>1142</v>
      </c>
      <c r="E37" s="2437">
        <f t="shared" si="15"/>
        <v>1209</v>
      </c>
      <c r="F37" s="2437">
        <f t="shared" si="15"/>
        <v>1213</v>
      </c>
      <c r="G37" s="2437">
        <f t="shared" si="15"/>
        <v>1210</v>
      </c>
      <c r="H37" s="2437">
        <f t="shared" si="15"/>
        <v>1314</v>
      </c>
      <c r="I37" s="2437">
        <f t="shared" si="15"/>
        <v>1459</v>
      </c>
      <c r="J37" s="2437">
        <f>J25+J29+J33</f>
        <v>1563</v>
      </c>
      <c r="K37" s="2437">
        <f>K25+K29+K33</f>
        <v>1781</v>
      </c>
      <c r="L37" s="2437">
        <f>L25+L29+L33</f>
        <v>1821</v>
      </c>
      <c r="M37" s="2437">
        <f t="shared" ref="M37:R37" si="16">SUM(M34:M36)</f>
        <v>1826</v>
      </c>
      <c r="N37" s="2437">
        <f t="shared" si="16"/>
        <v>1773</v>
      </c>
      <c r="O37" s="2437">
        <f t="shared" si="16"/>
        <v>1875</v>
      </c>
      <c r="P37" s="2437">
        <f t="shared" si="16"/>
        <v>1802</v>
      </c>
      <c r="Q37" s="2437">
        <f t="shared" si="16"/>
        <v>1833</v>
      </c>
      <c r="R37" s="2437">
        <f t="shared" si="16"/>
        <v>1717</v>
      </c>
    </row>
    <row r="38" spans="2:18" ht="15" x14ac:dyDescent="0.2">
      <c r="B38" s="262"/>
      <c r="C38" s="262"/>
      <c r="D38" s="262"/>
      <c r="E38" s="262"/>
      <c r="F38" s="262"/>
      <c r="G38" s="262"/>
      <c r="H38" s="262"/>
      <c r="I38" s="262"/>
      <c r="J38" s="262"/>
      <c r="K38" s="262"/>
      <c r="L38" s="262"/>
      <c r="M38" s="262"/>
      <c r="N38" s="262"/>
      <c r="O38" s="262"/>
      <c r="P38" s="262"/>
      <c r="Q38" s="262"/>
      <c r="R38" s="262"/>
    </row>
    <row r="39" spans="2:18" ht="15" x14ac:dyDescent="0.2">
      <c r="B39" s="6223" t="s">
        <v>6</v>
      </c>
      <c r="C39" s="1029" t="s">
        <v>615</v>
      </c>
      <c r="D39" s="4374">
        <v>24</v>
      </c>
      <c r="E39" s="4374">
        <v>6</v>
      </c>
      <c r="F39" s="4374">
        <v>4</v>
      </c>
      <c r="G39" s="4375">
        <v>5</v>
      </c>
      <c r="H39" s="4374">
        <v>21</v>
      </c>
      <c r="I39" s="4374">
        <v>25</v>
      </c>
      <c r="J39" s="4374">
        <v>22</v>
      </c>
      <c r="K39" s="4374">
        <v>19</v>
      </c>
      <c r="L39" s="4374">
        <v>36</v>
      </c>
      <c r="M39" s="4374">
        <v>39</v>
      </c>
      <c r="N39" s="4374">
        <f>SUM('ACTIVOS-POS plan'!O100:O102)</f>
        <v>34</v>
      </c>
      <c r="O39" s="4374">
        <f>SUM('ACTIVOS-POS plan'!P100:P102)</f>
        <v>2</v>
      </c>
      <c r="P39" s="4374">
        <f>SUM('ACTIVOS-POS plan'!Q100:Q102)</f>
        <v>0</v>
      </c>
      <c r="Q39" s="4374">
        <f>SUM('ACTIVOS-POS plan'!R100:R102)</f>
        <v>0</v>
      </c>
      <c r="R39" s="4374">
        <f>SUM('ACTIVOS-POS plan'!S100:S102)</f>
        <v>30</v>
      </c>
    </row>
    <row r="40" spans="2:18" ht="15" x14ac:dyDescent="0.2">
      <c r="B40" s="6224"/>
      <c r="C40" s="1034" t="s">
        <v>616</v>
      </c>
      <c r="D40" s="4376">
        <v>188</v>
      </c>
      <c r="E40" s="4376">
        <v>275</v>
      </c>
      <c r="F40" s="4376">
        <v>192</v>
      </c>
      <c r="G40" s="4376">
        <v>267</v>
      </c>
      <c r="H40" s="4376">
        <v>200</v>
      </c>
      <c r="I40" s="4376">
        <v>271</v>
      </c>
      <c r="J40" s="4376">
        <v>244</v>
      </c>
      <c r="K40" s="4376">
        <v>297</v>
      </c>
      <c r="L40" s="4376">
        <v>182</v>
      </c>
      <c r="M40" s="4376">
        <v>285</v>
      </c>
      <c r="N40" s="4376">
        <f>SUM('ACTIVOS-POS plan'!O103:O111)</f>
        <v>213</v>
      </c>
      <c r="O40" s="4376">
        <f>SUM('ACTIVOS-POS plan'!P103:P111)</f>
        <v>304</v>
      </c>
      <c r="P40" s="4376">
        <f>SUM('ACTIVOS-POS plan'!Q103:Q111)</f>
        <v>222</v>
      </c>
      <c r="Q40" s="4376">
        <f>SUM('ACTIVOS-POS plan'!R103:R111)</f>
        <v>314</v>
      </c>
      <c r="R40" s="4376">
        <f>SUM('ACTIVOS-POS plan'!S103:S113)</f>
        <v>207</v>
      </c>
    </row>
    <row r="41" spans="2:18" ht="15" x14ac:dyDescent="0.2">
      <c r="B41" s="6224"/>
      <c r="C41" s="1040" t="s">
        <v>617</v>
      </c>
      <c r="D41" s="4376">
        <v>142</v>
      </c>
      <c r="E41" s="4376">
        <v>100</v>
      </c>
      <c r="F41" s="4376">
        <v>136</v>
      </c>
      <c r="G41" s="4376">
        <v>118</v>
      </c>
      <c r="H41" s="4376">
        <v>187</v>
      </c>
      <c r="I41" s="4376">
        <v>156</v>
      </c>
      <c r="J41" s="4376">
        <v>202</v>
      </c>
      <c r="K41" s="4376">
        <v>171</v>
      </c>
      <c r="L41" s="4376">
        <v>211</v>
      </c>
      <c r="M41" s="4376">
        <v>143</v>
      </c>
      <c r="N41" s="4376">
        <f>SUM('ACTIVOS-POS plan'!O114:O116)</f>
        <v>178</v>
      </c>
      <c r="O41" s="4376">
        <f>SUM('ACTIVOS-POS plan'!P114:P116)</f>
        <v>148</v>
      </c>
      <c r="P41" s="4376">
        <f>SUM('ACTIVOS-POS plan'!Q114:Q116)</f>
        <v>183</v>
      </c>
      <c r="Q41" s="4376">
        <f>SUM('ACTIVOS-POS plan'!R114:R116)</f>
        <v>154</v>
      </c>
      <c r="R41" s="4376">
        <f>SUM('ACTIVOS-POS plan'!S114:S118)</f>
        <v>217</v>
      </c>
    </row>
    <row r="42" spans="2:18" ht="15" x14ac:dyDescent="0.2">
      <c r="B42" s="6224"/>
      <c r="C42" s="574" t="s">
        <v>14</v>
      </c>
      <c r="D42" s="1226">
        <v>354</v>
      </c>
      <c r="E42" s="1226">
        <v>381</v>
      </c>
      <c r="F42" s="1226">
        <v>332</v>
      </c>
      <c r="G42" s="1226">
        <v>390</v>
      </c>
      <c r="H42" s="1226">
        <v>408</v>
      </c>
      <c r="I42" s="1226">
        <v>452</v>
      </c>
      <c r="J42" s="1226">
        <f t="shared" ref="J42:O42" si="17">SUM(J39:J41)</f>
        <v>468</v>
      </c>
      <c r="K42" s="1226">
        <f t="shared" si="17"/>
        <v>487</v>
      </c>
      <c r="L42" s="1226">
        <f t="shared" si="17"/>
        <v>429</v>
      </c>
      <c r="M42" s="1226">
        <f t="shared" si="17"/>
        <v>467</v>
      </c>
      <c r="N42" s="1226">
        <f t="shared" si="17"/>
        <v>425</v>
      </c>
      <c r="O42" s="1226">
        <f t="shared" si="17"/>
        <v>454</v>
      </c>
      <c r="P42" s="1226">
        <f>SUM(P39:P41)</f>
        <v>405</v>
      </c>
      <c r="Q42" s="1226">
        <f>SUM(Q39:Q41)</f>
        <v>468</v>
      </c>
      <c r="R42" s="1226">
        <f>SUM(R39:R41)</f>
        <v>454</v>
      </c>
    </row>
    <row r="43" spans="2:18" ht="15" x14ac:dyDescent="0.2">
      <c r="B43" s="6223" t="s">
        <v>11</v>
      </c>
      <c r="C43" s="1029" t="s">
        <v>615</v>
      </c>
      <c r="D43" s="4374">
        <v>12</v>
      </c>
      <c r="E43" s="4374">
        <v>11</v>
      </c>
      <c r="F43" s="4374">
        <v>0</v>
      </c>
      <c r="G43" s="4375">
        <v>13</v>
      </c>
      <c r="H43" s="4374">
        <v>8</v>
      </c>
      <c r="I43" s="4374">
        <v>12</v>
      </c>
      <c r="J43" s="4374">
        <v>11</v>
      </c>
      <c r="K43" s="4374"/>
      <c r="L43" s="4374">
        <v>36</v>
      </c>
      <c r="M43" s="4374">
        <v>17</v>
      </c>
      <c r="N43" s="4374">
        <f>SUM('ACTIVOS-POS plan'!O120:O122)</f>
        <v>13</v>
      </c>
      <c r="O43" s="4374">
        <f>SUM('ACTIVOS-POS plan'!P120:P122)</f>
        <v>0</v>
      </c>
      <c r="P43" s="4374">
        <f>SUM('ACTIVOS-POS plan'!Q120:Q122)</f>
        <v>0</v>
      </c>
      <c r="Q43" s="4374">
        <f>SUM('ACTIVOS-POS plan'!R120:R122)</f>
        <v>0</v>
      </c>
      <c r="R43" s="4374">
        <f>SUM('ACTIVOS-POS plan'!S120:S122)</f>
        <v>0</v>
      </c>
    </row>
    <row r="44" spans="2:18" ht="15" x14ac:dyDescent="0.2">
      <c r="B44" s="6224"/>
      <c r="C44" s="1034" t="s">
        <v>616</v>
      </c>
      <c r="D44" s="4376">
        <v>144</v>
      </c>
      <c r="E44" s="4376">
        <v>94</v>
      </c>
      <c r="F44" s="4376">
        <v>154</v>
      </c>
      <c r="G44" s="4376">
        <v>155</v>
      </c>
      <c r="H44" s="4376">
        <v>180</v>
      </c>
      <c r="I44" s="4376">
        <v>170</v>
      </c>
      <c r="J44" s="4376">
        <v>195</v>
      </c>
      <c r="K44" s="4376">
        <v>200</v>
      </c>
      <c r="L44" s="4376">
        <v>193</v>
      </c>
      <c r="M44" s="4376">
        <v>193</v>
      </c>
      <c r="N44" s="4376">
        <f>SUM('ACTIVOS-POS plan'!O123:O129)</f>
        <v>242</v>
      </c>
      <c r="O44" s="4376">
        <f>SUM('ACTIVOS-POS plan'!P123:P130)</f>
        <v>212</v>
      </c>
      <c r="P44" s="4376">
        <f>SUM('ACTIVOS-POS plan'!Q123:Q130)</f>
        <v>258</v>
      </c>
      <c r="Q44" s="4376">
        <f>SUM('ACTIVOS-POS plan'!R123:R130)</f>
        <v>255</v>
      </c>
      <c r="R44" s="4376">
        <f>SUM('ACTIVOS-POS plan'!S123:S130)</f>
        <v>259</v>
      </c>
    </row>
    <row r="45" spans="2:18" ht="15" x14ac:dyDescent="0.2">
      <c r="B45" s="6224"/>
      <c r="C45" s="1040" t="s">
        <v>617</v>
      </c>
      <c r="D45" s="4376">
        <v>77</v>
      </c>
      <c r="E45" s="4376">
        <v>65</v>
      </c>
      <c r="F45" s="4376">
        <v>72</v>
      </c>
      <c r="G45" s="4376">
        <v>81</v>
      </c>
      <c r="H45" s="4376">
        <v>98</v>
      </c>
      <c r="I45" s="4376">
        <v>89</v>
      </c>
      <c r="J45" s="4376">
        <v>104</v>
      </c>
      <c r="K45" s="4376">
        <v>110</v>
      </c>
      <c r="L45" s="4376">
        <v>104</v>
      </c>
      <c r="M45" s="4376">
        <v>114</v>
      </c>
      <c r="N45" s="4376">
        <f>SUM('ACTIVOS-POS plan'!O131:O133)</f>
        <v>118</v>
      </c>
      <c r="O45" s="4376">
        <f>SUM('ACTIVOS-POS plan'!P131:P133)</f>
        <v>127</v>
      </c>
      <c r="P45" s="4376">
        <f>SUM('ACTIVOS-POS plan'!Q131:Q133)</f>
        <v>128</v>
      </c>
      <c r="Q45" s="4376">
        <f>SUM('ACTIVOS-POS plan'!R131:R133)</f>
        <v>144</v>
      </c>
      <c r="R45" s="4376">
        <f>SUM('ACTIVOS-POS plan'!S131:S133)</f>
        <v>147</v>
      </c>
    </row>
    <row r="46" spans="2:18" ht="15" x14ac:dyDescent="0.2">
      <c r="B46" s="6224"/>
      <c r="C46" s="574" t="s">
        <v>30</v>
      </c>
      <c r="D46" s="1226">
        <v>233</v>
      </c>
      <c r="E46" s="1226">
        <v>170</v>
      </c>
      <c r="F46" s="1226">
        <v>226</v>
      </c>
      <c r="G46" s="1226">
        <v>249</v>
      </c>
      <c r="H46" s="1226">
        <v>286</v>
      </c>
      <c r="I46" s="1226">
        <v>271</v>
      </c>
      <c r="J46" s="1226">
        <f t="shared" ref="J46:O46" si="18">SUM(J43:J45)</f>
        <v>310</v>
      </c>
      <c r="K46" s="1226">
        <f t="shared" si="18"/>
        <v>310</v>
      </c>
      <c r="L46" s="1226">
        <f t="shared" si="18"/>
        <v>333</v>
      </c>
      <c r="M46" s="1226">
        <f t="shared" si="18"/>
        <v>324</v>
      </c>
      <c r="N46" s="1226">
        <f t="shared" si="18"/>
        <v>373</v>
      </c>
      <c r="O46" s="1226">
        <f t="shared" si="18"/>
        <v>339</v>
      </c>
      <c r="P46" s="1226">
        <f>SUM(P43:P45)</f>
        <v>386</v>
      </c>
      <c r="Q46" s="1226">
        <f>SUM(Q43:Q45)</f>
        <v>399</v>
      </c>
      <c r="R46" s="1226">
        <f>SUM(R43:R45)</f>
        <v>406</v>
      </c>
    </row>
    <row r="47" spans="2:18" ht="15" x14ac:dyDescent="0.2">
      <c r="B47" s="6223" t="s">
        <v>7</v>
      </c>
      <c r="C47" s="1029" t="s">
        <v>615</v>
      </c>
      <c r="D47" s="4374"/>
      <c r="E47" s="4374"/>
      <c r="F47" s="4374"/>
      <c r="G47" s="4375"/>
      <c r="H47" s="4374"/>
      <c r="I47" s="4374"/>
      <c r="J47" s="4374"/>
      <c r="K47" s="4374"/>
      <c r="L47" s="4374"/>
      <c r="M47" s="4374"/>
      <c r="N47" s="4374"/>
      <c r="O47" s="4374"/>
      <c r="P47" s="4374"/>
      <c r="Q47" s="4374"/>
      <c r="R47" s="4374"/>
    </row>
    <row r="48" spans="2:18" ht="15" x14ac:dyDescent="0.2">
      <c r="B48" s="6224"/>
      <c r="C48" s="1034" t="s">
        <v>616</v>
      </c>
      <c r="D48" s="4376">
        <v>40</v>
      </c>
      <c r="E48" s="4376">
        <v>67</v>
      </c>
      <c r="F48" s="4376">
        <v>68</v>
      </c>
      <c r="G48" s="4376">
        <v>70</v>
      </c>
      <c r="H48" s="4376">
        <v>66</v>
      </c>
      <c r="I48" s="4376">
        <v>62</v>
      </c>
      <c r="J48" s="4376">
        <v>113</v>
      </c>
      <c r="K48" s="4376">
        <v>110</v>
      </c>
      <c r="L48" s="4376">
        <v>147</v>
      </c>
      <c r="M48" s="4376">
        <v>100</v>
      </c>
      <c r="N48" s="4376">
        <f>SUM('ACTIVOS-POS plan'!O135:O137)</f>
        <v>145</v>
      </c>
      <c r="O48" s="4376">
        <f>SUM('ACTIVOS-POS plan'!P135:P137)</f>
        <v>114</v>
      </c>
      <c r="P48" s="4376">
        <f>SUM('ACTIVOS-POS plan'!Q135:Q137)</f>
        <v>159</v>
      </c>
      <c r="Q48" s="4376">
        <f>SUM('ACTIVOS-POS plan'!R135:R137)</f>
        <v>121</v>
      </c>
      <c r="R48" s="4376">
        <f>SUM('ACTIVOS-POS plan'!S135:S137)</f>
        <v>156</v>
      </c>
    </row>
    <row r="49" spans="2:18" ht="15" x14ac:dyDescent="0.2">
      <c r="B49" s="6224"/>
      <c r="C49" s="1040" t="s">
        <v>617</v>
      </c>
      <c r="D49" s="4376">
        <v>11</v>
      </c>
      <c r="E49" s="4376">
        <v>24</v>
      </c>
      <c r="F49" s="4376">
        <v>19</v>
      </c>
      <c r="G49" s="4376">
        <v>30</v>
      </c>
      <c r="H49" s="4376">
        <v>33</v>
      </c>
      <c r="I49" s="4376">
        <v>38</v>
      </c>
      <c r="J49" s="4376">
        <v>42</v>
      </c>
      <c r="K49" s="4376">
        <v>39</v>
      </c>
      <c r="L49" s="4376">
        <v>43</v>
      </c>
      <c r="M49" s="4376">
        <v>45</v>
      </c>
      <c r="N49" s="4376">
        <f>SUM('ACTIVOS-POS plan'!O138)</f>
        <v>47</v>
      </c>
      <c r="O49" s="4376">
        <f>SUM('ACTIVOS-POS plan'!P138)</f>
        <v>49</v>
      </c>
      <c r="P49" s="4376">
        <f>SUM('ACTIVOS-POS plan'!Q138)</f>
        <v>40</v>
      </c>
      <c r="Q49" s="4376">
        <f>SUM('ACTIVOS-POS plan'!R138)</f>
        <v>41</v>
      </c>
      <c r="R49" s="4376">
        <f>SUM('ACTIVOS-POS plan'!S138)</f>
        <v>37</v>
      </c>
    </row>
    <row r="50" spans="2:18" ht="15" x14ac:dyDescent="0.2">
      <c r="B50" s="6224"/>
      <c r="C50" s="574" t="s">
        <v>15</v>
      </c>
      <c r="D50" s="1226">
        <v>51</v>
      </c>
      <c r="E50" s="1226">
        <v>91</v>
      </c>
      <c r="F50" s="1226">
        <v>87</v>
      </c>
      <c r="G50" s="1226">
        <v>100</v>
      </c>
      <c r="H50" s="1226">
        <v>99</v>
      </c>
      <c r="I50" s="1226">
        <v>100</v>
      </c>
      <c r="J50" s="1226">
        <f>SUM(J47:J49)</f>
        <v>155</v>
      </c>
      <c r="K50" s="1226">
        <f>SUM(K47:K49)</f>
        <v>149</v>
      </c>
      <c r="L50" s="1226">
        <f>SUM(L47:L49)</f>
        <v>190</v>
      </c>
      <c r="M50" s="1226">
        <f t="shared" ref="M50:R50" si="19">SUM(M48:M49)</f>
        <v>145</v>
      </c>
      <c r="N50" s="1226">
        <f t="shared" si="19"/>
        <v>192</v>
      </c>
      <c r="O50" s="1226">
        <f t="shared" si="19"/>
        <v>163</v>
      </c>
      <c r="P50" s="1226">
        <f t="shared" si="19"/>
        <v>199</v>
      </c>
      <c r="Q50" s="1226">
        <f t="shared" si="19"/>
        <v>162</v>
      </c>
      <c r="R50" s="1226">
        <f t="shared" si="19"/>
        <v>193</v>
      </c>
    </row>
    <row r="51" spans="2:18" ht="12.75" customHeight="1" x14ac:dyDescent="0.2">
      <c r="B51" s="6345" t="s">
        <v>680</v>
      </c>
      <c r="C51" s="1029" t="s">
        <v>615</v>
      </c>
      <c r="D51" s="4374">
        <f t="shared" ref="D51:K53" si="20">D39+D43+D47</f>
        <v>36</v>
      </c>
      <c r="E51" s="4374">
        <f t="shared" si="20"/>
        <v>17</v>
      </c>
      <c r="F51" s="4374">
        <f t="shared" si="20"/>
        <v>4</v>
      </c>
      <c r="G51" s="4375">
        <f t="shared" si="20"/>
        <v>18</v>
      </c>
      <c r="H51" s="4374">
        <f t="shared" si="20"/>
        <v>29</v>
      </c>
      <c r="I51" s="4374">
        <f t="shared" si="20"/>
        <v>37</v>
      </c>
      <c r="J51" s="4374">
        <f t="shared" si="20"/>
        <v>33</v>
      </c>
      <c r="K51" s="4374">
        <f t="shared" si="20"/>
        <v>19</v>
      </c>
      <c r="L51" s="4374">
        <f t="shared" ref="L51:M53" si="21">L39+L43+L47</f>
        <v>72</v>
      </c>
      <c r="M51" s="4374">
        <f t="shared" si="21"/>
        <v>56</v>
      </c>
      <c r="N51" s="4374">
        <f t="shared" ref="N51:O53" si="22">SUM(N39,N43,N47)</f>
        <v>47</v>
      </c>
      <c r="O51" s="4374">
        <f t="shared" si="22"/>
        <v>2</v>
      </c>
      <c r="P51" s="4374">
        <f t="shared" ref="P51:R53" si="23">SUM(P39,P43,P47)</f>
        <v>0</v>
      </c>
      <c r="Q51" s="4374">
        <f t="shared" si="23"/>
        <v>0</v>
      </c>
      <c r="R51" s="4374">
        <f t="shared" si="23"/>
        <v>30</v>
      </c>
    </row>
    <row r="52" spans="2:18" ht="15" x14ac:dyDescent="0.2">
      <c r="B52" s="6346"/>
      <c r="C52" s="1034" t="s">
        <v>616</v>
      </c>
      <c r="D52" s="4376">
        <f t="shared" si="20"/>
        <v>372</v>
      </c>
      <c r="E52" s="4376">
        <f t="shared" si="20"/>
        <v>436</v>
      </c>
      <c r="F52" s="4376">
        <f t="shared" si="20"/>
        <v>414</v>
      </c>
      <c r="G52" s="4376">
        <f t="shared" si="20"/>
        <v>492</v>
      </c>
      <c r="H52" s="4376">
        <f t="shared" si="20"/>
        <v>446</v>
      </c>
      <c r="I52" s="4376">
        <f t="shared" si="20"/>
        <v>503</v>
      </c>
      <c r="J52" s="4376">
        <f t="shared" si="20"/>
        <v>552</v>
      </c>
      <c r="K52" s="4376">
        <f t="shared" si="20"/>
        <v>607</v>
      </c>
      <c r="L52" s="4376">
        <f t="shared" si="21"/>
        <v>522</v>
      </c>
      <c r="M52" s="4376">
        <f t="shared" si="21"/>
        <v>578</v>
      </c>
      <c r="N52" s="4376">
        <f t="shared" si="22"/>
        <v>600</v>
      </c>
      <c r="O52" s="4376">
        <f t="shared" si="22"/>
        <v>630</v>
      </c>
      <c r="P52" s="4376">
        <f t="shared" si="23"/>
        <v>639</v>
      </c>
      <c r="Q52" s="4376">
        <f t="shared" si="23"/>
        <v>690</v>
      </c>
      <c r="R52" s="4376">
        <f t="shared" si="23"/>
        <v>622</v>
      </c>
    </row>
    <row r="53" spans="2:18" ht="15" x14ac:dyDescent="0.2">
      <c r="B53" s="6346"/>
      <c r="C53" s="1040" t="s">
        <v>617</v>
      </c>
      <c r="D53" s="4376">
        <f t="shared" si="20"/>
        <v>230</v>
      </c>
      <c r="E53" s="4376">
        <f t="shared" si="20"/>
        <v>189</v>
      </c>
      <c r="F53" s="4376">
        <f t="shared" si="20"/>
        <v>227</v>
      </c>
      <c r="G53" s="4376">
        <f t="shared" si="20"/>
        <v>229</v>
      </c>
      <c r="H53" s="4376">
        <f t="shared" si="20"/>
        <v>318</v>
      </c>
      <c r="I53" s="4376">
        <f t="shared" si="20"/>
        <v>283</v>
      </c>
      <c r="J53" s="4376">
        <f t="shared" si="20"/>
        <v>348</v>
      </c>
      <c r="K53" s="4376">
        <f t="shared" si="20"/>
        <v>320</v>
      </c>
      <c r="L53" s="4376">
        <f t="shared" si="21"/>
        <v>358</v>
      </c>
      <c r="M53" s="4376">
        <f t="shared" si="21"/>
        <v>302</v>
      </c>
      <c r="N53" s="4376">
        <f t="shared" si="22"/>
        <v>343</v>
      </c>
      <c r="O53" s="4376">
        <f t="shared" si="22"/>
        <v>324</v>
      </c>
      <c r="P53" s="4376">
        <f t="shared" si="23"/>
        <v>351</v>
      </c>
      <c r="Q53" s="4376">
        <f t="shared" si="23"/>
        <v>339</v>
      </c>
      <c r="R53" s="4376">
        <f t="shared" si="23"/>
        <v>401</v>
      </c>
    </row>
    <row r="54" spans="2:18" ht="15" x14ac:dyDescent="0.2">
      <c r="B54" s="6347"/>
      <c r="C54" s="2431" t="s">
        <v>12</v>
      </c>
      <c r="D54" s="2436">
        <f t="shared" ref="D54:I54" si="24">SUM(D51:D53)</f>
        <v>638</v>
      </c>
      <c r="E54" s="2436">
        <f t="shared" si="24"/>
        <v>642</v>
      </c>
      <c r="F54" s="2436">
        <f t="shared" si="24"/>
        <v>645</v>
      </c>
      <c r="G54" s="2436">
        <f t="shared" si="24"/>
        <v>739</v>
      </c>
      <c r="H54" s="2436">
        <f t="shared" si="24"/>
        <v>793</v>
      </c>
      <c r="I54" s="2436">
        <f t="shared" si="24"/>
        <v>823</v>
      </c>
      <c r="J54" s="2436">
        <f>J42+J46+J50</f>
        <v>933</v>
      </c>
      <c r="K54" s="2436">
        <f>K42+K46+K50</f>
        <v>946</v>
      </c>
      <c r="L54" s="2436">
        <f>L42+L46+L50</f>
        <v>952</v>
      </c>
      <c r="M54" s="2436">
        <f t="shared" ref="M54:R54" si="25">SUM(M51:M53)</f>
        <v>936</v>
      </c>
      <c r="N54" s="2436">
        <f t="shared" si="25"/>
        <v>990</v>
      </c>
      <c r="O54" s="2436">
        <f t="shared" si="25"/>
        <v>956</v>
      </c>
      <c r="P54" s="2436">
        <f t="shared" si="25"/>
        <v>990</v>
      </c>
      <c r="Q54" s="2436">
        <f t="shared" si="25"/>
        <v>1029</v>
      </c>
      <c r="R54" s="2436">
        <f t="shared" si="25"/>
        <v>1053</v>
      </c>
    </row>
    <row r="55" spans="2:18" ht="15" x14ac:dyDescent="0.2">
      <c r="B55" s="262"/>
      <c r="C55" s="262"/>
      <c r="D55" s="262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</row>
    <row r="56" spans="2:18" ht="12.75" customHeight="1" x14ac:dyDescent="0.2">
      <c r="B56" s="6228" t="s">
        <v>6</v>
      </c>
      <c r="C56" s="1029" t="s">
        <v>615</v>
      </c>
      <c r="D56" s="4374"/>
      <c r="E56" s="4374"/>
      <c r="F56" s="4374"/>
      <c r="G56" s="4375"/>
      <c r="H56" s="4374"/>
      <c r="I56" s="4374"/>
      <c r="J56" s="4374"/>
      <c r="K56" s="4374"/>
      <c r="L56" s="4374"/>
      <c r="M56" s="4374"/>
      <c r="N56" s="4374"/>
      <c r="O56" s="4374"/>
      <c r="P56" s="4374"/>
      <c r="Q56" s="4374"/>
      <c r="R56" s="4374"/>
    </row>
    <row r="57" spans="2:18" ht="15" x14ac:dyDescent="0.2">
      <c r="B57" s="6229"/>
      <c r="C57" s="1034" t="s">
        <v>616</v>
      </c>
      <c r="D57" s="4376"/>
      <c r="E57" s="4376"/>
      <c r="F57" s="4376"/>
      <c r="G57" s="4376"/>
      <c r="H57" s="4376"/>
      <c r="I57" s="4376"/>
      <c r="J57" s="4376"/>
      <c r="K57" s="4376"/>
      <c r="L57" s="4376">
        <v>20</v>
      </c>
      <c r="M57" s="4376">
        <v>32</v>
      </c>
      <c r="N57" s="4376">
        <f>SUM('ACTIVOS-POS plan'!O141)</f>
        <v>38</v>
      </c>
      <c r="O57" s="4376">
        <f>SUM('ACTIVOS-POS plan'!P141)</f>
        <v>36</v>
      </c>
      <c r="P57" s="4376">
        <f>SUM('ACTIVOS-POS plan'!Q141)</f>
        <v>36</v>
      </c>
      <c r="Q57" s="4376">
        <f>SUM('ACTIVOS-POS plan'!R141)</f>
        <v>43</v>
      </c>
      <c r="R57" s="4376">
        <f>SUM('ACTIVOS-POS plan'!S141)</f>
        <v>43</v>
      </c>
    </row>
    <row r="58" spans="2:18" ht="15" x14ac:dyDescent="0.2">
      <c r="B58" s="6229"/>
      <c r="C58" s="1040" t="s">
        <v>617</v>
      </c>
      <c r="D58" s="4376"/>
      <c r="E58" s="4376"/>
      <c r="F58" s="4376"/>
      <c r="G58" s="4376"/>
      <c r="H58" s="4376"/>
      <c r="I58" s="4376"/>
      <c r="J58" s="4376"/>
      <c r="K58" s="4376"/>
      <c r="L58" s="4376">
        <v>12</v>
      </c>
      <c r="M58" s="4376">
        <v>22</v>
      </c>
      <c r="N58" s="4376">
        <f>SUM('ACTIVOS-POS plan'!O142)</f>
        <v>36</v>
      </c>
      <c r="O58" s="4376">
        <f>SUM('ACTIVOS-POS plan'!P142)</f>
        <v>42</v>
      </c>
      <c r="P58" s="4376">
        <f>SUM('ACTIVOS-POS plan'!Q142)</f>
        <v>56</v>
      </c>
      <c r="Q58" s="4376">
        <f>SUM('ACTIVOS-POS plan'!R142)</f>
        <v>63</v>
      </c>
      <c r="R58" s="4376">
        <f>SUM('ACTIVOS-POS plan'!S142)</f>
        <v>59</v>
      </c>
    </row>
    <row r="59" spans="2:18" ht="15" x14ac:dyDescent="0.2">
      <c r="B59" s="6230"/>
      <c r="C59" s="574" t="s">
        <v>14</v>
      </c>
      <c r="D59" s="1226"/>
      <c r="E59" s="1226"/>
      <c r="F59" s="1226"/>
      <c r="G59" s="1226"/>
      <c r="H59" s="1226"/>
      <c r="I59" s="1226"/>
      <c r="J59" s="1226"/>
      <c r="K59" s="1226"/>
      <c r="L59" s="1226">
        <f t="shared" ref="L59:Q59" si="26">SUM(L57:L58)</f>
        <v>32</v>
      </c>
      <c r="M59" s="1226">
        <f t="shared" si="26"/>
        <v>54</v>
      </c>
      <c r="N59" s="1226">
        <f t="shared" si="26"/>
        <v>74</v>
      </c>
      <c r="O59" s="1226">
        <f t="shared" si="26"/>
        <v>78</v>
      </c>
      <c r="P59" s="1226">
        <f t="shared" si="26"/>
        <v>92</v>
      </c>
      <c r="Q59" s="1226">
        <f t="shared" si="26"/>
        <v>106</v>
      </c>
      <c r="R59" s="1226">
        <f>SUM(R57:R58)</f>
        <v>102</v>
      </c>
    </row>
    <row r="60" spans="2:18" ht="15" x14ac:dyDescent="0.2">
      <c r="B60" s="6228" t="s">
        <v>9</v>
      </c>
      <c r="C60" s="1029" t="s">
        <v>615</v>
      </c>
      <c r="D60" s="4374"/>
      <c r="E60" s="4374"/>
      <c r="F60" s="4374"/>
      <c r="G60" s="4375"/>
      <c r="H60" s="4374"/>
      <c r="I60" s="4374"/>
      <c r="J60" s="4374"/>
      <c r="K60" s="4374"/>
      <c r="L60" s="4374"/>
      <c r="M60" s="4374"/>
      <c r="N60" s="4374"/>
      <c r="O60" s="4374"/>
      <c r="P60" s="4374"/>
      <c r="Q60" s="4374"/>
      <c r="R60" s="4374"/>
    </row>
    <row r="61" spans="2:18" ht="15" x14ac:dyDescent="0.2">
      <c r="B61" s="6229"/>
      <c r="C61" s="1034" t="s">
        <v>616</v>
      </c>
      <c r="D61" s="4376"/>
      <c r="E61" s="4376"/>
      <c r="F61" s="4376"/>
      <c r="G61" s="4376"/>
      <c r="H61" s="4376"/>
      <c r="I61" s="4376"/>
      <c r="J61" s="4376"/>
      <c r="K61" s="4376"/>
      <c r="L61" s="4376"/>
      <c r="M61" s="4376">
        <v>12</v>
      </c>
      <c r="N61" s="4376">
        <f>SUM('ACTIVOS-POS plan'!O144)</f>
        <v>24</v>
      </c>
      <c r="O61" s="4376">
        <f>SUM('ACTIVOS-POS plan'!P144)</f>
        <v>42</v>
      </c>
      <c r="P61" s="4376">
        <f>SUM('ACTIVOS-POS plan'!Q144)</f>
        <v>50</v>
      </c>
      <c r="Q61" s="4376">
        <f>SUM('ACTIVOS-POS plan'!R144)</f>
        <v>61</v>
      </c>
      <c r="R61" s="4376">
        <f>SUM('ACTIVOS-POS plan'!S144)</f>
        <v>62</v>
      </c>
    </row>
    <row r="62" spans="2:18" ht="15" x14ac:dyDescent="0.2">
      <c r="B62" s="6229"/>
      <c r="C62" s="1040" t="s">
        <v>617</v>
      </c>
      <c r="D62" s="4376"/>
      <c r="E62" s="4376"/>
      <c r="F62" s="4376"/>
      <c r="G62" s="4376"/>
      <c r="H62" s="4376"/>
      <c r="I62" s="4376"/>
      <c r="J62" s="4376"/>
      <c r="K62" s="4376"/>
      <c r="L62" s="4376"/>
      <c r="M62" s="4376"/>
      <c r="N62" s="4376"/>
      <c r="O62" s="4376"/>
      <c r="P62" s="4376"/>
      <c r="Q62" s="4376"/>
      <c r="R62" s="4376"/>
    </row>
    <row r="63" spans="2:18" ht="15" x14ac:dyDescent="0.2">
      <c r="B63" s="6230"/>
      <c r="C63" s="574" t="s">
        <v>417</v>
      </c>
      <c r="D63" s="1226"/>
      <c r="E63" s="1226"/>
      <c r="F63" s="1226"/>
      <c r="G63" s="1226"/>
      <c r="H63" s="1226"/>
      <c r="I63" s="1226"/>
      <c r="J63" s="1226"/>
      <c r="K63" s="1226"/>
      <c r="L63" s="1226"/>
      <c r="M63" s="1226">
        <f t="shared" ref="M63:R63" si="27">SUM(M61:M62)</f>
        <v>12</v>
      </c>
      <c r="N63" s="1226">
        <f t="shared" si="27"/>
        <v>24</v>
      </c>
      <c r="O63" s="1226">
        <f t="shared" si="27"/>
        <v>42</v>
      </c>
      <c r="P63" s="1226">
        <f t="shared" si="27"/>
        <v>50</v>
      </c>
      <c r="Q63" s="1226">
        <f t="shared" si="27"/>
        <v>61</v>
      </c>
      <c r="R63" s="1226">
        <f t="shared" si="27"/>
        <v>62</v>
      </c>
    </row>
    <row r="64" spans="2:18" ht="15" x14ac:dyDescent="0.2">
      <c r="B64" s="6228" t="s">
        <v>74</v>
      </c>
      <c r="C64" s="1029" t="s">
        <v>615</v>
      </c>
      <c r="D64" s="4374"/>
      <c r="E64" s="4374"/>
      <c r="F64" s="4374"/>
      <c r="G64" s="4375"/>
      <c r="H64" s="4374"/>
      <c r="I64" s="4374"/>
      <c r="J64" s="4374"/>
      <c r="K64" s="4374"/>
      <c r="L64" s="4374"/>
      <c r="M64" s="4374">
        <v>3</v>
      </c>
      <c r="N64" s="4374">
        <f>SUM('ACTIVOS-POS plan'!O146)</f>
        <v>5</v>
      </c>
      <c r="O64" s="4374">
        <f>SUM('ACTIVOS-POS plan'!P146)</f>
        <v>4</v>
      </c>
      <c r="P64" s="4374">
        <f>SUM('ACTIVOS-POS plan'!Q146)</f>
        <v>7</v>
      </c>
      <c r="Q64" s="4374">
        <f>SUM('ACTIVOS-POS plan'!R146)</f>
        <v>8</v>
      </c>
      <c r="R64" s="4374">
        <f>SUM('ACTIVOS-POS plan'!S146)</f>
        <v>6</v>
      </c>
    </row>
    <row r="65" spans="2:18" ht="15" x14ac:dyDescent="0.2">
      <c r="B65" s="6229"/>
      <c r="C65" s="1034" t="s">
        <v>616</v>
      </c>
      <c r="D65" s="4376"/>
      <c r="E65" s="4376"/>
      <c r="F65" s="4376"/>
      <c r="G65" s="4376"/>
      <c r="H65" s="4376"/>
      <c r="I65" s="4376"/>
      <c r="J65" s="4376"/>
      <c r="K65" s="4376"/>
      <c r="L65" s="4376"/>
      <c r="M65" s="4376">
        <v>9</v>
      </c>
      <c r="N65" s="4376">
        <f>SUM('ACTIVOS-POS plan'!O147)</f>
        <v>22</v>
      </c>
      <c r="O65" s="4376">
        <f>SUM('ACTIVOS-POS plan'!P147)</f>
        <v>34</v>
      </c>
      <c r="P65" s="4376">
        <f>SUM('ACTIVOS-POS plan'!Q147)</f>
        <v>37</v>
      </c>
      <c r="Q65" s="4376">
        <f>SUM('ACTIVOS-POS plan'!R147)</f>
        <v>42</v>
      </c>
      <c r="R65" s="4376">
        <f>SUM('ACTIVOS-POS plan'!S147)</f>
        <v>42</v>
      </c>
    </row>
    <row r="66" spans="2:18" ht="15" x14ac:dyDescent="0.2">
      <c r="B66" s="6229"/>
      <c r="C66" s="1040" t="s">
        <v>617</v>
      </c>
      <c r="D66" s="4376"/>
      <c r="E66" s="4376"/>
      <c r="F66" s="4376"/>
      <c r="G66" s="4376"/>
      <c r="H66" s="4376"/>
      <c r="I66" s="4376"/>
      <c r="J66" s="4376"/>
      <c r="K66" s="4376"/>
      <c r="L66" s="4376"/>
      <c r="M66" s="4376">
        <v>7</v>
      </c>
      <c r="N66" s="4376">
        <f>SUM('ACTIVOS-POS plan'!O148)</f>
        <v>13</v>
      </c>
      <c r="O66" s="4376">
        <f>SUM('ACTIVOS-POS plan'!P148)</f>
        <v>21</v>
      </c>
      <c r="P66" s="4376">
        <f>SUM('ACTIVOS-POS plan'!Q148)</f>
        <v>33</v>
      </c>
      <c r="Q66" s="4376">
        <f>SUM('ACTIVOS-POS plan'!R148:R149)</f>
        <v>36</v>
      </c>
      <c r="R66" s="4376">
        <f>SUM('ACTIVOS-POS plan'!S148:S149)</f>
        <v>40</v>
      </c>
    </row>
    <row r="67" spans="2:18" ht="15" x14ac:dyDescent="0.2">
      <c r="B67" s="6230"/>
      <c r="C67" s="574" t="s">
        <v>418</v>
      </c>
      <c r="D67" s="1226"/>
      <c r="E67" s="1226"/>
      <c r="F67" s="1226"/>
      <c r="G67" s="1226"/>
      <c r="H67" s="1226"/>
      <c r="I67" s="1226"/>
      <c r="J67" s="1226"/>
      <c r="K67" s="1226"/>
      <c r="L67" s="1226"/>
      <c r="M67" s="1226">
        <f t="shared" ref="M67:R67" si="28">SUM(M64:M66)</f>
        <v>19</v>
      </c>
      <c r="N67" s="1226">
        <f t="shared" si="28"/>
        <v>40</v>
      </c>
      <c r="O67" s="1226">
        <f t="shared" si="28"/>
        <v>59</v>
      </c>
      <c r="P67" s="1226">
        <f t="shared" si="28"/>
        <v>77</v>
      </c>
      <c r="Q67" s="1226">
        <f t="shared" si="28"/>
        <v>86</v>
      </c>
      <c r="R67" s="1226">
        <f t="shared" si="28"/>
        <v>88</v>
      </c>
    </row>
    <row r="68" spans="2:18" ht="15" customHeight="1" x14ac:dyDescent="0.2">
      <c r="B68" s="6348" t="s">
        <v>678</v>
      </c>
      <c r="C68" s="1029" t="s">
        <v>615</v>
      </c>
      <c r="D68" s="4374"/>
      <c r="E68" s="4374"/>
      <c r="F68" s="4374"/>
      <c r="G68" s="4375"/>
      <c r="H68" s="4374"/>
      <c r="I68" s="4374"/>
      <c r="J68" s="4374"/>
      <c r="K68" s="4374"/>
      <c r="L68" s="4374">
        <f t="shared" ref="L68:M70" si="29">SUM(L56,L60,L64)</f>
        <v>0</v>
      </c>
      <c r="M68" s="4374">
        <f t="shared" si="29"/>
        <v>3</v>
      </c>
      <c r="N68" s="4374">
        <f t="shared" ref="N68:O70" si="30">SUM(N56,N60,N64)</f>
        <v>5</v>
      </c>
      <c r="O68" s="4374">
        <f t="shared" si="30"/>
        <v>4</v>
      </c>
      <c r="P68" s="4374">
        <f t="shared" ref="P68:R70" si="31">SUM(P56,P60,P64)</f>
        <v>7</v>
      </c>
      <c r="Q68" s="4374">
        <f t="shared" si="31"/>
        <v>8</v>
      </c>
      <c r="R68" s="4374">
        <f t="shared" si="31"/>
        <v>6</v>
      </c>
    </row>
    <row r="69" spans="2:18" ht="15" x14ac:dyDescent="0.2">
      <c r="B69" s="6349"/>
      <c r="C69" s="1034" t="s">
        <v>616</v>
      </c>
      <c r="D69" s="4376"/>
      <c r="E69" s="4376"/>
      <c r="F69" s="4376"/>
      <c r="G69" s="4376"/>
      <c r="H69" s="4376"/>
      <c r="I69" s="4376"/>
      <c r="J69" s="4376"/>
      <c r="K69" s="4376"/>
      <c r="L69" s="4376">
        <f t="shared" si="29"/>
        <v>20</v>
      </c>
      <c r="M69" s="4376">
        <f t="shared" si="29"/>
        <v>53</v>
      </c>
      <c r="N69" s="4376">
        <f t="shared" si="30"/>
        <v>84</v>
      </c>
      <c r="O69" s="4376">
        <f t="shared" si="30"/>
        <v>112</v>
      </c>
      <c r="P69" s="4376">
        <f t="shared" si="31"/>
        <v>123</v>
      </c>
      <c r="Q69" s="4376">
        <f t="shared" si="31"/>
        <v>146</v>
      </c>
      <c r="R69" s="4376">
        <f t="shared" si="31"/>
        <v>147</v>
      </c>
    </row>
    <row r="70" spans="2:18" ht="15" x14ac:dyDescent="0.2">
      <c r="B70" s="6349"/>
      <c r="C70" s="1040" t="s">
        <v>617</v>
      </c>
      <c r="D70" s="4376"/>
      <c r="E70" s="4376"/>
      <c r="F70" s="4376"/>
      <c r="G70" s="4376"/>
      <c r="H70" s="4376"/>
      <c r="I70" s="4376"/>
      <c r="J70" s="4376"/>
      <c r="K70" s="4376"/>
      <c r="L70" s="4376">
        <f t="shared" si="29"/>
        <v>12</v>
      </c>
      <c r="M70" s="4376">
        <f t="shared" si="29"/>
        <v>29</v>
      </c>
      <c r="N70" s="4376">
        <f t="shared" si="30"/>
        <v>49</v>
      </c>
      <c r="O70" s="4376">
        <f t="shared" si="30"/>
        <v>63</v>
      </c>
      <c r="P70" s="4376">
        <f t="shared" si="31"/>
        <v>89</v>
      </c>
      <c r="Q70" s="4376">
        <f t="shared" si="31"/>
        <v>99</v>
      </c>
      <c r="R70" s="4376">
        <f t="shared" si="31"/>
        <v>99</v>
      </c>
    </row>
    <row r="71" spans="2:18" ht="15" x14ac:dyDescent="0.2">
      <c r="B71" s="6350"/>
      <c r="C71" s="2432" t="s">
        <v>12</v>
      </c>
      <c r="D71" s="2435"/>
      <c r="E71" s="2435"/>
      <c r="F71" s="2435"/>
      <c r="G71" s="2435"/>
      <c r="H71" s="2435"/>
      <c r="I71" s="2435"/>
      <c r="J71" s="2435"/>
      <c r="K71" s="2435"/>
      <c r="L71" s="2435">
        <f t="shared" ref="L71:Q71" si="32">SUM(L68:L70)</f>
        <v>32</v>
      </c>
      <c r="M71" s="2435">
        <f t="shared" si="32"/>
        <v>85</v>
      </c>
      <c r="N71" s="2435">
        <f t="shared" si="32"/>
        <v>138</v>
      </c>
      <c r="O71" s="2435">
        <f t="shared" si="32"/>
        <v>179</v>
      </c>
      <c r="P71" s="2435">
        <f t="shared" si="32"/>
        <v>219</v>
      </c>
      <c r="Q71" s="2435">
        <f t="shared" si="32"/>
        <v>253</v>
      </c>
      <c r="R71" s="2435">
        <f>SUM(R68:R70)</f>
        <v>252</v>
      </c>
    </row>
    <row r="72" spans="2:18" ht="15" x14ac:dyDescent="0.2">
      <c r="B72" s="262"/>
      <c r="C72" s="262"/>
      <c r="D72" s="262"/>
      <c r="E72" s="262"/>
      <c r="F72" s="262"/>
      <c r="G72" s="262"/>
      <c r="H72" s="262"/>
      <c r="I72" s="262"/>
      <c r="J72" s="262"/>
      <c r="K72" s="262"/>
      <c r="L72" s="262"/>
      <c r="M72" s="262"/>
      <c r="N72" s="262"/>
      <c r="O72" s="262"/>
      <c r="P72" s="262"/>
      <c r="Q72" s="262"/>
      <c r="R72" s="262"/>
    </row>
    <row r="73" spans="2:18" ht="15" customHeight="1" x14ac:dyDescent="0.2">
      <c r="B73" s="6341" t="s">
        <v>60</v>
      </c>
      <c r="C73" s="1029" t="s">
        <v>615</v>
      </c>
      <c r="D73" s="4374">
        <f t="shared" ref="D73:K75" si="33">D17+D34+D51</f>
        <v>223</v>
      </c>
      <c r="E73" s="4374">
        <f t="shared" si="33"/>
        <v>282</v>
      </c>
      <c r="F73" s="4374">
        <f t="shared" si="33"/>
        <v>225</v>
      </c>
      <c r="G73" s="4375">
        <f t="shared" si="33"/>
        <v>254</v>
      </c>
      <c r="H73" s="4374">
        <f t="shared" si="33"/>
        <v>336</v>
      </c>
      <c r="I73" s="4374">
        <f t="shared" si="33"/>
        <v>322</v>
      </c>
      <c r="J73" s="4374">
        <f t="shared" si="33"/>
        <v>365</v>
      </c>
      <c r="K73" s="4374">
        <f t="shared" si="33"/>
        <v>394</v>
      </c>
      <c r="L73" s="4374">
        <f t="shared" ref="L73:N75" si="34">SUM(L17,L34,L51,L68)</f>
        <v>363</v>
      </c>
      <c r="M73" s="4374">
        <f t="shared" si="34"/>
        <v>349</v>
      </c>
      <c r="N73" s="4374">
        <f t="shared" si="34"/>
        <v>221</v>
      </c>
      <c r="O73" s="4374">
        <f t="shared" ref="O73:P75" si="35">SUM(O17,O34,O51,O68)</f>
        <v>221</v>
      </c>
      <c r="P73" s="4374">
        <f t="shared" si="35"/>
        <v>190</v>
      </c>
      <c r="Q73" s="4374">
        <f t="shared" ref="Q73:R75" si="36">SUM(Q17,Q34,Q51,Q68)</f>
        <v>145</v>
      </c>
      <c r="R73" s="4374">
        <f t="shared" si="36"/>
        <v>192</v>
      </c>
    </row>
    <row r="74" spans="2:18" ht="15" x14ac:dyDescent="0.2">
      <c r="B74" s="6309"/>
      <c r="C74" s="1034" t="s">
        <v>616</v>
      </c>
      <c r="D74" s="4376">
        <f t="shared" si="33"/>
        <v>956</v>
      </c>
      <c r="E74" s="4376">
        <f t="shared" si="33"/>
        <v>1012</v>
      </c>
      <c r="F74" s="4376">
        <f t="shared" si="33"/>
        <v>1073</v>
      </c>
      <c r="G74" s="4376">
        <f t="shared" si="33"/>
        <v>1172</v>
      </c>
      <c r="H74" s="4376">
        <f t="shared" si="33"/>
        <v>1232</v>
      </c>
      <c r="I74" s="4376">
        <f t="shared" si="33"/>
        <v>1404</v>
      </c>
      <c r="J74" s="4376">
        <f t="shared" si="33"/>
        <v>1561</v>
      </c>
      <c r="K74" s="4376">
        <f t="shared" si="33"/>
        <v>1630</v>
      </c>
      <c r="L74" s="4376">
        <f t="shared" si="34"/>
        <v>1625</v>
      </c>
      <c r="M74" s="4376">
        <f t="shared" si="34"/>
        <v>1759</v>
      </c>
      <c r="N74" s="4376">
        <f t="shared" si="34"/>
        <v>1791</v>
      </c>
      <c r="O74" s="4376">
        <f t="shared" si="35"/>
        <v>1914</v>
      </c>
      <c r="P74" s="4376">
        <f t="shared" si="35"/>
        <v>1943</v>
      </c>
      <c r="Q74" s="4376">
        <f t="shared" si="36"/>
        <v>2078</v>
      </c>
      <c r="R74" s="4376">
        <f t="shared" si="36"/>
        <v>2026</v>
      </c>
    </row>
    <row r="75" spans="2:18" ht="15" x14ac:dyDescent="0.2">
      <c r="B75" s="6309"/>
      <c r="C75" s="1040" t="s">
        <v>617</v>
      </c>
      <c r="D75" s="4376">
        <f t="shared" si="33"/>
        <v>975</v>
      </c>
      <c r="E75" s="4376">
        <f t="shared" si="33"/>
        <v>938</v>
      </c>
      <c r="F75" s="4376">
        <f t="shared" si="33"/>
        <v>958</v>
      </c>
      <c r="G75" s="4376">
        <f t="shared" si="33"/>
        <v>918</v>
      </c>
      <c r="H75" s="4376">
        <f t="shared" si="33"/>
        <v>1049</v>
      </c>
      <c r="I75" s="4376">
        <f t="shared" si="33"/>
        <v>1018</v>
      </c>
      <c r="J75" s="4376">
        <f t="shared" si="33"/>
        <v>1123</v>
      </c>
      <c r="K75" s="4376">
        <f t="shared" si="33"/>
        <v>1302</v>
      </c>
      <c r="L75" s="4376">
        <f t="shared" si="34"/>
        <v>1392</v>
      </c>
      <c r="M75" s="4376">
        <f t="shared" si="34"/>
        <v>1328</v>
      </c>
      <c r="N75" s="4376">
        <f t="shared" si="34"/>
        <v>1496</v>
      </c>
      <c r="O75" s="4376">
        <f t="shared" si="35"/>
        <v>1573</v>
      </c>
      <c r="P75" s="4376">
        <f t="shared" si="35"/>
        <v>1585</v>
      </c>
      <c r="Q75" s="4376">
        <f t="shared" si="36"/>
        <v>1619</v>
      </c>
      <c r="R75" s="4376">
        <f t="shared" si="36"/>
        <v>1620</v>
      </c>
    </row>
    <row r="76" spans="2:18" ht="15" x14ac:dyDescent="0.2">
      <c r="B76" s="6310"/>
      <c r="C76" s="564" t="s">
        <v>12</v>
      </c>
      <c r="D76" s="1223">
        <f t="shared" ref="D76:K76" si="37">SUM(D73:D75)</f>
        <v>2154</v>
      </c>
      <c r="E76" s="1223">
        <f t="shared" si="37"/>
        <v>2232</v>
      </c>
      <c r="F76" s="1223">
        <f t="shared" si="37"/>
        <v>2256</v>
      </c>
      <c r="G76" s="1223">
        <f t="shared" si="37"/>
        <v>2344</v>
      </c>
      <c r="H76" s="1223">
        <f t="shared" si="37"/>
        <v>2617</v>
      </c>
      <c r="I76" s="1223">
        <f t="shared" si="37"/>
        <v>2744</v>
      </c>
      <c r="J76" s="1223">
        <f t="shared" si="37"/>
        <v>3049</v>
      </c>
      <c r="K76" s="1223">
        <f t="shared" si="37"/>
        <v>3326</v>
      </c>
      <c r="L76" s="1223">
        <f t="shared" ref="L76:Q76" si="38">SUM(L73:L75)</f>
        <v>3380</v>
      </c>
      <c r="M76" s="1223">
        <f t="shared" si="38"/>
        <v>3436</v>
      </c>
      <c r="N76" s="1223">
        <f t="shared" si="38"/>
        <v>3508</v>
      </c>
      <c r="O76" s="1223">
        <f t="shared" si="38"/>
        <v>3708</v>
      </c>
      <c r="P76" s="1223">
        <f t="shared" si="38"/>
        <v>3718</v>
      </c>
      <c r="Q76" s="1223">
        <f t="shared" si="38"/>
        <v>3842</v>
      </c>
      <c r="R76" s="1223">
        <f>SUM(R73:R75)</f>
        <v>3838</v>
      </c>
    </row>
    <row r="77" spans="2:18" ht="15" x14ac:dyDescent="0.2">
      <c r="B77" s="262"/>
      <c r="C77" s="262"/>
      <c r="D77" s="262"/>
      <c r="E77" s="262"/>
      <c r="F77" s="262"/>
      <c r="G77" s="262"/>
      <c r="H77" s="262"/>
      <c r="I77" s="262"/>
      <c r="J77" s="262"/>
      <c r="K77" s="262"/>
      <c r="L77" s="262"/>
      <c r="M77" s="262"/>
      <c r="N77" s="262"/>
      <c r="O77" s="262"/>
      <c r="P77" s="262"/>
      <c r="Q77" s="262"/>
      <c r="R77" s="262"/>
    </row>
    <row r="78" spans="2:18" ht="15" x14ac:dyDescent="0.2">
      <c r="B78" s="6415" t="s">
        <v>762</v>
      </c>
      <c r="C78" s="263" t="s">
        <v>5</v>
      </c>
      <c r="D78" s="537">
        <f t="shared" ref="D78:K78" si="39">SUM(D8,D25)</f>
        <v>503</v>
      </c>
      <c r="E78" s="537">
        <f t="shared" si="39"/>
        <v>509</v>
      </c>
      <c r="F78" s="537">
        <f t="shared" si="39"/>
        <v>564</v>
      </c>
      <c r="G78" s="537">
        <f t="shared" si="39"/>
        <v>572</v>
      </c>
      <c r="H78" s="537">
        <f t="shared" si="39"/>
        <v>582</v>
      </c>
      <c r="I78" s="537">
        <f t="shared" si="39"/>
        <v>556</v>
      </c>
      <c r="J78" s="537">
        <f t="shared" si="39"/>
        <v>598</v>
      </c>
      <c r="K78" s="537">
        <f t="shared" si="39"/>
        <v>625</v>
      </c>
      <c r="L78" s="537">
        <f t="shared" ref="L78:Q78" si="40">SUM(L8,L25)</f>
        <v>675</v>
      </c>
      <c r="M78" s="537">
        <f t="shared" si="40"/>
        <v>684</v>
      </c>
      <c r="N78" s="537">
        <f t="shared" si="40"/>
        <v>744</v>
      </c>
      <c r="O78" s="537">
        <f t="shared" si="40"/>
        <v>796</v>
      </c>
      <c r="P78" s="537">
        <f t="shared" si="40"/>
        <v>821</v>
      </c>
      <c r="Q78" s="537">
        <f t="shared" si="40"/>
        <v>883</v>
      </c>
      <c r="R78" s="537">
        <f>SUM(R8,R25)</f>
        <v>861</v>
      </c>
    </row>
    <row r="79" spans="2:18" ht="15" x14ac:dyDescent="0.2">
      <c r="B79" s="6416"/>
      <c r="C79" s="267" t="s">
        <v>6</v>
      </c>
      <c r="D79" s="538">
        <f t="shared" ref="D79:K79" si="41">SUM(D12,D29,D42,D71)</f>
        <v>908</v>
      </c>
      <c r="E79" s="538">
        <f>SUM(E12,E29,E42,L71)</f>
        <v>1073</v>
      </c>
      <c r="F79" s="538">
        <f>SUM(F12,F29,F42,M71)</f>
        <v>1051</v>
      </c>
      <c r="G79" s="538">
        <f t="shared" si="41"/>
        <v>997</v>
      </c>
      <c r="H79" s="538">
        <f t="shared" si="41"/>
        <v>1146</v>
      </c>
      <c r="I79" s="538">
        <f t="shared" si="41"/>
        <v>1283</v>
      </c>
      <c r="J79" s="538">
        <f t="shared" si="41"/>
        <v>1365</v>
      </c>
      <c r="K79" s="538">
        <f t="shared" si="41"/>
        <v>1530</v>
      </c>
      <c r="L79" s="538">
        <f>SUM(L12,L29,L42,L71)</f>
        <v>1499</v>
      </c>
      <c r="M79" s="538">
        <f t="shared" ref="M79:R79" si="42">SUM(M12,M29,M42,M59)</f>
        <v>1478</v>
      </c>
      <c r="N79" s="538">
        <f t="shared" si="42"/>
        <v>1387</v>
      </c>
      <c r="O79" s="538">
        <f t="shared" si="42"/>
        <v>1490</v>
      </c>
      <c r="P79" s="538">
        <f t="shared" si="42"/>
        <v>1379</v>
      </c>
      <c r="Q79" s="538">
        <f t="shared" si="42"/>
        <v>1485</v>
      </c>
      <c r="R79" s="538">
        <f t="shared" si="42"/>
        <v>1470</v>
      </c>
    </row>
    <row r="80" spans="2:18" ht="15" x14ac:dyDescent="0.2">
      <c r="B80" s="6416"/>
      <c r="C80" s="267" t="s">
        <v>11</v>
      </c>
      <c r="D80" s="538">
        <f t="shared" ref="D80:K80" si="43">SUM(D33,D46)</f>
        <v>586</v>
      </c>
      <c r="E80" s="538">
        <f t="shared" si="43"/>
        <v>512</v>
      </c>
      <c r="F80" s="538">
        <f t="shared" si="43"/>
        <v>554</v>
      </c>
      <c r="G80" s="538">
        <f t="shared" si="43"/>
        <v>573</v>
      </c>
      <c r="H80" s="538">
        <f t="shared" si="43"/>
        <v>658</v>
      </c>
      <c r="I80" s="538">
        <f t="shared" si="43"/>
        <v>655</v>
      </c>
      <c r="J80" s="538">
        <f t="shared" si="43"/>
        <v>747</v>
      </c>
      <c r="K80" s="538">
        <f t="shared" si="43"/>
        <v>771</v>
      </c>
      <c r="L80" s="538">
        <f t="shared" ref="L80:Q80" si="44">SUM(L33,L46)</f>
        <v>832</v>
      </c>
      <c r="M80" s="538">
        <f t="shared" si="44"/>
        <v>861</v>
      </c>
      <c r="N80" s="538">
        <f t="shared" si="44"/>
        <v>941</v>
      </c>
      <c r="O80" s="538">
        <f t="shared" si="44"/>
        <v>934</v>
      </c>
      <c r="P80" s="538">
        <f t="shared" si="44"/>
        <v>980</v>
      </c>
      <c r="Q80" s="538">
        <f t="shared" si="44"/>
        <v>963</v>
      </c>
      <c r="R80" s="538">
        <f>SUM(R33,R46)</f>
        <v>937</v>
      </c>
    </row>
    <row r="81" spans="2:18" ht="15" x14ac:dyDescent="0.2">
      <c r="B81" s="6416"/>
      <c r="C81" s="267" t="s">
        <v>7</v>
      </c>
      <c r="D81" s="538">
        <f t="shared" ref="D81:K81" si="45">SUM(D16,D50)</f>
        <v>157</v>
      </c>
      <c r="E81" s="538">
        <f t="shared" si="45"/>
        <v>170</v>
      </c>
      <c r="F81" s="538">
        <f t="shared" si="45"/>
        <v>172</v>
      </c>
      <c r="G81" s="538">
        <f t="shared" si="45"/>
        <v>202</v>
      </c>
      <c r="H81" s="538">
        <f t="shared" si="45"/>
        <v>231</v>
      </c>
      <c r="I81" s="538">
        <f t="shared" si="45"/>
        <v>250</v>
      </c>
      <c r="J81" s="538">
        <f t="shared" si="45"/>
        <v>339</v>
      </c>
      <c r="K81" s="538">
        <f t="shared" si="45"/>
        <v>400</v>
      </c>
      <c r="L81" s="538">
        <f t="shared" ref="L81:Q81" si="46">SUM(L16,L50)</f>
        <v>374</v>
      </c>
      <c r="M81" s="538">
        <f t="shared" si="46"/>
        <v>382</v>
      </c>
      <c r="N81" s="538">
        <f t="shared" si="46"/>
        <v>372</v>
      </c>
      <c r="O81" s="538">
        <f t="shared" si="46"/>
        <v>387</v>
      </c>
      <c r="P81" s="538">
        <f t="shared" si="46"/>
        <v>411</v>
      </c>
      <c r="Q81" s="538">
        <f t="shared" si="46"/>
        <v>364</v>
      </c>
      <c r="R81" s="538">
        <f>SUM(R16,R50)</f>
        <v>420</v>
      </c>
    </row>
    <row r="82" spans="2:18" ht="15" x14ac:dyDescent="0.2">
      <c r="B82" s="6416"/>
      <c r="C82" s="267" t="s">
        <v>9</v>
      </c>
      <c r="D82" s="538"/>
      <c r="E82" s="538"/>
      <c r="F82" s="538"/>
      <c r="G82" s="538"/>
      <c r="H82" s="538"/>
      <c r="I82" s="538"/>
      <c r="J82" s="538"/>
      <c r="K82" s="538"/>
      <c r="L82" s="538"/>
      <c r="M82" s="538">
        <f t="shared" ref="M82:R82" si="47">SUM(M63)</f>
        <v>12</v>
      </c>
      <c r="N82" s="538">
        <f t="shared" si="47"/>
        <v>24</v>
      </c>
      <c r="O82" s="538">
        <f t="shared" si="47"/>
        <v>42</v>
      </c>
      <c r="P82" s="538">
        <f t="shared" si="47"/>
        <v>50</v>
      </c>
      <c r="Q82" s="538">
        <f t="shared" si="47"/>
        <v>61</v>
      </c>
      <c r="R82" s="538">
        <f t="shared" si="47"/>
        <v>62</v>
      </c>
    </row>
    <row r="83" spans="2:18" ht="15" x14ac:dyDescent="0.2">
      <c r="B83" s="6416"/>
      <c r="C83" s="277" t="s">
        <v>74</v>
      </c>
      <c r="D83" s="540"/>
      <c r="E83" s="540"/>
      <c r="F83" s="540"/>
      <c r="G83" s="540"/>
      <c r="H83" s="540"/>
      <c r="I83" s="540"/>
      <c r="J83" s="540"/>
      <c r="K83" s="540"/>
      <c r="L83" s="540"/>
      <c r="M83" s="540">
        <f t="shared" ref="M83:R83" si="48">SUM(M67)</f>
        <v>19</v>
      </c>
      <c r="N83" s="540">
        <f t="shared" si="48"/>
        <v>40</v>
      </c>
      <c r="O83" s="540">
        <f t="shared" si="48"/>
        <v>59</v>
      </c>
      <c r="P83" s="540">
        <f t="shared" si="48"/>
        <v>77</v>
      </c>
      <c r="Q83" s="540">
        <f t="shared" si="48"/>
        <v>86</v>
      </c>
      <c r="R83" s="540">
        <f t="shared" si="48"/>
        <v>88</v>
      </c>
    </row>
    <row r="84" spans="2:18" ht="15" x14ac:dyDescent="0.2">
      <c r="B84" s="6417"/>
      <c r="C84" s="1056" t="s">
        <v>12</v>
      </c>
      <c r="D84" s="1223">
        <f t="shared" ref="D84:K84" si="49">SUM(D78:D83)</f>
        <v>2154</v>
      </c>
      <c r="E84" s="1223">
        <f t="shared" si="49"/>
        <v>2264</v>
      </c>
      <c r="F84" s="1223">
        <f t="shared" si="49"/>
        <v>2341</v>
      </c>
      <c r="G84" s="1223">
        <f t="shared" si="49"/>
        <v>2344</v>
      </c>
      <c r="H84" s="1223">
        <f t="shared" si="49"/>
        <v>2617</v>
      </c>
      <c r="I84" s="1223">
        <f t="shared" si="49"/>
        <v>2744</v>
      </c>
      <c r="J84" s="1223">
        <f t="shared" si="49"/>
        <v>3049</v>
      </c>
      <c r="K84" s="1223">
        <f t="shared" si="49"/>
        <v>3326</v>
      </c>
      <c r="L84" s="1223">
        <f t="shared" ref="L84:Q84" si="50">SUM(L78:L83)</f>
        <v>3380</v>
      </c>
      <c r="M84" s="1223">
        <f t="shared" si="50"/>
        <v>3436</v>
      </c>
      <c r="N84" s="1223">
        <f t="shared" si="50"/>
        <v>3508</v>
      </c>
      <c r="O84" s="1223">
        <f t="shared" si="50"/>
        <v>3708</v>
      </c>
      <c r="P84" s="1223">
        <f t="shared" si="50"/>
        <v>3718</v>
      </c>
      <c r="Q84" s="1223">
        <f t="shared" si="50"/>
        <v>3842</v>
      </c>
      <c r="R84" s="1223">
        <f>SUM(R78:R83)</f>
        <v>3838</v>
      </c>
    </row>
    <row r="85" spans="2:18" x14ac:dyDescent="0.2">
      <c r="B85" s="202" t="s">
        <v>128</v>
      </c>
    </row>
    <row r="86" spans="2:18" x14ac:dyDescent="0.2">
      <c r="B86" s="240" t="s">
        <v>1571</v>
      </c>
      <c r="N86" s="211"/>
    </row>
    <row r="87" spans="2:18" x14ac:dyDescent="0.2">
      <c r="H87" s="1367"/>
    </row>
    <row r="88" spans="2:18" x14ac:dyDescent="0.2">
      <c r="B88" s="5110" t="s">
        <v>161</v>
      </c>
    </row>
    <row r="89" spans="2:18" x14ac:dyDescent="0.2">
      <c r="B89" s="5110" t="s">
        <v>407</v>
      </c>
    </row>
    <row r="90" spans="2:18" x14ac:dyDescent="0.2">
      <c r="B90" s="5110" t="s">
        <v>162</v>
      </c>
    </row>
    <row r="91" spans="2:18" x14ac:dyDescent="0.2">
      <c r="B91" s="5110" t="s">
        <v>163</v>
      </c>
    </row>
    <row r="92" spans="2:18" x14ac:dyDescent="0.2">
      <c r="C92" s="3922"/>
    </row>
    <row r="93" spans="2:18" x14ac:dyDescent="0.2">
      <c r="C93" s="3922"/>
    </row>
    <row r="94" spans="2:18" x14ac:dyDescent="0.2">
      <c r="C94" s="3922"/>
    </row>
    <row r="95" spans="2:18" x14ac:dyDescent="0.2">
      <c r="C95" s="3922"/>
    </row>
    <row r="96" spans="2:18" x14ac:dyDescent="0.2">
      <c r="C96" s="3922"/>
    </row>
    <row r="97" spans="3:3" x14ac:dyDescent="0.2">
      <c r="C97" s="3922"/>
    </row>
    <row r="98" spans="3:3" x14ac:dyDescent="0.2">
      <c r="C98" s="3922"/>
    </row>
    <row r="99" spans="3:3" x14ac:dyDescent="0.2">
      <c r="C99" s="3922"/>
    </row>
    <row r="100" spans="3:3" x14ac:dyDescent="0.2">
      <c r="C100" s="3922"/>
    </row>
    <row r="101" spans="3:3" x14ac:dyDescent="0.2">
      <c r="C101" s="3922"/>
    </row>
    <row r="102" spans="3:3" x14ac:dyDescent="0.2">
      <c r="C102" s="3922"/>
    </row>
    <row r="103" spans="3:3" x14ac:dyDescent="0.2">
      <c r="C103" s="3922"/>
    </row>
    <row r="104" spans="3:3" x14ac:dyDescent="0.2">
      <c r="C104" s="3922"/>
    </row>
    <row r="147" spans="2:18" ht="11.25" customHeight="1" x14ac:dyDescent="0.2"/>
    <row r="148" spans="2:18" ht="11.25" customHeight="1" x14ac:dyDescent="0.2"/>
    <row r="149" spans="2:18" ht="11.25" customHeight="1" x14ac:dyDescent="0.2"/>
    <row r="150" spans="2:18" ht="11.25" customHeight="1" x14ac:dyDescent="0.2"/>
    <row r="151" spans="2:18" ht="11.25" customHeight="1" x14ac:dyDescent="0.2"/>
    <row r="152" spans="2:18" ht="11.25" customHeight="1" x14ac:dyDescent="0.2"/>
    <row r="154" spans="2:18" x14ac:dyDescent="0.2">
      <c r="B154" s="2728" t="s">
        <v>810</v>
      </c>
    </row>
    <row r="156" spans="2:18" ht="30" x14ac:dyDescent="0.2">
      <c r="B156" s="2694" t="s">
        <v>164</v>
      </c>
      <c r="C156" s="5088" t="s">
        <v>25</v>
      </c>
      <c r="E156" s="1460">
        <v>2004</v>
      </c>
      <c r="F156" s="1460">
        <v>2005</v>
      </c>
      <c r="G156" s="1460">
        <v>2006</v>
      </c>
      <c r="H156" s="1460">
        <v>2007</v>
      </c>
      <c r="I156" s="1460">
        <v>2008</v>
      </c>
      <c r="J156" s="1460">
        <v>2009</v>
      </c>
      <c r="K156" s="1460">
        <v>2010</v>
      </c>
      <c r="L156" s="1460">
        <v>2011</v>
      </c>
      <c r="M156" s="1460">
        <v>2012</v>
      </c>
      <c r="N156" s="1460">
        <v>2013</v>
      </c>
      <c r="O156" s="1460">
        <v>2014</v>
      </c>
      <c r="P156" s="1460">
        <v>2015</v>
      </c>
      <c r="Q156" s="1460">
        <v>2016</v>
      </c>
      <c r="R156" s="1460">
        <v>2017</v>
      </c>
    </row>
    <row r="157" spans="2:18" ht="15" x14ac:dyDescent="0.2">
      <c r="B157" s="262"/>
      <c r="C157" s="262"/>
      <c r="E157" s="262"/>
      <c r="F157" s="262"/>
      <c r="G157" s="262"/>
      <c r="H157" s="262"/>
      <c r="I157" s="262"/>
      <c r="J157" s="262"/>
      <c r="K157" s="262"/>
      <c r="L157" s="262"/>
      <c r="M157" s="262"/>
      <c r="N157" s="262"/>
      <c r="O157" s="262"/>
      <c r="P157" s="262"/>
      <c r="Q157" s="262"/>
      <c r="R157" s="262"/>
    </row>
    <row r="158" spans="2:18" ht="15" x14ac:dyDescent="0.2">
      <c r="B158" s="6213" t="s">
        <v>5</v>
      </c>
      <c r="C158" s="1029" t="s">
        <v>615</v>
      </c>
      <c r="E158" s="1224">
        <f t="shared" ref="E158:R158" si="51">SUM(E5)</f>
        <v>0</v>
      </c>
      <c r="F158" s="1224">
        <f t="shared" si="51"/>
        <v>0</v>
      </c>
      <c r="G158" s="1224">
        <f t="shared" si="51"/>
        <v>0</v>
      </c>
      <c r="H158" s="1224">
        <f t="shared" si="51"/>
        <v>0</v>
      </c>
      <c r="I158" s="1224">
        <f t="shared" si="51"/>
        <v>0</v>
      </c>
      <c r="J158" s="1224">
        <f t="shared" si="51"/>
        <v>0</v>
      </c>
      <c r="K158" s="1224">
        <f t="shared" si="51"/>
        <v>0</v>
      </c>
      <c r="L158" s="1224">
        <f t="shared" si="51"/>
        <v>0</v>
      </c>
      <c r="M158" s="1224">
        <f t="shared" si="51"/>
        <v>0</v>
      </c>
      <c r="N158" s="1224">
        <f t="shared" si="51"/>
        <v>0</v>
      </c>
      <c r="O158" s="1224">
        <f t="shared" si="51"/>
        <v>0</v>
      </c>
      <c r="P158" s="1224">
        <f t="shared" si="51"/>
        <v>0</v>
      </c>
      <c r="Q158" s="1224">
        <f t="shared" si="51"/>
        <v>0</v>
      </c>
      <c r="R158" s="1224">
        <f t="shared" si="51"/>
        <v>0</v>
      </c>
    </row>
    <row r="159" spans="2:18" ht="15" x14ac:dyDescent="0.2">
      <c r="B159" s="6211"/>
      <c r="C159" s="1034" t="s">
        <v>616</v>
      </c>
      <c r="E159" s="1225">
        <f t="shared" ref="E159:R159" si="52">E6*2</f>
        <v>256</v>
      </c>
      <c r="F159" s="1225">
        <f t="shared" si="52"/>
        <v>256</v>
      </c>
      <c r="G159" s="1225">
        <f t="shared" si="52"/>
        <v>250</v>
      </c>
      <c r="H159" s="1225">
        <f t="shared" si="52"/>
        <v>230</v>
      </c>
      <c r="I159" s="1225">
        <f t="shared" si="52"/>
        <v>170</v>
      </c>
      <c r="J159" s="1225">
        <f t="shared" si="52"/>
        <v>230</v>
      </c>
      <c r="K159" s="1225">
        <f t="shared" si="52"/>
        <v>262</v>
      </c>
      <c r="L159" s="1225">
        <f t="shared" si="52"/>
        <v>272</v>
      </c>
      <c r="M159" s="1225">
        <f t="shared" si="52"/>
        <v>262</v>
      </c>
      <c r="N159" s="1225">
        <f t="shared" si="52"/>
        <v>306</v>
      </c>
      <c r="O159" s="1225">
        <f t="shared" si="52"/>
        <v>388</v>
      </c>
      <c r="P159" s="1225">
        <f t="shared" si="52"/>
        <v>418</v>
      </c>
      <c r="Q159" s="1225">
        <f t="shared" si="52"/>
        <v>472</v>
      </c>
      <c r="R159" s="1225">
        <f t="shared" si="52"/>
        <v>462</v>
      </c>
    </row>
    <row r="160" spans="2:18" ht="15" x14ac:dyDescent="0.2">
      <c r="B160" s="6211"/>
      <c r="C160" s="1040" t="s">
        <v>617</v>
      </c>
      <c r="E160" s="1225">
        <f>E7*3</f>
        <v>96</v>
      </c>
      <c r="F160" s="1225">
        <v>105</v>
      </c>
      <c r="G160" s="1225">
        <v>81</v>
      </c>
      <c r="H160" s="1225">
        <v>105</v>
      </c>
      <c r="I160" s="1225">
        <v>135</v>
      </c>
      <c r="J160" s="1225">
        <v>126</v>
      </c>
      <c r="K160" s="1225">
        <v>120</v>
      </c>
      <c r="L160" s="1225">
        <v>126</v>
      </c>
      <c r="M160" s="1225">
        <v>99</v>
      </c>
      <c r="N160" s="1225">
        <v>105</v>
      </c>
      <c r="O160" s="1225">
        <v>108</v>
      </c>
      <c r="P160" s="1225">
        <v>108</v>
      </c>
      <c r="Q160" s="1225">
        <v>109</v>
      </c>
      <c r="R160" s="1225">
        <v>110</v>
      </c>
    </row>
    <row r="161" spans="2:18" ht="15" x14ac:dyDescent="0.2">
      <c r="B161" s="6212"/>
      <c r="C161" s="5089" t="s">
        <v>13</v>
      </c>
      <c r="E161" s="1226">
        <f>SUM(E158:E160)</f>
        <v>352</v>
      </c>
      <c r="F161" s="1226">
        <f t="shared" ref="F161:P161" si="53">SUM(F158:F160)</f>
        <v>361</v>
      </c>
      <c r="G161" s="1226">
        <f t="shared" si="53"/>
        <v>331</v>
      </c>
      <c r="H161" s="1226">
        <f t="shared" si="53"/>
        <v>335</v>
      </c>
      <c r="I161" s="1226">
        <f t="shared" si="53"/>
        <v>305</v>
      </c>
      <c r="J161" s="1226">
        <f t="shared" si="53"/>
        <v>356</v>
      </c>
      <c r="K161" s="1226">
        <f t="shared" si="53"/>
        <v>382</v>
      </c>
      <c r="L161" s="1226">
        <f t="shared" si="53"/>
        <v>398</v>
      </c>
      <c r="M161" s="1226">
        <f t="shared" si="53"/>
        <v>361</v>
      </c>
      <c r="N161" s="1226">
        <f t="shared" si="53"/>
        <v>411</v>
      </c>
      <c r="O161" s="1226">
        <f t="shared" si="53"/>
        <v>496</v>
      </c>
      <c r="P161" s="1226">
        <f t="shared" si="53"/>
        <v>526</v>
      </c>
      <c r="Q161" s="1226">
        <f>SUM(Q158:Q160)</f>
        <v>581</v>
      </c>
      <c r="R161" s="1226">
        <f>SUM(R158:R160)</f>
        <v>572</v>
      </c>
    </row>
    <row r="162" spans="2:18" ht="15" x14ac:dyDescent="0.2">
      <c r="B162" s="6213" t="s">
        <v>6</v>
      </c>
      <c r="C162" s="1029" t="s">
        <v>615</v>
      </c>
      <c r="E162" s="1225">
        <f t="shared" ref="E162:R162" si="54">+E9</f>
        <v>64</v>
      </c>
      <c r="F162" s="1225">
        <f t="shared" si="54"/>
        <v>67</v>
      </c>
      <c r="G162" s="1225">
        <f t="shared" si="54"/>
        <v>62</v>
      </c>
      <c r="H162" s="1225">
        <f t="shared" si="54"/>
        <v>70</v>
      </c>
      <c r="I162" s="1225">
        <f t="shared" si="54"/>
        <v>59</v>
      </c>
      <c r="J162" s="1225">
        <f t="shared" si="54"/>
        <v>48</v>
      </c>
      <c r="K162" s="1225">
        <f t="shared" si="54"/>
        <v>41</v>
      </c>
      <c r="L162" s="1225">
        <f t="shared" si="54"/>
        <v>52</v>
      </c>
      <c r="M162" s="1225">
        <f t="shared" si="54"/>
        <v>47</v>
      </c>
      <c r="N162" s="1225">
        <f t="shared" si="54"/>
        <v>47</v>
      </c>
      <c r="O162" s="1225">
        <f t="shared" si="54"/>
        <v>46</v>
      </c>
      <c r="P162" s="1225">
        <f t="shared" si="54"/>
        <v>49</v>
      </c>
      <c r="Q162" s="1225">
        <f t="shared" si="54"/>
        <v>49</v>
      </c>
      <c r="R162" s="1225">
        <f t="shared" si="54"/>
        <v>40</v>
      </c>
    </row>
    <row r="163" spans="2:18" ht="15" x14ac:dyDescent="0.2">
      <c r="B163" s="6211"/>
      <c r="C163" s="1034" t="s">
        <v>616</v>
      </c>
      <c r="E163" s="1225">
        <f t="shared" ref="E163:R163" si="55">E10*2</f>
        <v>138</v>
      </c>
      <c r="F163" s="1225">
        <f t="shared" si="55"/>
        <v>132</v>
      </c>
      <c r="G163" s="1225">
        <f t="shared" si="55"/>
        <v>124</v>
      </c>
      <c r="H163" s="1225">
        <f t="shared" si="55"/>
        <v>194</v>
      </c>
      <c r="I163" s="1225">
        <f t="shared" si="55"/>
        <v>166</v>
      </c>
      <c r="J163" s="1225">
        <f t="shared" si="55"/>
        <v>250</v>
      </c>
      <c r="K163" s="1225">
        <f t="shared" si="55"/>
        <v>164</v>
      </c>
      <c r="L163" s="1225">
        <f t="shared" si="55"/>
        <v>232</v>
      </c>
      <c r="M163" s="1225">
        <f t="shared" si="55"/>
        <v>190</v>
      </c>
      <c r="N163" s="1225">
        <f t="shared" si="55"/>
        <v>276</v>
      </c>
      <c r="O163" s="1225">
        <f t="shared" si="55"/>
        <v>294</v>
      </c>
      <c r="P163" s="1225">
        <f t="shared" si="55"/>
        <v>286</v>
      </c>
      <c r="Q163" s="1225">
        <f t="shared" si="55"/>
        <v>242</v>
      </c>
      <c r="R163" s="1225">
        <f t="shared" si="55"/>
        <v>392</v>
      </c>
    </row>
    <row r="164" spans="2:18" ht="15" x14ac:dyDescent="0.2">
      <c r="B164" s="6211"/>
      <c r="C164" s="1040" t="s">
        <v>617</v>
      </c>
      <c r="E164" s="1225">
        <f t="shared" ref="E164:R164" si="56">E11*3</f>
        <v>27</v>
      </c>
      <c r="F164" s="1225">
        <f t="shared" si="56"/>
        <v>51</v>
      </c>
      <c r="G164" s="1225">
        <f t="shared" si="56"/>
        <v>51</v>
      </c>
      <c r="H164" s="1225">
        <f t="shared" si="56"/>
        <v>183</v>
      </c>
      <c r="I164" s="1225">
        <f t="shared" si="56"/>
        <v>120</v>
      </c>
      <c r="J164" s="1225">
        <f t="shared" si="56"/>
        <v>117</v>
      </c>
      <c r="K164" s="1225">
        <f t="shared" si="56"/>
        <v>162</v>
      </c>
      <c r="L164" s="1225">
        <f t="shared" si="56"/>
        <v>135</v>
      </c>
      <c r="M164" s="1225">
        <f t="shared" si="56"/>
        <v>138</v>
      </c>
      <c r="N164" s="1225">
        <f t="shared" si="56"/>
        <v>162</v>
      </c>
      <c r="O164" s="1225">
        <f t="shared" si="56"/>
        <v>153</v>
      </c>
      <c r="P164" s="1225">
        <f t="shared" si="56"/>
        <v>150</v>
      </c>
      <c r="Q164" s="1225">
        <f t="shared" si="56"/>
        <v>201</v>
      </c>
      <c r="R164" s="1225">
        <f t="shared" si="56"/>
        <v>201</v>
      </c>
    </row>
    <row r="165" spans="2:18" ht="15" x14ac:dyDescent="0.2">
      <c r="B165" s="6212"/>
      <c r="C165" s="5089" t="s">
        <v>14</v>
      </c>
      <c r="E165" s="1226">
        <f>SUM(E162:E164)</f>
        <v>229</v>
      </c>
      <c r="F165" s="1226">
        <f t="shared" ref="F165:P165" si="57">SUM(F162:F164)</f>
        <v>250</v>
      </c>
      <c r="G165" s="1226">
        <f t="shared" si="57"/>
        <v>237</v>
      </c>
      <c r="H165" s="1226">
        <f t="shared" si="57"/>
        <v>447</v>
      </c>
      <c r="I165" s="1226">
        <f t="shared" si="57"/>
        <v>345</v>
      </c>
      <c r="J165" s="1226">
        <f t="shared" si="57"/>
        <v>415</v>
      </c>
      <c r="K165" s="1226">
        <f t="shared" si="57"/>
        <v>367</v>
      </c>
      <c r="L165" s="1226">
        <f t="shared" si="57"/>
        <v>419</v>
      </c>
      <c r="M165" s="1226">
        <f t="shared" si="57"/>
        <v>375</v>
      </c>
      <c r="N165" s="1226">
        <f t="shared" si="57"/>
        <v>485</v>
      </c>
      <c r="O165" s="1226">
        <f t="shared" si="57"/>
        <v>493</v>
      </c>
      <c r="P165" s="1226">
        <f t="shared" si="57"/>
        <v>485</v>
      </c>
      <c r="Q165" s="1226">
        <f>SUM(Q162:Q164)</f>
        <v>492</v>
      </c>
      <c r="R165" s="1226">
        <f>SUM(R162:R164)</f>
        <v>633</v>
      </c>
    </row>
    <row r="166" spans="2:18" ht="15" x14ac:dyDescent="0.2">
      <c r="B166" s="6213" t="s">
        <v>7</v>
      </c>
      <c r="C166" s="1029" t="s">
        <v>615</v>
      </c>
      <c r="E166" s="1225">
        <f t="shared" ref="E166:R166" si="58">+D13</f>
        <v>43</v>
      </c>
      <c r="F166" s="1225">
        <f t="shared" si="58"/>
        <v>37</v>
      </c>
      <c r="G166" s="1225">
        <f t="shared" si="58"/>
        <v>29</v>
      </c>
      <c r="H166" s="1225">
        <f t="shared" si="58"/>
        <v>34</v>
      </c>
      <c r="I166" s="1225">
        <f t="shared" si="58"/>
        <v>61</v>
      </c>
      <c r="J166" s="1225">
        <f t="shared" si="58"/>
        <v>64</v>
      </c>
      <c r="K166" s="1225">
        <f t="shared" si="58"/>
        <v>103</v>
      </c>
      <c r="L166" s="1225">
        <f t="shared" si="58"/>
        <v>102</v>
      </c>
      <c r="M166" s="1225">
        <f t="shared" si="58"/>
        <v>20</v>
      </c>
      <c r="N166" s="1225">
        <f t="shared" si="58"/>
        <v>95</v>
      </c>
      <c r="O166" s="1225">
        <f t="shared" si="58"/>
        <v>23</v>
      </c>
      <c r="P166" s="1225">
        <f t="shared" si="58"/>
        <v>70</v>
      </c>
      <c r="Q166" s="1225">
        <f t="shared" si="58"/>
        <v>24</v>
      </c>
      <c r="R166" s="1225">
        <f t="shared" si="58"/>
        <v>9</v>
      </c>
    </row>
    <row r="167" spans="2:18" ht="15" x14ac:dyDescent="0.2">
      <c r="B167" s="6211"/>
      <c r="C167" s="1034" t="s">
        <v>616</v>
      </c>
      <c r="E167" s="1225">
        <f t="shared" ref="E167:R167" si="59">D14*2</f>
        <v>90</v>
      </c>
      <c r="F167" s="1225">
        <f t="shared" si="59"/>
        <v>74</v>
      </c>
      <c r="G167" s="1225">
        <f t="shared" si="59"/>
        <v>96</v>
      </c>
      <c r="H167" s="1225">
        <f t="shared" si="59"/>
        <v>110</v>
      </c>
      <c r="I167" s="1225">
        <f t="shared" si="59"/>
        <v>102</v>
      </c>
      <c r="J167" s="1225">
        <f t="shared" si="59"/>
        <v>110</v>
      </c>
      <c r="K167" s="1225">
        <f t="shared" si="59"/>
        <v>94</v>
      </c>
      <c r="L167" s="1225">
        <f t="shared" si="59"/>
        <v>174</v>
      </c>
      <c r="M167" s="1225">
        <f t="shared" si="59"/>
        <v>216</v>
      </c>
      <c r="N167" s="1225">
        <f t="shared" si="59"/>
        <v>158</v>
      </c>
      <c r="O167" s="1225">
        <f t="shared" si="59"/>
        <v>204</v>
      </c>
      <c r="P167" s="1225">
        <f t="shared" si="59"/>
        <v>148</v>
      </c>
      <c r="Q167" s="1225">
        <f t="shared" si="59"/>
        <v>234</v>
      </c>
      <c r="R167" s="1225">
        <f t="shared" si="59"/>
        <v>244</v>
      </c>
    </row>
    <row r="168" spans="2:18" ht="15" x14ac:dyDescent="0.2">
      <c r="B168" s="6211"/>
      <c r="C168" s="1040" t="s">
        <v>617</v>
      </c>
      <c r="E168" s="1225">
        <f t="shared" ref="E168:R168" si="60">E15*3</f>
        <v>15</v>
      </c>
      <c r="F168" s="1225">
        <f t="shared" si="60"/>
        <v>24</v>
      </c>
      <c r="G168" s="1225">
        <f t="shared" si="60"/>
        <v>39</v>
      </c>
      <c r="H168" s="1225">
        <f t="shared" si="60"/>
        <v>60</v>
      </c>
      <c r="I168" s="1225">
        <f t="shared" si="60"/>
        <v>93</v>
      </c>
      <c r="J168" s="1225">
        <f t="shared" si="60"/>
        <v>102</v>
      </c>
      <c r="K168" s="1225">
        <f t="shared" si="60"/>
        <v>186</v>
      </c>
      <c r="L168" s="1225">
        <f t="shared" si="60"/>
        <v>168</v>
      </c>
      <c r="M168" s="1225">
        <f t="shared" si="60"/>
        <v>189</v>
      </c>
      <c r="N168" s="1225">
        <f t="shared" si="60"/>
        <v>165</v>
      </c>
      <c r="O168" s="1225">
        <f t="shared" si="60"/>
        <v>240</v>
      </c>
      <c r="P168" s="1225">
        <f t="shared" si="60"/>
        <v>213</v>
      </c>
      <c r="Q168" s="1225">
        <f t="shared" si="60"/>
        <v>213</v>
      </c>
      <c r="R168" s="1225">
        <f t="shared" si="60"/>
        <v>270</v>
      </c>
    </row>
    <row r="169" spans="2:18" ht="15" x14ac:dyDescent="0.2">
      <c r="B169" s="6212"/>
      <c r="C169" s="5089" t="s">
        <v>15</v>
      </c>
      <c r="E169" s="1226">
        <f>SUM(E166:E168)</f>
        <v>148</v>
      </c>
      <c r="F169" s="1226">
        <f t="shared" ref="F169:P169" si="61">SUM(F166:F168)</f>
        <v>135</v>
      </c>
      <c r="G169" s="1226">
        <f t="shared" si="61"/>
        <v>164</v>
      </c>
      <c r="H169" s="1226">
        <f t="shared" si="61"/>
        <v>204</v>
      </c>
      <c r="I169" s="1226">
        <f t="shared" si="61"/>
        <v>256</v>
      </c>
      <c r="J169" s="1226">
        <f t="shared" si="61"/>
        <v>276</v>
      </c>
      <c r="K169" s="1226">
        <f t="shared" si="61"/>
        <v>383</v>
      </c>
      <c r="L169" s="1226">
        <f t="shared" si="61"/>
        <v>444</v>
      </c>
      <c r="M169" s="1226">
        <f t="shared" si="61"/>
        <v>425</v>
      </c>
      <c r="N169" s="1226">
        <f t="shared" si="61"/>
        <v>418</v>
      </c>
      <c r="O169" s="1226">
        <f t="shared" si="61"/>
        <v>467</v>
      </c>
      <c r="P169" s="1226">
        <f t="shared" si="61"/>
        <v>431</v>
      </c>
      <c r="Q169" s="1226">
        <f>SUM(Q166:Q168)</f>
        <v>471</v>
      </c>
      <c r="R169" s="1226">
        <f>SUM(R166:R168)</f>
        <v>523</v>
      </c>
    </row>
    <row r="170" spans="2:18" ht="15" x14ac:dyDescent="0.2">
      <c r="B170" s="6338" t="s">
        <v>677</v>
      </c>
      <c r="C170" s="1029" t="s">
        <v>615</v>
      </c>
      <c r="E170" s="1225">
        <f>SUM(E158,E162,E166)</f>
        <v>107</v>
      </c>
      <c r="F170" s="1225">
        <f t="shared" ref="F170:P170" si="62">SUM(F158,F162,F166)</f>
        <v>104</v>
      </c>
      <c r="G170" s="1225">
        <f t="shared" si="62"/>
        <v>91</v>
      </c>
      <c r="H170" s="1225">
        <f t="shared" si="62"/>
        <v>104</v>
      </c>
      <c r="I170" s="1225">
        <f t="shared" si="62"/>
        <v>120</v>
      </c>
      <c r="J170" s="1225">
        <f t="shared" si="62"/>
        <v>112</v>
      </c>
      <c r="K170" s="1225">
        <f t="shared" si="62"/>
        <v>144</v>
      </c>
      <c r="L170" s="1225">
        <f t="shared" si="62"/>
        <v>154</v>
      </c>
      <c r="M170" s="1225">
        <f t="shared" si="62"/>
        <v>67</v>
      </c>
      <c r="N170" s="1225">
        <f t="shared" si="62"/>
        <v>142</v>
      </c>
      <c r="O170" s="1225">
        <f t="shared" si="62"/>
        <v>69</v>
      </c>
      <c r="P170" s="1225">
        <f t="shared" si="62"/>
        <v>119</v>
      </c>
      <c r="Q170" s="1225">
        <f t="shared" ref="Q170:R172" si="63">SUM(Q158,Q162,Q166)</f>
        <v>73</v>
      </c>
      <c r="R170" s="1225">
        <f t="shared" si="63"/>
        <v>49</v>
      </c>
    </row>
    <row r="171" spans="2:18" ht="15" x14ac:dyDescent="0.2">
      <c r="B171" s="6339"/>
      <c r="C171" s="1034" t="s">
        <v>616</v>
      </c>
      <c r="E171" s="1225">
        <f t="shared" ref="E171:P172" si="64">SUM(E159,E163,E167)</f>
        <v>484</v>
      </c>
      <c r="F171" s="1225">
        <f t="shared" si="64"/>
        <v>462</v>
      </c>
      <c r="G171" s="1225">
        <f t="shared" si="64"/>
        <v>470</v>
      </c>
      <c r="H171" s="1225">
        <f t="shared" si="64"/>
        <v>534</v>
      </c>
      <c r="I171" s="1225">
        <f t="shared" si="64"/>
        <v>438</v>
      </c>
      <c r="J171" s="1225">
        <f t="shared" si="64"/>
        <v>590</v>
      </c>
      <c r="K171" s="1225">
        <f t="shared" si="64"/>
        <v>520</v>
      </c>
      <c r="L171" s="1225">
        <f t="shared" si="64"/>
        <v>678</v>
      </c>
      <c r="M171" s="1225">
        <f t="shared" si="64"/>
        <v>668</v>
      </c>
      <c r="N171" s="1225">
        <f t="shared" si="64"/>
        <v>740</v>
      </c>
      <c r="O171" s="1225">
        <f t="shared" si="64"/>
        <v>886</v>
      </c>
      <c r="P171" s="1225">
        <f t="shared" si="64"/>
        <v>852</v>
      </c>
      <c r="Q171" s="1225">
        <f t="shared" si="63"/>
        <v>948</v>
      </c>
      <c r="R171" s="1225">
        <f t="shared" si="63"/>
        <v>1098</v>
      </c>
    </row>
    <row r="172" spans="2:18" ht="15" x14ac:dyDescent="0.2">
      <c r="B172" s="6339"/>
      <c r="C172" s="1040" t="s">
        <v>617</v>
      </c>
      <c r="E172" s="1225">
        <f t="shared" si="64"/>
        <v>138</v>
      </c>
      <c r="F172" s="1225">
        <f t="shared" si="64"/>
        <v>180</v>
      </c>
      <c r="G172" s="1225">
        <f t="shared" si="64"/>
        <v>171</v>
      </c>
      <c r="H172" s="1225">
        <f t="shared" si="64"/>
        <v>348</v>
      </c>
      <c r="I172" s="1225">
        <f t="shared" si="64"/>
        <v>348</v>
      </c>
      <c r="J172" s="1225">
        <f t="shared" si="64"/>
        <v>345</v>
      </c>
      <c r="K172" s="1225">
        <f t="shared" si="64"/>
        <v>468</v>
      </c>
      <c r="L172" s="1225">
        <f t="shared" si="64"/>
        <v>429</v>
      </c>
      <c r="M172" s="1225">
        <f t="shared" si="64"/>
        <v>426</v>
      </c>
      <c r="N172" s="1225">
        <f t="shared" si="64"/>
        <v>432</v>
      </c>
      <c r="O172" s="1225">
        <f t="shared" si="64"/>
        <v>501</v>
      </c>
      <c r="P172" s="1225">
        <f t="shared" si="64"/>
        <v>471</v>
      </c>
      <c r="Q172" s="1225">
        <f t="shared" si="63"/>
        <v>523</v>
      </c>
      <c r="R172" s="1225">
        <f t="shared" si="63"/>
        <v>581</v>
      </c>
    </row>
    <row r="173" spans="2:18" ht="15" x14ac:dyDescent="0.2">
      <c r="B173" s="6340"/>
      <c r="C173" s="5094" t="s">
        <v>12</v>
      </c>
      <c r="E173" s="2438">
        <f>SUM(E170:E172)</f>
        <v>729</v>
      </c>
      <c r="F173" s="2438">
        <f t="shared" ref="F173:P173" si="65">SUM(F170:F172)</f>
        <v>746</v>
      </c>
      <c r="G173" s="2438">
        <f t="shared" si="65"/>
        <v>732</v>
      </c>
      <c r="H173" s="2438">
        <f t="shared" si="65"/>
        <v>986</v>
      </c>
      <c r="I173" s="2438">
        <f t="shared" si="65"/>
        <v>906</v>
      </c>
      <c r="J173" s="2438">
        <f t="shared" si="65"/>
        <v>1047</v>
      </c>
      <c r="K173" s="2438">
        <f t="shared" si="65"/>
        <v>1132</v>
      </c>
      <c r="L173" s="2438">
        <f t="shared" si="65"/>
        <v>1261</v>
      </c>
      <c r="M173" s="2438">
        <f t="shared" si="65"/>
        <v>1161</v>
      </c>
      <c r="N173" s="2438">
        <f t="shared" si="65"/>
        <v>1314</v>
      </c>
      <c r="O173" s="2438">
        <f t="shared" si="65"/>
        <v>1456</v>
      </c>
      <c r="P173" s="2438">
        <f t="shared" si="65"/>
        <v>1442</v>
      </c>
      <c r="Q173" s="2438">
        <f>SUM(Q170:Q172)</f>
        <v>1544</v>
      </c>
      <c r="R173" s="2438">
        <f>SUM(R170:R172)</f>
        <v>1728</v>
      </c>
    </row>
    <row r="175" spans="2:18" ht="15" x14ac:dyDescent="0.2">
      <c r="B175" s="6218" t="s">
        <v>5</v>
      </c>
      <c r="C175" s="1029" t="s">
        <v>615</v>
      </c>
      <c r="E175" s="1224">
        <f t="shared" ref="E175:R175" si="66">+E22</f>
        <v>0</v>
      </c>
      <c r="F175" s="1224">
        <f t="shared" si="66"/>
        <v>0</v>
      </c>
      <c r="G175" s="1224">
        <f t="shared" si="66"/>
        <v>0</v>
      </c>
      <c r="H175" s="1224">
        <f t="shared" si="66"/>
        <v>0</v>
      </c>
      <c r="I175" s="1224">
        <f t="shared" si="66"/>
        <v>0</v>
      </c>
      <c r="J175" s="1224">
        <f t="shared" si="66"/>
        <v>0</v>
      </c>
      <c r="K175" s="1224">
        <f t="shared" si="66"/>
        <v>0</v>
      </c>
      <c r="L175" s="1224">
        <f t="shared" si="66"/>
        <v>0</v>
      </c>
      <c r="M175" s="1224">
        <f t="shared" si="66"/>
        <v>0</v>
      </c>
      <c r="N175" s="1224">
        <f t="shared" si="66"/>
        <v>0</v>
      </c>
      <c r="O175" s="1224">
        <f t="shared" si="66"/>
        <v>0</v>
      </c>
      <c r="P175" s="1224">
        <f t="shared" si="66"/>
        <v>0</v>
      </c>
      <c r="Q175" s="1224">
        <f t="shared" si="66"/>
        <v>2</v>
      </c>
      <c r="R175" s="1224">
        <f t="shared" si="66"/>
        <v>4</v>
      </c>
    </row>
    <row r="176" spans="2:18" ht="15" x14ac:dyDescent="0.2">
      <c r="B176" s="6219"/>
      <c r="C176" s="1034" t="s">
        <v>616</v>
      </c>
      <c r="E176" s="1225">
        <f t="shared" ref="E176:R176" si="67">E23*2</f>
        <v>198</v>
      </c>
      <c r="F176" s="1225">
        <f t="shared" si="67"/>
        <v>306</v>
      </c>
      <c r="G176" s="1225">
        <f t="shared" si="67"/>
        <v>358</v>
      </c>
      <c r="H176" s="1225">
        <f t="shared" si="67"/>
        <v>394</v>
      </c>
      <c r="I176" s="1225">
        <f t="shared" si="67"/>
        <v>438</v>
      </c>
      <c r="J176" s="1225">
        <f t="shared" si="67"/>
        <v>488</v>
      </c>
      <c r="K176" s="1225">
        <f t="shared" si="67"/>
        <v>440</v>
      </c>
      <c r="L176" s="1225">
        <f t="shared" si="67"/>
        <v>502</v>
      </c>
      <c r="M176" s="1225">
        <f t="shared" si="67"/>
        <v>690</v>
      </c>
      <c r="N176" s="1225">
        <f t="shared" si="67"/>
        <v>546</v>
      </c>
      <c r="O176" s="1225">
        <f t="shared" si="67"/>
        <v>540</v>
      </c>
      <c r="P176" s="1225">
        <f t="shared" si="67"/>
        <v>560</v>
      </c>
      <c r="Q176" s="1225">
        <f t="shared" si="67"/>
        <v>648</v>
      </c>
      <c r="R176" s="1225">
        <f t="shared" si="67"/>
        <v>648</v>
      </c>
    </row>
    <row r="177" spans="2:18" ht="15" x14ac:dyDescent="0.2">
      <c r="B177" s="6219"/>
      <c r="C177" s="1040" t="s">
        <v>617</v>
      </c>
      <c r="E177" s="1225">
        <f t="shared" ref="E177:R177" si="68">E24*3</f>
        <v>750</v>
      </c>
      <c r="F177" s="1225">
        <f t="shared" si="68"/>
        <v>744</v>
      </c>
      <c r="G177" s="1225">
        <f t="shared" si="68"/>
        <v>723</v>
      </c>
      <c r="H177" s="1225">
        <f t="shared" si="68"/>
        <v>705</v>
      </c>
      <c r="I177" s="1225">
        <f t="shared" si="68"/>
        <v>621</v>
      </c>
      <c r="J177" s="1225">
        <f t="shared" si="68"/>
        <v>591</v>
      </c>
      <c r="K177" s="1225">
        <f t="shared" si="68"/>
        <v>702</v>
      </c>
      <c r="L177" s="1225">
        <f t="shared" si="68"/>
        <v>738</v>
      </c>
      <c r="M177" s="1225">
        <f t="shared" si="68"/>
        <v>525</v>
      </c>
      <c r="N177" s="1225">
        <f t="shared" si="68"/>
        <v>849</v>
      </c>
      <c r="O177" s="1225">
        <f t="shared" si="68"/>
        <v>888</v>
      </c>
      <c r="P177" s="1225">
        <f t="shared" si="68"/>
        <v>864</v>
      </c>
      <c r="Q177" s="1225">
        <f t="shared" si="68"/>
        <v>807</v>
      </c>
      <c r="R177" s="1225">
        <f t="shared" si="68"/>
        <v>741</v>
      </c>
    </row>
    <row r="178" spans="2:18" ht="15" x14ac:dyDescent="0.2">
      <c r="B178" s="6219"/>
      <c r="C178" s="5089" t="s">
        <v>13</v>
      </c>
      <c r="E178" s="1226">
        <f t="shared" ref="E178:O178" si="69">SUM(E175:E177)</f>
        <v>948</v>
      </c>
      <c r="F178" s="1226">
        <f t="shared" si="69"/>
        <v>1050</v>
      </c>
      <c r="G178" s="1226">
        <f t="shared" si="69"/>
        <v>1081</v>
      </c>
      <c r="H178" s="1226">
        <f t="shared" si="69"/>
        <v>1099</v>
      </c>
      <c r="I178" s="1226">
        <f t="shared" si="69"/>
        <v>1059</v>
      </c>
      <c r="J178" s="1226">
        <f t="shared" si="69"/>
        <v>1079</v>
      </c>
      <c r="K178" s="1226">
        <f t="shared" si="69"/>
        <v>1142</v>
      </c>
      <c r="L178" s="1226">
        <f t="shared" si="69"/>
        <v>1240</v>
      </c>
      <c r="M178" s="1226">
        <f t="shared" si="69"/>
        <v>1215</v>
      </c>
      <c r="N178" s="1226">
        <f t="shared" si="69"/>
        <v>1395</v>
      </c>
      <c r="O178" s="1226">
        <f t="shared" si="69"/>
        <v>1428</v>
      </c>
      <c r="P178" s="1226">
        <f>SUM(P175:P177)</f>
        <v>1424</v>
      </c>
      <c r="Q178" s="1226">
        <f>SUM(Q175:Q177)</f>
        <v>1457</v>
      </c>
      <c r="R178" s="1226">
        <f>SUM(R175:R177)</f>
        <v>1393</v>
      </c>
    </row>
    <row r="179" spans="2:18" ht="15" x14ac:dyDescent="0.2">
      <c r="B179" s="6218" t="s">
        <v>6</v>
      </c>
      <c r="C179" s="1029" t="s">
        <v>615</v>
      </c>
      <c r="E179" s="1225">
        <f t="shared" ref="E179:R179" si="70">+E26</f>
        <v>114</v>
      </c>
      <c r="F179" s="1225">
        <f t="shared" si="70"/>
        <v>74</v>
      </c>
      <c r="G179" s="1225">
        <f t="shared" si="70"/>
        <v>86</v>
      </c>
      <c r="H179" s="1225">
        <f t="shared" si="70"/>
        <v>109</v>
      </c>
      <c r="I179" s="1225">
        <f t="shared" si="70"/>
        <v>101</v>
      </c>
      <c r="J179" s="1225">
        <f t="shared" si="70"/>
        <v>118</v>
      </c>
      <c r="K179" s="1225">
        <f t="shared" si="70"/>
        <v>169</v>
      </c>
      <c r="L179" s="1225">
        <f t="shared" si="70"/>
        <v>153</v>
      </c>
      <c r="M179" s="1225">
        <f t="shared" si="70"/>
        <v>83</v>
      </c>
      <c r="N179" s="1225">
        <f t="shared" si="70"/>
        <v>36</v>
      </c>
      <c r="O179" s="1225">
        <f t="shared" si="70"/>
        <v>44</v>
      </c>
      <c r="P179" s="1225">
        <f t="shared" si="70"/>
        <v>59</v>
      </c>
      <c r="Q179" s="1225">
        <f t="shared" si="70"/>
        <v>34</v>
      </c>
      <c r="R179" s="1225">
        <f t="shared" si="70"/>
        <v>61</v>
      </c>
    </row>
    <row r="180" spans="2:18" ht="15" x14ac:dyDescent="0.2">
      <c r="B180" s="6219"/>
      <c r="C180" s="1034" t="s">
        <v>616</v>
      </c>
      <c r="E180" s="1225">
        <f t="shared" ref="E180:R180" si="71">E27*2</f>
        <v>250</v>
      </c>
      <c r="F180" s="1225">
        <f t="shared" si="71"/>
        <v>324</v>
      </c>
      <c r="G180" s="1225">
        <f t="shared" si="71"/>
        <v>312</v>
      </c>
      <c r="H180" s="1225">
        <f t="shared" si="71"/>
        <v>378</v>
      </c>
      <c r="I180" s="1225">
        <f t="shared" si="71"/>
        <v>602</v>
      </c>
      <c r="J180" s="1225">
        <f t="shared" si="71"/>
        <v>566</v>
      </c>
      <c r="K180" s="1225">
        <f t="shared" si="71"/>
        <v>644</v>
      </c>
      <c r="L180" s="1225">
        <f t="shared" si="71"/>
        <v>548</v>
      </c>
      <c r="M180" s="1225">
        <f t="shared" si="71"/>
        <v>538</v>
      </c>
      <c r="N180" s="1225">
        <f t="shared" si="71"/>
        <v>416</v>
      </c>
      <c r="O180" s="1225">
        <f t="shared" si="71"/>
        <v>476</v>
      </c>
      <c r="P180" s="1225">
        <f t="shared" si="71"/>
        <v>382</v>
      </c>
      <c r="Q180" s="1225">
        <f t="shared" si="71"/>
        <v>428</v>
      </c>
      <c r="R180" s="1225">
        <f t="shared" si="71"/>
        <v>378</v>
      </c>
    </row>
    <row r="181" spans="2:18" ht="15" x14ac:dyDescent="0.2">
      <c r="B181" s="6219"/>
      <c r="C181" s="1040" t="s">
        <v>617</v>
      </c>
      <c r="E181" s="1225">
        <f t="shared" ref="E181:R181" si="72">E28*3</f>
        <v>837</v>
      </c>
      <c r="F181" s="1225">
        <f t="shared" si="72"/>
        <v>744</v>
      </c>
      <c r="G181" s="1225">
        <f t="shared" si="72"/>
        <v>672</v>
      </c>
      <c r="H181" s="1225">
        <f t="shared" si="72"/>
        <v>636</v>
      </c>
      <c r="I181" s="1225">
        <f t="shared" si="72"/>
        <v>741</v>
      </c>
      <c r="J181" s="1225">
        <f t="shared" si="72"/>
        <v>852</v>
      </c>
      <c r="K181" s="1225">
        <f t="shared" si="72"/>
        <v>1125</v>
      </c>
      <c r="L181" s="1225">
        <f t="shared" si="72"/>
        <v>1194</v>
      </c>
      <c r="M181" s="1225">
        <f t="shared" si="72"/>
        <v>1251</v>
      </c>
      <c r="N181" s="1225">
        <f t="shared" si="72"/>
        <v>1215</v>
      </c>
      <c r="O181" s="1225">
        <f t="shared" si="72"/>
        <v>1296</v>
      </c>
      <c r="P181" s="1225">
        <f t="shared" si="72"/>
        <v>1170</v>
      </c>
      <c r="Q181" s="1225">
        <f t="shared" si="72"/>
        <v>1278</v>
      </c>
      <c r="R181" s="1225">
        <f t="shared" si="72"/>
        <v>1083</v>
      </c>
    </row>
    <row r="182" spans="2:18" ht="15" x14ac:dyDescent="0.2">
      <c r="B182" s="6219"/>
      <c r="C182" s="5089" t="s">
        <v>14</v>
      </c>
      <c r="E182" s="1226">
        <f t="shared" ref="E182:O182" si="73">SUM(E179:E181)</f>
        <v>1201</v>
      </c>
      <c r="F182" s="1226">
        <f t="shared" si="73"/>
        <v>1142</v>
      </c>
      <c r="G182" s="1226">
        <f t="shared" si="73"/>
        <v>1070</v>
      </c>
      <c r="H182" s="1226">
        <f t="shared" si="73"/>
        <v>1123</v>
      </c>
      <c r="I182" s="1226">
        <f t="shared" si="73"/>
        <v>1444</v>
      </c>
      <c r="J182" s="1226">
        <f t="shared" si="73"/>
        <v>1536</v>
      </c>
      <c r="K182" s="1226">
        <f t="shared" si="73"/>
        <v>1938</v>
      </c>
      <c r="L182" s="1226">
        <f t="shared" si="73"/>
        <v>1895</v>
      </c>
      <c r="M182" s="1226">
        <f t="shared" si="73"/>
        <v>1872</v>
      </c>
      <c r="N182" s="1226">
        <f t="shared" si="73"/>
        <v>1667</v>
      </c>
      <c r="O182" s="1226">
        <f t="shared" si="73"/>
        <v>1816</v>
      </c>
      <c r="P182" s="1226">
        <f>SUM(P179:P181)</f>
        <v>1611</v>
      </c>
      <c r="Q182" s="1226">
        <f>SUM(Q179:Q181)</f>
        <v>1740</v>
      </c>
      <c r="R182" s="1226">
        <f>SUM(R179:R181)</f>
        <v>1522</v>
      </c>
    </row>
    <row r="183" spans="2:18" ht="15" x14ac:dyDescent="0.2">
      <c r="B183" s="6218" t="s">
        <v>11</v>
      </c>
      <c r="C183" s="1029" t="s">
        <v>615</v>
      </c>
      <c r="E183" s="1225">
        <f t="shared" ref="E183:R183" si="74">+E30</f>
        <v>50</v>
      </c>
      <c r="F183" s="1225">
        <f t="shared" si="74"/>
        <v>51</v>
      </c>
      <c r="G183" s="1225">
        <f t="shared" si="74"/>
        <v>54</v>
      </c>
      <c r="H183" s="1225">
        <f t="shared" si="74"/>
        <v>67</v>
      </c>
      <c r="I183" s="1225">
        <f t="shared" si="74"/>
        <v>61</v>
      </c>
      <c r="J183" s="1225">
        <f t="shared" si="74"/>
        <v>63</v>
      </c>
      <c r="K183" s="1225">
        <f t="shared" si="74"/>
        <v>63</v>
      </c>
      <c r="L183" s="1225">
        <f t="shared" si="74"/>
        <v>66</v>
      </c>
      <c r="M183" s="1225">
        <f t="shared" si="74"/>
        <v>65</v>
      </c>
      <c r="N183" s="1225">
        <f t="shared" si="74"/>
        <v>63</v>
      </c>
      <c r="O183" s="1225">
        <f t="shared" si="74"/>
        <v>55</v>
      </c>
      <c r="P183" s="1225">
        <f t="shared" si="74"/>
        <v>51</v>
      </c>
      <c r="Q183" s="1225">
        <f t="shared" si="74"/>
        <v>43</v>
      </c>
      <c r="R183" s="1225">
        <f t="shared" si="74"/>
        <v>37</v>
      </c>
    </row>
    <row r="184" spans="2:18" ht="15" x14ac:dyDescent="0.2">
      <c r="B184" s="6219"/>
      <c r="C184" s="1034" t="s">
        <v>616</v>
      </c>
      <c r="E184" s="1225">
        <f t="shared" ref="E184:R184" si="75">E31*2</f>
        <v>236</v>
      </c>
      <c r="F184" s="1225">
        <f t="shared" si="75"/>
        <v>204</v>
      </c>
      <c r="G184" s="1225">
        <f t="shared" si="75"/>
        <v>206</v>
      </c>
      <c r="H184" s="1225">
        <f t="shared" si="75"/>
        <v>274</v>
      </c>
      <c r="I184" s="1225">
        <f t="shared" si="75"/>
        <v>316</v>
      </c>
      <c r="J184" s="1225">
        <f t="shared" si="75"/>
        <v>390</v>
      </c>
      <c r="K184" s="1225">
        <f t="shared" si="75"/>
        <v>362</v>
      </c>
      <c r="L184" s="1225">
        <f t="shared" si="75"/>
        <v>396</v>
      </c>
      <c r="M184" s="1225">
        <f t="shared" si="75"/>
        <v>418</v>
      </c>
      <c r="N184" s="1225">
        <f t="shared" si="75"/>
        <v>466</v>
      </c>
      <c r="O184" s="1225">
        <f t="shared" si="75"/>
        <v>498</v>
      </c>
      <c r="P184" s="1225">
        <f t="shared" si="75"/>
        <v>482</v>
      </c>
      <c r="Q184" s="1225">
        <f t="shared" si="75"/>
        <v>450</v>
      </c>
      <c r="R184" s="1225">
        <f t="shared" si="75"/>
        <v>388</v>
      </c>
    </row>
    <row r="185" spans="2:18" ht="15" x14ac:dyDescent="0.2">
      <c r="B185" s="6219"/>
      <c r="C185" s="1040" t="s">
        <v>617</v>
      </c>
      <c r="E185" s="1225">
        <f t="shared" ref="E185:R185" si="76">E32*3</f>
        <v>522</v>
      </c>
      <c r="F185" s="1225">
        <f t="shared" si="76"/>
        <v>525</v>
      </c>
      <c r="G185" s="1225">
        <f t="shared" si="76"/>
        <v>501</v>
      </c>
      <c r="H185" s="1225">
        <f t="shared" si="76"/>
        <v>504</v>
      </c>
      <c r="I185" s="1225">
        <f t="shared" si="76"/>
        <v>495</v>
      </c>
      <c r="J185" s="1225">
        <f t="shared" si="76"/>
        <v>537</v>
      </c>
      <c r="K185" s="1225">
        <f t="shared" si="76"/>
        <v>651</v>
      </c>
      <c r="L185" s="1225">
        <f t="shared" si="76"/>
        <v>705</v>
      </c>
      <c r="M185" s="1225">
        <f t="shared" si="76"/>
        <v>789</v>
      </c>
      <c r="N185" s="1225">
        <f t="shared" si="76"/>
        <v>816</v>
      </c>
      <c r="O185" s="1225">
        <f t="shared" si="76"/>
        <v>873</v>
      </c>
      <c r="P185" s="1225">
        <f t="shared" si="76"/>
        <v>906</v>
      </c>
      <c r="Q185" s="1225">
        <f t="shared" si="76"/>
        <v>888</v>
      </c>
      <c r="R185" s="1225">
        <f t="shared" si="76"/>
        <v>900</v>
      </c>
    </row>
    <row r="186" spans="2:18" ht="15" x14ac:dyDescent="0.2">
      <c r="B186" s="6219"/>
      <c r="C186" s="5089" t="s">
        <v>30</v>
      </c>
      <c r="E186" s="1226">
        <f t="shared" ref="E186:O186" si="77">SUM(E183:E185)</f>
        <v>808</v>
      </c>
      <c r="F186" s="1226">
        <f t="shared" si="77"/>
        <v>780</v>
      </c>
      <c r="G186" s="1226">
        <f t="shared" si="77"/>
        <v>761</v>
      </c>
      <c r="H186" s="1226">
        <f t="shared" si="77"/>
        <v>845</v>
      </c>
      <c r="I186" s="1226">
        <f t="shared" si="77"/>
        <v>872</v>
      </c>
      <c r="J186" s="1226">
        <f t="shared" si="77"/>
        <v>990</v>
      </c>
      <c r="K186" s="1226">
        <f t="shared" si="77"/>
        <v>1076</v>
      </c>
      <c r="L186" s="1226">
        <f t="shared" si="77"/>
        <v>1167</v>
      </c>
      <c r="M186" s="1226">
        <f t="shared" si="77"/>
        <v>1272</v>
      </c>
      <c r="N186" s="1226">
        <f t="shared" si="77"/>
        <v>1345</v>
      </c>
      <c r="O186" s="1226">
        <f t="shared" si="77"/>
        <v>1426</v>
      </c>
      <c r="P186" s="1226">
        <f>SUM(P183:P185)</f>
        <v>1439</v>
      </c>
      <c r="Q186" s="1226">
        <f>SUM(Q183:Q185)</f>
        <v>1381</v>
      </c>
      <c r="R186" s="1226">
        <f>SUM(R183:R185)</f>
        <v>1325</v>
      </c>
    </row>
    <row r="187" spans="2:18" ht="15" x14ac:dyDescent="0.2">
      <c r="B187" s="6342" t="s">
        <v>679</v>
      </c>
      <c r="C187" s="1029" t="s">
        <v>615</v>
      </c>
      <c r="E187" s="1225">
        <f t="shared" ref="E187:O187" si="78">SUM(E175,E179,E183)</f>
        <v>164</v>
      </c>
      <c r="F187" s="1225">
        <f t="shared" si="78"/>
        <v>125</v>
      </c>
      <c r="G187" s="1225">
        <f t="shared" si="78"/>
        <v>140</v>
      </c>
      <c r="H187" s="1225">
        <f t="shared" si="78"/>
        <v>176</v>
      </c>
      <c r="I187" s="1225">
        <f t="shared" si="78"/>
        <v>162</v>
      </c>
      <c r="J187" s="1225">
        <f t="shared" si="78"/>
        <v>181</v>
      </c>
      <c r="K187" s="1225">
        <f t="shared" si="78"/>
        <v>232</v>
      </c>
      <c r="L187" s="1225">
        <f t="shared" si="78"/>
        <v>219</v>
      </c>
      <c r="M187" s="1225">
        <f t="shared" si="78"/>
        <v>148</v>
      </c>
      <c r="N187" s="1225">
        <f t="shared" si="78"/>
        <v>99</v>
      </c>
      <c r="O187" s="1225">
        <f t="shared" si="78"/>
        <v>99</v>
      </c>
      <c r="P187" s="1225">
        <f t="shared" ref="P187:R189" si="79">SUM(P175,P179,P183)</f>
        <v>110</v>
      </c>
      <c r="Q187" s="1225">
        <f t="shared" si="79"/>
        <v>79</v>
      </c>
      <c r="R187" s="1225">
        <f t="shared" si="79"/>
        <v>102</v>
      </c>
    </row>
    <row r="188" spans="2:18" ht="15" x14ac:dyDescent="0.2">
      <c r="B188" s="6343"/>
      <c r="C188" s="1034" t="s">
        <v>616</v>
      </c>
      <c r="E188" s="1225">
        <f t="shared" ref="E188:O188" si="80">SUM(E176,E180,E184)</f>
        <v>684</v>
      </c>
      <c r="F188" s="1225">
        <f t="shared" si="80"/>
        <v>834</v>
      </c>
      <c r="G188" s="1225">
        <f t="shared" si="80"/>
        <v>876</v>
      </c>
      <c r="H188" s="1225">
        <f t="shared" si="80"/>
        <v>1046</v>
      </c>
      <c r="I188" s="1225">
        <f t="shared" si="80"/>
        <v>1356</v>
      </c>
      <c r="J188" s="1225">
        <f t="shared" si="80"/>
        <v>1444</v>
      </c>
      <c r="K188" s="1225">
        <f t="shared" si="80"/>
        <v>1446</v>
      </c>
      <c r="L188" s="1225">
        <f t="shared" si="80"/>
        <v>1446</v>
      </c>
      <c r="M188" s="1225">
        <f t="shared" si="80"/>
        <v>1646</v>
      </c>
      <c r="N188" s="1225">
        <f t="shared" si="80"/>
        <v>1428</v>
      </c>
      <c r="O188" s="1225">
        <f t="shared" si="80"/>
        <v>1514</v>
      </c>
      <c r="P188" s="1225">
        <f t="shared" si="79"/>
        <v>1424</v>
      </c>
      <c r="Q188" s="1225">
        <f t="shared" si="79"/>
        <v>1526</v>
      </c>
      <c r="R188" s="1225">
        <f t="shared" si="79"/>
        <v>1414</v>
      </c>
    </row>
    <row r="189" spans="2:18" ht="15" x14ac:dyDescent="0.2">
      <c r="B189" s="6343"/>
      <c r="C189" s="1040" t="s">
        <v>617</v>
      </c>
      <c r="E189" s="1225">
        <f t="shared" ref="E189:O189" si="81">SUM(E177,E181,E185)</f>
        <v>2109</v>
      </c>
      <c r="F189" s="1225">
        <f t="shared" si="81"/>
        <v>2013</v>
      </c>
      <c r="G189" s="1225">
        <f t="shared" si="81"/>
        <v>1896</v>
      </c>
      <c r="H189" s="1225">
        <f t="shared" si="81"/>
        <v>1845</v>
      </c>
      <c r="I189" s="1225">
        <f t="shared" si="81"/>
        <v>1857</v>
      </c>
      <c r="J189" s="1225">
        <f t="shared" si="81"/>
        <v>1980</v>
      </c>
      <c r="K189" s="1225">
        <f t="shared" si="81"/>
        <v>2478</v>
      </c>
      <c r="L189" s="1225">
        <f t="shared" si="81"/>
        <v>2637</v>
      </c>
      <c r="M189" s="1225">
        <f t="shared" si="81"/>
        <v>2565</v>
      </c>
      <c r="N189" s="1225">
        <f t="shared" si="81"/>
        <v>2880</v>
      </c>
      <c r="O189" s="1225">
        <f t="shared" si="81"/>
        <v>3057</v>
      </c>
      <c r="P189" s="1225">
        <f t="shared" si="79"/>
        <v>2940</v>
      </c>
      <c r="Q189" s="1225">
        <f t="shared" si="79"/>
        <v>2973</v>
      </c>
      <c r="R189" s="1225">
        <f t="shared" si="79"/>
        <v>2724</v>
      </c>
    </row>
    <row r="190" spans="2:18" ht="15" x14ac:dyDescent="0.2">
      <c r="B190" s="6344"/>
      <c r="C190" s="5095" t="s">
        <v>12</v>
      </c>
      <c r="E190" s="2437">
        <f t="shared" ref="E190:O190" si="82">SUM(E187:E189)</f>
        <v>2957</v>
      </c>
      <c r="F190" s="2437">
        <f t="shared" si="82"/>
        <v>2972</v>
      </c>
      <c r="G190" s="2437">
        <f t="shared" si="82"/>
        <v>2912</v>
      </c>
      <c r="H190" s="2437">
        <f t="shared" si="82"/>
        <v>3067</v>
      </c>
      <c r="I190" s="2437">
        <f t="shared" si="82"/>
        <v>3375</v>
      </c>
      <c r="J190" s="2437">
        <f t="shared" si="82"/>
        <v>3605</v>
      </c>
      <c r="K190" s="2437">
        <f t="shared" si="82"/>
        <v>4156</v>
      </c>
      <c r="L190" s="2437">
        <f t="shared" si="82"/>
        <v>4302</v>
      </c>
      <c r="M190" s="2437">
        <f t="shared" si="82"/>
        <v>4359</v>
      </c>
      <c r="N190" s="2437">
        <f t="shared" si="82"/>
        <v>4407</v>
      </c>
      <c r="O190" s="2437">
        <f t="shared" si="82"/>
        <v>4670</v>
      </c>
      <c r="P190" s="2437">
        <f>SUM(P187:P189)</f>
        <v>4474</v>
      </c>
      <c r="Q190" s="2437">
        <f>SUM(Q187:Q189)</f>
        <v>4578</v>
      </c>
      <c r="R190" s="2437">
        <f>SUM(R187:R189)</f>
        <v>4240</v>
      </c>
    </row>
    <row r="192" spans="2:18" ht="15" x14ac:dyDescent="0.2">
      <c r="B192" s="6223" t="s">
        <v>6</v>
      </c>
      <c r="C192" s="1029" t="s">
        <v>615</v>
      </c>
      <c r="E192" s="1224">
        <f t="shared" ref="E192:R192" si="83">+E39</f>
        <v>6</v>
      </c>
      <c r="F192" s="1224">
        <f t="shared" si="83"/>
        <v>4</v>
      </c>
      <c r="G192" s="1224">
        <f t="shared" si="83"/>
        <v>5</v>
      </c>
      <c r="H192" s="1224">
        <f t="shared" si="83"/>
        <v>21</v>
      </c>
      <c r="I192" s="1224">
        <f t="shared" si="83"/>
        <v>25</v>
      </c>
      <c r="J192" s="1224">
        <f t="shared" si="83"/>
        <v>22</v>
      </c>
      <c r="K192" s="1224">
        <f t="shared" si="83"/>
        <v>19</v>
      </c>
      <c r="L192" s="1224">
        <f t="shared" si="83"/>
        <v>36</v>
      </c>
      <c r="M192" s="1224">
        <f t="shared" si="83"/>
        <v>39</v>
      </c>
      <c r="N192" s="1224">
        <f t="shared" si="83"/>
        <v>34</v>
      </c>
      <c r="O192" s="1224">
        <f t="shared" si="83"/>
        <v>2</v>
      </c>
      <c r="P192" s="1224">
        <f t="shared" si="83"/>
        <v>0</v>
      </c>
      <c r="Q192" s="1224">
        <f t="shared" si="83"/>
        <v>0</v>
      </c>
      <c r="R192" s="1224">
        <f t="shared" si="83"/>
        <v>30</v>
      </c>
    </row>
    <row r="193" spans="2:18" ht="15" x14ac:dyDescent="0.2">
      <c r="B193" s="6224"/>
      <c r="C193" s="1034" t="s">
        <v>616</v>
      </c>
      <c r="E193" s="1225">
        <f t="shared" ref="E193:R193" si="84">E40*2</f>
        <v>550</v>
      </c>
      <c r="F193" s="1225">
        <f t="shared" si="84"/>
        <v>384</v>
      </c>
      <c r="G193" s="1225">
        <f t="shared" si="84"/>
        <v>534</v>
      </c>
      <c r="H193" s="1225">
        <f t="shared" si="84"/>
        <v>400</v>
      </c>
      <c r="I193" s="1225">
        <f t="shared" si="84"/>
        <v>542</v>
      </c>
      <c r="J193" s="1225">
        <f t="shared" si="84"/>
        <v>488</v>
      </c>
      <c r="K193" s="1225">
        <f t="shared" si="84"/>
        <v>594</v>
      </c>
      <c r="L193" s="1225">
        <f t="shared" si="84"/>
        <v>364</v>
      </c>
      <c r="M193" s="1225">
        <f t="shared" si="84"/>
        <v>570</v>
      </c>
      <c r="N193" s="1225">
        <f t="shared" si="84"/>
        <v>426</v>
      </c>
      <c r="O193" s="1225">
        <f t="shared" si="84"/>
        <v>608</v>
      </c>
      <c r="P193" s="1225">
        <f t="shared" si="84"/>
        <v>444</v>
      </c>
      <c r="Q193" s="1225">
        <f t="shared" si="84"/>
        <v>628</v>
      </c>
      <c r="R193" s="1225">
        <f t="shared" si="84"/>
        <v>414</v>
      </c>
    </row>
    <row r="194" spans="2:18" ht="15" x14ac:dyDescent="0.2">
      <c r="B194" s="6224"/>
      <c r="C194" s="1040" t="s">
        <v>617</v>
      </c>
      <c r="E194" s="1225">
        <f t="shared" ref="E194:R194" si="85">E41*3</f>
        <v>300</v>
      </c>
      <c r="F194" s="1225">
        <f t="shared" si="85"/>
        <v>408</v>
      </c>
      <c r="G194" s="1225">
        <f t="shared" si="85"/>
        <v>354</v>
      </c>
      <c r="H194" s="1225">
        <f t="shared" si="85"/>
        <v>561</v>
      </c>
      <c r="I194" s="1225">
        <f t="shared" si="85"/>
        <v>468</v>
      </c>
      <c r="J194" s="1225">
        <f t="shared" si="85"/>
        <v>606</v>
      </c>
      <c r="K194" s="1225">
        <f t="shared" si="85"/>
        <v>513</v>
      </c>
      <c r="L194" s="1225">
        <f t="shared" si="85"/>
        <v>633</v>
      </c>
      <c r="M194" s="1225">
        <f t="shared" si="85"/>
        <v>429</v>
      </c>
      <c r="N194" s="1225">
        <f t="shared" si="85"/>
        <v>534</v>
      </c>
      <c r="O194" s="1225">
        <f t="shared" si="85"/>
        <v>444</v>
      </c>
      <c r="P194" s="1225">
        <f t="shared" si="85"/>
        <v>549</v>
      </c>
      <c r="Q194" s="1225">
        <f t="shared" si="85"/>
        <v>462</v>
      </c>
      <c r="R194" s="1225">
        <f t="shared" si="85"/>
        <v>651</v>
      </c>
    </row>
    <row r="195" spans="2:18" ht="15" x14ac:dyDescent="0.2">
      <c r="B195" s="6224"/>
      <c r="C195" s="5089" t="s">
        <v>14</v>
      </c>
      <c r="E195" s="1226">
        <f t="shared" ref="E195:O195" si="86">SUM(E192:E194)</f>
        <v>856</v>
      </c>
      <c r="F195" s="1226">
        <f t="shared" si="86"/>
        <v>796</v>
      </c>
      <c r="G195" s="1226">
        <f t="shared" si="86"/>
        <v>893</v>
      </c>
      <c r="H195" s="1226">
        <f t="shared" si="86"/>
        <v>982</v>
      </c>
      <c r="I195" s="1226">
        <f t="shared" si="86"/>
        <v>1035</v>
      </c>
      <c r="J195" s="1226">
        <f t="shared" si="86"/>
        <v>1116</v>
      </c>
      <c r="K195" s="1226">
        <f t="shared" si="86"/>
        <v>1126</v>
      </c>
      <c r="L195" s="1226">
        <f t="shared" si="86"/>
        <v>1033</v>
      </c>
      <c r="M195" s="1226">
        <f t="shared" si="86"/>
        <v>1038</v>
      </c>
      <c r="N195" s="1226">
        <f t="shared" si="86"/>
        <v>994</v>
      </c>
      <c r="O195" s="1226">
        <f t="shared" si="86"/>
        <v>1054</v>
      </c>
      <c r="P195" s="1226">
        <f>SUM(P192:P194)</f>
        <v>993</v>
      </c>
      <c r="Q195" s="1226">
        <f>SUM(Q192:Q194)</f>
        <v>1090</v>
      </c>
      <c r="R195" s="1226">
        <f>SUM(R192:R194)</f>
        <v>1095</v>
      </c>
    </row>
    <row r="196" spans="2:18" ht="15" x14ac:dyDescent="0.2">
      <c r="B196" s="6223" t="s">
        <v>11</v>
      </c>
      <c r="C196" s="1029" t="s">
        <v>615</v>
      </c>
      <c r="E196" s="1225">
        <f t="shared" ref="E196:R196" si="87">+E43</f>
        <v>11</v>
      </c>
      <c r="F196" s="1225">
        <f t="shared" si="87"/>
        <v>0</v>
      </c>
      <c r="G196" s="1225">
        <f t="shared" si="87"/>
        <v>13</v>
      </c>
      <c r="H196" s="1225">
        <f t="shared" si="87"/>
        <v>8</v>
      </c>
      <c r="I196" s="1225">
        <f t="shared" si="87"/>
        <v>12</v>
      </c>
      <c r="J196" s="1225">
        <f t="shared" si="87"/>
        <v>11</v>
      </c>
      <c r="K196" s="1225">
        <f t="shared" si="87"/>
        <v>0</v>
      </c>
      <c r="L196" s="1225">
        <f t="shared" si="87"/>
        <v>36</v>
      </c>
      <c r="M196" s="1225">
        <f t="shared" si="87"/>
        <v>17</v>
      </c>
      <c r="N196" s="1225">
        <f t="shared" si="87"/>
        <v>13</v>
      </c>
      <c r="O196" s="1225">
        <f t="shared" si="87"/>
        <v>0</v>
      </c>
      <c r="P196" s="1225">
        <f t="shared" si="87"/>
        <v>0</v>
      </c>
      <c r="Q196" s="1225">
        <f t="shared" si="87"/>
        <v>0</v>
      </c>
      <c r="R196" s="1225">
        <f t="shared" si="87"/>
        <v>0</v>
      </c>
    </row>
    <row r="197" spans="2:18" ht="15" x14ac:dyDescent="0.2">
      <c r="B197" s="6224"/>
      <c r="C197" s="1034" t="s">
        <v>616</v>
      </c>
      <c r="E197" s="1225">
        <f t="shared" ref="E197:R197" si="88">E44*2</f>
        <v>188</v>
      </c>
      <c r="F197" s="1225">
        <f t="shared" si="88"/>
        <v>308</v>
      </c>
      <c r="G197" s="1225">
        <f t="shared" si="88"/>
        <v>310</v>
      </c>
      <c r="H197" s="1225">
        <f t="shared" si="88"/>
        <v>360</v>
      </c>
      <c r="I197" s="1225">
        <f t="shared" si="88"/>
        <v>340</v>
      </c>
      <c r="J197" s="1225">
        <f t="shared" si="88"/>
        <v>390</v>
      </c>
      <c r="K197" s="1225">
        <f t="shared" si="88"/>
        <v>400</v>
      </c>
      <c r="L197" s="1225">
        <f t="shared" si="88"/>
        <v>386</v>
      </c>
      <c r="M197" s="1225">
        <f t="shared" si="88"/>
        <v>386</v>
      </c>
      <c r="N197" s="1225">
        <f t="shared" si="88"/>
        <v>484</v>
      </c>
      <c r="O197" s="1225">
        <f t="shared" si="88"/>
        <v>424</v>
      </c>
      <c r="P197" s="1225">
        <f t="shared" si="88"/>
        <v>516</v>
      </c>
      <c r="Q197" s="1225">
        <f t="shared" si="88"/>
        <v>510</v>
      </c>
      <c r="R197" s="1225">
        <f t="shared" si="88"/>
        <v>518</v>
      </c>
    </row>
    <row r="198" spans="2:18" ht="15" x14ac:dyDescent="0.2">
      <c r="B198" s="6224"/>
      <c r="C198" s="1040" t="s">
        <v>617</v>
      </c>
      <c r="E198" s="1225">
        <f t="shared" ref="E198:R198" si="89">E45*3</f>
        <v>195</v>
      </c>
      <c r="F198" s="1225">
        <f t="shared" si="89"/>
        <v>216</v>
      </c>
      <c r="G198" s="1225">
        <f t="shared" si="89"/>
        <v>243</v>
      </c>
      <c r="H198" s="1225">
        <f t="shared" si="89"/>
        <v>294</v>
      </c>
      <c r="I198" s="1225">
        <f t="shared" si="89"/>
        <v>267</v>
      </c>
      <c r="J198" s="1225">
        <f t="shared" si="89"/>
        <v>312</v>
      </c>
      <c r="K198" s="1225">
        <f t="shared" si="89"/>
        <v>330</v>
      </c>
      <c r="L198" s="1225">
        <f t="shared" si="89"/>
        <v>312</v>
      </c>
      <c r="M198" s="1225">
        <f t="shared" si="89"/>
        <v>342</v>
      </c>
      <c r="N198" s="1225">
        <f t="shared" si="89"/>
        <v>354</v>
      </c>
      <c r="O198" s="1225">
        <f t="shared" si="89"/>
        <v>381</v>
      </c>
      <c r="P198" s="1225">
        <f t="shared" si="89"/>
        <v>384</v>
      </c>
      <c r="Q198" s="1225">
        <f t="shared" si="89"/>
        <v>432</v>
      </c>
      <c r="R198" s="1225">
        <f t="shared" si="89"/>
        <v>441</v>
      </c>
    </row>
    <row r="199" spans="2:18" ht="15" x14ac:dyDescent="0.2">
      <c r="B199" s="6224"/>
      <c r="C199" s="5089" t="s">
        <v>30</v>
      </c>
      <c r="E199" s="1226">
        <f t="shared" ref="E199:O199" si="90">SUM(E196:E198)</f>
        <v>394</v>
      </c>
      <c r="F199" s="1226">
        <f t="shared" si="90"/>
        <v>524</v>
      </c>
      <c r="G199" s="1226">
        <f t="shared" si="90"/>
        <v>566</v>
      </c>
      <c r="H199" s="1226">
        <f t="shared" si="90"/>
        <v>662</v>
      </c>
      <c r="I199" s="1226">
        <f t="shared" si="90"/>
        <v>619</v>
      </c>
      <c r="J199" s="1226">
        <f t="shared" si="90"/>
        <v>713</v>
      </c>
      <c r="K199" s="1226">
        <f t="shared" si="90"/>
        <v>730</v>
      </c>
      <c r="L199" s="1226">
        <f t="shared" si="90"/>
        <v>734</v>
      </c>
      <c r="M199" s="1226">
        <f t="shared" si="90"/>
        <v>745</v>
      </c>
      <c r="N199" s="1226">
        <f t="shared" si="90"/>
        <v>851</v>
      </c>
      <c r="O199" s="1226">
        <f t="shared" si="90"/>
        <v>805</v>
      </c>
      <c r="P199" s="1226">
        <f>SUM(P196:P198)</f>
        <v>900</v>
      </c>
      <c r="Q199" s="1226">
        <f>SUM(Q196:Q198)</f>
        <v>942</v>
      </c>
      <c r="R199" s="1226">
        <f>SUM(R196:R198)</f>
        <v>959</v>
      </c>
    </row>
    <row r="200" spans="2:18" ht="15" x14ac:dyDescent="0.2">
      <c r="B200" s="6223" t="s">
        <v>7</v>
      </c>
      <c r="C200" s="1029" t="s">
        <v>615</v>
      </c>
      <c r="E200" s="1225">
        <f t="shared" ref="E200:R200" si="91">+E47</f>
        <v>0</v>
      </c>
      <c r="F200" s="1225">
        <f t="shared" si="91"/>
        <v>0</v>
      </c>
      <c r="G200" s="1225">
        <f t="shared" si="91"/>
        <v>0</v>
      </c>
      <c r="H200" s="1225">
        <f t="shared" si="91"/>
        <v>0</v>
      </c>
      <c r="I200" s="1225">
        <f t="shared" si="91"/>
        <v>0</v>
      </c>
      <c r="J200" s="1225">
        <f t="shared" si="91"/>
        <v>0</v>
      </c>
      <c r="K200" s="1225">
        <f t="shared" si="91"/>
        <v>0</v>
      </c>
      <c r="L200" s="1225">
        <f t="shared" si="91"/>
        <v>0</v>
      </c>
      <c r="M200" s="1225">
        <f t="shared" si="91"/>
        <v>0</v>
      </c>
      <c r="N200" s="1225">
        <f t="shared" si="91"/>
        <v>0</v>
      </c>
      <c r="O200" s="1225">
        <f t="shared" si="91"/>
        <v>0</v>
      </c>
      <c r="P200" s="1225">
        <f t="shared" si="91"/>
        <v>0</v>
      </c>
      <c r="Q200" s="1225">
        <f t="shared" si="91"/>
        <v>0</v>
      </c>
      <c r="R200" s="1225">
        <f t="shared" si="91"/>
        <v>0</v>
      </c>
    </row>
    <row r="201" spans="2:18" ht="15" x14ac:dyDescent="0.2">
      <c r="B201" s="6224"/>
      <c r="C201" s="1034" t="s">
        <v>616</v>
      </c>
      <c r="E201" s="1225">
        <f t="shared" ref="E201:R201" si="92">E48*2</f>
        <v>134</v>
      </c>
      <c r="F201" s="1225">
        <f t="shared" si="92"/>
        <v>136</v>
      </c>
      <c r="G201" s="1225">
        <f t="shared" si="92"/>
        <v>140</v>
      </c>
      <c r="H201" s="1225">
        <f t="shared" si="92"/>
        <v>132</v>
      </c>
      <c r="I201" s="1225">
        <f t="shared" si="92"/>
        <v>124</v>
      </c>
      <c r="J201" s="1225">
        <f t="shared" si="92"/>
        <v>226</v>
      </c>
      <c r="K201" s="1225">
        <f t="shared" si="92"/>
        <v>220</v>
      </c>
      <c r="L201" s="1225">
        <f t="shared" si="92"/>
        <v>294</v>
      </c>
      <c r="M201" s="1225">
        <f t="shared" si="92"/>
        <v>200</v>
      </c>
      <c r="N201" s="1225">
        <f t="shared" si="92"/>
        <v>290</v>
      </c>
      <c r="O201" s="1225">
        <f t="shared" si="92"/>
        <v>228</v>
      </c>
      <c r="P201" s="1225">
        <f t="shared" si="92"/>
        <v>318</v>
      </c>
      <c r="Q201" s="1225">
        <f t="shared" si="92"/>
        <v>242</v>
      </c>
      <c r="R201" s="1225">
        <f t="shared" si="92"/>
        <v>312</v>
      </c>
    </row>
    <row r="202" spans="2:18" ht="15" x14ac:dyDescent="0.2">
      <c r="B202" s="6224"/>
      <c r="C202" s="1040" t="s">
        <v>617</v>
      </c>
      <c r="E202" s="1225">
        <f t="shared" ref="E202:R202" si="93">E49*3</f>
        <v>72</v>
      </c>
      <c r="F202" s="1225">
        <f t="shared" si="93"/>
        <v>57</v>
      </c>
      <c r="G202" s="1225">
        <f t="shared" si="93"/>
        <v>90</v>
      </c>
      <c r="H202" s="1225">
        <f t="shared" si="93"/>
        <v>99</v>
      </c>
      <c r="I202" s="1225">
        <f t="shared" si="93"/>
        <v>114</v>
      </c>
      <c r="J202" s="1225">
        <f t="shared" si="93"/>
        <v>126</v>
      </c>
      <c r="K202" s="1225">
        <f t="shared" si="93"/>
        <v>117</v>
      </c>
      <c r="L202" s="1225">
        <f t="shared" si="93"/>
        <v>129</v>
      </c>
      <c r="M202" s="1225">
        <f t="shared" si="93"/>
        <v>135</v>
      </c>
      <c r="N202" s="1225">
        <f t="shared" si="93"/>
        <v>141</v>
      </c>
      <c r="O202" s="1225">
        <f t="shared" si="93"/>
        <v>147</v>
      </c>
      <c r="P202" s="1225">
        <f t="shared" si="93"/>
        <v>120</v>
      </c>
      <c r="Q202" s="1225">
        <f t="shared" si="93"/>
        <v>123</v>
      </c>
      <c r="R202" s="1225">
        <f t="shared" si="93"/>
        <v>111</v>
      </c>
    </row>
    <row r="203" spans="2:18" ht="15" x14ac:dyDescent="0.2">
      <c r="B203" s="6224"/>
      <c r="C203" s="5089" t="s">
        <v>15</v>
      </c>
      <c r="E203" s="1226">
        <f t="shared" ref="E203:O203" si="94">SUM(E200:E202)</f>
        <v>206</v>
      </c>
      <c r="F203" s="1226">
        <f t="shared" si="94"/>
        <v>193</v>
      </c>
      <c r="G203" s="1226">
        <f t="shared" si="94"/>
        <v>230</v>
      </c>
      <c r="H203" s="1226">
        <f t="shared" si="94"/>
        <v>231</v>
      </c>
      <c r="I203" s="1226">
        <f t="shared" si="94"/>
        <v>238</v>
      </c>
      <c r="J203" s="1226">
        <f t="shared" si="94"/>
        <v>352</v>
      </c>
      <c r="K203" s="1226">
        <f t="shared" si="94"/>
        <v>337</v>
      </c>
      <c r="L203" s="1226">
        <f t="shared" si="94"/>
        <v>423</v>
      </c>
      <c r="M203" s="1226">
        <f t="shared" si="94"/>
        <v>335</v>
      </c>
      <c r="N203" s="1226">
        <f t="shared" si="94"/>
        <v>431</v>
      </c>
      <c r="O203" s="1226">
        <f t="shared" si="94"/>
        <v>375</v>
      </c>
      <c r="P203" s="1226">
        <f>SUM(P200:P202)</f>
        <v>438</v>
      </c>
      <c r="Q203" s="1226">
        <f>SUM(Q200:Q202)</f>
        <v>365</v>
      </c>
      <c r="R203" s="1226">
        <f>SUM(R200:R202)</f>
        <v>423</v>
      </c>
    </row>
    <row r="204" spans="2:18" ht="15" x14ac:dyDescent="0.2">
      <c r="B204" s="6345" t="s">
        <v>680</v>
      </c>
      <c r="C204" s="1029" t="s">
        <v>615</v>
      </c>
      <c r="E204" s="1225">
        <f t="shared" ref="E204:O204" si="95">SUM(E192,E196,E200)</f>
        <v>17</v>
      </c>
      <c r="F204" s="1225">
        <f t="shared" si="95"/>
        <v>4</v>
      </c>
      <c r="G204" s="1225">
        <f t="shared" si="95"/>
        <v>18</v>
      </c>
      <c r="H204" s="1225">
        <f t="shared" si="95"/>
        <v>29</v>
      </c>
      <c r="I204" s="1225">
        <f t="shared" si="95"/>
        <v>37</v>
      </c>
      <c r="J204" s="1225">
        <f t="shared" si="95"/>
        <v>33</v>
      </c>
      <c r="K204" s="1225">
        <f t="shared" si="95"/>
        <v>19</v>
      </c>
      <c r="L204" s="1225">
        <f t="shared" si="95"/>
        <v>72</v>
      </c>
      <c r="M204" s="1225">
        <f t="shared" si="95"/>
        <v>56</v>
      </c>
      <c r="N204" s="1225">
        <f t="shared" si="95"/>
        <v>47</v>
      </c>
      <c r="O204" s="1225">
        <f t="shared" si="95"/>
        <v>2</v>
      </c>
      <c r="P204" s="1225">
        <f t="shared" ref="P204:R206" si="96">SUM(P192,P196,P200)</f>
        <v>0</v>
      </c>
      <c r="Q204" s="1225">
        <f t="shared" si="96"/>
        <v>0</v>
      </c>
      <c r="R204" s="1225">
        <f t="shared" si="96"/>
        <v>30</v>
      </c>
    </row>
    <row r="205" spans="2:18" ht="15" x14ac:dyDescent="0.2">
      <c r="B205" s="6346"/>
      <c r="C205" s="1034" t="s">
        <v>616</v>
      </c>
      <c r="E205" s="1225">
        <f t="shared" ref="E205:O205" si="97">SUM(E193,E197,E201)</f>
        <v>872</v>
      </c>
      <c r="F205" s="1225">
        <f t="shared" si="97"/>
        <v>828</v>
      </c>
      <c r="G205" s="1225">
        <f t="shared" si="97"/>
        <v>984</v>
      </c>
      <c r="H205" s="1225">
        <f t="shared" si="97"/>
        <v>892</v>
      </c>
      <c r="I205" s="1225">
        <f t="shared" si="97"/>
        <v>1006</v>
      </c>
      <c r="J205" s="1225">
        <f t="shared" si="97"/>
        <v>1104</v>
      </c>
      <c r="K205" s="1225">
        <f t="shared" si="97"/>
        <v>1214</v>
      </c>
      <c r="L205" s="1225">
        <f t="shared" si="97"/>
        <v>1044</v>
      </c>
      <c r="M205" s="1225">
        <f t="shared" si="97"/>
        <v>1156</v>
      </c>
      <c r="N205" s="1225">
        <f t="shared" si="97"/>
        <v>1200</v>
      </c>
      <c r="O205" s="1225">
        <f t="shared" si="97"/>
        <v>1260</v>
      </c>
      <c r="P205" s="1225">
        <f t="shared" si="96"/>
        <v>1278</v>
      </c>
      <c r="Q205" s="1225">
        <f t="shared" si="96"/>
        <v>1380</v>
      </c>
      <c r="R205" s="1225">
        <f t="shared" si="96"/>
        <v>1244</v>
      </c>
    </row>
    <row r="206" spans="2:18" ht="15" x14ac:dyDescent="0.2">
      <c r="B206" s="6346"/>
      <c r="C206" s="1040" t="s">
        <v>617</v>
      </c>
      <c r="E206" s="1225">
        <f t="shared" ref="E206:O206" si="98">SUM(E194,E198,E202)</f>
        <v>567</v>
      </c>
      <c r="F206" s="1225">
        <f t="shared" si="98"/>
        <v>681</v>
      </c>
      <c r="G206" s="1225">
        <f t="shared" si="98"/>
        <v>687</v>
      </c>
      <c r="H206" s="1225">
        <f t="shared" si="98"/>
        <v>954</v>
      </c>
      <c r="I206" s="1225">
        <f t="shared" si="98"/>
        <v>849</v>
      </c>
      <c r="J206" s="1225">
        <f t="shared" si="98"/>
        <v>1044</v>
      </c>
      <c r="K206" s="1225">
        <f t="shared" si="98"/>
        <v>960</v>
      </c>
      <c r="L206" s="1225">
        <f t="shared" si="98"/>
        <v>1074</v>
      </c>
      <c r="M206" s="1225">
        <f t="shared" si="98"/>
        <v>906</v>
      </c>
      <c r="N206" s="1225">
        <f t="shared" si="98"/>
        <v>1029</v>
      </c>
      <c r="O206" s="1225">
        <f t="shared" si="98"/>
        <v>972</v>
      </c>
      <c r="P206" s="1225">
        <f t="shared" si="96"/>
        <v>1053</v>
      </c>
      <c r="Q206" s="1225">
        <f t="shared" si="96"/>
        <v>1017</v>
      </c>
      <c r="R206" s="1225">
        <f t="shared" si="96"/>
        <v>1203</v>
      </c>
    </row>
    <row r="207" spans="2:18" ht="15" x14ac:dyDescent="0.2">
      <c r="B207" s="6347"/>
      <c r="C207" s="5096" t="s">
        <v>12</v>
      </c>
      <c r="E207" s="2436">
        <f t="shared" ref="E207:O207" si="99">SUM(E204:E206)</f>
        <v>1456</v>
      </c>
      <c r="F207" s="2436">
        <f t="shared" si="99"/>
        <v>1513</v>
      </c>
      <c r="G207" s="2436">
        <f t="shared" si="99"/>
        <v>1689</v>
      </c>
      <c r="H207" s="2436">
        <f t="shared" si="99"/>
        <v>1875</v>
      </c>
      <c r="I207" s="2436">
        <f t="shared" si="99"/>
        <v>1892</v>
      </c>
      <c r="J207" s="2436">
        <f t="shared" si="99"/>
        <v>2181</v>
      </c>
      <c r="K207" s="2436">
        <f t="shared" si="99"/>
        <v>2193</v>
      </c>
      <c r="L207" s="2436">
        <f t="shared" si="99"/>
        <v>2190</v>
      </c>
      <c r="M207" s="2436">
        <f t="shared" si="99"/>
        <v>2118</v>
      </c>
      <c r="N207" s="2436">
        <f t="shared" si="99"/>
        <v>2276</v>
      </c>
      <c r="O207" s="2436">
        <f t="shared" si="99"/>
        <v>2234</v>
      </c>
      <c r="P207" s="2436">
        <f>SUM(P204:P206)</f>
        <v>2331</v>
      </c>
      <c r="Q207" s="2436">
        <f>SUM(Q204:Q206)</f>
        <v>2397</v>
      </c>
      <c r="R207" s="2436">
        <f>SUM(R204:R206)</f>
        <v>2477</v>
      </c>
    </row>
    <row r="209" spans="2:18" ht="15" x14ac:dyDescent="0.2">
      <c r="B209" s="6228" t="s">
        <v>6</v>
      </c>
      <c r="C209" s="1029" t="s">
        <v>615</v>
      </c>
      <c r="E209" s="1224"/>
      <c r="F209" s="1224"/>
      <c r="G209" s="1224"/>
      <c r="H209" s="1224"/>
      <c r="I209" s="1224"/>
      <c r="J209" s="1224"/>
      <c r="K209" s="1224"/>
      <c r="L209" s="1224">
        <f t="shared" ref="L209:R209" si="100">+L56</f>
        <v>0</v>
      </c>
      <c r="M209" s="1224">
        <f t="shared" si="100"/>
        <v>0</v>
      </c>
      <c r="N209" s="1224">
        <f t="shared" si="100"/>
        <v>0</v>
      </c>
      <c r="O209" s="1224">
        <f t="shared" si="100"/>
        <v>0</v>
      </c>
      <c r="P209" s="1224">
        <f t="shared" si="100"/>
        <v>0</v>
      </c>
      <c r="Q209" s="1224">
        <f t="shared" si="100"/>
        <v>0</v>
      </c>
      <c r="R209" s="1224">
        <f t="shared" si="100"/>
        <v>0</v>
      </c>
    </row>
    <row r="210" spans="2:18" ht="15" x14ac:dyDescent="0.2">
      <c r="B210" s="6229"/>
      <c r="C210" s="1034" t="s">
        <v>616</v>
      </c>
      <c r="E210" s="1225"/>
      <c r="F210" s="1225"/>
      <c r="G210" s="1225"/>
      <c r="H210" s="1225"/>
      <c r="I210" s="1225"/>
      <c r="J210" s="1225"/>
      <c r="K210" s="1225"/>
      <c r="L210" s="1225">
        <f t="shared" ref="L210:R210" si="101">L57*2</f>
        <v>40</v>
      </c>
      <c r="M210" s="1225">
        <f t="shared" si="101"/>
        <v>64</v>
      </c>
      <c r="N210" s="1225">
        <f t="shared" si="101"/>
        <v>76</v>
      </c>
      <c r="O210" s="1225">
        <f t="shared" si="101"/>
        <v>72</v>
      </c>
      <c r="P210" s="1225">
        <f t="shared" si="101"/>
        <v>72</v>
      </c>
      <c r="Q210" s="1225">
        <f t="shared" si="101"/>
        <v>86</v>
      </c>
      <c r="R210" s="1225">
        <f t="shared" si="101"/>
        <v>86</v>
      </c>
    </row>
    <row r="211" spans="2:18" ht="15" x14ac:dyDescent="0.2">
      <c r="B211" s="6229"/>
      <c r="C211" s="1040" t="s">
        <v>617</v>
      </c>
      <c r="E211" s="1225"/>
      <c r="F211" s="1225"/>
      <c r="G211" s="1225"/>
      <c r="H211" s="1225"/>
      <c r="I211" s="1225"/>
      <c r="J211" s="1225"/>
      <c r="K211" s="1225"/>
      <c r="L211" s="1225">
        <f t="shared" ref="L211:R211" si="102">L58*3</f>
        <v>36</v>
      </c>
      <c r="M211" s="1225">
        <f t="shared" si="102"/>
        <v>66</v>
      </c>
      <c r="N211" s="1225">
        <f t="shared" si="102"/>
        <v>108</v>
      </c>
      <c r="O211" s="1225">
        <f t="shared" si="102"/>
        <v>126</v>
      </c>
      <c r="P211" s="1225">
        <f t="shared" si="102"/>
        <v>168</v>
      </c>
      <c r="Q211" s="1225">
        <f t="shared" si="102"/>
        <v>189</v>
      </c>
      <c r="R211" s="1225">
        <f t="shared" si="102"/>
        <v>177</v>
      </c>
    </row>
    <row r="212" spans="2:18" ht="15" x14ac:dyDescent="0.2">
      <c r="B212" s="6230"/>
      <c r="C212" s="574" t="s">
        <v>14</v>
      </c>
      <c r="E212" s="1226"/>
      <c r="F212" s="1226"/>
      <c r="G212" s="1226"/>
      <c r="H212" s="1226"/>
      <c r="I212" s="1226"/>
      <c r="J212" s="1226"/>
      <c r="K212" s="1226"/>
      <c r="L212" s="1226">
        <f t="shared" ref="L212:R212" si="103">SUM(L209:L211)</f>
        <v>76</v>
      </c>
      <c r="M212" s="1226">
        <f t="shared" si="103"/>
        <v>130</v>
      </c>
      <c r="N212" s="1226">
        <f t="shared" si="103"/>
        <v>184</v>
      </c>
      <c r="O212" s="1226">
        <f t="shared" si="103"/>
        <v>198</v>
      </c>
      <c r="P212" s="1226">
        <f t="shared" si="103"/>
        <v>240</v>
      </c>
      <c r="Q212" s="1226">
        <f t="shared" si="103"/>
        <v>275</v>
      </c>
      <c r="R212" s="1226">
        <f t="shared" si="103"/>
        <v>263</v>
      </c>
    </row>
    <row r="213" spans="2:18" ht="15" x14ac:dyDescent="0.2">
      <c r="B213" s="6228" t="s">
        <v>9</v>
      </c>
      <c r="C213" s="1029" t="s">
        <v>615</v>
      </c>
      <c r="E213" s="1225"/>
      <c r="F213" s="1225"/>
      <c r="G213" s="1225"/>
      <c r="H213" s="1225"/>
      <c r="I213" s="1225"/>
      <c r="J213" s="1225"/>
      <c r="K213" s="1225"/>
      <c r="L213" s="1225"/>
      <c r="M213" s="1225"/>
      <c r="N213" s="1225"/>
      <c r="O213" s="1225"/>
      <c r="P213" s="1225"/>
      <c r="Q213" s="1225"/>
      <c r="R213" s="1225"/>
    </row>
    <row r="214" spans="2:18" ht="15" x14ac:dyDescent="0.2">
      <c r="B214" s="6229"/>
      <c r="C214" s="1034" t="s">
        <v>616</v>
      </c>
      <c r="E214" s="1225"/>
      <c r="F214" s="1225"/>
      <c r="G214" s="1225"/>
      <c r="H214" s="1225"/>
      <c r="I214" s="1225"/>
      <c r="J214" s="1225"/>
      <c r="K214" s="1225"/>
      <c r="L214" s="1225"/>
      <c r="M214" s="1225">
        <f t="shared" ref="M214:R214" si="104">M61*2</f>
        <v>24</v>
      </c>
      <c r="N214" s="1225">
        <f t="shared" si="104"/>
        <v>48</v>
      </c>
      <c r="O214" s="1225">
        <f t="shared" si="104"/>
        <v>84</v>
      </c>
      <c r="P214" s="1225">
        <f t="shared" si="104"/>
        <v>100</v>
      </c>
      <c r="Q214" s="1225">
        <f t="shared" si="104"/>
        <v>122</v>
      </c>
      <c r="R214" s="1225">
        <f t="shared" si="104"/>
        <v>124</v>
      </c>
    </row>
    <row r="215" spans="2:18" ht="15" x14ac:dyDescent="0.2">
      <c r="B215" s="6229"/>
      <c r="C215" s="1040" t="s">
        <v>617</v>
      </c>
      <c r="E215" s="1225"/>
      <c r="F215" s="1225"/>
      <c r="G215" s="1225"/>
      <c r="H215" s="1225"/>
      <c r="I215" s="1225"/>
      <c r="J215" s="1225"/>
      <c r="K215" s="1225"/>
      <c r="L215" s="1225"/>
      <c r="M215" s="1225"/>
      <c r="N215" s="1225"/>
      <c r="O215" s="1225"/>
      <c r="P215" s="1225"/>
      <c r="Q215" s="1225"/>
      <c r="R215" s="1225"/>
    </row>
    <row r="216" spans="2:18" ht="15" x14ac:dyDescent="0.2">
      <c r="B216" s="6230"/>
      <c r="C216" s="574" t="s">
        <v>417</v>
      </c>
      <c r="E216" s="1226"/>
      <c r="F216" s="1226"/>
      <c r="G216" s="1226"/>
      <c r="H216" s="1226"/>
      <c r="I216" s="1226"/>
      <c r="J216" s="1226"/>
      <c r="K216" s="1226"/>
      <c r="L216" s="1226"/>
      <c r="M216" s="1226">
        <f t="shared" ref="M216:R216" si="105">SUM(M213:M215)</f>
        <v>24</v>
      </c>
      <c r="N216" s="1226">
        <f t="shared" si="105"/>
        <v>48</v>
      </c>
      <c r="O216" s="1226">
        <f t="shared" si="105"/>
        <v>84</v>
      </c>
      <c r="P216" s="1226">
        <f t="shared" si="105"/>
        <v>100</v>
      </c>
      <c r="Q216" s="1226">
        <f t="shared" si="105"/>
        <v>122</v>
      </c>
      <c r="R216" s="1226">
        <f t="shared" si="105"/>
        <v>124</v>
      </c>
    </row>
    <row r="217" spans="2:18" ht="15" x14ac:dyDescent="0.2">
      <c r="B217" s="6228" t="s">
        <v>74</v>
      </c>
      <c r="C217" s="1029" t="s">
        <v>615</v>
      </c>
      <c r="E217" s="1225"/>
      <c r="F217" s="1225"/>
      <c r="G217" s="1225"/>
      <c r="H217" s="1225"/>
      <c r="I217" s="1225"/>
      <c r="J217" s="1225"/>
      <c r="K217" s="1225"/>
      <c r="L217" s="1225">
        <f t="shared" ref="L217:R217" si="106">+L68</f>
        <v>0</v>
      </c>
      <c r="M217" s="1225">
        <f t="shared" si="106"/>
        <v>3</v>
      </c>
      <c r="N217" s="1225">
        <f t="shared" si="106"/>
        <v>5</v>
      </c>
      <c r="O217" s="1225">
        <f t="shared" si="106"/>
        <v>4</v>
      </c>
      <c r="P217" s="1225">
        <f t="shared" si="106"/>
        <v>7</v>
      </c>
      <c r="Q217" s="1225">
        <f t="shared" si="106"/>
        <v>8</v>
      </c>
      <c r="R217" s="1225">
        <f t="shared" si="106"/>
        <v>6</v>
      </c>
    </row>
    <row r="218" spans="2:18" ht="15" x14ac:dyDescent="0.2">
      <c r="B218" s="6229"/>
      <c r="C218" s="1034" t="s">
        <v>616</v>
      </c>
      <c r="E218" s="1225"/>
      <c r="F218" s="1225"/>
      <c r="G218" s="1225"/>
      <c r="H218" s="1225"/>
      <c r="I218" s="1225"/>
      <c r="J218" s="1225"/>
      <c r="K218" s="1225"/>
      <c r="L218" s="1225">
        <f t="shared" ref="L218:R218" si="107">L69*2</f>
        <v>40</v>
      </c>
      <c r="M218" s="1225">
        <f t="shared" si="107"/>
        <v>106</v>
      </c>
      <c r="N218" s="1225">
        <f t="shared" si="107"/>
        <v>168</v>
      </c>
      <c r="O218" s="1225">
        <f t="shared" si="107"/>
        <v>224</v>
      </c>
      <c r="P218" s="1225">
        <f t="shared" si="107"/>
        <v>246</v>
      </c>
      <c r="Q218" s="1225">
        <f t="shared" si="107"/>
        <v>292</v>
      </c>
      <c r="R218" s="1225">
        <f t="shared" si="107"/>
        <v>294</v>
      </c>
    </row>
    <row r="219" spans="2:18" ht="15" x14ac:dyDescent="0.2">
      <c r="B219" s="6229"/>
      <c r="C219" s="1040" t="s">
        <v>617</v>
      </c>
      <c r="E219" s="1225"/>
      <c r="F219" s="1225"/>
      <c r="G219" s="1225"/>
      <c r="H219" s="1225"/>
      <c r="I219" s="1225"/>
      <c r="J219" s="1225"/>
      <c r="K219" s="1225"/>
      <c r="L219" s="1225">
        <f t="shared" ref="L219:R219" si="108">L70*3</f>
        <v>36</v>
      </c>
      <c r="M219" s="1225">
        <f t="shared" si="108"/>
        <v>87</v>
      </c>
      <c r="N219" s="1225">
        <f t="shared" si="108"/>
        <v>147</v>
      </c>
      <c r="O219" s="1225">
        <f t="shared" si="108"/>
        <v>189</v>
      </c>
      <c r="P219" s="1225">
        <f t="shared" si="108"/>
        <v>267</v>
      </c>
      <c r="Q219" s="1225">
        <f t="shared" si="108"/>
        <v>297</v>
      </c>
      <c r="R219" s="1225">
        <f t="shared" si="108"/>
        <v>297</v>
      </c>
    </row>
    <row r="220" spans="2:18" ht="15" x14ac:dyDescent="0.2">
      <c r="B220" s="6230"/>
      <c r="C220" s="574" t="s">
        <v>418</v>
      </c>
      <c r="E220" s="1226"/>
      <c r="F220" s="1226"/>
      <c r="G220" s="1226"/>
      <c r="H220" s="1226"/>
      <c r="I220" s="1226"/>
      <c r="J220" s="1226"/>
      <c r="K220" s="1226"/>
      <c r="L220" s="1226">
        <f t="shared" ref="L220:R220" si="109">SUM(L217:L219)</f>
        <v>76</v>
      </c>
      <c r="M220" s="1226">
        <f t="shared" si="109"/>
        <v>196</v>
      </c>
      <c r="N220" s="1226">
        <f t="shared" si="109"/>
        <v>320</v>
      </c>
      <c r="O220" s="1226">
        <f t="shared" si="109"/>
        <v>417</v>
      </c>
      <c r="P220" s="1226">
        <f t="shared" si="109"/>
        <v>520</v>
      </c>
      <c r="Q220" s="1226">
        <f t="shared" si="109"/>
        <v>597</v>
      </c>
      <c r="R220" s="1226">
        <f t="shared" si="109"/>
        <v>597</v>
      </c>
    </row>
    <row r="221" spans="2:18" ht="15" x14ac:dyDescent="0.2">
      <c r="B221" s="6348" t="s">
        <v>678</v>
      </c>
      <c r="C221" s="1029" t="s">
        <v>615</v>
      </c>
      <c r="E221" s="1225"/>
      <c r="F221" s="1225"/>
      <c r="G221" s="1225"/>
      <c r="H221" s="1225"/>
      <c r="I221" s="1225"/>
      <c r="J221" s="1225"/>
      <c r="K221" s="1225"/>
      <c r="L221" s="1225">
        <f t="shared" ref="L221:R223" si="110">SUM(L209,L213,L217)</f>
        <v>0</v>
      </c>
      <c r="M221" s="1225">
        <f t="shared" si="110"/>
        <v>3</v>
      </c>
      <c r="N221" s="1225">
        <f t="shared" si="110"/>
        <v>5</v>
      </c>
      <c r="O221" s="1225">
        <f t="shared" si="110"/>
        <v>4</v>
      </c>
      <c r="P221" s="1225">
        <f t="shared" si="110"/>
        <v>7</v>
      </c>
      <c r="Q221" s="1225">
        <f t="shared" si="110"/>
        <v>8</v>
      </c>
      <c r="R221" s="1225">
        <f t="shared" si="110"/>
        <v>6</v>
      </c>
    </row>
    <row r="222" spans="2:18" ht="15" x14ac:dyDescent="0.2">
      <c r="B222" s="6349"/>
      <c r="C222" s="1034" t="s">
        <v>616</v>
      </c>
      <c r="E222" s="1225"/>
      <c r="F222" s="1225"/>
      <c r="G222" s="1225"/>
      <c r="H222" s="1225"/>
      <c r="I222" s="1225"/>
      <c r="J222" s="1225"/>
      <c r="K222" s="1225"/>
      <c r="L222" s="1225">
        <f t="shared" si="110"/>
        <v>80</v>
      </c>
      <c r="M222" s="1225">
        <f t="shared" si="110"/>
        <v>194</v>
      </c>
      <c r="N222" s="1225">
        <f t="shared" si="110"/>
        <v>292</v>
      </c>
      <c r="O222" s="1225">
        <f t="shared" si="110"/>
        <v>380</v>
      </c>
      <c r="P222" s="1225">
        <f t="shared" si="110"/>
        <v>418</v>
      </c>
      <c r="Q222" s="1225">
        <f t="shared" si="110"/>
        <v>500</v>
      </c>
      <c r="R222" s="1225">
        <f t="shared" si="110"/>
        <v>504</v>
      </c>
    </row>
    <row r="223" spans="2:18" ht="15" x14ac:dyDescent="0.2">
      <c r="B223" s="6349"/>
      <c r="C223" s="1040" t="s">
        <v>617</v>
      </c>
      <c r="E223" s="1225"/>
      <c r="F223" s="1225"/>
      <c r="G223" s="1225"/>
      <c r="H223" s="1225"/>
      <c r="I223" s="1225"/>
      <c r="J223" s="1225"/>
      <c r="K223" s="1225"/>
      <c r="L223" s="1225">
        <f t="shared" si="110"/>
        <v>72</v>
      </c>
      <c r="M223" s="1225">
        <f t="shared" si="110"/>
        <v>153</v>
      </c>
      <c r="N223" s="1225">
        <f t="shared" si="110"/>
        <v>255</v>
      </c>
      <c r="O223" s="1225">
        <f t="shared" si="110"/>
        <v>315</v>
      </c>
      <c r="P223" s="1225">
        <f t="shared" si="110"/>
        <v>435</v>
      </c>
      <c r="Q223" s="1225">
        <f t="shared" si="110"/>
        <v>486</v>
      </c>
      <c r="R223" s="1225">
        <f t="shared" si="110"/>
        <v>474</v>
      </c>
    </row>
    <row r="224" spans="2:18" ht="15" x14ac:dyDescent="0.2">
      <c r="B224" s="6350"/>
      <c r="C224" s="2432" t="s">
        <v>12</v>
      </c>
      <c r="E224" s="2435"/>
      <c r="F224" s="2435"/>
      <c r="G224" s="2435"/>
      <c r="H224" s="2435"/>
      <c r="I224" s="2435"/>
      <c r="J224" s="2435"/>
      <c r="K224" s="2435"/>
      <c r="L224" s="2435">
        <f t="shared" ref="L224:R224" si="111">SUM(L221:L223)</f>
        <v>152</v>
      </c>
      <c r="M224" s="2435">
        <f t="shared" si="111"/>
        <v>350</v>
      </c>
      <c r="N224" s="2435">
        <f t="shared" si="111"/>
        <v>552</v>
      </c>
      <c r="O224" s="2435">
        <f t="shared" si="111"/>
        <v>699</v>
      </c>
      <c r="P224" s="2435">
        <f t="shared" si="111"/>
        <v>860</v>
      </c>
      <c r="Q224" s="2435">
        <f t="shared" si="111"/>
        <v>994</v>
      </c>
      <c r="R224" s="2435">
        <f t="shared" si="111"/>
        <v>984</v>
      </c>
    </row>
    <row r="226" spans="2:18" ht="15" x14ac:dyDescent="0.2">
      <c r="B226" s="6341" t="s">
        <v>60</v>
      </c>
      <c r="C226" s="1029" t="s">
        <v>615</v>
      </c>
      <c r="E226" s="1224">
        <f t="shared" ref="E226:O226" si="112">SUM(E170,E187,E204,E221)</f>
        <v>288</v>
      </c>
      <c r="F226" s="1224">
        <f t="shared" si="112"/>
        <v>233</v>
      </c>
      <c r="G226" s="1224">
        <f t="shared" si="112"/>
        <v>249</v>
      </c>
      <c r="H226" s="1224">
        <f t="shared" si="112"/>
        <v>309</v>
      </c>
      <c r="I226" s="1224">
        <f t="shared" si="112"/>
        <v>319</v>
      </c>
      <c r="J226" s="1224">
        <f t="shared" si="112"/>
        <v>326</v>
      </c>
      <c r="K226" s="1224">
        <f t="shared" si="112"/>
        <v>395</v>
      </c>
      <c r="L226" s="1224">
        <f t="shared" si="112"/>
        <v>445</v>
      </c>
      <c r="M226" s="1224">
        <f t="shared" si="112"/>
        <v>274</v>
      </c>
      <c r="N226" s="1224">
        <f t="shared" si="112"/>
        <v>293</v>
      </c>
      <c r="O226" s="1224">
        <f t="shared" si="112"/>
        <v>174</v>
      </c>
      <c r="P226" s="1224">
        <f t="shared" ref="P226:R228" si="113">SUM(P170,P187,P204,P221)</f>
        <v>236</v>
      </c>
      <c r="Q226" s="1224">
        <f t="shared" si="113"/>
        <v>160</v>
      </c>
      <c r="R226" s="1224">
        <f t="shared" si="113"/>
        <v>187</v>
      </c>
    </row>
    <row r="227" spans="2:18" ht="15" x14ac:dyDescent="0.2">
      <c r="B227" s="6309"/>
      <c r="C227" s="1034" t="s">
        <v>616</v>
      </c>
      <c r="E227" s="1225">
        <f t="shared" ref="E227:O227" si="114">SUM(E171,E188,E205,E222)</f>
        <v>2040</v>
      </c>
      <c r="F227" s="1225">
        <f t="shared" si="114"/>
        <v>2124</v>
      </c>
      <c r="G227" s="1225">
        <f t="shared" si="114"/>
        <v>2330</v>
      </c>
      <c r="H227" s="1225">
        <f t="shared" si="114"/>
        <v>2472</v>
      </c>
      <c r="I227" s="1225">
        <f t="shared" si="114"/>
        <v>2800</v>
      </c>
      <c r="J227" s="1225">
        <f t="shared" si="114"/>
        <v>3138</v>
      </c>
      <c r="K227" s="1225">
        <f t="shared" si="114"/>
        <v>3180</v>
      </c>
      <c r="L227" s="1225">
        <f t="shared" si="114"/>
        <v>3248</v>
      </c>
      <c r="M227" s="1225">
        <f t="shared" si="114"/>
        <v>3664</v>
      </c>
      <c r="N227" s="1225">
        <f t="shared" si="114"/>
        <v>3660</v>
      </c>
      <c r="O227" s="1225">
        <f t="shared" si="114"/>
        <v>4040</v>
      </c>
      <c r="P227" s="1225">
        <f t="shared" si="113"/>
        <v>3972</v>
      </c>
      <c r="Q227" s="1225">
        <f t="shared" si="113"/>
        <v>4354</v>
      </c>
      <c r="R227" s="1225">
        <f t="shared" si="113"/>
        <v>4260</v>
      </c>
    </row>
    <row r="228" spans="2:18" ht="15" x14ac:dyDescent="0.2">
      <c r="B228" s="6309"/>
      <c r="C228" s="1040" t="s">
        <v>617</v>
      </c>
      <c r="E228" s="1227">
        <f t="shared" ref="E228:O228" si="115">SUM(E172,E189,E206,E223)</f>
        <v>2814</v>
      </c>
      <c r="F228" s="1227">
        <f t="shared" si="115"/>
        <v>2874</v>
      </c>
      <c r="G228" s="1227">
        <f t="shared" si="115"/>
        <v>2754</v>
      </c>
      <c r="H228" s="1227">
        <f t="shared" si="115"/>
        <v>3147</v>
      </c>
      <c r="I228" s="1227">
        <f t="shared" si="115"/>
        <v>3054</v>
      </c>
      <c r="J228" s="1227">
        <f t="shared" si="115"/>
        <v>3369</v>
      </c>
      <c r="K228" s="1227">
        <f t="shared" si="115"/>
        <v>3906</v>
      </c>
      <c r="L228" s="1227">
        <f t="shared" si="115"/>
        <v>4212</v>
      </c>
      <c r="M228" s="1227">
        <f t="shared" si="115"/>
        <v>4050</v>
      </c>
      <c r="N228" s="1227">
        <f t="shared" si="115"/>
        <v>4596</v>
      </c>
      <c r="O228" s="1227">
        <f t="shared" si="115"/>
        <v>4845</v>
      </c>
      <c r="P228" s="1227">
        <f t="shared" si="113"/>
        <v>4899</v>
      </c>
      <c r="Q228" s="1227">
        <f t="shared" si="113"/>
        <v>4999</v>
      </c>
      <c r="R228" s="1227">
        <f t="shared" si="113"/>
        <v>4982</v>
      </c>
    </row>
    <row r="229" spans="2:18" ht="15" x14ac:dyDescent="0.2">
      <c r="B229" s="6310"/>
      <c r="C229" s="564" t="s">
        <v>12</v>
      </c>
      <c r="E229" s="1223">
        <f t="shared" ref="E229:O229" si="116">SUM(E226:E228)</f>
        <v>5142</v>
      </c>
      <c r="F229" s="1223">
        <f t="shared" si="116"/>
        <v>5231</v>
      </c>
      <c r="G229" s="1223">
        <f t="shared" si="116"/>
        <v>5333</v>
      </c>
      <c r="H229" s="1223">
        <f t="shared" si="116"/>
        <v>5928</v>
      </c>
      <c r="I229" s="1223">
        <f t="shared" si="116"/>
        <v>6173</v>
      </c>
      <c r="J229" s="1223">
        <f t="shared" si="116"/>
        <v>6833</v>
      </c>
      <c r="K229" s="1223">
        <f t="shared" si="116"/>
        <v>7481</v>
      </c>
      <c r="L229" s="1223">
        <f t="shared" si="116"/>
        <v>7905</v>
      </c>
      <c r="M229" s="1223">
        <f t="shared" si="116"/>
        <v>7988</v>
      </c>
      <c r="N229" s="1223">
        <f t="shared" si="116"/>
        <v>8549</v>
      </c>
      <c r="O229" s="1223">
        <f t="shared" si="116"/>
        <v>9059</v>
      </c>
      <c r="P229" s="1223">
        <f>SUM(P226:P228)</f>
        <v>9107</v>
      </c>
      <c r="Q229" s="1223">
        <f>SUM(Q226:Q228)</f>
        <v>9513</v>
      </c>
      <c r="R229" s="1223">
        <f>SUM(R226:R228)</f>
        <v>9429</v>
      </c>
    </row>
    <row r="231" spans="2:18" ht="15" x14ac:dyDescent="0.2">
      <c r="B231" s="6415" t="s">
        <v>762</v>
      </c>
      <c r="C231" s="263" t="s">
        <v>5</v>
      </c>
      <c r="D231" s="5097"/>
      <c r="E231" s="537">
        <f t="shared" ref="E231:O231" si="117">SUM(E161,E178)</f>
        <v>1300</v>
      </c>
      <c r="F231" s="537">
        <f t="shared" si="117"/>
        <v>1411</v>
      </c>
      <c r="G231" s="537">
        <f t="shared" si="117"/>
        <v>1412</v>
      </c>
      <c r="H231" s="537">
        <f t="shared" si="117"/>
        <v>1434</v>
      </c>
      <c r="I231" s="537">
        <f t="shared" si="117"/>
        <v>1364</v>
      </c>
      <c r="J231" s="537">
        <f t="shared" si="117"/>
        <v>1435</v>
      </c>
      <c r="K231" s="537">
        <f t="shared" si="117"/>
        <v>1524</v>
      </c>
      <c r="L231" s="537">
        <f t="shared" si="117"/>
        <v>1638</v>
      </c>
      <c r="M231" s="537">
        <f t="shared" si="117"/>
        <v>1576</v>
      </c>
      <c r="N231" s="537">
        <f t="shared" si="117"/>
        <v>1806</v>
      </c>
      <c r="O231" s="537">
        <f t="shared" si="117"/>
        <v>1924</v>
      </c>
      <c r="P231" s="537">
        <f>SUM(P161,P178)</f>
        <v>1950</v>
      </c>
      <c r="Q231" s="537">
        <f>SUM(Q161,Q178)</f>
        <v>2038</v>
      </c>
      <c r="R231" s="537">
        <f>SUM(R161,R178)</f>
        <v>1965</v>
      </c>
    </row>
    <row r="232" spans="2:18" ht="15" x14ac:dyDescent="0.2">
      <c r="B232" s="6416"/>
      <c r="C232" s="267" t="s">
        <v>6</v>
      </c>
      <c r="D232" s="5097"/>
      <c r="E232" s="538">
        <f t="shared" ref="E232:O232" si="118">SUM(E165,E182,E195,E212)</f>
        <v>2286</v>
      </c>
      <c r="F232" s="538">
        <f t="shared" si="118"/>
        <v>2188</v>
      </c>
      <c r="G232" s="538">
        <f t="shared" si="118"/>
        <v>2200</v>
      </c>
      <c r="H232" s="538">
        <f t="shared" si="118"/>
        <v>2552</v>
      </c>
      <c r="I232" s="538">
        <f t="shared" si="118"/>
        <v>2824</v>
      </c>
      <c r="J232" s="538">
        <f t="shared" si="118"/>
        <v>3067</v>
      </c>
      <c r="K232" s="538">
        <f t="shared" si="118"/>
        <v>3431</v>
      </c>
      <c r="L232" s="538">
        <f t="shared" si="118"/>
        <v>3423</v>
      </c>
      <c r="M232" s="538">
        <f t="shared" si="118"/>
        <v>3415</v>
      </c>
      <c r="N232" s="538">
        <f t="shared" si="118"/>
        <v>3330</v>
      </c>
      <c r="O232" s="538">
        <f t="shared" si="118"/>
        <v>3561</v>
      </c>
      <c r="P232" s="538">
        <f>SUM(P165,P182,P195,P212)</f>
        <v>3329</v>
      </c>
      <c r="Q232" s="538">
        <f>SUM(Q165,Q182,Q195,Q212)</f>
        <v>3597</v>
      </c>
      <c r="R232" s="538">
        <f>SUM(R165,R182,R195,R212)</f>
        <v>3513</v>
      </c>
    </row>
    <row r="233" spans="2:18" ht="15" x14ac:dyDescent="0.2">
      <c r="B233" s="6416"/>
      <c r="C233" s="267" t="s">
        <v>11</v>
      </c>
      <c r="D233" s="5097"/>
      <c r="E233" s="538">
        <f t="shared" ref="E233:O233" si="119">SUM(E186,E199)</f>
        <v>1202</v>
      </c>
      <c r="F233" s="538">
        <f t="shared" si="119"/>
        <v>1304</v>
      </c>
      <c r="G233" s="538">
        <f t="shared" si="119"/>
        <v>1327</v>
      </c>
      <c r="H233" s="538">
        <f t="shared" si="119"/>
        <v>1507</v>
      </c>
      <c r="I233" s="538">
        <f t="shared" si="119"/>
        <v>1491</v>
      </c>
      <c r="J233" s="538">
        <f t="shared" si="119"/>
        <v>1703</v>
      </c>
      <c r="K233" s="538">
        <f t="shared" si="119"/>
        <v>1806</v>
      </c>
      <c r="L233" s="538">
        <f t="shared" si="119"/>
        <v>1901</v>
      </c>
      <c r="M233" s="538">
        <f t="shared" si="119"/>
        <v>2017</v>
      </c>
      <c r="N233" s="538">
        <f t="shared" si="119"/>
        <v>2196</v>
      </c>
      <c r="O233" s="538">
        <f t="shared" si="119"/>
        <v>2231</v>
      </c>
      <c r="P233" s="538">
        <f>SUM(P186,P199)</f>
        <v>2339</v>
      </c>
      <c r="Q233" s="538">
        <f>SUM(Q186,Q199)</f>
        <v>2323</v>
      </c>
      <c r="R233" s="538">
        <f>SUM(R186,R199)</f>
        <v>2284</v>
      </c>
    </row>
    <row r="234" spans="2:18" ht="15" x14ac:dyDescent="0.2">
      <c r="B234" s="6416"/>
      <c r="C234" s="267" t="s">
        <v>7</v>
      </c>
      <c r="D234" s="5097"/>
      <c r="E234" s="538">
        <f t="shared" ref="E234:O234" si="120">SUM(E169,E203)</f>
        <v>354</v>
      </c>
      <c r="F234" s="538">
        <f t="shared" si="120"/>
        <v>328</v>
      </c>
      <c r="G234" s="538">
        <f t="shared" si="120"/>
        <v>394</v>
      </c>
      <c r="H234" s="538">
        <f t="shared" si="120"/>
        <v>435</v>
      </c>
      <c r="I234" s="538">
        <f t="shared" si="120"/>
        <v>494</v>
      </c>
      <c r="J234" s="538">
        <f t="shared" si="120"/>
        <v>628</v>
      </c>
      <c r="K234" s="538">
        <f t="shared" si="120"/>
        <v>720</v>
      </c>
      <c r="L234" s="538">
        <f t="shared" si="120"/>
        <v>867</v>
      </c>
      <c r="M234" s="538">
        <f t="shared" si="120"/>
        <v>760</v>
      </c>
      <c r="N234" s="538">
        <f t="shared" si="120"/>
        <v>849</v>
      </c>
      <c r="O234" s="538">
        <f t="shared" si="120"/>
        <v>842</v>
      </c>
      <c r="P234" s="538">
        <f>SUM(P169,P203)</f>
        <v>869</v>
      </c>
      <c r="Q234" s="538">
        <f>SUM(Q169,Q203)</f>
        <v>836</v>
      </c>
      <c r="R234" s="538">
        <f>SUM(R169,R203)</f>
        <v>946</v>
      </c>
    </row>
    <row r="235" spans="2:18" ht="15" x14ac:dyDescent="0.2">
      <c r="B235" s="6416"/>
      <c r="C235" s="267" t="s">
        <v>9</v>
      </c>
      <c r="D235" s="5097"/>
      <c r="E235" s="538"/>
      <c r="F235" s="538"/>
      <c r="G235" s="538"/>
      <c r="H235" s="538"/>
      <c r="I235" s="538"/>
      <c r="J235" s="538"/>
      <c r="K235" s="538"/>
      <c r="L235" s="538"/>
      <c r="M235" s="538">
        <f t="shared" ref="M235:R235" si="121">SUM(M216)</f>
        <v>24</v>
      </c>
      <c r="N235" s="538">
        <f t="shared" si="121"/>
        <v>48</v>
      </c>
      <c r="O235" s="538">
        <f t="shared" si="121"/>
        <v>84</v>
      </c>
      <c r="P235" s="538">
        <f t="shared" si="121"/>
        <v>100</v>
      </c>
      <c r="Q235" s="538">
        <f t="shared" si="121"/>
        <v>122</v>
      </c>
      <c r="R235" s="538">
        <f t="shared" si="121"/>
        <v>124</v>
      </c>
    </row>
    <row r="236" spans="2:18" ht="15" x14ac:dyDescent="0.2">
      <c r="B236" s="6416"/>
      <c r="C236" s="277" t="s">
        <v>74</v>
      </c>
      <c r="D236" s="5097"/>
      <c r="E236" s="540"/>
      <c r="F236" s="540"/>
      <c r="G236" s="540"/>
      <c r="H236" s="540"/>
      <c r="I236" s="540"/>
      <c r="J236" s="540"/>
      <c r="K236" s="540"/>
      <c r="L236" s="540"/>
      <c r="M236" s="540">
        <f t="shared" ref="M236:R236" si="122">SUM(M220)</f>
        <v>196</v>
      </c>
      <c r="N236" s="540">
        <f t="shared" si="122"/>
        <v>320</v>
      </c>
      <c r="O236" s="540">
        <f t="shared" si="122"/>
        <v>417</v>
      </c>
      <c r="P236" s="540">
        <f t="shared" si="122"/>
        <v>520</v>
      </c>
      <c r="Q236" s="540">
        <f t="shared" si="122"/>
        <v>597</v>
      </c>
      <c r="R236" s="540">
        <f t="shared" si="122"/>
        <v>597</v>
      </c>
    </row>
    <row r="237" spans="2:18" ht="15" x14ac:dyDescent="0.2">
      <c r="B237" s="6417"/>
      <c r="C237" s="2693" t="s">
        <v>12</v>
      </c>
      <c r="D237" s="5097"/>
      <c r="E237" s="1223">
        <f t="shared" ref="E237:O237" si="123">SUM(E231:E236)</f>
        <v>5142</v>
      </c>
      <c r="F237" s="1223">
        <f t="shared" si="123"/>
        <v>5231</v>
      </c>
      <c r="G237" s="1223">
        <f t="shared" si="123"/>
        <v>5333</v>
      </c>
      <c r="H237" s="1223">
        <f t="shared" si="123"/>
        <v>5928</v>
      </c>
      <c r="I237" s="1223">
        <f t="shared" si="123"/>
        <v>6173</v>
      </c>
      <c r="J237" s="1223">
        <f t="shared" si="123"/>
        <v>6833</v>
      </c>
      <c r="K237" s="1223">
        <f t="shared" si="123"/>
        <v>7481</v>
      </c>
      <c r="L237" s="1223">
        <f t="shared" si="123"/>
        <v>7829</v>
      </c>
      <c r="M237" s="1223">
        <f t="shared" si="123"/>
        <v>7988</v>
      </c>
      <c r="N237" s="1223">
        <f t="shared" si="123"/>
        <v>8549</v>
      </c>
      <c r="O237" s="1223">
        <f t="shared" si="123"/>
        <v>9059</v>
      </c>
      <c r="P237" s="1223">
        <f>SUM(P231:P236)</f>
        <v>9107</v>
      </c>
      <c r="Q237" s="1223">
        <f>SUM(Q231:Q236)</f>
        <v>9513</v>
      </c>
      <c r="R237" s="1223">
        <f>SUM(R231:R236)</f>
        <v>9429</v>
      </c>
    </row>
    <row r="258" ht="15" customHeight="1" x14ac:dyDescent="0.2"/>
    <row r="275" ht="15" customHeight="1" x14ac:dyDescent="0.2"/>
    <row r="292" ht="15" customHeight="1" x14ac:dyDescent="0.2"/>
    <row r="309" ht="15" customHeight="1" x14ac:dyDescent="0.2"/>
    <row r="319" ht="15" customHeight="1" x14ac:dyDescent="0.2"/>
  </sheetData>
  <sheetProtection algorithmName="SHA-512" hashValue="GaGBPLVEgwedxrdxOEMZCOwoGO0UkaLrEg7CtpLJ3ieK3a5hDhi3FbMKrO0gZ+oxMlkHDQcKqF6/OQBq/GGrsA==" saltValue="AC+jcqq/MJ6qTaZK16125g==" spinCount="100000" sheet="1" objects="1" scenarios="1"/>
  <mergeCells count="38">
    <mergeCell ref="B1:C1"/>
    <mergeCell ref="B221:B224"/>
    <mergeCell ref="B226:B229"/>
    <mergeCell ref="B231:B237"/>
    <mergeCell ref="B200:B203"/>
    <mergeCell ref="B204:B207"/>
    <mergeCell ref="B209:B212"/>
    <mergeCell ref="B213:B216"/>
    <mergeCell ref="B217:B220"/>
    <mergeCell ref="B179:B182"/>
    <mergeCell ref="B183:B186"/>
    <mergeCell ref="B187:B190"/>
    <mergeCell ref="B192:B195"/>
    <mergeCell ref="B196:B199"/>
    <mergeCell ref="B158:B161"/>
    <mergeCell ref="B162:B165"/>
    <mergeCell ref="B60:B63"/>
    <mergeCell ref="B166:B169"/>
    <mergeCell ref="B170:B173"/>
    <mergeCell ref="B175:B178"/>
    <mergeCell ref="B73:B76"/>
    <mergeCell ref="B78:B84"/>
    <mergeCell ref="B64:B67"/>
    <mergeCell ref="B68:B71"/>
    <mergeCell ref="B56:B59"/>
    <mergeCell ref="B34:B37"/>
    <mergeCell ref="B2:L2"/>
    <mergeCell ref="B30:B33"/>
    <mergeCell ref="B9:B12"/>
    <mergeCell ref="B13:B16"/>
    <mergeCell ref="B17:B20"/>
    <mergeCell ref="B22:B25"/>
    <mergeCell ref="B26:B29"/>
    <mergeCell ref="B5:B8"/>
    <mergeCell ref="B39:B42"/>
    <mergeCell ref="B43:B46"/>
    <mergeCell ref="B47:B50"/>
    <mergeCell ref="B51:B54"/>
  </mergeCells>
  <printOptions horizontalCentered="1" verticalCentered="1"/>
  <pageMargins left="0.39370078740157483" right="0.39370078740157483" top="0.27559055118110237" bottom="0.31496062992125984" header="0" footer="0.31496062992125984"/>
  <pageSetup scale="70" orientation="landscape" horizontalDpi="1200" verticalDpi="1200" r:id="rId1"/>
  <headerFooter alignWithMargins="0">
    <oddFooter xml:space="preserve">&amp;R
</oddFooter>
  </headerFooter>
  <rowBreaks count="3" manualBreakCount="3">
    <brk id="37" max="16383" man="1"/>
    <brk id="86" max="16383" man="1"/>
    <brk id="153" max="16383" man="1"/>
  </rowBreaks>
  <ignoredErrors>
    <ignoredError sqref="N6:N7 N9:N11 N23:N24 N27:N28 N30:N32 N39:N41 N43:N45 N48 O39:O42 O23:O32 O6:O11 O46:O48 O43:O45 P9:P15 P23:P32 P39:P48 P6:P7 Q6:Q7 Q9:Q11 Q14:Q15 Q23:Q24 Q27:Q28 Q30:Q32 Q39:Q41 Q43:Q45 Q48:R48 Q66:R66 R8:R9 R6:R7 R12 R10:R11 R14:R15 R23:R26 R29:R32 R27:R28 R46:R47 R42 R39:R41 R43:R45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L52"/>
  <sheetViews>
    <sheetView showGridLines="0" zoomScaleNormal="100" workbookViewId="0">
      <pane xSplit="2" ySplit="5" topLeftCell="R36" activePane="bottomRight" state="frozen"/>
      <selection sqref="A1:E1"/>
      <selection pane="topRight" sqref="A1:E1"/>
      <selection pane="bottomLeft" sqref="A1:E1"/>
      <selection pane="bottomRight" activeCell="AM63" sqref="AM63"/>
    </sheetView>
  </sheetViews>
  <sheetFormatPr baseColWidth="10" defaultRowHeight="15" x14ac:dyDescent="0.25"/>
  <cols>
    <col min="1" max="1" width="15" style="1696" bestFit="1" customWidth="1"/>
    <col min="2" max="2" width="11.42578125" style="1696"/>
    <col min="3" max="38" width="9.7109375" style="1696" customWidth="1"/>
    <col min="39" max="16384" width="11.42578125" style="1696"/>
  </cols>
  <sheetData>
    <row r="1" spans="1:38" ht="36.75" customHeight="1" x14ac:dyDescent="0.25">
      <c r="A1" s="5702" t="s">
        <v>1214</v>
      </c>
      <c r="B1" s="5702"/>
      <c r="AB1" s="186"/>
      <c r="AC1" s="186"/>
    </row>
    <row r="3" spans="1:38" x14ac:dyDescent="0.25">
      <c r="A3" s="5653" t="s">
        <v>16</v>
      </c>
      <c r="B3" s="5653" t="s">
        <v>4</v>
      </c>
      <c r="C3" s="5699">
        <v>2006</v>
      </c>
      <c r="D3" s="5700"/>
      <c r="E3" s="5701"/>
      <c r="F3" s="5699">
        <v>2007</v>
      </c>
      <c r="G3" s="5700"/>
      <c r="H3" s="5701"/>
      <c r="I3" s="5699">
        <v>2008</v>
      </c>
      <c r="J3" s="5700"/>
      <c r="K3" s="5701"/>
      <c r="L3" s="5699">
        <v>2009</v>
      </c>
      <c r="M3" s="5700"/>
      <c r="N3" s="5701"/>
      <c r="O3" s="5699">
        <v>2010</v>
      </c>
      <c r="P3" s="5700"/>
      <c r="Q3" s="5701"/>
      <c r="R3" s="5699">
        <v>2011</v>
      </c>
      <c r="S3" s="5700"/>
      <c r="T3" s="5701"/>
      <c r="U3" s="5699">
        <v>2012</v>
      </c>
      <c r="V3" s="5700"/>
      <c r="W3" s="5701"/>
      <c r="X3" s="5699">
        <v>2013</v>
      </c>
      <c r="Y3" s="5700"/>
      <c r="Z3" s="5701"/>
      <c r="AA3" s="5699">
        <v>2014</v>
      </c>
      <c r="AB3" s="5700"/>
      <c r="AC3" s="5701"/>
      <c r="AD3" s="5699">
        <v>2015</v>
      </c>
      <c r="AE3" s="5700"/>
      <c r="AF3" s="5701"/>
      <c r="AG3" s="5699">
        <v>2016</v>
      </c>
      <c r="AH3" s="5700"/>
      <c r="AI3" s="5701"/>
      <c r="AJ3" s="5699">
        <v>2017</v>
      </c>
      <c r="AK3" s="5700"/>
      <c r="AL3" s="5701"/>
    </row>
    <row r="4" spans="1:38" x14ac:dyDescent="0.25">
      <c r="A4" s="5654"/>
      <c r="B4" s="5654"/>
      <c r="C4" s="1697" t="s">
        <v>658</v>
      </c>
      <c r="D4" s="1697" t="s">
        <v>659</v>
      </c>
      <c r="E4" s="1698" t="s">
        <v>160</v>
      </c>
      <c r="F4" s="1697" t="s">
        <v>658</v>
      </c>
      <c r="G4" s="1697" t="s">
        <v>659</v>
      </c>
      <c r="H4" s="1698" t="s">
        <v>160</v>
      </c>
      <c r="I4" s="1697" t="s">
        <v>658</v>
      </c>
      <c r="J4" s="1697" t="s">
        <v>659</v>
      </c>
      <c r="K4" s="1698" t="s">
        <v>160</v>
      </c>
      <c r="L4" s="1697" t="s">
        <v>658</v>
      </c>
      <c r="M4" s="1697" t="s">
        <v>659</v>
      </c>
      <c r="N4" s="1698" t="s">
        <v>160</v>
      </c>
      <c r="O4" s="1697" t="s">
        <v>658</v>
      </c>
      <c r="P4" s="1697" t="s">
        <v>659</v>
      </c>
      <c r="Q4" s="1698" t="s">
        <v>160</v>
      </c>
      <c r="R4" s="1697" t="s">
        <v>658</v>
      </c>
      <c r="S4" s="1697" t="s">
        <v>659</v>
      </c>
      <c r="T4" s="1698" t="s">
        <v>160</v>
      </c>
      <c r="U4" s="1697" t="s">
        <v>658</v>
      </c>
      <c r="V4" s="1697" t="s">
        <v>659</v>
      </c>
      <c r="W4" s="1698" t="s">
        <v>160</v>
      </c>
      <c r="X4" s="1697" t="s">
        <v>658</v>
      </c>
      <c r="Y4" s="1697" t="s">
        <v>659</v>
      </c>
      <c r="Z4" s="1698" t="s">
        <v>160</v>
      </c>
      <c r="AA4" s="1697" t="s">
        <v>658</v>
      </c>
      <c r="AB4" s="1697" t="s">
        <v>659</v>
      </c>
      <c r="AC4" s="1698" t="s">
        <v>160</v>
      </c>
      <c r="AD4" s="1697" t="s">
        <v>658</v>
      </c>
      <c r="AE4" s="1697" t="s">
        <v>659</v>
      </c>
      <c r="AF4" s="1698" t="s">
        <v>160</v>
      </c>
      <c r="AG4" s="1697" t="s">
        <v>658</v>
      </c>
      <c r="AH4" s="1697" t="s">
        <v>659</v>
      </c>
      <c r="AI4" s="1698" t="s">
        <v>160</v>
      </c>
      <c r="AJ4" s="1697" t="s">
        <v>658</v>
      </c>
      <c r="AK4" s="1697" t="s">
        <v>659</v>
      </c>
      <c r="AL4" s="1698" t="s">
        <v>160</v>
      </c>
    </row>
    <row r="6" spans="1:38" x14ac:dyDescent="0.25">
      <c r="A6" s="5718" t="s">
        <v>161</v>
      </c>
      <c r="B6" s="1699" t="s">
        <v>5</v>
      </c>
      <c r="C6" s="1700">
        <v>1378</v>
      </c>
      <c r="D6" s="1700">
        <v>4420</v>
      </c>
      <c r="E6" s="1700">
        <v>5798</v>
      </c>
      <c r="F6" s="1701">
        <v>1392</v>
      </c>
      <c r="G6" s="1700">
        <v>4404</v>
      </c>
      <c r="H6" s="1702">
        <v>5796</v>
      </c>
      <c r="I6" s="1701">
        <v>1614</v>
      </c>
      <c r="J6" s="1700">
        <v>4730</v>
      </c>
      <c r="K6" s="1702">
        <v>6344</v>
      </c>
      <c r="L6" s="1703">
        <v>1831</v>
      </c>
      <c r="M6" s="1704">
        <v>5162</v>
      </c>
      <c r="N6" s="1702">
        <v>6993</v>
      </c>
      <c r="O6" s="1703">
        <v>2169</v>
      </c>
      <c r="P6" s="1704">
        <v>6124</v>
      </c>
      <c r="Q6" s="1702">
        <f>P6+O6</f>
        <v>8293</v>
      </c>
      <c r="R6" s="1703">
        <v>2087</v>
      </c>
      <c r="S6" s="1704">
        <v>6095</v>
      </c>
      <c r="T6" s="1702">
        <f>SUM(R6:S6)</f>
        <v>8182</v>
      </c>
      <c r="U6" s="1703">
        <v>2213</v>
      </c>
      <c r="V6" s="1704">
        <v>6808</v>
      </c>
      <c r="W6" s="1702">
        <f>SUM(U6:V6)</f>
        <v>9021</v>
      </c>
      <c r="X6" s="1703">
        <v>2332</v>
      </c>
      <c r="Y6" s="1704">
        <v>6617</v>
      </c>
      <c r="Z6" s="1702">
        <f>SUM(X6:Y6)</f>
        <v>8949</v>
      </c>
      <c r="AA6" s="1703">
        <v>2435</v>
      </c>
      <c r="AB6" s="1704">
        <v>6661</v>
      </c>
      <c r="AC6" s="1702">
        <f>SUM(AA6:AB6)</f>
        <v>9096</v>
      </c>
      <c r="AD6" s="1703">
        <v>2742</v>
      </c>
      <c r="AE6" s="1704">
        <v>7366</v>
      </c>
      <c r="AF6" s="1702">
        <f>SUM(AD6:AE6)</f>
        <v>10108</v>
      </c>
      <c r="AG6" s="1703">
        <v>2827</v>
      </c>
      <c r="AH6" s="1704">
        <v>7533</v>
      </c>
      <c r="AI6" s="1702">
        <f>SUM(AG6:AH6)</f>
        <v>10360</v>
      </c>
      <c r="AJ6" s="1703">
        <v>2790</v>
      </c>
      <c r="AK6" s="1704">
        <v>7561</v>
      </c>
      <c r="AL6" s="1702">
        <f>SUM(AJ6:AK6)</f>
        <v>10351</v>
      </c>
    </row>
    <row r="7" spans="1:38" x14ac:dyDescent="0.25">
      <c r="A7" s="5719"/>
      <c r="B7" s="1705" t="s">
        <v>6</v>
      </c>
      <c r="C7" s="1706">
        <v>5303</v>
      </c>
      <c r="D7" s="1706">
        <v>3806</v>
      </c>
      <c r="E7" s="1706">
        <v>9109</v>
      </c>
      <c r="F7" s="1707">
        <v>5446</v>
      </c>
      <c r="G7" s="1706">
        <v>4005</v>
      </c>
      <c r="H7" s="1708">
        <v>9451</v>
      </c>
      <c r="I7" s="1707">
        <v>5563</v>
      </c>
      <c r="J7" s="1706">
        <v>4140</v>
      </c>
      <c r="K7" s="1708">
        <v>9703</v>
      </c>
      <c r="L7" s="1709">
        <v>5842</v>
      </c>
      <c r="M7" s="1710">
        <v>4224</v>
      </c>
      <c r="N7" s="1708">
        <v>10066</v>
      </c>
      <c r="O7" s="1709">
        <v>6385</v>
      </c>
      <c r="P7" s="1710">
        <v>4490</v>
      </c>
      <c r="Q7" s="1708">
        <f>P7+O7</f>
        <v>10875</v>
      </c>
      <c r="R7" s="1709">
        <v>6342</v>
      </c>
      <c r="S7" s="1710">
        <v>4504</v>
      </c>
      <c r="T7" s="1708">
        <f>SUM(R7:S7)</f>
        <v>10846</v>
      </c>
      <c r="U7" s="1709">
        <v>6761</v>
      </c>
      <c r="V7" s="1710">
        <v>4952</v>
      </c>
      <c r="W7" s="1708">
        <f>SUM(U7:V7)</f>
        <v>11713</v>
      </c>
      <c r="X7" s="1709">
        <v>6580</v>
      </c>
      <c r="Y7" s="1710">
        <v>4805</v>
      </c>
      <c r="Z7" s="1708">
        <f>SUM(X7:Y7)</f>
        <v>11385</v>
      </c>
      <c r="AA7" s="1709">
        <v>6127</v>
      </c>
      <c r="AB7" s="1710">
        <v>4625</v>
      </c>
      <c r="AC7" s="1708">
        <f>SUM(AA7:AB7)</f>
        <v>10752</v>
      </c>
      <c r="AD7" s="1709">
        <v>6565</v>
      </c>
      <c r="AE7" s="1710">
        <v>4853</v>
      </c>
      <c r="AF7" s="1708">
        <f>SUM(AD7:AE7)</f>
        <v>11418</v>
      </c>
      <c r="AG7" s="1709">
        <v>6512</v>
      </c>
      <c r="AH7" s="1710">
        <v>4779</v>
      </c>
      <c r="AI7" s="1708">
        <f>SUM(AG7:AH7)</f>
        <v>11291</v>
      </c>
      <c r="AJ7" s="1709">
        <v>6404</v>
      </c>
      <c r="AK7" s="1710">
        <v>4574</v>
      </c>
      <c r="AL7" s="1708">
        <f>SUM(AJ7:AK7)</f>
        <v>10978</v>
      </c>
    </row>
    <row r="8" spans="1:38" x14ac:dyDescent="0.25">
      <c r="A8" s="5719"/>
      <c r="B8" s="1705" t="s">
        <v>7</v>
      </c>
      <c r="C8" s="1706">
        <v>2566</v>
      </c>
      <c r="D8" s="1706">
        <v>2823</v>
      </c>
      <c r="E8" s="1706">
        <v>5389</v>
      </c>
      <c r="F8" s="1707">
        <v>2930</v>
      </c>
      <c r="G8" s="1706">
        <v>3191</v>
      </c>
      <c r="H8" s="1708">
        <v>6121</v>
      </c>
      <c r="I8" s="1707">
        <v>3279</v>
      </c>
      <c r="J8" s="1706">
        <v>3643</v>
      </c>
      <c r="K8" s="1706">
        <v>6922</v>
      </c>
      <c r="L8" s="1707">
        <v>3728</v>
      </c>
      <c r="M8" s="1706">
        <v>3676</v>
      </c>
      <c r="N8" s="1708">
        <v>7404</v>
      </c>
      <c r="O8" s="1707">
        <v>4183</v>
      </c>
      <c r="P8" s="1706">
        <v>4185</v>
      </c>
      <c r="Q8" s="1708">
        <f>P8+O8</f>
        <v>8368</v>
      </c>
      <c r="R8" s="1707">
        <v>4237</v>
      </c>
      <c r="S8" s="1706">
        <v>4121</v>
      </c>
      <c r="T8" s="1708">
        <f>SUM(R8:S8)</f>
        <v>8358</v>
      </c>
      <c r="U8" s="1707">
        <v>4764</v>
      </c>
      <c r="V8" s="1706">
        <v>4714</v>
      </c>
      <c r="W8" s="1708">
        <f>SUM(U8:V8)</f>
        <v>9478</v>
      </c>
      <c r="X8" s="1707">
        <v>4348</v>
      </c>
      <c r="Y8" s="1706">
        <v>4309</v>
      </c>
      <c r="Z8" s="1708">
        <f>SUM(X8:Y8)</f>
        <v>8657</v>
      </c>
      <c r="AA8" s="1707">
        <v>4094</v>
      </c>
      <c r="AB8" s="1706">
        <v>3891</v>
      </c>
      <c r="AC8" s="1708">
        <f>SUM(AA8:AB8)</f>
        <v>7985</v>
      </c>
      <c r="AD8" s="1707">
        <v>3968</v>
      </c>
      <c r="AE8" s="1706">
        <v>3803</v>
      </c>
      <c r="AF8" s="1708">
        <f>SUM(AD8:AE8)</f>
        <v>7771</v>
      </c>
      <c r="AG8" s="1707">
        <v>3964</v>
      </c>
      <c r="AH8" s="1706">
        <v>3748</v>
      </c>
      <c r="AI8" s="1708">
        <f>SUM(AG8:AH8)</f>
        <v>7712</v>
      </c>
      <c r="AJ8" s="1707">
        <v>3714</v>
      </c>
      <c r="AK8" s="1706">
        <v>3639</v>
      </c>
      <c r="AL8" s="1708">
        <f>SUM(AJ8:AK8)</f>
        <v>7353</v>
      </c>
    </row>
    <row r="9" spans="1:38" x14ac:dyDescent="0.25">
      <c r="A9" s="5720"/>
      <c r="B9" s="2324" t="s">
        <v>12</v>
      </c>
      <c r="C9" s="2326">
        <v>9247</v>
      </c>
      <c r="D9" s="2326">
        <v>11049</v>
      </c>
      <c r="E9" s="2326">
        <v>20296</v>
      </c>
      <c r="F9" s="2325">
        <v>9768</v>
      </c>
      <c r="G9" s="2326">
        <v>11600</v>
      </c>
      <c r="H9" s="2327">
        <v>21368</v>
      </c>
      <c r="I9" s="2325">
        <v>10456</v>
      </c>
      <c r="J9" s="2326">
        <v>12513</v>
      </c>
      <c r="K9" s="2327">
        <v>22969</v>
      </c>
      <c r="L9" s="3887">
        <v>11401</v>
      </c>
      <c r="M9" s="3888">
        <v>13062</v>
      </c>
      <c r="N9" s="2327">
        <v>24463</v>
      </c>
      <c r="O9" s="3887">
        <f>SUM(O6:O8)</f>
        <v>12737</v>
      </c>
      <c r="P9" s="3888">
        <f>SUM(P6:P8)</f>
        <v>14799</v>
      </c>
      <c r="Q9" s="2327">
        <f>P9+O9</f>
        <v>27536</v>
      </c>
      <c r="R9" s="3887">
        <f>SUM(R6:R8)</f>
        <v>12666</v>
      </c>
      <c r="S9" s="3888">
        <f>SUM(S6:S8)</f>
        <v>14720</v>
      </c>
      <c r="T9" s="2327">
        <f>S9+R9</f>
        <v>27386</v>
      </c>
      <c r="U9" s="3887">
        <f>SUM(U6:U8)</f>
        <v>13738</v>
      </c>
      <c r="V9" s="3888">
        <f>SUM(V6:V8)</f>
        <v>16474</v>
      </c>
      <c r="W9" s="2327">
        <f>V9+U9</f>
        <v>30212</v>
      </c>
      <c r="X9" s="3887">
        <f>SUM(X6:X8)</f>
        <v>13260</v>
      </c>
      <c r="Y9" s="3888">
        <f>SUM(Y6:Y8)</f>
        <v>15731</v>
      </c>
      <c r="Z9" s="2327">
        <f>Y9+X9</f>
        <v>28991</v>
      </c>
      <c r="AA9" s="3887">
        <f>SUM(AA6:AA8)</f>
        <v>12656</v>
      </c>
      <c r="AB9" s="3888">
        <f>SUM(AB6:AB8)</f>
        <v>15177</v>
      </c>
      <c r="AC9" s="2327">
        <f>AB9+AA9</f>
        <v>27833</v>
      </c>
      <c r="AD9" s="3887">
        <f>SUM(AD6:AD8)</f>
        <v>13275</v>
      </c>
      <c r="AE9" s="3888">
        <f>SUM(AE6:AE8)</f>
        <v>16022</v>
      </c>
      <c r="AF9" s="2327">
        <f>AE9+AD9</f>
        <v>29297</v>
      </c>
      <c r="AG9" s="3887">
        <f>SUM(AG6:AG8)</f>
        <v>13303</v>
      </c>
      <c r="AH9" s="3888">
        <f>SUM(AH6:AH8)</f>
        <v>16060</v>
      </c>
      <c r="AI9" s="2327">
        <f>AH9+AG9</f>
        <v>29363</v>
      </c>
      <c r="AJ9" s="3887">
        <f>SUM(AJ6:AJ8)</f>
        <v>12908</v>
      </c>
      <c r="AK9" s="3888">
        <f>SUM(AK6:AK8)</f>
        <v>15774</v>
      </c>
      <c r="AL9" s="2327">
        <f>AK9+AJ9</f>
        <v>28682</v>
      </c>
    </row>
    <row r="10" spans="1:38" x14ac:dyDescent="0.25">
      <c r="A10" s="1717"/>
      <c r="B10" s="1717"/>
      <c r="C10" s="1718"/>
      <c r="D10" s="1718"/>
      <c r="E10" s="1718"/>
      <c r="F10" s="1717"/>
      <c r="G10" s="1717"/>
      <c r="H10" s="1717"/>
      <c r="I10" s="1717"/>
      <c r="J10" s="1717"/>
      <c r="K10" s="1717"/>
      <c r="L10" s="1717"/>
      <c r="M10" s="1717"/>
      <c r="N10" s="1717"/>
      <c r="O10" s="1717"/>
      <c r="P10" s="1717"/>
      <c r="Q10" s="1717"/>
      <c r="R10" s="1717"/>
      <c r="S10" s="1717"/>
      <c r="T10" s="1717"/>
      <c r="U10" s="1717"/>
      <c r="V10" s="1717"/>
      <c r="W10" s="1717"/>
      <c r="X10" s="1717"/>
      <c r="Y10" s="1717"/>
      <c r="Z10" s="1717"/>
      <c r="AA10" s="1717"/>
      <c r="AB10" s="1717"/>
      <c r="AC10" s="1717"/>
      <c r="AD10" s="1717"/>
      <c r="AE10" s="1717"/>
      <c r="AF10" s="1717"/>
      <c r="AG10" s="1717"/>
      <c r="AH10" s="1717"/>
      <c r="AI10" s="1717"/>
      <c r="AJ10" s="1717"/>
      <c r="AK10" s="1717"/>
      <c r="AL10" s="1717"/>
    </row>
    <row r="11" spans="1:38" x14ac:dyDescent="0.25">
      <c r="A11" s="5715" t="s">
        <v>407</v>
      </c>
      <c r="B11" s="1699" t="s">
        <v>6</v>
      </c>
      <c r="C11" s="1700">
        <v>57</v>
      </c>
      <c r="D11" s="1700">
        <v>46</v>
      </c>
      <c r="E11" s="1700">
        <v>103</v>
      </c>
      <c r="F11" s="1701">
        <v>105</v>
      </c>
      <c r="G11" s="1700">
        <v>65</v>
      </c>
      <c r="H11" s="1702">
        <v>170</v>
      </c>
      <c r="I11" s="1701">
        <v>136</v>
      </c>
      <c r="J11" s="1700">
        <v>86</v>
      </c>
      <c r="K11" s="1702">
        <v>222</v>
      </c>
      <c r="L11" s="1703">
        <v>130</v>
      </c>
      <c r="M11" s="1704">
        <v>112</v>
      </c>
      <c r="N11" s="1702">
        <v>242</v>
      </c>
      <c r="O11" s="1703">
        <v>181</v>
      </c>
      <c r="P11" s="1704">
        <v>125</v>
      </c>
      <c r="Q11" s="1702">
        <f>P11+O11</f>
        <v>306</v>
      </c>
      <c r="R11" s="1703">
        <v>178</v>
      </c>
      <c r="S11" s="1704">
        <v>143</v>
      </c>
      <c r="T11" s="1702">
        <f>SUM(R11:S11)</f>
        <v>321</v>
      </c>
      <c r="U11" s="1703">
        <v>191</v>
      </c>
      <c r="V11" s="1704">
        <v>143</v>
      </c>
      <c r="W11" s="1702">
        <f>SUM(U11:V11)</f>
        <v>334</v>
      </c>
      <c r="X11" s="1703">
        <v>375</v>
      </c>
      <c r="Y11" s="1704">
        <v>341</v>
      </c>
      <c r="Z11" s="1702">
        <f>SUM(X11:Y11)</f>
        <v>716</v>
      </c>
      <c r="AA11" s="1703">
        <v>623</v>
      </c>
      <c r="AB11" s="1704">
        <v>528</v>
      </c>
      <c r="AC11" s="1702">
        <f>SUM(AA11:AB11)</f>
        <v>1151</v>
      </c>
      <c r="AD11" s="1703">
        <v>883</v>
      </c>
      <c r="AE11" s="1704">
        <v>705</v>
      </c>
      <c r="AF11" s="1702">
        <f>SUM(AD11:AE11)</f>
        <v>1588</v>
      </c>
      <c r="AG11" s="1703">
        <v>1192</v>
      </c>
      <c r="AH11" s="1704">
        <v>850</v>
      </c>
      <c r="AI11" s="1702">
        <f>SUM(AG11:AH11)</f>
        <v>2042</v>
      </c>
      <c r="AJ11" s="1703">
        <v>1177</v>
      </c>
      <c r="AK11" s="1704">
        <v>816</v>
      </c>
      <c r="AL11" s="1702">
        <f>SUM(AJ11:AK11)</f>
        <v>1993</v>
      </c>
    </row>
    <row r="12" spans="1:38" x14ac:dyDescent="0.25">
      <c r="A12" s="5716"/>
      <c r="B12" s="1719" t="s">
        <v>9</v>
      </c>
      <c r="C12" s="1720">
        <v>54</v>
      </c>
      <c r="D12" s="1720">
        <v>35</v>
      </c>
      <c r="E12" s="1720">
        <v>89</v>
      </c>
      <c r="F12" s="1721">
        <v>312</v>
      </c>
      <c r="G12" s="1720">
        <v>276</v>
      </c>
      <c r="H12" s="1722">
        <v>588</v>
      </c>
      <c r="I12" s="1721">
        <v>329</v>
      </c>
      <c r="J12" s="1720">
        <v>356</v>
      </c>
      <c r="K12" s="1722">
        <v>685</v>
      </c>
      <c r="L12" s="1709">
        <v>469</v>
      </c>
      <c r="M12" s="1710">
        <v>410</v>
      </c>
      <c r="N12" s="1708">
        <v>879</v>
      </c>
      <c r="O12" s="1709">
        <v>586</v>
      </c>
      <c r="P12" s="1710">
        <v>508</v>
      </c>
      <c r="Q12" s="1708">
        <f>P12+O12</f>
        <v>1094</v>
      </c>
      <c r="R12" s="1709">
        <v>505</v>
      </c>
      <c r="S12" s="1710">
        <v>506</v>
      </c>
      <c r="T12" s="1708">
        <f>SUM(R12:S12)</f>
        <v>1011</v>
      </c>
      <c r="U12" s="1709">
        <v>519</v>
      </c>
      <c r="V12" s="1710">
        <v>482</v>
      </c>
      <c r="W12" s="1708">
        <f>SUM(U12:V12)</f>
        <v>1001</v>
      </c>
      <c r="X12" s="1709">
        <v>996</v>
      </c>
      <c r="Y12" s="1710">
        <v>891</v>
      </c>
      <c r="Z12" s="1708">
        <f>SUM(X12:Y12)</f>
        <v>1887</v>
      </c>
      <c r="AA12" s="1709">
        <v>1008</v>
      </c>
      <c r="AB12" s="1710">
        <v>912</v>
      </c>
      <c r="AC12" s="1708">
        <f>SUM(AA12:AB12)</f>
        <v>1920</v>
      </c>
      <c r="AD12" s="1709">
        <v>1061</v>
      </c>
      <c r="AE12" s="1710">
        <v>865</v>
      </c>
      <c r="AF12" s="1708">
        <f>SUM(AD12:AE12)</f>
        <v>1926</v>
      </c>
      <c r="AG12" s="1709">
        <v>974</v>
      </c>
      <c r="AH12" s="1710">
        <v>892</v>
      </c>
      <c r="AI12" s="1708">
        <f>SUM(AG12:AH12)</f>
        <v>1866</v>
      </c>
      <c r="AJ12" s="1709">
        <v>980</v>
      </c>
      <c r="AK12" s="1710">
        <v>912</v>
      </c>
      <c r="AL12" s="1708">
        <f>SUM(AJ12:AK12)</f>
        <v>1892</v>
      </c>
    </row>
    <row r="13" spans="1:38" x14ac:dyDescent="0.25">
      <c r="A13" s="5716"/>
      <c r="B13" s="1705" t="s">
        <v>74</v>
      </c>
      <c r="C13" s="1706">
        <v>34</v>
      </c>
      <c r="D13" s="1706">
        <v>60</v>
      </c>
      <c r="E13" s="1706">
        <v>94</v>
      </c>
      <c r="F13" s="1707">
        <v>44</v>
      </c>
      <c r="G13" s="1706">
        <v>125</v>
      </c>
      <c r="H13" s="1708">
        <v>169</v>
      </c>
      <c r="I13" s="1707">
        <v>70</v>
      </c>
      <c r="J13" s="1706">
        <v>176</v>
      </c>
      <c r="K13" s="1708">
        <v>246</v>
      </c>
      <c r="L13" s="1723">
        <v>79</v>
      </c>
      <c r="M13" s="1724">
        <v>162</v>
      </c>
      <c r="N13" s="1708">
        <v>241</v>
      </c>
      <c r="O13" s="1723">
        <v>162</v>
      </c>
      <c r="P13" s="1724">
        <v>282</v>
      </c>
      <c r="Q13" s="1708">
        <f>P13+O13</f>
        <v>444</v>
      </c>
      <c r="R13" s="1723">
        <v>138</v>
      </c>
      <c r="S13" s="1724">
        <v>242</v>
      </c>
      <c r="T13" s="1708">
        <f>SUM(R13:S13)</f>
        <v>380</v>
      </c>
      <c r="U13" s="1723">
        <v>122</v>
      </c>
      <c r="V13" s="1724">
        <v>241</v>
      </c>
      <c r="W13" s="1708">
        <f>SUM(U13:V13)</f>
        <v>363</v>
      </c>
      <c r="X13" s="1707">
        <v>307</v>
      </c>
      <c r="Y13" s="1706">
        <v>463</v>
      </c>
      <c r="Z13" s="1708">
        <f>SUM(X13:Y13)</f>
        <v>770</v>
      </c>
      <c r="AA13" s="1707">
        <v>301</v>
      </c>
      <c r="AB13" s="1706">
        <v>548</v>
      </c>
      <c r="AC13" s="1708">
        <f>SUM(AA13:AB13)</f>
        <v>849</v>
      </c>
      <c r="AD13" s="1707">
        <v>368</v>
      </c>
      <c r="AE13" s="1706">
        <v>587</v>
      </c>
      <c r="AF13" s="1708">
        <f>SUM(AD13:AE13)</f>
        <v>955</v>
      </c>
      <c r="AG13" s="1707">
        <v>361</v>
      </c>
      <c r="AH13" s="1706">
        <v>644</v>
      </c>
      <c r="AI13" s="1708">
        <f>SUM(AG13:AH13)</f>
        <v>1005</v>
      </c>
      <c r="AJ13" s="1707">
        <v>395</v>
      </c>
      <c r="AK13" s="1706">
        <v>598</v>
      </c>
      <c r="AL13" s="1708">
        <f>SUM(AJ13:AK13)</f>
        <v>993</v>
      </c>
    </row>
    <row r="14" spans="1:38" x14ac:dyDescent="0.25">
      <c r="A14" s="5717"/>
      <c r="B14" s="2332" t="s">
        <v>12</v>
      </c>
      <c r="C14" s="2334">
        <v>145</v>
      </c>
      <c r="D14" s="2334">
        <v>141</v>
      </c>
      <c r="E14" s="2334">
        <v>286</v>
      </c>
      <c r="F14" s="2333">
        <v>461</v>
      </c>
      <c r="G14" s="2334">
        <v>466</v>
      </c>
      <c r="H14" s="2335">
        <v>927</v>
      </c>
      <c r="I14" s="2333">
        <v>535</v>
      </c>
      <c r="J14" s="2334">
        <v>618</v>
      </c>
      <c r="K14" s="2335">
        <v>1153</v>
      </c>
      <c r="L14" s="3889">
        <v>678</v>
      </c>
      <c r="M14" s="3890">
        <v>684</v>
      </c>
      <c r="N14" s="2335">
        <v>1362</v>
      </c>
      <c r="O14" s="3889">
        <f>SUM(O11:O13)</f>
        <v>929</v>
      </c>
      <c r="P14" s="3890">
        <f>SUM(P11:P13)</f>
        <v>915</v>
      </c>
      <c r="Q14" s="2335">
        <f>P14+O14</f>
        <v>1844</v>
      </c>
      <c r="R14" s="3889">
        <f>SUM(R11:R13)</f>
        <v>821</v>
      </c>
      <c r="S14" s="3890">
        <f>SUM(S11:S13)</f>
        <v>891</v>
      </c>
      <c r="T14" s="2335">
        <f>S14+R14</f>
        <v>1712</v>
      </c>
      <c r="U14" s="3889">
        <f>SUM(U11:U13)</f>
        <v>832</v>
      </c>
      <c r="V14" s="3890">
        <f>SUM(V11:V13)</f>
        <v>866</v>
      </c>
      <c r="W14" s="2335">
        <f>V14+U14</f>
        <v>1698</v>
      </c>
      <c r="X14" s="3889">
        <f>SUM(X11:X13)</f>
        <v>1678</v>
      </c>
      <c r="Y14" s="3890">
        <f>SUM(Y11:Y13)</f>
        <v>1695</v>
      </c>
      <c r="Z14" s="2335">
        <f>Y14+X14</f>
        <v>3373</v>
      </c>
      <c r="AA14" s="3889">
        <f>SUM(AA11:AA13)</f>
        <v>1932</v>
      </c>
      <c r="AB14" s="3890">
        <f>SUM(AB11:AB13)</f>
        <v>1988</v>
      </c>
      <c r="AC14" s="2335">
        <f>AB14+AA14</f>
        <v>3920</v>
      </c>
      <c r="AD14" s="3889">
        <f>SUM(AD11:AD13)</f>
        <v>2312</v>
      </c>
      <c r="AE14" s="3890">
        <f>SUM(AE11:AE13)</f>
        <v>2157</v>
      </c>
      <c r="AF14" s="2335">
        <f>AE14+AD14</f>
        <v>4469</v>
      </c>
      <c r="AG14" s="3889">
        <f>SUM(AG11:AG13)</f>
        <v>2527</v>
      </c>
      <c r="AH14" s="3890">
        <f>SUM(AH11:AH13)</f>
        <v>2386</v>
      </c>
      <c r="AI14" s="2335">
        <f>AH14+AG14</f>
        <v>4913</v>
      </c>
      <c r="AJ14" s="3889">
        <f>SUM(AJ11:AJ13)</f>
        <v>2552</v>
      </c>
      <c r="AK14" s="3890">
        <f>SUM(AK11:AK13)</f>
        <v>2326</v>
      </c>
      <c r="AL14" s="2335">
        <f>AK14+AJ14</f>
        <v>4878</v>
      </c>
    </row>
    <row r="15" spans="1:38" x14ac:dyDescent="0.25">
      <c r="C15" s="1725"/>
      <c r="D15" s="1725"/>
      <c r="E15" s="1725"/>
    </row>
    <row r="16" spans="1:38" x14ac:dyDescent="0.25">
      <c r="A16" s="5703" t="s">
        <v>162</v>
      </c>
      <c r="B16" s="1699" t="s">
        <v>5</v>
      </c>
      <c r="C16" s="1700">
        <v>869</v>
      </c>
      <c r="D16" s="1700">
        <v>2140</v>
      </c>
      <c r="E16" s="1700">
        <v>3009</v>
      </c>
      <c r="F16" s="1701">
        <v>822</v>
      </c>
      <c r="G16" s="1700">
        <v>2031</v>
      </c>
      <c r="H16" s="1702">
        <v>2853</v>
      </c>
      <c r="I16" s="1701">
        <v>934</v>
      </c>
      <c r="J16" s="1700">
        <v>2119</v>
      </c>
      <c r="K16" s="1702">
        <v>3053</v>
      </c>
      <c r="L16" s="1703">
        <v>1029</v>
      </c>
      <c r="M16" s="1704">
        <v>2340</v>
      </c>
      <c r="N16" s="1702">
        <v>3369</v>
      </c>
      <c r="O16" s="1703">
        <v>950</v>
      </c>
      <c r="P16" s="1704">
        <v>2154</v>
      </c>
      <c r="Q16" s="1702">
        <f>P16+O16</f>
        <v>3104</v>
      </c>
      <c r="R16" s="1703">
        <v>892</v>
      </c>
      <c r="S16" s="1704">
        <v>2189</v>
      </c>
      <c r="T16" s="1702">
        <f>SUM(R16:S16)</f>
        <v>3081</v>
      </c>
      <c r="U16" s="1703">
        <v>1064</v>
      </c>
      <c r="V16" s="1704">
        <v>2526</v>
      </c>
      <c r="W16" s="1702">
        <f>SUM(U16:V16)</f>
        <v>3590</v>
      </c>
      <c r="X16" s="1703">
        <v>1077</v>
      </c>
      <c r="Y16" s="1704">
        <v>2576</v>
      </c>
      <c r="Z16" s="1702">
        <f>SUM(X16:Y16)</f>
        <v>3653</v>
      </c>
      <c r="AA16" s="1703">
        <v>1119</v>
      </c>
      <c r="AB16" s="1704">
        <v>2515</v>
      </c>
      <c r="AC16" s="1702">
        <f>SUM(AA16:AB16)</f>
        <v>3634</v>
      </c>
      <c r="AD16" s="1703">
        <v>1257</v>
      </c>
      <c r="AE16" s="1704">
        <v>2874</v>
      </c>
      <c r="AF16" s="1702">
        <f>SUM(AD16:AE16)</f>
        <v>4131</v>
      </c>
      <c r="AG16" s="1703">
        <v>1369</v>
      </c>
      <c r="AH16" s="1704">
        <v>3006</v>
      </c>
      <c r="AI16" s="1702">
        <f>SUM(AG16:AH16)</f>
        <v>4375</v>
      </c>
      <c r="AJ16" s="1703">
        <v>1203</v>
      </c>
      <c r="AK16" s="1704">
        <v>2730</v>
      </c>
      <c r="AL16" s="1702">
        <f>SUM(AJ16:AK16)</f>
        <v>3933</v>
      </c>
    </row>
    <row r="17" spans="1:38" x14ac:dyDescent="0.25">
      <c r="A17" s="5704"/>
      <c r="B17" s="1705" t="s">
        <v>6</v>
      </c>
      <c r="C17" s="1706">
        <v>3264</v>
      </c>
      <c r="D17" s="1706">
        <v>1999</v>
      </c>
      <c r="E17" s="1706">
        <v>5263</v>
      </c>
      <c r="F17" s="1707">
        <v>3405</v>
      </c>
      <c r="G17" s="1706">
        <v>2015</v>
      </c>
      <c r="H17" s="1708">
        <v>5420</v>
      </c>
      <c r="I17" s="1707">
        <v>3698</v>
      </c>
      <c r="J17" s="1706">
        <v>2277</v>
      </c>
      <c r="K17" s="1708">
        <v>5975</v>
      </c>
      <c r="L17" s="1723">
        <v>3938</v>
      </c>
      <c r="M17" s="1724">
        <v>2534</v>
      </c>
      <c r="N17" s="1708">
        <v>6472</v>
      </c>
      <c r="O17" s="1723">
        <v>4577</v>
      </c>
      <c r="P17" s="1724">
        <v>2821</v>
      </c>
      <c r="Q17" s="1708">
        <f>P17+O17</f>
        <v>7398</v>
      </c>
      <c r="R17" s="1723">
        <v>4562</v>
      </c>
      <c r="S17" s="1724">
        <v>2761</v>
      </c>
      <c r="T17" s="1708">
        <f>SUM(R17:S17)</f>
        <v>7323</v>
      </c>
      <c r="U17" s="1723">
        <v>5055</v>
      </c>
      <c r="V17" s="1724">
        <v>3258</v>
      </c>
      <c r="W17" s="1708">
        <f>SUM(U17:V17)</f>
        <v>8313</v>
      </c>
      <c r="X17" s="1709">
        <v>4952</v>
      </c>
      <c r="Y17" s="1710">
        <v>3255</v>
      </c>
      <c r="Z17" s="1708">
        <f>SUM(X17:Y17)</f>
        <v>8207</v>
      </c>
      <c r="AA17" s="1709">
        <v>4709</v>
      </c>
      <c r="AB17" s="1710">
        <v>3127</v>
      </c>
      <c r="AC17" s="1708">
        <f>SUM(AA17:AB17)</f>
        <v>7836</v>
      </c>
      <c r="AD17" s="1709">
        <v>4925</v>
      </c>
      <c r="AE17" s="1710">
        <v>3230</v>
      </c>
      <c r="AF17" s="1708">
        <f>SUM(AD17:AE17)</f>
        <v>8155</v>
      </c>
      <c r="AG17" s="1709">
        <v>4815</v>
      </c>
      <c r="AH17" s="1710">
        <v>3284</v>
      </c>
      <c r="AI17" s="1708">
        <f>SUM(AG17:AH17)</f>
        <v>8099</v>
      </c>
      <c r="AJ17" s="1709">
        <v>4795</v>
      </c>
      <c r="AK17" s="1710">
        <v>3048</v>
      </c>
      <c r="AL17" s="1708">
        <f>SUM(AJ17:AK17)</f>
        <v>7843</v>
      </c>
    </row>
    <row r="18" spans="1:38" x14ac:dyDescent="0.25">
      <c r="A18" s="5704"/>
      <c r="B18" s="1705" t="s">
        <v>11</v>
      </c>
      <c r="C18" s="1706">
        <v>908</v>
      </c>
      <c r="D18" s="1706">
        <v>576</v>
      </c>
      <c r="E18" s="1706">
        <v>1484</v>
      </c>
      <c r="F18" s="1707">
        <v>910</v>
      </c>
      <c r="G18" s="1706">
        <v>535</v>
      </c>
      <c r="H18" s="1708">
        <v>1445</v>
      </c>
      <c r="I18" s="1707">
        <v>1193</v>
      </c>
      <c r="J18" s="1706">
        <v>703</v>
      </c>
      <c r="K18" s="1708">
        <v>1896</v>
      </c>
      <c r="L18" s="1723">
        <v>1366</v>
      </c>
      <c r="M18" s="1724">
        <v>830</v>
      </c>
      <c r="N18" s="1708">
        <v>2196</v>
      </c>
      <c r="O18" s="1723">
        <v>1436</v>
      </c>
      <c r="P18" s="1724">
        <v>958</v>
      </c>
      <c r="Q18" s="1708">
        <f>P18+O18</f>
        <v>2394</v>
      </c>
      <c r="R18" s="1723">
        <v>1571</v>
      </c>
      <c r="S18" s="1724">
        <v>1033</v>
      </c>
      <c r="T18" s="1708">
        <f>SUM(R18:S18)</f>
        <v>2604</v>
      </c>
      <c r="U18" s="1723">
        <v>1667</v>
      </c>
      <c r="V18" s="1724">
        <v>1161</v>
      </c>
      <c r="W18" s="1708">
        <f>SUM(U18:V18)</f>
        <v>2828</v>
      </c>
      <c r="X18" s="1707">
        <v>1723</v>
      </c>
      <c r="Y18" s="1706">
        <v>1107</v>
      </c>
      <c r="Z18" s="1708">
        <f>SUM(X18:Y18)</f>
        <v>2830</v>
      </c>
      <c r="AA18" s="1707">
        <v>1794</v>
      </c>
      <c r="AB18" s="1706">
        <v>1179</v>
      </c>
      <c r="AC18" s="1708">
        <f>SUM(AA18:AB18)</f>
        <v>2973</v>
      </c>
      <c r="AD18" s="1707">
        <v>1855</v>
      </c>
      <c r="AE18" s="1706">
        <v>1260</v>
      </c>
      <c r="AF18" s="1708">
        <f>SUM(AD18:AE18)</f>
        <v>3115</v>
      </c>
      <c r="AG18" s="1707">
        <v>1948</v>
      </c>
      <c r="AH18" s="1706">
        <v>1219</v>
      </c>
      <c r="AI18" s="1708">
        <f>SUM(AG18:AH18)</f>
        <v>3167</v>
      </c>
      <c r="AJ18" s="1707">
        <v>2015</v>
      </c>
      <c r="AK18" s="1706">
        <v>1184</v>
      </c>
      <c r="AL18" s="1708">
        <f>SUM(AJ18:AK18)</f>
        <v>3199</v>
      </c>
    </row>
    <row r="19" spans="1:38" x14ac:dyDescent="0.25">
      <c r="A19" s="5705"/>
      <c r="B19" s="2320" t="s">
        <v>12</v>
      </c>
      <c r="C19" s="2322">
        <v>5041</v>
      </c>
      <c r="D19" s="2322">
        <v>4715</v>
      </c>
      <c r="E19" s="2322">
        <v>9756</v>
      </c>
      <c r="F19" s="2321">
        <v>5137</v>
      </c>
      <c r="G19" s="2322">
        <v>4581</v>
      </c>
      <c r="H19" s="2323">
        <v>9718</v>
      </c>
      <c r="I19" s="2321">
        <v>5825</v>
      </c>
      <c r="J19" s="2322">
        <v>5099</v>
      </c>
      <c r="K19" s="2323">
        <v>10924</v>
      </c>
      <c r="L19" s="3893">
        <v>6333</v>
      </c>
      <c r="M19" s="3894">
        <v>5704</v>
      </c>
      <c r="N19" s="2323">
        <v>12037</v>
      </c>
      <c r="O19" s="3893">
        <f>SUM(O16:O18)</f>
        <v>6963</v>
      </c>
      <c r="P19" s="3894">
        <f>SUM(P16:P18)</f>
        <v>5933</v>
      </c>
      <c r="Q19" s="2323">
        <f>P19+O19</f>
        <v>12896</v>
      </c>
      <c r="R19" s="3893">
        <f>SUM(R16:R18)</f>
        <v>7025</v>
      </c>
      <c r="S19" s="3894">
        <f>SUM(S16:S18)</f>
        <v>5983</v>
      </c>
      <c r="T19" s="2323">
        <f>S19+R19</f>
        <v>13008</v>
      </c>
      <c r="U19" s="3893">
        <f>SUM(U16:U18)</f>
        <v>7786</v>
      </c>
      <c r="V19" s="3894">
        <f>SUM(V16:V18)</f>
        <v>6945</v>
      </c>
      <c r="W19" s="2323">
        <f>V19+U19</f>
        <v>14731</v>
      </c>
      <c r="X19" s="3893">
        <f>SUM(X16:X18)</f>
        <v>7752</v>
      </c>
      <c r="Y19" s="3894">
        <f>SUM(Y16:Y18)</f>
        <v>6938</v>
      </c>
      <c r="Z19" s="2323">
        <f>Y19+X19</f>
        <v>14690</v>
      </c>
      <c r="AA19" s="3893">
        <f>SUM(AA16:AA18)</f>
        <v>7622</v>
      </c>
      <c r="AB19" s="3894">
        <f>SUM(AB16:AB18)</f>
        <v>6821</v>
      </c>
      <c r="AC19" s="2323">
        <f>AB19+AA19</f>
        <v>14443</v>
      </c>
      <c r="AD19" s="3893">
        <f>SUM(AD16:AD18)</f>
        <v>8037</v>
      </c>
      <c r="AE19" s="3894">
        <f>SUM(AE16:AE18)</f>
        <v>7364</v>
      </c>
      <c r="AF19" s="2323">
        <f>AE19+AD19</f>
        <v>15401</v>
      </c>
      <c r="AG19" s="3893">
        <f>SUM(AG16:AG18)</f>
        <v>8132</v>
      </c>
      <c r="AH19" s="3894">
        <f>SUM(AH16:AH18)</f>
        <v>7509</v>
      </c>
      <c r="AI19" s="2323">
        <f>AH19+AG19</f>
        <v>15641</v>
      </c>
      <c r="AJ19" s="3893">
        <f>SUM(AJ16:AJ18)</f>
        <v>8013</v>
      </c>
      <c r="AK19" s="3894">
        <f>SUM(AK16:AK18)</f>
        <v>6962</v>
      </c>
      <c r="AL19" s="2323">
        <f>AK19+AJ19</f>
        <v>14975</v>
      </c>
    </row>
    <row r="20" spans="1:38" x14ac:dyDescent="0.25">
      <c r="A20" s="1726"/>
      <c r="B20" s="1726"/>
      <c r="C20" s="1727"/>
      <c r="D20" s="1727"/>
      <c r="E20" s="1727"/>
      <c r="F20" s="1726"/>
      <c r="G20" s="1726"/>
      <c r="H20" s="1726"/>
      <c r="I20" s="1726"/>
      <c r="J20" s="1726"/>
      <c r="K20" s="1726"/>
      <c r="L20" s="1726"/>
      <c r="M20" s="1726"/>
      <c r="N20" s="1726"/>
      <c r="O20" s="1726"/>
      <c r="P20" s="1726"/>
      <c r="Q20" s="1726"/>
      <c r="R20" s="1726"/>
      <c r="S20" s="1726"/>
      <c r="T20" s="1726"/>
      <c r="U20" s="1726"/>
      <c r="V20" s="1726"/>
      <c r="W20" s="1726"/>
      <c r="X20" s="1726"/>
      <c r="Y20" s="1726"/>
      <c r="Z20" s="1726"/>
      <c r="AA20" s="1726"/>
      <c r="AB20" s="1726"/>
      <c r="AC20" s="1726"/>
      <c r="AD20" s="1726"/>
      <c r="AE20" s="1726"/>
      <c r="AF20" s="1726"/>
      <c r="AG20" s="1726"/>
      <c r="AH20" s="1726"/>
      <c r="AI20" s="1726"/>
      <c r="AJ20" s="1726"/>
      <c r="AK20" s="1726"/>
      <c r="AL20" s="1726"/>
    </row>
    <row r="21" spans="1:38" x14ac:dyDescent="0.25">
      <c r="A21" s="5706" t="s">
        <v>408</v>
      </c>
      <c r="B21" s="1699" t="s">
        <v>5</v>
      </c>
      <c r="C21" s="1701"/>
      <c r="D21" s="1700"/>
      <c r="E21" s="1700"/>
      <c r="F21" s="1700"/>
      <c r="G21" s="1700"/>
      <c r="H21" s="1700"/>
      <c r="I21" s="1700"/>
      <c r="J21" s="1700"/>
      <c r="K21" s="1700"/>
      <c r="L21" s="1704"/>
      <c r="M21" s="1704"/>
      <c r="N21" s="1700"/>
      <c r="O21" s="1704"/>
      <c r="P21" s="1704"/>
      <c r="Q21" s="1702"/>
      <c r="R21" s="1703">
        <v>20</v>
      </c>
      <c r="S21" s="1704">
        <v>47</v>
      </c>
      <c r="T21" s="1702">
        <f>SUM(R21:S21)</f>
        <v>67</v>
      </c>
      <c r="U21" s="1703">
        <v>15</v>
      </c>
      <c r="V21" s="1704">
        <v>18</v>
      </c>
      <c r="W21" s="1702">
        <f>SUM(U21:V21)</f>
        <v>33</v>
      </c>
      <c r="X21" s="1703">
        <v>20</v>
      </c>
      <c r="Y21" s="1704">
        <v>40</v>
      </c>
      <c r="Z21" s="1702">
        <f>SUM(X21:Y21)</f>
        <v>60</v>
      </c>
      <c r="AA21" s="1703">
        <v>32</v>
      </c>
      <c r="AB21" s="1704">
        <v>34</v>
      </c>
      <c r="AC21" s="1702">
        <f>SUM(AA21:AB21)</f>
        <v>66</v>
      </c>
      <c r="AD21" s="1703">
        <v>33</v>
      </c>
      <c r="AE21" s="1704">
        <v>46</v>
      </c>
      <c r="AF21" s="1702">
        <f>SUM(AD21:AE21)</f>
        <v>79</v>
      </c>
      <c r="AG21" s="1703">
        <v>17</v>
      </c>
      <c r="AH21" s="1704">
        <v>65</v>
      </c>
      <c r="AI21" s="1702">
        <f>SUM(AG21:AH21)</f>
        <v>82</v>
      </c>
      <c r="AJ21" s="1703">
        <v>103</v>
      </c>
      <c r="AK21" s="1704">
        <v>237</v>
      </c>
      <c r="AL21" s="1702">
        <f>SUM(AJ21:AK21)</f>
        <v>340</v>
      </c>
    </row>
    <row r="22" spans="1:38" x14ac:dyDescent="0.25">
      <c r="A22" s="5707"/>
      <c r="B22" s="1705" t="s">
        <v>6</v>
      </c>
      <c r="C22" s="1707"/>
      <c r="D22" s="1706"/>
      <c r="E22" s="1706"/>
      <c r="F22" s="1706"/>
      <c r="G22" s="1706"/>
      <c r="H22" s="1706"/>
      <c r="I22" s="1706"/>
      <c r="J22" s="1706"/>
      <c r="K22" s="1706"/>
      <c r="L22" s="1724"/>
      <c r="M22" s="1724"/>
      <c r="N22" s="1706"/>
      <c r="O22" s="1724"/>
      <c r="P22" s="1724"/>
      <c r="Q22" s="1708"/>
      <c r="R22" s="1723">
        <v>99</v>
      </c>
      <c r="S22" s="1724">
        <v>69</v>
      </c>
      <c r="T22" s="1708">
        <f>SUM(R22:S22)</f>
        <v>168</v>
      </c>
      <c r="U22" s="1723">
        <v>34</v>
      </c>
      <c r="V22" s="1724">
        <v>33</v>
      </c>
      <c r="W22" s="1708">
        <f>SUM(U22:V22)</f>
        <v>67</v>
      </c>
      <c r="X22" s="1709">
        <v>106</v>
      </c>
      <c r="Y22" s="1710">
        <v>88</v>
      </c>
      <c r="Z22" s="1708">
        <f>SUM(X22:Y22)</f>
        <v>194</v>
      </c>
      <c r="AA22" s="1709">
        <v>150</v>
      </c>
      <c r="AB22" s="1710">
        <v>135</v>
      </c>
      <c r="AC22" s="1708">
        <f>SUM(AA22:AB22)</f>
        <v>285</v>
      </c>
      <c r="AD22" s="1709">
        <v>219</v>
      </c>
      <c r="AE22" s="1710">
        <v>176</v>
      </c>
      <c r="AF22" s="1708">
        <f>SUM(AD22:AE22)</f>
        <v>395</v>
      </c>
      <c r="AG22" s="1709">
        <v>255</v>
      </c>
      <c r="AH22" s="1710">
        <v>208</v>
      </c>
      <c r="AI22" s="1708">
        <f>SUM(AG22:AH22)</f>
        <v>463</v>
      </c>
      <c r="AJ22" s="1709">
        <v>211</v>
      </c>
      <c r="AK22" s="1710">
        <v>175</v>
      </c>
      <c r="AL22" s="1708">
        <f>SUM(AJ22:AK22)</f>
        <v>386</v>
      </c>
    </row>
    <row r="23" spans="1:38" x14ac:dyDescent="0.25">
      <c r="A23" s="5707"/>
      <c r="B23" s="1705" t="s">
        <v>11</v>
      </c>
      <c r="C23" s="1707"/>
      <c r="D23" s="1706"/>
      <c r="E23" s="1706"/>
      <c r="F23" s="1706"/>
      <c r="G23" s="1706"/>
      <c r="H23" s="1706"/>
      <c r="I23" s="1706"/>
      <c r="J23" s="1706"/>
      <c r="K23" s="1706"/>
      <c r="L23" s="1724"/>
      <c r="M23" s="1724"/>
      <c r="N23" s="1706"/>
      <c r="O23" s="1724"/>
      <c r="P23" s="1724"/>
      <c r="Q23" s="1708"/>
      <c r="R23" s="1723">
        <v>107</v>
      </c>
      <c r="S23" s="1724">
        <v>60</v>
      </c>
      <c r="T23" s="1708">
        <f>SUM(R23:S23)</f>
        <v>167</v>
      </c>
      <c r="U23" s="1723">
        <v>39</v>
      </c>
      <c r="V23" s="1724">
        <v>24</v>
      </c>
      <c r="W23" s="1708">
        <f>SUM(U23:V23)</f>
        <v>63</v>
      </c>
      <c r="X23" s="1707">
        <v>100</v>
      </c>
      <c r="Y23" s="1706">
        <v>47</v>
      </c>
      <c r="Z23" s="1708">
        <f>SUM(X23:Y23)</f>
        <v>147</v>
      </c>
      <c r="AA23" s="1707">
        <v>50</v>
      </c>
      <c r="AB23" s="1706">
        <v>32</v>
      </c>
      <c r="AC23" s="1708">
        <f>SUM(AA23:AB23)</f>
        <v>82</v>
      </c>
      <c r="AD23" s="1707">
        <v>113</v>
      </c>
      <c r="AE23" s="1706">
        <v>58</v>
      </c>
      <c r="AF23" s="1708">
        <f>SUM(AD23:AE23)</f>
        <v>171</v>
      </c>
      <c r="AG23" s="1707">
        <v>152</v>
      </c>
      <c r="AH23" s="1706">
        <v>70</v>
      </c>
      <c r="AI23" s="1708">
        <f>SUM(AG23:AH23)</f>
        <v>222</v>
      </c>
      <c r="AJ23" s="1707">
        <v>310</v>
      </c>
      <c r="AK23" s="1706">
        <v>132</v>
      </c>
      <c r="AL23" s="1708">
        <f>SUM(AJ23:AK23)</f>
        <v>442</v>
      </c>
    </row>
    <row r="24" spans="1:38" x14ac:dyDescent="0.25">
      <c r="A24" s="5708"/>
      <c r="B24" s="3881" t="s">
        <v>12</v>
      </c>
      <c r="C24" s="3883"/>
      <c r="D24" s="3882"/>
      <c r="E24" s="3882"/>
      <c r="F24" s="3882"/>
      <c r="G24" s="3882"/>
      <c r="H24" s="3882"/>
      <c r="I24" s="3882"/>
      <c r="J24" s="3882"/>
      <c r="K24" s="3882"/>
      <c r="L24" s="3886"/>
      <c r="M24" s="3886"/>
      <c r="N24" s="3882"/>
      <c r="O24" s="3886"/>
      <c r="P24" s="3886"/>
      <c r="Q24" s="3884"/>
      <c r="R24" s="3885">
        <f>SUM(R21:R23)</f>
        <v>226</v>
      </c>
      <c r="S24" s="3886">
        <f>SUM(S21:S23)</f>
        <v>176</v>
      </c>
      <c r="T24" s="3884">
        <f>S24+R24</f>
        <v>402</v>
      </c>
      <c r="U24" s="3885">
        <f>SUM(U21:U23)</f>
        <v>88</v>
      </c>
      <c r="V24" s="3886">
        <f>SUM(V21:V23)</f>
        <v>75</v>
      </c>
      <c r="W24" s="3884">
        <f>V24+U24</f>
        <v>163</v>
      </c>
      <c r="X24" s="3885">
        <f>SUM(X21:X23)</f>
        <v>226</v>
      </c>
      <c r="Y24" s="3886">
        <f>SUM(Y21:Y23)</f>
        <v>175</v>
      </c>
      <c r="Z24" s="3884">
        <f>Y24+X24</f>
        <v>401</v>
      </c>
      <c r="AA24" s="3885">
        <f>SUM(AA21:AA23)</f>
        <v>232</v>
      </c>
      <c r="AB24" s="3886">
        <f>SUM(AB21:AB23)</f>
        <v>201</v>
      </c>
      <c r="AC24" s="3884">
        <f>AB24+AA24</f>
        <v>433</v>
      </c>
      <c r="AD24" s="3885">
        <f>SUM(AD21:AD23)</f>
        <v>365</v>
      </c>
      <c r="AE24" s="3886">
        <f>SUM(AE21:AE23)</f>
        <v>280</v>
      </c>
      <c r="AF24" s="3884">
        <f>AE24+AD24</f>
        <v>645</v>
      </c>
      <c r="AG24" s="3885">
        <f>SUM(AG21:AG23)</f>
        <v>424</v>
      </c>
      <c r="AH24" s="3886">
        <f>SUM(AH21:AH23)</f>
        <v>343</v>
      </c>
      <c r="AI24" s="3884">
        <f>AH24+AG24</f>
        <v>767</v>
      </c>
      <c r="AJ24" s="3885">
        <f>SUM(AJ21:AJ23)</f>
        <v>624</v>
      </c>
      <c r="AK24" s="3886">
        <f>SUM(AK21:AK23)</f>
        <v>544</v>
      </c>
      <c r="AL24" s="3884">
        <f>AK24+AJ24</f>
        <v>1168</v>
      </c>
    </row>
    <row r="25" spans="1:38" x14ac:dyDescent="0.25">
      <c r="C25" s="1725"/>
      <c r="D25" s="1725"/>
      <c r="E25" s="1725"/>
    </row>
    <row r="26" spans="1:38" x14ac:dyDescent="0.25">
      <c r="A26" s="5709" t="s">
        <v>163</v>
      </c>
      <c r="B26" s="1699" t="s">
        <v>6</v>
      </c>
      <c r="C26" s="1700">
        <v>6138</v>
      </c>
      <c r="D26" s="1700">
        <v>3555</v>
      </c>
      <c r="E26" s="1700">
        <v>9693</v>
      </c>
      <c r="F26" s="1701">
        <v>6266</v>
      </c>
      <c r="G26" s="1700">
        <v>3525</v>
      </c>
      <c r="H26" s="1702">
        <v>9791</v>
      </c>
      <c r="I26" s="1701">
        <v>6512</v>
      </c>
      <c r="J26" s="1700">
        <v>3786</v>
      </c>
      <c r="K26" s="1700">
        <v>10298</v>
      </c>
      <c r="L26" s="1703">
        <v>6978</v>
      </c>
      <c r="M26" s="1704">
        <v>4040</v>
      </c>
      <c r="N26" s="1702">
        <v>11018</v>
      </c>
      <c r="O26" s="1703">
        <v>7179</v>
      </c>
      <c r="P26" s="1704">
        <v>4491</v>
      </c>
      <c r="Q26" s="1702">
        <f>P26+O26</f>
        <v>11670</v>
      </c>
      <c r="R26" s="1703">
        <v>7436</v>
      </c>
      <c r="S26" s="1704">
        <v>4547</v>
      </c>
      <c r="T26" s="1702">
        <f>SUM(R26:S26)</f>
        <v>11983</v>
      </c>
      <c r="U26" s="1703">
        <v>7867</v>
      </c>
      <c r="V26" s="1704">
        <v>4949</v>
      </c>
      <c r="W26" s="1702">
        <f>SUM(U26:V26)</f>
        <v>12816</v>
      </c>
      <c r="X26" s="1703">
        <v>7350</v>
      </c>
      <c r="Y26" s="1704">
        <v>4793</v>
      </c>
      <c r="Z26" s="1702">
        <f>SUM(X26:Y26)</f>
        <v>12143</v>
      </c>
      <c r="AA26" s="1703">
        <v>6790</v>
      </c>
      <c r="AB26" s="1704">
        <v>4540</v>
      </c>
      <c r="AC26" s="1702">
        <f>SUM(AA26:AB26)</f>
        <v>11330</v>
      </c>
      <c r="AD26" s="1703">
        <v>6981</v>
      </c>
      <c r="AE26" s="1704">
        <v>4622</v>
      </c>
      <c r="AF26" s="1702">
        <f>SUM(AD26:AE26)</f>
        <v>11603</v>
      </c>
      <c r="AG26" s="1703">
        <v>6947</v>
      </c>
      <c r="AH26" s="1704">
        <v>4414</v>
      </c>
      <c r="AI26" s="1702">
        <f>SUM(AG26:AH26)</f>
        <v>11361</v>
      </c>
      <c r="AJ26" s="1703">
        <v>6616</v>
      </c>
      <c r="AK26" s="1704">
        <v>4392</v>
      </c>
      <c r="AL26" s="1702">
        <f>SUM(AJ26:AK26)</f>
        <v>11008</v>
      </c>
    </row>
    <row r="27" spans="1:38" x14ac:dyDescent="0.25">
      <c r="A27" s="5710"/>
      <c r="B27" s="1705" t="s">
        <v>11</v>
      </c>
      <c r="C27" s="1706">
        <v>8110</v>
      </c>
      <c r="D27" s="1706">
        <v>4120</v>
      </c>
      <c r="E27" s="1706">
        <v>12230</v>
      </c>
      <c r="F27" s="1707">
        <v>8564</v>
      </c>
      <c r="G27" s="1706">
        <v>4374</v>
      </c>
      <c r="H27" s="1708">
        <v>12938</v>
      </c>
      <c r="I27" s="1707">
        <v>9243</v>
      </c>
      <c r="J27" s="1706">
        <v>5021</v>
      </c>
      <c r="K27" s="1706">
        <v>14264</v>
      </c>
      <c r="L27" s="1723">
        <v>9924</v>
      </c>
      <c r="M27" s="1724">
        <v>5230</v>
      </c>
      <c r="N27" s="1708">
        <v>15154</v>
      </c>
      <c r="O27" s="1723">
        <v>10648</v>
      </c>
      <c r="P27" s="1724">
        <v>5664</v>
      </c>
      <c r="Q27" s="1708">
        <f>P27+O27</f>
        <v>16312</v>
      </c>
      <c r="R27" s="1723">
        <v>11297</v>
      </c>
      <c r="S27" s="1724">
        <v>6284</v>
      </c>
      <c r="T27" s="1708">
        <f>SUM(R27:S27)</f>
        <v>17581</v>
      </c>
      <c r="U27" s="1723">
        <v>12796</v>
      </c>
      <c r="V27" s="1724">
        <v>6976</v>
      </c>
      <c r="W27" s="1708">
        <f>SUM(U27:V27)</f>
        <v>19772</v>
      </c>
      <c r="X27" s="1709">
        <v>13761</v>
      </c>
      <c r="Y27" s="1710">
        <v>7493</v>
      </c>
      <c r="Z27" s="1708">
        <f>SUM(X27:Y27)</f>
        <v>21254</v>
      </c>
      <c r="AA27" s="1709">
        <v>14198</v>
      </c>
      <c r="AB27" s="1710">
        <v>7531</v>
      </c>
      <c r="AC27" s="1708">
        <f>SUM(AA27:AB27)</f>
        <v>21729</v>
      </c>
      <c r="AD27" s="1709">
        <v>16298</v>
      </c>
      <c r="AE27" s="1710">
        <v>8296</v>
      </c>
      <c r="AF27" s="1708">
        <f>SUM(AD27:AE27)</f>
        <v>24594</v>
      </c>
      <c r="AG27" s="1709">
        <v>16692</v>
      </c>
      <c r="AH27" s="1710">
        <v>8330</v>
      </c>
      <c r="AI27" s="1708">
        <f>SUM(AG27:AH27)</f>
        <v>25022</v>
      </c>
      <c r="AJ27" s="1709">
        <v>17811</v>
      </c>
      <c r="AK27" s="1710">
        <v>8327</v>
      </c>
      <c r="AL27" s="1708">
        <f>SUM(AJ27:AK27)</f>
        <v>26138</v>
      </c>
    </row>
    <row r="28" spans="1:38" x14ac:dyDescent="0.25">
      <c r="A28" s="5710"/>
      <c r="B28" s="1705" t="s">
        <v>7</v>
      </c>
      <c r="C28" s="1706">
        <v>2016</v>
      </c>
      <c r="D28" s="1706">
        <v>2258</v>
      </c>
      <c r="E28" s="1706">
        <v>4274</v>
      </c>
      <c r="F28" s="1707">
        <v>2124</v>
      </c>
      <c r="G28" s="1706">
        <v>2717</v>
      </c>
      <c r="H28" s="1708">
        <v>4841</v>
      </c>
      <c r="I28" s="1707">
        <v>2576</v>
      </c>
      <c r="J28" s="1706">
        <v>3011</v>
      </c>
      <c r="K28" s="1706">
        <v>5587</v>
      </c>
      <c r="L28" s="1707">
        <v>2739</v>
      </c>
      <c r="M28" s="1706">
        <v>3217</v>
      </c>
      <c r="N28" s="1708">
        <v>5956</v>
      </c>
      <c r="O28" s="1707">
        <v>3121</v>
      </c>
      <c r="P28" s="1706">
        <v>3612</v>
      </c>
      <c r="Q28" s="1708">
        <f>P28+O28</f>
        <v>6733</v>
      </c>
      <c r="R28" s="1707">
        <v>3230</v>
      </c>
      <c r="S28" s="1706">
        <v>3725</v>
      </c>
      <c r="T28" s="1708">
        <f>SUM(R28:S28)</f>
        <v>6955</v>
      </c>
      <c r="U28" s="1707">
        <v>3512</v>
      </c>
      <c r="V28" s="1706">
        <v>4165</v>
      </c>
      <c r="W28" s="1708">
        <f>SUM(U28:V28)</f>
        <v>7677</v>
      </c>
      <c r="X28" s="1707">
        <v>3384</v>
      </c>
      <c r="Y28" s="1706">
        <v>3882</v>
      </c>
      <c r="Z28" s="1708">
        <f>SUM(X28:Y28)</f>
        <v>7266</v>
      </c>
      <c r="AA28" s="1707">
        <v>2929</v>
      </c>
      <c r="AB28" s="1706">
        <v>3536</v>
      </c>
      <c r="AC28" s="1708">
        <f>SUM(AA28:AB28)</f>
        <v>6465</v>
      </c>
      <c r="AD28" s="1707">
        <v>3034</v>
      </c>
      <c r="AE28" s="1706">
        <v>3647</v>
      </c>
      <c r="AF28" s="1708">
        <f>SUM(AD28:AE28)</f>
        <v>6681</v>
      </c>
      <c r="AG28" s="1707">
        <v>3157</v>
      </c>
      <c r="AH28" s="1706">
        <v>3528</v>
      </c>
      <c r="AI28" s="1708">
        <f>SUM(AG28:AH28)</f>
        <v>6685</v>
      </c>
      <c r="AJ28" s="1707">
        <v>2804</v>
      </c>
      <c r="AK28" s="1706">
        <v>3354</v>
      </c>
      <c r="AL28" s="1708">
        <f>SUM(AJ28:AK28)</f>
        <v>6158</v>
      </c>
    </row>
    <row r="29" spans="1:38" x14ac:dyDescent="0.25">
      <c r="A29" s="5711"/>
      <c r="B29" s="2328" t="s">
        <v>12</v>
      </c>
      <c r="C29" s="2330">
        <v>16264</v>
      </c>
      <c r="D29" s="2330">
        <v>9933</v>
      </c>
      <c r="E29" s="2330">
        <v>26197</v>
      </c>
      <c r="F29" s="2329">
        <v>16954</v>
      </c>
      <c r="G29" s="2330">
        <v>10616</v>
      </c>
      <c r="H29" s="2331">
        <v>27570</v>
      </c>
      <c r="I29" s="2329">
        <v>18331</v>
      </c>
      <c r="J29" s="2330">
        <v>11818</v>
      </c>
      <c r="K29" s="2331">
        <v>30149</v>
      </c>
      <c r="L29" s="3891">
        <v>19641</v>
      </c>
      <c r="M29" s="3892">
        <v>12487</v>
      </c>
      <c r="N29" s="2331">
        <v>32128</v>
      </c>
      <c r="O29" s="3891">
        <f>SUM(O26:O28)</f>
        <v>20948</v>
      </c>
      <c r="P29" s="3892">
        <f>SUM(P26:P28)</f>
        <v>13767</v>
      </c>
      <c r="Q29" s="2331">
        <f>P29+O29</f>
        <v>34715</v>
      </c>
      <c r="R29" s="3891">
        <f>SUM(R26:R28)</f>
        <v>21963</v>
      </c>
      <c r="S29" s="3892">
        <f>SUM(S26:S28)</f>
        <v>14556</v>
      </c>
      <c r="T29" s="2331">
        <f>S29+R29</f>
        <v>36519</v>
      </c>
      <c r="U29" s="3891">
        <f>SUM(U26:U28)</f>
        <v>24175</v>
      </c>
      <c r="V29" s="3892">
        <f>SUM(V26:V28)</f>
        <v>16090</v>
      </c>
      <c r="W29" s="2331">
        <f>V29+U29</f>
        <v>40265</v>
      </c>
      <c r="X29" s="3891">
        <f>SUM(X26:X28)</f>
        <v>24495</v>
      </c>
      <c r="Y29" s="3892">
        <f>SUM(Y26:Y28)</f>
        <v>16168</v>
      </c>
      <c r="Z29" s="2331">
        <f>Y29+X29</f>
        <v>40663</v>
      </c>
      <c r="AA29" s="3891">
        <f>SUM(AA26:AA28)</f>
        <v>23917</v>
      </c>
      <c r="AB29" s="3892">
        <f>SUM(AB26:AB28)</f>
        <v>15607</v>
      </c>
      <c r="AC29" s="2331">
        <f>AB29+AA29</f>
        <v>39524</v>
      </c>
      <c r="AD29" s="3891">
        <f>SUM(AD26:AD28)</f>
        <v>26313</v>
      </c>
      <c r="AE29" s="3892">
        <f>SUM(AE26:AE28)</f>
        <v>16565</v>
      </c>
      <c r="AF29" s="2331">
        <f>AE29+AD29</f>
        <v>42878</v>
      </c>
      <c r="AG29" s="3891">
        <f>SUM(AG26:AG28)</f>
        <v>26796</v>
      </c>
      <c r="AH29" s="3892">
        <f>SUM(AH26:AH28)</f>
        <v>16272</v>
      </c>
      <c r="AI29" s="2331">
        <f>AH29+AG29</f>
        <v>43068</v>
      </c>
      <c r="AJ29" s="3891">
        <f>SUM(AJ26:AJ28)</f>
        <v>27231</v>
      </c>
      <c r="AK29" s="3892">
        <f>SUM(AK26:AK28)</f>
        <v>16073</v>
      </c>
      <c r="AL29" s="2331">
        <f>AK29+AJ29</f>
        <v>43304</v>
      </c>
    </row>
    <row r="30" spans="1:38" x14ac:dyDescent="0.25">
      <c r="C30" s="1725"/>
      <c r="D30" s="1725"/>
      <c r="E30" s="1725"/>
      <c r="F30" s="1725"/>
      <c r="G30" s="1725"/>
      <c r="H30" s="1725"/>
      <c r="I30" s="1725"/>
      <c r="J30" s="1725"/>
      <c r="K30" s="1725"/>
      <c r="L30" s="1725"/>
      <c r="M30" s="1725"/>
      <c r="N30" s="1725"/>
      <c r="O30" s="1725"/>
      <c r="P30" s="1725"/>
      <c r="Q30" s="1725"/>
      <c r="R30" s="1725"/>
      <c r="S30" s="1725"/>
      <c r="T30" s="1725"/>
      <c r="U30" s="1725"/>
      <c r="V30" s="1725"/>
      <c r="W30" s="1725"/>
      <c r="X30" s="1725"/>
      <c r="Y30" s="1725"/>
      <c r="Z30" s="1725"/>
      <c r="AA30" s="1725"/>
      <c r="AB30" s="1725"/>
      <c r="AC30" s="1725"/>
      <c r="AD30" s="1725"/>
      <c r="AE30" s="1725"/>
      <c r="AF30" s="1725"/>
      <c r="AG30" s="1725"/>
      <c r="AH30" s="1725"/>
      <c r="AI30" s="1725"/>
      <c r="AJ30" s="1725"/>
      <c r="AK30" s="1725"/>
      <c r="AL30" s="1725"/>
    </row>
    <row r="31" spans="1:38" x14ac:dyDescent="0.25">
      <c r="A31" s="5712" t="s">
        <v>60</v>
      </c>
      <c r="B31" s="1699" t="s">
        <v>5</v>
      </c>
      <c r="C31" s="1701">
        <v>2247</v>
      </c>
      <c r="D31" s="1700">
        <v>6560</v>
      </c>
      <c r="E31" s="1702">
        <v>8807</v>
      </c>
      <c r="F31" s="1700">
        <v>2214</v>
      </c>
      <c r="G31" s="1700">
        <v>6435</v>
      </c>
      <c r="H31" s="1700">
        <v>8649</v>
      </c>
      <c r="I31" s="1701">
        <v>2548</v>
      </c>
      <c r="J31" s="1700">
        <v>6849</v>
      </c>
      <c r="K31" s="1702">
        <v>9397</v>
      </c>
      <c r="L31" s="1703">
        <v>2860</v>
      </c>
      <c r="M31" s="1704">
        <v>7502</v>
      </c>
      <c r="N31" s="1728">
        <v>10362</v>
      </c>
      <c r="O31" s="1703">
        <f>O6+O16</f>
        <v>3119</v>
      </c>
      <c r="P31" s="1704">
        <f>P6+P16</f>
        <v>8278</v>
      </c>
      <c r="Q31" s="1728">
        <f t="shared" ref="Q31:Q37" si="0">P31+O31</f>
        <v>11397</v>
      </c>
      <c r="R31" s="1703">
        <f>SUM(R6,R16,R21)</f>
        <v>2999</v>
      </c>
      <c r="S31" s="1704">
        <f>SUM(S6,S16,S21)</f>
        <v>8331</v>
      </c>
      <c r="T31" s="1728">
        <f t="shared" ref="T31:T36" si="1">SUM(R31:S31)</f>
        <v>11330</v>
      </c>
      <c r="U31" s="1703">
        <f>SUM(U6,U16,U21)</f>
        <v>3292</v>
      </c>
      <c r="V31" s="1704">
        <f>SUM(V6,V16,V21)</f>
        <v>9352</v>
      </c>
      <c r="W31" s="1728">
        <f t="shared" ref="W31:W36" si="2">SUM(U31:V31)</f>
        <v>12644</v>
      </c>
      <c r="X31" s="1703">
        <f>SUM(X6,X16,X21)</f>
        <v>3429</v>
      </c>
      <c r="Y31" s="1704">
        <f>SUM(Y6,Y16,Y21)</f>
        <v>9233</v>
      </c>
      <c r="Z31" s="1728">
        <f t="shared" ref="Z31:Z36" si="3">SUM(X31:Y31)</f>
        <v>12662</v>
      </c>
      <c r="AA31" s="1703">
        <f>SUM(AA6,AA16,AA21)</f>
        <v>3586</v>
      </c>
      <c r="AB31" s="1704">
        <f>SUM(AB6,AB16,AB21)</f>
        <v>9210</v>
      </c>
      <c r="AC31" s="1728">
        <f t="shared" ref="AC31:AC36" si="4">SUM(AA31:AB31)</f>
        <v>12796</v>
      </c>
      <c r="AD31" s="1703">
        <f>SUM(AD6,AD16,AD21)</f>
        <v>4032</v>
      </c>
      <c r="AE31" s="1704">
        <f>SUM(AE6,AE16,AE21)</f>
        <v>10286</v>
      </c>
      <c r="AF31" s="1728">
        <f t="shared" ref="AF31:AF36" si="5">SUM(AD31:AE31)</f>
        <v>14318</v>
      </c>
      <c r="AG31" s="1703">
        <f>SUM(AG6,AG16,AG21)</f>
        <v>4213</v>
      </c>
      <c r="AH31" s="1704">
        <f>SUM(AH6,AH16,AH21)</f>
        <v>10604</v>
      </c>
      <c r="AI31" s="1728">
        <f t="shared" ref="AI31:AI36" si="6">SUM(AG31:AH31)</f>
        <v>14817</v>
      </c>
      <c r="AJ31" s="1703">
        <f>SUM(AJ6,AJ16,AJ21)</f>
        <v>4096</v>
      </c>
      <c r="AK31" s="1704">
        <f>SUM(AK6,AK16,AK21)</f>
        <v>10528</v>
      </c>
      <c r="AL31" s="1728">
        <f t="shared" ref="AL31:AL36" si="7">SUM(AJ31:AK31)</f>
        <v>14624</v>
      </c>
    </row>
    <row r="32" spans="1:38" x14ac:dyDescent="0.25">
      <c r="A32" s="5713"/>
      <c r="B32" s="1705" t="s">
        <v>6</v>
      </c>
      <c r="C32" s="1707">
        <v>14762</v>
      </c>
      <c r="D32" s="1706">
        <v>9406</v>
      </c>
      <c r="E32" s="1708">
        <v>24168</v>
      </c>
      <c r="F32" s="1706">
        <v>15222</v>
      </c>
      <c r="G32" s="1706">
        <v>9610</v>
      </c>
      <c r="H32" s="1706">
        <v>24832</v>
      </c>
      <c r="I32" s="1707">
        <v>15909</v>
      </c>
      <c r="J32" s="1706">
        <v>10289</v>
      </c>
      <c r="K32" s="1708">
        <v>26198</v>
      </c>
      <c r="L32" s="1723">
        <v>16888</v>
      </c>
      <c r="M32" s="1724">
        <v>10910</v>
      </c>
      <c r="N32" s="1729">
        <v>27798</v>
      </c>
      <c r="O32" s="1723">
        <f>O7+O11+O17+O26</f>
        <v>18322</v>
      </c>
      <c r="P32" s="1724">
        <f>P7+P11+P17+P26</f>
        <v>11927</v>
      </c>
      <c r="Q32" s="1729">
        <f t="shared" si="0"/>
        <v>30249</v>
      </c>
      <c r="R32" s="1723">
        <f>SUM(R7,R11,R17,R26,R22)</f>
        <v>18617</v>
      </c>
      <c r="S32" s="1724">
        <f>SUM(S7,S11,S17,S26,S22)</f>
        <v>12024</v>
      </c>
      <c r="T32" s="1729">
        <f t="shared" si="1"/>
        <v>30641</v>
      </c>
      <c r="U32" s="1723">
        <f>SUM(U7,U11,U17,U26,U22)</f>
        <v>19908</v>
      </c>
      <c r="V32" s="1724">
        <f>SUM(V7,V11,V17,V26,V22)</f>
        <v>13335</v>
      </c>
      <c r="W32" s="1729">
        <f t="shared" si="2"/>
        <v>33243</v>
      </c>
      <c r="X32" s="1723">
        <f>SUM(X7,X11,X17,X26,X22)</f>
        <v>19363</v>
      </c>
      <c r="Y32" s="1724">
        <f>SUM(Y7,Y11,Y17,Y26,Y22)</f>
        <v>13282</v>
      </c>
      <c r="Z32" s="1729">
        <f t="shared" si="3"/>
        <v>32645</v>
      </c>
      <c r="AA32" s="1723">
        <f>SUM(AA7,AA11,AA17,AA26,AA22)</f>
        <v>18399</v>
      </c>
      <c r="AB32" s="1724">
        <f>SUM(AB7,AB11,AB17,AB26,AB22)</f>
        <v>12955</v>
      </c>
      <c r="AC32" s="1729">
        <f t="shared" si="4"/>
        <v>31354</v>
      </c>
      <c r="AD32" s="1723">
        <f>SUM(AD7,AD11,AD17,AD26,AD22)</f>
        <v>19573</v>
      </c>
      <c r="AE32" s="1724">
        <f>SUM(AE7,AE11,AE17,AE26,AE22)</f>
        <v>13586</v>
      </c>
      <c r="AF32" s="1729">
        <f t="shared" si="5"/>
        <v>33159</v>
      </c>
      <c r="AG32" s="1723">
        <f>SUM(AG7,AG11,AG17,AG26,AG22)</f>
        <v>19721</v>
      </c>
      <c r="AH32" s="1724">
        <f>SUM(AH7,AH11,AH17,AH26,AH22)</f>
        <v>13535</v>
      </c>
      <c r="AI32" s="1729">
        <f t="shared" si="6"/>
        <v>33256</v>
      </c>
      <c r="AJ32" s="1723">
        <f>SUM(AJ7,AJ11,AJ17,AJ26,AJ22)</f>
        <v>19203</v>
      </c>
      <c r="AK32" s="1724">
        <f>SUM(AK7,AK11,AK17,AK26,AK22)</f>
        <v>13005</v>
      </c>
      <c r="AL32" s="1729">
        <f t="shared" si="7"/>
        <v>32208</v>
      </c>
    </row>
    <row r="33" spans="1:38" x14ac:dyDescent="0.25">
      <c r="A33" s="5713"/>
      <c r="B33" s="1705" t="s">
        <v>11</v>
      </c>
      <c r="C33" s="1707">
        <v>9018</v>
      </c>
      <c r="D33" s="1706">
        <v>4696</v>
      </c>
      <c r="E33" s="1708">
        <v>13714</v>
      </c>
      <c r="F33" s="1706">
        <v>9474</v>
      </c>
      <c r="G33" s="1706">
        <v>4909</v>
      </c>
      <c r="H33" s="1706">
        <v>14383</v>
      </c>
      <c r="I33" s="1707">
        <v>10436</v>
      </c>
      <c r="J33" s="1706">
        <v>5724</v>
      </c>
      <c r="K33" s="1708">
        <v>16160</v>
      </c>
      <c r="L33" s="1723">
        <v>11290</v>
      </c>
      <c r="M33" s="1724">
        <v>6060</v>
      </c>
      <c r="N33" s="1729">
        <v>17350</v>
      </c>
      <c r="O33" s="1723">
        <f>O18+O27</f>
        <v>12084</v>
      </c>
      <c r="P33" s="1724">
        <f>P18+P27</f>
        <v>6622</v>
      </c>
      <c r="Q33" s="1729">
        <f t="shared" si="0"/>
        <v>18706</v>
      </c>
      <c r="R33" s="1723">
        <f>SUM(R18,R27,R23)</f>
        <v>12975</v>
      </c>
      <c r="S33" s="1724">
        <f>SUM(S18,S27,S23)</f>
        <v>7377</v>
      </c>
      <c r="T33" s="1729">
        <f t="shared" si="1"/>
        <v>20352</v>
      </c>
      <c r="U33" s="1723">
        <f>SUM(U18,U27,U23)</f>
        <v>14502</v>
      </c>
      <c r="V33" s="1724">
        <f>SUM(V18,V27,V23)</f>
        <v>8161</v>
      </c>
      <c r="W33" s="1729">
        <f t="shared" si="2"/>
        <v>22663</v>
      </c>
      <c r="X33" s="1723">
        <f>SUM(X18,X27,X23)</f>
        <v>15584</v>
      </c>
      <c r="Y33" s="1724">
        <f>SUM(Y18,Y27,Y23)</f>
        <v>8647</v>
      </c>
      <c r="Z33" s="1729">
        <f t="shared" si="3"/>
        <v>24231</v>
      </c>
      <c r="AA33" s="1723">
        <f>SUM(AA18,AA27,AA23)</f>
        <v>16042</v>
      </c>
      <c r="AB33" s="1724">
        <f>SUM(AB18,AB27,AB23)</f>
        <v>8742</v>
      </c>
      <c r="AC33" s="1729">
        <f t="shared" si="4"/>
        <v>24784</v>
      </c>
      <c r="AD33" s="1723">
        <f>SUM(AD18,AD27,AD23)</f>
        <v>18266</v>
      </c>
      <c r="AE33" s="1724">
        <f>SUM(AE18,AE27,AE23)</f>
        <v>9614</v>
      </c>
      <c r="AF33" s="1729">
        <f t="shared" si="5"/>
        <v>27880</v>
      </c>
      <c r="AG33" s="1723">
        <f>SUM(AG18,AG27,AG23)</f>
        <v>18792</v>
      </c>
      <c r="AH33" s="1724">
        <f>SUM(AH18,AH27,AH23)</f>
        <v>9619</v>
      </c>
      <c r="AI33" s="1729">
        <f t="shared" si="6"/>
        <v>28411</v>
      </c>
      <c r="AJ33" s="1723">
        <f>SUM(AJ18,AJ27,AJ23)</f>
        <v>20136</v>
      </c>
      <c r="AK33" s="1724">
        <f>SUM(AK18,AK27,AK23)</f>
        <v>9643</v>
      </c>
      <c r="AL33" s="1729">
        <f t="shared" si="7"/>
        <v>29779</v>
      </c>
    </row>
    <row r="34" spans="1:38" x14ac:dyDescent="0.25">
      <c r="A34" s="5713"/>
      <c r="B34" s="1705" t="s">
        <v>7</v>
      </c>
      <c r="C34" s="1707">
        <v>4582</v>
      </c>
      <c r="D34" s="1706">
        <v>5081</v>
      </c>
      <c r="E34" s="1708">
        <v>9663</v>
      </c>
      <c r="F34" s="1706">
        <v>5054</v>
      </c>
      <c r="G34" s="1706">
        <v>5908</v>
      </c>
      <c r="H34" s="1706">
        <v>10962</v>
      </c>
      <c r="I34" s="1707">
        <v>5855</v>
      </c>
      <c r="J34" s="1706">
        <v>6654</v>
      </c>
      <c r="K34" s="1708">
        <v>12509</v>
      </c>
      <c r="L34" s="1723">
        <v>6467</v>
      </c>
      <c r="M34" s="1724">
        <v>6893</v>
      </c>
      <c r="N34" s="1729">
        <v>13360</v>
      </c>
      <c r="O34" s="1723">
        <f>O8+O28</f>
        <v>7304</v>
      </c>
      <c r="P34" s="1724">
        <f>P8+P28</f>
        <v>7797</v>
      </c>
      <c r="Q34" s="1729">
        <f t="shared" si="0"/>
        <v>15101</v>
      </c>
      <c r="R34" s="1723">
        <f>SUM(R8,R28)</f>
        <v>7467</v>
      </c>
      <c r="S34" s="1724">
        <f>SUM(S8,S28)</f>
        <v>7846</v>
      </c>
      <c r="T34" s="1729">
        <f t="shared" si="1"/>
        <v>15313</v>
      </c>
      <c r="U34" s="1723">
        <f>SUM(U8,U28)</f>
        <v>8276</v>
      </c>
      <c r="V34" s="1724">
        <f>SUM(V8,V28)</f>
        <v>8879</v>
      </c>
      <c r="W34" s="1729">
        <f t="shared" si="2"/>
        <v>17155</v>
      </c>
      <c r="X34" s="1723">
        <f>SUM(X8,X28)</f>
        <v>7732</v>
      </c>
      <c r="Y34" s="1724">
        <f>SUM(Y8,Y28)</f>
        <v>8191</v>
      </c>
      <c r="Z34" s="1729">
        <f t="shared" si="3"/>
        <v>15923</v>
      </c>
      <c r="AA34" s="1723">
        <f>SUM(AA8,AA28)</f>
        <v>7023</v>
      </c>
      <c r="AB34" s="1724">
        <f>SUM(AB8,AB28)</f>
        <v>7427</v>
      </c>
      <c r="AC34" s="1729">
        <f t="shared" si="4"/>
        <v>14450</v>
      </c>
      <c r="AD34" s="1723">
        <f>SUM(AD8,AD28)</f>
        <v>7002</v>
      </c>
      <c r="AE34" s="1724">
        <f>SUM(AE8,AE28)</f>
        <v>7450</v>
      </c>
      <c r="AF34" s="1729">
        <f t="shared" si="5"/>
        <v>14452</v>
      </c>
      <c r="AG34" s="1723">
        <f>SUM(AG8,AG28)</f>
        <v>7121</v>
      </c>
      <c r="AH34" s="1724">
        <f>SUM(AH8,AH28)</f>
        <v>7276</v>
      </c>
      <c r="AI34" s="1729">
        <f t="shared" si="6"/>
        <v>14397</v>
      </c>
      <c r="AJ34" s="1723">
        <f>SUM(AJ8,AJ28)</f>
        <v>6518</v>
      </c>
      <c r="AK34" s="1724">
        <f>SUM(AK8,AK28)</f>
        <v>6993</v>
      </c>
      <c r="AL34" s="1729">
        <f t="shared" si="7"/>
        <v>13511</v>
      </c>
    </row>
    <row r="35" spans="1:38" x14ac:dyDescent="0.25">
      <c r="A35" s="5713"/>
      <c r="B35" s="1705" t="s">
        <v>9</v>
      </c>
      <c r="C35" s="1707">
        <v>54</v>
      </c>
      <c r="D35" s="1706">
        <v>35</v>
      </c>
      <c r="E35" s="1708">
        <v>89</v>
      </c>
      <c r="F35" s="1706">
        <v>312</v>
      </c>
      <c r="G35" s="1706">
        <v>276</v>
      </c>
      <c r="H35" s="1706">
        <v>588</v>
      </c>
      <c r="I35" s="1707">
        <v>329</v>
      </c>
      <c r="J35" s="1706">
        <v>356</v>
      </c>
      <c r="K35" s="1708">
        <v>685</v>
      </c>
      <c r="L35" s="1723">
        <v>469</v>
      </c>
      <c r="M35" s="1724">
        <v>410</v>
      </c>
      <c r="N35" s="1729">
        <v>879</v>
      </c>
      <c r="O35" s="1723">
        <f>O12</f>
        <v>586</v>
      </c>
      <c r="P35" s="1724">
        <f>P12</f>
        <v>508</v>
      </c>
      <c r="Q35" s="1729">
        <f t="shared" si="0"/>
        <v>1094</v>
      </c>
      <c r="R35" s="1723">
        <f>SUM(R12)</f>
        <v>505</v>
      </c>
      <c r="S35" s="1724">
        <f>SUM(S12)</f>
        <v>506</v>
      </c>
      <c r="T35" s="1729">
        <f t="shared" si="1"/>
        <v>1011</v>
      </c>
      <c r="U35" s="1723">
        <f>SUM(U12)</f>
        <v>519</v>
      </c>
      <c r="V35" s="1724">
        <f>SUM(V12)</f>
        <v>482</v>
      </c>
      <c r="W35" s="1729">
        <f t="shared" si="2"/>
        <v>1001</v>
      </c>
      <c r="X35" s="1723">
        <f>SUM(X12)</f>
        <v>996</v>
      </c>
      <c r="Y35" s="1724">
        <f>SUM(Y12)</f>
        <v>891</v>
      </c>
      <c r="Z35" s="1729">
        <f t="shared" si="3"/>
        <v>1887</v>
      </c>
      <c r="AA35" s="1723">
        <f>SUM(AA12)</f>
        <v>1008</v>
      </c>
      <c r="AB35" s="1724">
        <f>SUM(AB12)</f>
        <v>912</v>
      </c>
      <c r="AC35" s="1729">
        <f t="shared" si="4"/>
        <v>1920</v>
      </c>
      <c r="AD35" s="1723">
        <f>SUM(AD12)</f>
        <v>1061</v>
      </c>
      <c r="AE35" s="1724">
        <f>SUM(AE12)</f>
        <v>865</v>
      </c>
      <c r="AF35" s="1729">
        <f t="shared" si="5"/>
        <v>1926</v>
      </c>
      <c r="AG35" s="1723">
        <f>SUM(AG12)</f>
        <v>974</v>
      </c>
      <c r="AH35" s="1724">
        <f>SUM(AH12)</f>
        <v>892</v>
      </c>
      <c r="AI35" s="1729">
        <f t="shared" si="6"/>
        <v>1866</v>
      </c>
      <c r="AJ35" s="1723">
        <f>SUM(AJ12)</f>
        <v>980</v>
      </c>
      <c r="AK35" s="1724">
        <f>SUM(AK12)</f>
        <v>912</v>
      </c>
      <c r="AL35" s="1729">
        <f t="shared" si="7"/>
        <v>1892</v>
      </c>
    </row>
    <row r="36" spans="1:38" x14ac:dyDescent="0.25">
      <c r="A36" s="5713"/>
      <c r="B36" s="1705" t="s">
        <v>74</v>
      </c>
      <c r="C36" s="1730">
        <v>34</v>
      </c>
      <c r="D36" s="1731">
        <v>60</v>
      </c>
      <c r="E36" s="1732">
        <v>94</v>
      </c>
      <c r="F36" s="1730">
        <v>44</v>
      </c>
      <c r="G36" s="1731">
        <v>125</v>
      </c>
      <c r="H36" s="1732">
        <v>169</v>
      </c>
      <c r="I36" s="1730">
        <v>70</v>
      </c>
      <c r="J36" s="1731">
        <v>176</v>
      </c>
      <c r="K36" s="1732">
        <v>246</v>
      </c>
      <c r="L36" s="1730">
        <v>79</v>
      </c>
      <c r="M36" s="1731">
        <v>162</v>
      </c>
      <c r="N36" s="1732">
        <v>241</v>
      </c>
      <c r="O36" s="1730">
        <f>O13</f>
        <v>162</v>
      </c>
      <c r="P36" s="1731">
        <f>P13</f>
        <v>282</v>
      </c>
      <c r="Q36" s="1732">
        <f t="shared" si="0"/>
        <v>444</v>
      </c>
      <c r="R36" s="1730">
        <f>SUM(R13)</f>
        <v>138</v>
      </c>
      <c r="S36" s="1731">
        <f>SUM(S13)</f>
        <v>242</v>
      </c>
      <c r="T36" s="1732">
        <f t="shared" si="1"/>
        <v>380</v>
      </c>
      <c r="U36" s="1730">
        <f>SUM(U13)</f>
        <v>122</v>
      </c>
      <c r="V36" s="1731">
        <f>SUM(V13)</f>
        <v>241</v>
      </c>
      <c r="W36" s="1732">
        <f t="shared" si="2"/>
        <v>363</v>
      </c>
      <c r="X36" s="1730">
        <f>SUM(X13)</f>
        <v>307</v>
      </c>
      <c r="Y36" s="1731">
        <f>SUM(Y13)</f>
        <v>463</v>
      </c>
      <c r="Z36" s="1732">
        <f t="shared" si="3"/>
        <v>770</v>
      </c>
      <c r="AA36" s="1730">
        <f>SUM(AA13)</f>
        <v>301</v>
      </c>
      <c r="AB36" s="1731">
        <f>SUM(AB13)</f>
        <v>548</v>
      </c>
      <c r="AC36" s="1732">
        <f t="shared" si="4"/>
        <v>849</v>
      </c>
      <c r="AD36" s="1730">
        <f>SUM(AD13)</f>
        <v>368</v>
      </c>
      <c r="AE36" s="1731">
        <f>SUM(AE13)</f>
        <v>587</v>
      </c>
      <c r="AF36" s="1732">
        <f t="shared" si="5"/>
        <v>955</v>
      </c>
      <c r="AG36" s="1730">
        <f>SUM(AG13)</f>
        <v>361</v>
      </c>
      <c r="AH36" s="1731">
        <f>SUM(AH13)</f>
        <v>644</v>
      </c>
      <c r="AI36" s="1732">
        <f t="shared" si="6"/>
        <v>1005</v>
      </c>
      <c r="AJ36" s="1730">
        <f>SUM(AJ13)</f>
        <v>395</v>
      </c>
      <c r="AK36" s="1731">
        <f>SUM(AK13)</f>
        <v>598</v>
      </c>
      <c r="AL36" s="1732">
        <f t="shared" si="7"/>
        <v>993</v>
      </c>
    </row>
    <row r="37" spans="1:38" x14ac:dyDescent="0.25">
      <c r="A37" s="5714"/>
      <c r="B37" s="1711" t="s">
        <v>12</v>
      </c>
      <c r="C37" s="1715">
        <v>30697</v>
      </c>
      <c r="D37" s="1716">
        <v>25838</v>
      </c>
      <c r="E37" s="1714">
        <v>56535</v>
      </c>
      <c r="F37" s="1715">
        <v>32320</v>
      </c>
      <c r="G37" s="1716">
        <v>27263</v>
      </c>
      <c r="H37" s="1714">
        <v>59583</v>
      </c>
      <c r="I37" s="1715">
        <v>35147</v>
      </c>
      <c r="J37" s="1716">
        <v>30048</v>
      </c>
      <c r="K37" s="1714">
        <v>65195</v>
      </c>
      <c r="L37" s="1715">
        <v>38053</v>
      </c>
      <c r="M37" s="1716">
        <v>31937</v>
      </c>
      <c r="N37" s="1714">
        <v>69990</v>
      </c>
      <c r="O37" s="1715">
        <f>SUM(O31:O36)</f>
        <v>41577</v>
      </c>
      <c r="P37" s="1716">
        <f>SUM(P31:P36)</f>
        <v>35414</v>
      </c>
      <c r="Q37" s="1714">
        <f t="shared" si="0"/>
        <v>76991</v>
      </c>
      <c r="R37" s="1715">
        <f t="shared" ref="R37:Z37" si="8">SUM(R31:R36)</f>
        <v>42701</v>
      </c>
      <c r="S37" s="1716">
        <f t="shared" si="8"/>
        <v>36326</v>
      </c>
      <c r="T37" s="1714">
        <f t="shared" si="8"/>
        <v>79027</v>
      </c>
      <c r="U37" s="1715">
        <f t="shared" si="8"/>
        <v>46619</v>
      </c>
      <c r="V37" s="1716">
        <f t="shared" si="8"/>
        <v>40450</v>
      </c>
      <c r="W37" s="1714">
        <f t="shared" si="8"/>
        <v>87069</v>
      </c>
      <c r="X37" s="1715">
        <f t="shared" si="8"/>
        <v>47411</v>
      </c>
      <c r="Y37" s="1716">
        <f t="shared" si="8"/>
        <v>40707</v>
      </c>
      <c r="Z37" s="1714">
        <f t="shared" si="8"/>
        <v>88118</v>
      </c>
      <c r="AA37" s="1715">
        <f t="shared" ref="AA37:AF37" si="9">SUM(AA31:AA36)</f>
        <v>46359</v>
      </c>
      <c r="AB37" s="1716">
        <f t="shared" si="9"/>
        <v>39794</v>
      </c>
      <c r="AC37" s="1714">
        <f t="shared" si="9"/>
        <v>86153</v>
      </c>
      <c r="AD37" s="1715">
        <f t="shared" si="9"/>
        <v>50302</v>
      </c>
      <c r="AE37" s="1716">
        <f t="shared" si="9"/>
        <v>42388</v>
      </c>
      <c r="AF37" s="1714">
        <f t="shared" si="9"/>
        <v>92690</v>
      </c>
      <c r="AG37" s="1715">
        <f t="shared" ref="AG37:AL37" si="10">SUM(AG31:AG36)</f>
        <v>51182</v>
      </c>
      <c r="AH37" s="1716">
        <f t="shared" si="10"/>
        <v>42570</v>
      </c>
      <c r="AI37" s="1714">
        <f t="shared" si="10"/>
        <v>93752</v>
      </c>
      <c r="AJ37" s="1715">
        <f t="shared" si="10"/>
        <v>51328</v>
      </c>
      <c r="AK37" s="1716">
        <f t="shared" si="10"/>
        <v>41679</v>
      </c>
      <c r="AL37" s="1714">
        <f t="shared" si="10"/>
        <v>93007</v>
      </c>
    </row>
    <row r="38" spans="1:38" x14ac:dyDescent="0.25">
      <c r="A38" s="240" t="s">
        <v>648</v>
      </c>
    </row>
    <row r="41" spans="1:38" x14ac:dyDescent="0.25">
      <c r="Q41" s="3895">
        <v>2006</v>
      </c>
    </row>
    <row r="42" spans="1:38" x14ac:dyDescent="0.25">
      <c r="Q42" s="3895">
        <v>2007</v>
      </c>
    </row>
    <row r="43" spans="1:38" x14ac:dyDescent="0.25">
      <c r="Q43" s="3895">
        <v>2008</v>
      </c>
    </row>
    <row r="44" spans="1:38" x14ac:dyDescent="0.25">
      <c r="Q44" s="3895">
        <v>2009</v>
      </c>
    </row>
    <row r="45" spans="1:38" x14ac:dyDescent="0.25">
      <c r="Q45" s="3895">
        <v>2010</v>
      </c>
    </row>
    <row r="46" spans="1:38" x14ac:dyDescent="0.25">
      <c r="Q46" s="3895">
        <v>2011</v>
      </c>
    </row>
    <row r="47" spans="1:38" x14ac:dyDescent="0.25">
      <c r="Q47" s="3895">
        <v>2012</v>
      </c>
    </row>
    <row r="48" spans="1:38" x14ac:dyDescent="0.25">
      <c r="Q48" s="3895">
        <v>2013</v>
      </c>
    </row>
    <row r="49" spans="17:17" x14ac:dyDescent="0.25">
      <c r="Q49" s="3895">
        <v>2014</v>
      </c>
    </row>
    <row r="50" spans="17:17" x14ac:dyDescent="0.25">
      <c r="Q50" s="3895">
        <v>2015</v>
      </c>
    </row>
    <row r="51" spans="17:17" x14ac:dyDescent="0.25">
      <c r="Q51" s="3895">
        <v>2016</v>
      </c>
    </row>
    <row r="52" spans="17:17" x14ac:dyDescent="0.25">
      <c r="Q52" s="3895">
        <v>2017</v>
      </c>
    </row>
  </sheetData>
  <sheetProtection algorithmName="SHA-512" hashValue="kLmVFVYbEFgoPu5YD+mDzHnkXNv53qsMCPqI6arwjIqDub8ZuC5/vVJhNNwsSHrnNwtVnSwHEGEkpPedHAGR9Q==" saltValue="AuQyzCDDn09pNqOnm6lBfw==" spinCount="100000" sheet="1" objects="1" scenarios="1"/>
  <mergeCells count="21">
    <mergeCell ref="A1:B1"/>
    <mergeCell ref="A16:A19"/>
    <mergeCell ref="A21:A24"/>
    <mergeCell ref="A26:A29"/>
    <mergeCell ref="A31:A37"/>
    <mergeCell ref="A11:A14"/>
    <mergeCell ref="A3:A4"/>
    <mergeCell ref="B3:B4"/>
    <mergeCell ref="A6:A9"/>
    <mergeCell ref="AJ3:AL3"/>
    <mergeCell ref="AG3:AI3"/>
    <mergeCell ref="AD3:AF3"/>
    <mergeCell ref="C3:E3"/>
    <mergeCell ref="F3:H3"/>
    <mergeCell ref="AA3:AC3"/>
    <mergeCell ref="R3:T3"/>
    <mergeCell ref="U3:W3"/>
    <mergeCell ref="X3:Z3"/>
    <mergeCell ref="I3:K3"/>
    <mergeCell ref="L3:N3"/>
    <mergeCell ref="O3:Q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2" pageOrder="overThenDown" orientation="landscape" r:id="rId1"/>
  <rowBreaks count="1" manualBreakCount="1">
    <brk id="38" max="34" man="1"/>
  </rowBreaks>
  <colBreaks count="1" manualBreakCount="1">
    <brk id="17" max="66" man="1"/>
  </colBreaks>
  <ignoredErrors>
    <ignoredError sqref="Q9:W37 Z9:Z36 AC9:AC36 AF9:AF36 AI29:AI36 AI9:AI24" formula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CB141"/>
  <sheetViews>
    <sheetView showGridLines="0" zoomScaleNormal="100" zoomScaleSheetLayoutView="80" workbookViewId="0">
      <pane xSplit="4" ySplit="4" topLeftCell="BY119" activePane="bottomRight" state="frozen"/>
      <selection sqref="A1:E1"/>
      <selection pane="topRight" sqref="A1:E1"/>
      <selection pane="bottomLeft" sqref="A1:E1"/>
      <selection pane="bottomRight" activeCell="BY139" sqref="BY139:CB139"/>
    </sheetView>
  </sheetViews>
  <sheetFormatPr baseColWidth="10" defaultRowHeight="12.75" x14ac:dyDescent="0.2"/>
  <cols>
    <col min="1" max="1" width="8" style="986" bestFit="1" customWidth="1"/>
    <col min="2" max="2" width="11" style="1023" customWidth="1"/>
    <col min="3" max="3" width="11.42578125" style="1023" customWidth="1"/>
    <col min="4" max="4" width="65.5703125" style="986" bestFit="1" customWidth="1"/>
    <col min="5" max="7" width="8.7109375" style="986" customWidth="1"/>
    <col min="8" max="8" width="8.7109375" style="987" customWidth="1"/>
    <col min="9" max="11" width="8.7109375" style="986" customWidth="1"/>
    <col min="12" max="12" width="8.7109375" style="987" customWidth="1"/>
    <col min="13" max="15" width="8.7109375" style="986" customWidth="1"/>
    <col min="16" max="16" width="8.7109375" style="987" customWidth="1"/>
    <col min="17" max="19" width="8.7109375" style="986" customWidth="1"/>
    <col min="20" max="20" width="8.7109375" style="987" customWidth="1"/>
    <col min="21" max="23" width="8.7109375" style="986" customWidth="1"/>
    <col min="24" max="24" width="8.7109375" style="987" customWidth="1"/>
    <col min="25" max="27" width="8.7109375" style="986" customWidth="1"/>
    <col min="28" max="28" width="8.7109375" style="987" customWidth="1"/>
    <col min="29" max="31" width="8.7109375" style="986" customWidth="1"/>
    <col min="32" max="32" width="8.7109375" style="987" customWidth="1"/>
    <col min="33" max="35" width="8.7109375" style="986" customWidth="1"/>
    <col min="36" max="36" width="8.7109375" style="987" customWidth="1"/>
    <col min="37" max="39" width="8.7109375" style="986" customWidth="1"/>
    <col min="40" max="40" width="8.7109375" style="987" customWidth="1"/>
    <col min="41" max="43" width="8.7109375" style="986" customWidth="1"/>
    <col min="44" max="44" width="8.7109375" style="987" customWidth="1"/>
    <col min="45" max="80" width="8.7109375" style="986" customWidth="1"/>
    <col min="81" max="273" width="11.42578125" style="986"/>
    <col min="274" max="274" width="15.5703125" style="986" bestFit="1" customWidth="1"/>
    <col min="275" max="275" width="11.7109375" style="986" customWidth="1"/>
    <col min="276" max="276" width="54.7109375" style="986" customWidth="1"/>
    <col min="277" max="277" width="7.42578125" style="986" customWidth="1"/>
    <col min="278" max="279" width="6.28515625" style="986" customWidth="1"/>
    <col min="280" max="280" width="7.42578125" style="986" customWidth="1"/>
    <col min="281" max="281" width="5.7109375" style="986" customWidth="1"/>
    <col min="282" max="283" width="6.28515625" style="986" customWidth="1"/>
    <col min="284" max="284" width="7.85546875" style="986" customWidth="1"/>
    <col min="285" max="285" width="5.7109375" style="986" customWidth="1"/>
    <col min="286" max="287" width="6.28515625" style="986" customWidth="1"/>
    <col min="288" max="288" width="7.85546875" style="986" customWidth="1"/>
    <col min="289" max="289" width="5.28515625" style="986" customWidth="1"/>
    <col min="290" max="291" width="6.28515625" style="986" customWidth="1"/>
    <col min="292" max="292" width="7.85546875" style="986" customWidth="1"/>
    <col min="293" max="293" width="5.7109375" style="986" customWidth="1"/>
    <col min="294" max="295" width="6.28515625" style="986" customWidth="1"/>
    <col min="296" max="296" width="7.85546875" style="986" customWidth="1"/>
    <col min="297" max="297" width="5.7109375" style="986" customWidth="1"/>
    <col min="298" max="299" width="6.42578125" style="986" customWidth="1"/>
    <col min="300" max="300" width="7.85546875" style="986" customWidth="1"/>
    <col min="301" max="303" width="5.7109375" style="986" customWidth="1"/>
    <col min="304" max="304" width="7.85546875" style="986" customWidth="1"/>
    <col min="305" max="312" width="6.7109375" style="986" customWidth="1"/>
    <col min="313" max="529" width="11.42578125" style="986"/>
    <col min="530" max="530" width="15.5703125" style="986" bestFit="1" customWidth="1"/>
    <col min="531" max="531" width="11.7109375" style="986" customWidth="1"/>
    <col min="532" max="532" width="54.7109375" style="986" customWidth="1"/>
    <col min="533" max="533" width="7.42578125" style="986" customWidth="1"/>
    <col min="534" max="535" width="6.28515625" style="986" customWidth="1"/>
    <col min="536" max="536" width="7.42578125" style="986" customWidth="1"/>
    <col min="537" max="537" width="5.7109375" style="986" customWidth="1"/>
    <col min="538" max="539" width="6.28515625" style="986" customWidth="1"/>
    <col min="540" max="540" width="7.85546875" style="986" customWidth="1"/>
    <col min="541" max="541" width="5.7109375" style="986" customWidth="1"/>
    <col min="542" max="543" width="6.28515625" style="986" customWidth="1"/>
    <col min="544" max="544" width="7.85546875" style="986" customWidth="1"/>
    <col min="545" max="545" width="5.28515625" style="986" customWidth="1"/>
    <col min="546" max="547" width="6.28515625" style="986" customWidth="1"/>
    <col min="548" max="548" width="7.85546875" style="986" customWidth="1"/>
    <col min="549" max="549" width="5.7109375" style="986" customWidth="1"/>
    <col min="550" max="551" width="6.28515625" style="986" customWidth="1"/>
    <col min="552" max="552" width="7.85546875" style="986" customWidth="1"/>
    <col min="553" max="553" width="5.7109375" style="986" customWidth="1"/>
    <col min="554" max="555" width="6.42578125" style="986" customWidth="1"/>
    <col min="556" max="556" width="7.85546875" style="986" customWidth="1"/>
    <col min="557" max="559" width="5.7109375" style="986" customWidth="1"/>
    <col min="560" max="560" width="7.85546875" style="986" customWidth="1"/>
    <col min="561" max="568" width="6.7109375" style="986" customWidth="1"/>
    <col min="569" max="785" width="11.42578125" style="986"/>
    <col min="786" max="786" width="15.5703125" style="986" bestFit="1" customWidth="1"/>
    <col min="787" max="787" width="11.7109375" style="986" customWidth="1"/>
    <col min="788" max="788" width="54.7109375" style="986" customWidth="1"/>
    <col min="789" max="789" width="7.42578125" style="986" customWidth="1"/>
    <col min="790" max="791" width="6.28515625" style="986" customWidth="1"/>
    <col min="792" max="792" width="7.42578125" style="986" customWidth="1"/>
    <col min="793" max="793" width="5.7109375" style="986" customWidth="1"/>
    <col min="794" max="795" width="6.28515625" style="986" customWidth="1"/>
    <col min="796" max="796" width="7.85546875" style="986" customWidth="1"/>
    <col min="797" max="797" width="5.7109375" style="986" customWidth="1"/>
    <col min="798" max="799" width="6.28515625" style="986" customWidth="1"/>
    <col min="800" max="800" width="7.85546875" style="986" customWidth="1"/>
    <col min="801" max="801" width="5.28515625" style="986" customWidth="1"/>
    <col min="802" max="803" width="6.28515625" style="986" customWidth="1"/>
    <col min="804" max="804" width="7.85546875" style="986" customWidth="1"/>
    <col min="805" max="805" width="5.7109375" style="986" customWidth="1"/>
    <col min="806" max="807" width="6.28515625" style="986" customWidth="1"/>
    <col min="808" max="808" width="7.85546875" style="986" customWidth="1"/>
    <col min="809" max="809" width="5.7109375" style="986" customWidth="1"/>
    <col min="810" max="811" width="6.42578125" style="986" customWidth="1"/>
    <col min="812" max="812" width="7.85546875" style="986" customWidth="1"/>
    <col min="813" max="815" width="5.7109375" style="986" customWidth="1"/>
    <col min="816" max="816" width="7.85546875" style="986" customWidth="1"/>
    <col min="817" max="824" width="6.7109375" style="986" customWidth="1"/>
    <col min="825" max="1041" width="11.42578125" style="986"/>
    <col min="1042" max="1042" width="15.5703125" style="986" bestFit="1" customWidth="1"/>
    <col min="1043" max="1043" width="11.7109375" style="986" customWidth="1"/>
    <col min="1044" max="1044" width="54.7109375" style="986" customWidth="1"/>
    <col min="1045" max="1045" width="7.42578125" style="986" customWidth="1"/>
    <col min="1046" max="1047" width="6.28515625" style="986" customWidth="1"/>
    <col min="1048" max="1048" width="7.42578125" style="986" customWidth="1"/>
    <col min="1049" max="1049" width="5.7109375" style="986" customWidth="1"/>
    <col min="1050" max="1051" width="6.28515625" style="986" customWidth="1"/>
    <col min="1052" max="1052" width="7.85546875" style="986" customWidth="1"/>
    <col min="1053" max="1053" width="5.7109375" style="986" customWidth="1"/>
    <col min="1054" max="1055" width="6.28515625" style="986" customWidth="1"/>
    <col min="1056" max="1056" width="7.85546875" style="986" customWidth="1"/>
    <col min="1057" max="1057" width="5.28515625" style="986" customWidth="1"/>
    <col min="1058" max="1059" width="6.28515625" style="986" customWidth="1"/>
    <col min="1060" max="1060" width="7.85546875" style="986" customWidth="1"/>
    <col min="1061" max="1061" width="5.7109375" style="986" customWidth="1"/>
    <col min="1062" max="1063" width="6.28515625" style="986" customWidth="1"/>
    <col min="1064" max="1064" width="7.85546875" style="986" customWidth="1"/>
    <col min="1065" max="1065" width="5.7109375" style="986" customWidth="1"/>
    <col min="1066" max="1067" width="6.42578125" style="986" customWidth="1"/>
    <col min="1068" max="1068" width="7.85546875" style="986" customWidth="1"/>
    <col min="1069" max="1071" width="5.7109375" style="986" customWidth="1"/>
    <col min="1072" max="1072" width="7.85546875" style="986" customWidth="1"/>
    <col min="1073" max="1080" width="6.7109375" style="986" customWidth="1"/>
    <col min="1081" max="1297" width="11.42578125" style="986"/>
    <col min="1298" max="1298" width="15.5703125" style="986" bestFit="1" customWidth="1"/>
    <col min="1299" max="1299" width="11.7109375" style="986" customWidth="1"/>
    <col min="1300" max="1300" width="54.7109375" style="986" customWidth="1"/>
    <col min="1301" max="1301" width="7.42578125" style="986" customWidth="1"/>
    <col min="1302" max="1303" width="6.28515625" style="986" customWidth="1"/>
    <col min="1304" max="1304" width="7.42578125" style="986" customWidth="1"/>
    <col min="1305" max="1305" width="5.7109375" style="986" customWidth="1"/>
    <col min="1306" max="1307" width="6.28515625" style="986" customWidth="1"/>
    <col min="1308" max="1308" width="7.85546875" style="986" customWidth="1"/>
    <col min="1309" max="1309" width="5.7109375" style="986" customWidth="1"/>
    <col min="1310" max="1311" width="6.28515625" style="986" customWidth="1"/>
    <col min="1312" max="1312" width="7.85546875" style="986" customWidth="1"/>
    <col min="1313" max="1313" width="5.28515625" style="986" customWidth="1"/>
    <col min="1314" max="1315" width="6.28515625" style="986" customWidth="1"/>
    <col min="1316" max="1316" width="7.85546875" style="986" customWidth="1"/>
    <col min="1317" max="1317" width="5.7109375" style="986" customWidth="1"/>
    <col min="1318" max="1319" width="6.28515625" style="986" customWidth="1"/>
    <col min="1320" max="1320" width="7.85546875" style="986" customWidth="1"/>
    <col min="1321" max="1321" width="5.7109375" style="986" customWidth="1"/>
    <col min="1322" max="1323" width="6.42578125" style="986" customWidth="1"/>
    <col min="1324" max="1324" width="7.85546875" style="986" customWidth="1"/>
    <col min="1325" max="1327" width="5.7109375" style="986" customWidth="1"/>
    <col min="1328" max="1328" width="7.85546875" style="986" customWidth="1"/>
    <col min="1329" max="1336" width="6.7109375" style="986" customWidth="1"/>
    <col min="1337" max="1553" width="11.42578125" style="986"/>
    <col min="1554" max="1554" width="15.5703125" style="986" bestFit="1" customWidth="1"/>
    <col min="1555" max="1555" width="11.7109375" style="986" customWidth="1"/>
    <col min="1556" max="1556" width="54.7109375" style="986" customWidth="1"/>
    <col min="1557" max="1557" width="7.42578125" style="986" customWidth="1"/>
    <col min="1558" max="1559" width="6.28515625" style="986" customWidth="1"/>
    <col min="1560" max="1560" width="7.42578125" style="986" customWidth="1"/>
    <col min="1561" max="1561" width="5.7109375" style="986" customWidth="1"/>
    <col min="1562" max="1563" width="6.28515625" style="986" customWidth="1"/>
    <col min="1564" max="1564" width="7.85546875" style="986" customWidth="1"/>
    <col min="1565" max="1565" width="5.7109375" style="986" customWidth="1"/>
    <col min="1566" max="1567" width="6.28515625" style="986" customWidth="1"/>
    <col min="1568" max="1568" width="7.85546875" style="986" customWidth="1"/>
    <col min="1569" max="1569" width="5.28515625" style="986" customWidth="1"/>
    <col min="1570" max="1571" width="6.28515625" style="986" customWidth="1"/>
    <col min="1572" max="1572" width="7.85546875" style="986" customWidth="1"/>
    <col min="1573" max="1573" width="5.7109375" style="986" customWidth="1"/>
    <col min="1574" max="1575" width="6.28515625" style="986" customWidth="1"/>
    <col min="1576" max="1576" width="7.85546875" style="986" customWidth="1"/>
    <col min="1577" max="1577" width="5.7109375" style="986" customWidth="1"/>
    <col min="1578" max="1579" width="6.42578125" style="986" customWidth="1"/>
    <col min="1580" max="1580" width="7.85546875" style="986" customWidth="1"/>
    <col min="1581" max="1583" width="5.7109375" style="986" customWidth="1"/>
    <col min="1584" max="1584" width="7.85546875" style="986" customWidth="1"/>
    <col min="1585" max="1592" width="6.7109375" style="986" customWidth="1"/>
    <col min="1593" max="1809" width="11.42578125" style="986"/>
    <col min="1810" max="1810" width="15.5703125" style="986" bestFit="1" customWidth="1"/>
    <col min="1811" max="1811" width="11.7109375" style="986" customWidth="1"/>
    <col min="1812" max="1812" width="54.7109375" style="986" customWidth="1"/>
    <col min="1813" max="1813" width="7.42578125" style="986" customWidth="1"/>
    <col min="1814" max="1815" width="6.28515625" style="986" customWidth="1"/>
    <col min="1816" max="1816" width="7.42578125" style="986" customWidth="1"/>
    <col min="1817" max="1817" width="5.7109375" style="986" customWidth="1"/>
    <col min="1818" max="1819" width="6.28515625" style="986" customWidth="1"/>
    <col min="1820" max="1820" width="7.85546875" style="986" customWidth="1"/>
    <col min="1821" max="1821" width="5.7109375" style="986" customWidth="1"/>
    <col min="1822" max="1823" width="6.28515625" style="986" customWidth="1"/>
    <col min="1824" max="1824" width="7.85546875" style="986" customWidth="1"/>
    <col min="1825" max="1825" width="5.28515625" style="986" customWidth="1"/>
    <col min="1826" max="1827" width="6.28515625" style="986" customWidth="1"/>
    <col min="1828" max="1828" width="7.85546875" style="986" customWidth="1"/>
    <col min="1829" max="1829" width="5.7109375" style="986" customWidth="1"/>
    <col min="1830" max="1831" width="6.28515625" style="986" customWidth="1"/>
    <col min="1832" max="1832" width="7.85546875" style="986" customWidth="1"/>
    <col min="1833" max="1833" width="5.7109375" style="986" customWidth="1"/>
    <col min="1834" max="1835" width="6.42578125" style="986" customWidth="1"/>
    <col min="1836" max="1836" width="7.85546875" style="986" customWidth="1"/>
    <col min="1837" max="1839" width="5.7109375" style="986" customWidth="1"/>
    <col min="1840" max="1840" width="7.85546875" style="986" customWidth="1"/>
    <col min="1841" max="1848" width="6.7109375" style="986" customWidth="1"/>
    <col min="1849" max="2065" width="11.42578125" style="986"/>
    <col min="2066" max="2066" width="15.5703125" style="986" bestFit="1" customWidth="1"/>
    <col min="2067" max="2067" width="11.7109375" style="986" customWidth="1"/>
    <col min="2068" max="2068" width="54.7109375" style="986" customWidth="1"/>
    <col min="2069" max="2069" width="7.42578125" style="986" customWidth="1"/>
    <col min="2070" max="2071" width="6.28515625" style="986" customWidth="1"/>
    <col min="2072" max="2072" width="7.42578125" style="986" customWidth="1"/>
    <col min="2073" max="2073" width="5.7109375" style="986" customWidth="1"/>
    <col min="2074" max="2075" width="6.28515625" style="986" customWidth="1"/>
    <col min="2076" max="2076" width="7.85546875" style="986" customWidth="1"/>
    <col min="2077" max="2077" width="5.7109375" style="986" customWidth="1"/>
    <col min="2078" max="2079" width="6.28515625" style="986" customWidth="1"/>
    <col min="2080" max="2080" width="7.85546875" style="986" customWidth="1"/>
    <col min="2081" max="2081" width="5.28515625" style="986" customWidth="1"/>
    <col min="2082" max="2083" width="6.28515625" style="986" customWidth="1"/>
    <col min="2084" max="2084" width="7.85546875" style="986" customWidth="1"/>
    <col min="2085" max="2085" width="5.7109375" style="986" customWidth="1"/>
    <col min="2086" max="2087" width="6.28515625" style="986" customWidth="1"/>
    <col min="2088" max="2088" width="7.85546875" style="986" customWidth="1"/>
    <col min="2089" max="2089" width="5.7109375" style="986" customWidth="1"/>
    <col min="2090" max="2091" width="6.42578125" style="986" customWidth="1"/>
    <col min="2092" max="2092" width="7.85546875" style="986" customWidth="1"/>
    <col min="2093" max="2095" width="5.7109375" style="986" customWidth="1"/>
    <col min="2096" max="2096" width="7.85546875" style="986" customWidth="1"/>
    <col min="2097" max="2104" width="6.7109375" style="986" customWidth="1"/>
    <col min="2105" max="2321" width="11.42578125" style="986"/>
    <col min="2322" max="2322" width="15.5703125" style="986" bestFit="1" customWidth="1"/>
    <col min="2323" max="2323" width="11.7109375" style="986" customWidth="1"/>
    <col min="2324" max="2324" width="54.7109375" style="986" customWidth="1"/>
    <col min="2325" max="2325" width="7.42578125" style="986" customWidth="1"/>
    <col min="2326" max="2327" width="6.28515625" style="986" customWidth="1"/>
    <col min="2328" max="2328" width="7.42578125" style="986" customWidth="1"/>
    <col min="2329" max="2329" width="5.7109375" style="986" customWidth="1"/>
    <col min="2330" max="2331" width="6.28515625" style="986" customWidth="1"/>
    <col min="2332" max="2332" width="7.85546875" style="986" customWidth="1"/>
    <col min="2333" max="2333" width="5.7109375" style="986" customWidth="1"/>
    <col min="2334" max="2335" width="6.28515625" style="986" customWidth="1"/>
    <col min="2336" max="2336" width="7.85546875" style="986" customWidth="1"/>
    <col min="2337" max="2337" width="5.28515625" style="986" customWidth="1"/>
    <col min="2338" max="2339" width="6.28515625" style="986" customWidth="1"/>
    <col min="2340" max="2340" width="7.85546875" style="986" customWidth="1"/>
    <col min="2341" max="2341" width="5.7109375" style="986" customWidth="1"/>
    <col min="2342" max="2343" width="6.28515625" style="986" customWidth="1"/>
    <col min="2344" max="2344" width="7.85546875" style="986" customWidth="1"/>
    <col min="2345" max="2345" width="5.7109375" style="986" customWidth="1"/>
    <col min="2346" max="2347" width="6.42578125" style="986" customWidth="1"/>
    <col min="2348" max="2348" width="7.85546875" style="986" customWidth="1"/>
    <col min="2349" max="2351" width="5.7109375" style="986" customWidth="1"/>
    <col min="2352" max="2352" width="7.85546875" style="986" customWidth="1"/>
    <col min="2353" max="2360" width="6.7109375" style="986" customWidth="1"/>
    <col min="2361" max="2577" width="11.42578125" style="986"/>
    <col min="2578" max="2578" width="15.5703125" style="986" bestFit="1" customWidth="1"/>
    <col min="2579" max="2579" width="11.7109375" style="986" customWidth="1"/>
    <col min="2580" max="2580" width="54.7109375" style="986" customWidth="1"/>
    <col min="2581" max="2581" width="7.42578125" style="986" customWidth="1"/>
    <col min="2582" max="2583" width="6.28515625" style="986" customWidth="1"/>
    <col min="2584" max="2584" width="7.42578125" style="986" customWidth="1"/>
    <col min="2585" max="2585" width="5.7109375" style="986" customWidth="1"/>
    <col min="2586" max="2587" width="6.28515625" style="986" customWidth="1"/>
    <col min="2588" max="2588" width="7.85546875" style="986" customWidth="1"/>
    <col min="2589" max="2589" width="5.7109375" style="986" customWidth="1"/>
    <col min="2590" max="2591" width="6.28515625" style="986" customWidth="1"/>
    <col min="2592" max="2592" width="7.85546875" style="986" customWidth="1"/>
    <col min="2593" max="2593" width="5.28515625" style="986" customWidth="1"/>
    <col min="2594" max="2595" width="6.28515625" style="986" customWidth="1"/>
    <col min="2596" max="2596" width="7.85546875" style="986" customWidth="1"/>
    <col min="2597" max="2597" width="5.7109375" style="986" customWidth="1"/>
    <col min="2598" max="2599" width="6.28515625" style="986" customWidth="1"/>
    <col min="2600" max="2600" width="7.85546875" style="986" customWidth="1"/>
    <col min="2601" max="2601" width="5.7109375" style="986" customWidth="1"/>
    <col min="2602" max="2603" width="6.42578125" style="986" customWidth="1"/>
    <col min="2604" max="2604" width="7.85546875" style="986" customWidth="1"/>
    <col min="2605" max="2607" width="5.7109375" style="986" customWidth="1"/>
    <col min="2608" max="2608" width="7.85546875" style="986" customWidth="1"/>
    <col min="2609" max="2616" width="6.7109375" style="986" customWidth="1"/>
    <col min="2617" max="2833" width="11.42578125" style="986"/>
    <col min="2834" max="2834" width="15.5703125" style="986" bestFit="1" customWidth="1"/>
    <col min="2835" max="2835" width="11.7109375" style="986" customWidth="1"/>
    <col min="2836" max="2836" width="54.7109375" style="986" customWidth="1"/>
    <col min="2837" max="2837" width="7.42578125" style="986" customWidth="1"/>
    <col min="2838" max="2839" width="6.28515625" style="986" customWidth="1"/>
    <col min="2840" max="2840" width="7.42578125" style="986" customWidth="1"/>
    <col min="2841" max="2841" width="5.7109375" style="986" customWidth="1"/>
    <col min="2842" max="2843" width="6.28515625" style="986" customWidth="1"/>
    <col min="2844" max="2844" width="7.85546875" style="986" customWidth="1"/>
    <col min="2845" max="2845" width="5.7109375" style="986" customWidth="1"/>
    <col min="2846" max="2847" width="6.28515625" style="986" customWidth="1"/>
    <col min="2848" max="2848" width="7.85546875" style="986" customWidth="1"/>
    <col min="2849" max="2849" width="5.28515625" style="986" customWidth="1"/>
    <col min="2850" max="2851" width="6.28515625" style="986" customWidth="1"/>
    <col min="2852" max="2852" width="7.85546875" style="986" customWidth="1"/>
    <col min="2853" max="2853" width="5.7109375" style="986" customWidth="1"/>
    <col min="2854" max="2855" width="6.28515625" style="986" customWidth="1"/>
    <col min="2856" max="2856" width="7.85546875" style="986" customWidth="1"/>
    <col min="2857" max="2857" width="5.7109375" style="986" customWidth="1"/>
    <col min="2858" max="2859" width="6.42578125" style="986" customWidth="1"/>
    <col min="2860" max="2860" width="7.85546875" style="986" customWidth="1"/>
    <col min="2861" max="2863" width="5.7109375" style="986" customWidth="1"/>
    <col min="2864" max="2864" width="7.85546875" style="986" customWidth="1"/>
    <col min="2865" max="2872" width="6.7109375" style="986" customWidth="1"/>
    <col min="2873" max="3089" width="11.42578125" style="986"/>
    <col min="3090" max="3090" width="15.5703125" style="986" bestFit="1" customWidth="1"/>
    <col min="3091" max="3091" width="11.7109375" style="986" customWidth="1"/>
    <col min="3092" max="3092" width="54.7109375" style="986" customWidth="1"/>
    <col min="3093" max="3093" width="7.42578125" style="986" customWidth="1"/>
    <col min="3094" max="3095" width="6.28515625" style="986" customWidth="1"/>
    <col min="3096" max="3096" width="7.42578125" style="986" customWidth="1"/>
    <col min="3097" max="3097" width="5.7109375" style="986" customWidth="1"/>
    <col min="3098" max="3099" width="6.28515625" style="986" customWidth="1"/>
    <col min="3100" max="3100" width="7.85546875" style="986" customWidth="1"/>
    <col min="3101" max="3101" width="5.7109375" style="986" customWidth="1"/>
    <col min="3102" max="3103" width="6.28515625" style="986" customWidth="1"/>
    <col min="3104" max="3104" width="7.85546875" style="986" customWidth="1"/>
    <col min="3105" max="3105" width="5.28515625" style="986" customWidth="1"/>
    <col min="3106" max="3107" width="6.28515625" style="986" customWidth="1"/>
    <col min="3108" max="3108" width="7.85546875" style="986" customWidth="1"/>
    <col min="3109" max="3109" width="5.7109375" style="986" customWidth="1"/>
    <col min="3110" max="3111" width="6.28515625" style="986" customWidth="1"/>
    <col min="3112" max="3112" width="7.85546875" style="986" customWidth="1"/>
    <col min="3113" max="3113" width="5.7109375" style="986" customWidth="1"/>
    <col min="3114" max="3115" width="6.42578125" style="986" customWidth="1"/>
    <col min="3116" max="3116" width="7.85546875" style="986" customWidth="1"/>
    <col min="3117" max="3119" width="5.7109375" style="986" customWidth="1"/>
    <col min="3120" max="3120" width="7.85546875" style="986" customWidth="1"/>
    <col min="3121" max="3128" width="6.7109375" style="986" customWidth="1"/>
    <col min="3129" max="3345" width="11.42578125" style="986"/>
    <col min="3346" max="3346" width="15.5703125" style="986" bestFit="1" customWidth="1"/>
    <col min="3347" max="3347" width="11.7109375" style="986" customWidth="1"/>
    <col min="3348" max="3348" width="54.7109375" style="986" customWidth="1"/>
    <col min="3349" max="3349" width="7.42578125" style="986" customWidth="1"/>
    <col min="3350" max="3351" width="6.28515625" style="986" customWidth="1"/>
    <col min="3352" max="3352" width="7.42578125" style="986" customWidth="1"/>
    <col min="3353" max="3353" width="5.7109375" style="986" customWidth="1"/>
    <col min="3354" max="3355" width="6.28515625" style="986" customWidth="1"/>
    <col min="3356" max="3356" width="7.85546875" style="986" customWidth="1"/>
    <col min="3357" max="3357" width="5.7109375" style="986" customWidth="1"/>
    <col min="3358" max="3359" width="6.28515625" style="986" customWidth="1"/>
    <col min="3360" max="3360" width="7.85546875" style="986" customWidth="1"/>
    <col min="3361" max="3361" width="5.28515625" style="986" customWidth="1"/>
    <col min="3362" max="3363" width="6.28515625" style="986" customWidth="1"/>
    <col min="3364" max="3364" width="7.85546875" style="986" customWidth="1"/>
    <col min="3365" max="3365" width="5.7109375" style="986" customWidth="1"/>
    <col min="3366" max="3367" width="6.28515625" style="986" customWidth="1"/>
    <col min="3368" max="3368" width="7.85546875" style="986" customWidth="1"/>
    <col min="3369" max="3369" width="5.7109375" style="986" customWidth="1"/>
    <col min="3370" max="3371" width="6.42578125" style="986" customWidth="1"/>
    <col min="3372" max="3372" width="7.85546875" style="986" customWidth="1"/>
    <col min="3373" max="3375" width="5.7109375" style="986" customWidth="1"/>
    <col min="3376" max="3376" width="7.85546875" style="986" customWidth="1"/>
    <col min="3377" max="3384" width="6.7109375" style="986" customWidth="1"/>
    <col min="3385" max="3601" width="11.42578125" style="986"/>
    <col min="3602" max="3602" width="15.5703125" style="986" bestFit="1" customWidth="1"/>
    <col min="3603" max="3603" width="11.7109375" style="986" customWidth="1"/>
    <col min="3604" max="3604" width="54.7109375" style="986" customWidth="1"/>
    <col min="3605" max="3605" width="7.42578125" style="986" customWidth="1"/>
    <col min="3606" max="3607" width="6.28515625" style="986" customWidth="1"/>
    <col min="3608" max="3608" width="7.42578125" style="986" customWidth="1"/>
    <col min="3609" max="3609" width="5.7109375" style="986" customWidth="1"/>
    <col min="3610" max="3611" width="6.28515625" style="986" customWidth="1"/>
    <col min="3612" max="3612" width="7.85546875" style="986" customWidth="1"/>
    <col min="3613" max="3613" width="5.7109375" style="986" customWidth="1"/>
    <col min="3614" max="3615" width="6.28515625" style="986" customWidth="1"/>
    <col min="3616" max="3616" width="7.85546875" style="986" customWidth="1"/>
    <col min="3617" max="3617" width="5.28515625" style="986" customWidth="1"/>
    <col min="3618" max="3619" width="6.28515625" style="986" customWidth="1"/>
    <col min="3620" max="3620" width="7.85546875" style="986" customWidth="1"/>
    <col min="3621" max="3621" width="5.7109375" style="986" customWidth="1"/>
    <col min="3622" max="3623" width="6.28515625" style="986" customWidth="1"/>
    <col min="3624" max="3624" width="7.85546875" style="986" customWidth="1"/>
    <col min="3625" max="3625" width="5.7109375" style="986" customWidth="1"/>
    <col min="3626" max="3627" width="6.42578125" style="986" customWidth="1"/>
    <col min="3628" max="3628" width="7.85546875" style="986" customWidth="1"/>
    <col min="3629" max="3631" width="5.7109375" style="986" customWidth="1"/>
    <col min="3632" max="3632" width="7.85546875" style="986" customWidth="1"/>
    <col min="3633" max="3640" width="6.7109375" style="986" customWidth="1"/>
    <col min="3641" max="3857" width="11.42578125" style="986"/>
    <col min="3858" max="3858" width="15.5703125" style="986" bestFit="1" customWidth="1"/>
    <col min="3859" max="3859" width="11.7109375" style="986" customWidth="1"/>
    <col min="3860" max="3860" width="54.7109375" style="986" customWidth="1"/>
    <col min="3861" max="3861" width="7.42578125" style="986" customWidth="1"/>
    <col min="3862" max="3863" width="6.28515625" style="986" customWidth="1"/>
    <col min="3864" max="3864" width="7.42578125" style="986" customWidth="1"/>
    <col min="3865" max="3865" width="5.7109375" style="986" customWidth="1"/>
    <col min="3866" max="3867" width="6.28515625" style="986" customWidth="1"/>
    <col min="3868" max="3868" width="7.85546875" style="986" customWidth="1"/>
    <col min="3869" max="3869" width="5.7109375" style="986" customWidth="1"/>
    <col min="3870" max="3871" width="6.28515625" style="986" customWidth="1"/>
    <col min="3872" max="3872" width="7.85546875" style="986" customWidth="1"/>
    <col min="3873" max="3873" width="5.28515625" style="986" customWidth="1"/>
    <col min="3874" max="3875" width="6.28515625" style="986" customWidth="1"/>
    <col min="3876" max="3876" width="7.85546875" style="986" customWidth="1"/>
    <col min="3877" max="3877" width="5.7109375" style="986" customWidth="1"/>
    <col min="3878" max="3879" width="6.28515625" style="986" customWidth="1"/>
    <col min="3880" max="3880" width="7.85546875" style="986" customWidth="1"/>
    <col min="3881" max="3881" width="5.7109375" style="986" customWidth="1"/>
    <col min="3882" max="3883" width="6.42578125" style="986" customWidth="1"/>
    <col min="3884" max="3884" width="7.85546875" style="986" customWidth="1"/>
    <col min="3885" max="3887" width="5.7109375" style="986" customWidth="1"/>
    <col min="3888" max="3888" width="7.85546875" style="986" customWidth="1"/>
    <col min="3889" max="3896" width="6.7109375" style="986" customWidth="1"/>
    <col min="3897" max="4113" width="11.42578125" style="986"/>
    <col min="4114" max="4114" width="15.5703125" style="986" bestFit="1" customWidth="1"/>
    <col min="4115" max="4115" width="11.7109375" style="986" customWidth="1"/>
    <col min="4116" max="4116" width="54.7109375" style="986" customWidth="1"/>
    <col min="4117" max="4117" width="7.42578125" style="986" customWidth="1"/>
    <col min="4118" max="4119" width="6.28515625" style="986" customWidth="1"/>
    <col min="4120" max="4120" width="7.42578125" style="986" customWidth="1"/>
    <col min="4121" max="4121" width="5.7109375" style="986" customWidth="1"/>
    <col min="4122" max="4123" width="6.28515625" style="986" customWidth="1"/>
    <col min="4124" max="4124" width="7.85546875" style="986" customWidth="1"/>
    <col min="4125" max="4125" width="5.7109375" style="986" customWidth="1"/>
    <col min="4126" max="4127" width="6.28515625" style="986" customWidth="1"/>
    <col min="4128" max="4128" width="7.85546875" style="986" customWidth="1"/>
    <col min="4129" max="4129" width="5.28515625" style="986" customWidth="1"/>
    <col min="4130" max="4131" width="6.28515625" style="986" customWidth="1"/>
    <col min="4132" max="4132" width="7.85546875" style="986" customWidth="1"/>
    <col min="4133" max="4133" width="5.7109375" style="986" customWidth="1"/>
    <col min="4134" max="4135" width="6.28515625" style="986" customWidth="1"/>
    <col min="4136" max="4136" width="7.85546875" style="986" customWidth="1"/>
    <col min="4137" max="4137" width="5.7109375" style="986" customWidth="1"/>
    <col min="4138" max="4139" width="6.42578125" style="986" customWidth="1"/>
    <col min="4140" max="4140" width="7.85546875" style="986" customWidth="1"/>
    <col min="4141" max="4143" width="5.7109375" style="986" customWidth="1"/>
    <col min="4144" max="4144" width="7.85546875" style="986" customWidth="1"/>
    <col min="4145" max="4152" width="6.7109375" style="986" customWidth="1"/>
    <col min="4153" max="4369" width="11.42578125" style="986"/>
    <col min="4370" max="4370" width="15.5703125" style="986" bestFit="1" customWidth="1"/>
    <col min="4371" max="4371" width="11.7109375" style="986" customWidth="1"/>
    <col min="4372" max="4372" width="54.7109375" style="986" customWidth="1"/>
    <col min="4373" max="4373" width="7.42578125" style="986" customWidth="1"/>
    <col min="4374" max="4375" width="6.28515625" style="986" customWidth="1"/>
    <col min="4376" max="4376" width="7.42578125" style="986" customWidth="1"/>
    <col min="4377" max="4377" width="5.7109375" style="986" customWidth="1"/>
    <col min="4378" max="4379" width="6.28515625" style="986" customWidth="1"/>
    <col min="4380" max="4380" width="7.85546875" style="986" customWidth="1"/>
    <col min="4381" max="4381" width="5.7109375" style="986" customWidth="1"/>
    <col min="4382" max="4383" width="6.28515625" style="986" customWidth="1"/>
    <col min="4384" max="4384" width="7.85546875" style="986" customWidth="1"/>
    <col min="4385" max="4385" width="5.28515625" style="986" customWidth="1"/>
    <col min="4386" max="4387" width="6.28515625" style="986" customWidth="1"/>
    <col min="4388" max="4388" width="7.85546875" style="986" customWidth="1"/>
    <col min="4389" max="4389" width="5.7109375" style="986" customWidth="1"/>
    <col min="4390" max="4391" width="6.28515625" style="986" customWidth="1"/>
    <col min="4392" max="4392" width="7.85546875" style="986" customWidth="1"/>
    <col min="4393" max="4393" width="5.7109375" style="986" customWidth="1"/>
    <col min="4394" max="4395" width="6.42578125" style="986" customWidth="1"/>
    <col min="4396" max="4396" width="7.85546875" style="986" customWidth="1"/>
    <col min="4397" max="4399" width="5.7109375" style="986" customWidth="1"/>
    <col min="4400" max="4400" width="7.85546875" style="986" customWidth="1"/>
    <col min="4401" max="4408" width="6.7109375" style="986" customWidth="1"/>
    <col min="4409" max="4625" width="11.42578125" style="986"/>
    <col min="4626" max="4626" width="15.5703125" style="986" bestFit="1" customWidth="1"/>
    <col min="4627" max="4627" width="11.7109375" style="986" customWidth="1"/>
    <col min="4628" max="4628" width="54.7109375" style="986" customWidth="1"/>
    <col min="4629" max="4629" width="7.42578125" style="986" customWidth="1"/>
    <col min="4630" max="4631" width="6.28515625" style="986" customWidth="1"/>
    <col min="4632" max="4632" width="7.42578125" style="986" customWidth="1"/>
    <col min="4633" max="4633" width="5.7109375" style="986" customWidth="1"/>
    <col min="4634" max="4635" width="6.28515625" style="986" customWidth="1"/>
    <col min="4636" max="4636" width="7.85546875" style="986" customWidth="1"/>
    <col min="4637" max="4637" width="5.7109375" style="986" customWidth="1"/>
    <col min="4638" max="4639" width="6.28515625" style="986" customWidth="1"/>
    <col min="4640" max="4640" width="7.85546875" style="986" customWidth="1"/>
    <col min="4641" max="4641" width="5.28515625" style="986" customWidth="1"/>
    <col min="4642" max="4643" width="6.28515625" style="986" customWidth="1"/>
    <col min="4644" max="4644" width="7.85546875" style="986" customWidth="1"/>
    <col min="4645" max="4645" width="5.7109375" style="986" customWidth="1"/>
    <col min="4646" max="4647" width="6.28515625" style="986" customWidth="1"/>
    <col min="4648" max="4648" width="7.85546875" style="986" customWidth="1"/>
    <col min="4649" max="4649" width="5.7109375" style="986" customWidth="1"/>
    <col min="4650" max="4651" width="6.42578125" style="986" customWidth="1"/>
    <col min="4652" max="4652" width="7.85546875" style="986" customWidth="1"/>
    <col min="4653" max="4655" width="5.7109375" style="986" customWidth="1"/>
    <col min="4656" max="4656" width="7.85546875" style="986" customWidth="1"/>
    <col min="4657" max="4664" width="6.7109375" style="986" customWidth="1"/>
    <col min="4665" max="4881" width="11.42578125" style="986"/>
    <col min="4882" max="4882" width="15.5703125" style="986" bestFit="1" customWidth="1"/>
    <col min="4883" max="4883" width="11.7109375" style="986" customWidth="1"/>
    <col min="4884" max="4884" width="54.7109375" style="986" customWidth="1"/>
    <col min="4885" max="4885" width="7.42578125" style="986" customWidth="1"/>
    <col min="4886" max="4887" width="6.28515625" style="986" customWidth="1"/>
    <col min="4888" max="4888" width="7.42578125" style="986" customWidth="1"/>
    <col min="4889" max="4889" width="5.7109375" style="986" customWidth="1"/>
    <col min="4890" max="4891" width="6.28515625" style="986" customWidth="1"/>
    <col min="4892" max="4892" width="7.85546875" style="986" customWidth="1"/>
    <col min="4893" max="4893" width="5.7109375" style="986" customWidth="1"/>
    <col min="4894" max="4895" width="6.28515625" style="986" customWidth="1"/>
    <col min="4896" max="4896" width="7.85546875" style="986" customWidth="1"/>
    <col min="4897" max="4897" width="5.28515625" style="986" customWidth="1"/>
    <col min="4898" max="4899" width="6.28515625" style="986" customWidth="1"/>
    <col min="4900" max="4900" width="7.85546875" style="986" customWidth="1"/>
    <col min="4901" max="4901" width="5.7109375" style="986" customWidth="1"/>
    <col min="4902" max="4903" width="6.28515625" style="986" customWidth="1"/>
    <col min="4904" max="4904" width="7.85546875" style="986" customWidth="1"/>
    <col min="4905" max="4905" width="5.7109375" style="986" customWidth="1"/>
    <col min="4906" max="4907" width="6.42578125" style="986" customWidth="1"/>
    <col min="4908" max="4908" width="7.85546875" style="986" customWidth="1"/>
    <col min="4909" max="4911" width="5.7109375" style="986" customWidth="1"/>
    <col min="4912" max="4912" width="7.85546875" style="986" customWidth="1"/>
    <col min="4913" max="4920" width="6.7109375" style="986" customWidth="1"/>
    <col min="4921" max="5137" width="11.42578125" style="986"/>
    <col min="5138" max="5138" width="15.5703125" style="986" bestFit="1" customWidth="1"/>
    <col min="5139" max="5139" width="11.7109375" style="986" customWidth="1"/>
    <col min="5140" max="5140" width="54.7109375" style="986" customWidth="1"/>
    <col min="5141" max="5141" width="7.42578125" style="986" customWidth="1"/>
    <col min="5142" max="5143" width="6.28515625" style="986" customWidth="1"/>
    <col min="5144" max="5144" width="7.42578125" style="986" customWidth="1"/>
    <col min="5145" max="5145" width="5.7109375" style="986" customWidth="1"/>
    <col min="5146" max="5147" width="6.28515625" style="986" customWidth="1"/>
    <col min="5148" max="5148" width="7.85546875" style="986" customWidth="1"/>
    <col min="5149" max="5149" width="5.7109375" style="986" customWidth="1"/>
    <col min="5150" max="5151" width="6.28515625" style="986" customWidth="1"/>
    <col min="5152" max="5152" width="7.85546875" style="986" customWidth="1"/>
    <col min="5153" max="5153" width="5.28515625" style="986" customWidth="1"/>
    <col min="5154" max="5155" width="6.28515625" style="986" customWidth="1"/>
    <col min="5156" max="5156" width="7.85546875" style="986" customWidth="1"/>
    <col min="5157" max="5157" width="5.7109375" style="986" customWidth="1"/>
    <col min="5158" max="5159" width="6.28515625" style="986" customWidth="1"/>
    <col min="5160" max="5160" width="7.85546875" style="986" customWidth="1"/>
    <col min="5161" max="5161" width="5.7109375" style="986" customWidth="1"/>
    <col min="5162" max="5163" width="6.42578125" style="986" customWidth="1"/>
    <col min="5164" max="5164" width="7.85546875" style="986" customWidth="1"/>
    <col min="5165" max="5167" width="5.7109375" style="986" customWidth="1"/>
    <col min="5168" max="5168" width="7.85546875" style="986" customWidth="1"/>
    <col min="5169" max="5176" width="6.7109375" style="986" customWidth="1"/>
    <col min="5177" max="5393" width="11.42578125" style="986"/>
    <col min="5394" max="5394" width="15.5703125" style="986" bestFit="1" customWidth="1"/>
    <col min="5395" max="5395" width="11.7109375" style="986" customWidth="1"/>
    <col min="5396" max="5396" width="54.7109375" style="986" customWidth="1"/>
    <col min="5397" max="5397" width="7.42578125" style="986" customWidth="1"/>
    <col min="5398" max="5399" width="6.28515625" style="986" customWidth="1"/>
    <col min="5400" max="5400" width="7.42578125" style="986" customWidth="1"/>
    <col min="5401" max="5401" width="5.7109375" style="986" customWidth="1"/>
    <col min="5402" max="5403" width="6.28515625" style="986" customWidth="1"/>
    <col min="5404" max="5404" width="7.85546875" style="986" customWidth="1"/>
    <col min="5405" max="5405" width="5.7109375" style="986" customWidth="1"/>
    <col min="5406" max="5407" width="6.28515625" style="986" customWidth="1"/>
    <col min="5408" max="5408" width="7.85546875" style="986" customWidth="1"/>
    <col min="5409" max="5409" width="5.28515625" style="986" customWidth="1"/>
    <col min="5410" max="5411" width="6.28515625" style="986" customWidth="1"/>
    <col min="5412" max="5412" width="7.85546875" style="986" customWidth="1"/>
    <col min="5413" max="5413" width="5.7109375" style="986" customWidth="1"/>
    <col min="5414" max="5415" width="6.28515625" style="986" customWidth="1"/>
    <col min="5416" max="5416" width="7.85546875" style="986" customWidth="1"/>
    <col min="5417" max="5417" width="5.7109375" style="986" customWidth="1"/>
    <col min="5418" max="5419" width="6.42578125" style="986" customWidth="1"/>
    <col min="5420" max="5420" width="7.85546875" style="986" customWidth="1"/>
    <col min="5421" max="5423" width="5.7109375" style="986" customWidth="1"/>
    <col min="5424" max="5424" width="7.85546875" style="986" customWidth="1"/>
    <col min="5425" max="5432" width="6.7109375" style="986" customWidth="1"/>
    <col min="5433" max="5649" width="11.42578125" style="986"/>
    <col min="5650" max="5650" width="15.5703125" style="986" bestFit="1" customWidth="1"/>
    <col min="5651" max="5651" width="11.7109375" style="986" customWidth="1"/>
    <col min="5652" max="5652" width="54.7109375" style="986" customWidth="1"/>
    <col min="5653" max="5653" width="7.42578125" style="986" customWidth="1"/>
    <col min="5654" max="5655" width="6.28515625" style="986" customWidth="1"/>
    <col min="5656" max="5656" width="7.42578125" style="986" customWidth="1"/>
    <col min="5657" max="5657" width="5.7109375" style="986" customWidth="1"/>
    <col min="5658" max="5659" width="6.28515625" style="986" customWidth="1"/>
    <col min="5660" max="5660" width="7.85546875" style="986" customWidth="1"/>
    <col min="5661" max="5661" width="5.7109375" style="986" customWidth="1"/>
    <col min="5662" max="5663" width="6.28515625" style="986" customWidth="1"/>
    <col min="5664" max="5664" width="7.85546875" style="986" customWidth="1"/>
    <col min="5665" max="5665" width="5.28515625" style="986" customWidth="1"/>
    <col min="5666" max="5667" width="6.28515625" style="986" customWidth="1"/>
    <col min="5668" max="5668" width="7.85546875" style="986" customWidth="1"/>
    <col min="5669" max="5669" width="5.7109375" style="986" customWidth="1"/>
    <col min="5670" max="5671" width="6.28515625" style="986" customWidth="1"/>
    <col min="5672" max="5672" width="7.85546875" style="986" customWidth="1"/>
    <col min="5673" max="5673" width="5.7109375" style="986" customWidth="1"/>
    <col min="5674" max="5675" width="6.42578125" style="986" customWidth="1"/>
    <col min="5676" max="5676" width="7.85546875" style="986" customWidth="1"/>
    <col min="5677" max="5679" width="5.7109375" style="986" customWidth="1"/>
    <col min="5680" max="5680" width="7.85546875" style="986" customWidth="1"/>
    <col min="5681" max="5688" width="6.7109375" style="986" customWidth="1"/>
    <col min="5689" max="5905" width="11.42578125" style="986"/>
    <col min="5906" max="5906" width="15.5703125" style="986" bestFit="1" customWidth="1"/>
    <col min="5907" max="5907" width="11.7109375" style="986" customWidth="1"/>
    <col min="5908" max="5908" width="54.7109375" style="986" customWidth="1"/>
    <col min="5909" max="5909" width="7.42578125" style="986" customWidth="1"/>
    <col min="5910" max="5911" width="6.28515625" style="986" customWidth="1"/>
    <col min="5912" max="5912" width="7.42578125" style="986" customWidth="1"/>
    <col min="5913" max="5913" width="5.7109375" style="986" customWidth="1"/>
    <col min="5914" max="5915" width="6.28515625" style="986" customWidth="1"/>
    <col min="5916" max="5916" width="7.85546875" style="986" customWidth="1"/>
    <col min="5917" max="5917" width="5.7109375" style="986" customWidth="1"/>
    <col min="5918" max="5919" width="6.28515625" style="986" customWidth="1"/>
    <col min="5920" max="5920" width="7.85546875" style="986" customWidth="1"/>
    <col min="5921" max="5921" width="5.28515625" style="986" customWidth="1"/>
    <col min="5922" max="5923" width="6.28515625" style="986" customWidth="1"/>
    <col min="5924" max="5924" width="7.85546875" style="986" customWidth="1"/>
    <col min="5925" max="5925" width="5.7109375" style="986" customWidth="1"/>
    <col min="5926" max="5927" width="6.28515625" style="986" customWidth="1"/>
    <col min="5928" max="5928" width="7.85546875" style="986" customWidth="1"/>
    <col min="5929" max="5929" width="5.7109375" style="986" customWidth="1"/>
    <col min="5930" max="5931" width="6.42578125" style="986" customWidth="1"/>
    <col min="5932" max="5932" width="7.85546875" style="986" customWidth="1"/>
    <col min="5933" max="5935" width="5.7109375" style="986" customWidth="1"/>
    <col min="5936" max="5936" width="7.85546875" style="986" customWidth="1"/>
    <col min="5937" max="5944" width="6.7109375" style="986" customWidth="1"/>
    <col min="5945" max="6161" width="11.42578125" style="986"/>
    <col min="6162" max="6162" width="15.5703125" style="986" bestFit="1" customWidth="1"/>
    <col min="6163" max="6163" width="11.7109375" style="986" customWidth="1"/>
    <col min="6164" max="6164" width="54.7109375" style="986" customWidth="1"/>
    <col min="6165" max="6165" width="7.42578125" style="986" customWidth="1"/>
    <col min="6166" max="6167" width="6.28515625" style="986" customWidth="1"/>
    <col min="6168" max="6168" width="7.42578125" style="986" customWidth="1"/>
    <col min="6169" max="6169" width="5.7109375" style="986" customWidth="1"/>
    <col min="6170" max="6171" width="6.28515625" style="986" customWidth="1"/>
    <col min="6172" max="6172" width="7.85546875" style="986" customWidth="1"/>
    <col min="6173" max="6173" width="5.7109375" style="986" customWidth="1"/>
    <col min="6174" max="6175" width="6.28515625" style="986" customWidth="1"/>
    <col min="6176" max="6176" width="7.85546875" style="986" customWidth="1"/>
    <col min="6177" max="6177" width="5.28515625" style="986" customWidth="1"/>
    <col min="6178" max="6179" width="6.28515625" style="986" customWidth="1"/>
    <col min="6180" max="6180" width="7.85546875" style="986" customWidth="1"/>
    <col min="6181" max="6181" width="5.7109375" style="986" customWidth="1"/>
    <col min="6182" max="6183" width="6.28515625" style="986" customWidth="1"/>
    <col min="6184" max="6184" width="7.85546875" style="986" customWidth="1"/>
    <col min="6185" max="6185" width="5.7109375" style="986" customWidth="1"/>
    <col min="6186" max="6187" width="6.42578125" style="986" customWidth="1"/>
    <col min="6188" max="6188" width="7.85546875" style="986" customWidth="1"/>
    <col min="6189" max="6191" width="5.7109375" style="986" customWidth="1"/>
    <col min="6192" max="6192" width="7.85546875" style="986" customWidth="1"/>
    <col min="6193" max="6200" width="6.7109375" style="986" customWidth="1"/>
    <col min="6201" max="6417" width="11.42578125" style="986"/>
    <col min="6418" max="6418" width="15.5703125" style="986" bestFit="1" customWidth="1"/>
    <col min="6419" max="6419" width="11.7109375" style="986" customWidth="1"/>
    <col min="6420" max="6420" width="54.7109375" style="986" customWidth="1"/>
    <col min="6421" max="6421" width="7.42578125" style="986" customWidth="1"/>
    <col min="6422" max="6423" width="6.28515625" style="986" customWidth="1"/>
    <col min="6424" max="6424" width="7.42578125" style="986" customWidth="1"/>
    <col min="6425" max="6425" width="5.7109375" style="986" customWidth="1"/>
    <col min="6426" max="6427" width="6.28515625" style="986" customWidth="1"/>
    <col min="6428" max="6428" width="7.85546875" style="986" customWidth="1"/>
    <col min="6429" max="6429" width="5.7109375" style="986" customWidth="1"/>
    <col min="6430" max="6431" width="6.28515625" style="986" customWidth="1"/>
    <col min="6432" max="6432" width="7.85546875" style="986" customWidth="1"/>
    <col min="6433" max="6433" width="5.28515625" style="986" customWidth="1"/>
    <col min="6434" max="6435" width="6.28515625" style="986" customWidth="1"/>
    <col min="6436" max="6436" width="7.85546875" style="986" customWidth="1"/>
    <col min="6437" max="6437" width="5.7109375" style="986" customWidth="1"/>
    <col min="6438" max="6439" width="6.28515625" style="986" customWidth="1"/>
    <col min="6440" max="6440" width="7.85546875" style="986" customWidth="1"/>
    <col min="6441" max="6441" width="5.7109375" style="986" customWidth="1"/>
    <col min="6442" max="6443" width="6.42578125" style="986" customWidth="1"/>
    <col min="6444" max="6444" width="7.85546875" style="986" customWidth="1"/>
    <col min="6445" max="6447" width="5.7109375" style="986" customWidth="1"/>
    <col min="6448" max="6448" width="7.85546875" style="986" customWidth="1"/>
    <col min="6449" max="6456" width="6.7109375" style="986" customWidth="1"/>
    <col min="6457" max="6673" width="11.42578125" style="986"/>
    <col min="6674" max="6674" width="15.5703125" style="986" bestFit="1" customWidth="1"/>
    <col min="6675" max="6675" width="11.7109375" style="986" customWidth="1"/>
    <col min="6676" max="6676" width="54.7109375" style="986" customWidth="1"/>
    <col min="6677" max="6677" width="7.42578125" style="986" customWidth="1"/>
    <col min="6678" max="6679" width="6.28515625" style="986" customWidth="1"/>
    <col min="6680" max="6680" width="7.42578125" style="986" customWidth="1"/>
    <col min="6681" max="6681" width="5.7109375" style="986" customWidth="1"/>
    <col min="6682" max="6683" width="6.28515625" style="986" customWidth="1"/>
    <col min="6684" max="6684" width="7.85546875" style="986" customWidth="1"/>
    <col min="6685" max="6685" width="5.7109375" style="986" customWidth="1"/>
    <col min="6686" max="6687" width="6.28515625" style="986" customWidth="1"/>
    <col min="6688" max="6688" width="7.85546875" style="986" customWidth="1"/>
    <col min="6689" max="6689" width="5.28515625" style="986" customWidth="1"/>
    <col min="6690" max="6691" width="6.28515625" style="986" customWidth="1"/>
    <col min="6692" max="6692" width="7.85546875" style="986" customWidth="1"/>
    <col min="6693" max="6693" width="5.7109375" style="986" customWidth="1"/>
    <col min="6694" max="6695" width="6.28515625" style="986" customWidth="1"/>
    <col min="6696" max="6696" width="7.85546875" style="986" customWidth="1"/>
    <col min="6697" max="6697" width="5.7109375" style="986" customWidth="1"/>
    <col min="6698" max="6699" width="6.42578125" style="986" customWidth="1"/>
    <col min="6700" max="6700" width="7.85546875" style="986" customWidth="1"/>
    <col min="6701" max="6703" width="5.7109375" style="986" customWidth="1"/>
    <col min="6704" max="6704" width="7.85546875" style="986" customWidth="1"/>
    <col min="6705" max="6712" width="6.7109375" style="986" customWidth="1"/>
    <col min="6713" max="6929" width="11.42578125" style="986"/>
    <col min="6930" max="6930" width="15.5703125" style="986" bestFit="1" customWidth="1"/>
    <col min="6931" max="6931" width="11.7109375" style="986" customWidth="1"/>
    <col min="6932" max="6932" width="54.7109375" style="986" customWidth="1"/>
    <col min="6933" max="6933" width="7.42578125" style="986" customWidth="1"/>
    <col min="6934" max="6935" width="6.28515625" style="986" customWidth="1"/>
    <col min="6936" max="6936" width="7.42578125" style="986" customWidth="1"/>
    <col min="6937" max="6937" width="5.7109375" style="986" customWidth="1"/>
    <col min="6938" max="6939" width="6.28515625" style="986" customWidth="1"/>
    <col min="6940" max="6940" width="7.85546875" style="986" customWidth="1"/>
    <col min="6941" max="6941" width="5.7109375" style="986" customWidth="1"/>
    <col min="6942" max="6943" width="6.28515625" style="986" customWidth="1"/>
    <col min="6944" max="6944" width="7.85546875" style="986" customWidth="1"/>
    <col min="6945" max="6945" width="5.28515625" style="986" customWidth="1"/>
    <col min="6946" max="6947" width="6.28515625" style="986" customWidth="1"/>
    <col min="6948" max="6948" width="7.85546875" style="986" customWidth="1"/>
    <col min="6949" max="6949" width="5.7109375" style="986" customWidth="1"/>
    <col min="6950" max="6951" width="6.28515625" style="986" customWidth="1"/>
    <col min="6952" max="6952" width="7.85546875" style="986" customWidth="1"/>
    <col min="6953" max="6953" width="5.7109375" style="986" customWidth="1"/>
    <col min="6954" max="6955" width="6.42578125" style="986" customWidth="1"/>
    <col min="6956" max="6956" width="7.85546875" style="986" customWidth="1"/>
    <col min="6957" max="6959" width="5.7109375" style="986" customWidth="1"/>
    <col min="6960" max="6960" width="7.85546875" style="986" customWidth="1"/>
    <col min="6961" max="6968" width="6.7109375" style="986" customWidth="1"/>
    <col min="6969" max="7185" width="11.42578125" style="986"/>
    <col min="7186" max="7186" width="15.5703125" style="986" bestFit="1" customWidth="1"/>
    <col min="7187" max="7187" width="11.7109375" style="986" customWidth="1"/>
    <col min="7188" max="7188" width="54.7109375" style="986" customWidth="1"/>
    <col min="7189" max="7189" width="7.42578125" style="986" customWidth="1"/>
    <col min="7190" max="7191" width="6.28515625" style="986" customWidth="1"/>
    <col min="7192" max="7192" width="7.42578125" style="986" customWidth="1"/>
    <col min="7193" max="7193" width="5.7109375" style="986" customWidth="1"/>
    <col min="7194" max="7195" width="6.28515625" style="986" customWidth="1"/>
    <col min="7196" max="7196" width="7.85546875" style="986" customWidth="1"/>
    <col min="7197" max="7197" width="5.7109375" style="986" customWidth="1"/>
    <col min="7198" max="7199" width="6.28515625" style="986" customWidth="1"/>
    <col min="7200" max="7200" width="7.85546875" style="986" customWidth="1"/>
    <col min="7201" max="7201" width="5.28515625" style="986" customWidth="1"/>
    <col min="7202" max="7203" width="6.28515625" style="986" customWidth="1"/>
    <col min="7204" max="7204" width="7.85546875" style="986" customWidth="1"/>
    <col min="7205" max="7205" width="5.7109375" style="986" customWidth="1"/>
    <col min="7206" max="7207" width="6.28515625" style="986" customWidth="1"/>
    <col min="7208" max="7208" width="7.85546875" style="986" customWidth="1"/>
    <col min="7209" max="7209" width="5.7109375" style="986" customWidth="1"/>
    <col min="7210" max="7211" width="6.42578125" style="986" customWidth="1"/>
    <col min="7212" max="7212" width="7.85546875" style="986" customWidth="1"/>
    <col min="7213" max="7215" width="5.7109375" style="986" customWidth="1"/>
    <col min="7216" max="7216" width="7.85546875" style="986" customWidth="1"/>
    <col min="7217" max="7224" width="6.7109375" style="986" customWidth="1"/>
    <col min="7225" max="7441" width="11.42578125" style="986"/>
    <col min="7442" max="7442" width="15.5703125" style="986" bestFit="1" customWidth="1"/>
    <col min="7443" max="7443" width="11.7109375" style="986" customWidth="1"/>
    <col min="7444" max="7444" width="54.7109375" style="986" customWidth="1"/>
    <col min="7445" max="7445" width="7.42578125" style="986" customWidth="1"/>
    <col min="7446" max="7447" width="6.28515625" style="986" customWidth="1"/>
    <col min="7448" max="7448" width="7.42578125" style="986" customWidth="1"/>
    <col min="7449" max="7449" width="5.7109375" style="986" customWidth="1"/>
    <col min="7450" max="7451" width="6.28515625" style="986" customWidth="1"/>
    <col min="7452" max="7452" width="7.85546875" style="986" customWidth="1"/>
    <col min="7453" max="7453" width="5.7109375" style="986" customWidth="1"/>
    <col min="7454" max="7455" width="6.28515625" style="986" customWidth="1"/>
    <col min="7456" max="7456" width="7.85546875" style="986" customWidth="1"/>
    <col min="7457" max="7457" width="5.28515625" style="986" customWidth="1"/>
    <col min="7458" max="7459" width="6.28515625" style="986" customWidth="1"/>
    <col min="7460" max="7460" width="7.85546875" style="986" customWidth="1"/>
    <col min="7461" max="7461" width="5.7109375" style="986" customWidth="1"/>
    <col min="7462" max="7463" width="6.28515625" style="986" customWidth="1"/>
    <col min="7464" max="7464" width="7.85546875" style="986" customWidth="1"/>
    <col min="7465" max="7465" width="5.7109375" style="986" customWidth="1"/>
    <col min="7466" max="7467" width="6.42578125" style="986" customWidth="1"/>
    <col min="7468" max="7468" width="7.85546875" style="986" customWidth="1"/>
    <col min="7469" max="7471" width="5.7109375" style="986" customWidth="1"/>
    <col min="7472" max="7472" width="7.85546875" style="986" customWidth="1"/>
    <col min="7473" max="7480" width="6.7109375" style="986" customWidth="1"/>
    <col min="7481" max="7697" width="11.42578125" style="986"/>
    <col min="7698" max="7698" width="15.5703125" style="986" bestFit="1" customWidth="1"/>
    <col min="7699" max="7699" width="11.7109375" style="986" customWidth="1"/>
    <col min="7700" max="7700" width="54.7109375" style="986" customWidth="1"/>
    <col min="7701" max="7701" width="7.42578125" style="986" customWidth="1"/>
    <col min="7702" max="7703" width="6.28515625" style="986" customWidth="1"/>
    <col min="7704" max="7704" width="7.42578125" style="986" customWidth="1"/>
    <col min="7705" max="7705" width="5.7109375" style="986" customWidth="1"/>
    <col min="7706" max="7707" width="6.28515625" style="986" customWidth="1"/>
    <col min="7708" max="7708" width="7.85546875" style="986" customWidth="1"/>
    <col min="7709" max="7709" width="5.7109375" style="986" customWidth="1"/>
    <col min="7710" max="7711" width="6.28515625" style="986" customWidth="1"/>
    <col min="7712" max="7712" width="7.85546875" style="986" customWidth="1"/>
    <col min="7713" max="7713" width="5.28515625" style="986" customWidth="1"/>
    <col min="7714" max="7715" width="6.28515625" style="986" customWidth="1"/>
    <col min="7716" max="7716" width="7.85546875" style="986" customWidth="1"/>
    <col min="7717" max="7717" width="5.7109375" style="986" customWidth="1"/>
    <col min="7718" max="7719" width="6.28515625" style="986" customWidth="1"/>
    <col min="7720" max="7720" width="7.85546875" style="986" customWidth="1"/>
    <col min="7721" max="7721" width="5.7109375" style="986" customWidth="1"/>
    <col min="7722" max="7723" width="6.42578125" style="986" customWidth="1"/>
    <col min="7724" max="7724" width="7.85546875" style="986" customWidth="1"/>
    <col min="7725" max="7727" width="5.7109375" style="986" customWidth="1"/>
    <col min="7728" max="7728" width="7.85546875" style="986" customWidth="1"/>
    <col min="7729" max="7736" width="6.7109375" style="986" customWidth="1"/>
    <col min="7737" max="7953" width="11.42578125" style="986"/>
    <col min="7954" max="7954" width="15.5703125" style="986" bestFit="1" customWidth="1"/>
    <col min="7955" max="7955" width="11.7109375" style="986" customWidth="1"/>
    <col min="7956" max="7956" width="54.7109375" style="986" customWidth="1"/>
    <col min="7957" max="7957" width="7.42578125" style="986" customWidth="1"/>
    <col min="7958" max="7959" width="6.28515625" style="986" customWidth="1"/>
    <col min="7960" max="7960" width="7.42578125" style="986" customWidth="1"/>
    <col min="7961" max="7961" width="5.7109375" style="986" customWidth="1"/>
    <col min="7962" max="7963" width="6.28515625" style="986" customWidth="1"/>
    <col min="7964" max="7964" width="7.85546875" style="986" customWidth="1"/>
    <col min="7965" max="7965" width="5.7109375" style="986" customWidth="1"/>
    <col min="7966" max="7967" width="6.28515625" style="986" customWidth="1"/>
    <col min="7968" max="7968" width="7.85546875" style="986" customWidth="1"/>
    <col min="7969" max="7969" width="5.28515625" style="986" customWidth="1"/>
    <col min="7970" max="7971" width="6.28515625" style="986" customWidth="1"/>
    <col min="7972" max="7972" width="7.85546875" style="986" customWidth="1"/>
    <col min="7973" max="7973" width="5.7109375" style="986" customWidth="1"/>
    <col min="7974" max="7975" width="6.28515625" style="986" customWidth="1"/>
    <col min="7976" max="7976" width="7.85546875" style="986" customWidth="1"/>
    <col min="7977" max="7977" width="5.7109375" style="986" customWidth="1"/>
    <col min="7978" max="7979" width="6.42578125" style="986" customWidth="1"/>
    <col min="7980" max="7980" width="7.85546875" style="986" customWidth="1"/>
    <col min="7981" max="7983" width="5.7109375" style="986" customWidth="1"/>
    <col min="7984" max="7984" width="7.85546875" style="986" customWidth="1"/>
    <col min="7985" max="7992" width="6.7109375" style="986" customWidth="1"/>
    <col min="7993" max="8209" width="11.42578125" style="986"/>
    <col min="8210" max="8210" width="15.5703125" style="986" bestFit="1" customWidth="1"/>
    <col min="8211" max="8211" width="11.7109375" style="986" customWidth="1"/>
    <col min="8212" max="8212" width="54.7109375" style="986" customWidth="1"/>
    <col min="8213" max="8213" width="7.42578125" style="986" customWidth="1"/>
    <col min="8214" max="8215" width="6.28515625" style="986" customWidth="1"/>
    <col min="8216" max="8216" width="7.42578125" style="986" customWidth="1"/>
    <col min="8217" max="8217" width="5.7109375" style="986" customWidth="1"/>
    <col min="8218" max="8219" width="6.28515625" style="986" customWidth="1"/>
    <col min="8220" max="8220" width="7.85546875" style="986" customWidth="1"/>
    <col min="8221" max="8221" width="5.7109375" style="986" customWidth="1"/>
    <col min="8222" max="8223" width="6.28515625" style="986" customWidth="1"/>
    <col min="8224" max="8224" width="7.85546875" style="986" customWidth="1"/>
    <col min="8225" max="8225" width="5.28515625" style="986" customWidth="1"/>
    <col min="8226" max="8227" width="6.28515625" style="986" customWidth="1"/>
    <col min="8228" max="8228" width="7.85546875" style="986" customWidth="1"/>
    <col min="8229" max="8229" width="5.7109375" style="986" customWidth="1"/>
    <col min="8230" max="8231" width="6.28515625" style="986" customWidth="1"/>
    <col min="8232" max="8232" width="7.85546875" style="986" customWidth="1"/>
    <col min="8233" max="8233" width="5.7109375" style="986" customWidth="1"/>
    <col min="8234" max="8235" width="6.42578125" style="986" customWidth="1"/>
    <col min="8236" max="8236" width="7.85546875" style="986" customWidth="1"/>
    <col min="8237" max="8239" width="5.7109375" style="986" customWidth="1"/>
    <col min="8240" max="8240" width="7.85546875" style="986" customWidth="1"/>
    <col min="8241" max="8248" width="6.7109375" style="986" customWidth="1"/>
    <col min="8249" max="8465" width="11.42578125" style="986"/>
    <col min="8466" max="8466" width="15.5703125" style="986" bestFit="1" customWidth="1"/>
    <col min="8467" max="8467" width="11.7109375" style="986" customWidth="1"/>
    <col min="8468" max="8468" width="54.7109375" style="986" customWidth="1"/>
    <col min="8469" max="8469" width="7.42578125" style="986" customWidth="1"/>
    <col min="8470" max="8471" width="6.28515625" style="986" customWidth="1"/>
    <col min="8472" max="8472" width="7.42578125" style="986" customWidth="1"/>
    <col min="8473" max="8473" width="5.7109375" style="986" customWidth="1"/>
    <col min="8474" max="8475" width="6.28515625" style="986" customWidth="1"/>
    <col min="8476" max="8476" width="7.85546875" style="986" customWidth="1"/>
    <col min="8477" max="8477" width="5.7109375" style="986" customWidth="1"/>
    <col min="8478" max="8479" width="6.28515625" style="986" customWidth="1"/>
    <col min="8480" max="8480" width="7.85546875" style="986" customWidth="1"/>
    <col min="8481" max="8481" width="5.28515625" style="986" customWidth="1"/>
    <col min="8482" max="8483" width="6.28515625" style="986" customWidth="1"/>
    <col min="8484" max="8484" width="7.85546875" style="986" customWidth="1"/>
    <col min="8485" max="8485" width="5.7109375" style="986" customWidth="1"/>
    <col min="8486" max="8487" width="6.28515625" style="986" customWidth="1"/>
    <col min="8488" max="8488" width="7.85546875" style="986" customWidth="1"/>
    <col min="8489" max="8489" width="5.7109375" style="986" customWidth="1"/>
    <col min="8490" max="8491" width="6.42578125" style="986" customWidth="1"/>
    <col min="8492" max="8492" width="7.85546875" style="986" customWidth="1"/>
    <col min="8493" max="8495" width="5.7109375" style="986" customWidth="1"/>
    <col min="8496" max="8496" width="7.85546875" style="986" customWidth="1"/>
    <col min="8497" max="8504" width="6.7109375" style="986" customWidth="1"/>
    <col min="8505" max="8721" width="11.42578125" style="986"/>
    <col min="8722" max="8722" width="15.5703125" style="986" bestFit="1" customWidth="1"/>
    <col min="8723" max="8723" width="11.7109375" style="986" customWidth="1"/>
    <col min="8724" max="8724" width="54.7109375" style="986" customWidth="1"/>
    <col min="8725" max="8725" width="7.42578125" style="986" customWidth="1"/>
    <col min="8726" max="8727" width="6.28515625" style="986" customWidth="1"/>
    <col min="8728" max="8728" width="7.42578125" style="986" customWidth="1"/>
    <col min="8729" max="8729" width="5.7109375" style="986" customWidth="1"/>
    <col min="8730" max="8731" width="6.28515625" style="986" customWidth="1"/>
    <col min="8732" max="8732" width="7.85546875" style="986" customWidth="1"/>
    <col min="8733" max="8733" width="5.7109375" style="986" customWidth="1"/>
    <col min="8734" max="8735" width="6.28515625" style="986" customWidth="1"/>
    <col min="8736" max="8736" width="7.85546875" style="986" customWidth="1"/>
    <col min="8737" max="8737" width="5.28515625" style="986" customWidth="1"/>
    <col min="8738" max="8739" width="6.28515625" style="986" customWidth="1"/>
    <col min="8740" max="8740" width="7.85546875" style="986" customWidth="1"/>
    <col min="8741" max="8741" width="5.7109375" style="986" customWidth="1"/>
    <col min="8742" max="8743" width="6.28515625" style="986" customWidth="1"/>
    <col min="8744" max="8744" width="7.85546875" style="986" customWidth="1"/>
    <col min="8745" max="8745" width="5.7109375" style="986" customWidth="1"/>
    <col min="8746" max="8747" width="6.42578125" style="986" customWidth="1"/>
    <col min="8748" max="8748" width="7.85546875" style="986" customWidth="1"/>
    <col min="8749" max="8751" width="5.7109375" style="986" customWidth="1"/>
    <col min="8752" max="8752" width="7.85546875" style="986" customWidth="1"/>
    <col min="8753" max="8760" width="6.7109375" style="986" customWidth="1"/>
    <col min="8761" max="8977" width="11.42578125" style="986"/>
    <col min="8978" max="8978" width="15.5703125" style="986" bestFit="1" customWidth="1"/>
    <col min="8979" max="8979" width="11.7109375" style="986" customWidth="1"/>
    <col min="8980" max="8980" width="54.7109375" style="986" customWidth="1"/>
    <col min="8981" max="8981" width="7.42578125" style="986" customWidth="1"/>
    <col min="8982" max="8983" width="6.28515625" style="986" customWidth="1"/>
    <col min="8984" max="8984" width="7.42578125" style="986" customWidth="1"/>
    <col min="8985" max="8985" width="5.7109375" style="986" customWidth="1"/>
    <col min="8986" max="8987" width="6.28515625" style="986" customWidth="1"/>
    <col min="8988" max="8988" width="7.85546875" style="986" customWidth="1"/>
    <col min="8989" max="8989" width="5.7109375" style="986" customWidth="1"/>
    <col min="8990" max="8991" width="6.28515625" style="986" customWidth="1"/>
    <col min="8992" max="8992" width="7.85546875" style="986" customWidth="1"/>
    <col min="8993" max="8993" width="5.28515625" style="986" customWidth="1"/>
    <col min="8994" max="8995" width="6.28515625" style="986" customWidth="1"/>
    <col min="8996" max="8996" width="7.85546875" style="986" customWidth="1"/>
    <col min="8997" max="8997" width="5.7109375" style="986" customWidth="1"/>
    <col min="8998" max="8999" width="6.28515625" style="986" customWidth="1"/>
    <col min="9000" max="9000" width="7.85546875" style="986" customWidth="1"/>
    <col min="9001" max="9001" width="5.7109375" style="986" customWidth="1"/>
    <col min="9002" max="9003" width="6.42578125" style="986" customWidth="1"/>
    <col min="9004" max="9004" width="7.85546875" style="986" customWidth="1"/>
    <col min="9005" max="9007" width="5.7109375" style="986" customWidth="1"/>
    <col min="9008" max="9008" width="7.85546875" style="986" customWidth="1"/>
    <col min="9009" max="9016" width="6.7109375" style="986" customWidth="1"/>
    <col min="9017" max="9233" width="11.42578125" style="986"/>
    <col min="9234" max="9234" width="15.5703125" style="986" bestFit="1" customWidth="1"/>
    <col min="9235" max="9235" width="11.7109375" style="986" customWidth="1"/>
    <col min="9236" max="9236" width="54.7109375" style="986" customWidth="1"/>
    <col min="9237" max="9237" width="7.42578125" style="986" customWidth="1"/>
    <col min="9238" max="9239" width="6.28515625" style="986" customWidth="1"/>
    <col min="9240" max="9240" width="7.42578125" style="986" customWidth="1"/>
    <col min="9241" max="9241" width="5.7109375" style="986" customWidth="1"/>
    <col min="9242" max="9243" width="6.28515625" style="986" customWidth="1"/>
    <col min="9244" max="9244" width="7.85546875" style="986" customWidth="1"/>
    <col min="9245" max="9245" width="5.7109375" style="986" customWidth="1"/>
    <col min="9246" max="9247" width="6.28515625" style="986" customWidth="1"/>
    <col min="9248" max="9248" width="7.85546875" style="986" customWidth="1"/>
    <col min="9249" max="9249" width="5.28515625" style="986" customWidth="1"/>
    <col min="9250" max="9251" width="6.28515625" style="986" customWidth="1"/>
    <col min="9252" max="9252" width="7.85546875" style="986" customWidth="1"/>
    <col min="9253" max="9253" width="5.7109375" style="986" customWidth="1"/>
    <col min="9254" max="9255" width="6.28515625" style="986" customWidth="1"/>
    <col min="9256" max="9256" width="7.85546875" style="986" customWidth="1"/>
    <col min="9257" max="9257" width="5.7109375" style="986" customWidth="1"/>
    <col min="9258" max="9259" width="6.42578125" style="986" customWidth="1"/>
    <col min="9260" max="9260" width="7.85546875" style="986" customWidth="1"/>
    <col min="9261" max="9263" width="5.7109375" style="986" customWidth="1"/>
    <col min="9264" max="9264" width="7.85546875" style="986" customWidth="1"/>
    <col min="9265" max="9272" width="6.7109375" style="986" customWidth="1"/>
    <col min="9273" max="9489" width="11.42578125" style="986"/>
    <col min="9490" max="9490" width="15.5703125" style="986" bestFit="1" customWidth="1"/>
    <col min="9491" max="9491" width="11.7109375" style="986" customWidth="1"/>
    <col min="9492" max="9492" width="54.7109375" style="986" customWidth="1"/>
    <col min="9493" max="9493" width="7.42578125" style="986" customWidth="1"/>
    <col min="9494" max="9495" width="6.28515625" style="986" customWidth="1"/>
    <col min="9496" max="9496" width="7.42578125" style="986" customWidth="1"/>
    <col min="9497" max="9497" width="5.7109375" style="986" customWidth="1"/>
    <col min="9498" max="9499" width="6.28515625" style="986" customWidth="1"/>
    <col min="9500" max="9500" width="7.85546875" style="986" customWidth="1"/>
    <col min="9501" max="9501" width="5.7109375" style="986" customWidth="1"/>
    <col min="9502" max="9503" width="6.28515625" style="986" customWidth="1"/>
    <col min="9504" max="9504" width="7.85546875" style="986" customWidth="1"/>
    <col min="9505" max="9505" width="5.28515625" style="986" customWidth="1"/>
    <col min="9506" max="9507" width="6.28515625" style="986" customWidth="1"/>
    <col min="9508" max="9508" width="7.85546875" style="986" customWidth="1"/>
    <col min="9509" max="9509" width="5.7109375" style="986" customWidth="1"/>
    <col min="9510" max="9511" width="6.28515625" style="986" customWidth="1"/>
    <col min="9512" max="9512" width="7.85546875" style="986" customWidth="1"/>
    <col min="9513" max="9513" width="5.7109375" style="986" customWidth="1"/>
    <col min="9514" max="9515" width="6.42578125" style="986" customWidth="1"/>
    <col min="9516" max="9516" width="7.85546875" style="986" customWidth="1"/>
    <col min="9517" max="9519" width="5.7109375" style="986" customWidth="1"/>
    <col min="9520" max="9520" width="7.85546875" style="986" customWidth="1"/>
    <col min="9521" max="9528" width="6.7109375" style="986" customWidth="1"/>
    <col min="9529" max="9745" width="11.42578125" style="986"/>
    <col min="9746" max="9746" width="15.5703125" style="986" bestFit="1" customWidth="1"/>
    <col min="9747" max="9747" width="11.7109375" style="986" customWidth="1"/>
    <col min="9748" max="9748" width="54.7109375" style="986" customWidth="1"/>
    <col min="9749" max="9749" width="7.42578125" style="986" customWidth="1"/>
    <col min="9750" max="9751" width="6.28515625" style="986" customWidth="1"/>
    <col min="9752" max="9752" width="7.42578125" style="986" customWidth="1"/>
    <col min="9753" max="9753" width="5.7109375" style="986" customWidth="1"/>
    <col min="9754" max="9755" width="6.28515625" style="986" customWidth="1"/>
    <col min="9756" max="9756" width="7.85546875" style="986" customWidth="1"/>
    <col min="9757" max="9757" width="5.7109375" style="986" customWidth="1"/>
    <col min="9758" max="9759" width="6.28515625" style="986" customWidth="1"/>
    <col min="9760" max="9760" width="7.85546875" style="986" customWidth="1"/>
    <col min="9761" max="9761" width="5.28515625" style="986" customWidth="1"/>
    <col min="9762" max="9763" width="6.28515625" style="986" customWidth="1"/>
    <col min="9764" max="9764" width="7.85546875" style="986" customWidth="1"/>
    <col min="9765" max="9765" width="5.7109375" style="986" customWidth="1"/>
    <col min="9766" max="9767" width="6.28515625" style="986" customWidth="1"/>
    <col min="9768" max="9768" width="7.85546875" style="986" customWidth="1"/>
    <col min="9769" max="9769" width="5.7109375" style="986" customWidth="1"/>
    <col min="9770" max="9771" width="6.42578125" style="986" customWidth="1"/>
    <col min="9772" max="9772" width="7.85546875" style="986" customWidth="1"/>
    <col min="9773" max="9775" width="5.7109375" style="986" customWidth="1"/>
    <col min="9776" max="9776" width="7.85546875" style="986" customWidth="1"/>
    <col min="9777" max="9784" width="6.7109375" style="986" customWidth="1"/>
    <col min="9785" max="10001" width="11.42578125" style="986"/>
    <col min="10002" max="10002" width="15.5703125" style="986" bestFit="1" customWidth="1"/>
    <col min="10003" max="10003" width="11.7109375" style="986" customWidth="1"/>
    <col min="10004" max="10004" width="54.7109375" style="986" customWidth="1"/>
    <col min="10005" max="10005" width="7.42578125" style="986" customWidth="1"/>
    <col min="10006" max="10007" width="6.28515625" style="986" customWidth="1"/>
    <col min="10008" max="10008" width="7.42578125" style="986" customWidth="1"/>
    <col min="10009" max="10009" width="5.7109375" style="986" customWidth="1"/>
    <col min="10010" max="10011" width="6.28515625" style="986" customWidth="1"/>
    <col min="10012" max="10012" width="7.85546875" style="986" customWidth="1"/>
    <col min="10013" max="10013" width="5.7109375" style="986" customWidth="1"/>
    <col min="10014" max="10015" width="6.28515625" style="986" customWidth="1"/>
    <col min="10016" max="10016" width="7.85546875" style="986" customWidth="1"/>
    <col min="10017" max="10017" width="5.28515625" style="986" customWidth="1"/>
    <col min="10018" max="10019" width="6.28515625" style="986" customWidth="1"/>
    <col min="10020" max="10020" width="7.85546875" style="986" customWidth="1"/>
    <col min="10021" max="10021" width="5.7109375" style="986" customWidth="1"/>
    <col min="10022" max="10023" width="6.28515625" style="986" customWidth="1"/>
    <col min="10024" max="10024" width="7.85546875" style="986" customWidth="1"/>
    <col min="10025" max="10025" width="5.7109375" style="986" customWidth="1"/>
    <col min="10026" max="10027" width="6.42578125" style="986" customWidth="1"/>
    <col min="10028" max="10028" width="7.85546875" style="986" customWidth="1"/>
    <col min="10029" max="10031" width="5.7109375" style="986" customWidth="1"/>
    <col min="10032" max="10032" width="7.85546875" style="986" customWidth="1"/>
    <col min="10033" max="10040" width="6.7109375" style="986" customWidth="1"/>
    <col min="10041" max="10257" width="11.42578125" style="986"/>
    <col min="10258" max="10258" width="15.5703125" style="986" bestFit="1" customWidth="1"/>
    <col min="10259" max="10259" width="11.7109375" style="986" customWidth="1"/>
    <col min="10260" max="10260" width="54.7109375" style="986" customWidth="1"/>
    <col min="10261" max="10261" width="7.42578125" style="986" customWidth="1"/>
    <col min="10262" max="10263" width="6.28515625" style="986" customWidth="1"/>
    <col min="10264" max="10264" width="7.42578125" style="986" customWidth="1"/>
    <col min="10265" max="10265" width="5.7109375" style="986" customWidth="1"/>
    <col min="10266" max="10267" width="6.28515625" style="986" customWidth="1"/>
    <col min="10268" max="10268" width="7.85546875" style="986" customWidth="1"/>
    <col min="10269" max="10269" width="5.7109375" style="986" customWidth="1"/>
    <col min="10270" max="10271" width="6.28515625" style="986" customWidth="1"/>
    <col min="10272" max="10272" width="7.85546875" style="986" customWidth="1"/>
    <col min="10273" max="10273" width="5.28515625" style="986" customWidth="1"/>
    <col min="10274" max="10275" width="6.28515625" style="986" customWidth="1"/>
    <col min="10276" max="10276" width="7.85546875" style="986" customWidth="1"/>
    <col min="10277" max="10277" width="5.7109375" style="986" customWidth="1"/>
    <col min="10278" max="10279" width="6.28515625" style="986" customWidth="1"/>
    <col min="10280" max="10280" width="7.85546875" style="986" customWidth="1"/>
    <col min="10281" max="10281" width="5.7109375" style="986" customWidth="1"/>
    <col min="10282" max="10283" width="6.42578125" style="986" customWidth="1"/>
    <col min="10284" max="10284" width="7.85546875" style="986" customWidth="1"/>
    <col min="10285" max="10287" width="5.7109375" style="986" customWidth="1"/>
    <col min="10288" max="10288" width="7.85546875" style="986" customWidth="1"/>
    <col min="10289" max="10296" width="6.7109375" style="986" customWidth="1"/>
    <col min="10297" max="10513" width="11.42578125" style="986"/>
    <col min="10514" max="10514" width="15.5703125" style="986" bestFit="1" customWidth="1"/>
    <col min="10515" max="10515" width="11.7109375" style="986" customWidth="1"/>
    <col min="10516" max="10516" width="54.7109375" style="986" customWidth="1"/>
    <col min="10517" max="10517" width="7.42578125" style="986" customWidth="1"/>
    <col min="10518" max="10519" width="6.28515625" style="986" customWidth="1"/>
    <col min="10520" max="10520" width="7.42578125" style="986" customWidth="1"/>
    <col min="10521" max="10521" width="5.7109375" style="986" customWidth="1"/>
    <col min="10522" max="10523" width="6.28515625" style="986" customWidth="1"/>
    <col min="10524" max="10524" width="7.85546875" style="986" customWidth="1"/>
    <col min="10525" max="10525" width="5.7109375" style="986" customWidth="1"/>
    <col min="10526" max="10527" width="6.28515625" style="986" customWidth="1"/>
    <col min="10528" max="10528" width="7.85546875" style="986" customWidth="1"/>
    <col min="10529" max="10529" width="5.28515625" style="986" customWidth="1"/>
    <col min="10530" max="10531" width="6.28515625" style="986" customWidth="1"/>
    <col min="10532" max="10532" width="7.85546875" style="986" customWidth="1"/>
    <col min="10533" max="10533" width="5.7109375" style="986" customWidth="1"/>
    <col min="10534" max="10535" width="6.28515625" style="986" customWidth="1"/>
    <col min="10536" max="10536" width="7.85546875" style="986" customWidth="1"/>
    <col min="10537" max="10537" width="5.7109375" style="986" customWidth="1"/>
    <col min="10538" max="10539" width="6.42578125" style="986" customWidth="1"/>
    <col min="10540" max="10540" width="7.85546875" style="986" customWidth="1"/>
    <col min="10541" max="10543" width="5.7109375" style="986" customWidth="1"/>
    <col min="10544" max="10544" width="7.85546875" style="986" customWidth="1"/>
    <col min="10545" max="10552" width="6.7109375" style="986" customWidth="1"/>
    <col min="10553" max="10769" width="11.42578125" style="986"/>
    <col min="10770" max="10770" width="15.5703125" style="986" bestFit="1" customWidth="1"/>
    <col min="10771" max="10771" width="11.7109375" style="986" customWidth="1"/>
    <col min="10772" max="10772" width="54.7109375" style="986" customWidth="1"/>
    <col min="10773" max="10773" width="7.42578125" style="986" customWidth="1"/>
    <col min="10774" max="10775" width="6.28515625" style="986" customWidth="1"/>
    <col min="10776" max="10776" width="7.42578125" style="986" customWidth="1"/>
    <col min="10777" max="10777" width="5.7109375" style="986" customWidth="1"/>
    <col min="10778" max="10779" width="6.28515625" style="986" customWidth="1"/>
    <col min="10780" max="10780" width="7.85546875" style="986" customWidth="1"/>
    <col min="10781" max="10781" width="5.7109375" style="986" customWidth="1"/>
    <col min="10782" max="10783" width="6.28515625" style="986" customWidth="1"/>
    <col min="10784" max="10784" width="7.85546875" style="986" customWidth="1"/>
    <col min="10785" max="10785" width="5.28515625" style="986" customWidth="1"/>
    <col min="10786" max="10787" width="6.28515625" style="986" customWidth="1"/>
    <col min="10788" max="10788" width="7.85546875" style="986" customWidth="1"/>
    <col min="10789" max="10789" width="5.7109375" style="986" customWidth="1"/>
    <col min="10790" max="10791" width="6.28515625" style="986" customWidth="1"/>
    <col min="10792" max="10792" width="7.85546875" style="986" customWidth="1"/>
    <col min="10793" max="10793" width="5.7109375" style="986" customWidth="1"/>
    <col min="10794" max="10795" width="6.42578125" style="986" customWidth="1"/>
    <col min="10796" max="10796" width="7.85546875" style="986" customWidth="1"/>
    <col min="10797" max="10799" width="5.7109375" style="986" customWidth="1"/>
    <col min="10800" max="10800" width="7.85546875" style="986" customWidth="1"/>
    <col min="10801" max="10808" width="6.7109375" style="986" customWidth="1"/>
    <col min="10809" max="11025" width="11.42578125" style="986"/>
    <col min="11026" max="11026" width="15.5703125" style="986" bestFit="1" customWidth="1"/>
    <col min="11027" max="11027" width="11.7109375" style="986" customWidth="1"/>
    <col min="11028" max="11028" width="54.7109375" style="986" customWidth="1"/>
    <col min="11029" max="11029" width="7.42578125" style="986" customWidth="1"/>
    <col min="11030" max="11031" width="6.28515625" style="986" customWidth="1"/>
    <col min="11032" max="11032" width="7.42578125" style="986" customWidth="1"/>
    <col min="11033" max="11033" width="5.7109375" style="986" customWidth="1"/>
    <col min="11034" max="11035" width="6.28515625" style="986" customWidth="1"/>
    <col min="11036" max="11036" width="7.85546875" style="986" customWidth="1"/>
    <col min="11037" max="11037" width="5.7109375" style="986" customWidth="1"/>
    <col min="11038" max="11039" width="6.28515625" style="986" customWidth="1"/>
    <col min="11040" max="11040" width="7.85546875" style="986" customWidth="1"/>
    <col min="11041" max="11041" width="5.28515625" style="986" customWidth="1"/>
    <col min="11042" max="11043" width="6.28515625" style="986" customWidth="1"/>
    <col min="11044" max="11044" width="7.85546875" style="986" customWidth="1"/>
    <col min="11045" max="11045" width="5.7109375" style="986" customWidth="1"/>
    <col min="11046" max="11047" width="6.28515625" style="986" customWidth="1"/>
    <col min="11048" max="11048" width="7.85546875" style="986" customWidth="1"/>
    <col min="11049" max="11049" width="5.7109375" style="986" customWidth="1"/>
    <col min="11050" max="11051" width="6.42578125" style="986" customWidth="1"/>
    <col min="11052" max="11052" width="7.85546875" style="986" customWidth="1"/>
    <col min="11053" max="11055" width="5.7109375" style="986" customWidth="1"/>
    <col min="11056" max="11056" width="7.85546875" style="986" customWidth="1"/>
    <col min="11057" max="11064" width="6.7109375" style="986" customWidth="1"/>
    <col min="11065" max="11281" width="11.42578125" style="986"/>
    <col min="11282" max="11282" width="15.5703125" style="986" bestFit="1" customWidth="1"/>
    <col min="11283" max="11283" width="11.7109375" style="986" customWidth="1"/>
    <col min="11284" max="11284" width="54.7109375" style="986" customWidth="1"/>
    <col min="11285" max="11285" width="7.42578125" style="986" customWidth="1"/>
    <col min="11286" max="11287" width="6.28515625" style="986" customWidth="1"/>
    <col min="11288" max="11288" width="7.42578125" style="986" customWidth="1"/>
    <col min="11289" max="11289" width="5.7109375" style="986" customWidth="1"/>
    <col min="11290" max="11291" width="6.28515625" style="986" customWidth="1"/>
    <col min="11292" max="11292" width="7.85546875" style="986" customWidth="1"/>
    <col min="11293" max="11293" width="5.7109375" style="986" customWidth="1"/>
    <col min="11294" max="11295" width="6.28515625" style="986" customWidth="1"/>
    <col min="11296" max="11296" width="7.85546875" style="986" customWidth="1"/>
    <col min="11297" max="11297" width="5.28515625" style="986" customWidth="1"/>
    <col min="11298" max="11299" width="6.28515625" style="986" customWidth="1"/>
    <col min="11300" max="11300" width="7.85546875" style="986" customWidth="1"/>
    <col min="11301" max="11301" width="5.7109375" style="986" customWidth="1"/>
    <col min="11302" max="11303" width="6.28515625" style="986" customWidth="1"/>
    <col min="11304" max="11304" width="7.85546875" style="986" customWidth="1"/>
    <col min="11305" max="11305" width="5.7109375" style="986" customWidth="1"/>
    <col min="11306" max="11307" width="6.42578125" style="986" customWidth="1"/>
    <col min="11308" max="11308" width="7.85546875" style="986" customWidth="1"/>
    <col min="11309" max="11311" width="5.7109375" style="986" customWidth="1"/>
    <col min="11312" max="11312" width="7.85546875" style="986" customWidth="1"/>
    <col min="11313" max="11320" width="6.7109375" style="986" customWidth="1"/>
    <col min="11321" max="11537" width="11.42578125" style="986"/>
    <col min="11538" max="11538" width="15.5703125" style="986" bestFit="1" customWidth="1"/>
    <col min="11539" max="11539" width="11.7109375" style="986" customWidth="1"/>
    <col min="11540" max="11540" width="54.7109375" style="986" customWidth="1"/>
    <col min="11541" max="11541" width="7.42578125" style="986" customWidth="1"/>
    <col min="11542" max="11543" width="6.28515625" style="986" customWidth="1"/>
    <col min="11544" max="11544" width="7.42578125" style="986" customWidth="1"/>
    <col min="11545" max="11545" width="5.7109375" style="986" customWidth="1"/>
    <col min="11546" max="11547" width="6.28515625" style="986" customWidth="1"/>
    <col min="11548" max="11548" width="7.85546875" style="986" customWidth="1"/>
    <col min="11549" max="11549" width="5.7109375" style="986" customWidth="1"/>
    <col min="11550" max="11551" width="6.28515625" style="986" customWidth="1"/>
    <col min="11552" max="11552" width="7.85546875" style="986" customWidth="1"/>
    <col min="11553" max="11553" width="5.28515625" style="986" customWidth="1"/>
    <col min="11554" max="11555" width="6.28515625" style="986" customWidth="1"/>
    <col min="11556" max="11556" width="7.85546875" style="986" customWidth="1"/>
    <col min="11557" max="11557" width="5.7109375" style="986" customWidth="1"/>
    <col min="11558" max="11559" width="6.28515625" style="986" customWidth="1"/>
    <col min="11560" max="11560" width="7.85546875" style="986" customWidth="1"/>
    <col min="11561" max="11561" width="5.7109375" style="986" customWidth="1"/>
    <col min="11562" max="11563" width="6.42578125" style="986" customWidth="1"/>
    <col min="11564" max="11564" width="7.85546875" style="986" customWidth="1"/>
    <col min="11565" max="11567" width="5.7109375" style="986" customWidth="1"/>
    <col min="11568" max="11568" width="7.85546875" style="986" customWidth="1"/>
    <col min="11569" max="11576" width="6.7109375" style="986" customWidth="1"/>
    <col min="11577" max="11793" width="11.42578125" style="986"/>
    <col min="11794" max="11794" width="15.5703125" style="986" bestFit="1" customWidth="1"/>
    <col min="11795" max="11795" width="11.7109375" style="986" customWidth="1"/>
    <col min="11796" max="11796" width="54.7109375" style="986" customWidth="1"/>
    <col min="11797" max="11797" width="7.42578125" style="986" customWidth="1"/>
    <col min="11798" max="11799" width="6.28515625" style="986" customWidth="1"/>
    <col min="11800" max="11800" width="7.42578125" style="986" customWidth="1"/>
    <col min="11801" max="11801" width="5.7109375" style="986" customWidth="1"/>
    <col min="11802" max="11803" width="6.28515625" style="986" customWidth="1"/>
    <col min="11804" max="11804" width="7.85546875" style="986" customWidth="1"/>
    <col min="11805" max="11805" width="5.7109375" style="986" customWidth="1"/>
    <col min="11806" max="11807" width="6.28515625" style="986" customWidth="1"/>
    <col min="11808" max="11808" width="7.85546875" style="986" customWidth="1"/>
    <col min="11809" max="11809" width="5.28515625" style="986" customWidth="1"/>
    <col min="11810" max="11811" width="6.28515625" style="986" customWidth="1"/>
    <col min="11812" max="11812" width="7.85546875" style="986" customWidth="1"/>
    <col min="11813" max="11813" width="5.7109375" style="986" customWidth="1"/>
    <col min="11814" max="11815" width="6.28515625" style="986" customWidth="1"/>
    <col min="11816" max="11816" width="7.85546875" style="986" customWidth="1"/>
    <col min="11817" max="11817" width="5.7109375" style="986" customWidth="1"/>
    <col min="11818" max="11819" width="6.42578125" style="986" customWidth="1"/>
    <col min="11820" max="11820" width="7.85546875" style="986" customWidth="1"/>
    <col min="11821" max="11823" width="5.7109375" style="986" customWidth="1"/>
    <col min="11824" max="11824" width="7.85546875" style="986" customWidth="1"/>
    <col min="11825" max="11832" width="6.7109375" style="986" customWidth="1"/>
    <col min="11833" max="12049" width="11.42578125" style="986"/>
    <col min="12050" max="12050" width="15.5703125" style="986" bestFit="1" customWidth="1"/>
    <col min="12051" max="12051" width="11.7109375" style="986" customWidth="1"/>
    <col min="12052" max="12052" width="54.7109375" style="986" customWidth="1"/>
    <col min="12053" max="12053" width="7.42578125" style="986" customWidth="1"/>
    <col min="12054" max="12055" width="6.28515625" style="986" customWidth="1"/>
    <col min="12056" max="12056" width="7.42578125" style="986" customWidth="1"/>
    <col min="12057" max="12057" width="5.7109375" style="986" customWidth="1"/>
    <col min="12058" max="12059" width="6.28515625" style="986" customWidth="1"/>
    <col min="12060" max="12060" width="7.85546875" style="986" customWidth="1"/>
    <col min="12061" max="12061" width="5.7109375" style="986" customWidth="1"/>
    <col min="12062" max="12063" width="6.28515625" style="986" customWidth="1"/>
    <col min="12064" max="12064" width="7.85546875" style="986" customWidth="1"/>
    <col min="12065" max="12065" width="5.28515625" style="986" customWidth="1"/>
    <col min="12066" max="12067" width="6.28515625" style="986" customWidth="1"/>
    <col min="12068" max="12068" width="7.85546875" style="986" customWidth="1"/>
    <col min="12069" max="12069" width="5.7109375" style="986" customWidth="1"/>
    <col min="12070" max="12071" width="6.28515625" style="986" customWidth="1"/>
    <col min="12072" max="12072" width="7.85546875" style="986" customWidth="1"/>
    <col min="12073" max="12073" width="5.7109375" style="986" customWidth="1"/>
    <col min="12074" max="12075" width="6.42578125" style="986" customWidth="1"/>
    <col min="12076" max="12076" width="7.85546875" style="986" customWidth="1"/>
    <col min="12077" max="12079" width="5.7109375" style="986" customWidth="1"/>
    <col min="12080" max="12080" width="7.85546875" style="986" customWidth="1"/>
    <col min="12081" max="12088" width="6.7109375" style="986" customWidth="1"/>
    <col min="12089" max="12305" width="11.42578125" style="986"/>
    <col min="12306" max="12306" width="15.5703125" style="986" bestFit="1" customWidth="1"/>
    <col min="12307" max="12307" width="11.7109375" style="986" customWidth="1"/>
    <col min="12308" max="12308" width="54.7109375" style="986" customWidth="1"/>
    <col min="12309" max="12309" width="7.42578125" style="986" customWidth="1"/>
    <col min="12310" max="12311" width="6.28515625" style="986" customWidth="1"/>
    <col min="12312" max="12312" width="7.42578125" style="986" customWidth="1"/>
    <col min="12313" max="12313" width="5.7109375" style="986" customWidth="1"/>
    <col min="12314" max="12315" width="6.28515625" style="986" customWidth="1"/>
    <col min="12316" max="12316" width="7.85546875" style="986" customWidth="1"/>
    <col min="12317" max="12317" width="5.7109375" style="986" customWidth="1"/>
    <col min="12318" max="12319" width="6.28515625" style="986" customWidth="1"/>
    <col min="12320" max="12320" width="7.85546875" style="986" customWidth="1"/>
    <col min="12321" max="12321" width="5.28515625" style="986" customWidth="1"/>
    <col min="12322" max="12323" width="6.28515625" style="986" customWidth="1"/>
    <col min="12324" max="12324" width="7.85546875" style="986" customWidth="1"/>
    <col min="12325" max="12325" width="5.7109375" style="986" customWidth="1"/>
    <col min="12326" max="12327" width="6.28515625" style="986" customWidth="1"/>
    <col min="12328" max="12328" width="7.85546875" style="986" customWidth="1"/>
    <col min="12329" max="12329" width="5.7109375" style="986" customWidth="1"/>
    <col min="12330" max="12331" width="6.42578125" style="986" customWidth="1"/>
    <col min="12332" max="12332" width="7.85546875" style="986" customWidth="1"/>
    <col min="12333" max="12335" width="5.7109375" style="986" customWidth="1"/>
    <col min="12336" max="12336" width="7.85546875" style="986" customWidth="1"/>
    <col min="12337" max="12344" width="6.7109375" style="986" customWidth="1"/>
    <col min="12345" max="12561" width="11.42578125" style="986"/>
    <col min="12562" max="12562" width="15.5703125" style="986" bestFit="1" customWidth="1"/>
    <col min="12563" max="12563" width="11.7109375" style="986" customWidth="1"/>
    <col min="12564" max="12564" width="54.7109375" style="986" customWidth="1"/>
    <col min="12565" max="12565" width="7.42578125" style="986" customWidth="1"/>
    <col min="12566" max="12567" width="6.28515625" style="986" customWidth="1"/>
    <col min="12568" max="12568" width="7.42578125" style="986" customWidth="1"/>
    <col min="12569" max="12569" width="5.7109375" style="986" customWidth="1"/>
    <col min="12570" max="12571" width="6.28515625" style="986" customWidth="1"/>
    <col min="12572" max="12572" width="7.85546875" style="986" customWidth="1"/>
    <col min="12573" max="12573" width="5.7109375" style="986" customWidth="1"/>
    <col min="12574" max="12575" width="6.28515625" style="986" customWidth="1"/>
    <col min="12576" max="12576" width="7.85546875" style="986" customWidth="1"/>
    <col min="12577" max="12577" width="5.28515625" style="986" customWidth="1"/>
    <col min="12578" max="12579" width="6.28515625" style="986" customWidth="1"/>
    <col min="12580" max="12580" width="7.85546875" style="986" customWidth="1"/>
    <col min="12581" max="12581" width="5.7109375" style="986" customWidth="1"/>
    <col min="12582" max="12583" width="6.28515625" style="986" customWidth="1"/>
    <col min="12584" max="12584" width="7.85546875" style="986" customWidth="1"/>
    <col min="12585" max="12585" width="5.7109375" style="986" customWidth="1"/>
    <col min="12586" max="12587" width="6.42578125" style="986" customWidth="1"/>
    <col min="12588" max="12588" width="7.85546875" style="986" customWidth="1"/>
    <col min="12589" max="12591" width="5.7109375" style="986" customWidth="1"/>
    <col min="12592" max="12592" width="7.85546875" style="986" customWidth="1"/>
    <col min="12593" max="12600" width="6.7109375" style="986" customWidth="1"/>
    <col min="12601" max="12817" width="11.42578125" style="986"/>
    <col min="12818" max="12818" width="15.5703125" style="986" bestFit="1" customWidth="1"/>
    <col min="12819" max="12819" width="11.7109375" style="986" customWidth="1"/>
    <col min="12820" max="12820" width="54.7109375" style="986" customWidth="1"/>
    <col min="12821" max="12821" width="7.42578125" style="986" customWidth="1"/>
    <col min="12822" max="12823" width="6.28515625" style="986" customWidth="1"/>
    <col min="12824" max="12824" width="7.42578125" style="986" customWidth="1"/>
    <col min="12825" max="12825" width="5.7109375" style="986" customWidth="1"/>
    <col min="12826" max="12827" width="6.28515625" style="986" customWidth="1"/>
    <col min="12828" max="12828" width="7.85546875" style="986" customWidth="1"/>
    <col min="12829" max="12829" width="5.7109375" style="986" customWidth="1"/>
    <col min="12830" max="12831" width="6.28515625" style="986" customWidth="1"/>
    <col min="12832" max="12832" width="7.85546875" style="986" customWidth="1"/>
    <col min="12833" max="12833" width="5.28515625" style="986" customWidth="1"/>
    <col min="12834" max="12835" width="6.28515625" style="986" customWidth="1"/>
    <col min="12836" max="12836" width="7.85546875" style="986" customWidth="1"/>
    <col min="12837" max="12837" width="5.7109375" style="986" customWidth="1"/>
    <col min="12838" max="12839" width="6.28515625" style="986" customWidth="1"/>
    <col min="12840" max="12840" width="7.85546875" style="986" customWidth="1"/>
    <col min="12841" max="12841" width="5.7109375" style="986" customWidth="1"/>
    <col min="12842" max="12843" width="6.42578125" style="986" customWidth="1"/>
    <col min="12844" max="12844" width="7.85546875" style="986" customWidth="1"/>
    <col min="12845" max="12847" width="5.7109375" style="986" customWidth="1"/>
    <col min="12848" max="12848" width="7.85546875" style="986" customWidth="1"/>
    <col min="12849" max="12856" width="6.7109375" style="986" customWidth="1"/>
    <col min="12857" max="13073" width="11.42578125" style="986"/>
    <col min="13074" max="13074" width="15.5703125" style="986" bestFit="1" customWidth="1"/>
    <col min="13075" max="13075" width="11.7109375" style="986" customWidth="1"/>
    <col min="13076" max="13076" width="54.7109375" style="986" customWidth="1"/>
    <col min="13077" max="13077" width="7.42578125" style="986" customWidth="1"/>
    <col min="13078" max="13079" width="6.28515625" style="986" customWidth="1"/>
    <col min="13080" max="13080" width="7.42578125" style="986" customWidth="1"/>
    <col min="13081" max="13081" width="5.7109375" style="986" customWidth="1"/>
    <col min="13082" max="13083" width="6.28515625" style="986" customWidth="1"/>
    <col min="13084" max="13084" width="7.85546875" style="986" customWidth="1"/>
    <col min="13085" max="13085" width="5.7109375" style="986" customWidth="1"/>
    <col min="13086" max="13087" width="6.28515625" style="986" customWidth="1"/>
    <col min="13088" max="13088" width="7.85546875" style="986" customWidth="1"/>
    <col min="13089" max="13089" width="5.28515625" style="986" customWidth="1"/>
    <col min="13090" max="13091" width="6.28515625" style="986" customWidth="1"/>
    <col min="13092" max="13092" width="7.85546875" style="986" customWidth="1"/>
    <col min="13093" max="13093" width="5.7109375" style="986" customWidth="1"/>
    <col min="13094" max="13095" width="6.28515625" style="986" customWidth="1"/>
    <col min="13096" max="13096" width="7.85546875" style="986" customWidth="1"/>
    <col min="13097" max="13097" width="5.7109375" style="986" customWidth="1"/>
    <col min="13098" max="13099" width="6.42578125" style="986" customWidth="1"/>
    <col min="13100" max="13100" width="7.85546875" style="986" customWidth="1"/>
    <col min="13101" max="13103" width="5.7109375" style="986" customWidth="1"/>
    <col min="13104" max="13104" width="7.85546875" style="986" customWidth="1"/>
    <col min="13105" max="13112" width="6.7109375" style="986" customWidth="1"/>
    <col min="13113" max="13329" width="11.42578125" style="986"/>
    <col min="13330" max="13330" width="15.5703125" style="986" bestFit="1" customWidth="1"/>
    <col min="13331" max="13331" width="11.7109375" style="986" customWidth="1"/>
    <col min="13332" max="13332" width="54.7109375" style="986" customWidth="1"/>
    <col min="13333" max="13333" width="7.42578125" style="986" customWidth="1"/>
    <col min="13334" max="13335" width="6.28515625" style="986" customWidth="1"/>
    <col min="13336" max="13336" width="7.42578125" style="986" customWidth="1"/>
    <col min="13337" max="13337" width="5.7109375" style="986" customWidth="1"/>
    <col min="13338" max="13339" width="6.28515625" style="986" customWidth="1"/>
    <col min="13340" max="13340" width="7.85546875" style="986" customWidth="1"/>
    <col min="13341" max="13341" width="5.7109375" style="986" customWidth="1"/>
    <col min="13342" max="13343" width="6.28515625" style="986" customWidth="1"/>
    <col min="13344" max="13344" width="7.85546875" style="986" customWidth="1"/>
    <col min="13345" max="13345" width="5.28515625" style="986" customWidth="1"/>
    <col min="13346" max="13347" width="6.28515625" style="986" customWidth="1"/>
    <col min="13348" max="13348" width="7.85546875" style="986" customWidth="1"/>
    <col min="13349" max="13349" width="5.7109375" style="986" customWidth="1"/>
    <col min="13350" max="13351" width="6.28515625" style="986" customWidth="1"/>
    <col min="13352" max="13352" width="7.85546875" style="986" customWidth="1"/>
    <col min="13353" max="13353" width="5.7109375" style="986" customWidth="1"/>
    <col min="13354" max="13355" width="6.42578125" style="986" customWidth="1"/>
    <col min="13356" max="13356" width="7.85546875" style="986" customWidth="1"/>
    <col min="13357" max="13359" width="5.7109375" style="986" customWidth="1"/>
    <col min="13360" max="13360" width="7.85546875" style="986" customWidth="1"/>
    <col min="13361" max="13368" width="6.7109375" style="986" customWidth="1"/>
    <col min="13369" max="13585" width="11.42578125" style="986"/>
    <col min="13586" max="13586" width="15.5703125" style="986" bestFit="1" customWidth="1"/>
    <col min="13587" max="13587" width="11.7109375" style="986" customWidth="1"/>
    <col min="13588" max="13588" width="54.7109375" style="986" customWidth="1"/>
    <col min="13589" max="13589" width="7.42578125" style="986" customWidth="1"/>
    <col min="13590" max="13591" width="6.28515625" style="986" customWidth="1"/>
    <col min="13592" max="13592" width="7.42578125" style="986" customWidth="1"/>
    <col min="13593" max="13593" width="5.7109375" style="986" customWidth="1"/>
    <col min="13594" max="13595" width="6.28515625" style="986" customWidth="1"/>
    <col min="13596" max="13596" width="7.85546875" style="986" customWidth="1"/>
    <col min="13597" max="13597" width="5.7109375" style="986" customWidth="1"/>
    <col min="13598" max="13599" width="6.28515625" style="986" customWidth="1"/>
    <col min="13600" max="13600" width="7.85546875" style="986" customWidth="1"/>
    <col min="13601" max="13601" width="5.28515625" style="986" customWidth="1"/>
    <col min="13602" max="13603" width="6.28515625" style="986" customWidth="1"/>
    <col min="13604" max="13604" width="7.85546875" style="986" customWidth="1"/>
    <col min="13605" max="13605" width="5.7109375" style="986" customWidth="1"/>
    <col min="13606" max="13607" width="6.28515625" style="986" customWidth="1"/>
    <col min="13608" max="13608" width="7.85546875" style="986" customWidth="1"/>
    <col min="13609" max="13609" width="5.7109375" style="986" customWidth="1"/>
    <col min="13610" max="13611" width="6.42578125" style="986" customWidth="1"/>
    <col min="13612" max="13612" width="7.85546875" style="986" customWidth="1"/>
    <col min="13613" max="13615" width="5.7109375" style="986" customWidth="1"/>
    <col min="13616" max="13616" width="7.85546875" style="986" customWidth="1"/>
    <col min="13617" max="13624" width="6.7109375" style="986" customWidth="1"/>
    <col min="13625" max="13841" width="11.42578125" style="986"/>
    <col min="13842" max="13842" width="15.5703125" style="986" bestFit="1" customWidth="1"/>
    <col min="13843" max="13843" width="11.7109375" style="986" customWidth="1"/>
    <col min="13844" max="13844" width="54.7109375" style="986" customWidth="1"/>
    <col min="13845" max="13845" width="7.42578125" style="986" customWidth="1"/>
    <col min="13846" max="13847" width="6.28515625" style="986" customWidth="1"/>
    <col min="13848" max="13848" width="7.42578125" style="986" customWidth="1"/>
    <col min="13849" max="13849" width="5.7109375" style="986" customWidth="1"/>
    <col min="13850" max="13851" width="6.28515625" style="986" customWidth="1"/>
    <col min="13852" max="13852" width="7.85546875" style="986" customWidth="1"/>
    <col min="13853" max="13853" width="5.7109375" style="986" customWidth="1"/>
    <col min="13854" max="13855" width="6.28515625" style="986" customWidth="1"/>
    <col min="13856" max="13856" width="7.85546875" style="986" customWidth="1"/>
    <col min="13857" max="13857" width="5.28515625" style="986" customWidth="1"/>
    <col min="13858" max="13859" width="6.28515625" style="986" customWidth="1"/>
    <col min="13860" max="13860" width="7.85546875" style="986" customWidth="1"/>
    <col min="13861" max="13861" width="5.7109375" style="986" customWidth="1"/>
    <col min="13862" max="13863" width="6.28515625" style="986" customWidth="1"/>
    <col min="13864" max="13864" width="7.85546875" style="986" customWidth="1"/>
    <col min="13865" max="13865" width="5.7109375" style="986" customWidth="1"/>
    <col min="13866" max="13867" width="6.42578125" style="986" customWidth="1"/>
    <col min="13868" max="13868" width="7.85546875" style="986" customWidth="1"/>
    <col min="13869" max="13871" width="5.7109375" style="986" customWidth="1"/>
    <col min="13872" max="13872" width="7.85546875" style="986" customWidth="1"/>
    <col min="13873" max="13880" width="6.7109375" style="986" customWidth="1"/>
    <col min="13881" max="14097" width="11.42578125" style="986"/>
    <col min="14098" max="14098" width="15.5703125" style="986" bestFit="1" customWidth="1"/>
    <col min="14099" max="14099" width="11.7109375" style="986" customWidth="1"/>
    <col min="14100" max="14100" width="54.7109375" style="986" customWidth="1"/>
    <col min="14101" max="14101" width="7.42578125" style="986" customWidth="1"/>
    <col min="14102" max="14103" width="6.28515625" style="986" customWidth="1"/>
    <col min="14104" max="14104" width="7.42578125" style="986" customWidth="1"/>
    <col min="14105" max="14105" width="5.7109375" style="986" customWidth="1"/>
    <col min="14106" max="14107" width="6.28515625" style="986" customWidth="1"/>
    <col min="14108" max="14108" width="7.85546875" style="986" customWidth="1"/>
    <col min="14109" max="14109" width="5.7109375" style="986" customWidth="1"/>
    <col min="14110" max="14111" width="6.28515625" style="986" customWidth="1"/>
    <col min="14112" max="14112" width="7.85546875" style="986" customWidth="1"/>
    <col min="14113" max="14113" width="5.28515625" style="986" customWidth="1"/>
    <col min="14114" max="14115" width="6.28515625" style="986" customWidth="1"/>
    <col min="14116" max="14116" width="7.85546875" style="986" customWidth="1"/>
    <col min="14117" max="14117" width="5.7109375" style="986" customWidth="1"/>
    <col min="14118" max="14119" width="6.28515625" style="986" customWidth="1"/>
    <col min="14120" max="14120" width="7.85546875" style="986" customWidth="1"/>
    <col min="14121" max="14121" width="5.7109375" style="986" customWidth="1"/>
    <col min="14122" max="14123" width="6.42578125" style="986" customWidth="1"/>
    <col min="14124" max="14124" width="7.85546875" style="986" customWidth="1"/>
    <col min="14125" max="14127" width="5.7109375" style="986" customWidth="1"/>
    <col min="14128" max="14128" width="7.85546875" style="986" customWidth="1"/>
    <col min="14129" max="14136" width="6.7109375" style="986" customWidth="1"/>
    <col min="14137" max="14353" width="11.42578125" style="986"/>
    <col min="14354" max="14354" width="15.5703125" style="986" bestFit="1" customWidth="1"/>
    <col min="14355" max="14355" width="11.7109375" style="986" customWidth="1"/>
    <col min="14356" max="14356" width="54.7109375" style="986" customWidth="1"/>
    <col min="14357" max="14357" width="7.42578125" style="986" customWidth="1"/>
    <col min="14358" max="14359" width="6.28515625" style="986" customWidth="1"/>
    <col min="14360" max="14360" width="7.42578125" style="986" customWidth="1"/>
    <col min="14361" max="14361" width="5.7109375" style="986" customWidth="1"/>
    <col min="14362" max="14363" width="6.28515625" style="986" customWidth="1"/>
    <col min="14364" max="14364" width="7.85546875" style="986" customWidth="1"/>
    <col min="14365" max="14365" width="5.7109375" style="986" customWidth="1"/>
    <col min="14366" max="14367" width="6.28515625" style="986" customWidth="1"/>
    <col min="14368" max="14368" width="7.85546875" style="986" customWidth="1"/>
    <col min="14369" max="14369" width="5.28515625" style="986" customWidth="1"/>
    <col min="14370" max="14371" width="6.28515625" style="986" customWidth="1"/>
    <col min="14372" max="14372" width="7.85546875" style="986" customWidth="1"/>
    <col min="14373" max="14373" width="5.7109375" style="986" customWidth="1"/>
    <col min="14374" max="14375" width="6.28515625" style="986" customWidth="1"/>
    <col min="14376" max="14376" width="7.85546875" style="986" customWidth="1"/>
    <col min="14377" max="14377" width="5.7109375" style="986" customWidth="1"/>
    <col min="14378" max="14379" width="6.42578125" style="986" customWidth="1"/>
    <col min="14380" max="14380" width="7.85546875" style="986" customWidth="1"/>
    <col min="14381" max="14383" width="5.7109375" style="986" customWidth="1"/>
    <col min="14384" max="14384" width="7.85546875" style="986" customWidth="1"/>
    <col min="14385" max="14392" width="6.7109375" style="986" customWidth="1"/>
    <col min="14393" max="14609" width="11.42578125" style="986"/>
    <col min="14610" max="14610" width="15.5703125" style="986" bestFit="1" customWidth="1"/>
    <col min="14611" max="14611" width="11.7109375" style="986" customWidth="1"/>
    <col min="14612" max="14612" width="54.7109375" style="986" customWidth="1"/>
    <col min="14613" max="14613" width="7.42578125" style="986" customWidth="1"/>
    <col min="14614" max="14615" width="6.28515625" style="986" customWidth="1"/>
    <col min="14616" max="14616" width="7.42578125" style="986" customWidth="1"/>
    <col min="14617" max="14617" width="5.7109375" style="986" customWidth="1"/>
    <col min="14618" max="14619" width="6.28515625" style="986" customWidth="1"/>
    <col min="14620" max="14620" width="7.85546875" style="986" customWidth="1"/>
    <col min="14621" max="14621" width="5.7109375" style="986" customWidth="1"/>
    <col min="14622" max="14623" width="6.28515625" style="986" customWidth="1"/>
    <col min="14624" max="14624" width="7.85546875" style="986" customWidth="1"/>
    <col min="14625" max="14625" width="5.28515625" style="986" customWidth="1"/>
    <col min="14626" max="14627" width="6.28515625" style="986" customWidth="1"/>
    <col min="14628" max="14628" width="7.85546875" style="986" customWidth="1"/>
    <col min="14629" max="14629" width="5.7109375" style="986" customWidth="1"/>
    <col min="14630" max="14631" width="6.28515625" style="986" customWidth="1"/>
    <col min="14632" max="14632" width="7.85546875" style="986" customWidth="1"/>
    <col min="14633" max="14633" width="5.7109375" style="986" customWidth="1"/>
    <col min="14634" max="14635" width="6.42578125" style="986" customWidth="1"/>
    <col min="14636" max="14636" width="7.85546875" style="986" customWidth="1"/>
    <col min="14637" max="14639" width="5.7109375" style="986" customWidth="1"/>
    <col min="14640" max="14640" width="7.85546875" style="986" customWidth="1"/>
    <col min="14641" max="14648" width="6.7109375" style="986" customWidth="1"/>
    <col min="14649" max="14865" width="11.42578125" style="986"/>
    <col min="14866" max="14866" width="15.5703125" style="986" bestFit="1" customWidth="1"/>
    <col min="14867" max="14867" width="11.7109375" style="986" customWidth="1"/>
    <col min="14868" max="14868" width="54.7109375" style="986" customWidth="1"/>
    <col min="14869" max="14869" width="7.42578125" style="986" customWidth="1"/>
    <col min="14870" max="14871" width="6.28515625" style="986" customWidth="1"/>
    <col min="14872" max="14872" width="7.42578125" style="986" customWidth="1"/>
    <col min="14873" max="14873" width="5.7109375" style="986" customWidth="1"/>
    <col min="14874" max="14875" width="6.28515625" style="986" customWidth="1"/>
    <col min="14876" max="14876" width="7.85546875" style="986" customWidth="1"/>
    <col min="14877" max="14877" width="5.7109375" style="986" customWidth="1"/>
    <col min="14878" max="14879" width="6.28515625" style="986" customWidth="1"/>
    <col min="14880" max="14880" width="7.85546875" style="986" customWidth="1"/>
    <col min="14881" max="14881" width="5.28515625" style="986" customWidth="1"/>
    <col min="14882" max="14883" width="6.28515625" style="986" customWidth="1"/>
    <col min="14884" max="14884" width="7.85546875" style="986" customWidth="1"/>
    <col min="14885" max="14885" width="5.7109375" style="986" customWidth="1"/>
    <col min="14886" max="14887" width="6.28515625" style="986" customWidth="1"/>
    <col min="14888" max="14888" width="7.85546875" style="986" customWidth="1"/>
    <col min="14889" max="14889" width="5.7109375" style="986" customWidth="1"/>
    <col min="14890" max="14891" width="6.42578125" style="986" customWidth="1"/>
    <col min="14892" max="14892" width="7.85546875" style="986" customWidth="1"/>
    <col min="14893" max="14895" width="5.7109375" style="986" customWidth="1"/>
    <col min="14896" max="14896" width="7.85546875" style="986" customWidth="1"/>
    <col min="14897" max="14904" width="6.7109375" style="986" customWidth="1"/>
    <col min="14905" max="15121" width="11.42578125" style="986"/>
    <col min="15122" max="15122" width="15.5703125" style="986" bestFit="1" customWidth="1"/>
    <col min="15123" max="15123" width="11.7109375" style="986" customWidth="1"/>
    <col min="15124" max="15124" width="54.7109375" style="986" customWidth="1"/>
    <col min="15125" max="15125" width="7.42578125" style="986" customWidth="1"/>
    <col min="15126" max="15127" width="6.28515625" style="986" customWidth="1"/>
    <col min="15128" max="15128" width="7.42578125" style="986" customWidth="1"/>
    <col min="15129" max="15129" width="5.7109375" style="986" customWidth="1"/>
    <col min="15130" max="15131" width="6.28515625" style="986" customWidth="1"/>
    <col min="15132" max="15132" width="7.85546875" style="986" customWidth="1"/>
    <col min="15133" max="15133" width="5.7109375" style="986" customWidth="1"/>
    <col min="15134" max="15135" width="6.28515625" style="986" customWidth="1"/>
    <col min="15136" max="15136" width="7.85546875" style="986" customWidth="1"/>
    <col min="15137" max="15137" width="5.28515625" style="986" customWidth="1"/>
    <col min="15138" max="15139" width="6.28515625" style="986" customWidth="1"/>
    <col min="15140" max="15140" width="7.85546875" style="986" customWidth="1"/>
    <col min="15141" max="15141" width="5.7109375" style="986" customWidth="1"/>
    <col min="15142" max="15143" width="6.28515625" style="986" customWidth="1"/>
    <col min="15144" max="15144" width="7.85546875" style="986" customWidth="1"/>
    <col min="15145" max="15145" width="5.7109375" style="986" customWidth="1"/>
    <col min="15146" max="15147" width="6.42578125" style="986" customWidth="1"/>
    <col min="15148" max="15148" width="7.85546875" style="986" customWidth="1"/>
    <col min="15149" max="15151" width="5.7109375" style="986" customWidth="1"/>
    <col min="15152" max="15152" width="7.85546875" style="986" customWidth="1"/>
    <col min="15153" max="15160" width="6.7109375" style="986" customWidth="1"/>
    <col min="15161" max="15377" width="11.42578125" style="986"/>
    <col min="15378" max="15378" width="15.5703125" style="986" bestFit="1" customWidth="1"/>
    <col min="15379" max="15379" width="11.7109375" style="986" customWidth="1"/>
    <col min="15380" max="15380" width="54.7109375" style="986" customWidth="1"/>
    <col min="15381" max="15381" width="7.42578125" style="986" customWidth="1"/>
    <col min="15382" max="15383" width="6.28515625" style="986" customWidth="1"/>
    <col min="15384" max="15384" width="7.42578125" style="986" customWidth="1"/>
    <col min="15385" max="15385" width="5.7109375" style="986" customWidth="1"/>
    <col min="15386" max="15387" width="6.28515625" style="986" customWidth="1"/>
    <col min="15388" max="15388" width="7.85546875" style="986" customWidth="1"/>
    <col min="15389" max="15389" width="5.7109375" style="986" customWidth="1"/>
    <col min="15390" max="15391" width="6.28515625" style="986" customWidth="1"/>
    <col min="15392" max="15392" width="7.85546875" style="986" customWidth="1"/>
    <col min="15393" max="15393" width="5.28515625" style="986" customWidth="1"/>
    <col min="15394" max="15395" width="6.28515625" style="986" customWidth="1"/>
    <col min="15396" max="15396" width="7.85546875" style="986" customWidth="1"/>
    <col min="15397" max="15397" width="5.7109375" style="986" customWidth="1"/>
    <col min="15398" max="15399" width="6.28515625" style="986" customWidth="1"/>
    <col min="15400" max="15400" width="7.85546875" style="986" customWidth="1"/>
    <col min="15401" max="15401" width="5.7109375" style="986" customWidth="1"/>
    <col min="15402" max="15403" width="6.42578125" style="986" customWidth="1"/>
    <col min="15404" max="15404" width="7.85546875" style="986" customWidth="1"/>
    <col min="15405" max="15407" width="5.7109375" style="986" customWidth="1"/>
    <col min="15408" max="15408" width="7.85546875" style="986" customWidth="1"/>
    <col min="15409" max="15416" width="6.7109375" style="986" customWidth="1"/>
    <col min="15417" max="15633" width="11.42578125" style="986"/>
    <col min="15634" max="15634" width="15.5703125" style="986" bestFit="1" customWidth="1"/>
    <col min="15635" max="15635" width="11.7109375" style="986" customWidth="1"/>
    <col min="15636" max="15636" width="54.7109375" style="986" customWidth="1"/>
    <col min="15637" max="15637" width="7.42578125" style="986" customWidth="1"/>
    <col min="15638" max="15639" width="6.28515625" style="986" customWidth="1"/>
    <col min="15640" max="15640" width="7.42578125" style="986" customWidth="1"/>
    <col min="15641" max="15641" width="5.7109375" style="986" customWidth="1"/>
    <col min="15642" max="15643" width="6.28515625" style="986" customWidth="1"/>
    <col min="15644" max="15644" width="7.85546875" style="986" customWidth="1"/>
    <col min="15645" max="15645" width="5.7109375" style="986" customWidth="1"/>
    <col min="15646" max="15647" width="6.28515625" style="986" customWidth="1"/>
    <col min="15648" max="15648" width="7.85546875" style="986" customWidth="1"/>
    <col min="15649" max="15649" width="5.28515625" style="986" customWidth="1"/>
    <col min="15650" max="15651" width="6.28515625" style="986" customWidth="1"/>
    <col min="15652" max="15652" width="7.85546875" style="986" customWidth="1"/>
    <col min="15653" max="15653" width="5.7109375" style="986" customWidth="1"/>
    <col min="15654" max="15655" width="6.28515625" style="986" customWidth="1"/>
    <col min="15656" max="15656" width="7.85546875" style="986" customWidth="1"/>
    <col min="15657" max="15657" width="5.7109375" style="986" customWidth="1"/>
    <col min="15658" max="15659" width="6.42578125" style="986" customWidth="1"/>
    <col min="15660" max="15660" width="7.85546875" style="986" customWidth="1"/>
    <col min="15661" max="15663" width="5.7109375" style="986" customWidth="1"/>
    <col min="15664" max="15664" width="7.85546875" style="986" customWidth="1"/>
    <col min="15665" max="15672" width="6.7109375" style="986" customWidth="1"/>
    <col min="15673" max="15889" width="11.42578125" style="986"/>
    <col min="15890" max="15890" width="15.5703125" style="986" bestFit="1" customWidth="1"/>
    <col min="15891" max="15891" width="11.7109375" style="986" customWidth="1"/>
    <col min="15892" max="15892" width="54.7109375" style="986" customWidth="1"/>
    <col min="15893" max="15893" width="7.42578125" style="986" customWidth="1"/>
    <col min="15894" max="15895" width="6.28515625" style="986" customWidth="1"/>
    <col min="15896" max="15896" width="7.42578125" style="986" customWidth="1"/>
    <col min="15897" max="15897" width="5.7109375" style="986" customWidth="1"/>
    <col min="15898" max="15899" width="6.28515625" style="986" customWidth="1"/>
    <col min="15900" max="15900" width="7.85546875" style="986" customWidth="1"/>
    <col min="15901" max="15901" width="5.7109375" style="986" customWidth="1"/>
    <col min="15902" max="15903" width="6.28515625" style="986" customWidth="1"/>
    <col min="15904" max="15904" width="7.85546875" style="986" customWidth="1"/>
    <col min="15905" max="15905" width="5.28515625" style="986" customWidth="1"/>
    <col min="15906" max="15907" width="6.28515625" style="986" customWidth="1"/>
    <col min="15908" max="15908" width="7.85546875" style="986" customWidth="1"/>
    <col min="15909" max="15909" width="5.7109375" style="986" customWidth="1"/>
    <col min="15910" max="15911" width="6.28515625" style="986" customWidth="1"/>
    <col min="15912" max="15912" width="7.85546875" style="986" customWidth="1"/>
    <col min="15913" max="15913" width="5.7109375" style="986" customWidth="1"/>
    <col min="15914" max="15915" width="6.42578125" style="986" customWidth="1"/>
    <col min="15916" max="15916" width="7.85546875" style="986" customWidth="1"/>
    <col min="15917" max="15919" width="5.7109375" style="986" customWidth="1"/>
    <col min="15920" max="15920" width="7.85546875" style="986" customWidth="1"/>
    <col min="15921" max="15928" width="6.7109375" style="986" customWidth="1"/>
    <col min="15929" max="16145" width="11.42578125" style="986"/>
    <col min="16146" max="16146" width="15.5703125" style="986" bestFit="1" customWidth="1"/>
    <col min="16147" max="16147" width="11.7109375" style="986" customWidth="1"/>
    <col min="16148" max="16148" width="54.7109375" style="986" customWidth="1"/>
    <col min="16149" max="16149" width="7.42578125" style="986" customWidth="1"/>
    <col min="16150" max="16151" width="6.28515625" style="986" customWidth="1"/>
    <col min="16152" max="16152" width="7.42578125" style="986" customWidth="1"/>
    <col min="16153" max="16153" width="5.7109375" style="986" customWidth="1"/>
    <col min="16154" max="16155" width="6.28515625" style="986" customWidth="1"/>
    <col min="16156" max="16156" width="7.85546875" style="986" customWidth="1"/>
    <col min="16157" max="16157" width="5.7109375" style="986" customWidth="1"/>
    <col min="16158" max="16159" width="6.28515625" style="986" customWidth="1"/>
    <col min="16160" max="16160" width="7.85546875" style="986" customWidth="1"/>
    <col min="16161" max="16161" width="5.28515625" style="986" customWidth="1"/>
    <col min="16162" max="16163" width="6.28515625" style="986" customWidth="1"/>
    <col min="16164" max="16164" width="7.85546875" style="986" customWidth="1"/>
    <col min="16165" max="16165" width="5.7109375" style="986" customWidth="1"/>
    <col min="16166" max="16167" width="6.28515625" style="986" customWidth="1"/>
    <col min="16168" max="16168" width="7.85546875" style="986" customWidth="1"/>
    <col min="16169" max="16169" width="5.7109375" style="986" customWidth="1"/>
    <col min="16170" max="16171" width="6.42578125" style="986" customWidth="1"/>
    <col min="16172" max="16172" width="7.85546875" style="986" customWidth="1"/>
    <col min="16173" max="16175" width="5.7109375" style="986" customWidth="1"/>
    <col min="16176" max="16176" width="7.85546875" style="986" customWidth="1"/>
    <col min="16177" max="16184" width="6.7109375" style="986" customWidth="1"/>
    <col min="16185" max="16384" width="11.42578125" style="986"/>
  </cols>
  <sheetData>
    <row r="1" spans="1:80" ht="45.75" customHeight="1" x14ac:dyDescent="0.2">
      <c r="A1" s="6453" t="s">
        <v>1279</v>
      </c>
      <c r="B1" s="6453"/>
      <c r="C1" s="6453"/>
      <c r="D1" s="1017"/>
      <c r="E1" s="987"/>
      <c r="F1" s="987"/>
      <c r="G1" s="987"/>
      <c r="I1" s="987"/>
      <c r="J1" s="987"/>
      <c r="K1" s="987"/>
      <c r="M1" s="987"/>
      <c r="N1" s="987"/>
      <c r="O1" s="987"/>
      <c r="Q1" s="987"/>
      <c r="R1" s="987"/>
      <c r="S1" s="987"/>
      <c r="U1" s="1017"/>
      <c r="V1" s="1017"/>
      <c r="W1" s="1017"/>
      <c r="X1" s="1017"/>
      <c r="Y1" s="1017"/>
      <c r="Z1" s="1017"/>
      <c r="AA1" s="1017"/>
      <c r="AB1" s="1017"/>
      <c r="AC1" s="1017"/>
      <c r="AD1" s="1017"/>
      <c r="AE1" s="1017"/>
      <c r="AF1" s="1017"/>
      <c r="AG1" s="1017"/>
      <c r="AH1" s="1017"/>
      <c r="AI1" s="1017"/>
      <c r="AJ1" s="1017"/>
      <c r="AK1" s="1017"/>
      <c r="AL1" s="1017"/>
      <c r="AM1" s="1017"/>
      <c r="AN1" s="1017"/>
      <c r="AO1" s="1017"/>
      <c r="AP1" s="1017"/>
      <c r="AQ1" s="1017"/>
      <c r="AR1" s="1017"/>
    </row>
    <row r="2" spans="1:80" s="1018" customFormat="1" ht="15" customHeight="1" x14ac:dyDescent="0.2">
      <c r="B2" s="1019"/>
      <c r="C2" s="1300"/>
      <c r="D2" s="1019"/>
      <c r="E2" s="1020"/>
      <c r="F2" s="1020"/>
      <c r="G2" s="1020"/>
      <c r="H2" s="1020"/>
      <c r="I2" s="1020"/>
      <c r="J2" s="1020"/>
      <c r="K2" s="1020"/>
      <c r="L2" s="1020"/>
      <c r="M2" s="1020"/>
      <c r="N2" s="1020"/>
      <c r="O2" s="1020"/>
      <c r="P2" s="1020"/>
      <c r="Q2" s="1020"/>
      <c r="R2" s="1020"/>
      <c r="S2" s="1020"/>
      <c r="T2" s="1020"/>
      <c r="U2" s="1019"/>
      <c r="V2" s="1019"/>
      <c r="W2" s="1019"/>
      <c r="X2" s="1019"/>
      <c r="Y2" s="1019"/>
      <c r="Z2" s="1019"/>
      <c r="AA2" s="1019"/>
      <c r="AB2" s="1019"/>
      <c r="AC2" s="1019"/>
      <c r="AD2" s="1019"/>
      <c r="AE2" s="1019"/>
      <c r="AF2" s="1019"/>
      <c r="AG2" s="1019"/>
      <c r="AH2" s="1019"/>
      <c r="AI2" s="1019"/>
      <c r="AJ2" s="1019"/>
      <c r="AK2" s="1019"/>
      <c r="AL2" s="1019"/>
      <c r="AM2" s="1019"/>
      <c r="AN2" s="1019"/>
      <c r="AO2" s="1019"/>
      <c r="AP2" s="1019"/>
      <c r="AQ2" s="1019"/>
      <c r="AR2" s="1019"/>
    </row>
    <row r="3" spans="1:80" ht="12.75" customHeight="1" x14ac:dyDescent="0.2">
      <c r="A3" s="5865" t="s">
        <v>16</v>
      </c>
      <c r="B3" s="5865" t="s">
        <v>4</v>
      </c>
      <c r="C3" s="6454" t="s">
        <v>144</v>
      </c>
      <c r="D3" s="5865" t="s">
        <v>349</v>
      </c>
      <c r="E3" s="6170">
        <v>1999</v>
      </c>
      <c r="F3" s="6171"/>
      <c r="G3" s="6171"/>
      <c r="H3" s="6172"/>
      <c r="I3" s="6170">
        <v>2000</v>
      </c>
      <c r="J3" s="6171"/>
      <c r="K3" s="6171"/>
      <c r="L3" s="6172"/>
      <c r="M3" s="6170">
        <v>2001</v>
      </c>
      <c r="N3" s="6171"/>
      <c r="O3" s="6171"/>
      <c r="P3" s="6172"/>
      <c r="Q3" s="6170">
        <v>2002</v>
      </c>
      <c r="R3" s="6171"/>
      <c r="S3" s="6171"/>
      <c r="T3" s="6172"/>
      <c r="U3" s="6170">
        <v>2003</v>
      </c>
      <c r="V3" s="6171"/>
      <c r="W3" s="6171"/>
      <c r="X3" s="6172"/>
      <c r="Y3" s="6170">
        <v>2004</v>
      </c>
      <c r="Z3" s="6171"/>
      <c r="AA3" s="6171"/>
      <c r="AB3" s="6172"/>
      <c r="AC3" s="6170">
        <v>2005</v>
      </c>
      <c r="AD3" s="6171"/>
      <c r="AE3" s="6171"/>
      <c r="AF3" s="6172"/>
      <c r="AG3" s="6170">
        <v>2006</v>
      </c>
      <c r="AH3" s="6171"/>
      <c r="AI3" s="6171"/>
      <c r="AJ3" s="6172"/>
      <c r="AK3" s="6170">
        <v>2007</v>
      </c>
      <c r="AL3" s="6171"/>
      <c r="AM3" s="6171"/>
      <c r="AN3" s="6172"/>
      <c r="AO3" s="6170">
        <v>2008</v>
      </c>
      <c r="AP3" s="6171"/>
      <c r="AQ3" s="6171"/>
      <c r="AR3" s="6172"/>
      <c r="AS3" s="6170">
        <v>2009</v>
      </c>
      <c r="AT3" s="6171"/>
      <c r="AU3" s="6171"/>
      <c r="AV3" s="6172"/>
      <c r="AW3" s="6170">
        <v>2010</v>
      </c>
      <c r="AX3" s="6171"/>
      <c r="AY3" s="6171"/>
      <c r="AZ3" s="6172"/>
      <c r="BA3" s="6170">
        <v>2011</v>
      </c>
      <c r="BB3" s="6171"/>
      <c r="BC3" s="6171"/>
      <c r="BD3" s="6172"/>
      <c r="BE3" s="6170">
        <v>2012</v>
      </c>
      <c r="BF3" s="6171"/>
      <c r="BG3" s="6171"/>
      <c r="BH3" s="6172"/>
      <c r="BI3" s="6170">
        <v>2013</v>
      </c>
      <c r="BJ3" s="6171"/>
      <c r="BK3" s="6171"/>
      <c r="BL3" s="6172"/>
      <c r="BM3" s="6170">
        <v>2014</v>
      </c>
      <c r="BN3" s="6171"/>
      <c r="BO3" s="6171"/>
      <c r="BP3" s="6172"/>
      <c r="BQ3" s="6170">
        <v>2015</v>
      </c>
      <c r="BR3" s="6171"/>
      <c r="BS3" s="6171"/>
      <c r="BT3" s="6172"/>
      <c r="BU3" s="6170">
        <v>2016</v>
      </c>
      <c r="BV3" s="6171"/>
      <c r="BW3" s="6171"/>
      <c r="BX3" s="6172"/>
      <c r="BY3" s="6170">
        <v>2017</v>
      </c>
      <c r="BZ3" s="6171"/>
      <c r="CA3" s="6171"/>
      <c r="CB3" s="6172"/>
    </row>
    <row r="4" spans="1:80" ht="15" customHeight="1" x14ac:dyDescent="0.2">
      <c r="A4" s="5865"/>
      <c r="B4" s="5865"/>
      <c r="C4" s="6320"/>
      <c r="D4" s="5865"/>
      <c r="E4" s="1054" t="s">
        <v>653</v>
      </c>
      <c r="F4" s="1055" t="s">
        <v>651</v>
      </c>
      <c r="G4" s="1056" t="s">
        <v>652</v>
      </c>
      <c r="H4" s="1052" t="s">
        <v>160</v>
      </c>
      <c r="I4" s="1054" t="s">
        <v>653</v>
      </c>
      <c r="J4" s="1055" t="s">
        <v>651</v>
      </c>
      <c r="K4" s="1056" t="s">
        <v>652</v>
      </c>
      <c r="L4" s="1052" t="s">
        <v>160</v>
      </c>
      <c r="M4" s="1054" t="s">
        <v>653</v>
      </c>
      <c r="N4" s="1055" t="s">
        <v>651</v>
      </c>
      <c r="O4" s="1056" t="s">
        <v>652</v>
      </c>
      <c r="P4" s="1052" t="s">
        <v>160</v>
      </c>
      <c r="Q4" s="1054" t="s">
        <v>653</v>
      </c>
      <c r="R4" s="1055" t="s">
        <v>651</v>
      </c>
      <c r="S4" s="1056" t="s">
        <v>652</v>
      </c>
      <c r="T4" s="1052" t="s">
        <v>160</v>
      </c>
      <c r="U4" s="1054" t="s">
        <v>653</v>
      </c>
      <c r="V4" s="1055" t="s">
        <v>651</v>
      </c>
      <c r="W4" s="1056" t="s">
        <v>652</v>
      </c>
      <c r="X4" s="1052" t="s">
        <v>160</v>
      </c>
      <c r="Y4" s="1054" t="s">
        <v>653</v>
      </c>
      <c r="Z4" s="1055" t="s">
        <v>651</v>
      </c>
      <c r="AA4" s="1056" t="s">
        <v>652</v>
      </c>
      <c r="AB4" s="1052" t="s">
        <v>160</v>
      </c>
      <c r="AC4" s="1054" t="s">
        <v>653</v>
      </c>
      <c r="AD4" s="1055" t="s">
        <v>651</v>
      </c>
      <c r="AE4" s="1056" t="s">
        <v>652</v>
      </c>
      <c r="AF4" s="1052" t="s">
        <v>160</v>
      </c>
      <c r="AG4" s="1054" t="s">
        <v>653</v>
      </c>
      <c r="AH4" s="1055" t="s">
        <v>651</v>
      </c>
      <c r="AI4" s="1056" t="s">
        <v>652</v>
      </c>
      <c r="AJ4" s="1052" t="s">
        <v>160</v>
      </c>
      <c r="AK4" s="1054" t="s">
        <v>653</v>
      </c>
      <c r="AL4" s="1055" t="s">
        <v>651</v>
      </c>
      <c r="AM4" s="1056" t="s">
        <v>652</v>
      </c>
      <c r="AN4" s="1052" t="s">
        <v>160</v>
      </c>
      <c r="AO4" s="1054" t="s">
        <v>653</v>
      </c>
      <c r="AP4" s="1055" t="s">
        <v>651</v>
      </c>
      <c r="AQ4" s="1056" t="s">
        <v>652</v>
      </c>
      <c r="AR4" s="1052" t="s">
        <v>160</v>
      </c>
      <c r="AS4" s="1054" t="s">
        <v>653</v>
      </c>
      <c r="AT4" s="1055" t="s">
        <v>651</v>
      </c>
      <c r="AU4" s="1056" t="s">
        <v>652</v>
      </c>
      <c r="AV4" s="1052" t="s">
        <v>160</v>
      </c>
      <c r="AW4" s="1054" t="s">
        <v>653</v>
      </c>
      <c r="AX4" s="1055" t="s">
        <v>651</v>
      </c>
      <c r="AY4" s="1056" t="s">
        <v>652</v>
      </c>
      <c r="AZ4" s="1052" t="s">
        <v>160</v>
      </c>
      <c r="BA4" s="1054" t="s">
        <v>653</v>
      </c>
      <c r="BB4" s="1055" t="s">
        <v>651</v>
      </c>
      <c r="BC4" s="1056" t="s">
        <v>652</v>
      </c>
      <c r="BD4" s="1052" t="s">
        <v>160</v>
      </c>
      <c r="BE4" s="1054" t="s">
        <v>653</v>
      </c>
      <c r="BF4" s="1055" t="s">
        <v>651</v>
      </c>
      <c r="BG4" s="1056" t="s">
        <v>652</v>
      </c>
      <c r="BH4" s="1052" t="s">
        <v>160</v>
      </c>
      <c r="BI4" s="1390" t="s">
        <v>653</v>
      </c>
      <c r="BJ4" s="1391" t="s">
        <v>651</v>
      </c>
      <c r="BK4" s="1392" t="s">
        <v>652</v>
      </c>
      <c r="BL4" s="1052" t="s">
        <v>160</v>
      </c>
      <c r="BM4" s="2003" t="s">
        <v>653</v>
      </c>
      <c r="BN4" s="2004" t="s">
        <v>651</v>
      </c>
      <c r="BO4" s="2005" t="s">
        <v>652</v>
      </c>
      <c r="BP4" s="1052" t="s">
        <v>160</v>
      </c>
      <c r="BQ4" s="4214" t="s">
        <v>653</v>
      </c>
      <c r="BR4" s="4215" t="s">
        <v>651</v>
      </c>
      <c r="BS4" s="4216" t="s">
        <v>652</v>
      </c>
      <c r="BT4" s="1052" t="s">
        <v>160</v>
      </c>
      <c r="BU4" s="5049" t="s">
        <v>653</v>
      </c>
      <c r="BV4" s="5050" t="s">
        <v>651</v>
      </c>
      <c r="BW4" s="5051" t="s">
        <v>652</v>
      </c>
      <c r="BX4" s="1052" t="s">
        <v>160</v>
      </c>
      <c r="BY4" s="5462" t="s">
        <v>653</v>
      </c>
      <c r="BZ4" s="5463" t="s">
        <v>651</v>
      </c>
      <c r="CA4" s="5464" t="s">
        <v>652</v>
      </c>
      <c r="CB4" s="1052" t="s">
        <v>160</v>
      </c>
    </row>
    <row r="5" spans="1:80" ht="15" x14ac:dyDescent="0.2">
      <c r="A5" s="6445" t="s">
        <v>3</v>
      </c>
      <c r="B5" s="6448" t="s">
        <v>5</v>
      </c>
      <c r="C5" s="1301" t="s">
        <v>522</v>
      </c>
      <c r="D5" s="1228" t="s">
        <v>565</v>
      </c>
      <c r="E5" s="1229"/>
      <c r="F5" s="1230"/>
      <c r="G5" s="1231"/>
      <c r="H5" s="1232"/>
      <c r="I5" s="1229"/>
      <c r="J5" s="1230"/>
      <c r="K5" s="1231"/>
      <c r="L5" s="1232"/>
      <c r="M5" s="1229"/>
      <c r="N5" s="1230"/>
      <c r="O5" s="1231"/>
      <c r="P5" s="1232"/>
      <c r="Q5" s="1233">
        <v>1</v>
      </c>
      <c r="R5" s="1230"/>
      <c r="S5" s="1231"/>
      <c r="T5" s="1232">
        <f>SUM(Q5:S5)</f>
        <v>1</v>
      </c>
      <c r="U5" s="1229"/>
      <c r="V5" s="1230">
        <v>2</v>
      </c>
      <c r="W5" s="1231"/>
      <c r="X5" s="1232">
        <f>SUM(U5:W5)</f>
        <v>2</v>
      </c>
      <c r="Y5" s="1229"/>
      <c r="Z5" s="1231"/>
      <c r="AA5" s="1231"/>
      <c r="AB5" s="1231"/>
      <c r="AC5" s="1229"/>
      <c r="AD5" s="1231"/>
      <c r="AE5" s="1231"/>
      <c r="AF5" s="1234"/>
      <c r="AG5" s="1231"/>
      <c r="AH5" s="1231"/>
      <c r="AI5" s="1231"/>
      <c r="AJ5" s="1234"/>
      <c r="AK5" s="1231"/>
      <c r="AL5" s="1231"/>
      <c r="AM5" s="1231"/>
      <c r="AN5" s="1234"/>
      <c r="AO5" s="1231"/>
      <c r="AP5" s="1231"/>
      <c r="AQ5" s="1231"/>
      <c r="AR5" s="1234"/>
      <c r="AS5" s="1231"/>
      <c r="AT5" s="1231"/>
      <c r="AU5" s="1231"/>
      <c r="AV5" s="1234"/>
      <c r="AW5" s="1231"/>
      <c r="AX5" s="1231"/>
      <c r="AY5" s="1231"/>
      <c r="AZ5" s="1235">
        <f>SUM(AW5:AY5)</f>
        <v>0</v>
      </c>
      <c r="BA5" s="1231"/>
      <c r="BB5" s="1231"/>
      <c r="BC5" s="1231"/>
      <c r="BD5" s="1235">
        <f>SUM(BA5:BC5)</f>
        <v>0</v>
      </c>
      <c r="BE5" s="1229"/>
      <c r="BF5" s="1231"/>
      <c r="BG5" s="1231"/>
      <c r="BH5" s="1234"/>
      <c r="BI5" s="1229"/>
      <c r="BJ5" s="1231"/>
      <c r="BK5" s="1231"/>
      <c r="BL5" s="1234"/>
      <c r="BM5" s="1229"/>
      <c r="BN5" s="1231"/>
      <c r="BO5" s="1231"/>
      <c r="BP5" s="1240"/>
      <c r="BQ5" s="1229"/>
      <c r="BR5" s="1231"/>
      <c r="BS5" s="1231"/>
      <c r="BT5" s="1240"/>
      <c r="BU5" s="1229"/>
      <c r="BV5" s="1231"/>
      <c r="BW5" s="1231"/>
      <c r="BX5" s="1240"/>
      <c r="BY5" s="1233"/>
      <c r="BZ5" s="1230"/>
      <c r="CA5" s="1231"/>
      <c r="CB5" s="1240">
        <f t="shared" ref="CB5:CB16" si="0">SUM(BY5:CA5)</f>
        <v>0</v>
      </c>
    </row>
    <row r="6" spans="1:80" ht="15" x14ac:dyDescent="0.2">
      <c r="A6" s="6446"/>
      <c r="B6" s="6449"/>
      <c r="C6" s="6451" t="s">
        <v>521</v>
      </c>
      <c r="D6" s="1236" t="s">
        <v>566</v>
      </c>
      <c r="E6" s="1237"/>
      <c r="F6" s="1238"/>
      <c r="G6" s="1238"/>
      <c r="H6" s="1239"/>
      <c r="I6" s="1237"/>
      <c r="J6" s="1238"/>
      <c r="K6" s="1238"/>
      <c r="L6" s="1239"/>
      <c r="M6" s="1237">
        <v>1</v>
      </c>
      <c r="N6" s="1238">
        <v>3</v>
      </c>
      <c r="O6" s="1238">
        <v>5</v>
      </c>
      <c r="P6" s="1239">
        <f>SUM(M6:O6)</f>
        <v>9</v>
      </c>
      <c r="Q6" s="1237"/>
      <c r="R6" s="1238">
        <v>1</v>
      </c>
      <c r="S6" s="1238">
        <v>4</v>
      </c>
      <c r="T6" s="1239">
        <f>SUM(R6:S6)</f>
        <v>5</v>
      </c>
      <c r="U6" s="1237">
        <v>3</v>
      </c>
      <c r="V6" s="1238">
        <v>7</v>
      </c>
      <c r="W6" s="1238">
        <v>5</v>
      </c>
      <c r="X6" s="1239">
        <f>SUM(U6:W6)</f>
        <v>15</v>
      </c>
      <c r="Y6" s="1237">
        <v>5</v>
      </c>
      <c r="Z6" s="1238">
        <v>4</v>
      </c>
      <c r="AA6" s="1238">
        <v>7</v>
      </c>
      <c r="AB6" s="1239">
        <f>SUM(Y6:AA6)</f>
        <v>16</v>
      </c>
      <c r="AC6" s="1237">
        <v>5</v>
      </c>
      <c r="AD6" s="1238">
        <v>4</v>
      </c>
      <c r="AE6" s="1238">
        <v>6</v>
      </c>
      <c r="AF6" s="1240">
        <f>SUM(AC6:AE6)</f>
        <v>15</v>
      </c>
      <c r="AG6" s="1238">
        <v>4</v>
      </c>
      <c r="AH6" s="1238">
        <v>7</v>
      </c>
      <c r="AI6" s="1238">
        <v>4</v>
      </c>
      <c r="AJ6" s="1240">
        <f>SUM(AG6:AI6)</f>
        <v>15</v>
      </c>
      <c r="AK6" s="1238">
        <v>12</v>
      </c>
      <c r="AL6" s="1238">
        <v>7</v>
      </c>
      <c r="AM6" s="1238">
        <v>9</v>
      </c>
      <c r="AN6" s="1240">
        <f>SUM(AK6:AM6)</f>
        <v>28</v>
      </c>
      <c r="AO6" s="1238">
        <v>7</v>
      </c>
      <c r="AP6" s="1238">
        <v>10</v>
      </c>
      <c r="AQ6" s="1238">
        <v>9</v>
      </c>
      <c r="AR6" s="1240">
        <f t="shared" ref="AR6:AR19" si="1">SUM(AO6:AQ6)</f>
        <v>26</v>
      </c>
      <c r="AS6" s="1238">
        <v>1</v>
      </c>
      <c r="AT6" s="1238">
        <v>7</v>
      </c>
      <c r="AU6" s="1238">
        <v>1</v>
      </c>
      <c r="AV6" s="1240">
        <f t="shared" ref="AV6:AV20" si="2">SUM(AS6:AU6)</f>
        <v>9</v>
      </c>
      <c r="AW6" s="1238"/>
      <c r="AX6" s="1238">
        <v>4</v>
      </c>
      <c r="AY6" s="1238">
        <v>6</v>
      </c>
      <c r="AZ6" s="1240">
        <f>SUM(AW6:AY6)</f>
        <v>10</v>
      </c>
      <c r="BA6" s="1238">
        <v>8</v>
      </c>
      <c r="BB6" s="1238">
        <v>6</v>
      </c>
      <c r="BC6" s="1238">
        <v>4</v>
      </c>
      <c r="BD6" s="1240">
        <f>SUM(BA6:BC6)</f>
        <v>18</v>
      </c>
      <c r="BE6" s="1237">
        <v>11</v>
      </c>
      <c r="BF6" s="1238">
        <v>8</v>
      </c>
      <c r="BG6" s="1238">
        <v>7</v>
      </c>
      <c r="BH6" s="1240">
        <f>SUM(BE6:BG6)</f>
        <v>26</v>
      </c>
      <c r="BI6" s="1237">
        <v>6</v>
      </c>
      <c r="BJ6" s="1238">
        <v>3</v>
      </c>
      <c r="BK6" s="1238">
        <v>5</v>
      </c>
      <c r="BL6" s="1240">
        <f>SUM(BI6:BK6)</f>
        <v>14</v>
      </c>
      <c r="BM6" s="1237">
        <v>8</v>
      </c>
      <c r="BN6" s="1238">
        <v>7</v>
      </c>
      <c r="BO6" s="1238">
        <v>2</v>
      </c>
      <c r="BP6" s="1240">
        <f t="shared" ref="BP6:BP13" si="3">SUM(BM6:BO6)</f>
        <v>17</v>
      </c>
      <c r="BQ6" s="1237">
        <v>10</v>
      </c>
      <c r="BR6" s="1238">
        <v>7</v>
      </c>
      <c r="BS6" s="1238"/>
      <c r="BT6" s="1240">
        <f t="shared" ref="BT6:BT13" si="4">SUM(BQ6:BS6)</f>
        <v>17</v>
      </c>
      <c r="BU6" s="1237">
        <v>13</v>
      </c>
      <c r="BV6" s="1238">
        <v>14</v>
      </c>
      <c r="BW6" s="1238">
        <v>4</v>
      </c>
      <c r="BX6" s="1240">
        <f t="shared" ref="BX6:BX13" si="5">SUM(BU6:BW6)</f>
        <v>31</v>
      </c>
      <c r="BY6" s="1237">
        <v>13</v>
      </c>
      <c r="BZ6" s="1238">
        <v>3</v>
      </c>
      <c r="CA6" s="1238"/>
      <c r="CB6" s="1240">
        <f t="shared" si="0"/>
        <v>16</v>
      </c>
    </row>
    <row r="7" spans="1:80" ht="15" x14ac:dyDescent="0.2">
      <c r="A7" s="6446"/>
      <c r="B7" s="6449"/>
      <c r="C7" s="6444"/>
      <c r="D7" s="1241" t="s">
        <v>136</v>
      </c>
      <c r="E7" s="1237"/>
      <c r="F7" s="1238"/>
      <c r="G7" s="1238"/>
      <c r="H7" s="1239"/>
      <c r="I7" s="1237"/>
      <c r="J7" s="1238"/>
      <c r="K7" s="1238"/>
      <c r="L7" s="1239"/>
      <c r="M7" s="1237"/>
      <c r="N7" s="1238"/>
      <c r="O7" s="1238"/>
      <c r="P7" s="1239"/>
      <c r="Q7" s="1237"/>
      <c r="R7" s="1238"/>
      <c r="S7" s="1238"/>
      <c r="T7" s="1239"/>
      <c r="U7" s="1237"/>
      <c r="V7" s="1238"/>
      <c r="W7" s="1238"/>
      <c r="X7" s="1239"/>
      <c r="Y7" s="1237"/>
      <c r="Z7" s="1238">
        <v>1</v>
      </c>
      <c r="AA7" s="1238"/>
      <c r="AB7" s="1239">
        <f>SUM(Y7:AA7)</f>
        <v>1</v>
      </c>
      <c r="AC7" s="1237"/>
      <c r="AD7" s="1238">
        <v>4</v>
      </c>
      <c r="AE7" s="1238">
        <v>1</v>
      </c>
      <c r="AF7" s="1240">
        <f>SUM(AC7:AE7)</f>
        <v>5</v>
      </c>
      <c r="AG7" s="1238">
        <v>2</v>
      </c>
      <c r="AH7" s="1238">
        <v>2</v>
      </c>
      <c r="AI7" s="1238"/>
      <c r="AJ7" s="1240">
        <f>SUM(AG7:AI7)</f>
        <v>4</v>
      </c>
      <c r="AK7" s="1238">
        <v>1</v>
      </c>
      <c r="AL7" s="1238"/>
      <c r="AM7" s="1238"/>
      <c r="AN7" s="1240">
        <f>SUM(AK7:AM7)</f>
        <v>1</v>
      </c>
      <c r="AO7" s="1238">
        <v>2</v>
      </c>
      <c r="AP7" s="1238">
        <v>1</v>
      </c>
      <c r="AQ7" s="1238">
        <v>2</v>
      </c>
      <c r="AR7" s="1240">
        <f>SUM(AO7:AQ7)</f>
        <v>5</v>
      </c>
      <c r="AS7" s="1238"/>
      <c r="AT7" s="1238">
        <v>3</v>
      </c>
      <c r="AU7" s="1238">
        <v>1</v>
      </c>
      <c r="AV7" s="1240">
        <f>SUM(AS7:AU7)</f>
        <v>4</v>
      </c>
      <c r="AW7" s="1238">
        <v>5</v>
      </c>
      <c r="AX7" s="1238">
        <v>3</v>
      </c>
      <c r="AY7" s="1238"/>
      <c r="AZ7" s="1240">
        <f>SUM(AW7:AY7)</f>
        <v>8</v>
      </c>
      <c r="BA7" s="1238">
        <v>3</v>
      </c>
      <c r="BB7" s="1238">
        <v>3</v>
      </c>
      <c r="BC7" s="1238">
        <v>3</v>
      </c>
      <c r="BD7" s="1240">
        <f>SUM(BA7:BC7)</f>
        <v>9</v>
      </c>
      <c r="BE7" s="1237">
        <v>4</v>
      </c>
      <c r="BF7" s="1238">
        <v>3</v>
      </c>
      <c r="BG7" s="1238">
        <v>5</v>
      </c>
      <c r="BH7" s="1240">
        <f>SUM(BE7:BG7)</f>
        <v>12</v>
      </c>
      <c r="BI7" s="1237">
        <v>1</v>
      </c>
      <c r="BJ7" s="1238">
        <v>5</v>
      </c>
      <c r="BK7" s="1238">
        <v>2</v>
      </c>
      <c r="BL7" s="1240">
        <f>SUM(BI7:BK7)</f>
        <v>8</v>
      </c>
      <c r="BM7" s="1237">
        <v>1</v>
      </c>
      <c r="BN7" s="1238">
        <v>3</v>
      </c>
      <c r="BO7" s="1238">
        <v>8</v>
      </c>
      <c r="BP7" s="1240">
        <f t="shared" si="3"/>
        <v>12</v>
      </c>
      <c r="BQ7" s="1237">
        <v>1</v>
      </c>
      <c r="BR7" s="1238">
        <v>1</v>
      </c>
      <c r="BS7" s="1238">
        <v>7</v>
      </c>
      <c r="BT7" s="1240">
        <f t="shared" si="4"/>
        <v>9</v>
      </c>
      <c r="BU7" s="1237">
        <v>2</v>
      </c>
      <c r="BV7" s="1238">
        <v>1</v>
      </c>
      <c r="BW7" s="1238">
        <v>5</v>
      </c>
      <c r="BX7" s="1240">
        <f t="shared" si="5"/>
        <v>8</v>
      </c>
      <c r="BY7" s="1237">
        <v>3</v>
      </c>
      <c r="BZ7" s="1238">
        <v>9</v>
      </c>
      <c r="CA7" s="1238">
        <v>4</v>
      </c>
      <c r="CB7" s="1240">
        <f t="shared" si="0"/>
        <v>16</v>
      </c>
    </row>
    <row r="8" spans="1:80" ht="15" x14ac:dyDescent="0.2">
      <c r="A8" s="6446"/>
      <c r="B8" s="6449"/>
      <c r="C8" s="6444"/>
      <c r="D8" s="5487" t="s">
        <v>1680</v>
      </c>
      <c r="E8" s="1243"/>
      <c r="F8" s="1244"/>
      <c r="G8" s="1244"/>
      <c r="H8" s="1245"/>
      <c r="I8" s="1243"/>
      <c r="J8" s="1244"/>
      <c r="K8" s="1244"/>
      <c r="L8" s="1245"/>
      <c r="M8" s="1243"/>
      <c r="N8" s="1244"/>
      <c r="O8" s="1244"/>
      <c r="P8" s="1245"/>
      <c r="Q8" s="1243"/>
      <c r="R8" s="1244"/>
      <c r="S8" s="1244"/>
      <c r="T8" s="1245"/>
      <c r="U8" s="1243"/>
      <c r="V8" s="1244"/>
      <c r="W8" s="1244"/>
      <c r="X8" s="1245"/>
      <c r="Y8" s="1243"/>
      <c r="Z8" s="1244"/>
      <c r="AA8" s="1244"/>
      <c r="AB8" s="1245"/>
      <c r="AC8" s="1243"/>
      <c r="AD8" s="1244"/>
      <c r="AE8" s="1244"/>
      <c r="AF8" s="1246"/>
      <c r="AG8" s="1244"/>
      <c r="AH8" s="1244"/>
      <c r="AI8" s="1244"/>
      <c r="AJ8" s="1246"/>
      <c r="AK8" s="1244"/>
      <c r="AL8" s="1244"/>
      <c r="AM8" s="1244"/>
      <c r="AN8" s="1246"/>
      <c r="AO8" s="1244"/>
      <c r="AP8" s="1244"/>
      <c r="AQ8" s="1244"/>
      <c r="AR8" s="1246"/>
      <c r="AS8" s="1244"/>
      <c r="AT8" s="1244"/>
      <c r="AU8" s="1244"/>
      <c r="AV8" s="1246"/>
      <c r="AW8" s="1244"/>
      <c r="AX8" s="1244"/>
      <c r="AY8" s="1244"/>
      <c r="AZ8" s="1246"/>
      <c r="BA8" s="1244"/>
      <c r="BB8" s="1244"/>
      <c r="BC8" s="1244"/>
      <c r="BD8" s="1246"/>
      <c r="BE8" s="1244"/>
      <c r="BF8" s="1244"/>
      <c r="BG8" s="1244"/>
      <c r="BH8" s="1246"/>
      <c r="BI8" s="1244"/>
      <c r="BJ8" s="1244"/>
      <c r="BK8" s="1244"/>
      <c r="BL8" s="1246"/>
      <c r="BM8" s="1244"/>
      <c r="BN8" s="1244"/>
      <c r="BO8" s="1244"/>
      <c r="BP8" s="1246"/>
      <c r="BQ8" s="1244"/>
      <c r="BR8" s="1244"/>
      <c r="BS8" s="1244"/>
      <c r="BT8" s="1246"/>
      <c r="BU8" s="1244"/>
      <c r="BV8" s="1244"/>
      <c r="BW8" s="1244"/>
      <c r="BX8" s="1246"/>
      <c r="BY8" s="1244">
        <v>2</v>
      </c>
      <c r="BZ8" s="1244">
        <v>5</v>
      </c>
      <c r="CA8" s="1244">
        <v>8</v>
      </c>
      <c r="CB8" s="1240">
        <f t="shared" si="0"/>
        <v>15</v>
      </c>
    </row>
    <row r="9" spans="1:80" ht="15" x14ac:dyDescent="0.2">
      <c r="A9" s="6446"/>
      <c r="B9" s="6449"/>
      <c r="C9" s="6444"/>
      <c r="D9" s="1242" t="s">
        <v>135</v>
      </c>
      <c r="E9" s="1243"/>
      <c r="F9" s="1244">
        <v>2</v>
      </c>
      <c r="G9" s="1244">
        <v>1</v>
      </c>
      <c r="H9" s="1245">
        <f>SUM(F9:G9)</f>
        <v>3</v>
      </c>
      <c r="I9" s="1243">
        <v>1</v>
      </c>
      <c r="J9" s="1244"/>
      <c r="K9" s="1244">
        <v>1</v>
      </c>
      <c r="L9" s="1245">
        <f>SUM(I9:K9)</f>
        <v>2</v>
      </c>
      <c r="M9" s="1243">
        <v>1</v>
      </c>
      <c r="N9" s="1244">
        <v>1</v>
      </c>
      <c r="O9" s="1244">
        <v>2</v>
      </c>
      <c r="P9" s="1245">
        <f>SUM(M9:O9)</f>
        <v>4</v>
      </c>
      <c r="Q9" s="1243"/>
      <c r="R9" s="1244">
        <v>5</v>
      </c>
      <c r="S9" s="1244">
        <v>3</v>
      </c>
      <c r="T9" s="1245">
        <f>SUM(R9:S9)</f>
        <v>8</v>
      </c>
      <c r="U9" s="1243">
        <v>1</v>
      </c>
      <c r="V9" s="1244">
        <v>4</v>
      </c>
      <c r="W9" s="1244">
        <v>1</v>
      </c>
      <c r="X9" s="1245">
        <f>SUM(U9:W9)</f>
        <v>6</v>
      </c>
      <c r="Y9" s="1243">
        <v>1</v>
      </c>
      <c r="Z9" s="1244">
        <v>1</v>
      </c>
      <c r="AA9" s="1244">
        <v>1</v>
      </c>
      <c r="AB9" s="1245">
        <f>SUM(Y9:AA9)</f>
        <v>3</v>
      </c>
      <c r="AC9" s="1243"/>
      <c r="AD9" s="1244">
        <v>6</v>
      </c>
      <c r="AE9" s="1244"/>
      <c r="AF9" s="1246">
        <f>SUM(AC9:AE9)</f>
        <v>6</v>
      </c>
      <c r="AG9" s="1244">
        <v>1</v>
      </c>
      <c r="AH9" s="1244">
        <v>1</v>
      </c>
      <c r="AI9" s="1244">
        <v>2</v>
      </c>
      <c r="AJ9" s="1246">
        <f>SUM(AG9:AI9)</f>
        <v>4</v>
      </c>
      <c r="AK9" s="1244"/>
      <c r="AL9" s="1244">
        <v>2</v>
      </c>
      <c r="AM9" s="1244">
        <v>3</v>
      </c>
      <c r="AN9" s="1246">
        <f>SUM(AK9:AM9)</f>
        <v>5</v>
      </c>
      <c r="AO9" s="1244">
        <v>1</v>
      </c>
      <c r="AP9" s="1244"/>
      <c r="AQ9" s="1244">
        <v>1</v>
      </c>
      <c r="AR9" s="1246">
        <f>SUM(AO9:AQ9)</f>
        <v>2</v>
      </c>
      <c r="AS9" s="1244"/>
      <c r="AT9" s="1244">
        <v>2</v>
      </c>
      <c r="AU9" s="1244"/>
      <c r="AV9" s="1246">
        <f>SUM(AS9:AU9)</f>
        <v>2</v>
      </c>
      <c r="AW9" s="1244"/>
      <c r="AX9" s="1244"/>
      <c r="AY9" s="1244">
        <v>1</v>
      </c>
      <c r="AZ9" s="1246">
        <f>SUM(AW9:AY9)</f>
        <v>1</v>
      </c>
      <c r="BA9" s="1244">
        <v>1</v>
      </c>
      <c r="BB9" s="1244">
        <v>3</v>
      </c>
      <c r="BC9" s="1244"/>
      <c r="BD9" s="1246">
        <f>SUM(BA9:BC9)</f>
        <v>4</v>
      </c>
      <c r="BE9" s="1244"/>
      <c r="BF9" s="1244">
        <v>1</v>
      </c>
      <c r="BG9" s="1244"/>
      <c r="BH9" s="1246">
        <f>SUM(BE9:BG9)</f>
        <v>1</v>
      </c>
      <c r="BI9" s="1244"/>
      <c r="BJ9" s="1244"/>
      <c r="BK9" s="1244">
        <v>1</v>
      </c>
      <c r="BL9" s="1246">
        <f>SUM(BI9:BK9)</f>
        <v>1</v>
      </c>
      <c r="BM9" s="1244">
        <v>1</v>
      </c>
      <c r="BN9" s="1244">
        <v>2</v>
      </c>
      <c r="BO9" s="1244"/>
      <c r="BP9" s="1246">
        <f t="shared" si="3"/>
        <v>3</v>
      </c>
      <c r="BQ9" s="1244"/>
      <c r="BR9" s="1244"/>
      <c r="BS9" s="1244"/>
      <c r="BT9" s="1246">
        <f t="shared" si="4"/>
        <v>0</v>
      </c>
      <c r="BU9" s="1244"/>
      <c r="BV9" s="1244"/>
      <c r="BW9" s="1244"/>
      <c r="BX9" s="1246">
        <f t="shared" si="5"/>
        <v>0</v>
      </c>
      <c r="BY9" s="1244">
        <v>2</v>
      </c>
      <c r="BZ9" s="1244"/>
      <c r="CA9" s="1244">
        <v>1</v>
      </c>
      <c r="CB9" s="1240">
        <f t="shared" si="0"/>
        <v>3</v>
      </c>
    </row>
    <row r="10" spans="1:80" ht="15" x14ac:dyDescent="0.2">
      <c r="A10" s="6446"/>
      <c r="B10" s="6449"/>
      <c r="C10" s="6444"/>
      <c r="D10" s="1242" t="s">
        <v>618</v>
      </c>
      <c r="E10" s="1243"/>
      <c r="F10" s="1244"/>
      <c r="G10" s="1244"/>
      <c r="H10" s="1245"/>
      <c r="I10" s="1243"/>
      <c r="J10" s="1244"/>
      <c r="K10" s="1244"/>
      <c r="L10" s="1245"/>
      <c r="M10" s="1243"/>
      <c r="N10" s="1244"/>
      <c r="O10" s="1244"/>
      <c r="P10" s="1245"/>
      <c r="Q10" s="1243"/>
      <c r="R10" s="1244"/>
      <c r="S10" s="1244"/>
      <c r="T10" s="1245"/>
      <c r="U10" s="1243"/>
      <c r="V10" s="1244"/>
      <c r="W10" s="1244"/>
      <c r="X10" s="1245"/>
      <c r="Y10" s="1243"/>
      <c r="Z10" s="1244"/>
      <c r="AA10" s="1244"/>
      <c r="AB10" s="1245"/>
      <c r="AC10" s="1243"/>
      <c r="AD10" s="1244"/>
      <c r="AE10" s="1244"/>
      <c r="AF10" s="1246"/>
      <c r="AG10" s="1244"/>
      <c r="AH10" s="1244"/>
      <c r="AI10" s="1244"/>
      <c r="AJ10" s="1246"/>
      <c r="AK10" s="1244"/>
      <c r="AL10" s="1244"/>
      <c r="AM10" s="1244"/>
      <c r="AN10" s="1246"/>
      <c r="AO10" s="1244"/>
      <c r="AP10" s="1244"/>
      <c r="AQ10" s="1244"/>
      <c r="AR10" s="1246"/>
      <c r="AS10" s="1244"/>
      <c r="AT10" s="1244"/>
      <c r="AU10" s="1244"/>
      <c r="AV10" s="1246"/>
      <c r="AW10" s="1244"/>
      <c r="AX10" s="1244"/>
      <c r="AY10" s="1244"/>
      <c r="AZ10" s="1246"/>
      <c r="BA10" s="1244"/>
      <c r="BB10" s="1244"/>
      <c r="BC10" s="1244"/>
      <c r="BD10" s="1246"/>
      <c r="BE10" s="1244"/>
      <c r="BF10" s="1244"/>
      <c r="BG10" s="1244"/>
      <c r="BH10" s="1246"/>
      <c r="BI10" s="1244"/>
      <c r="BJ10" s="1244"/>
      <c r="BK10" s="1244"/>
      <c r="BL10" s="1246"/>
      <c r="BM10" s="1244"/>
      <c r="BN10" s="1244">
        <v>1</v>
      </c>
      <c r="BO10" s="1244">
        <v>4</v>
      </c>
      <c r="BP10" s="1246">
        <f t="shared" si="3"/>
        <v>5</v>
      </c>
      <c r="BQ10" s="1244">
        <v>2</v>
      </c>
      <c r="BR10" s="1244">
        <v>2</v>
      </c>
      <c r="BS10" s="1244">
        <v>1</v>
      </c>
      <c r="BT10" s="1246">
        <f t="shared" si="4"/>
        <v>5</v>
      </c>
      <c r="BU10" s="1244">
        <v>2</v>
      </c>
      <c r="BV10" s="1244">
        <v>4</v>
      </c>
      <c r="BW10" s="1244">
        <v>3</v>
      </c>
      <c r="BX10" s="1246">
        <f t="shared" si="5"/>
        <v>9</v>
      </c>
      <c r="BY10" s="1244">
        <v>4</v>
      </c>
      <c r="BZ10" s="1244">
        <v>5</v>
      </c>
      <c r="CA10" s="1244">
        <v>3</v>
      </c>
      <c r="CB10" s="1240">
        <f t="shared" si="0"/>
        <v>12</v>
      </c>
    </row>
    <row r="11" spans="1:80" ht="15" x14ac:dyDescent="0.2">
      <c r="A11" s="6446"/>
      <c r="B11" s="6449"/>
      <c r="C11" s="6452"/>
      <c r="D11" s="1242" t="s">
        <v>619</v>
      </c>
      <c r="E11" s="1243"/>
      <c r="F11" s="1244"/>
      <c r="G11" s="1244"/>
      <c r="H11" s="1245"/>
      <c r="I11" s="1243"/>
      <c r="J11" s="1244"/>
      <c r="K11" s="1244"/>
      <c r="L11" s="1245"/>
      <c r="M11" s="1243"/>
      <c r="N11" s="1244"/>
      <c r="O11" s="1244"/>
      <c r="P11" s="1245"/>
      <c r="Q11" s="1243"/>
      <c r="R11" s="1244"/>
      <c r="S11" s="1244"/>
      <c r="T11" s="1245"/>
      <c r="U11" s="1243"/>
      <c r="V11" s="1244"/>
      <c r="W11" s="1244"/>
      <c r="X11" s="1245"/>
      <c r="Y11" s="1243"/>
      <c r="Z11" s="1244"/>
      <c r="AA11" s="1244"/>
      <c r="AB11" s="1245"/>
      <c r="AC11" s="1243"/>
      <c r="AD11" s="1244"/>
      <c r="AE11" s="1244"/>
      <c r="AF11" s="1246"/>
      <c r="AG11" s="1244"/>
      <c r="AH11" s="1244"/>
      <c r="AI11" s="1244"/>
      <c r="AJ11" s="1246"/>
      <c r="AK11" s="1244"/>
      <c r="AL11" s="1244"/>
      <c r="AM11" s="1244"/>
      <c r="AN11" s="1246"/>
      <c r="AO11" s="1244"/>
      <c r="AP11" s="1244"/>
      <c r="AQ11" s="1244"/>
      <c r="AR11" s="1246"/>
      <c r="AS11" s="1244"/>
      <c r="AT11" s="1244"/>
      <c r="AU11" s="1244"/>
      <c r="AV11" s="1246"/>
      <c r="AW11" s="1244"/>
      <c r="AX11" s="1244"/>
      <c r="AY11" s="1244"/>
      <c r="AZ11" s="1246"/>
      <c r="BA11" s="1244"/>
      <c r="BB11" s="1244"/>
      <c r="BC11" s="1244"/>
      <c r="BD11" s="1246"/>
      <c r="BE11" s="1244"/>
      <c r="BF11" s="1244"/>
      <c r="BG11" s="1244"/>
      <c r="BH11" s="1246"/>
      <c r="BI11" s="1244"/>
      <c r="BJ11" s="1244"/>
      <c r="BK11" s="1244"/>
      <c r="BL11" s="1246"/>
      <c r="BM11" s="1244"/>
      <c r="BN11" s="1244">
        <v>1</v>
      </c>
      <c r="BO11" s="1244"/>
      <c r="BP11" s="1246">
        <f t="shared" si="3"/>
        <v>1</v>
      </c>
      <c r="BQ11" s="1244">
        <v>2</v>
      </c>
      <c r="BR11" s="1244">
        <v>1</v>
      </c>
      <c r="BS11" s="1244"/>
      <c r="BT11" s="1246">
        <f t="shared" si="4"/>
        <v>3</v>
      </c>
      <c r="BU11" s="1244">
        <v>3</v>
      </c>
      <c r="BV11" s="1244"/>
      <c r="BW11" s="1244"/>
      <c r="BX11" s="1246">
        <f t="shared" si="5"/>
        <v>3</v>
      </c>
      <c r="BY11" s="1244"/>
      <c r="BZ11" s="1244">
        <v>3</v>
      </c>
      <c r="CA11" s="1244"/>
      <c r="CB11" s="1240">
        <f t="shared" si="0"/>
        <v>3</v>
      </c>
    </row>
    <row r="12" spans="1:80" ht="12.75" customHeight="1" x14ac:dyDescent="0.2">
      <c r="A12" s="6446"/>
      <c r="B12" s="6449"/>
      <c r="C12" s="6451" t="s">
        <v>520</v>
      </c>
      <c r="D12" s="1236" t="s">
        <v>562</v>
      </c>
      <c r="E12" s="1237"/>
      <c r="F12" s="1238"/>
      <c r="G12" s="1238"/>
      <c r="H12" s="1239"/>
      <c r="I12" s="1237"/>
      <c r="J12" s="1238"/>
      <c r="K12" s="1238"/>
      <c r="L12" s="1239"/>
      <c r="M12" s="1237"/>
      <c r="N12" s="1238"/>
      <c r="O12" s="1238"/>
      <c r="P12" s="1239"/>
      <c r="Q12" s="1237"/>
      <c r="R12" s="1238"/>
      <c r="S12" s="1238">
        <v>1</v>
      </c>
      <c r="T12" s="1239">
        <f>SUM(R12:S12)</f>
        <v>1</v>
      </c>
      <c r="U12" s="1237">
        <v>1</v>
      </c>
      <c r="V12" s="1238">
        <v>1</v>
      </c>
      <c r="W12" s="1238"/>
      <c r="X12" s="1239">
        <f>SUM(U12:W12)</f>
        <v>2</v>
      </c>
      <c r="Y12" s="1237">
        <v>1</v>
      </c>
      <c r="Z12" s="1238">
        <v>1</v>
      </c>
      <c r="AA12" s="1238">
        <v>2</v>
      </c>
      <c r="AB12" s="1239">
        <f>SUM(Y12:AA12)</f>
        <v>4</v>
      </c>
      <c r="AC12" s="1237">
        <v>1</v>
      </c>
      <c r="AD12" s="1238">
        <v>5</v>
      </c>
      <c r="AE12" s="1238">
        <v>3</v>
      </c>
      <c r="AF12" s="1240">
        <f>SUM(AC12:AE12)</f>
        <v>9</v>
      </c>
      <c r="AG12" s="1238">
        <v>1</v>
      </c>
      <c r="AH12" s="1238">
        <v>2</v>
      </c>
      <c r="AI12" s="1238">
        <v>4</v>
      </c>
      <c r="AJ12" s="1240">
        <f>SUM(AG12:AI12)</f>
        <v>7</v>
      </c>
      <c r="AK12" s="1238"/>
      <c r="AL12" s="1238">
        <v>1</v>
      </c>
      <c r="AM12" s="1238">
        <v>1</v>
      </c>
      <c r="AN12" s="1240">
        <f>SUM(AK12:AM12)</f>
        <v>2</v>
      </c>
      <c r="AO12" s="1238">
        <v>2</v>
      </c>
      <c r="AP12" s="1238">
        <v>1</v>
      </c>
      <c r="AQ12" s="1238"/>
      <c r="AR12" s="1240">
        <f t="shared" si="1"/>
        <v>3</v>
      </c>
      <c r="AS12" s="1238"/>
      <c r="AT12" s="1238">
        <v>2</v>
      </c>
      <c r="AU12" s="1238">
        <v>1</v>
      </c>
      <c r="AV12" s="1240">
        <f t="shared" si="2"/>
        <v>3</v>
      </c>
      <c r="AW12" s="1238">
        <v>1</v>
      </c>
      <c r="AX12" s="1238">
        <v>2</v>
      </c>
      <c r="AY12" s="1238">
        <v>1</v>
      </c>
      <c r="AZ12" s="1240">
        <f>SUM(AW12:AY12)</f>
        <v>4</v>
      </c>
      <c r="BA12" s="1238">
        <v>3</v>
      </c>
      <c r="BB12" s="1238">
        <v>5</v>
      </c>
      <c r="BC12" s="1238">
        <v>2</v>
      </c>
      <c r="BD12" s="1240">
        <f>SUM(BA12:BC12)</f>
        <v>10</v>
      </c>
      <c r="BE12" s="1237"/>
      <c r="BF12" s="1238">
        <v>1</v>
      </c>
      <c r="BG12" s="1238">
        <v>4</v>
      </c>
      <c r="BH12" s="1240">
        <f>SUM(BE12:BG12)</f>
        <v>5</v>
      </c>
      <c r="BI12" s="1237">
        <v>2</v>
      </c>
      <c r="BJ12" s="1238">
        <v>4</v>
      </c>
      <c r="BK12" s="1238">
        <v>5</v>
      </c>
      <c r="BL12" s="1240">
        <f>SUM(BI12:BK12)</f>
        <v>11</v>
      </c>
      <c r="BM12" s="1237">
        <v>1</v>
      </c>
      <c r="BN12" s="1238">
        <v>1</v>
      </c>
      <c r="BO12" s="1238">
        <v>3</v>
      </c>
      <c r="BP12" s="1240">
        <f t="shared" si="3"/>
        <v>5</v>
      </c>
      <c r="BQ12" s="1237">
        <v>1</v>
      </c>
      <c r="BR12" s="1238">
        <v>2</v>
      </c>
      <c r="BS12" s="1238"/>
      <c r="BT12" s="1240">
        <f t="shared" si="4"/>
        <v>3</v>
      </c>
      <c r="BU12" s="1237">
        <v>1</v>
      </c>
      <c r="BV12" s="1238">
        <v>4</v>
      </c>
      <c r="BW12" s="1238">
        <v>2</v>
      </c>
      <c r="BX12" s="1240">
        <f t="shared" si="5"/>
        <v>7</v>
      </c>
      <c r="BY12" s="1237">
        <v>1</v>
      </c>
      <c r="BZ12" s="1238"/>
      <c r="CA12" s="1238"/>
      <c r="CB12" s="1240">
        <f t="shared" si="0"/>
        <v>1</v>
      </c>
    </row>
    <row r="13" spans="1:80" ht="14.25" customHeight="1" x14ac:dyDescent="0.2">
      <c r="A13" s="6446"/>
      <c r="B13" s="6449"/>
      <c r="C13" s="6444"/>
      <c r="D13" s="1241" t="s">
        <v>137</v>
      </c>
      <c r="E13" s="1237"/>
      <c r="F13" s="1238"/>
      <c r="G13" s="1238"/>
      <c r="H13" s="1239"/>
      <c r="I13" s="1237"/>
      <c r="J13" s="1238"/>
      <c r="K13" s="1238"/>
      <c r="L13" s="1239"/>
      <c r="M13" s="1237"/>
      <c r="N13" s="1238"/>
      <c r="O13" s="1238"/>
      <c r="P13" s="1239"/>
      <c r="Q13" s="1237"/>
      <c r="R13" s="1238"/>
      <c r="S13" s="1238"/>
      <c r="T13" s="1239"/>
      <c r="U13" s="1237"/>
      <c r="V13" s="1238"/>
      <c r="W13" s="1238"/>
      <c r="X13" s="1239"/>
      <c r="Y13" s="1237"/>
      <c r="Z13" s="1238"/>
      <c r="AA13" s="1238"/>
      <c r="AB13" s="1239"/>
      <c r="AC13" s="1237"/>
      <c r="AD13" s="1238"/>
      <c r="AE13" s="1238"/>
      <c r="AF13" s="1240"/>
      <c r="AG13" s="1238"/>
      <c r="AH13" s="1238"/>
      <c r="AI13" s="1238"/>
      <c r="AJ13" s="1240"/>
      <c r="AK13" s="1238"/>
      <c r="AL13" s="1238"/>
      <c r="AM13" s="1238"/>
      <c r="AN13" s="1240"/>
      <c r="AO13" s="1238"/>
      <c r="AP13" s="1238"/>
      <c r="AQ13" s="1238"/>
      <c r="AR13" s="1240">
        <f t="shared" si="1"/>
        <v>0</v>
      </c>
      <c r="AS13" s="1238"/>
      <c r="AT13" s="1238"/>
      <c r="AU13" s="1238"/>
      <c r="AV13" s="1240">
        <f t="shared" si="2"/>
        <v>0</v>
      </c>
      <c r="AW13" s="1238"/>
      <c r="AX13" s="1238">
        <v>1</v>
      </c>
      <c r="AY13" s="1238">
        <v>1</v>
      </c>
      <c r="AZ13" s="1240">
        <f>SUM(AW13:AY13)</f>
        <v>2</v>
      </c>
      <c r="BA13" s="1238"/>
      <c r="BB13" s="1238">
        <v>1</v>
      </c>
      <c r="BC13" s="1238"/>
      <c r="BD13" s="1240">
        <f>SUM(BA13:BC13)</f>
        <v>1</v>
      </c>
      <c r="BE13" s="1237"/>
      <c r="BF13" s="1238"/>
      <c r="BG13" s="1238">
        <v>1</v>
      </c>
      <c r="BH13" s="1240">
        <f>SUM(BE13:BG13)</f>
        <v>1</v>
      </c>
      <c r="BI13" s="1237"/>
      <c r="BJ13" s="1238">
        <v>1</v>
      </c>
      <c r="BK13" s="1238">
        <v>1</v>
      </c>
      <c r="BL13" s="1240">
        <f>SUM(BI13:BK13)</f>
        <v>2</v>
      </c>
      <c r="BM13" s="1237"/>
      <c r="BN13" s="1238"/>
      <c r="BO13" s="1238"/>
      <c r="BP13" s="1240">
        <f t="shared" si="3"/>
        <v>0</v>
      </c>
      <c r="BQ13" s="1237">
        <v>0</v>
      </c>
      <c r="BR13" s="1238">
        <v>1</v>
      </c>
      <c r="BS13" s="1238"/>
      <c r="BT13" s="1240">
        <f t="shared" si="4"/>
        <v>1</v>
      </c>
      <c r="BU13" s="1237"/>
      <c r="BV13" s="1238"/>
      <c r="BW13" s="1238"/>
      <c r="BX13" s="1240">
        <f t="shared" si="5"/>
        <v>0</v>
      </c>
      <c r="BY13" s="1237"/>
      <c r="BZ13" s="1238">
        <v>1</v>
      </c>
      <c r="CA13" s="1238"/>
      <c r="CB13" s="1240">
        <f t="shared" si="0"/>
        <v>1</v>
      </c>
    </row>
    <row r="14" spans="1:80" ht="14.25" customHeight="1" x14ac:dyDescent="0.2">
      <c r="A14" s="6446"/>
      <c r="B14" s="6449"/>
      <c r="C14" s="1302"/>
      <c r="D14" s="1242" t="s">
        <v>618</v>
      </c>
      <c r="E14" s="1243"/>
      <c r="F14" s="1244"/>
      <c r="G14" s="1244"/>
      <c r="H14" s="1245"/>
      <c r="I14" s="1243"/>
      <c r="J14" s="1244"/>
      <c r="K14" s="1244"/>
      <c r="L14" s="1245"/>
      <c r="M14" s="1243"/>
      <c r="N14" s="1244"/>
      <c r="O14" s="1244"/>
      <c r="P14" s="1245"/>
      <c r="Q14" s="1243"/>
      <c r="R14" s="1244"/>
      <c r="S14" s="1244"/>
      <c r="T14" s="1245"/>
      <c r="U14" s="1243"/>
      <c r="V14" s="1244"/>
      <c r="W14" s="1244"/>
      <c r="X14" s="1245"/>
      <c r="Y14" s="1243"/>
      <c r="Z14" s="1244"/>
      <c r="AA14" s="1244"/>
      <c r="AB14" s="1245"/>
      <c r="AC14" s="1243"/>
      <c r="AD14" s="1244"/>
      <c r="AE14" s="1244"/>
      <c r="AF14" s="1246"/>
      <c r="AG14" s="1244"/>
      <c r="AH14" s="1244"/>
      <c r="AI14" s="1244"/>
      <c r="AJ14" s="1246"/>
      <c r="AK14" s="1244"/>
      <c r="AL14" s="1244"/>
      <c r="AM14" s="1244"/>
      <c r="AN14" s="1246"/>
      <c r="AO14" s="1244"/>
      <c r="AP14" s="1244"/>
      <c r="AQ14" s="1244"/>
      <c r="AR14" s="1246"/>
      <c r="AS14" s="1244"/>
      <c r="AT14" s="1244"/>
      <c r="AU14" s="1244"/>
      <c r="AV14" s="1246"/>
      <c r="AW14" s="1244"/>
      <c r="AX14" s="1244"/>
      <c r="AY14" s="1244"/>
      <c r="AZ14" s="1246"/>
      <c r="BA14" s="1244"/>
      <c r="BB14" s="1244"/>
      <c r="BC14" s="1244"/>
      <c r="BD14" s="1246"/>
      <c r="BE14" s="1244"/>
      <c r="BF14" s="1244"/>
      <c r="BG14" s="1244"/>
      <c r="BH14" s="1246"/>
      <c r="BI14" s="1244"/>
      <c r="BJ14" s="1244"/>
      <c r="BK14" s="1244"/>
      <c r="BL14" s="1246"/>
      <c r="BM14" s="1244"/>
      <c r="BN14" s="1244"/>
      <c r="BO14" s="1244"/>
      <c r="BP14" s="1246"/>
      <c r="BQ14" s="1244"/>
      <c r="BR14" s="1244"/>
      <c r="BS14" s="1244"/>
      <c r="BT14" s="1246"/>
      <c r="BU14" s="1244"/>
      <c r="BV14" s="1244"/>
      <c r="BW14" s="1244"/>
      <c r="BX14" s="1246"/>
      <c r="BY14" s="1244"/>
      <c r="BZ14" s="1244">
        <v>1</v>
      </c>
      <c r="CA14" s="1244"/>
      <c r="CB14" s="1240">
        <f t="shared" si="0"/>
        <v>1</v>
      </c>
    </row>
    <row r="15" spans="1:80" ht="14.25" customHeight="1" x14ac:dyDescent="0.2">
      <c r="A15" s="6446"/>
      <c r="B15" s="6449"/>
      <c r="C15" s="1302"/>
      <c r="D15" s="1242" t="s">
        <v>619</v>
      </c>
      <c r="E15" s="1243"/>
      <c r="F15" s="1244"/>
      <c r="G15" s="1244"/>
      <c r="H15" s="1245"/>
      <c r="I15" s="1243"/>
      <c r="J15" s="1244"/>
      <c r="K15" s="1244"/>
      <c r="L15" s="1245"/>
      <c r="M15" s="1243"/>
      <c r="N15" s="1244"/>
      <c r="O15" s="1244"/>
      <c r="P15" s="1245"/>
      <c r="Q15" s="1243"/>
      <c r="R15" s="1244"/>
      <c r="S15" s="1244"/>
      <c r="T15" s="1245"/>
      <c r="U15" s="1243"/>
      <c r="V15" s="1244"/>
      <c r="W15" s="1244"/>
      <c r="X15" s="1245"/>
      <c r="Y15" s="1243"/>
      <c r="Z15" s="1244"/>
      <c r="AA15" s="1244"/>
      <c r="AB15" s="1245"/>
      <c r="AC15" s="1243"/>
      <c r="AD15" s="1244"/>
      <c r="AE15" s="1244"/>
      <c r="AF15" s="1246"/>
      <c r="AG15" s="1244"/>
      <c r="AH15" s="1244"/>
      <c r="AI15" s="1244"/>
      <c r="AJ15" s="1246"/>
      <c r="AK15" s="1244"/>
      <c r="AL15" s="1244"/>
      <c r="AM15" s="1244"/>
      <c r="AN15" s="1246"/>
      <c r="AO15" s="1244"/>
      <c r="AP15" s="1244"/>
      <c r="AQ15" s="1244"/>
      <c r="AR15" s="1246"/>
      <c r="AS15" s="1244"/>
      <c r="AT15" s="1244"/>
      <c r="AU15" s="1244"/>
      <c r="AV15" s="1246"/>
      <c r="AW15" s="1244"/>
      <c r="AX15" s="1244"/>
      <c r="AY15" s="1244"/>
      <c r="AZ15" s="1246"/>
      <c r="BA15" s="1244"/>
      <c r="BB15" s="1244"/>
      <c r="BC15" s="1244"/>
      <c r="BD15" s="1246"/>
      <c r="BE15" s="1244"/>
      <c r="BF15" s="1244"/>
      <c r="BG15" s="1244"/>
      <c r="BH15" s="1246"/>
      <c r="BI15" s="1244"/>
      <c r="BJ15" s="1244"/>
      <c r="BK15" s="1244"/>
      <c r="BL15" s="1246"/>
      <c r="BM15" s="1244"/>
      <c r="BN15" s="1244"/>
      <c r="BO15" s="1244"/>
      <c r="BP15" s="1246"/>
      <c r="BQ15" s="1244"/>
      <c r="BR15" s="1244"/>
      <c r="BS15" s="1244"/>
      <c r="BT15" s="1246"/>
      <c r="BU15" s="1244"/>
      <c r="BV15" s="1244"/>
      <c r="BW15" s="1244"/>
      <c r="BX15" s="1246"/>
      <c r="BY15" s="1244">
        <v>1</v>
      </c>
      <c r="BZ15" s="1244"/>
      <c r="CA15" s="1244">
        <v>1</v>
      </c>
      <c r="CB15" s="1240">
        <f t="shared" si="0"/>
        <v>2</v>
      </c>
    </row>
    <row r="16" spans="1:80" ht="14.25" customHeight="1" x14ac:dyDescent="0.2">
      <c r="A16" s="6446"/>
      <c r="B16" s="6449"/>
      <c r="C16" s="1302"/>
      <c r="D16" s="1242" t="s">
        <v>1680</v>
      </c>
      <c r="E16" s="1243"/>
      <c r="F16" s="1244"/>
      <c r="G16" s="1244"/>
      <c r="H16" s="1245"/>
      <c r="I16" s="1243"/>
      <c r="J16" s="1244"/>
      <c r="K16" s="1244"/>
      <c r="L16" s="1245"/>
      <c r="M16" s="1243"/>
      <c r="N16" s="1244"/>
      <c r="O16" s="1244"/>
      <c r="P16" s="1245"/>
      <c r="Q16" s="1243"/>
      <c r="R16" s="1244"/>
      <c r="S16" s="1244"/>
      <c r="T16" s="1245"/>
      <c r="U16" s="1243"/>
      <c r="V16" s="1244"/>
      <c r="W16" s="1244"/>
      <c r="X16" s="1245"/>
      <c r="Y16" s="1243"/>
      <c r="Z16" s="1244"/>
      <c r="AA16" s="1244"/>
      <c r="AB16" s="1245"/>
      <c r="AC16" s="1243"/>
      <c r="AD16" s="1244"/>
      <c r="AE16" s="1244"/>
      <c r="AF16" s="1246"/>
      <c r="AG16" s="1244"/>
      <c r="AH16" s="1244"/>
      <c r="AI16" s="1244"/>
      <c r="AJ16" s="1246"/>
      <c r="AK16" s="1244"/>
      <c r="AL16" s="1244"/>
      <c r="AM16" s="1244"/>
      <c r="AN16" s="1246"/>
      <c r="AO16" s="1244"/>
      <c r="AP16" s="1244"/>
      <c r="AQ16" s="1244"/>
      <c r="AR16" s="1246"/>
      <c r="AS16" s="1244"/>
      <c r="AT16" s="1244"/>
      <c r="AU16" s="1244"/>
      <c r="AV16" s="1246"/>
      <c r="AW16" s="1244"/>
      <c r="AX16" s="1244"/>
      <c r="AY16" s="1244"/>
      <c r="AZ16" s="1246"/>
      <c r="BA16" s="1244"/>
      <c r="BB16" s="1244"/>
      <c r="BC16" s="1244"/>
      <c r="BD16" s="1246"/>
      <c r="BE16" s="1244"/>
      <c r="BF16" s="1244"/>
      <c r="BG16" s="1244"/>
      <c r="BH16" s="1246"/>
      <c r="BI16" s="1244"/>
      <c r="BJ16" s="1244"/>
      <c r="BK16" s="1244"/>
      <c r="BL16" s="1246"/>
      <c r="BM16" s="1244"/>
      <c r="BN16" s="1244"/>
      <c r="BO16" s="1244"/>
      <c r="BP16" s="1246"/>
      <c r="BQ16" s="1244"/>
      <c r="BR16" s="1244"/>
      <c r="BS16" s="1244"/>
      <c r="BT16" s="1246"/>
      <c r="BU16" s="1244"/>
      <c r="BV16" s="1244"/>
      <c r="BW16" s="1244"/>
      <c r="BX16" s="1246"/>
      <c r="BY16" s="1244"/>
      <c r="BZ16" s="1244"/>
      <c r="CA16" s="1244">
        <v>5</v>
      </c>
      <c r="CB16" s="1240">
        <f t="shared" si="0"/>
        <v>5</v>
      </c>
    </row>
    <row r="17" spans="1:80" ht="14.25" customHeight="1" x14ac:dyDescent="0.2">
      <c r="A17" s="6446"/>
      <c r="B17" s="6450"/>
      <c r="C17" s="1304"/>
      <c r="D17" s="1247" t="s">
        <v>160</v>
      </c>
      <c r="E17" s="1248">
        <f t="shared" ref="E17:AJ17" si="6">SUM(E5:E13)</f>
        <v>0</v>
      </c>
      <c r="F17" s="1249">
        <f t="shared" si="6"/>
        <v>2</v>
      </c>
      <c r="G17" s="1249">
        <f t="shared" si="6"/>
        <v>1</v>
      </c>
      <c r="H17" s="1249">
        <f t="shared" si="6"/>
        <v>3</v>
      </c>
      <c r="I17" s="1248">
        <f t="shared" si="6"/>
        <v>1</v>
      </c>
      <c r="J17" s="1249">
        <f t="shared" si="6"/>
        <v>0</v>
      </c>
      <c r="K17" s="1249">
        <f t="shared" si="6"/>
        <v>1</v>
      </c>
      <c r="L17" s="1249">
        <f t="shared" si="6"/>
        <v>2</v>
      </c>
      <c r="M17" s="1248">
        <f t="shared" si="6"/>
        <v>2</v>
      </c>
      <c r="N17" s="1249">
        <f t="shared" si="6"/>
        <v>4</v>
      </c>
      <c r="O17" s="1249">
        <f t="shared" si="6"/>
        <v>7</v>
      </c>
      <c r="P17" s="1249">
        <f t="shared" si="6"/>
        <v>13</v>
      </c>
      <c r="Q17" s="1248">
        <f t="shared" si="6"/>
        <v>1</v>
      </c>
      <c r="R17" s="1249">
        <f t="shared" si="6"/>
        <v>6</v>
      </c>
      <c r="S17" s="1249">
        <f t="shared" si="6"/>
        <v>8</v>
      </c>
      <c r="T17" s="1249">
        <f t="shared" si="6"/>
        <v>15</v>
      </c>
      <c r="U17" s="1248">
        <f t="shared" si="6"/>
        <v>5</v>
      </c>
      <c r="V17" s="1249">
        <f t="shared" si="6"/>
        <v>14</v>
      </c>
      <c r="W17" s="1249">
        <f t="shared" si="6"/>
        <v>6</v>
      </c>
      <c r="X17" s="1249">
        <f t="shared" si="6"/>
        <v>25</v>
      </c>
      <c r="Y17" s="1248">
        <f t="shared" si="6"/>
        <v>7</v>
      </c>
      <c r="Z17" s="1249">
        <f t="shared" si="6"/>
        <v>7</v>
      </c>
      <c r="AA17" s="1249">
        <f t="shared" si="6"/>
        <v>10</v>
      </c>
      <c r="AB17" s="1249">
        <f t="shared" si="6"/>
        <v>24</v>
      </c>
      <c r="AC17" s="1248">
        <f t="shared" si="6"/>
        <v>6</v>
      </c>
      <c r="AD17" s="1249">
        <f t="shared" si="6"/>
        <v>19</v>
      </c>
      <c r="AE17" s="1249">
        <f t="shared" si="6"/>
        <v>10</v>
      </c>
      <c r="AF17" s="1306">
        <f t="shared" si="6"/>
        <v>35</v>
      </c>
      <c r="AG17" s="1249">
        <f t="shared" si="6"/>
        <v>8</v>
      </c>
      <c r="AH17" s="1249">
        <f t="shared" si="6"/>
        <v>12</v>
      </c>
      <c r="AI17" s="1249">
        <f t="shared" si="6"/>
        <v>10</v>
      </c>
      <c r="AJ17" s="1306">
        <f t="shared" si="6"/>
        <v>30</v>
      </c>
      <c r="AK17" s="1249">
        <f t="shared" ref="AK17:BH17" si="7">SUM(AK5:AK13)</f>
        <v>13</v>
      </c>
      <c r="AL17" s="1249">
        <f t="shared" si="7"/>
        <v>10</v>
      </c>
      <c r="AM17" s="1249">
        <f t="shared" si="7"/>
        <v>13</v>
      </c>
      <c r="AN17" s="1306">
        <f t="shared" si="7"/>
        <v>36</v>
      </c>
      <c r="AO17" s="1249">
        <f t="shared" si="7"/>
        <v>12</v>
      </c>
      <c r="AP17" s="1249">
        <f t="shared" si="7"/>
        <v>12</v>
      </c>
      <c r="AQ17" s="1249">
        <f t="shared" si="7"/>
        <v>12</v>
      </c>
      <c r="AR17" s="1306">
        <f t="shared" si="7"/>
        <v>36</v>
      </c>
      <c r="AS17" s="1249">
        <f t="shared" si="7"/>
        <v>1</v>
      </c>
      <c r="AT17" s="1249">
        <f t="shared" si="7"/>
        <v>14</v>
      </c>
      <c r="AU17" s="1249">
        <f t="shared" si="7"/>
        <v>3</v>
      </c>
      <c r="AV17" s="1306">
        <f t="shared" si="7"/>
        <v>18</v>
      </c>
      <c r="AW17" s="1249">
        <f t="shared" si="7"/>
        <v>6</v>
      </c>
      <c r="AX17" s="1249">
        <f t="shared" si="7"/>
        <v>10</v>
      </c>
      <c r="AY17" s="1249">
        <f t="shared" si="7"/>
        <v>9</v>
      </c>
      <c r="AZ17" s="1306">
        <f t="shared" si="7"/>
        <v>25</v>
      </c>
      <c r="BA17" s="1249">
        <f t="shared" si="7"/>
        <v>15</v>
      </c>
      <c r="BB17" s="1249">
        <f t="shared" si="7"/>
        <v>18</v>
      </c>
      <c r="BC17" s="1249">
        <f t="shared" si="7"/>
        <v>9</v>
      </c>
      <c r="BD17" s="1306">
        <f t="shared" si="7"/>
        <v>42</v>
      </c>
      <c r="BE17" s="1249">
        <f t="shared" si="7"/>
        <v>15</v>
      </c>
      <c r="BF17" s="1249">
        <f t="shared" si="7"/>
        <v>13</v>
      </c>
      <c r="BG17" s="1249">
        <f t="shared" si="7"/>
        <v>17</v>
      </c>
      <c r="BH17" s="1306">
        <f t="shared" si="7"/>
        <v>45</v>
      </c>
      <c r="BI17" s="1249">
        <f t="shared" ref="BI17:BP17" si="8">SUM(BI5:BI13)</f>
        <v>9</v>
      </c>
      <c r="BJ17" s="1249">
        <f t="shared" si="8"/>
        <v>13</v>
      </c>
      <c r="BK17" s="1249">
        <f t="shared" si="8"/>
        <v>14</v>
      </c>
      <c r="BL17" s="1306">
        <f t="shared" si="8"/>
        <v>36</v>
      </c>
      <c r="BM17" s="1249">
        <f t="shared" si="8"/>
        <v>11</v>
      </c>
      <c r="BN17" s="1249">
        <f t="shared" si="8"/>
        <v>15</v>
      </c>
      <c r="BO17" s="1249">
        <f t="shared" si="8"/>
        <v>17</v>
      </c>
      <c r="BP17" s="1306">
        <f t="shared" si="8"/>
        <v>43</v>
      </c>
      <c r="BQ17" s="1249">
        <f t="shared" ref="BQ17:BX17" si="9">SUM(BQ5:BQ13)</f>
        <v>16</v>
      </c>
      <c r="BR17" s="1249">
        <f t="shared" si="9"/>
        <v>14</v>
      </c>
      <c r="BS17" s="1249">
        <f t="shared" si="9"/>
        <v>8</v>
      </c>
      <c r="BT17" s="1306">
        <f t="shared" si="9"/>
        <v>38</v>
      </c>
      <c r="BU17" s="1249">
        <f t="shared" si="9"/>
        <v>21</v>
      </c>
      <c r="BV17" s="1249">
        <f t="shared" si="9"/>
        <v>23</v>
      </c>
      <c r="BW17" s="1249">
        <f t="shared" si="9"/>
        <v>14</v>
      </c>
      <c r="BX17" s="1306">
        <f t="shared" si="9"/>
        <v>58</v>
      </c>
      <c r="BY17" s="1249">
        <f>SUM(BY5:BY16)</f>
        <v>26</v>
      </c>
      <c r="BZ17" s="1249">
        <f>SUM(BZ5:BZ16)</f>
        <v>27</v>
      </c>
      <c r="CA17" s="1249">
        <f t="shared" ref="CA17:CB17" si="10">SUM(CA5:CA16)</f>
        <v>22</v>
      </c>
      <c r="CB17" s="1306">
        <f t="shared" si="10"/>
        <v>75</v>
      </c>
    </row>
    <row r="18" spans="1:80" ht="15" customHeight="1" x14ac:dyDescent="0.2">
      <c r="A18" s="6446"/>
      <c r="B18" s="6448" t="s">
        <v>6</v>
      </c>
      <c r="C18" s="6451" t="s">
        <v>522</v>
      </c>
      <c r="D18" s="1250" t="s">
        <v>138</v>
      </c>
      <c r="E18" s="1251"/>
      <c r="F18" s="1252"/>
      <c r="G18" s="1252">
        <v>2</v>
      </c>
      <c r="H18" s="1232">
        <f>SUM(E18:G18)</f>
        <v>2</v>
      </c>
      <c r="I18" s="1251"/>
      <c r="J18" s="1252">
        <v>1</v>
      </c>
      <c r="K18" s="1252">
        <v>3</v>
      </c>
      <c r="L18" s="1232">
        <f>SUM(I18:K18)</f>
        <v>4</v>
      </c>
      <c r="M18" s="1251"/>
      <c r="N18" s="1252">
        <v>8</v>
      </c>
      <c r="O18" s="1252">
        <v>1</v>
      </c>
      <c r="P18" s="1232">
        <f>SUM(M18:O18)</f>
        <v>9</v>
      </c>
      <c r="Q18" s="1251">
        <v>1</v>
      </c>
      <c r="R18" s="1252">
        <v>54</v>
      </c>
      <c r="S18" s="1252">
        <v>10</v>
      </c>
      <c r="T18" s="1232">
        <f>SUM(Q18:S18)</f>
        <v>65</v>
      </c>
      <c r="U18" s="1251"/>
      <c r="V18" s="1252">
        <v>8</v>
      </c>
      <c r="W18" s="1252"/>
      <c r="X18" s="1232">
        <f>SUM(U18:W18)</f>
        <v>8</v>
      </c>
      <c r="Y18" s="1251"/>
      <c r="Z18" s="1252">
        <v>8</v>
      </c>
      <c r="AA18" s="1252">
        <v>5</v>
      </c>
      <c r="AB18" s="1232">
        <f>SUM(Y18:AA18)</f>
        <v>13</v>
      </c>
      <c r="AC18" s="1251">
        <v>6</v>
      </c>
      <c r="AD18" s="1252">
        <v>14</v>
      </c>
      <c r="AE18" s="1252"/>
      <c r="AF18" s="1235">
        <f>SUM(AC18:AE18)</f>
        <v>20</v>
      </c>
      <c r="AG18" s="1252"/>
      <c r="AH18" s="1252">
        <v>16</v>
      </c>
      <c r="AI18" s="1252">
        <v>2</v>
      </c>
      <c r="AJ18" s="1235">
        <f>SUM(AG18:AI18)</f>
        <v>18</v>
      </c>
      <c r="AK18" s="1252">
        <v>1</v>
      </c>
      <c r="AL18" s="1252">
        <v>3</v>
      </c>
      <c r="AM18" s="1252">
        <v>9</v>
      </c>
      <c r="AN18" s="1235">
        <f>SUM(AK18:AM18)</f>
        <v>13</v>
      </c>
      <c r="AO18" s="1252"/>
      <c r="AP18" s="1252">
        <v>5</v>
      </c>
      <c r="AQ18" s="1252"/>
      <c r="AR18" s="1235">
        <f t="shared" si="1"/>
        <v>5</v>
      </c>
      <c r="AS18" s="1252">
        <v>1</v>
      </c>
      <c r="AT18" s="1252">
        <v>8</v>
      </c>
      <c r="AU18" s="1252"/>
      <c r="AV18" s="1235">
        <f t="shared" si="2"/>
        <v>9</v>
      </c>
      <c r="AW18" s="1252"/>
      <c r="AX18" s="1252">
        <v>7</v>
      </c>
      <c r="AY18" s="1252"/>
      <c r="AZ18" s="1235">
        <f t="shared" ref="AZ18:AZ26" si="11">SUM(AW18:AY18)</f>
        <v>7</v>
      </c>
      <c r="BA18" s="1252">
        <v>1</v>
      </c>
      <c r="BB18" s="1252">
        <v>10</v>
      </c>
      <c r="BC18" s="1252">
        <v>1</v>
      </c>
      <c r="BD18" s="1235">
        <f t="shared" ref="BD18:BD26" si="12">SUM(BA18:BC18)</f>
        <v>12</v>
      </c>
      <c r="BE18" s="1251"/>
      <c r="BF18" s="1252">
        <v>15</v>
      </c>
      <c r="BG18" s="1252"/>
      <c r="BH18" s="1235">
        <f>SUM(BE18:BG18)</f>
        <v>15</v>
      </c>
      <c r="BI18" s="1251"/>
      <c r="BJ18" s="1252">
        <v>9</v>
      </c>
      <c r="BK18" s="1252">
        <v>2</v>
      </c>
      <c r="BL18" s="1235">
        <f>SUM(BI18:BK18)</f>
        <v>11</v>
      </c>
      <c r="BM18" s="1251"/>
      <c r="BN18" s="1252">
        <v>16</v>
      </c>
      <c r="BO18" s="1252">
        <v>1</v>
      </c>
      <c r="BP18" s="1240">
        <f>SUM(BM18:BO18)</f>
        <v>17</v>
      </c>
      <c r="BQ18" s="1251">
        <v>1</v>
      </c>
      <c r="BR18" s="1252">
        <v>11</v>
      </c>
      <c r="BS18" s="1252">
        <v>3</v>
      </c>
      <c r="BT18" s="1240">
        <f>SUM(BQ18:BS18)</f>
        <v>15</v>
      </c>
      <c r="BU18" s="1251"/>
      <c r="BV18" s="1252">
        <v>16</v>
      </c>
      <c r="BW18" s="1252">
        <v>4</v>
      </c>
      <c r="BX18" s="1240">
        <f>SUM(BU18:BW18)</f>
        <v>20</v>
      </c>
      <c r="BY18" s="1251"/>
      <c r="BZ18" s="1252">
        <v>20</v>
      </c>
      <c r="CA18" s="1252"/>
      <c r="CB18" s="1240">
        <f>SUM(BY18:CA18)</f>
        <v>20</v>
      </c>
    </row>
    <row r="19" spans="1:80" ht="15" customHeight="1" x14ac:dyDescent="0.2">
      <c r="A19" s="6446"/>
      <c r="B19" s="6449"/>
      <c r="C19" s="6444"/>
      <c r="D19" s="1253" t="s">
        <v>358</v>
      </c>
      <c r="E19" s="1237"/>
      <c r="F19" s="1238"/>
      <c r="G19" s="1238"/>
      <c r="H19" s="1239"/>
      <c r="I19" s="1237"/>
      <c r="J19" s="1238"/>
      <c r="K19" s="1238"/>
      <c r="L19" s="1239"/>
      <c r="M19" s="1237"/>
      <c r="N19" s="1238"/>
      <c r="O19" s="1238"/>
      <c r="P19" s="1239"/>
      <c r="Q19" s="1237"/>
      <c r="R19" s="1238"/>
      <c r="S19" s="1238"/>
      <c r="T19" s="1239"/>
      <c r="U19" s="1237"/>
      <c r="V19" s="1238"/>
      <c r="W19" s="1238"/>
      <c r="X19" s="1239"/>
      <c r="Y19" s="1237"/>
      <c r="Z19" s="1238"/>
      <c r="AA19" s="1238"/>
      <c r="AB19" s="1239"/>
      <c r="AC19" s="1237"/>
      <c r="AD19" s="1238">
        <v>8</v>
      </c>
      <c r="AE19" s="1238"/>
      <c r="AF19" s="1240">
        <f>SUM(AC19:AE19)</f>
        <v>8</v>
      </c>
      <c r="AG19" s="1238"/>
      <c r="AH19" s="1238">
        <v>5</v>
      </c>
      <c r="AI19" s="1238"/>
      <c r="AJ19" s="1240">
        <f>SUM(AG19:AI19)</f>
        <v>5</v>
      </c>
      <c r="AK19" s="1238"/>
      <c r="AL19" s="1238">
        <v>14</v>
      </c>
      <c r="AM19" s="1238"/>
      <c r="AN19" s="1240">
        <f>SUM(AK19:AM19)</f>
        <v>14</v>
      </c>
      <c r="AO19" s="1238"/>
      <c r="AP19" s="1238"/>
      <c r="AQ19" s="1238"/>
      <c r="AR19" s="1240">
        <f t="shared" si="1"/>
        <v>0</v>
      </c>
      <c r="AS19" s="1238"/>
      <c r="AT19" s="1238">
        <v>1</v>
      </c>
      <c r="AU19" s="1238"/>
      <c r="AV19" s="1240">
        <f t="shared" si="2"/>
        <v>1</v>
      </c>
      <c r="AW19" s="1238"/>
      <c r="AX19" s="1238"/>
      <c r="AY19" s="1238"/>
      <c r="AZ19" s="1240">
        <f t="shared" si="11"/>
        <v>0</v>
      </c>
      <c r="BA19" s="1238"/>
      <c r="BB19" s="1238">
        <v>7</v>
      </c>
      <c r="BC19" s="1238"/>
      <c r="BD19" s="1240">
        <f t="shared" si="12"/>
        <v>7</v>
      </c>
      <c r="BE19" s="1237"/>
      <c r="BF19" s="1238">
        <v>9</v>
      </c>
      <c r="BG19" s="1238"/>
      <c r="BH19" s="1240">
        <f t="shared" ref="BH19:BH30" si="13">SUM(BE19:BG19)</f>
        <v>9</v>
      </c>
      <c r="BI19" s="1237"/>
      <c r="BJ19" s="1238"/>
      <c r="BK19" s="1238"/>
      <c r="BL19" s="1240"/>
      <c r="BM19" s="1237"/>
      <c r="BN19" s="1238"/>
      <c r="BO19" s="1238">
        <v>5</v>
      </c>
      <c r="BP19" s="1240">
        <f>SUM(BM19:BO19)</f>
        <v>5</v>
      </c>
      <c r="BQ19" s="1237"/>
      <c r="BR19" s="1238"/>
      <c r="BS19" s="1238"/>
      <c r="BT19" s="1240">
        <f>SUM(BQ19:BS19)</f>
        <v>0</v>
      </c>
      <c r="BU19" s="1237"/>
      <c r="BV19" s="1238">
        <v>5</v>
      </c>
      <c r="BW19" s="1238"/>
      <c r="BX19" s="1240">
        <f>SUM(BU19:BW19)</f>
        <v>5</v>
      </c>
      <c r="BY19" s="1237"/>
      <c r="BZ19" s="1238"/>
      <c r="CA19" s="1238"/>
      <c r="CB19" s="1240">
        <f>SUM(BY19:CA19)</f>
        <v>0</v>
      </c>
    </row>
    <row r="20" spans="1:80" ht="15" customHeight="1" x14ac:dyDescent="0.2">
      <c r="A20" s="6446"/>
      <c r="B20" s="6449"/>
      <c r="C20" s="6452"/>
      <c r="D20" s="1253" t="s">
        <v>533</v>
      </c>
      <c r="E20" s="1237"/>
      <c r="F20" s="1238"/>
      <c r="G20" s="1238"/>
      <c r="H20" s="1239"/>
      <c r="I20" s="1237"/>
      <c r="J20" s="1238"/>
      <c r="K20" s="1238"/>
      <c r="L20" s="1239"/>
      <c r="M20" s="1237"/>
      <c r="N20" s="1238"/>
      <c r="O20" s="1238"/>
      <c r="P20" s="1239"/>
      <c r="Q20" s="1237"/>
      <c r="R20" s="1238"/>
      <c r="S20" s="1238"/>
      <c r="T20" s="1239"/>
      <c r="U20" s="1237"/>
      <c r="V20" s="1238"/>
      <c r="W20" s="1238"/>
      <c r="X20" s="1239"/>
      <c r="Y20" s="1237"/>
      <c r="Z20" s="1238"/>
      <c r="AA20" s="1238"/>
      <c r="AB20" s="1239"/>
      <c r="AC20" s="1237"/>
      <c r="AD20" s="1238"/>
      <c r="AE20" s="1238"/>
      <c r="AF20" s="1240"/>
      <c r="AG20" s="1238"/>
      <c r="AH20" s="1238"/>
      <c r="AI20" s="1238"/>
      <c r="AJ20" s="1240"/>
      <c r="AK20" s="1238"/>
      <c r="AL20" s="1238"/>
      <c r="AM20" s="1238"/>
      <c r="AN20" s="1240"/>
      <c r="AO20" s="1238"/>
      <c r="AP20" s="1238"/>
      <c r="AQ20" s="1238"/>
      <c r="AR20" s="1240"/>
      <c r="AS20" s="1238"/>
      <c r="AT20" s="1238"/>
      <c r="AU20" s="1238">
        <v>1</v>
      </c>
      <c r="AV20" s="1240">
        <f t="shared" si="2"/>
        <v>1</v>
      </c>
      <c r="AW20" s="1238"/>
      <c r="AX20" s="1238"/>
      <c r="AY20" s="1238"/>
      <c r="AZ20" s="1240">
        <f t="shared" si="11"/>
        <v>0</v>
      </c>
      <c r="BA20" s="1238"/>
      <c r="BB20" s="1238"/>
      <c r="BC20" s="1238"/>
      <c r="BD20" s="1240">
        <f t="shared" si="12"/>
        <v>0</v>
      </c>
      <c r="BE20" s="1237"/>
      <c r="BF20" s="1238"/>
      <c r="BG20" s="1238"/>
      <c r="BH20" s="1240">
        <f t="shared" si="13"/>
        <v>0</v>
      </c>
      <c r="BI20" s="1237"/>
      <c r="BJ20" s="1238"/>
      <c r="BK20" s="1238"/>
      <c r="BL20" s="1240"/>
      <c r="BM20" s="1237"/>
      <c r="BN20" s="1238"/>
      <c r="BO20" s="1238"/>
      <c r="BP20" s="1240">
        <f>SUM(BM20:BO20)</f>
        <v>0</v>
      </c>
      <c r="BQ20" s="1237"/>
      <c r="BR20" s="1238"/>
      <c r="BS20" s="1238"/>
      <c r="BT20" s="1240">
        <f>SUM(BQ20:BS20)</f>
        <v>0</v>
      </c>
      <c r="BU20" s="1237"/>
      <c r="BV20" s="1238"/>
      <c r="BW20" s="1238"/>
      <c r="BX20" s="1240">
        <f>SUM(BU20:BW20)</f>
        <v>0</v>
      </c>
      <c r="BY20" s="1237"/>
      <c r="BZ20" s="1238"/>
      <c r="CA20" s="1238"/>
      <c r="CB20" s="1240">
        <f>SUM(BY20:CA20)</f>
        <v>0</v>
      </c>
    </row>
    <row r="21" spans="1:80" ht="15" customHeight="1" x14ac:dyDescent="0.2">
      <c r="A21" s="6446"/>
      <c r="B21" s="6449"/>
      <c r="C21" s="6456" t="s">
        <v>521</v>
      </c>
      <c r="D21" s="1253" t="s">
        <v>533</v>
      </c>
      <c r="E21" s="1237"/>
      <c r="F21" s="1238"/>
      <c r="G21" s="1238"/>
      <c r="H21" s="1239"/>
      <c r="I21" s="1237"/>
      <c r="J21" s="1238"/>
      <c r="K21" s="1238"/>
      <c r="L21" s="1239"/>
      <c r="M21" s="1237"/>
      <c r="N21" s="1238"/>
      <c r="O21" s="1238"/>
      <c r="P21" s="1239"/>
      <c r="Q21" s="1237"/>
      <c r="R21" s="1238"/>
      <c r="S21" s="1238"/>
      <c r="T21" s="1239"/>
      <c r="U21" s="1237"/>
      <c r="V21" s="1238"/>
      <c r="W21" s="1238"/>
      <c r="X21" s="1239"/>
      <c r="Y21" s="1237"/>
      <c r="Z21" s="1238"/>
      <c r="AA21" s="1238"/>
      <c r="AB21" s="1239"/>
      <c r="AC21" s="1237"/>
      <c r="AD21" s="1238"/>
      <c r="AE21" s="1238"/>
      <c r="AF21" s="1240"/>
      <c r="AG21" s="1238"/>
      <c r="AH21" s="1238"/>
      <c r="AI21" s="1238"/>
      <c r="AJ21" s="1240"/>
      <c r="AK21" s="1238"/>
      <c r="AL21" s="1238"/>
      <c r="AM21" s="1238"/>
      <c r="AN21" s="1240"/>
      <c r="AO21" s="1238"/>
      <c r="AP21" s="1238"/>
      <c r="AQ21" s="1238"/>
      <c r="AR21" s="1240"/>
      <c r="AS21" s="1238"/>
      <c r="AT21" s="1238"/>
      <c r="AU21" s="1238"/>
      <c r="AV21" s="1240"/>
      <c r="AW21" s="1238"/>
      <c r="AX21" s="1238">
        <v>1</v>
      </c>
      <c r="AY21" s="1238">
        <v>2</v>
      </c>
      <c r="AZ21" s="1240">
        <f t="shared" si="11"/>
        <v>3</v>
      </c>
      <c r="BA21" s="1238">
        <v>1</v>
      </c>
      <c r="BB21" s="1238">
        <v>1</v>
      </c>
      <c r="BC21" s="1238">
        <v>2</v>
      </c>
      <c r="BD21" s="1240">
        <f t="shared" si="12"/>
        <v>4</v>
      </c>
      <c r="BE21" s="1237">
        <v>3</v>
      </c>
      <c r="BF21" s="1238"/>
      <c r="BG21" s="1238"/>
      <c r="BH21" s="1240">
        <f t="shared" si="13"/>
        <v>3</v>
      </c>
      <c r="BI21" s="1237">
        <v>1</v>
      </c>
      <c r="BJ21" s="1238"/>
      <c r="BK21" s="1238"/>
      <c r="BL21" s="1240">
        <f>SUM(BI21:BK21)</f>
        <v>1</v>
      </c>
      <c r="BM21" s="1237">
        <v>1</v>
      </c>
      <c r="BN21" s="1238">
        <v>1</v>
      </c>
      <c r="BO21" s="1238">
        <v>1</v>
      </c>
      <c r="BP21" s="1240">
        <f t="shared" ref="BP21:BP30" si="14">SUM(BM21:BO21)</f>
        <v>3</v>
      </c>
      <c r="BQ21" s="1237"/>
      <c r="BR21" s="1238">
        <v>1</v>
      </c>
      <c r="BS21" s="1238"/>
      <c r="BT21" s="1240">
        <f t="shared" ref="BT21:BT30" si="15">SUM(BQ21:BS21)</f>
        <v>1</v>
      </c>
      <c r="BU21" s="1237">
        <v>5</v>
      </c>
      <c r="BV21" s="1238"/>
      <c r="BW21" s="1238"/>
      <c r="BX21" s="1240">
        <f t="shared" ref="BX21:BX30" si="16">SUM(BU21:BW21)</f>
        <v>5</v>
      </c>
      <c r="BY21" s="1237"/>
      <c r="BZ21" s="1238">
        <v>5</v>
      </c>
      <c r="CA21" s="1238"/>
      <c r="CB21" s="1240">
        <f t="shared" ref="CB21:CB30" si="17">SUM(BY21:CA21)</f>
        <v>5</v>
      </c>
    </row>
    <row r="22" spans="1:80" ht="15" customHeight="1" x14ac:dyDescent="0.2">
      <c r="A22" s="6446"/>
      <c r="B22" s="6449"/>
      <c r="C22" s="6456"/>
      <c r="D22" s="1253" t="s">
        <v>366</v>
      </c>
      <c r="E22" s="1237"/>
      <c r="F22" s="1238"/>
      <c r="G22" s="1238"/>
      <c r="H22" s="1239"/>
      <c r="I22" s="1237"/>
      <c r="J22" s="1238"/>
      <c r="K22" s="1238">
        <v>1</v>
      </c>
      <c r="L22" s="1239">
        <f>SUM(K22)</f>
        <v>1</v>
      </c>
      <c r="M22" s="1237">
        <v>1</v>
      </c>
      <c r="N22" s="1238">
        <v>1</v>
      </c>
      <c r="O22" s="1238">
        <v>4</v>
      </c>
      <c r="P22" s="1239">
        <f>SUM(M22:O22)</f>
        <v>6</v>
      </c>
      <c r="Q22" s="1237">
        <v>1</v>
      </c>
      <c r="R22" s="1238">
        <v>2</v>
      </c>
      <c r="S22" s="1238">
        <v>2</v>
      </c>
      <c r="T22" s="1239">
        <f>SUM(Q22:S22)</f>
        <v>5</v>
      </c>
      <c r="U22" s="1237">
        <v>3</v>
      </c>
      <c r="V22" s="1238">
        <v>2</v>
      </c>
      <c r="W22" s="1238"/>
      <c r="X22" s="1239">
        <f>SUM(U22:W22)</f>
        <v>5</v>
      </c>
      <c r="Y22" s="1237"/>
      <c r="Z22" s="1238">
        <v>1</v>
      </c>
      <c r="AA22" s="1238">
        <v>1</v>
      </c>
      <c r="AB22" s="1239">
        <f>SUM(Y22:AA22)</f>
        <v>2</v>
      </c>
      <c r="AC22" s="1237">
        <v>2</v>
      </c>
      <c r="AD22" s="1238"/>
      <c r="AE22" s="1238"/>
      <c r="AF22" s="1240">
        <f>SUM(AC22:AE22)</f>
        <v>2</v>
      </c>
      <c r="AG22" s="1238">
        <v>1</v>
      </c>
      <c r="AH22" s="1238">
        <v>1</v>
      </c>
      <c r="AI22" s="1238">
        <v>4</v>
      </c>
      <c r="AJ22" s="1240">
        <f>SUM(AG22:AI22)</f>
        <v>6</v>
      </c>
      <c r="AK22" s="1238">
        <v>6</v>
      </c>
      <c r="AL22" s="1238"/>
      <c r="AM22" s="1238"/>
      <c r="AN22" s="1240">
        <f>SUM(AK22:AM22)</f>
        <v>6</v>
      </c>
      <c r="AO22" s="1238"/>
      <c r="AP22" s="1238">
        <v>7</v>
      </c>
      <c r="AQ22" s="1238"/>
      <c r="AR22" s="1240">
        <f>SUM(AO22:AQ22)</f>
        <v>7</v>
      </c>
      <c r="AS22" s="1238">
        <v>2</v>
      </c>
      <c r="AT22" s="1238"/>
      <c r="AU22" s="1238"/>
      <c r="AV22" s="1240">
        <f>SUM(AS22:AU22)</f>
        <v>2</v>
      </c>
      <c r="AW22" s="1238"/>
      <c r="AX22" s="1238">
        <v>2</v>
      </c>
      <c r="AY22" s="1238"/>
      <c r="AZ22" s="1240">
        <f t="shared" si="11"/>
        <v>2</v>
      </c>
      <c r="BA22" s="1238">
        <v>1</v>
      </c>
      <c r="BB22" s="1238">
        <v>2</v>
      </c>
      <c r="BC22" s="1238"/>
      <c r="BD22" s="1240">
        <f t="shared" si="12"/>
        <v>3</v>
      </c>
      <c r="BE22" s="1237"/>
      <c r="BF22" s="1238"/>
      <c r="BG22" s="1238">
        <v>1</v>
      </c>
      <c r="BH22" s="1240">
        <f>SUM(BE22:BG22)</f>
        <v>1</v>
      </c>
      <c r="BI22" s="1237"/>
      <c r="BJ22" s="1238"/>
      <c r="BK22" s="1238"/>
      <c r="BL22" s="1240"/>
      <c r="BM22" s="1237"/>
      <c r="BN22" s="1238"/>
      <c r="BO22" s="1238"/>
      <c r="BP22" s="1240">
        <f t="shared" si="14"/>
        <v>0</v>
      </c>
      <c r="BQ22" s="1237"/>
      <c r="BR22" s="1238"/>
      <c r="BS22" s="1238"/>
      <c r="BT22" s="1240">
        <f t="shared" si="15"/>
        <v>0</v>
      </c>
      <c r="BU22" s="1237"/>
      <c r="BV22" s="1238"/>
      <c r="BW22" s="1238"/>
      <c r="BX22" s="1240">
        <f t="shared" si="16"/>
        <v>0</v>
      </c>
      <c r="BY22" s="1237"/>
      <c r="BZ22" s="1238"/>
      <c r="CA22" s="1238"/>
      <c r="CB22" s="1240">
        <f t="shared" si="17"/>
        <v>0</v>
      </c>
    </row>
    <row r="23" spans="1:80" ht="15" customHeight="1" x14ac:dyDescent="0.2">
      <c r="A23" s="6446"/>
      <c r="B23" s="6449"/>
      <c r="C23" s="6456"/>
      <c r="D23" s="1254" t="s">
        <v>139</v>
      </c>
      <c r="E23" s="1237"/>
      <c r="F23" s="1238"/>
      <c r="G23" s="1238"/>
      <c r="H23" s="1239"/>
      <c r="I23" s="1237"/>
      <c r="J23" s="1238"/>
      <c r="K23" s="1238"/>
      <c r="L23" s="1239"/>
      <c r="M23" s="1237"/>
      <c r="N23" s="1238"/>
      <c r="O23" s="1238"/>
      <c r="P23" s="1239"/>
      <c r="Q23" s="1237"/>
      <c r="R23" s="1238"/>
      <c r="S23" s="1238"/>
      <c r="T23" s="1239"/>
      <c r="U23" s="1237"/>
      <c r="V23" s="1238"/>
      <c r="W23" s="1238"/>
      <c r="X23" s="1239"/>
      <c r="Y23" s="1237"/>
      <c r="Z23" s="1238"/>
      <c r="AA23" s="1238"/>
      <c r="AB23" s="1239"/>
      <c r="AC23" s="1237"/>
      <c r="AD23" s="1238"/>
      <c r="AE23" s="1238"/>
      <c r="AF23" s="1240"/>
      <c r="AG23" s="1238"/>
      <c r="AH23" s="1238"/>
      <c r="AI23" s="1238">
        <v>5</v>
      </c>
      <c r="AJ23" s="1240">
        <f>SUM(AG23:AI23)</f>
        <v>5</v>
      </c>
      <c r="AK23" s="1238">
        <v>1</v>
      </c>
      <c r="AL23" s="1238"/>
      <c r="AM23" s="1238"/>
      <c r="AN23" s="1240">
        <f>SUM(AK23:AM23)</f>
        <v>1</v>
      </c>
      <c r="AO23" s="1238"/>
      <c r="AP23" s="1238"/>
      <c r="AQ23" s="1238">
        <v>1</v>
      </c>
      <c r="AR23" s="1240">
        <f>SUM(AO23:AQ23)</f>
        <v>1</v>
      </c>
      <c r="AS23" s="1238"/>
      <c r="AT23" s="1238"/>
      <c r="AU23" s="1238"/>
      <c r="AV23" s="1240">
        <f>SUM(AS23:AU23)</f>
        <v>0</v>
      </c>
      <c r="AW23" s="1238"/>
      <c r="AX23" s="1238"/>
      <c r="AY23" s="1238"/>
      <c r="AZ23" s="1240">
        <f t="shared" si="11"/>
        <v>0</v>
      </c>
      <c r="BA23" s="1238"/>
      <c r="BB23" s="1238"/>
      <c r="BC23" s="1238"/>
      <c r="BD23" s="1240">
        <f t="shared" si="12"/>
        <v>0</v>
      </c>
      <c r="BE23" s="1237"/>
      <c r="BF23" s="1238"/>
      <c r="BG23" s="1238"/>
      <c r="BH23" s="1240">
        <f>SUM(BE23:BG23)</f>
        <v>0</v>
      </c>
      <c r="BI23" s="1237"/>
      <c r="BJ23" s="1238"/>
      <c r="BK23" s="1238"/>
      <c r="BL23" s="1240"/>
      <c r="BM23" s="1237">
        <v>3</v>
      </c>
      <c r="BN23" s="1238"/>
      <c r="BO23" s="1238"/>
      <c r="BP23" s="1240">
        <f t="shared" si="14"/>
        <v>3</v>
      </c>
      <c r="BQ23" s="1237"/>
      <c r="BR23" s="1238"/>
      <c r="BS23" s="1238"/>
      <c r="BT23" s="1240">
        <f t="shared" si="15"/>
        <v>0</v>
      </c>
      <c r="BU23" s="1237"/>
      <c r="BV23" s="1238"/>
      <c r="BW23" s="1238"/>
      <c r="BX23" s="1240">
        <f t="shared" si="16"/>
        <v>0</v>
      </c>
      <c r="BY23" s="1237"/>
      <c r="BZ23" s="1238"/>
      <c r="CA23" s="1238"/>
      <c r="CB23" s="1240">
        <f t="shared" si="17"/>
        <v>0</v>
      </c>
    </row>
    <row r="24" spans="1:80" ht="15" customHeight="1" x14ac:dyDescent="0.2">
      <c r="A24" s="6446"/>
      <c r="B24" s="6449"/>
      <c r="C24" s="6456"/>
      <c r="D24" s="1253" t="s">
        <v>367</v>
      </c>
      <c r="E24" s="1237"/>
      <c r="F24" s="1238"/>
      <c r="G24" s="1238"/>
      <c r="H24" s="1239"/>
      <c r="I24" s="1237"/>
      <c r="J24" s="1238"/>
      <c r="K24" s="1238"/>
      <c r="L24" s="1239"/>
      <c r="M24" s="1237"/>
      <c r="N24" s="1238"/>
      <c r="O24" s="1238"/>
      <c r="P24" s="1239"/>
      <c r="Q24" s="1237"/>
      <c r="R24" s="1238"/>
      <c r="S24" s="1238"/>
      <c r="T24" s="1239"/>
      <c r="U24" s="1237"/>
      <c r="V24" s="1238"/>
      <c r="W24" s="1238"/>
      <c r="X24" s="1239"/>
      <c r="Y24" s="1237"/>
      <c r="Z24" s="1238"/>
      <c r="AA24" s="1238"/>
      <c r="AB24" s="1239"/>
      <c r="AC24" s="1237"/>
      <c r="AD24" s="1238"/>
      <c r="AE24" s="1238"/>
      <c r="AF24" s="1240"/>
      <c r="AG24" s="1238"/>
      <c r="AH24" s="1238"/>
      <c r="AI24" s="1238"/>
      <c r="AJ24" s="1240"/>
      <c r="AK24" s="1238"/>
      <c r="AL24" s="1238"/>
      <c r="AM24" s="1238"/>
      <c r="AN24" s="1240"/>
      <c r="AO24" s="1238">
        <v>1</v>
      </c>
      <c r="AP24" s="1238">
        <v>3</v>
      </c>
      <c r="AQ24" s="1238">
        <v>2</v>
      </c>
      <c r="AR24" s="1240">
        <f>SUM(AO24:AQ24)</f>
        <v>6</v>
      </c>
      <c r="AS24" s="1238">
        <v>1</v>
      </c>
      <c r="AT24" s="1238">
        <v>3</v>
      </c>
      <c r="AU24" s="1238">
        <v>3</v>
      </c>
      <c r="AV24" s="1240">
        <f>SUM(AS24:AU24)</f>
        <v>7</v>
      </c>
      <c r="AW24" s="1238">
        <v>5</v>
      </c>
      <c r="AX24" s="1238">
        <v>5</v>
      </c>
      <c r="AY24" s="1238">
        <v>2</v>
      </c>
      <c r="AZ24" s="1240">
        <f t="shared" si="11"/>
        <v>12</v>
      </c>
      <c r="BA24" s="1238">
        <v>2</v>
      </c>
      <c r="BB24" s="1238"/>
      <c r="BC24" s="1238">
        <v>4</v>
      </c>
      <c r="BD24" s="1240">
        <f t="shared" si="12"/>
        <v>6</v>
      </c>
      <c r="BE24" s="1237">
        <v>7</v>
      </c>
      <c r="BF24" s="1238">
        <v>2</v>
      </c>
      <c r="BG24" s="1238">
        <v>1</v>
      </c>
      <c r="BH24" s="1240">
        <f>SUM(BE24:BG24)</f>
        <v>10</v>
      </c>
      <c r="BI24" s="1237"/>
      <c r="BJ24" s="1238"/>
      <c r="BK24" s="1238"/>
      <c r="BL24" s="1240"/>
      <c r="BM24" s="1237"/>
      <c r="BN24" s="1238">
        <v>5</v>
      </c>
      <c r="BO24" s="1238">
        <v>2</v>
      </c>
      <c r="BP24" s="1240">
        <f t="shared" si="14"/>
        <v>7</v>
      </c>
      <c r="BQ24" s="1237">
        <v>1</v>
      </c>
      <c r="BR24" s="1238"/>
      <c r="BS24" s="1238">
        <v>2</v>
      </c>
      <c r="BT24" s="1240">
        <f t="shared" si="15"/>
        <v>3</v>
      </c>
      <c r="BU24" s="1237">
        <v>9</v>
      </c>
      <c r="BV24" s="1238">
        <v>5</v>
      </c>
      <c r="BW24" s="1238">
        <v>1</v>
      </c>
      <c r="BX24" s="1240">
        <f t="shared" si="16"/>
        <v>15</v>
      </c>
      <c r="BY24" s="1237"/>
      <c r="BZ24" s="1238">
        <v>1</v>
      </c>
      <c r="CA24" s="1238">
        <v>1</v>
      </c>
      <c r="CB24" s="1240">
        <f t="shared" si="17"/>
        <v>2</v>
      </c>
    </row>
    <row r="25" spans="1:80" ht="15" customHeight="1" x14ac:dyDescent="0.2">
      <c r="A25" s="6446"/>
      <c r="B25" s="6449"/>
      <c r="C25" s="6456"/>
      <c r="D25" s="1253" t="s">
        <v>141</v>
      </c>
      <c r="E25" s="1237"/>
      <c r="F25" s="1238">
        <v>5</v>
      </c>
      <c r="G25" s="1238">
        <v>1</v>
      </c>
      <c r="H25" s="1239">
        <f>SUM(F25:G25)</f>
        <v>6</v>
      </c>
      <c r="I25" s="1237"/>
      <c r="J25" s="1238"/>
      <c r="K25" s="1238">
        <v>3</v>
      </c>
      <c r="L25" s="1239">
        <f>SUM(K25)</f>
        <v>3</v>
      </c>
      <c r="M25" s="1237"/>
      <c r="N25" s="1238">
        <v>2</v>
      </c>
      <c r="O25" s="1238">
        <v>1</v>
      </c>
      <c r="P25" s="1239">
        <f>SUM(M25:O25)</f>
        <v>3</v>
      </c>
      <c r="Q25" s="1237">
        <v>1</v>
      </c>
      <c r="R25" s="1238">
        <v>34</v>
      </c>
      <c r="S25" s="1238"/>
      <c r="T25" s="1239">
        <f>SUM(Q25:S25)</f>
        <v>35</v>
      </c>
      <c r="U25" s="1237">
        <v>7</v>
      </c>
      <c r="V25" s="1238">
        <v>1</v>
      </c>
      <c r="W25" s="1238">
        <v>1</v>
      </c>
      <c r="X25" s="1239">
        <f>SUM(U25:W25)</f>
        <v>9</v>
      </c>
      <c r="Y25" s="1237">
        <v>5</v>
      </c>
      <c r="Z25" s="1238">
        <v>1</v>
      </c>
      <c r="AA25" s="1238"/>
      <c r="AB25" s="1239">
        <f>SUM(Y25:AA25)</f>
        <v>6</v>
      </c>
      <c r="AC25" s="1237">
        <v>2</v>
      </c>
      <c r="AD25" s="1238">
        <v>1</v>
      </c>
      <c r="AE25" s="1238">
        <v>1</v>
      </c>
      <c r="AF25" s="1240">
        <f>SUM(AC25:AE25)</f>
        <v>4</v>
      </c>
      <c r="AG25" s="1238">
        <v>2</v>
      </c>
      <c r="AH25" s="1238">
        <v>1</v>
      </c>
      <c r="AI25" s="1238">
        <v>2</v>
      </c>
      <c r="AJ25" s="1240">
        <f>SUM(AG25:AI25)</f>
        <v>5</v>
      </c>
      <c r="AK25" s="1238">
        <v>1</v>
      </c>
      <c r="AL25" s="1238">
        <v>4</v>
      </c>
      <c r="AM25" s="1238"/>
      <c r="AN25" s="1240">
        <f>SUM(AK25:AM25)</f>
        <v>5</v>
      </c>
      <c r="AO25" s="1238"/>
      <c r="AP25" s="1238">
        <v>1</v>
      </c>
      <c r="AQ25" s="1238"/>
      <c r="AR25" s="1240">
        <f>SUM(AO25:AQ25)</f>
        <v>1</v>
      </c>
      <c r="AS25" s="1238">
        <v>3</v>
      </c>
      <c r="AT25" s="1238">
        <v>6</v>
      </c>
      <c r="AU25" s="1238"/>
      <c r="AV25" s="1240">
        <f>SUM(AS25:AU25)</f>
        <v>9</v>
      </c>
      <c r="AW25" s="1238">
        <v>1</v>
      </c>
      <c r="AX25" s="1238">
        <v>4</v>
      </c>
      <c r="AY25" s="1238"/>
      <c r="AZ25" s="1240">
        <f t="shared" si="11"/>
        <v>5</v>
      </c>
      <c r="BA25" s="1238"/>
      <c r="BB25" s="1238">
        <v>3</v>
      </c>
      <c r="BC25" s="1238"/>
      <c r="BD25" s="1240">
        <f t="shared" si="12"/>
        <v>3</v>
      </c>
      <c r="BE25" s="1237"/>
      <c r="BF25" s="1238">
        <v>1</v>
      </c>
      <c r="BG25" s="1238">
        <v>1</v>
      </c>
      <c r="BH25" s="1240">
        <f>SUM(BE25:BG25)</f>
        <v>2</v>
      </c>
      <c r="BI25" s="1237">
        <v>1</v>
      </c>
      <c r="BJ25" s="1238">
        <v>3</v>
      </c>
      <c r="BK25" s="1238"/>
      <c r="BL25" s="1240">
        <f>SUM(BI25:BK25)</f>
        <v>4</v>
      </c>
      <c r="BM25" s="1237">
        <v>1</v>
      </c>
      <c r="BN25" s="1238">
        <v>1</v>
      </c>
      <c r="BO25" s="1238"/>
      <c r="BP25" s="1240">
        <f t="shared" si="14"/>
        <v>2</v>
      </c>
      <c r="BQ25" s="1237">
        <v>6</v>
      </c>
      <c r="BR25" s="1238">
        <v>3</v>
      </c>
      <c r="BS25" s="1238">
        <v>1</v>
      </c>
      <c r="BT25" s="1240">
        <f t="shared" si="15"/>
        <v>10</v>
      </c>
      <c r="BU25" s="1237">
        <v>7</v>
      </c>
      <c r="BV25" s="1238">
        <v>1</v>
      </c>
      <c r="BW25" s="1238">
        <v>1</v>
      </c>
      <c r="BX25" s="1240">
        <f t="shared" si="16"/>
        <v>9</v>
      </c>
      <c r="BY25" s="1237">
        <v>4</v>
      </c>
      <c r="BZ25" s="1238">
        <v>3</v>
      </c>
      <c r="CA25" s="1238">
        <v>1</v>
      </c>
      <c r="CB25" s="1240">
        <f t="shared" si="17"/>
        <v>8</v>
      </c>
    </row>
    <row r="26" spans="1:80" ht="15" customHeight="1" x14ac:dyDescent="0.2">
      <c r="A26" s="6446"/>
      <c r="B26" s="6449"/>
      <c r="C26" s="6456"/>
      <c r="D26" s="1242" t="s">
        <v>140</v>
      </c>
      <c r="E26" s="1243"/>
      <c r="F26" s="1244"/>
      <c r="G26" s="1244">
        <v>1</v>
      </c>
      <c r="H26" s="1245">
        <f>SUM(F26:G26)</f>
        <v>1</v>
      </c>
      <c r="I26" s="1243"/>
      <c r="J26" s="1244"/>
      <c r="K26" s="1244"/>
      <c r="L26" s="1245"/>
      <c r="M26" s="1243"/>
      <c r="N26" s="1244">
        <v>1</v>
      </c>
      <c r="O26" s="1244"/>
      <c r="P26" s="1245">
        <f>SUM(M26:O26)</f>
        <v>1</v>
      </c>
      <c r="Q26" s="1243"/>
      <c r="R26" s="1244">
        <v>33</v>
      </c>
      <c r="S26" s="1244">
        <v>1</v>
      </c>
      <c r="T26" s="1245">
        <f>SUM(Q26:S26)</f>
        <v>34</v>
      </c>
      <c r="U26" s="1243">
        <v>5</v>
      </c>
      <c r="V26" s="1244">
        <v>2</v>
      </c>
      <c r="W26" s="1244">
        <v>5</v>
      </c>
      <c r="X26" s="1245">
        <f>SUM(U26:W26)</f>
        <v>12</v>
      </c>
      <c r="Y26" s="1243">
        <v>5</v>
      </c>
      <c r="Z26" s="1244">
        <v>3</v>
      </c>
      <c r="AA26" s="1244"/>
      <c r="AB26" s="1245">
        <f>SUM(Y26:AA26)</f>
        <v>8</v>
      </c>
      <c r="AC26" s="1243">
        <v>2</v>
      </c>
      <c r="AD26" s="1244">
        <v>1</v>
      </c>
      <c r="AE26" s="1244"/>
      <c r="AF26" s="1246">
        <f>SUM(AC26:AE26)</f>
        <v>3</v>
      </c>
      <c r="AG26" s="1244">
        <v>3</v>
      </c>
      <c r="AH26" s="1244">
        <v>2</v>
      </c>
      <c r="AI26" s="1244">
        <v>2</v>
      </c>
      <c r="AJ26" s="1246">
        <f>SUM(AG26:AI26)</f>
        <v>7</v>
      </c>
      <c r="AK26" s="1244"/>
      <c r="AL26" s="1244"/>
      <c r="AM26" s="1244"/>
      <c r="AN26" s="1246"/>
      <c r="AO26" s="1244">
        <v>2</v>
      </c>
      <c r="AP26" s="1244"/>
      <c r="AQ26" s="1244"/>
      <c r="AR26" s="1246">
        <f>SUM(AO26:AQ26)</f>
        <v>2</v>
      </c>
      <c r="AS26" s="1244"/>
      <c r="AT26" s="1244"/>
      <c r="AU26" s="1244"/>
      <c r="AV26" s="1246">
        <f>SUM(AS26:AU26)</f>
        <v>0</v>
      </c>
      <c r="AW26" s="1244"/>
      <c r="AX26" s="1244"/>
      <c r="AY26" s="1244"/>
      <c r="AZ26" s="1246">
        <f t="shared" si="11"/>
        <v>0</v>
      </c>
      <c r="BA26" s="1244"/>
      <c r="BB26" s="1244">
        <v>10</v>
      </c>
      <c r="BC26" s="1244"/>
      <c r="BD26" s="1246">
        <f t="shared" si="12"/>
        <v>10</v>
      </c>
      <c r="BE26" s="1244"/>
      <c r="BF26" s="1244"/>
      <c r="BG26" s="1244"/>
      <c r="BH26" s="1246">
        <f>SUM(BE26:BG26)</f>
        <v>0</v>
      </c>
      <c r="BI26" s="1244"/>
      <c r="BJ26" s="1244"/>
      <c r="BK26" s="1244">
        <v>15</v>
      </c>
      <c r="BL26" s="1246">
        <f>SUM(BI26:BK26)</f>
        <v>15</v>
      </c>
      <c r="BM26" s="1244">
        <v>4</v>
      </c>
      <c r="BN26" s="1244">
        <v>1</v>
      </c>
      <c r="BO26" s="1244"/>
      <c r="BP26" s="1240">
        <f t="shared" si="14"/>
        <v>5</v>
      </c>
      <c r="BQ26" s="1244"/>
      <c r="BR26" s="1244">
        <v>2</v>
      </c>
      <c r="BS26" s="1244">
        <v>4</v>
      </c>
      <c r="BT26" s="1240">
        <f t="shared" si="15"/>
        <v>6</v>
      </c>
      <c r="BU26" s="1244">
        <v>3</v>
      </c>
      <c r="BV26" s="1244"/>
      <c r="BW26" s="1244">
        <v>1</v>
      </c>
      <c r="BX26" s="1240">
        <f t="shared" si="16"/>
        <v>4</v>
      </c>
      <c r="BY26" s="1244">
        <v>1</v>
      </c>
      <c r="BZ26" s="1244"/>
      <c r="CA26" s="1244">
        <v>1</v>
      </c>
      <c r="CB26" s="1240">
        <f t="shared" si="17"/>
        <v>2</v>
      </c>
    </row>
    <row r="27" spans="1:80" ht="15" customHeight="1" x14ac:dyDescent="0.2">
      <c r="A27" s="6446"/>
      <c r="B27" s="6449"/>
      <c r="C27" s="6456"/>
      <c r="D27" s="1242" t="s">
        <v>438</v>
      </c>
      <c r="E27" s="1243"/>
      <c r="F27" s="1244"/>
      <c r="G27" s="1244"/>
      <c r="H27" s="1245"/>
      <c r="I27" s="1243"/>
      <c r="J27" s="1244"/>
      <c r="K27" s="1244"/>
      <c r="L27" s="1245"/>
      <c r="M27" s="1243"/>
      <c r="N27" s="1244"/>
      <c r="O27" s="1244"/>
      <c r="P27" s="1245"/>
      <c r="Q27" s="1243"/>
      <c r="R27" s="1244"/>
      <c r="S27" s="1244"/>
      <c r="T27" s="1245"/>
      <c r="U27" s="1243"/>
      <c r="V27" s="1244"/>
      <c r="W27" s="1244"/>
      <c r="X27" s="1245"/>
      <c r="Y27" s="1243"/>
      <c r="Z27" s="1244"/>
      <c r="AA27" s="1244"/>
      <c r="AB27" s="1245"/>
      <c r="AC27" s="1243"/>
      <c r="AD27" s="1244"/>
      <c r="AE27" s="1244"/>
      <c r="AF27" s="1246"/>
      <c r="AG27" s="1244"/>
      <c r="AH27" s="1244"/>
      <c r="AI27" s="1244"/>
      <c r="AJ27" s="1246"/>
      <c r="AK27" s="1244"/>
      <c r="AL27" s="1244"/>
      <c r="AM27" s="1244"/>
      <c r="AN27" s="1246"/>
      <c r="AO27" s="1244"/>
      <c r="AP27" s="1244"/>
      <c r="AQ27" s="1244"/>
      <c r="AR27" s="1246"/>
      <c r="AS27" s="1244"/>
      <c r="AT27" s="1244"/>
      <c r="AU27" s="1244"/>
      <c r="AV27" s="1246"/>
      <c r="AW27" s="1244"/>
      <c r="AX27" s="1244"/>
      <c r="AY27" s="1244"/>
      <c r="AZ27" s="1246"/>
      <c r="BA27" s="1244"/>
      <c r="BB27" s="1244"/>
      <c r="BC27" s="1244"/>
      <c r="BD27" s="1246"/>
      <c r="BE27" s="1244"/>
      <c r="BF27" s="1244"/>
      <c r="BG27" s="1244"/>
      <c r="BH27" s="1246"/>
      <c r="BI27" s="1244"/>
      <c r="BJ27" s="1244"/>
      <c r="BK27" s="1244"/>
      <c r="BL27" s="1246"/>
      <c r="BM27" s="1244"/>
      <c r="BN27" s="1244"/>
      <c r="BO27" s="1244">
        <v>5</v>
      </c>
      <c r="BP27" s="1240">
        <f t="shared" si="14"/>
        <v>5</v>
      </c>
      <c r="BQ27" s="1244">
        <v>1</v>
      </c>
      <c r="BR27" s="1244">
        <v>1</v>
      </c>
      <c r="BS27" s="1244"/>
      <c r="BT27" s="1240">
        <f t="shared" si="15"/>
        <v>2</v>
      </c>
      <c r="BU27" s="1244">
        <v>1</v>
      </c>
      <c r="BV27" s="1244">
        <v>1</v>
      </c>
      <c r="BW27" s="1244">
        <v>9</v>
      </c>
      <c r="BX27" s="1240">
        <f t="shared" si="16"/>
        <v>11</v>
      </c>
      <c r="BY27" s="1244">
        <v>3</v>
      </c>
      <c r="BZ27" s="1244"/>
      <c r="CA27" s="1244"/>
      <c r="CB27" s="1240">
        <f t="shared" si="17"/>
        <v>3</v>
      </c>
    </row>
    <row r="28" spans="1:80" ht="15" customHeight="1" x14ac:dyDescent="0.2">
      <c r="A28" s="6446"/>
      <c r="B28" s="6449"/>
      <c r="C28" s="6451" t="s">
        <v>520</v>
      </c>
      <c r="D28" s="1253" t="s">
        <v>533</v>
      </c>
      <c r="E28" s="1237"/>
      <c r="F28" s="1238"/>
      <c r="G28" s="1238"/>
      <c r="H28" s="1239"/>
      <c r="I28" s="1237"/>
      <c r="J28" s="1238"/>
      <c r="K28" s="1238"/>
      <c r="L28" s="1239"/>
      <c r="M28" s="1237"/>
      <c r="N28" s="1238"/>
      <c r="O28" s="1238"/>
      <c r="P28" s="1239"/>
      <c r="Q28" s="1237"/>
      <c r="R28" s="1238"/>
      <c r="S28" s="1238"/>
      <c r="T28" s="1239"/>
      <c r="U28" s="1237"/>
      <c r="V28" s="1238"/>
      <c r="W28" s="1238"/>
      <c r="X28" s="1239"/>
      <c r="Y28" s="1237"/>
      <c r="Z28" s="1238"/>
      <c r="AA28" s="1238"/>
      <c r="AB28" s="1239"/>
      <c r="AC28" s="1237"/>
      <c r="AD28" s="1238"/>
      <c r="AE28" s="1238"/>
      <c r="AF28" s="1240"/>
      <c r="AG28" s="1238"/>
      <c r="AH28" s="1238"/>
      <c r="AI28" s="1238"/>
      <c r="AJ28" s="1240"/>
      <c r="AK28" s="1238"/>
      <c r="AL28" s="1238"/>
      <c r="AM28" s="1238"/>
      <c r="AN28" s="1240"/>
      <c r="AO28" s="1238"/>
      <c r="AP28" s="1238"/>
      <c r="AQ28" s="1238"/>
      <c r="AR28" s="1240"/>
      <c r="AS28" s="1238"/>
      <c r="AT28" s="1238"/>
      <c r="AU28" s="1238"/>
      <c r="AV28" s="1240"/>
      <c r="AW28" s="1238"/>
      <c r="AX28" s="1238"/>
      <c r="AY28" s="1238"/>
      <c r="AZ28" s="1240">
        <f>SUM(AW28:AY28)</f>
        <v>0</v>
      </c>
      <c r="BA28" s="1238"/>
      <c r="BB28" s="1238">
        <v>4</v>
      </c>
      <c r="BC28" s="1238">
        <v>1</v>
      </c>
      <c r="BD28" s="1240">
        <f>SUM(BA28:BC28)</f>
        <v>5</v>
      </c>
      <c r="BE28" s="1237">
        <v>2</v>
      </c>
      <c r="BF28" s="1238"/>
      <c r="BG28" s="1238"/>
      <c r="BH28" s="1240">
        <f t="shared" si="13"/>
        <v>2</v>
      </c>
      <c r="BI28" s="1237"/>
      <c r="BJ28" s="1238"/>
      <c r="BK28" s="1238"/>
      <c r="BL28" s="1240"/>
      <c r="BM28" s="1237">
        <v>3</v>
      </c>
      <c r="BN28" s="1238"/>
      <c r="BO28" s="1238">
        <v>2</v>
      </c>
      <c r="BP28" s="1240">
        <f t="shared" si="14"/>
        <v>5</v>
      </c>
      <c r="BQ28" s="1237"/>
      <c r="BR28" s="1238">
        <v>1</v>
      </c>
      <c r="BS28" s="1238">
        <v>3</v>
      </c>
      <c r="BT28" s="1240">
        <f t="shared" si="15"/>
        <v>4</v>
      </c>
      <c r="BU28" s="1237">
        <v>5</v>
      </c>
      <c r="BV28" s="1238"/>
      <c r="BW28" s="1238"/>
      <c r="BX28" s="1240">
        <f t="shared" si="16"/>
        <v>5</v>
      </c>
      <c r="BY28" s="1237"/>
      <c r="BZ28" s="1238">
        <v>1</v>
      </c>
      <c r="CA28" s="1238">
        <v>1</v>
      </c>
      <c r="CB28" s="1240">
        <f t="shared" si="17"/>
        <v>2</v>
      </c>
    </row>
    <row r="29" spans="1:80" ht="15" customHeight="1" x14ac:dyDescent="0.2">
      <c r="A29" s="6446"/>
      <c r="B29" s="6449"/>
      <c r="C29" s="6444"/>
      <c r="D29" s="1254" t="s">
        <v>143</v>
      </c>
      <c r="E29" s="1237"/>
      <c r="F29" s="1238"/>
      <c r="G29" s="1238"/>
      <c r="H29" s="1239"/>
      <c r="I29" s="1237"/>
      <c r="J29" s="1238"/>
      <c r="K29" s="1238"/>
      <c r="L29" s="1239"/>
      <c r="M29" s="1237"/>
      <c r="N29" s="1238"/>
      <c r="O29" s="1238"/>
      <c r="P29" s="1239"/>
      <c r="Q29" s="1237"/>
      <c r="R29" s="1238"/>
      <c r="S29" s="1238"/>
      <c r="T29" s="1239"/>
      <c r="U29" s="1237"/>
      <c r="V29" s="1238"/>
      <c r="W29" s="1238"/>
      <c r="X29" s="1239"/>
      <c r="Y29" s="1237"/>
      <c r="Z29" s="1238"/>
      <c r="AA29" s="1238"/>
      <c r="AB29" s="1239"/>
      <c r="AC29" s="1237"/>
      <c r="AD29" s="1238"/>
      <c r="AE29" s="1238"/>
      <c r="AF29" s="1240"/>
      <c r="AG29" s="1238">
        <v>1</v>
      </c>
      <c r="AH29" s="1238"/>
      <c r="AI29" s="1238"/>
      <c r="AJ29" s="1240">
        <f>SUM(AG29:AI29)</f>
        <v>1</v>
      </c>
      <c r="AK29" s="1238"/>
      <c r="AL29" s="1238"/>
      <c r="AM29" s="1238"/>
      <c r="AN29" s="1240"/>
      <c r="AO29" s="1238"/>
      <c r="AP29" s="1238"/>
      <c r="AQ29" s="1238"/>
      <c r="AR29" s="1240">
        <f>SUM(AO29:AQ29)</f>
        <v>0</v>
      </c>
      <c r="AS29" s="1238"/>
      <c r="AT29" s="1238"/>
      <c r="AU29" s="1238"/>
      <c r="AV29" s="1240">
        <f>SUM(AS29:AU29)</f>
        <v>0</v>
      </c>
      <c r="AW29" s="1238"/>
      <c r="AX29" s="1238">
        <v>1</v>
      </c>
      <c r="AY29" s="1238"/>
      <c r="AZ29" s="1240">
        <f>SUM(AW29:AY29)</f>
        <v>1</v>
      </c>
      <c r="BA29" s="1238"/>
      <c r="BB29" s="1238"/>
      <c r="BC29" s="1238"/>
      <c r="BD29" s="1240">
        <f>SUM(BA29:BC29)</f>
        <v>0</v>
      </c>
      <c r="BE29" s="1237"/>
      <c r="BF29" s="1238"/>
      <c r="BG29" s="1238"/>
      <c r="BH29" s="1240">
        <f t="shared" si="13"/>
        <v>0</v>
      </c>
      <c r="BI29" s="1237"/>
      <c r="BJ29" s="1238"/>
      <c r="BK29" s="1238"/>
      <c r="BL29" s="1240"/>
      <c r="BM29" s="1237"/>
      <c r="BN29" s="1238"/>
      <c r="BO29" s="1238"/>
      <c r="BP29" s="1240">
        <f t="shared" si="14"/>
        <v>0</v>
      </c>
      <c r="BQ29" s="1237"/>
      <c r="BR29" s="1238"/>
      <c r="BS29" s="1238">
        <v>1</v>
      </c>
      <c r="BT29" s="1240">
        <f t="shared" si="15"/>
        <v>1</v>
      </c>
      <c r="BU29" s="1237"/>
      <c r="BV29" s="1238"/>
      <c r="BW29" s="1238"/>
      <c r="BX29" s="1240">
        <f t="shared" si="16"/>
        <v>0</v>
      </c>
      <c r="BY29" s="1237">
        <v>1</v>
      </c>
      <c r="BZ29" s="1238"/>
      <c r="CA29" s="1238"/>
      <c r="CB29" s="1240">
        <f t="shared" si="17"/>
        <v>1</v>
      </c>
    </row>
    <row r="30" spans="1:80" ht="15" customHeight="1" x14ac:dyDescent="0.2">
      <c r="A30" s="6446"/>
      <c r="B30" s="6449"/>
      <c r="C30" s="6444"/>
      <c r="D30" s="1253" t="s">
        <v>142</v>
      </c>
      <c r="E30" s="1237"/>
      <c r="F30" s="1238"/>
      <c r="G30" s="1238"/>
      <c r="H30" s="1239"/>
      <c r="I30" s="1237"/>
      <c r="J30" s="1238"/>
      <c r="K30" s="1238"/>
      <c r="L30" s="1239"/>
      <c r="M30" s="1237"/>
      <c r="N30" s="1238"/>
      <c r="O30" s="1238"/>
      <c r="P30" s="1239"/>
      <c r="Q30" s="1237"/>
      <c r="R30" s="1238"/>
      <c r="S30" s="1238"/>
      <c r="T30" s="1239"/>
      <c r="U30" s="1237"/>
      <c r="V30" s="1238"/>
      <c r="W30" s="1238"/>
      <c r="X30" s="1239"/>
      <c r="Y30" s="1237"/>
      <c r="Z30" s="1238"/>
      <c r="AA30" s="1238"/>
      <c r="AB30" s="1239"/>
      <c r="AC30" s="1237"/>
      <c r="AD30" s="1238"/>
      <c r="AE30" s="1238"/>
      <c r="AF30" s="1240"/>
      <c r="AG30" s="1238"/>
      <c r="AH30" s="1238"/>
      <c r="AI30" s="1238"/>
      <c r="AJ30" s="1240"/>
      <c r="AK30" s="1238"/>
      <c r="AL30" s="1238"/>
      <c r="AM30" s="1238"/>
      <c r="AN30" s="1240"/>
      <c r="AO30" s="1238"/>
      <c r="AP30" s="1238"/>
      <c r="AQ30" s="1238"/>
      <c r="AR30" s="1240">
        <f>SUM(AO30:AQ30)</f>
        <v>0</v>
      </c>
      <c r="AS30" s="1238"/>
      <c r="AT30" s="1238"/>
      <c r="AU30" s="1238">
        <v>2</v>
      </c>
      <c r="AV30" s="1240">
        <f>SUM(AS30:AU30)</f>
        <v>2</v>
      </c>
      <c r="AW30" s="1238"/>
      <c r="AX30" s="1238"/>
      <c r="AY30" s="1238">
        <v>2</v>
      </c>
      <c r="AZ30" s="1240">
        <f>SUM(AW30:AY30)</f>
        <v>2</v>
      </c>
      <c r="BA30" s="1238">
        <v>1</v>
      </c>
      <c r="BB30" s="1238"/>
      <c r="BC30" s="1238"/>
      <c r="BD30" s="1240">
        <f>SUM(BA30:BC30)</f>
        <v>1</v>
      </c>
      <c r="BE30" s="1237">
        <v>2</v>
      </c>
      <c r="BF30" s="1238">
        <v>2</v>
      </c>
      <c r="BG30" s="1238"/>
      <c r="BH30" s="1240">
        <f t="shared" si="13"/>
        <v>4</v>
      </c>
      <c r="BI30" s="1237">
        <v>1</v>
      </c>
      <c r="BJ30" s="1238">
        <v>2</v>
      </c>
      <c r="BK30" s="1238">
        <v>5</v>
      </c>
      <c r="BL30" s="1240">
        <f>SUM(BI30:BK30)</f>
        <v>8</v>
      </c>
      <c r="BM30" s="1237">
        <v>4</v>
      </c>
      <c r="BN30" s="1238">
        <v>2</v>
      </c>
      <c r="BO30" s="1238">
        <v>1</v>
      </c>
      <c r="BP30" s="1240">
        <f t="shared" si="14"/>
        <v>7</v>
      </c>
      <c r="BQ30" s="1237">
        <v>2</v>
      </c>
      <c r="BR30" s="1238"/>
      <c r="BS30" s="1238"/>
      <c r="BT30" s="1240">
        <f t="shared" si="15"/>
        <v>2</v>
      </c>
      <c r="BU30" s="1237">
        <v>3</v>
      </c>
      <c r="BV30" s="1238">
        <v>1</v>
      </c>
      <c r="BW30" s="1238">
        <v>2</v>
      </c>
      <c r="BX30" s="1240">
        <f t="shared" si="16"/>
        <v>6</v>
      </c>
      <c r="BY30" s="1237"/>
      <c r="BZ30" s="1238"/>
      <c r="CA30" s="1238">
        <v>1</v>
      </c>
      <c r="CB30" s="1240">
        <f t="shared" si="17"/>
        <v>1</v>
      </c>
    </row>
    <row r="31" spans="1:80" ht="15" customHeight="1" x14ac:dyDescent="0.2">
      <c r="A31" s="6446"/>
      <c r="B31" s="6450"/>
      <c r="C31" s="1304"/>
      <c r="D31" s="1247" t="s">
        <v>160</v>
      </c>
      <c r="E31" s="1248"/>
      <c r="F31" s="1249">
        <f t="shared" ref="F31:AK31" si="18">SUM(F18:F30)</f>
        <v>5</v>
      </c>
      <c r="G31" s="1249">
        <f t="shared" si="18"/>
        <v>4</v>
      </c>
      <c r="H31" s="1249">
        <f t="shared" si="18"/>
        <v>9</v>
      </c>
      <c r="I31" s="1248">
        <f t="shared" si="18"/>
        <v>0</v>
      </c>
      <c r="J31" s="1249">
        <f t="shared" si="18"/>
        <v>1</v>
      </c>
      <c r="K31" s="1249">
        <f t="shared" si="18"/>
        <v>7</v>
      </c>
      <c r="L31" s="1249">
        <f t="shared" si="18"/>
        <v>8</v>
      </c>
      <c r="M31" s="1248">
        <f t="shared" si="18"/>
        <v>1</v>
      </c>
      <c r="N31" s="1249">
        <f t="shared" si="18"/>
        <v>12</v>
      </c>
      <c r="O31" s="1249">
        <f t="shared" si="18"/>
        <v>6</v>
      </c>
      <c r="P31" s="1249">
        <f t="shared" si="18"/>
        <v>19</v>
      </c>
      <c r="Q31" s="1248">
        <f t="shared" si="18"/>
        <v>3</v>
      </c>
      <c r="R31" s="1249">
        <f t="shared" si="18"/>
        <v>123</v>
      </c>
      <c r="S31" s="1249">
        <f t="shared" si="18"/>
        <v>13</v>
      </c>
      <c r="T31" s="1249">
        <f t="shared" si="18"/>
        <v>139</v>
      </c>
      <c r="U31" s="1248">
        <f t="shared" si="18"/>
        <v>15</v>
      </c>
      <c r="V31" s="1249">
        <f t="shared" si="18"/>
        <v>13</v>
      </c>
      <c r="W31" s="1249">
        <f t="shared" si="18"/>
        <v>6</v>
      </c>
      <c r="X31" s="1249">
        <f t="shared" si="18"/>
        <v>34</v>
      </c>
      <c r="Y31" s="1248">
        <f t="shared" si="18"/>
        <v>10</v>
      </c>
      <c r="Z31" s="1249">
        <f t="shared" si="18"/>
        <v>13</v>
      </c>
      <c r="AA31" s="1249">
        <f t="shared" si="18"/>
        <v>6</v>
      </c>
      <c r="AB31" s="1249">
        <f t="shared" si="18"/>
        <v>29</v>
      </c>
      <c r="AC31" s="1248">
        <f t="shared" si="18"/>
        <v>12</v>
      </c>
      <c r="AD31" s="1249">
        <f t="shared" si="18"/>
        <v>24</v>
      </c>
      <c r="AE31" s="1249">
        <f t="shared" si="18"/>
        <v>1</v>
      </c>
      <c r="AF31" s="1306">
        <f t="shared" si="18"/>
        <v>37</v>
      </c>
      <c r="AG31" s="1249">
        <f t="shared" si="18"/>
        <v>7</v>
      </c>
      <c r="AH31" s="1249">
        <f t="shared" si="18"/>
        <v>25</v>
      </c>
      <c r="AI31" s="1249">
        <f t="shared" si="18"/>
        <v>15</v>
      </c>
      <c r="AJ31" s="1306">
        <f t="shared" si="18"/>
        <v>47</v>
      </c>
      <c r="AK31" s="1249">
        <f t="shared" si="18"/>
        <v>9</v>
      </c>
      <c r="AL31" s="1249">
        <f t="shared" ref="AL31:BH31" si="19">SUM(AL18:AL30)</f>
        <v>21</v>
      </c>
      <c r="AM31" s="1249">
        <f t="shared" si="19"/>
        <v>9</v>
      </c>
      <c r="AN31" s="1306">
        <f t="shared" si="19"/>
        <v>39</v>
      </c>
      <c r="AO31" s="1249">
        <f t="shared" si="19"/>
        <v>3</v>
      </c>
      <c r="AP31" s="1249">
        <f t="shared" si="19"/>
        <v>16</v>
      </c>
      <c r="AQ31" s="1249">
        <f t="shared" si="19"/>
        <v>3</v>
      </c>
      <c r="AR31" s="1306">
        <f t="shared" si="19"/>
        <v>22</v>
      </c>
      <c r="AS31" s="1249">
        <f t="shared" si="19"/>
        <v>7</v>
      </c>
      <c r="AT31" s="1249">
        <f t="shared" si="19"/>
        <v>18</v>
      </c>
      <c r="AU31" s="1249">
        <f t="shared" si="19"/>
        <v>6</v>
      </c>
      <c r="AV31" s="1306">
        <f t="shared" si="19"/>
        <v>31</v>
      </c>
      <c r="AW31" s="1249">
        <f t="shared" si="19"/>
        <v>6</v>
      </c>
      <c r="AX31" s="1249">
        <f t="shared" si="19"/>
        <v>20</v>
      </c>
      <c r="AY31" s="1249">
        <f t="shared" si="19"/>
        <v>6</v>
      </c>
      <c r="AZ31" s="1306">
        <f t="shared" si="19"/>
        <v>32</v>
      </c>
      <c r="BA31" s="1249">
        <f t="shared" si="19"/>
        <v>6</v>
      </c>
      <c r="BB31" s="1249">
        <f t="shared" si="19"/>
        <v>37</v>
      </c>
      <c r="BC31" s="1249">
        <f t="shared" si="19"/>
        <v>8</v>
      </c>
      <c r="BD31" s="1306">
        <f t="shared" si="19"/>
        <v>51</v>
      </c>
      <c r="BE31" s="1249">
        <f t="shared" si="19"/>
        <v>14</v>
      </c>
      <c r="BF31" s="1249">
        <f t="shared" si="19"/>
        <v>29</v>
      </c>
      <c r="BG31" s="1249">
        <f t="shared" si="19"/>
        <v>3</v>
      </c>
      <c r="BH31" s="1306">
        <f t="shared" si="19"/>
        <v>46</v>
      </c>
      <c r="BI31" s="1249">
        <f t="shared" ref="BI31:BP31" si="20">SUM(BI18:BI30)</f>
        <v>3</v>
      </c>
      <c r="BJ31" s="1249">
        <f t="shared" si="20"/>
        <v>14</v>
      </c>
      <c r="BK31" s="1249">
        <f t="shared" si="20"/>
        <v>22</v>
      </c>
      <c r="BL31" s="1306">
        <f t="shared" si="20"/>
        <v>39</v>
      </c>
      <c r="BM31" s="1249">
        <f t="shared" si="20"/>
        <v>16</v>
      </c>
      <c r="BN31" s="1249">
        <f t="shared" si="20"/>
        <v>26</v>
      </c>
      <c r="BO31" s="1249">
        <f t="shared" si="20"/>
        <v>17</v>
      </c>
      <c r="BP31" s="1306">
        <f t="shared" si="20"/>
        <v>59</v>
      </c>
      <c r="BQ31" s="1249">
        <f t="shared" ref="BQ31:BX31" si="21">SUM(BQ18:BQ30)</f>
        <v>11</v>
      </c>
      <c r="BR31" s="1249">
        <f t="shared" si="21"/>
        <v>19</v>
      </c>
      <c r="BS31" s="1249">
        <f t="shared" si="21"/>
        <v>14</v>
      </c>
      <c r="BT31" s="1306">
        <f t="shared" si="21"/>
        <v>44</v>
      </c>
      <c r="BU31" s="1249">
        <f t="shared" si="21"/>
        <v>33</v>
      </c>
      <c r="BV31" s="1249">
        <f t="shared" si="21"/>
        <v>29</v>
      </c>
      <c r="BW31" s="1249">
        <f t="shared" si="21"/>
        <v>18</v>
      </c>
      <c r="BX31" s="1306">
        <f t="shared" si="21"/>
        <v>80</v>
      </c>
      <c r="BY31" s="1249">
        <f t="shared" ref="BY31:CB31" si="22">SUM(BY18:BY30)</f>
        <v>9</v>
      </c>
      <c r="BZ31" s="1249">
        <f t="shared" si="22"/>
        <v>30</v>
      </c>
      <c r="CA31" s="1249">
        <f t="shared" si="22"/>
        <v>5</v>
      </c>
      <c r="CB31" s="1306">
        <f t="shared" si="22"/>
        <v>44</v>
      </c>
    </row>
    <row r="32" spans="1:80" ht="14.25" customHeight="1" x14ac:dyDescent="0.2">
      <c r="A32" s="6446"/>
      <c r="B32" s="6448" t="s">
        <v>7</v>
      </c>
      <c r="C32" s="6457" t="s">
        <v>522</v>
      </c>
      <c r="D32" s="1255" t="s">
        <v>400</v>
      </c>
      <c r="E32" s="1256"/>
      <c r="F32" s="1257"/>
      <c r="G32" s="1257">
        <v>17</v>
      </c>
      <c r="H32" s="1258">
        <f>SUM(G32)</f>
        <v>17</v>
      </c>
      <c r="I32" s="1256"/>
      <c r="J32" s="1257">
        <v>3</v>
      </c>
      <c r="K32" s="1257">
        <v>6</v>
      </c>
      <c r="L32" s="1258">
        <f>SUM(J32:K32)</f>
        <v>9</v>
      </c>
      <c r="M32" s="1256">
        <v>1</v>
      </c>
      <c r="N32" s="1257">
        <v>7</v>
      </c>
      <c r="O32" s="1257">
        <v>2</v>
      </c>
      <c r="P32" s="1258">
        <f>SUM(M32:O32)</f>
        <v>10</v>
      </c>
      <c r="Q32" s="1256">
        <v>3</v>
      </c>
      <c r="R32" s="1257">
        <v>65</v>
      </c>
      <c r="S32" s="1257">
        <v>26</v>
      </c>
      <c r="T32" s="1258">
        <f>SUM(Q32:S32)</f>
        <v>94</v>
      </c>
      <c r="U32" s="1256"/>
      <c r="V32" s="1257">
        <v>1</v>
      </c>
      <c r="W32" s="1257">
        <v>2</v>
      </c>
      <c r="X32" s="1258">
        <f>SUM(U32:W32)</f>
        <v>3</v>
      </c>
      <c r="Y32" s="1256">
        <v>2</v>
      </c>
      <c r="Z32" s="1257">
        <v>15</v>
      </c>
      <c r="AA32" s="1257">
        <v>7</v>
      </c>
      <c r="AB32" s="1258">
        <f>SUM(Y32:AA32)</f>
        <v>24</v>
      </c>
      <c r="AC32" s="1256">
        <v>1</v>
      </c>
      <c r="AD32" s="1257">
        <v>4</v>
      </c>
      <c r="AE32" s="1257">
        <v>9</v>
      </c>
      <c r="AF32" s="1259">
        <f>SUM(AC32:AE32)</f>
        <v>14</v>
      </c>
      <c r="AG32" s="1257"/>
      <c r="AH32" s="1257">
        <v>13</v>
      </c>
      <c r="AI32" s="1257">
        <v>4</v>
      </c>
      <c r="AJ32" s="1259">
        <f>SUM(AG32:AI32)</f>
        <v>17</v>
      </c>
      <c r="AK32" s="1257"/>
      <c r="AL32" s="1257">
        <v>16</v>
      </c>
      <c r="AM32" s="1257">
        <v>1</v>
      </c>
      <c r="AN32" s="1259">
        <f>SUM(AK32:AM32)</f>
        <v>17</v>
      </c>
      <c r="AO32" s="1257">
        <v>1</v>
      </c>
      <c r="AP32" s="1257">
        <v>2</v>
      </c>
      <c r="AQ32" s="1257">
        <v>11</v>
      </c>
      <c r="AR32" s="1259">
        <f>SUM(AO32:AQ32)</f>
        <v>14</v>
      </c>
      <c r="AS32" s="1257">
        <v>10</v>
      </c>
      <c r="AT32" s="1257">
        <v>4</v>
      </c>
      <c r="AU32" s="1257">
        <v>47</v>
      </c>
      <c r="AV32" s="1259">
        <f>SUM(AS32:AU32)</f>
        <v>61</v>
      </c>
      <c r="AW32" s="1257">
        <v>1</v>
      </c>
      <c r="AX32" s="1257">
        <v>1</v>
      </c>
      <c r="AY32" s="1257">
        <v>24</v>
      </c>
      <c r="AZ32" s="1259">
        <f>SUM(AW32:AY32)</f>
        <v>26</v>
      </c>
      <c r="BA32" s="1257"/>
      <c r="BB32" s="1257">
        <v>2</v>
      </c>
      <c r="BC32" s="1257">
        <v>31</v>
      </c>
      <c r="BD32" s="1259">
        <f>SUM(BA32:BC32)</f>
        <v>33</v>
      </c>
      <c r="BE32" s="1256">
        <v>1</v>
      </c>
      <c r="BF32" s="1257">
        <v>4</v>
      </c>
      <c r="BG32" s="1257">
        <v>1</v>
      </c>
      <c r="BH32" s="1259">
        <f>SUM(BE32:BG32)</f>
        <v>6</v>
      </c>
      <c r="BI32" s="1256"/>
      <c r="BJ32" s="1257">
        <v>5</v>
      </c>
      <c r="BK32" s="1257">
        <v>28</v>
      </c>
      <c r="BL32" s="1259">
        <f>SUM(BI32:BK32)</f>
        <v>33</v>
      </c>
      <c r="BM32" s="1256"/>
      <c r="BN32" s="1257">
        <v>1</v>
      </c>
      <c r="BO32" s="1257"/>
      <c r="BP32" s="1259">
        <f>SUM(BM32:BO32)</f>
        <v>1</v>
      </c>
      <c r="BQ32" s="1256"/>
      <c r="BR32" s="1257"/>
      <c r="BS32" s="1257"/>
      <c r="BT32" s="1259">
        <f>SUM(BQ32:BS32)</f>
        <v>0</v>
      </c>
      <c r="BU32" s="1251"/>
      <c r="BV32" s="1252"/>
      <c r="BW32" s="1252"/>
      <c r="BX32" s="1235">
        <f>SUM(BU32:BW32)</f>
        <v>0</v>
      </c>
      <c r="BY32" s="1251"/>
      <c r="BZ32" s="1252"/>
      <c r="CA32" s="1252">
        <v>1</v>
      </c>
      <c r="CB32" s="1235">
        <f>SUM(BY32:CA32)</f>
        <v>1</v>
      </c>
    </row>
    <row r="33" spans="1:80" ht="14.25" customHeight="1" x14ac:dyDescent="0.2">
      <c r="A33" s="6446"/>
      <c r="B33" s="6449"/>
      <c r="C33" s="6444"/>
      <c r="D33" s="1253" t="s">
        <v>535</v>
      </c>
      <c r="E33" s="1237"/>
      <c r="F33" s="1238"/>
      <c r="G33" s="1238"/>
      <c r="H33" s="1239"/>
      <c r="I33" s="1237"/>
      <c r="J33" s="1238"/>
      <c r="K33" s="1238"/>
      <c r="L33" s="1239"/>
      <c r="M33" s="1237"/>
      <c r="N33" s="1238"/>
      <c r="O33" s="1238"/>
      <c r="P33" s="1239"/>
      <c r="Q33" s="1237"/>
      <c r="R33" s="1238">
        <v>4</v>
      </c>
      <c r="S33" s="1238"/>
      <c r="T33" s="1239">
        <f>SUM(Q33:S33)</f>
        <v>4</v>
      </c>
      <c r="U33" s="1237">
        <v>1</v>
      </c>
      <c r="V33" s="1238">
        <v>2</v>
      </c>
      <c r="W33" s="1238">
        <v>4</v>
      </c>
      <c r="X33" s="1239">
        <f>SUM(U33:W33)</f>
        <v>7</v>
      </c>
      <c r="Y33" s="1237">
        <v>2</v>
      </c>
      <c r="Z33" s="1238">
        <v>1</v>
      </c>
      <c r="AA33" s="1238">
        <v>2</v>
      </c>
      <c r="AB33" s="1239">
        <f>SUM(Y33:AA33)</f>
        <v>5</v>
      </c>
      <c r="AC33" s="1237">
        <v>4</v>
      </c>
      <c r="AD33" s="1238">
        <v>1</v>
      </c>
      <c r="AE33" s="1238">
        <v>5</v>
      </c>
      <c r="AF33" s="1240">
        <f>SUM(AC33:AE33)</f>
        <v>10</v>
      </c>
      <c r="AG33" s="1238">
        <v>2</v>
      </c>
      <c r="AH33" s="1238">
        <v>2</v>
      </c>
      <c r="AI33" s="1238">
        <v>5</v>
      </c>
      <c r="AJ33" s="1240">
        <f>SUM(AG33:AI33)</f>
        <v>9</v>
      </c>
      <c r="AK33" s="1238">
        <v>4</v>
      </c>
      <c r="AL33" s="1238"/>
      <c r="AM33" s="1238"/>
      <c r="AN33" s="1240">
        <f>SUM(AK33:AM33)</f>
        <v>4</v>
      </c>
      <c r="AO33" s="1238">
        <v>3</v>
      </c>
      <c r="AP33" s="1238">
        <v>6</v>
      </c>
      <c r="AQ33" s="1238">
        <v>2</v>
      </c>
      <c r="AR33" s="1240">
        <f>SUM(AO33:AQ33)</f>
        <v>11</v>
      </c>
      <c r="AS33" s="1238">
        <v>2</v>
      </c>
      <c r="AT33" s="1238">
        <v>5</v>
      </c>
      <c r="AU33" s="1238">
        <v>1</v>
      </c>
      <c r="AV33" s="1240">
        <f>SUM(AS33:AU33)</f>
        <v>8</v>
      </c>
      <c r="AW33" s="1238">
        <v>2</v>
      </c>
      <c r="AX33" s="1238">
        <v>11</v>
      </c>
      <c r="AY33" s="1238">
        <v>3</v>
      </c>
      <c r="AZ33" s="1240">
        <f>SUM(AW33:AY33)</f>
        <v>16</v>
      </c>
      <c r="BA33" s="1238"/>
      <c r="BB33" s="1238"/>
      <c r="BC33" s="1238">
        <v>1</v>
      </c>
      <c r="BD33" s="1240">
        <f>SUM(BA33:BC33)</f>
        <v>1</v>
      </c>
      <c r="BE33" s="1237"/>
      <c r="BF33" s="1238"/>
      <c r="BG33" s="1238"/>
      <c r="BH33" s="1240"/>
      <c r="BI33" s="1237"/>
      <c r="BJ33" s="1238"/>
      <c r="BK33" s="1238"/>
      <c r="BL33" s="1240"/>
      <c r="BM33" s="1237"/>
      <c r="BN33" s="1238"/>
      <c r="BO33" s="1238"/>
      <c r="BP33" s="1240">
        <f>SUM(BM33:BO33)</f>
        <v>0</v>
      </c>
      <c r="BQ33" s="1237"/>
      <c r="BR33" s="1238"/>
      <c r="BS33" s="1238"/>
      <c r="BT33" s="1240">
        <f>SUM(BQ33:BS33)</f>
        <v>0</v>
      </c>
      <c r="BU33" s="1237"/>
      <c r="BV33" s="1238"/>
      <c r="BW33" s="1238"/>
      <c r="BX33" s="1240">
        <f>SUM(BU33:BW33)</f>
        <v>0</v>
      </c>
      <c r="BY33" s="1237"/>
      <c r="BZ33" s="1238"/>
      <c r="CA33" s="1238"/>
      <c r="CB33" s="1240">
        <f>SUM(BY33:CA33)</f>
        <v>0</v>
      </c>
    </row>
    <row r="34" spans="1:80" ht="14.25" customHeight="1" x14ac:dyDescent="0.2">
      <c r="A34" s="6446"/>
      <c r="B34" s="6449"/>
      <c r="C34" s="6452"/>
      <c r="D34" s="4240" t="s">
        <v>1303</v>
      </c>
      <c r="E34" s="1237"/>
      <c r="F34" s="1238"/>
      <c r="G34" s="1238"/>
      <c r="H34" s="1239"/>
      <c r="I34" s="1237"/>
      <c r="J34" s="1238"/>
      <c r="K34" s="1238"/>
      <c r="L34" s="1239"/>
      <c r="M34" s="1237"/>
      <c r="N34" s="1238"/>
      <c r="O34" s="1238"/>
      <c r="P34" s="1239"/>
      <c r="Q34" s="1237"/>
      <c r="R34" s="1238"/>
      <c r="S34" s="1238"/>
      <c r="T34" s="1239"/>
      <c r="U34" s="1237"/>
      <c r="V34" s="1238"/>
      <c r="W34" s="1238"/>
      <c r="X34" s="1239"/>
      <c r="Y34" s="1237"/>
      <c r="Z34" s="1238"/>
      <c r="AA34" s="1238"/>
      <c r="AB34" s="1239"/>
      <c r="AC34" s="1237"/>
      <c r="AD34" s="1238"/>
      <c r="AE34" s="1238"/>
      <c r="AF34" s="1240"/>
      <c r="AG34" s="1238"/>
      <c r="AH34" s="1238"/>
      <c r="AI34" s="1238"/>
      <c r="AJ34" s="1240"/>
      <c r="AK34" s="1238"/>
      <c r="AL34" s="1238"/>
      <c r="AM34" s="1238"/>
      <c r="AN34" s="1240"/>
      <c r="AO34" s="1238"/>
      <c r="AP34" s="1238"/>
      <c r="AQ34" s="1238"/>
      <c r="AR34" s="1240"/>
      <c r="AS34" s="1238"/>
      <c r="AT34" s="1238"/>
      <c r="AU34" s="1238"/>
      <c r="AV34" s="1240"/>
      <c r="AW34" s="1238"/>
      <c r="AX34" s="1238"/>
      <c r="AY34" s="1238"/>
      <c r="AZ34" s="1240"/>
      <c r="BA34" s="1238"/>
      <c r="BB34" s="1238"/>
      <c r="BC34" s="1238"/>
      <c r="BD34" s="1240"/>
      <c r="BE34" s="1237"/>
      <c r="BF34" s="1238"/>
      <c r="BG34" s="1238"/>
      <c r="BH34" s="1240"/>
      <c r="BI34" s="1237"/>
      <c r="BJ34" s="1238"/>
      <c r="BK34" s="1238"/>
      <c r="BL34" s="1240"/>
      <c r="BM34" s="1237"/>
      <c r="BN34" s="1238"/>
      <c r="BO34" s="1238"/>
      <c r="BP34" s="1240"/>
      <c r="BQ34" s="1237"/>
      <c r="BR34" s="1238"/>
      <c r="BS34" s="1238"/>
      <c r="BT34" s="1240"/>
      <c r="BU34" s="1237"/>
      <c r="BV34" s="1238"/>
      <c r="BW34" s="1238"/>
      <c r="BX34" s="1240"/>
      <c r="BY34" s="1237"/>
      <c r="BZ34" s="1238"/>
      <c r="CA34" s="1238">
        <v>8</v>
      </c>
      <c r="CB34" s="1240">
        <f>SUM(BY34:CA34)</f>
        <v>8</v>
      </c>
    </row>
    <row r="35" spans="1:80" ht="14.25" customHeight="1" x14ac:dyDescent="0.2">
      <c r="A35" s="6446"/>
      <c r="B35" s="6449"/>
      <c r="C35" s="6455" t="s">
        <v>521</v>
      </c>
      <c r="D35" s="1253" t="s">
        <v>401</v>
      </c>
      <c r="E35" s="1237">
        <v>1</v>
      </c>
      <c r="F35" s="1238"/>
      <c r="G35" s="1238"/>
      <c r="H35" s="1239">
        <f>SUM(E35:G35)</f>
        <v>1</v>
      </c>
      <c r="I35" s="1237"/>
      <c r="J35" s="1238"/>
      <c r="K35" s="1238"/>
      <c r="L35" s="1239"/>
      <c r="M35" s="1237">
        <v>2</v>
      </c>
      <c r="N35" s="1238"/>
      <c r="O35" s="1238">
        <v>1</v>
      </c>
      <c r="P35" s="1239">
        <f>SUM(M35:O35)</f>
        <v>3</v>
      </c>
      <c r="Q35" s="1237">
        <v>7</v>
      </c>
      <c r="R35" s="1238">
        <v>6</v>
      </c>
      <c r="S35" s="1238">
        <v>5</v>
      </c>
      <c r="T35" s="1239">
        <f>SUM(Q35:S35)</f>
        <v>18</v>
      </c>
      <c r="U35" s="1237"/>
      <c r="V35" s="1238"/>
      <c r="W35" s="1238"/>
      <c r="X35" s="1239"/>
      <c r="Y35" s="1237"/>
      <c r="Z35" s="1238"/>
      <c r="AA35" s="1238"/>
      <c r="AB35" s="1239"/>
      <c r="AC35" s="1237"/>
      <c r="AD35" s="1238"/>
      <c r="AE35" s="1238"/>
      <c r="AF35" s="1240"/>
      <c r="AG35" s="1238"/>
      <c r="AH35" s="1238"/>
      <c r="AI35" s="1238"/>
      <c r="AJ35" s="1240"/>
      <c r="AK35" s="1238"/>
      <c r="AL35" s="1238"/>
      <c r="AM35" s="1238"/>
      <c r="AN35" s="1240"/>
      <c r="AO35" s="1238"/>
      <c r="AP35" s="1238"/>
      <c r="AQ35" s="1238"/>
      <c r="AR35" s="1240"/>
      <c r="AS35" s="1238"/>
      <c r="AT35" s="1238"/>
      <c r="AU35" s="1238"/>
      <c r="AV35" s="1240"/>
      <c r="AW35" s="1238"/>
      <c r="AX35" s="1238"/>
      <c r="AY35" s="1238"/>
      <c r="AZ35" s="1240"/>
      <c r="BA35" s="1238">
        <v>1</v>
      </c>
      <c r="BB35" s="1238">
        <v>12</v>
      </c>
      <c r="BC35" s="1238">
        <v>11</v>
      </c>
      <c r="BD35" s="1240">
        <f>SUM(BA35:BC35)</f>
        <v>24</v>
      </c>
      <c r="BE35" s="1237">
        <v>4</v>
      </c>
      <c r="BF35" s="1238">
        <v>5</v>
      </c>
      <c r="BG35" s="1238">
        <v>13</v>
      </c>
      <c r="BH35" s="1240">
        <f>SUM(BE35:BG35)</f>
        <v>22</v>
      </c>
      <c r="BI35" s="1237">
        <v>6</v>
      </c>
      <c r="BJ35" s="1238">
        <v>25</v>
      </c>
      <c r="BK35" s="1238">
        <v>6</v>
      </c>
      <c r="BL35" s="1240">
        <f>SUM(BI35:BK35)</f>
        <v>37</v>
      </c>
      <c r="BM35" s="1237">
        <v>4</v>
      </c>
      <c r="BN35" s="1238">
        <v>11</v>
      </c>
      <c r="BO35" s="1238">
        <v>11</v>
      </c>
      <c r="BP35" s="1240">
        <f>SUM(BM35:BO35)</f>
        <v>26</v>
      </c>
      <c r="BQ35" s="1237">
        <v>8</v>
      </c>
      <c r="BR35" s="1238">
        <v>7</v>
      </c>
      <c r="BS35" s="1238"/>
      <c r="BT35" s="1240">
        <f>SUM(BQ35:BS35)</f>
        <v>15</v>
      </c>
      <c r="BU35" s="1237"/>
      <c r="BV35" s="1238"/>
      <c r="BW35" s="1238"/>
      <c r="BX35" s="1240">
        <f>SUM(BU35:BW35)</f>
        <v>0</v>
      </c>
      <c r="BY35" s="1237"/>
      <c r="BZ35" s="1238">
        <v>1</v>
      </c>
      <c r="CA35" s="1238"/>
      <c r="CB35" s="1240">
        <f>SUM(BY35:CA35)</f>
        <v>1</v>
      </c>
    </row>
    <row r="36" spans="1:80" ht="14.25" customHeight="1" x14ac:dyDescent="0.2">
      <c r="A36" s="6446"/>
      <c r="B36" s="6449"/>
      <c r="C36" s="6444"/>
      <c r="D36" s="4240" t="s">
        <v>1300</v>
      </c>
      <c r="E36" s="1243"/>
      <c r="F36" s="1244"/>
      <c r="G36" s="1244"/>
      <c r="H36" s="1245"/>
      <c r="I36" s="1243"/>
      <c r="J36" s="1244"/>
      <c r="K36" s="1244"/>
      <c r="L36" s="1245"/>
      <c r="M36" s="1243"/>
      <c r="N36" s="1244"/>
      <c r="O36" s="1244"/>
      <c r="P36" s="1245"/>
      <c r="Q36" s="1243"/>
      <c r="R36" s="1244"/>
      <c r="S36" s="1244"/>
      <c r="T36" s="1245"/>
      <c r="U36" s="1243"/>
      <c r="V36" s="1244"/>
      <c r="W36" s="1244"/>
      <c r="X36" s="1245"/>
      <c r="Y36" s="1243"/>
      <c r="Z36" s="1244"/>
      <c r="AA36" s="1244"/>
      <c r="AB36" s="1245"/>
      <c r="AC36" s="1243"/>
      <c r="AD36" s="1244"/>
      <c r="AE36" s="1244"/>
      <c r="AF36" s="1246"/>
      <c r="AG36" s="1244"/>
      <c r="AH36" s="1244"/>
      <c r="AI36" s="1244"/>
      <c r="AJ36" s="1246"/>
      <c r="AK36" s="1244"/>
      <c r="AL36" s="1244"/>
      <c r="AM36" s="1244"/>
      <c r="AN36" s="1246"/>
      <c r="AO36" s="1244"/>
      <c r="AP36" s="1244"/>
      <c r="AQ36" s="1244"/>
      <c r="AR36" s="1246"/>
      <c r="AS36" s="1244"/>
      <c r="AT36" s="1244"/>
      <c r="AU36" s="1244"/>
      <c r="AV36" s="1246"/>
      <c r="AW36" s="1244"/>
      <c r="AX36" s="1244"/>
      <c r="AY36" s="1244"/>
      <c r="AZ36" s="1246"/>
      <c r="BA36" s="1244"/>
      <c r="BB36" s="1244"/>
      <c r="BC36" s="1244"/>
      <c r="BD36" s="1246"/>
      <c r="BE36" s="1244"/>
      <c r="BF36" s="1244"/>
      <c r="BG36" s="1244"/>
      <c r="BH36" s="1240"/>
      <c r="BI36" s="1244"/>
      <c r="BJ36" s="1244"/>
      <c r="BK36" s="1244"/>
      <c r="BL36" s="1240"/>
      <c r="BM36" s="1244"/>
      <c r="BN36" s="1244"/>
      <c r="BO36" s="1244"/>
      <c r="BP36" s="1240"/>
      <c r="BQ36" s="1244"/>
      <c r="BR36" s="1244">
        <v>1</v>
      </c>
      <c r="BS36" s="1244"/>
      <c r="BT36" s="1240">
        <f t="shared" ref="BT36:BT44" si="23">SUM(BQ36:BS36)</f>
        <v>1</v>
      </c>
      <c r="BU36" s="1243"/>
      <c r="BV36" s="1244">
        <v>6</v>
      </c>
      <c r="BW36" s="1244"/>
      <c r="BX36" s="1240">
        <f t="shared" ref="BX36:BX45" si="24">SUM(BU36:BW36)</f>
        <v>6</v>
      </c>
      <c r="BY36" s="1243">
        <v>3</v>
      </c>
      <c r="BZ36" s="1244">
        <v>4</v>
      </c>
      <c r="CA36" s="1244">
        <v>1</v>
      </c>
      <c r="CB36" s="1240">
        <f t="shared" ref="CB36:CB45" si="25">SUM(BY36:CA36)</f>
        <v>8</v>
      </c>
    </row>
    <row r="37" spans="1:80" ht="14.25" customHeight="1" x14ac:dyDescent="0.2">
      <c r="A37" s="6446"/>
      <c r="B37" s="6449"/>
      <c r="C37" s="6444"/>
      <c r="D37" s="4240" t="s">
        <v>1301</v>
      </c>
      <c r="E37" s="1243"/>
      <c r="F37" s="1244"/>
      <c r="G37" s="1244"/>
      <c r="H37" s="1245"/>
      <c r="I37" s="1243"/>
      <c r="J37" s="1244"/>
      <c r="K37" s="1244"/>
      <c r="L37" s="1245"/>
      <c r="M37" s="1243"/>
      <c r="N37" s="1244"/>
      <c r="O37" s="1244"/>
      <c r="P37" s="1245"/>
      <c r="Q37" s="1243"/>
      <c r="R37" s="1244"/>
      <c r="S37" s="1244"/>
      <c r="T37" s="1245"/>
      <c r="U37" s="1243"/>
      <c r="V37" s="1244"/>
      <c r="W37" s="1244"/>
      <c r="X37" s="1245"/>
      <c r="Y37" s="1243"/>
      <c r="Z37" s="1244"/>
      <c r="AA37" s="1244"/>
      <c r="AB37" s="1245"/>
      <c r="AC37" s="1243"/>
      <c r="AD37" s="1244"/>
      <c r="AE37" s="1244"/>
      <c r="AF37" s="1246"/>
      <c r="AG37" s="1244"/>
      <c r="AH37" s="1244"/>
      <c r="AI37" s="1244"/>
      <c r="AJ37" s="1246"/>
      <c r="AK37" s="1244"/>
      <c r="AL37" s="1244"/>
      <c r="AM37" s="1244"/>
      <c r="AN37" s="1246"/>
      <c r="AO37" s="1244"/>
      <c r="AP37" s="1244"/>
      <c r="AQ37" s="1244"/>
      <c r="AR37" s="1246"/>
      <c r="AS37" s="1244"/>
      <c r="AT37" s="1244"/>
      <c r="AU37" s="1244"/>
      <c r="AV37" s="1246"/>
      <c r="AW37" s="1244"/>
      <c r="AX37" s="1244"/>
      <c r="AY37" s="1244"/>
      <c r="AZ37" s="1246"/>
      <c r="BA37" s="1244"/>
      <c r="BB37" s="1244"/>
      <c r="BC37" s="1244"/>
      <c r="BD37" s="1246"/>
      <c r="BE37" s="1244"/>
      <c r="BF37" s="1244"/>
      <c r="BG37" s="1244"/>
      <c r="BH37" s="1240"/>
      <c r="BI37" s="1244"/>
      <c r="BJ37" s="1244"/>
      <c r="BK37" s="1244"/>
      <c r="BL37" s="1240"/>
      <c r="BM37" s="1244"/>
      <c r="BN37" s="1244"/>
      <c r="BO37" s="1244"/>
      <c r="BP37" s="1240"/>
      <c r="BQ37" s="1244"/>
      <c r="BR37" s="1244"/>
      <c r="BS37" s="1244"/>
      <c r="BT37" s="1240"/>
      <c r="BU37" s="1243"/>
      <c r="BV37" s="1244">
        <v>1</v>
      </c>
      <c r="BW37" s="1244"/>
      <c r="BX37" s="1240">
        <f t="shared" si="24"/>
        <v>1</v>
      </c>
      <c r="BY37" s="1243">
        <v>1</v>
      </c>
      <c r="BZ37" s="1244"/>
      <c r="CA37" s="1244">
        <v>1</v>
      </c>
      <c r="CB37" s="1240">
        <f t="shared" si="25"/>
        <v>2</v>
      </c>
    </row>
    <row r="38" spans="1:80" ht="14.25" customHeight="1" x14ac:dyDescent="0.2">
      <c r="A38" s="6446"/>
      <c r="B38" s="6449"/>
      <c r="C38" s="6444"/>
      <c r="D38" s="4240" t="s">
        <v>1302</v>
      </c>
      <c r="E38" s="1243"/>
      <c r="F38" s="1244"/>
      <c r="G38" s="1244"/>
      <c r="H38" s="1245"/>
      <c r="I38" s="1243"/>
      <c r="J38" s="1244"/>
      <c r="K38" s="1244"/>
      <c r="L38" s="1245"/>
      <c r="M38" s="1243"/>
      <c r="N38" s="1244"/>
      <c r="O38" s="1244"/>
      <c r="P38" s="1245"/>
      <c r="Q38" s="1243"/>
      <c r="R38" s="1244"/>
      <c r="S38" s="1244"/>
      <c r="T38" s="1245"/>
      <c r="U38" s="1243"/>
      <c r="V38" s="1244"/>
      <c r="W38" s="1244"/>
      <c r="X38" s="1245"/>
      <c r="Y38" s="1243"/>
      <c r="Z38" s="1244"/>
      <c r="AA38" s="1244"/>
      <c r="AB38" s="1245"/>
      <c r="AC38" s="1243"/>
      <c r="AD38" s="1244"/>
      <c r="AE38" s="1244"/>
      <c r="AF38" s="1246"/>
      <c r="AG38" s="1244"/>
      <c r="AH38" s="1244"/>
      <c r="AI38" s="1244"/>
      <c r="AJ38" s="1246"/>
      <c r="AK38" s="1244"/>
      <c r="AL38" s="1244"/>
      <c r="AM38" s="1244"/>
      <c r="AN38" s="1246"/>
      <c r="AO38" s="1244"/>
      <c r="AP38" s="1244"/>
      <c r="AQ38" s="1244"/>
      <c r="AR38" s="1246"/>
      <c r="AS38" s="1244"/>
      <c r="AT38" s="1244"/>
      <c r="AU38" s="1244"/>
      <c r="AV38" s="1246"/>
      <c r="AW38" s="1244"/>
      <c r="AX38" s="1244"/>
      <c r="AY38" s="1244"/>
      <c r="AZ38" s="1246"/>
      <c r="BA38" s="1244"/>
      <c r="BB38" s="1244"/>
      <c r="BC38" s="1244"/>
      <c r="BD38" s="1246"/>
      <c r="BE38" s="1244"/>
      <c r="BF38" s="1244"/>
      <c r="BG38" s="1244"/>
      <c r="BH38" s="1240"/>
      <c r="BI38" s="1244"/>
      <c r="BJ38" s="1244"/>
      <c r="BK38" s="1244"/>
      <c r="BL38" s="1240"/>
      <c r="BM38" s="1244"/>
      <c r="BN38" s="1244"/>
      <c r="BO38" s="1244"/>
      <c r="BP38" s="1240"/>
      <c r="BQ38" s="1244"/>
      <c r="BR38" s="1244"/>
      <c r="BS38" s="1244"/>
      <c r="BT38" s="1240"/>
      <c r="BU38" s="1243"/>
      <c r="BV38" s="1244">
        <v>1</v>
      </c>
      <c r="BW38" s="1244">
        <v>1</v>
      </c>
      <c r="BX38" s="1240">
        <f t="shared" si="24"/>
        <v>2</v>
      </c>
      <c r="BY38" s="1243">
        <v>1</v>
      </c>
      <c r="BZ38" s="1244">
        <v>5</v>
      </c>
      <c r="CA38" s="1244"/>
      <c r="CB38" s="1240">
        <f t="shared" si="25"/>
        <v>6</v>
      </c>
    </row>
    <row r="39" spans="1:80" ht="14.25" customHeight="1" x14ac:dyDescent="0.2">
      <c r="A39" s="6446"/>
      <c r="B39" s="6449"/>
      <c r="C39" s="6444"/>
      <c r="D39" s="4240" t="s">
        <v>1303</v>
      </c>
      <c r="E39" s="1243"/>
      <c r="F39" s="1244"/>
      <c r="G39" s="1244"/>
      <c r="H39" s="1245"/>
      <c r="I39" s="1243"/>
      <c r="J39" s="1244"/>
      <c r="K39" s="1244"/>
      <c r="L39" s="1245"/>
      <c r="M39" s="1243"/>
      <c r="N39" s="1244"/>
      <c r="O39" s="1244"/>
      <c r="P39" s="1245"/>
      <c r="Q39" s="1243"/>
      <c r="R39" s="1244"/>
      <c r="S39" s="1244"/>
      <c r="T39" s="1245"/>
      <c r="U39" s="1243"/>
      <c r="V39" s="1244"/>
      <c r="W39" s="1244"/>
      <c r="X39" s="1245"/>
      <c r="Y39" s="1243"/>
      <c r="Z39" s="1244"/>
      <c r="AA39" s="1244"/>
      <c r="AB39" s="1245"/>
      <c r="AC39" s="1243"/>
      <c r="AD39" s="1244"/>
      <c r="AE39" s="1244"/>
      <c r="AF39" s="1246"/>
      <c r="AG39" s="1244"/>
      <c r="AH39" s="1244"/>
      <c r="AI39" s="1244"/>
      <c r="AJ39" s="1246"/>
      <c r="AK39" s="1244"/>
      <c r="AL39" s="1244"/>
      <c r="AM39" s="1244"/>
      <c r="AN39" s="1246"/>
      <c r="AO39" s="1244"/>
      <c r="AP39" s="1244"/>
      <c r="AQ39" s="1244"/>
      <c r="AR39" s="1246"/>
      <c r="AS39" s="1244"/>
      <c r="AT39" s="1244"/>
      <c r="AU39" s="1244"/>
      <c r="AV39" s="1246"/>
      <c r="AW39" s="1244"/>
      <c r="AX39" s="1244"/>
      <c r="AY39" s="1244"/>
      <c r="AZ39" s="1246"/>
      <c r="BA39" s="1244"/>
      <c r="BB39" s="1244"/>
      <c r="BC39" s="1244"/>
      <c r="BD39" s="1246"/>
      <c r="BE39" s="1244"/>
      <c r="BF39" s="1244"/>
      <c r="BG39" s="1244"/>
      <c r="BH39" s="1240"/>
      <c r="BI39" s="1244"/>
      <c r="BJ39" s="1244"/>
      <c r="BK39" s="1244"/>
      <c r="BL39" s="1240"/>
      <c r="BM39" s="1244"/>
      <c r="BN39" s="1244"/>
      <c r="BO39" s="1244"/>
      <c r="BP39" s="1240"/>
      <c r="BQ39" s="1244"/>
      <c r="BR39" s="1244"/>
      <c r="BS39" s="1244">
        <v>2</v>
      </c>
      <c r="BT39" s="1240">
        <f t="shared" si="23"/>
        <v>2</v>
      </c>
      <c r="BU39" s="1243">
        <v>2</v>
      </c>
      <c r="BV39" s="1244"/>
      <c r="BW39" s="1244">
        <v>1</v>
      </c>
      <c r="BX39" s="1240">
        <f t="shared" si="24"/>
        <v>3</v>
      </c>
      <c r="BY39" s="1243"/>
      <c r="BZ39" s="1244"/>
      <c r="CA39" s="1244">
        <v>2</v>
      </c>
      <c r="CB39" s="1240">
        <f t="shared" si="25"/>
        <v>2</v>
      </c>
    </row>
    <row r="40" spans="1:80" ht="14.25" customHeight="1" x14ac:dyDescent="0.2">
      <c r="A40" s="6446"/>
      <c r="B40" s="6449"/>
      <c r="C40" s="6452"/>
      <c r="D40" s="4240" t="s">
        <v>1304</v>
      </c>
      <c r="E40" s="1244"/>
      <c r="F40" s="1244"/>
      <c r="G40" s="1244"/>
      <c r="H40" s="1245"/>
      <c r="I40" s="1244"/>
      <c r="J40" s="1244"/>
      <c r="K40" s="1244"/>
      <c r="L40" s="1245"/>
      <c r="M40" s="1244"/>
      <c r="N40" s="1244"/>
      <c r="O40" s="1244"/>
      <c r="P40" s="1245"/>
      <c r="Q40" s="1244"/>
      <c r="R40" s="1244"/>
      <c r="S40" s="1244"/>
      <c r="T40" s="1245"/>
      <c r="U40" s="1244"/>
      <c r="V40" s="1244"/>
      <c r="W40" s="1244"/>
      <c r="X40" s="1245"/>
      <c r="Y40" s="1244"/>
      <c r="Z40" s="1244"/>
      <c r="AA40" s="1244"/>
      <c r="AB40" s="1245"/>
      <c r="AC40" s="1244"/>
      <c r="AD40" s="1244"/>
      <c r="AE40" s="1244"/>
      <c r="AF40" s="1246"/>
      <c r="AG40" s="1244"/>
      <c r="AH40" s="1244"/>
      <c r="AI40" s="1244"/>
      <c r="AJ40" s="1246"/>
      <c r="AK40" s="1244"/>
      <c r="AL40" s="1244"/>
      <c r="AM40" s="1244"/>
      <c r="AN40" s="1246"/>
      <c r="AO40" s="1244"/>
      <c r="AP40" s="1244"/>
      <c r="AQ40" s="1244"/>
      <c r="AR40" s="1246"/>
      <c r="AS40" s="1244"/>
      <c r="AT40" s="1244"/>
      <c r="AU40" s="1244"/>
      <c r="AV40" s="1246"/>
      <c r="AW40" s="1244"/>
      <c r="AX40" s="1244"/>
      <c r="AY40" s="1244"/>
      <c r="AZ40" s="1246"/>
      <c r="BA40" s="1244"/>
      <c r="BB40" s="1244"/>
      <c r="BC40" s="1244"/>
      <c r="BD40" s="1246"/>
      <c r="BE40" s="1244"/>
      <c r="BF40" s="1244"/>
      <c r="BG40" s="1244"/>
      <c r="BH40" s="1240"/>
      <c r="BI40" s="1244"/>
      <c r="BJ40" s="1244"/>
      <c r="BK40" s="1244"/>
      <c r="BL40" s="1240"/>
      <c r="BM40" s="1244"/>
      <c r="BN40" s="1244"/>
      <c r="BO40" s="1244"/>
      <c r="BP40" s="1240"/>
      <c r="BQ40" s="1244"/>
      <c r="BR40" s="1244"/>
      <c r="BS40" s="1244"/>
      <c r="BT40" s="1240"/>
      <c r="BU40" s="1243"/>
      <c r="BV40" s="1244"/>
      <c r="BW40" s="1244">
        <v>1</v>
      </c>
      <c r="BX40" s="1240">
        <f t="shared" si="24"/>
        <v>1</v>
      </c>
      <c r="BY40" s="1243"/>
      <c r="BZ40" s="1244">
        <v>2</v>
      </c>
      <c r="CA40" s="1244">
        <v>2</v>
      </c>
      <c r="CB40" s="1240">
        <f t="shared" si="25"/>
        <v>4</v>
      </c>
    </row>
    <row r="41" spans="1:80" ht="14.25" customHeight="1" x14ac:dyDescent="0.2">
      <c r="A41" s="6446"/>
      <c r="B41" s="6449"/>
      <c r="C41" s="6455" t="s">
        <v>520</v>
      </c>
      <c r="D41" s="1242" t="s">
        <v>402</v>
      </c>
      <c r="E41" s="1244"/>
      <c r="F41" s="1244"/>
      <c r="G41" s="1244"/>
      <c r="H41" s="1240"/>
      <c r="I41" s="1244"/>
      <c r="J41" s="1244"/>
      <c r="K41" s="1244"/>
      <c r="L41" s="1240"/>
      <c r="M41" s="1244">
        <v>1</v>
      </c>
      <c r="N41" s="1244">
        <v>6</v>
      </c>
      <c r="O41" s="1244">
        <v>4</v>
      </c>
      <c r="P41" s="1240">
        <f>SUM(M41:O41)</f>
        <v>11</v>
      </c>
      <c r="Q41" s="1244"/>
      <c r="R41" s="1244"/>
      <c r="S41" s="1244"/>
      <c r="T41" s="1240"/>
      <c r="U41" s="1244"/>
      <c r="V41" s="1244"/>
      <c r="W41" s="1244"/>
      <c r="X41" s="1240"/>
      <c r="Y41" s="1244"/>
      <c r="Z41" s="1244">
        <v>1</v>
      </c>
      <c r="AA41" s="1244">
        <v>1</v>
      </c>
      <c r="AB41" s="1240">
        <f>SUM(Y41:AA41)</f>
        <v>2</v>
      </c>
      <c r="AC41" s="1244"/>
      <c r="AD41" s="1244">
        <v>6</v>
      </c>
      <c r="AE41" s="1244">
        <v>1</v>
      </c>
      <c r="AF41" s="1240">
        <f>SUM(AC41:AE41)</f>
        <v>7</v>
      </c>
      <c r="AG41" s="1244">
        <v>1</v>
      </c>
      <c r="AH41" s="1244">
        <v>1</v>
      </c>
      <c r="AI41" s="1244">
        <v>2</v>
      </c>
      <c r="AJ41" s="1240">
        <f>SUM(AG41:AI41)</f>
        <v>4</v>
      </c>
      <c r="AK41" s="1244"/>
      <c r="AL41" s="1244"/>
      <c r="AM41" s="1244">
        <v>1</v>
      </c>
      <c r="AN41" s="1240">
        <f>SUM(AK41:AM41)</f>
        <v>1</v>
      </c>
      <c r="AO41" s="1244">
        <v>1</v>
      </c>
      <c r="AP41" s="1244"/>
      <c r="AQ41" s="1244"/>
      <c r="AR41" s="1240">
        <f>SUM(AO41:AQ41)</f>
        <v>1</v>
      </c>
      <c r="AS41" s="1244">
        <v>1</v>
      </c>
      <c r="AT41" s="1244">
        <v>1</v>
      </c>
      <c r="AU41" s="1244">
        <v>1</v>
      </c>
      <c r="AV41" s="1240">
        <f>SUM(AS41:AU41)</f>
        <v>3</v>
      </c>
      <c r="AW41" s="1244">
        <v>1</v>
      </c>
      <c r="AX41" s="1244">
        <v>1</v>
      </c>
      <c r="AY41" s="1244">
        <v>3</v>
      </c>
      <c r="AZ41" s="1240">
        <f>SUM(AW41:AY41)</f>
        <v>5</v>
      </c>
      <c r="BA41" s="1244">
        <v>1</v>
      </c>
      <c r="BB41" s="1244">
        <v>4</v>
      </c>
      <c r="BC41" s="1244">
        <v>2</v>
      </c>
      <c r="BD41" s="1240">
        <f>SUM(BA41:BC41)</f>
        <v>7</v>
      </c>
      <c r="BE41" s="1244"/>
      <c r="BF41" s="1244">
        <v>1</v>
      </c>
      <c r="BG41" s="1244">
        <v>1</v>
      </c>
      <c r="BH41" s="1240">
        <f>SUM(BE41:BG41)</f>
        <v>2</v>
      </c>
      <c r="BI41" s="1244">
        <v>3</v>
      </c>
      <c r="BJ41" s="1244">
        <v>5</v>
      </c>
      <c r="BK41" s="1244">
        <v>1</v>
      </c>
      <c r="BL41" s="1240">
        <f>SUM(BI41:BK41)</f>
        <v>9</v>
      </c>
      <c r="BM41" s="1244">
        <v>3</v>
      </c>
      <c r="BN41" s="1244">
        <v>5</v>
      </c>
      <c r="BO41" s="1244">
        <v>1</v>
      </c>
      <c r="BP41" s="1240">
        <f>SUM(BM41:BO41)</f>
        <v>9</v>
      </c>
      <c r="BQ41" s="1244"/>
      <c r="BR41" s="1244">
        <v>2</v>
      </c>
      <c r="BS41" s="1244"/>
      <c r="BT41" s="1240">
        <f t="shared" si="23"/>
        <v>2</v>
      </c>
      <c r="BU41" s="1243"/>
      <c r="BV41" s="1244"/>
      <c r="BW41" s="1244"/>
      <c r="BX41" s="1240">
        <f t="shared" si="24"/>
        <v>0</v>
      </c>
      <c r="BY41" s="1243"/>
      <c r="BZ41" s="1244"/>
      <c r="CA41" s="1244"/>
      <c r="CB41" s="1240">
        <f t="shared" si="25"/>
        <v>0</v>
      </c>
    </row>
    <row r="42" spans="1:80" ht="14.25" customHeight="1" x14ac:dyDescent="0.2">
      <c r="A42" s="6446"/>
      <c r="B42" s="6449"/>
      <c r="C42" s="6444"/>
      <c r="D42" s="1253" t="s">
        <v>1300</v>
      </c>
      <c r="E42" s="1244"/>
      <c r="F42" s="1244"/>
      <c r="G42" s="1244"/>
      <c r="H42" s="1240"/>
      <c r="I42" s="1244"/>
      <c r="J42" s="1244"/>
      <c r="K42" s="1244"/>
      <c r="L42" s="1240"/>
      <c r="M42" s="1244"/>
      <c r="N42" s="1244"/>
      <c r="O42" s="1244"/>
      <c r="P42" s="1240"/>
      <c r="Q42" s="1244"/>
      <c r="R42" s="1244"/>
      <c r="S42" s="1244"/>
      <c r="T42" s="1240"/>
      <c r="U42" s="1244"/>
      <c r="V42" s="1244"/>
      <c r="W42" s="1244"/>
      <c r="X42" s="1240"/>
      <c r="Y42" s="1244"/>
      <c r="Z42" s="1244"/>
      <c r="AA42" s="1244"/>
      <c r="AB42" s="1240"/>
      <c r="AC42" s="1244"/>
      <c r="AD42" s="1244"/>
      <c r="AE42" s="1244"/>
      <c r="AF42" s="1240"/>
      <c r="AG42" s="1244"/>
      <c r="AH42" s="1244"/>
      <c r="AI42" s="1244"/>
      <c r="AJ42" s="1240"/>
      <c r="AK42" s="1244"/>
      <c r="AL42" s="1244"/>
      <c r="AM42" s="1244"/>
      <c r="AN42" s="1240"/>
      <c r="AO42" s="1244"/>
      <c r="AP42" s="1244"/>
      <c r="AQ42" s="1244"/>
      <c r="AR42" s="1240"/>
      <c r="AS42" s="1244"/>
      <c r="AT42" s="1244"/>
      <c r="AU42" s="1244"/>
      <c r="AV42" s="1240"/>
      <c r="AW42" s="1244"/>
      <c r="AX42" s="1244"/>
      <c r="AY42" s="1244"/>
      <c r="AZ42" s="1240"/>
      <c r="BA42" s="1244"/>
      <c r="BB42" s="1244"/>
      <c r="BC42" s="1244"/>
      <c r="BD42" s="1240"/>
      <c r="BE42" s="1244"/>
      <c r="BF42" s="1244"/>
      <c r="BG42" s="1244"/>
      <c r="BH42" s="1240"/>
      <c r="BI42" s="1244"/>
      <c r="BJ42" s="1244"/>
      <c r="BK42" s="1244"/>
      <c r="BL42" s="1240"/>
      <c r="BM42" s="1244"/>
      <c r="BN42" s="1244"/>
      <c r="BO42" s="1244"/>
      <c r="BP42" s="1240"/>
      <c r="BQ42" s="1237"/>
      <c r="BR42" s="1238">
        <v>1</v>
      </c>
      <c r="BS42" s="1238"/>
      <c r="BT42" s="1240">
        <f t="shared" si="23"/>
        <v>1</v>
      </c>
      <c r="BU42" s="1237"/>
      <c r="BV42" s="1238"/>
      <c r="BW42" s="1238"/>
      <c r="BX42" s="1240">
        <f t="shared" si="24"/>
        <v>0</v>
      </c>
      <c r="BY42" s="1237"/>
      <c r="BZ42" s="1238"/>
      <c r="CA42" s="1238"/>
      <c r="CB42" s="1240">
        <f t="shared" si="25"/>
        <v>0</v>
      </c>
    </row>
    <row r="43" spans="1:80" ht="14.25" customHeight="1" x14ac:dyDescent="0.2">
      <c r="A43" s="6446"/>
      <c r="B43" s="6449"/>
      <c r="C43" s="6444"/>
      <c r="D43" s="1254" t="s">
        <v>1301</v>
      </c>
      <c r="E43" s="1237"/>
      <c r="F43" s="1238"/>
      <c r="G43" s="1238"/>
      <c r="H43" s="1240"/>
      <c r="I43" s="1237"/>
      <c r="J43" s="1238"/>
      <c r="K43" s="1238"/>
      <c r="L43" s="1240"/>
      <c r="M43" s="1237"/>
      <c r="N43" s="1238"/>
      <c r="O43" s="1238"/>
      <c r="P43" s="1240"/>
      <c r="Q43" s="1237"/>
      <c r="R43" s="1238"/>
      <c r="S43" s="1238"/>
      <c r="T43" s="1240"/>
      <c r="U43" s="1237"/>
      <c r="V43" s="1238"/>
      <c r="W43" s="1238"/>
      <c r="X43" s="1240"/>
      <c r="Y43" s="1237"/>
      <c r="Z43" s="1238"/>
      <c r="AA43" s="1238"/>
      <c r="AB43" s="1240"/>
      <c r="AC43" s="1237"/>
      <c r="AD43" s="1238"/>
      <c r="AE43" s="1238"/>
      <c r="AF43" s="1240"/>
      <c r="AG43" s="1237"/>
      <c r="AH43" s="1238"/>
      <c r="AI43" s="1238"/>
      <c r="AJ43" s="1240"/>
      <c r="AK43" s="1237"/>
      <c r="AL43" s="1238"/>
      <c r="AM43" s="1238"/>
      <c r="AN43" s="1240"/>
      <c r="AO43" s="1237"/>
      <c r="AP43" s="1238"/>
      <c r="AQ43" s="1238"/>
      <c r="AR43" s="1240"/>
      <c r="AS43" s="1237"/>
      <c r="AT43" s="1238"/>
      <c r="AU43" s="1238"/>
      <c r="AV43" s="1240"/>
      <c r="AW43" s="1237"/>
      <c r="AX43" s="1238"/>
      <c r="AY43" s="1238"/>
      <c r="AZ43" s="1240"/>
      <c r="BA43" s="1237"/>
      <c r="BB43" s="1238"/>
      <c r="BC43" s="1238"/>
      <c r="BD43" s="1240"/>
      <c r="BE43" s="1237"/>
      <c r="BF43" s="1238"/>
      <c r="BG43" s="1238"/>
      <c r="BH43" s="1240"/>
      <c r="BI43" s="1237"/>
      <c r="BJ43" s="1238"/>
      <c r="BK43" s="1238"/>
      <c r="BL43" s="1240"/>
      <c r="BM43" s="1237"/>
      <c r="BN43" s="1238"/>
      <c r="BO43" s="1238"/>
      <c r="BP43" s="1240"/>
      <c r="BQ43" s="1237"/>
      <c r="BR43" s="1238"/>
      <c r="BS43" s="1238">
        <v>1</v>
      </c>
      <c r="BT43" s="1240">
        <f t="shared" si="23"/>
        <v>1</v>
      </c>
      <c r="BU43" s="1237"/>
      <c r="BV43" s="1238"/>
      <c r="BW43" s="1238"/>
      <c r="BX43" s="1240">
        <f t="shared" si="24"/>
        <v>0</v>
      </c>
      <c r="BY43" s="1237"/>
      <c r="BZ43" s="1238"/>
      <c r="CA43" s="1238">
        <v>1</v>
      </c>
      <c r="CB43" s="1240">
        <f t="shared" si="25"/>
        <v>1</v>
      </c>
    </row>
    <row r="44" spans="1:80" ht="14.25" customHeight="1" x14ac:dyDescent="0.2">
      <c r="A44" s="6446"/>
      <c r="B44" s="6449"/>
      <c r="C44" s="6444"/>
      <c r="D44" s="1253" t="s">
        <v>1302</v>
      </c>
      <c r="E44" s="1237"/>
      <c r="F44" s="1238"/>
      <c r="G44" s="1238"/>
      <c r="H44" s="1240"/>
      <c r="I44" s="1237"/>
      <c r="J44" s="1238"/>
      <c r="K44" s="1238"/>
      <c r="L44" s="1240"/>
      <c r="M44" s="1237"/>
      <c r="N44" s="1238"/>
      <c r="O44" s="1238"/>
      <c r="P44" s="1240"/>
      <c r="Q44" s="1237"/>
      <c r="R44" s="1238"/>
      <c r="S44" s="1238"/>
      <c r="T44" s="1240"/>
      <c r="U44" s="1237"/>
      <c r="V44" s="1238"/>
      <c r="W44" s="1238"/>
      <c r="X44" s="1240"/>
      <c r="Y44" s="1237"/>
      <c r="Z44" s="1238"/>
      <c r="AA44" s="1238"/>
      <c r="AB44" s="1240"/>
      <c r="AC44" s="1237"/>
      <c r="AD44" s="1238"/>
      <c r="AE44" s="1238"/>
      <c r="AF44" s="1240"/>
      <c r="AG44" s="1237"/>
      <c r="AH44" s="1238"/>
      <c r="AI44" s="1238"/>
      <c r="AJ44" s="1240"/>
      <c r="AK44" s="1237"/>
      <c r="AL44" s="1238"/>
      <c r="AM44" s="1238"/>
      <c r="AN44" s="1240"/>
      <c r="AO44" s="1237"/>
      <c r="AP44" s="1238"/>
      <c r="AQ44" s="1238"/>
      <c r="AR44" s="1240"/>
      <c r="AS44" s="1237"/>
      <c r="AT44" s="1238"/>
      <c r="AU44" s="1238"/>
      <c r="AV44" s="1240"/>
      <c r="AW44" s="1237"/>
      <c r="AX44" s="1238"/>
      <c r="AY44" s="1238"/>
      <c r="AZ44" s="1240"/>
      <c r="BA44" s="1237"/>
      <c r="BB44" s="1238"/>
      <c r="BC44" s="1238"/>
      <c r="BD44" s="1240"/>
      <c r="BE44" s="1237"/>
      <c r="BF44" s="1238"/>
      <c r="BG44" s="1238"/>
      <c r="BH44" s="1240"/>
      <c r="BI44" s="1237"/>
      <c r="BJ44" s="1238"/>
      <c r="BK44" s="1238"/>
      <c r="BL44" s="1240"/>
      <c r="BM44" s="1237"/>
      <c r="BN44" s="1238"/>
      <c r="BO44" s="1238"/>
      <c r="BP44" s="1240"/>
      <c r="BQ44" s="1237"/>
      <c r="BR44" s="1238"/>
      <c r="BS44" s="1238">
        <v>1</v>
      </c>
      <c r="BT44" s="1240">
        <f t="shared" si="23"/>
        <v>1</v>
      </c>
      <c r="BU44" s="1237"/>
      <c r="BV44" s="1238">
        <v>4</v>
      </c>
      <c r="BW44" s="1238">
        <v>1</v>
      </c>
      <c r="BX44" s="1240">
        <f t="shared" si="24"/>
        <v>5</v>
      </c>
      <c r="BY44" s="1237"/>
      <c r="BZ44" s="1238">
        <v>1</v>
      </c>
      <c r="CA44" s="1238"/>
      <c r="CB44" s="1240">
        <f t="shared" si="25"/>
        <v>1</v>
      </c>
    </row>
    <row r="45" spans="1:80" ht="14.25" customHeight="1" x14ac:dyDescent="0.2">
      <c r="A45" s="6446"/>
      <c r="B45" s="6449"/>
      <c r="C45" s="6444"/>
      <c r="D45" s="5053" t="s">
        <v>1304</v>
      </c>
      <c r="E45" s="5054"/>
      <c r="F45" s="4242"/>
      <c r="G45" s="4242"/>
      <c r="H45" s="1468"/>
      <c r="I45" s="5054"/>
      <c r="J45" s="4242"/>
      <c r="K45" s="4242"/>
      <c r="L45" s="1468"/>
      <c r="M45" s="5054"/>
      <c r="N45" s="4242"/>
      <c r="O45" s="4242"/>
      <c r="P45" s="1468"/>
      <c r="Q45" s="5054"/>
      <c r="R45" s="4242"/>
      <c r="S45" s="4242"/>
      <c r="T45" s="1468"/>
      <c r="U45" s="5054"/>
      <c r="V45" s="4242"/>
      <c r="W45" s="4242"/>
      <c r="X45" s="1468"/>
      <c r="Y45" s="5054"/>
      <c r="Z45" s="4242"/>
      <c r="AA45" s="4242"/>
      <c r="AB45" s="1468"/>
      <c r="AC45" s="5054"/>
      <c r="AD45" s="4242"/>
      <c r="AE45" s="4242"/>
      <c r="AF45" s="1476"/>
      <c r="AG45" s="4242"/>
      <c r="AH45" s="4242"/>
      <c r="AI45" s="4242"/>
      <c r="AJ45" s="1476"/>
      <c r="AK45" s="4242"/>
      <c r="AL45" s="4242"/>
      <c r="AM45" s="4242"/>
      <c r="AN45" s="1476"/>
      <c r="AO45" s="4242"/>
      <c r="AP45" s="4242"/>
      <c r="AQ45" s="4242"/>
      <c r="AR45" s="1476"/>
      <c r="AS45" s="4242"/>
      <c r="AT45" s="4242"/>
      <c r="AU45" s="4242"/>
      <c r="AV45" s="1476"/>
      <c r="AW45" s="4242"/>
      <c r="AX45" s="4242"/>
      <c r="AY45" s="4242"/>
      <c r="AZ45" s="1476"/>
      <c r="BA45" s="4242"/>
      <c r="BB45" s="4242"/>
      <c r="BC45" s="4242"/>
      <c r="BD45" s="1476"/>
      <c r="BE45" s="4242"/>
      <c r="BF45" s="4242"/>
      <c r="BG45" s="4242"/>
      <c r="BH45" s="1476"/>
      <c r="BI45" s="4242"/>
      <c r="BJ45" s="4242"/>
      <c r="BK45" s="4242"/>
      <c r="BL45" s="1476"/>
      <c r="BM45" s="4242"/>
      <c r="BN45" s="4242"/>
      <c r="BO45" s="4242"/>
      <c r="BP45" s="1476"/>
      <c r="BQ45" s="4242"/>
      <c r="BR45" s="4242"/>
      <c r="BS45" s="4242"/>
      <c r="BT45" s="1476"/>
      <c r="BU45" s="5054"/>
      <c r="BV45" s="4242">
        <v>2</v>
      </c>
      <c r="BW45" s="4242"/>
      <c r="BX45" s="1240">
        <f t="shared" si="24"/>
        <v>2</v>
      </c>
      <c r="BY45" s="5054"/>
      <c r="BZ45" s="4242">
        <v>1</v>
      </c>
      <c r="CA45" s="4242">
        <v>2</v>
      </c>
      <c r="CB45" s="1240">
        <f t="shared" si="25"/>
        <v>3</v>
      </c>
    </row>
    <row r="46" spans="1:80" ht="14.25" customHeight="1" x14ac:dyDescent="0.2">
      <c r="A46" s="6446"/>
      <c r="B46" s="6450"/>
      <c r="C46" s="1304"/>
      <c r="D46" s="1247" t="s">
        <v>160</v>
      </c>
      <c r="E46" s="1248">
        <f t="shared" ref="E46:AJ46" si="26">SUM(E32:E41)</f>
        <v>1</v>
      </c>
      <c r="F46" s="1249">
        <f t="shared" si="26"/>
        <v>0</v>
      </c>
      <c r="G46" s="1249">
        <f t="shared" si="26"/>
        <v>17</v>
      </c>
      <c r="H46" s="1249">
        <f t="shared" si="26"/>
        <v>18</v>
      </c>
      <c r="I46" s="1248">
        <f t="shared" si="26"/>
        <v>0</v>
      </c>
      <c r="J46" s="1249">
        <f t="shared" si="26"/>
        <v>3</v>
      </c>
      <c r="K46" s="1249">
        <f t="shared" si="26"/>
        <v>6</v>
      </c>
      <c r="L46" s="1249">
        <f t="shared" si="26"/>
        <v>9</v>
      </c>
      <c r="M46" s="1248">
        <f t="shared" si="26"/>
        <v>4</v>
      </c>
      <c r="N46" s="1249">
        <f t="shared" si="26"/>
        <v>13</v>
      </c>
      <c r="O46" s="1249">
        <f t="shared" si="26"/>
        <v>7</v>
      </c>
      <c r="P46" s="1249">
        <f t="shared" si="26"/>
        <v>24</v>
      </c>
      <c r="Q46" s="1248">
        <f t="shared" si="26"/>
        <v>10</v>
      </c>
      <c r="R46" s="1249">
        <f t="shared" si="26"/>
        <v>75</v>
      </c>
      <c r="S46" s="1249">
        <f t="shared" si="26"/>
        <v>31</v>
      </c>
      <c r="T46" s="1249">
        <f t="shared" si="26"/>
        <v>116</v>
      </c>
      <c r="U46" s="1248">
        <f t="shared" si="26"/>
        <v>1</v>
      </c>
      <c r="V46" s="1249">
        <f t="shared" si="26"/>
        <v>3</v>
      </c>
      <c r="W46" s="1249">
        <f t="shared" si="26"/>
        <v>6</v>
      </c>
      <c r="X46" s="1249">
        <f t="shared" si="26"/>
        <v>10</v>
      </c>
      <c r="Y46" s="1248">
        <f t="shared" si="26"/>
        <v>4</v>
      </c>
      <c r="Z46" s="1249">
        <f t="shared" si="26"/>
        <v>17</v>
      </c>
      <c r="AA46" s="1249">
        <f t="shared" si="26"/>
        <v>10</v>
      </c>
      <c r="AB46" s="1249">
        <f t="shared" si="26"/>
        <v>31</v>
      </c>
      <c r="AC46" s="1248">
        <f t="shared" si="26"/>
        <v>5</v>
      </c>
      <c r="AD46" s="1249">
        <f t="shared" si="26"/>
        <v>11</v>
      </c>
      <c r="AE46" s="1249">
        <f t="shared" si="26"/>
        <v>15</v>
      </c>
      <c r="AF46" s="1306">
        <f t="shared" si="26"/>
        <v>31</v>
      </c>
      <c r="AG46" s="1249">
        <f t="shared" si="26"/>
        <v>3</v>
      </c>
      <c r="AH46" s="1249">
        <f t="shared" si="26"/>
        <v>16</v>
      </c>
      <c r="AI46" s="1249">
        <f t="shared" si="26"/>
        <v>11</v>
      </c>
      <c r="AJ46" s="1306">
        <f t="shared" si="26"/>
        <v>30</v>
      </c>
      <c r="AK46" s="1249">
        <f t="shared" ref="AK46:BQ46" si="27">SUM(AK32:AK41)</f>
        <v>4</v>
      </c>
      <c r="AL46" s="1249">
        <f t="shared" si="27"/>
        <v>16</v>
      </c>
      <c r="AM46" s="1249">
        <f t="shared" si="27"/>
        <v>2</v>
      </c>
      <c r="AN46" s="1306">
        <f t="shared" si="27"/>
        <v>22</v>
      </c>
      <c r="AO46" s="1249">
        <f t="shared" si="27"/>
        <v>5</v>
      </c>
      <c r="AP46" s="1249">
        <f t="shared" si="27"/>
        <v>8</v>
      </c>
      <c r="AQ46" s="1249">
        <f t="shared" si="27"/>
        <v>13</v>
      </c>
      <c r="AR46" s="1306">
        <f t="shared" si="27"/>
        <v>26</v>
      </c>
      <c r="AS46" s="1249">
        <f t="shared" si="27"/>
        <v>13</v>
      </c>
      <c r="AT46" s="1249">
        <f t="shared" si="27"/>
        <v>10</v>
      </c>
      <c r="AU46" s="1249">
        <f t="shared" si="27"/>
        <v>49</v>
      </c>
      <c r="AV46" s="1306">
        <f t="shared" si="27"/>
        <v>72</v>
      </c>
      <c r="AW46" s="1249">
        <f t="shared" si="27"/>
        <v>4</v>
      </c>
      <c r="AX46" s="1249">
        <f t="shared" si="27"/>
        <v>13</v>
      </c>
      <c r="AY46" s="1249">
        <f t="shared" si="27"/>
        <v>30</v>
      </c>
      <c r="AZ46" s="1306">
        <f t="shared" si="27"/>
        <v>47</v>
      </c>
      <c r="BA46" s="1249">
        <f t="shared" si="27"/>
        <v>2</v>
      </c>
      <c r="BB46" s="1249">
        <f t="shared" si="27"/>
        <v>18</v>
      </c>
      <c r="BC46" s="1249">
        <f t="shared" si="27"/>
        <v>45</v>
      </c>
      <c r="BD46" s="1306">
        <f t="shared" si="27"/>
        <v>65</v>
      </c>
      <c r="BE46" s="1249">
        <f t="shared" si="27"/>
        <v>5</v>
      </c>
      <c r="BF46" s="1249">
        <f t="shared" si="27"/>
        <v>10</v>
      </c>
      <c r="BG46" s="1249">
        <f t="shared" si="27"/>
        <v>15</v>
      </c>
      <c r="BH46" s="1306">
        <f t="shared" si="27"/>
        <v>30</v>
      </c>
      <c r="BI46" s="1249">
        <f t="shared" si="27"/>
        <v>9</v>
      </c>
      <c r="BJ46" s="1249">
        <f t="shared" si="27"/>
        <v>35</v>
      </c>
      <c r="BK46" s="1249">
        <f t="shared" si="27"/>
        <v>35</v>
      </c>
      <c r="BL46" s="1306">
        <f t="shared" si="27"/>
        <v>79</v>
      </c>
      <c r="BM46" s="1249">
        <f t="shared" si="27"/>
        <v>7</v>
      </c>
      <c r="BN46" s="1249">
        <f t="shared" si="27"/>
        <v>17</v>
      </c>
      <c r="BO46" s="1249">
        <f t="shared" si="27"/>
        <v>12</v>
      </c>
      <c r="BP46" s="1306">
        <f t="shared" si="27"/>
        <v>36</v>
      </c>
      <c r="BQ46" s="1249">
        <f t="shared" si="27"/>
        <v>8</v>
      </c>
      <c r="BR46" s="1249">
        <f>SUM(BR32:BR44)</f>
        <v>11</v>
      </c>
      <c r="BS46" s="1249">
        <f>SUM(BS32:BS44)</f>
        <v>4</v>
      </c>
      <c r="BT46" s="1306">
        <f>SUM(BT32:BT44)</f>
        <v>23</v>
      </c>
      <c r="BU46" s="1248">
        <f t="shared" ref="BU46:CB46" si="28">SUM(BU32:BU45)</f>
        <v>2</v>
      </c>
      <c r="BV46" s="1249">
        <f t="shared" si="28"/>
        <v>14</v>
      </c>
      <c r="BW46" s="1249">
        <f t="shared" si="28"/>
        <v>4</v>
      </c>
      <c r="BX46" s="1306">
        <f t="shared" si="28"/>
        <v>20</v>
      </c>
      <c r="BY46" s="1248">
        <f t="shared" si="28"/>
        <v>5</v>
      </c>
      <c r="BZ46" s="1249">
        <f t="shared" si="28"/>
        <v>14</v>
      </c>
      <c r="CA46" s="1249">
        <f t="shared" si="28"/>
        <v>18</v>
      </c>
      <c r="CB46" s="1306">
        <f t="shared" si="28"/>
        <v>37</v>
      </c>
    </row>
    <row r="47" spans="1:80" ht="14.25" customHeight="1" x14ac:dyDescent="0.2">
      <c r="A47" s="6447"/>
      <c r="B47" s="4743"/>
      <c r="C47" s="4743"/>
      <c r="D47" s="4744" t="s">
        <v>523</v>
      </c>
      <c r="E47" s="4745">
        <f t="shared" ref="E47:AJ47" si="29">SUM(E17,E31,E46)</f>
        <v>1</v>
      </c>
      <c r="F47" s="4746">
        <f t="shared" si="29"/>
        <v>7</v>
      </c>
      <c r="G47" s="4746">
        <f t="shared" si="29"/>
        <v>22</v>
      </c>
      <c r="H47" s="4746">
        <f t="shared" si="29"/>
        <v>30</v>
      </c>
      <c r="I47" s="4745">
        <f t="shared" si="29"/>
        <v>1</v>
      </c>
      <c r="J47" s="4746">
        <f t="shared" si="29"/>
        <v>4</v>
      </c>
      <c r="K47" s="4746">
        <f t="shared" si="29"/>
        <v>14</v>
      </c>
      <c r="L47" s="4746">
        <f t="shared" si="29"/>
        <v>19</v>
      </c>
      <c r="M47" s="4745">
        <f t="shared" si="29"/>
        <v>7</v>
      </c>
      <c r="N47" s="4746">
        <f t="shared" si="29"/>
        <v>29</v>
      </c>
      <c r="O47" s="4746">
        <f t="shared" si="29"/>
        <v>20</v>
      </c>
      <c r="P47" s="4746">
        <f t="shared" si="29"/>
        <v>56</v>
      </c>
      <c r="Q47" s="4745">
        <f t="shared" si="29"/>
        <v>14</v>
      </c>
      <c r="R47" s="4746">
        <f t="shared" si="29"/>
        <v>204</v>
      </c>
      <c r="S47" s="4746">
        <f t="shared" si="29"/>
        <v>52</v>
      </c>
      <c r="T47" s="4746">
        <f t="shared" si="29"/>
        <v>270</v>
      </c>
      <c r="U47" s="4745">
        <f t="shared" si="29"/>
        <v>21</v>
      </c>
      <c r="V47" s="4746">
        <f t="shared" si="29"/>
        <v>30</v>
      </c>
      <c r="W47" s="4746">
        <f t="shared" si="29"/>
        <v>18</v>
      </c>
      <c r="X47" s="4746">
        <f t="shared" si="29"/>
        <v>69</v>
      </c>
      <c r="Y47" s="4745">
        <f t="shared" si="29"/>
        <v>21</v>
      </c>
      <c r="Z47" s="4746">
        <f t="shared" si="29"/>
        <v>37</v>
      </c>
      <c r="AA47" s="4746">
        <f t="shared" si="29"/>
        <v>26</v>
      </c>
      <c r="AB47" s="4746">
        <f t="shared" si="29"/>
        <v>84</v>
      </c>
      <c r="AC47" s="4745">
        <f t="shared" si="29"/>
        <v>23</v>
      </c>
      <c r="AD47" s="4746">
        <f t="shared" si="29"/>
        <v>54</v>
      </c>
      <c r="AE47" s="4746">
        <f t="shared" si="29"/>
        <v>26</v>
      </c>
      <c r="AF47" s="4747">
        <f t="shared" si="29"/>
        <v>103</v>
      </c>
      <c r="AG47" s="4746">
        <f t="shared" si="29"/>
        <v>18</v>
      </c>
      <c r="AH47" s="4746">
        <f t="shared" si="29"/>
        <v>53</v>
      </c>
      <c r="AI47" s="4746">
        <f t="shared" si="29"/>
        <v>36</v>
      </c>
      <c r="AJ47" s="4747">
        <f t="shared" si="29"/>
        <v>107</v>
      </c>
      <c r="AK47" s="4746">
        <f t="shared" ref="AK47:BP47" si="30">SUM(AK17,AK31,AK46)</f>
        <v>26</v>
      </c>
      <c r="AL47" s="4746">
        <f t="shared" si="30"/>
        <v>47</v>
      </c>
      <c r="AM47" s="4746">
        <f t="shared" si="30"/>
        <v>24</v>
      </c>
      <c r="AN47" s="4747">
        <f t="shared" si="30"/>
        <v>97</v>
      </c>
      <c r="AO47" s="4746">
        <f t="shared" si="30"/>
        <v>20</v>
      </c>
      <c r="AP47" s="4746">
        <f t="shared" si="30"/>
        <v>36</v>
      </c>
      <c r="AQ47" s="4746">
        <f t="shared" si="30"/>
        <v>28</v>
      </c>
      <c r="AR47" s="4747">
        <f t="shared" si="30"/>
        <v>84</v>
      </c>
      <c r="AS47" s="4746">
        <f t="shared" si="30"/>
        <v>21</v>
      </c>
      <c r="AT47" s="4746">
        <f t="shared" si="30"/>
        <v>42</v>
      </c>
      <c r="AU47" s="4746">
        <f t="shared" si="30"/>
        <v>58</v>
      </c>
      <c r="AV47" s="4747">
        <f t="shared" si="30"/>
        <v>121</v>
      </c>
      <c r="AW47" s="4746">
        <f t="shared" si="30"/>
        <v>16</v>
      </c>
      <c r="AX47" s="4746">
        <f t="shared" si="30"/>
        <v>43</v>
      </c>
      <c r="AY47" s="4746">
        <f t="shared" si="30"/>
        <v>45</v>
      </c>
      <c r="AZ47" s="4747">
        <f t="shared" si="30"/>
        <v>104</v>
      </c>
      <c r="BA47" s="4746">
        <f t="shared" si="30"/>
        <v>23</v>
      </c>
      <c r="BB47" s="4746">
        <f t="shared" si="30"/>
        <v>73</v>
      </c>
      <c r="BC47" s="4746">
        <f t="shared" si="30"/>
        <v>62</v>
      </c>
      <c r="BD47" s="4747">
        <f t="shared" si="30"/>
        <v>158</v>
      </c>
      <c r="BE47" s="4746">
        <f t="shared" si="30"/>
        <v>34</v>
      </c>
      <c r="BF47" s="4746">
        <f t="shared" si="30"/>
        <v>52</v>
      </c>
      <c r="BG47" s="4746">
        <f t="shared" si="30"/>
        <v>35</v>
      </c>
      <c r="BH47" s="4747">
        <f t="shared" si="30"/>
        <v>121</v>
      </c>
      <c r="BI47" s="4746">
        <f t="shared" si="30"/>
        <v>21</v>
      </c>
      <c r="BJ47" s="4746">
        <f t="shared" si="30"/>
        <v>62</v>
      </c>
      <c r="BK47" s="4746">
        <f t="shared" si="30"/>
        <v>71</v>
      </c>
      <c r="BL47" s="4747">
        <f t="shared" si="30"/>
        <v>154</v>
      </c>
      <c r="BM47" s="4746">
        <f t="shared" si="30"/>
        <v>34</v>
      </c>
      <c r="BN47" s="4746">
        <f t="shared" si="30"/>
        <v>58</v>
      </c>
      <c r="BO47" s="4746">
        <f t="shared" si="30"/>
        <v>46</v>
      </c>
      <c r="BP47" s="4747">
        <f t="shared" si="30"/>
        <v>138</v>
      </c>
      <c r="BQ47" s="4746">
        <f t="shared" ref="BQ47:CB47" si="31">SUM(BQ17,BQ31,BQ46)</f>
        <v>35</v>
      </c>
      <c r="BR47" s="4746">
        <f t="shared" si="31"/>
        <v>44</v>
      </c>
      <c r="BS47" s="4746">
        <f t="shared" si="31"/>
        <v>26</v>
      </c>
      <c r="BT47" s="4747">
        <f t="shared" si="31"/>
        <v>105</v>
      </c>
      <c r="BU47" s="4746">
        <f t="shared" si="31"/>
        <v>56</v>
      </c>
      <c r="BV47" s="4746">
        <f t="shared" si="31"/>
        <v>66</v>
      </c>
      <c r="BW47" s="4746">
        <f t="shared" si="31"/>
        <v>36</v>
      </c>
      <c r="BX47" s="4747">
        <f t="shared" si="31"/>
        <v>158</v>
      </c>
      <c r="BY47" s="4746">
        <f t="shared" si="31"/>
        <v>40</v>
      </c>
      <c r="BZ47" s="4746">
        <f t="shared" si="31"/>
        <v>71</v>
      </c>
      <c r="CA47" s="4746">
        <f t="shared" si="31"/>
        <v>45</v>
      </c>
      <c r="CB47" s="4747">
        <f t="shared" si="31"/>
        <v>156</v>
      </c>
    </row>
    <row r="48" spans="1:80" ht="14.25" customHeight="1" x14ac:dyDescent="0.2">
      <c r="A48" s="6419" t="s">
        <v>75</v>
      </c>
      <c r="B48" s="6422" t="s">
        <v>5</v>
      </c>
      <c r="C48" s="6443" t="s">
        <v>521</v>
      </c>
      <c r="D48" s="1260" t="s">
        <v>542</v>
      </c>
      <c r="E48" s="1251"/>
      <c r="F48" s="1252"/>
      <c r="G48" s="1252">
        <v>1</v>
      </c>
      <c r="H48" s="1232">
        <f>SUM(E48:G48)</f>
        <v>1</v>
      </c>
      <c r="I48" s="1251">
        <v>1</v>
      </c>
      <c r="J48" s="1252">
        <v>2</v>
      </c>
      <c r="K48" s="1252"/>
      <c r="L48" s="1232">
        <f>SUM(I48:K48)</f>
        <v>3</v>
      </c>
      <c r="M48" s="1251">
        <v>1</v>
      </c>
      <c r="N48" s="1252"/>
      <c r="O48" s="1252">
        <v>1</v>
      </c>
      <c r="P48" s="1232">
        <f>SUM(M48:O48)</f>
        <v>2</v>
      </c>
      <c r="Q48" s="1251"/>
      <c r="R48" s="1252">
        <v>1</v>
      </c>
      <c r="S48" s="1252">
        <v>1</v>
      </c>
      <c r="T48" s="1232">
        <f>SUM(Q48:S48)</f>
        <v>2</v>
      </c>
      <c r="U48" s="1251">
        <v>1</v>
      </c>
      <c r="V48" s="1252">
        <v>1</v>
      </c>
      <c r="W48" s="1252">
        <v>1</v>
      </c>
      <c r="X48" s="1232">
        <f>SUM(U48:W48)</f>
        <v>3</v>
      </c>
      <c r="Y48" s="1251"/>
      <c r="Z48" s="1252">
        <v>1</v>
      </c>
      <c r="AA48" s="1252"/>
      <c r="AB48" s="1232">
        <f>SUM(Y48:AA48)</f>
        <v>1</v>
      </c>
      <c r="AC48" s="1251">
        <v>1</v>
      </c>
      <c r="AD48" s="1252">
        <v>1</v>
      </c>
      <c r="AE48" s="1252"/>
      <c r="AF48" s="1235">
        <f>SUM(AC48:AE48)</f>
        <v>2</v>
      </c>
      <c r="AG48" s="1252"/>
      <c r="AH48" s="1252"/>
      <c r="AI48" s="1252"/>
      <c r="AJ48" s="1235"/>
      <c r="AK48" s="1252">
        <v>1</v>
      </c>
      <c r="AL48" s="1252">
        <v>1</v>
      </c>
      <c r="AM48" s="1252"/>
      <c r="AN48" s="1235">
        <f t="shared" ref="AN48:AN53" si="32">SUM(AK48:AM48)</f>
        <v>2</v>
      </c>
      <c r="AO48" s="1252">
        <v>1</v>
      </c>
      <c r="AP48" s="1252"/>
      <c r="AQ48" s="1252">
        <v>2</v>
      </c>
      <c r="AR48" s="1235">
        <f t="shared" ref="AR48:AR53" si="33">SUM(AO48:AQ48)</f>
        <v>3</v>
      </c>
      <c r="AS48" s="1252">
        <v>2</v>
      </c>
      <c r="AT48" s="1252">
        <v>3</v>
      </c>
      <c r="AU48" s="1252"/>
      <c r="AV48" s="1235">
        <f t="shared" ref="AV48:AV53" si="34">SUM(AS48:AU48)</f>
        <v>5</v>
      </c>
      <c r="AW48" s="1252">
        <v>2</v>
      </c>
      <c r="AX48" s="1252">
        <v>1</v>
      </c>
      <c r="AY48" s="1252">
        <v>1</v>
      </c>
      <c r="AZ48" s="1235">
        <f t="shared" ref="AZ48:AZ53" si="35">SUM(AW48:AY48)</f>
        <v>4</v>
      </c>
      <c r="BA48" s="1252">
        <v>3</v>
      </c>
      <c r="BB48" s="1252"/>
      <c r="BC48" s="1252"/>
      <c r="BD48" s="1235">
        <f t="shared" ref="BD48:BD53" si="36">SUM(BA48:BC48)</f>
        <v>3</v>
      </c>
      <c r="BE48" s="1252"/>
      <c r="BF48" s="1252"/>
      <c r="BG48" s="1252"/>
      <c r="BH48" s="1259"/>
      <c r="BI48" s="1252">
        <v>1</v>
      </c>
      <c r="BJ48" s="1252">
        <v>7</v>
      </c>
      <c r="BK48" s="1252">
        <v>1</v>
      </c>
      <c r="BL48" s="1240">
        <f t="shared" ref="BL48:BL53" si="37">SUM(BI48:BK48)</f>
        <v>9</v>
      </c>
      <c r="BM48" s="1252"/>
      <c r="BN48" s="1252">
        <v>5</v>
      </c>
      <c r="BO48" s="1252">
        <v>3</v>
      </c>
      <c r="BP48" s="1240">
        <f t="shared" ref="BP48:BP53" si="38">SUM(BM48:BO48)</f>
        <v>8</v>
      </c>
      <c r="BQ48" s="1252">
        <v>2</v>
      </c>
      <c r="BR48" s="1252">
        <v>2</v>
      </c>
      <c r="BS48" s="1252">
        <v>3</v>
      </c>
      <c r="BT48" s="1240">
        <f t="shared" ref="BT48:BT61" si="39">SUM(BQ48:BS48)</f>
        <v>7</v>
      </c>
      <c r="BU48" s="1252"/>
      <c r="BV48" s="1252">
        <v>3</v>
      </c>
      <c r="BW48" s="1252"/>
      <c r="BX48" s="1240">
        <f t="shared" ref="BX48:BX61" si="40">SUM(BU48:BW48)</f>
        <v>3</v>
      </c>
      <c r="BY48" s="1252">
        <v>2</v>
      </c>
      <c r="BZ48" s="1252">
        <v>7</v>
      </c>
      <c r="CA48" s="1252">
        <v>3</v>
      </c>
      <c r="CB48" s="1240">
        <f t="shared" ref="CB48:CB61" si="41">SUM(BY48:CA48)</f>
        <v>12</v>
      </c>
    </row>
    <row r="49" spans="1:80" ht="14.25" customHeight="1" x14ac:dyDescent="0.2">
      <c r="A49" s="6420"/>
      <c r="B49" s="6423"/>
      <c r="C49" s="6444"/>
      <c r="D49" s="1261" t="s">
        <v>543</v>
      </c>
      <c r="E49" s="1237">
        <v>1</v>
      </c>
      <c r="F49" s="1238">
        <v>1</v>
      </c>
      <c r="G49" s="1238"/>
      <c r="H49" s="1239">
        <f>SUM(E49:G49)</f>
        <v>2</v>
      </c>
      <c r="I49" s="1237">
        <v>1</v>
      </c>
      <c r="J49" s="1238"/>
      <c r="K49" s="1238">
        <v>1</v>
      </c>
      <c r="L49" s="1239">
        <f>SUM(I49:K49)</f>
        <v>2</v>
      </c>
      <c r="M49" s="1237">
        <v>1</v>
      </c>
      <c r="N49" s="1238">
        <v>3</v>
      </c>
      <c r="O49" s="1238">
        <v>1</v>
      </c>
      <c r="P49" s="1239">
        <f>SUM(M49:O49)</f>
        <v>5</v>
      </c>
      <c r="Q49" s="1237"/>
      <c r="R49" s="1238">
        <v>1</v>
      </c>
      <c r="S49" s="1238"/>
      <c r="T49" s="1239">
        <f>SUM(Q49:S49)</f>
        <v>1</v>
      </c>
      <c r="U49" s="1237"/>
      <c r="V49" s="1238">
        <v>1</v>
      </c>
      <c r="W49" s="1238">
        <v>1</v>
      </c>
      <c r="X49" s="1239">
        <f>SUM(U49:W49)</f>
        <v>2</v>
      </c>
      <c r="Y49" s="1237">
        <v>1</v>
      </c>
      <c r="Z49" s="1238"/>
      <c r="AA49" s="1238">
        <v>1</v>
      </c>
      <c r="AB49" s="1239">
        <f>SUM(Y49:AA49)</f>
        <v>2</v>
      </c>
      <c r="AC49" s="1237">
        <v>1</v>
      </c>
      <c r="AD49" s="1238">
        <v>1</v>
      </c>
      <c r="AE49" s="1238"/>
      <c r="AF49" s="1240">
        <f>SUM(AC49:AE49)</f>
        <v>2</v>
      </c>
      <c r="AG49" s="1238">
        <v>1</v>
      </c>
      <c r="AH49" s="1238">
        <v>2</v>
      </c>
      <c r="AI49" s="1238">
        <v>2</v>
      </c>
      <c r="AJ49" s="1240">
        <f>SUM(AG49:AI49)</f>
        <v>5</v>
      </c>
      <c r="AK49" s="1238">
        <v>1</v>
      </c>
      <c r="AL49" s="1238">
        <v>4</v>
      </c>
      <c r="AM49" s="1238">
        <v>4</v>
      </c>
      <c r="AN49" s="1240">
        <f t="shared" si="32"/>
        <v>9</v>
      </c>
      <c r="AO49" s="1238">
        <v>2</v>
      </c>
      <c r="AP49" s="1238">
        <v>4</v>
      </c>
      <c r="AQ49" s="1238">
        <v>1</v>
      </c>
      <c r="AR49" s="1240">
        <f t="shared" si="33"/>
        <v>7</v>
      </c>
      <c r="AS49" s="1238">
        <v>5</v>
      </c>
      <c r="AT49" s="1238">
        <v>5</v>
      </c>
      <c r="AU49" s="1238">
        <v>7</v>
      </c>
      <c r="AV49" s="1240">
        <f t="shared" si="34"/>
        <v>17</v>
      </c>
      <c r="AW49" s="1238">
        <v>5</v>
      </c>
      <c r="AX49" s="1238">
        <v>10</v>
      </c>
      <c r="AY49" s="1238">
        <v>3</v>
      </c>
      <c r="AZ49" s="1240">
        <f t="shared" si="35"/>
        <v>18</v>
      </c>
      <c r="BA49" s="1238">
        <v>2</v>
      </c>
      <c r="BB49" s="1238">
        <v>4</v>
      </c>
      <c r="BC49" s="1238">
        <v>8</v>
      </c>
      <c r="BD49" s="1240">
        <f t="shared" si="36"/>
        <v>14</v>
      </c>
      <c r="BE49" s="1238">
        <v>2</v>
      </c>
      <c r="BF49" s="1238">
        <v>7</v>
      </c>
      <c r="BG49" s="1238">
        <v>9</v>
      </c>
      <c r="BH49" s="1240">
        <f t="shared" ref="BH49:BH61" si="42">SUM(BE49:BG49)</f>
        <v>18</v>
      </c>
      <c r="BI49" s="1238">
        <v>3</v>
      </c>
      <c r="BJ49" s="1238">
        <v>4</v>
      </c>
      <c r="BK49" s="1238">
        <v>6</v>
      </c>
      <c r="BL49" s="1240">
        <f t="shared" si="37"/>
        <v>13</v>
      </c>
      <c r="BM49" s="1238">
        <v>9</v>
      </c>
      <c r="BN49" s="1238">
        <v>9</v>
      </c>
      <c r="BO49" s="1238">
        <v>4</v>
      </c>
      <c r="BP49" s="1240">
        <f t="shared" si="38"/>
        <v>22</v>
      </c>
      <c r="BQ49" s="1238">
        <v>5</v>
      </c>
      <c r="BR49" s="1238">
        <v>8</v>
      </c>
      <c r="BS49" s="1238">
        <v>1</v>
      </c>
      <c r="BT49" s="1240">
        <f t="shared" si="39"/>
        <v>14</v>
      </c>
      <c r="BU49" s="1238">
        <v>4</v>
      </c>
      <c r="BV49" s="1238">
        <v>11</v>
      </c>
      <c r="BW49" s="1238">
        <v>5</v>
      </c>
      <c r="BX49" s="1240">
        <f t="shared" si="40"/>
        <v>20</v>
      </c>
      <c r="BY49" s="1238">
        <v>8</v>
      </c>
      <c r="BZ49" s="1238">
        <v>8</v>
      </c>
      <c r="CA49" s="1238">
        <v>5</v>
      </c>
      <c r="CB49" s="1240">
        <f t="shared" si="41"/>
        <v>21</v>
      </c>
    </row>
    <row r="50" spans="1:80" ht="14.25" customHeight="1" x14ac:dyDescent="0.2">
      <c r="A50" s="6420"/>
      <c r="B50" s="6423"/>
      <c r="C50" s="6444"/>
      <c r="D50" s="1261" t="s">
        <v>544</v>
      </c>
      <c r="E50" s="1237">
        <v>3</v>
      </c>
      <c r="F50" s="1238">
        <v>12</v>
      </c>
      <c r="G50" s="1238">
        <v>5</v>
      </c>
      <c r="H50" s="1239">
        <f>SUM(E50:G50)</f>
        <v>20</v>
      </c>
      <c r="I50" s="1237">
        <v>3</v>
      </c>
      <c r="J50" s="1238">
        <v>3</v>
      </c>
      <c r="K50" s="1238">
        <v>2</v>
      </c>
      <c r="L50" s="1239">
        <f>SUM(I50:K50)</f>
        <v>8</v>
      </c>
      <c r="M50" s="1237">
        <v>1</v>
      </c>
      <c r="N50" s="1238">
        <v>9</v>
      </c>
      <c r="O50" s="1238">
        <v>2</v>
      </c>
      <c r="P50" s="1239">
        <f>SUM(M50:O50)</f>
        <v>12</v>
      </c>
      <c r="Q50" s="1237">
        <v>1</v>
      </c>
      <c r="R50" s="1238">
        <v>2</v>
      </c>
      <c r="S50" s="1238">
        <v>1</v>
      </c>
      <c r="T50" s="1239">
        <f>SUM(Q50:S50)</f>
        <v>4</v>
      </c>
      <c r="U50" s="1237">
        <v>1</v>
      </c>
      <c r="V50" s="1238">
        <v>1</v>
      </c>
      <c r="W50" s="1238">
        <v>1</v>
      </c>
      <c r="X50" s="1239">
        <f>SUM(U50:W50)</f>
        <v>3</v>
      </c>
      <c r="Y50" s="1237"/>
      <c r="Z50" s="1238">
        <v>1</v>
      </c>
      <c r="AA50" s="1238"/>
      <c r="AB50" s="1239">
        <f>SUM(Y50:AA50)</f>
        <v>1</v>
      </c>
      <c r="AC50" s="1237">
        <v>2</v>
      </c>
      <c r="AD50" s="1238">
        <v>3</v>
      </c>
      <c r="AE50" s="1238">
        <v>2</v>
      </c>
      <c r="AF50" s="1240">
        <f>SUM(AC50:AE50)</f>
        <v>7</v>
      </c>
      <c r="AG50" s="1238">
        <v>1</v>
      </c>
      <c r="AH50" s="1238">
        <v>1</v>
      </c>
      <c r="AI50" s="1238">
        <v>3</v>
      </c>
      <c r="AJ50" s="1240">
        <f>SUM(AG50:AI50)</f>
        <v>5</v>
      </c>
      <c r="AK50" s="1238">
        <v>2</v>
      </c>
      <c r="AL50" s="1238">
        <v>1</v>
      </c>
      <c r="AM50" s="1238">
        <v>2</v>
      </c>
      <c r="AN50" s="1240">
        <f t="shared" si="32"/>
        <v>5</v>
      </c>
      <c r="AO50" s="1238">
        <v>1</v>
      </c>
      <c r="AP50" s="1238">
        <v>3</v>
      </c>
      <c r="AQ50" s="1238">
        <v>2</v>
      </c>
      <c r="AR50" s="1240">
        <f t="shared" si="33"/>
        <v>6</v>
      </c>
      <c r="AS50" s="1238">
        <v>2</v>
      </c>
      <c r="AT50" s="1238">
        <v>3</v>
      </c>
      <c r="AU50" s="1238">
        <v>1</v>
      </c>
      <c r="AV50" s="1240">
        <f t="shared" si="34"/>
        <v>6</v>
      </c>
      <c r="AW50" s="1238">
        <v>3</v>
      </c>
      <c r="AX50" s="1238">
        <v>1</v>
      </c>
      <c r="AY50" s="1238">
        <v>1</v>
      </c>
      <c r="AZ50" s="1240">
        <f t="shared" si="35"/>
        <v>5</v>
      </c>
      <c r="BA50" s="1238">
        <v>1</v>
      </c>
      <c r="BB50" s="1238">
        <v>1</v>
      </c>
      <c r="BC50" s="1238">
        <v>1</v>
      </c>
      <c r="BD50" s="1240">
        <f t="shared" si="36"/>
        <v>3</v>
      </c>
      <c r="BE50" s="1238">
        <v>1</v>
      </c>
      <c r="BF50" s="1238"/>
      <c r="BG50" s="1238">
        <v>3</v>
      </c>
      <c r="BH50" s="1240">
        <f t="shared" si="42"/>
        <v>4</v>
      </c>
      <c r="BI50" s="1238">
        <v>2</v>
      </c>
      <c r="BJ50" s="1238">
        <v>2</v>
      </c>
      <c r="BK50" s="1238"/>
      <c r="BL50" s="1240">
        <f t="shared" si="37"/>
        <v>4</v>
      </c>
      <c r="BM50" s="1238">
        <v>3</v>
      </c>
      <c r="BN50" s="1238">
        <v>3</v>
      </c>
      <c r="BO50" s="1238">
        <v>4</v>
      </c>
      <c r="BP50" s="1240">
        <f t="shared" si="38"/>
        <v>10</v>
      </c>
      <c r="BQ50" s="1238">
        <v>1</v>
      </c>
      <c r="BR50" s="1238">
        <v>1</v>
      </c>
      <c r="BS50" s="1238">
        <v>2</v>
      </c>
      <c r="BT50" s="1240">
        <f t="shared" si="39"/>
        <v>4</v>
      </c>
      <c r="BU50" s="1238">
        <v>3</v>
      </c>
      <c r="BV50" s="1238">
        <v>2</v>
      </c>
      <c r="BW50" s="1238">
        <v>2</v>
      </c>
      <c r="BX50" s="1240">
        <f t="shared" si="40"/>
        <v>7</v>
      </c>
      <c r="BY50" s="1238">
        <v>3</v>
      </c>
      <c r="BZ50" s="1238">
        <v>4</v>
      </c>
      <c r="CA50" s="1238">
        <v>7</v>
      </c>
      <c r="CB50" s="1240">
        <f t="shared" si="41"/>
        <v>14</v>
      </c>
    </row>
    <row r="51" spans="1:80" ht="14.25" customHeight="1" x14ac:dyDescent="0.2">
      <c r="A51" s="6420"/>
      <c r="B51" s="6423"/>
      <c r="C51" s="6444"/>
      <c r="D51" s="1261" t="s">
        <v>545</v>
      </c>
      <c r="E51" s="1237"/>
      <c r="F51" s="1238">
        <v>5</v>
      </c>
      <c r="G51" s="1238">
        <v>2</v>
      </c>
      <c r="H51" s="1239">
        <f>SUM(E51:G51)</f>
        <v>7</v>
      </c>
      <c r="I51" s="1237">
        <v>1</v>
      </c>
      <c r="J51" s="1238">
        <v>4</v>
      </c>
      <c r="K51" s="1238">
        <v>9</v>
      </c>
      <c r="L51" s="1239">
        <f>SUM(I51:K51)</f>
        <v>14</v>
      </c>
      <c r="M51" s="1237">
        <v>1</v>
      </c>
      <c r="N51" s="1238">
        <v>7</v>
      </c>
      <c r="O51" s="1238">
        <v>6</v>
      </c>
      <c r="P51" s="1239">
        <f>SUM(M51:O51)</f>
        <v>14</v>
      </c>
      <c r="Q51" s="1237">
        <v>4</v>
      </c>
      <c r="R51" s="1238">
        <v>4</v>
      </c>
      <c r="S51" s="1238">
        <v>2</v>
      </c>
      <c r="T51" s="1239">
        <f>SUM(Q51:S51)</f>
        <v>10</v>
      </c>
      <c r="U51" s="1237">
        <v>4</v>
      </c>
      <c r="V51" s="1238">
        <v>6</v>
      </c>
      <c r="W51" s="1238">
        <v>2</v>
      </c>
      <c r="X51" s="1239">
        <f>SUM(U51:W51)</f>
        <v>12</v>
      </c>
      <c r="Y51" s="1237">
        <v>4</v>
      </c>
      <c r="Z51" s="1238">
        <v>6</v>
      </c>
      <c r="AA51" s="1238">
        <v>3</v>
      </c>
      <c r="AB51" s="1239">
        <f>SUM(Y51:AA51)</f>
        <v>13</v>
      </c>
      <c r="AC51" s="1237">
        <v>6</v>
      </c>
      <c r="AD51" s="1238">
        <v>1</v>
      </c>
      <c r="AE51" s="1238">
        <v>3</v>
      </c>
      <c r="AF51" s="1240">
        <f>SUM(AC51:AE51)</f>
        <v>10</v>
      </c>
      <c r="AG51" s="1238">
        <v>5</v>
      </c>
      <c r="AH51" s="1238">
        <v>2</v>
      </c>
      <c r="AI51" s="1238">
        <v>5</v>
      </c>
      <c r="AJ51" s="1240">
        <f>SUM(AG51:AI51)</f>
        <v>12</v>
      </c>
      <c r="AK51" s="1238">
        <v>1</v>
      </c>
      <c r="AL51" s="1238">
        <v>5</v>
      </c>
      <c r="AM51" s="1238"/>
      <c r="AN51" s="1240">
        <f t="shared" si="32"/>
        <v>6</v>
      </c>
      <c r="AO51" s="1238">
        <v>3</v>
      </c>
      <c r="AP51" s="1238"/>
      <c r="AQ51" s="1238">
        <v>2</v>
      </c>
      <c r="AR51" s="1240">
        <f t="shared" si="33"/>
        <v>5</v>
      </c>
      <c r="AS51" s="1238">
        <v>1</v>
      </c>
      <c r="AT51" s="1238">
        <v>3</v>
      </c>
      <c r="AU51" s="1238">
        <v>1</v>
      </c>
      <c r="AV51" s="1240">
        <f t="shared" si="34"/>
        <v>5</v>
      </c>
      <c r="AW51" s="1238">
        <v>2</v>
      </c>
      <c r="AX51" s="1238">
        <v>5</v>
      </c>
      <c r="AY51" s="1238">
        <v>2</v>
      </c>
      <c r="AZ51" s="1240">
        <f t="shared" si="35"/>
        <v>9</v>
      </c>
      <c r="BA51" s="1238">
        <v>3</v>
      </c>
      <c r="BB51" s="1238">
        <v>1</v>
      </c>
      <c r="BC51" s="1238">
        <v>3</v>
      </c>
      <c r="BD51" s="1240">
        <f t="shared" si="36"/>
        <v>7</v>
      </c>
      <c r="BE51" s="1238">
        <v>6</v>
      </c>
      <c r="BF51" s="1238">
        <v>5</v>
      </c>
      <c r="BG51" s="1238">
        <v>3</v>
      </c>
      <c r="BH51" s="1240">
        <f t="shared" si="42"/>
        <v>14</v>
      </c>
      <c r="BI51" s="1238">
        <v>6</v>
      </c>
      <c r="BJ51" s="1238">
        <v>2</v>
      </c>
      <c r="BK51" s="1238">
        <v>2</v>
      </c>
      <c r="BL51" s="1240">
        <f t="shared" si="37"/>
        <v>10</v>
      </c>
      <c r="BM51" s="1238">
        <v>4</v>
      </c>
      <c r="BN51" s="1238">
        <v>4</v>
      </c>
      <c r="BO51" s="1238">
        <v>4</v>
      </c>
      <c r="BP51" s="1240">
        <f t="shared" si="38"/>
        <v>12</v>
      </c>
      <c r="BQ51" s="1238">
        <v>3</v>
      </c>
      <c r="BR51" s="1238">
        <v>2</v>
      </c>
      <c r="BS51" s="1238">
        <v>8</v>
      </c>
      <c r="BT51" s="1240">
        <f t="shared" si="39"/>
        <v>13</v>
      </c>
      <c r="BU51" s="1238">
        <v>5</v>
      </c>
      <c r="BV51" s="1238">
        <v>4</v>
      </c>
      <c r="BW51" s="1238">
        <v>7</v>
      </c>
      <c r="BX51" s="1240">
        <f t="shared" si="40"/>
        <v>16</v>
      </c>
      <c r="BY51" s="1238">
        <v>4</v>
      </c>
      <c r="BZ51" s="1238">
        <v>3</v>
      </c>
      <c r="CA51" s="1238">
        <v>4</v>
      </c>
      <c r="CB51" s="1240">
        <f t="shared" si="41"/>
        <v>11</v>
      </c>
    </row>
    <row r="52" spans="1:80" ht="14.25" customHeight="1" x14ac:dyDescent="0.2">
      <c r="A52" s="6420"/>
      <c r="B52" s="6423"/>
      <c r="C52" s="6444"/>
      <c r="D52" s="1261" t="s">
        <v>546</v>
      </c>
      <c r="E52" s="1237">
        <v>1</v>
      </c>
      <c r="F52" s="1238">
        <v>2</v>
      </c>
      <c r="G52" s="1238">
        <v>2</v>
      </c>
      <c r="H52" s="1239">
        <f>SUM(E52:G52)</f>
        <v>5</v>
      </c>
      <c r="I52" s="1237"/>
      <c r="J52" s="1238">
        <v>4</v>
      </c>
      <c r="K52" s="1238">
        <v>1</v>
      </c>
      <c r="L52" s="1239">
        <f>SUM(I52:K52)</f>
        <v>5</v>
      </c>
      <c r="M52" s="1237"/>
      <c r="N52" s="1238">
        <v>4</v>
      </c>
      <c r="O52" s="1238">
        <v>1</v>
      </c>
      <c r="P52" s="1239">
        <f>SUM(M52:O52)</f>
        <v>5</v>
      </c>
      <c r="Q52" s="1237">
        <v>4</v>
      </c>
      <c r="R52" s="1238">
        <v>4</v>
      </c>
      <c r="S52" s="1238">
        <v>1</v>
      </c>
      <c r="T52" s="1239">
        <f>SUM(Q52:S52)</f>
        <v>9</v>
      </c>
      <c r="U52" s="1237">
        <v>1</v>
      </c>
      <c r="V52" s="1238">
        <v>1</v>
      </c>
      <c r="W52" s="1238">
        <v>3</v>
      </c>
      <c r="X52" s="1239">
        <f>SUM(U52:W52)</f>
        <v>5</v>
      </c>
      <c r="Y52" s="1237">
        <v>1</v>
      </c>
      <c r="Z52" s="1238">
        <v>2</v>
      </c>
      <c r="AA52" s="1238">
        <v>3</v>
      </c>
      <c r="AB52" s="1239">
        <f>SUM(Y52:AA52)</f>
        <v>6</v>
      </c>
      <c r="AC52" s="1237">
        <v>1</v>
      </c>
      <c r="AD52" s="1238">
        <v>1</v>
      </c>
      <c r="AE52" s="1238"/>
      <c r="AF52" s="1240">
        <f>SUM(AC52:AE52)</f>
        <v>2</v>
      </c>
      <c r="AG52" s="1238">
        <v>2</v>
      </c>
      <c r="AH52" s="1238"/>
      <c r="AI52" s="1238">
        <v>4</v>
      </c>
      <c r="AJ52" s="1240">
        <f>SUM(AG52:AI52)</f>
        <v>6</v>
      </c>
      <c r="AK52" s="1238"/>
      <c r="AL52" s="1238">
        <v>5</v>
      </c>
      <c r="AM52" s="1238">
        <v>1</v>
      </c>
      <c r="AN52" s="1240">
        <f t="shared" si="32"/>
        <v>6</v>
      </c>
      <c r="AO52" s="1238">
        <v>1</v>
      </c>
      <c r="AP52" s="1238">
        <v>4</v>
      </c>
      <c r="AQ52" s="1238"/>
      <c r="AR52" s="1240">
        <f t="shared" si="33"/>
        <v>5</v>
      </c>
      <c r="AS52" s="1238">
        <v>6</v>
      </c>
      <c r="AT52" s="1238">
        <v>5</v>
      </c>
      <c r="AU52" s="1238">
        <v>3</v>
      </c>
      <c r="AV52" s="1240">
        <f t="shared" si="34"/>
        <v>14</v>
      </c>
      <c r="AW52" s="1238">
        <v>4</v>
      </c>
      <c r="AX52" s="1238">
        <v>6</v>
      </c>
      <c r="AY52" s="1238">
        <v>7</v>
      </c>
      <c r="AZ52" s="1240">
        <f t="shared" si="35"/>
        <v>17</v>
      </c>
      <c r="BA52" s="1238">
        <v>4</v>
      </c>
      <c r="BB52" s="1238">
        <v>2</v>
      </c>
      <c r="BC52" s="1238">
        <v>2</v>
      </c>
      <c r="BD52" s="1240">
        <f t="shared" si="36"/>
        <v>8</v>
      </c>
      <c r="BE52" s="1238">
        <v>1</v>
      </c>
      <c r="BF52" s="1238">
        <v>1</v>
      </c>
      <c r="BG52" s="1238">
        <v>4</v>
      </c>
      <c r="BH52" s="1240">
        <f t="shared" si="42"/>
        <v>6</v>
      </c>
      <c r="BI52" s="1238">
        <v>5</v>
      </c>
      <c r="BJ52" s="1238">
        <v>5</v>
      </c>
      <c r="BK52" s="1238">
        <v>5</v>
      </c>
      <c r="BL52" s="1240">
        <f t="shared" si="37"/>
        <v>15</v>
      </c>
      <c r="BM52" s="1238">
        <v>5</v>
      </c>
      <c r="BN52" s="1238">
        <v>1</v>
      </c>
      <c r="BO52" s="1238">
        <v>4</v>
      </c>
      <c r="BP52" s="1240">
        <f t="shared" si="38"/>
        <v>10</v>
      </c>
      <c r="BQ52" s="1238">
        <v>2</v>
      </c>
      <c r="BR52" s="1238">
        <v>3</v>
      </c>
      <c r="BS52" s="1238">
        <v>3</v>
      </c>
      <c r="BT52" s="1240">
        <f t="shared" si="39"/>
        <v>8</v>
      </c>
      <c r="BU52" s="1238">
        <v>3</v>
      </c>
      <c r="BV52" s="1238">
        <v>1</v>
      </c>
      <c r="BW52" s="1238">
        <v>1</v>
      </c>
      <c r="BX52" s="1240">
        <f t="shared" si="40"/>
        <v>5</v>
      </c>
      <c r="BY52" s="1238">
        <v>3</v>
      </c>
      <c r="BZ52" s="1238">
        <v>1</v>
      </c>
      <c r="CA52" s="1238"/>
      <c r="CB52" s="1240">
        <f t="shared" si="41"/>
        <v>4</v>
      </c>
    </row>
    <row r="53" spans="1:80" ht="14.25" customHeight="1" x14ac:dyDescent="0.2">
      <c r="A53" s="6420"/>
      <c r="B53" s="6423"/>
      <c r="C53" s="6444"/>
      <c r="D53" s="1261" t="s">
        <v>1681</v>
      </c>
      <c r="E53" s="1237"/>
      <c r="F53" s="1238"/>
      <c r="G53" s="1238"/>
      <c r="H53" s="1239"/>
      <c r="I53" s="1237"/>
      <c r="J53" s="1238"/>
      <c r="K53" s="1238"/>
      <c r="L53" s="1239"/>
      <c r="M53" s="1237"/>
      <c r="N53" s="1238"/>
      <c r="O53" s="1238"/>
      <c r="P53" s="1239"/>
      <c r="Q53" s="1237"/>
      <c r="R53" s="1238"/>
      <c r="S53" s="1238"/>
      <c r="T53" s="1239"/>
      <c r="U53" s="1237"/>
      <c r="V53" s="1238"/>
      <c r="W53" s="1238"/>
      <c r="X53" s="1239"/>
      <c r="Y53" s="1237"/>
      <c r="Z53" s="1238"/>
      <c r="AA53" s="1238"/>
      <c r="AB53" s="1239"/>
      <c r="AC53" s="1237"/>
      <c r="AD53" s="1238"/>
      <c r="AE53" s="1238"/>
      <c r="AF53" s="1240"/>
      <c r="AG53" s="1238"/>
      <c r="AH53" s="1238"/>
      <c r="AI53" s="1238"/>
      <c r="AJ53" s="1240"/>
      <c r="AK53" s="1238"/>
      <c r="AL53" s="1238">
        <v>1</v>
      </c>
      <c r="AM53" s="1238">
        <v>3</v>
      </c>
      <c r="AN53" s="1240">
        <f t="shared" si="32"/>
        <v>4</v>
      </c>
      <c r="AO53" s="1238">
        <v>1</v>
      </c>
      <c r="AP53" s="1238"/>
      <c r="AQ53" s="1238">
        <v>2</v>
      </c>
      <c r="AR53" s="1240">
        <f t="shared" si="33"/>
        <v>3</v>
      </c>
      <c r="AS53" s="1238">
        <v>1</v>
      </c>
      <c r="AT53" s="1238">
        <v>1</v>
      </c>
      <c r="AU53" s="1238">
        <v>4</v>
      </c>
      <c r="AV53" s="1240">
        <f t="shared" si="34"/>
        <v>6</v>
      </c>
      <c r="AW53" s="1238">
        <v>2</v>
      </c>
      <c r="AX53" s="1238">
        <v>2</v>
      </c>
      <c r="AY53" s="1238"/>
      <c r="AZ53" s="1240">
        <f t="shared" si="35"/>
        <v>4</v>
      </c>
      <c r="BA53" s="1238">
        <v>4</v>
      </c>
      <c r="BB53" s="1238">
        <v>4</v>
      </c>
      <c r="BC53" s="1238">
        <v>6</v>
      </c>
      <c r="BD53" s="1240">
        <f t="shared" si="36"/>
        <v>14</v>
      </c>
      <c r="BE53" s="1238">
        <v>3</v>
      </c>
      <c r="BF53" s="1238">
        <v>2</v>
      </c>
      <c r="BG53" s="1238">
        <v>2</v>
      </c>
      <c r="BH53" s="1240">
        <f t="shared" si="42"/>
        <v>7</v>
      </c>
      <c r="BI53" s="1238">
        <v>4</v>
      </c>
      <c r="BJ53" s="1238">
        <v>6</v>
      </c>
      <c r="BK53" s="1238">
        <v>3</v>
      </c>
      <c r="BL53" s="1240">
        <f t="shared" si="37"/>
        <v>13</v>
      </c>
      <c r="BM53" s="1238">
        <v>7</v>
      </c>
      <c r="BN53" s="1238">
        <v>2</v>
      </c>
      <c r="BO53" s="1238">
        <v>1</v>
      </c>
      <c r="BP53" s="1240">
        <f t="shared" si="38"/>
        <v>10</v>
      </c>
      <c r="BQ53" s="1238">
        <v>3</v>
      </c>
      <c r="BR53" s="1238">
        <v>1</v>
      </c>
      <c r="BS53" s="1238">
        <v>2</v>
      </c>
      <c r="BT53" s="1240">
        <f t="shared" si="39"/>
        <v>6</v>
      </c>
      <c r="BU53" s="1238">
        <v>2</v>
      </c>
      <c r="BV53" s="1238">
        <v>3</v>
      </c>
      <c r="BW53" s="1238">
        <v>1</v>
      </c>
      <c r="BX53" s="1240">
        <f t="shared" si="40"/>
        <v>6</v>
      </c>
      <c r="BY53" s="1238">
        <v>3</v>
      </c>
      <c r="BZ53" s="1238">
        <v>3</v>
      </c>
      <c r="CA53" s="1238">
        <v>4</v>
      </c>
      <c r="CB53" s="1240">
        <f t="shared" si="41"/>
        <v>10</v>
      </c>
    </row>
    <row r="54" spans="1:80" ht="14.25" customHeight="1" x14ac:dyDescent="0.2">
      <c r="A54" s="6420"/>
      <c r="B54" s="6423"/>
      <c r="C54" s="6452"/>
      <c r="D54" s="1261" t="s">
        <v>761</v>
      </c>
      <c r="E54" s="1237"/>
      <c r="F54" s="1238"/>
      <c r="G54" s="1238"/>
      <c r="H54" s="1239"/>
      <c r="I54" s="1237"/>
      <c r="J54" s="1238"/>
      <c r="K54" s="1238"/>
      <c r="L54" s="1239"/>
      <c r="M54" s="1237"/>
      <c r="N54" s="1238"/>
      <c r="O54" s="1238"/>
      <c r="P54" s="1239"/>
      <c r="Q54" s="1237"/>
      <c r="R54" s="1238"/>
      <c r="S54" s="1238"/>
      <c r="T54" s="1239"/>
      <c r="U54" s="1237"/>
      <c r="V54" s="1238"/>
      <c r="W54" s="1238"/>
      <c r="X54" s="1239"/>
      <c r="Y54" s="1237"/>
      <c r="Z54" s="1238"/>
      <c r="AA54" s="1238"/>
      <c r="AB54" s="1239"/>
      <c r="AC54" s="1237"/>
      <c r="AD54" s="1238"/>
      <c r="AE54" s="1238"/>
      <c r="AF54" s="1240"/>
      <c r="AG54" s="1238"/>
      <c r="AH54" s="1238"/>
      <c r="AI54" s="1238"/>
      <c r="AJ54" s="1240"/>
      <c r="AK54" s="1238"/>
      <c r="AL54" s="1238"/>
      <c r="AM54" s="1238"/>
      <c r="AN54" s="1240"/>
      <c r="AO54" s="1238"/>
      <c r="AP54" s="1238"/>
      <c r="AQ54" s="1238"/>
      <c r="AR54" s="1240"/>
      <c r="AS54" s="1238"/>
      <c r="AT54" s="1238"/>
      <c r="AU54" s="1238"/>
      <c r="AV54" s="1240"/>
      <c r="AW54" s="1238"/>
      <c r="AX54" s="1238"/>
      <c r="AY54" s="1238"/>
      <c r="AZ54" s="1240"/>
      <c r="BA54" s="1238"/>
      <c r="BB54" s="1238"/>
      <c r="BC54" s="1238"/>
      <c r="BD54" s="1240"/>
      <c r="BE54" s="1238"/>
      <c r="BF54" s="1238"/>
      <c r="BG54" s="1238"/>
      <c r="BH54" s="1240"/>
      <c r="BI54" s="1238"/>
      <c r="BJ54" s="1238"/>
      <c r="BK54" s="1238"/>
      <c r="BL54" s="1240"/>
      <c r="BM54" s="1238"/>
      <c r="BN54" s="1238"/>
      <c r="BO54" s="1238"/>
      <c r="BP54" s="1240"/>
      <c r="BQ54" s="1238"/>
      <c r="BR54" s="1238">
        <v>7</v>
      </c>
      <c r="BS54" s="1238"/>
      <c r="BT54" s="1240">
        <f t="shared" si="39"/>
        <v>7</v>
      </c>
      <c r="BU54" s="1238">
        <v>2</v>
      </c>
      <c r="BV54" s="1238">
        <v>1</v>
      </c>
      <c r="BW54" s="1238">
        <v>3</v>
      </c>
      <c r="BX54" s="1240">
        <f t="shared" si="40"/>
        <v>6</v>
      </c>
      <c r="BY54" s="1238">
        <v>2</v>
      </c>
      <c r="BZ54" s="1238">
        <v>6</v>
      </c>
      <c r="CA54" s="1238">
        <v>2</v>
      </c>
      <c r="CB54" s="1240">
        <f t="shared" si="41"/>
        <v>10</v>
      </c>
    </row>
    <row r="55" spans="1:80" ht="14.25" customHeight="1" x14ac:dyDescent="0.2">
      <c r="A55" s="6420"/>
      <c r="B55" s="6423"/>
      <c r="C55" s="6451" t="s">
        <v>520</v>
      </c>
      <c r="D55" s="1254" t="s">
        <v>542</v>
      </c>
      <c r="E55" s="1237"/>
      <c r="F55" s="1238"/>
      <c r="G55" s="1238"/>
      <c r="H55" s="1239"/>
      <c r="I55" s="1237"/>
      <c r="J55" s="1238"/>
      <c r="K55" s="1238"/>
      <c r="L55" s="1239"/>
      <c r="M55" s="1237"/>
      <c r="N55" s="1238"/>
      <c r="O55" s="1238"/>
      <c r="P55" s="1239"/>
      <c r="Q55" s="1237"/>
      <c r="R55" s="1238"/>
      <c r="S55" s="1238"/>
      <c r="T55" s="1239"/>
      <c r="U55" s="1237">
        <v>1</v>
      </c>
      <c r="V55" s="1238"/>
      <c r="W55" s="1238"/>
      <c r="X55" s="1239">
        <f>SUM(U55:W55)</f>
        <v>1</v>
      </c>
      <c r="Y55" s="1237"/>
      <c r="Z55" s="1238">
        <v>2</v>
      </c>
      <c r="AA55" s="1238">
        <v>2</v>
      </c>
      <c r="AB55" s="1239">
        <f>SUM(Y55:AA55)</f>
        <v>4</v>
      </c>
      <c r="AC55" s="1237"/>
      <c r="AD55" s="1238"/>
      <c r="AE55" s="1238"/>
      <c r="AF55" s="1240"/>
      <c r="AG55" s="1238"/>
      <c r="AH55" s="1238"/>
      <c r="AI55" s="1238">
        <v>2</v>
      </c>
      <c r="AJ55" s="1240">
        <f>SUM(AG55:AI55)</f>
        <v>2</v>
      </c>
      <c r="AK55" s="1238"/>
      <c r="AL55" s="1238">
        <v>3</v>
      </c>
      <c r="AM55" s="1238">
        <v>1</v>
      </c>
      <c r="AN55" s="1240">
        <f t="shared" ref="AN55:AN61" si="43">SUM(AK55:AM55)</f>
        <v>4</v>
      </c>
      <c r="AO55" s="1238">
        <v>2</v>
      </c>
      <c r="AP55" s="1238">
        <v>1</v>
      </c>
      <c r="AQ55" s="1238">
        <v>1</v>
      </c>
      <c r="AR55" s="1240">
        <f t="shared" ref="AR55:AR61" si="44">SUM(AO55:AQ55)</f>
        <v>4</v>
      </c>
      <c r="AS55" s="1238">
        <v>1</v>
      </c>
      <c r="AT55" s="1238">
        <v>4</v>
      </c>
      <c r="AU55" s="1238">
        <v>1</v>
      </c>
      <c r="AV55" s="1240">
        <f t="shared" ref="AV55:AV61" si="45">SUM(AS55:AU55)</f>
        <v>6</v>
      </c>
      <c r="AW55" s="1238">
        <v>1</v>
      </c>
      <c r="AX55" s="1238"/>
      <c r="AY55" s="1238"/>
      <c r="AZ55" s="1240">
        <f t="shared" ref="AZ55:AZ61" si="46">SUM(AW55:AY55)</f>
        <v>1</v>
      </c>
      <c r="BA55" s="1238">
        <v>2</v>
      </c>
      <c r="BB55" s="1238">
        <v>1</v>
      </c>
      <c r="BC55" s="1238">
        <v>1</v>
      </c>
      <c r="BD55" s="1240">
        <f t="shared" ref="BD55:BD61" si="47">SUM(BA55:BC55)</f>
        <v>4</v>
      </c>
      <c r="BE55" s="1238"/>
      <c r="BF55" s="1238">
        <v>1</v>
      </c>
      <c r="BG55" s="1238">
        <v>1</v>
      </c>
      <c r="BH55" s="1240">
        <f t="shared" si="42"/>
        <v>2</v>
      </c>
      <c r="BI55" s="1238"/>
      <c r="BJ55" s="1238"/>
      <c r="BK55" s="1238">
        <v>3</v>
      </c>
      <c r="BL55" s="1240">
        <f t="shared" ref="BL55:BL61" si="48">SUM(BI55:BK55)</f>
        <v>3</v>
      </c>
      <c r="BM55" s="1238">
        <v>1</v>
      </c>
      <c r="BN55" s="1238">
        <v>4</v>
      </c>
      <c r="BO55" s="1238">
        <v>2</v>
      </c>
      <c r="BP55" s="1240">
        <f t="shared" ref="BP55:BP61" si="49">SUM(BM55:BO55)</f>
        <v>7</v>
      </c>
      <c r="BQ55" s="1238"/>
      <c r="BR55" s="1238"/>
      <c r="BS55" s="1238">
        <v>2</v>
      </c>
      <c r="BT55" s="1240">
        <f t="shared" si="39"/>
        <v>2</v>
      </c>
      <c r="BU55" s="1238"/>
      <c r="BV55" s="1238">
        <v>3</v>
      </c>
      <c r="BW55" s="1238"/>
      <c r="BX55" s="1240">
        <f t="shared" si="40"/>
        <v>3</v>
      </c>
      <c r="BY55" s="1238"/>
      <c r="BZ55" s="1238"/>
      <c r="CA55" s="1238"/>
      <c r="CB55" s="1240">
        <f t="shared" si="41"/>
        <v>0</v>
      </c>
    </row>
    <row r="56" spans="1:80" ht="12.75" customHeight="1" x14ac:dyDescent="0.2">
      <c r="A56" s="6420"/>
      <c r="B56" s="6423"/>
      <c r="C56" s="6444"/>
      <c r="D56" s="1261" t="s">
        <v>543</v>
      </c>
      <c r="E56" s="1237"/>
      <c r="F56" s="1238"/>
      <c r="G56" s="1238"/>
      <c r="H56" s="1239"/>
      <c r="I56" s="1237"/>
      <c r="J56" s="1238"/>
      <c r="K56" s="1238"/>
      <c r="L56" s="1239"/>
      <c r="M56" s="1237"/>
      <c r="N56" s="1238"/>
      <c r="O56" s="1238"/>
      <c r="P56" s="1239"/>
      <c r="Q56" s="1237"/>
      <c r="R56" s="1238"/>
      <c r="S56" s="1238"/>
      <c r="T56" s="1239"/>
      <c r="U56" s="1237"/>
      <c r="V56" s="1238"/>
      <c r="W56" s="1238"/>
      <c r="X56" s="1239"/>
      <c r="Y56" s="1237"/>
      <c r="Z56" s="1238"/>
      <c r="AA56" s="1238"/>
      <c r="AB56" s="1239"/>
      <c r="AC56" s="1237">
        <v>1</v>
      </c>
      <c r="AD56" s="1238">
        <v>1</v>
      </c>
      <c r="AE56" s="1238"/>
      <c r="AF56" s="1240">
        <f>SUM(AC56:AE56)</f>
        <v>2</v>
      </c>
      <c r="AG56" s="1238"/>
      <c r="AH56" s="1238"/>
      <c r="AI56" s="1238">
        <v>2</v>
      </c>
      <c r="AJ56" s="1240">
        <f>SUM(AG56:AI56)</f>
        <v>2</v>
      </c>
      <c r="AK56" s="1238"/>
      <c r="AL56" s="1238"/>
      <c r="AM56" s="1238">
        <v>1</v>
      </c>
      <c r="AN56" s="1240">
        <f t="shared" si="43"/>
        <v>1</v>
      </c>
      <c r="AO56" s="1238"/>
      <c r="AP56" s="1238">
        <v>2</v>
      </c>
      <c r="AQ56" s="1238">
        <v>1</v>
      </c>
      <c r="AR56" s="1240">
        <f t="shared" si="44"/>
        <v>3</v>
      </c>
      <c r="AS56" s="1238">
        <v>2</v>
      </c>
      <c r="AT56" s="1238"/>
      <c r="AU56" s="1238"/>
      <c r="AV56" s="1240">
        <f t="shared" si="45"/>
        <v>2</v>
      </c>
      <c r="AW56" s="1238">
        <v>1</v>
      </c>
      <c r="AX56" s="1238">
        <v>4</v>
      </c>
      <c r="AY56" s="1238"/>
      <c r="AZ56" s="1240">
        <f t="shared" si="46"/>
        <v>5</v>
      </c>
      <c r="BA56" s="1238"/>
      <c r="BB56" s="1238">
        <v>1</v>
      </c>
      <c r="BC56" s="1238">
        <v>1</v>
      </c>
      <c r="BD56" s="1240">
        <f t="shared" si="47"/>
        <v>2</v>
      </c>
      <c r="BE56" s="1238">
        <v>1</v>
      </c>
      <c r="BF56" s="1238">
        <v>4</v>
      </c>
      <c r="BG56" s="1238">
        <v>1</v>
      </c>
      <c r="BH56" s="1240">
        <f t="shared" si="42"/>
        <v>6</v>
      </c>
      <c r="BI56" s="1238">
        <v>3</v>
      </c>
      <c r="BJ56" s="1238">
        <v>2</v>
      </c>
      <c r="BK56" s="1238">
        <v>2</v>
      </c>
      <c r="BL56" s="1240">
        <f t="shared" si="48"/>
        <v>7</v>
      </c>
      <c r="BM56" s="1238">
        <v>1</v>
      </c>
      <c r="BN56" s="1238">
        <v>2</v>
      </c>
      <c r="BO56" s="1238">
        <v>2</v>
      </c>
      <c r="BP56" s="1240">
        <f t="shared" si="49"/>
        <v>5</v>
      </c>
      <c r="BQ56" s="1238"/>
      <c r="BR56" s="1238">
        <v>1</v>
      </c>
      <c r="BS56" s="1238">
        <v>2</v>
      </c>
      <c r="BT56" s="1240">
        <f t="shared" si="39"/>
        <v>3</v>
      </c>
      <c r="BU56" s="1238">
        <v>2</v>
      </c>
      <c r="BV56" s="1238">
        <v>3</v>
      </c>
      <c r="BW56" s="1238">
        <v>4</v>
      </c>
      <c r="BX56" s="1240">
        <f t="shared" si="40"/>
        <v>9</v>
      </c>
      <c r="BY56" s="1238">
        <v>3</v>
      </c>
      <c r="BZ56" s="1238">
        <v>2</v>
      </c>
      <c r="CA56" s="1238">
        <v>1</v>
      </c>
      <c r="CB56" s="1240">
        <f t="shared" si="41"/>
        <v>6</v>
      </c>
    </row>
    <row r="57" spans="1:80" ht="12.75" customHeight="1" x14ac:dyDescent="0.2">
      <c r="A57" s="6420"/>
      <c r="B57" s="6423"/>
      <c r="C57" s="6444"/>
      <c r="D57" s="1261" t="s">
        <v>544</v>
      </c>
      <c r="E57" s="1237"/>
      <c r="F57" s="1238"/>
      <c r="G57" s="1238"/>
      <c r="H57" s="1239"/>
      <c r="I57" s="1237"/>
      <c r="J57" s="1238"/>
      <c r="K57" s="1238"/>
      <c r="L57" s="1239"/>
      <c r="M57" s="1237"/>
      <c r="N57" s="1238"/>
      <c r="O57" s="1238"/>
      <c r="P57" s="1239"/>
      <c r="Q57" s="1237"/>
      <c r="R57" s="1238"/>
      <c r="S57" s="1238"/>
      <c r="T57" s="1239"/>
      <c r="U57" s="1237"/>
      <c r="V57" s="1238">
        <v>4</v>
      </c>
      <c r="W57" s="1238">
        <v>1</v>
      </c>
      <c r="X57" s="1239">
        <f>SUM(U57:W57)</f>
        <v>5</v>
      </c>
      <c r="Y57" s="1237">
        <v>1</v>
      </c>
      <c r="Z57" s="1238">
        <v>5</v>
      </c>
      <c r="AA57" s="1238">
        <v>3</v>
      </c>
      <c r="AB57" s="1239">
        <f>SUM(Y57:AA57)</f>
        <v>9</v>
      </c>
      <c r="AC57" s="1237">
        <v>1</v>
      </c>
      <c r="AD57" s="1238">
        <v>4</v>
      </c>
      <c r="AE57" s="1238">
        <v>1</v>
      </c>
      <c r="AF57" s="1240">
        <f>SUM(AC57:AE57)</f>
        <v>6</v>
      </c>
      <c r="AG57" s="1238"/>
      <c r="AH57" s="1238"/>
      <c r="AI57" s="1238">
        <v>7</v>
      </c>
      <c r="AJ57" s="1240">
        <f>SUM(AG57:AI57)</f>
        <v>7</v>
      </c>
      <c r="AK57" s="1238">
        <v>1</v>
      </c>
      <c r="AL57" s="1238">
        <v>6</v>
      </c>
      <c r="AM57" s="1238">
        <v>5</v>
      </c>
      <c r="AN57" s="1240">
        <f t="shared" si="43"/>
        <v>12</v>
      </c>
      <c r="AO57" s="1238">
        <v>5</v>
      </c>
      <c r="AP57" s="1238">
        <v>1</v>
      </c>
      <c r="AQ57" s="1238">
        <v>4</v>
      </c>
      <c r="AR57" s="1240">
        <f t="shared" si="44"/>
        <v>10</v>
      </c>
      <c r="AS57" s="1238">
        <v>2</v>
      </c>
      <c r="AT57" s="1238">
        <v>2</v>
      </c>
      <c r="AU57" s="1238">
        <v>5</v>
      </c>
      <c r="AV57" s="1240">
        <f t="shared" si="45"/>
        <v>9</v>
      </c>
      <c r="AW57" s="1238">
        <v>3</v>
      </c>
      <c r="AX57" s="1238">
        <v>1</v>
      </c>
      <c r="AY57" s="1238">
        <v>4</v>
      </c>
      <c r="AZ57" s="1240">
        <f t="shared" si="46"/>
        <v>8</v>
      </c>
      <c r="BA57" s="1238">
        <v>2</v>
      </c>
      <c r="BB57" s="1238">
        <v>7</v>
      </c>
      <c r="BC57" s="1238">
        <v>5</v>
      </c>
      <c r="BD57" s="1240">
        <f t="shared" si="47"/>
        <v>14</v>
      </c>
      <c r="BE57" s="1238">
        <v>2</v>
      </c>
      <c r="BF57" s="1238">
        <v>2</v>
      </c>
      <c r="BG57" s="1238">
        <v>2</v>
      </c>
      <c r="BH57" s="1240">
        <f t="shared" si="42"/>
        <v>6</v>
      </c>
      <c r="BI57" s="1238">
        <v>3</v>
      </c>
      <c r="BJ57" s="1238">
        <v>3</v>
      </c>
      <c r="BK57" s="1238">
        <v>1</v>
      </c>
      <c r="BL57" s="1240">
        <f t="shared" si="48"/>
        <v>7</v>
      </c>
      <c r="BM57" s="1238">
        <v>4</v>
      </c>
      <c r="BN57" s="1238">
        <v>8</v>
      </c>
      <c r="BO57" s="1238">
        <v>4</v>
      </c>
      <c r="BP57" s="1240">
        <f t="shared" si="49"/>
        <v>16</v>
      </c>
      <c r="BQ57" s="1238">
        <v>7</v>
      </c>
      <c r="BR57" s="1238">
        <v>1</v>
      </c>
      <c r="BS57" s="1238">
        <v>4</v>
      </c>
      <c r="BT57" s="1240">
        <f t="shared" si="39"/>
        <v>12</v>
      </c>
      <c r="BU57" s="1238">
        <v>3</v>
      </c>
      <c r="BV57" s="1238">
        <v>2</v>
      </c>
      <c r="BW57" s="1238">
        <v>5</v>
      </c>
      <c r="BX57" s="1240">
        <f t="shared" si="40"/>
        <v>10</v>
      </c>
      <c r="BY57" s="1238">
        <v>7</v>
      </c>
      <c r="BZ57" s="1238">
        <v>5</v>
      </c>
      <c r="CA57" s="1238">
        <v>3</v>
      </c>
      <c r="CB57" s="1240">
        <f t="shared" si="41"/>
        <v>15</v>
      </c>
    </row>
    <row r="58" spans="1:80" ht="12.75" customHeight="1" x14ac:dyDescent="0.2">
      <c r="A58" s="6420"/>
      <c r="B58" s="6423"/>
      <c r="C58" s="6444"/>
      <c r="D58" s="1261" t="s">
        <v>545</v>
      </c>
      <c r="E58" s="1237"/>
      <c r="F58" s="1238"/>
      <c r="G58" s="1238"/>
      <c r="H58" s="1239"/>
      <c r="I58" s="1237"/>
      <c r="J58" s="1238"/>
      <c r="K58" s="1238"/>
      <c r="L58" s="1239"/>
      <c r="M58" s="1237"/>
      <c r="N58" s="1238"/>
      <c r="O58" s="1238"/>
      <c r="P58" s="1239"/>
      <c r="Q58" s="1237"/>
      <c r="R58" s="1238"/>
      <c r="S58" s="1238"/>
      <c r="T58" s="1239"/>
      <c r="U58" s="1237">
        <v>1</v>
      </c>
      <c r="V58" s="1238"/>
      <c r="W58" s="1238">
        <v>1</v>
      </c>
      <c r="X58" s="1239">
        <f>SUM(U58:W58)</f>
        <v>2</v>
      </c>
      <c r="Y58" s="1237">
        <v>1</v>
      </c>
      <c r="Z58" s="1238"/>
      <c r="AA58" s="1238">
        <v>2</v>
      </c>
      <c r="AB58" s="1239">
        <f>SUM(Y58:AA58)</f>
        <v>3</v>
      </c>
      <c r="AC58" s="1237">
        <v>2</v>
      </c>
      <c r="AD58" s="1238">
        <v>2</v>
      </c>
      <c r="AE58" s="1238">
        <v>1</v>
      </c>
      <c r="AF58" s="1240">
        <f>SUM(AC58:AE58)</f>
        <v>5</v>
      </c>
      <c r="AG58" s="1238">
        <v>1</v>
      </c>
      <c r="AH58" s="1238"/>
      <c r="AI58" s="1238">
        <v>1</v>
      </c>
      <c r="AJ58" s="1240">
        <f>SUM(AG58:AI58)</f>
        <v>2</v>
      </c>
      <c r="AK58" s="1238"/>
      <c r="AL58" s="1238">
        <v>2</v>
      </c>
      <c r="AM58" s="1238">
        <v>4</v>
      </c>
      <c r="AN58" s="1240">
        <f t="shared" si="43"/>
        <v>6</v>
      </c>
      <c r="AO58" s="1238">
        <v>3</v>
      </c>
      <c r="AP58" s="1238">
        <v>1</v>
      </c>
      <c r="AQ58" s="1238">
        <v>3</v>
      </c>
      <c r="AR58" s="1240">
        <f t="shared" si="44"/>
        <v>7</v>
      </c>
      <c r="AS58" s="1238">
        <v>1</v>
      </c>
      <c r="AT58" s="1238"/>
      <c r="AU58" s="1238">
        <v>1</v>
      </c>
      <c r="AV58" s="1240">
        <f t="shared" si="45"/>
        <v>2</v>
      </c>
      <c r="AW58" s="1238">
        <v>2</v>
      </c>
      <c r="AX58" s="1238">
        <v>2</v>
      </c>
      <c r="AY58" s="1238">
        <v>4</v>
      </c>
      <c r="AZ58" s="1240">
        <f t="shared" si="46"/>
        <v>8</v>
      </c>
      <c r="BA58" s="1238">
        <v>1</v>
      </c>
      <c r="BB58" s="1238">
        <v>1</v>
      </c>
      <c r="BC58" s="1238">
        <v>1</v>
      </c>
      <c r="BD58" s="1240">
        <f t="shared" si="47"/>
        <v>3</v>
      </c>
      <c r="BE58" s="1238"/>
      <c r="BF58" s="1238">
        <v>1</v>
      </c>
      <c r="BG58" s="1238">
        <v>5</v>
      </c>
      <c r="BH58" s="1240">
        <f t="shared" si="42"/>
        <v>6</v>
      </c>
      <c r="BI58" s="1238">
        <v>2</v>
      </c>
      <c r="BJ58" s="1238"/>
      <c r="BK58" s="1238">
        <v>4</v>
      </c>
      <c r="BL58" s="1240">
        <f t="shared" si="48"/>
        <v>6</v>
      </c>
      <c r="BM58" s="1238">
        <v>1</v>
      </c>
      <c r="BN58" s="1238">
        <v>1</v>
      </c>
      <c r="BO58" s="1238">
        <v>3</v>
      </c>
      <c r="BP58" s="1240">
        <f t="shared" si="49"/>
        <v>5</v>
      </c>
      <c r="BQ58" s="1238"/>
      <c r="BR58" s="1238"/>
      <c r="BS58" s="1238">
        <v>3</v>
      </c>
      <c r="BT58" s="1240">
        <f t="shared" si="39"/>
        <v>3</v>
      </c>
      <c r="BU58" s="1238">
        <v>3</v>
      </c>
      <c r="BV58" s="1238">
        <v>3</v>
      </c>
      <c r="BW58" s="1238">
        <v>3</v>
      </c>
      <c r="BX58" s="1240">
        <f t="shared" si="40"/>
        <v>9</v>
      </c>
      <c r="BY58" s="1238">
        <v>4</v>
      </c>
      <c r="BZ58" s="1238"/>
      <c r="CA58" s="1238"/>
      <c r="CB58" s="1240">
        <f t="shared" si="41"/>
        <v>4</v>
      </c>
    </row>
    <row r="59" spans="1:80" ht="12.75" customHeight="1" x14ac:dyDescent="0.2">
      <c r="A59" s="6420"/>
      <c r="B59" s="6423"/>
      <c r="C59" s="6444"/>
      <c r="D59" s="1261" t="s">
        <v>546</v>
      </c>
      <c r="E59" s="1237"/>
      <c r="F59" s="1238"/>
      <c r="G59" s="1238"/>
      <c r="H59" s="1239"/>
      <c r="I59" s="1237"/>
      <c r="J59" s="1238"/>
      <c r="K59" s="1238"/>
      <c r="L59" s="1239"/>
      <c r="M59" s="1237"/>
      <c r="N59" s="1238"/>
      <c r="O59" s="1238"/>
      <c r="P59" s="1239"/>
      <c r="Q59" s="1237"/>
      <c r="R59" s="1238"/>
      <c r="S59" s="1238"/>
      <c r="T59" s="1239"/>
      <c r="U59" s="1237"/>
      <c r="V59" s="1238">
        <v>2</v>
      </c>
      <c r="W59" s="1238">
        <v>1</v>
      </c>
      <c r="X59" s="1239">
        <f>SUM(U59:W59)</f>
        <v>3</v>
      </c>
      <c r="Y59" s="1237"/>
      <c r="Z59" s="1238"/>
      <c r="AA59" s="1238"/>
      <c r="AB59" s="1239"/>
      <c r="AC59" s="1237"/>
      <c r="AD59" s="1238"/>
      <c r="AE59" s="1238"/>
      <c r="AF59" s="1240"/>
      <c r="AG59" s="1238"/>
      <c r="AH59" s="1238">
        <v>1</v>
      </c>
      <c r="AI59" s="1238">
        <v>1</v>
      </c>
      <c r="AJ59" s="1240">
        <f>SUM(AG59:AI59)</f>
        <v>2</v>
      </c>
      <c r="AK59" s="1238">
        <v>1</v>
      </c>
      <c r="AL59" s="1238"/>
      <c r="AM59" s="1238"/>
      <c r="AN59" s="1240">
        <f t="shared" si="43"/>
        <v>1</v>
      </c>
      <c r="AO59" s="1238"/>
      <c r="AP59" s="1238">
        <v>1</v>
      </c>
      <c r="AQ59" s="1238"/>
      <c r="AR59" s="1240">
        <f t="shared" si="44"/>
        <v>1</v>
      </c>
      <c r="AS59" s="1238"/>
      <c r="AT59" s="1238">
        <v>3</v>
      </c>
      <c r="AU59" s="1238"/>
      <c r="AV59" s="1240">
        <f t="shared" si="45"/>
        <v>3</v>
      </c>
      <c r="AW59" s="1238">
        <v>1</v>
      </c>
      <c r="AX59" s="1238"/>
      <c r="AY59" s="1238">
        <v>2</v>
      </c>
      <c r="AZ59" s="1240">
        <f t="shared" si="46"/>
        <v>3</v>
      </c>
      <c r="BA59" s="1238"/>
      <c r="BB59" s="1238"/>
      <c r="BC59" s="1238"/>
      <c r="BD59" s="1240">
        <f t="shared" si="47"/>
        <v>0</v>
      </c>
      <c r="BE59" s="1238"/>
      <c r="BF59" s="1238">
        <v>2</v>
      </c>
      <c r="BG59" s="1238"/>
      <c r="BH59" s="1240">
        <f t="shared" si="42"/>
        <v>2</v>
      </c>
      <c r="BI59" s="1238"/>
      <c r="BJ59" s="1238">
        <v>1</v>
      </c>
      <c r="BK59" s="1238"/>
      <c r="BL59" s="1240">
        <f t="shared" si="48"/>
        <v>1</v>
      </c>
      <c r="BM59" s="1238">
        <v>1</v>
      </c>
      <c r="BN59" s="1238">
        <v>2</v>
      </c>
      <c r="BO59" s="1238">
        <v>1</v>
      </c>
      <c r="BP59" s="1240">
        <f t="shared" si="49"/>
        <v>4</v>
      </c>
      <c r="BQ59" s="1238">
        <v>1</v>
      </c>
      <c r="BR59" s="1238">
        <v>1</v>
      </c>
      <c r="BS59" s="1238">
        <v>1</v>
      </c>
      <c r="BT59" s="1240">
        <f t="shared" si="39"/>
        <v>3</v>
      </c>
      <c r="BU59" s="1238">
        <v>2</v>
      </c>
      <c r="BV59" s="1238"/>
      <c r="BW59" s="1238">
        <v>1</v>
      </c>
      <c r="BX59" s="1240">
        <f t="shared" si="40"/>
        <v>3</v>
      </c>
      <c r="BY59" s="1238">
        <v>1</v>
      </c>
      <c r="BZ59" s="1238">
        <v>1</v>
      </c>
      <c r="CA59" s="1238">
        <v>4</v>
      </c>
      <c r="CB59" s="1240">
        <f t="shared" si="41"/>
        <v>6</v>
      </c>
    </row>
    <row r="60" spans="1:80" ht="12.75" customHeight="1" x14ac:dyDescent="0.2">
      <c r="A60" s="6420"/>
      <c r="B60" s="6423"/>
      <c r="C60" s="6444"/>
      <c r="D60" s="1261" t="s">
        <v>547</v>
      </c>
      <c r="E60" s="1243"/>
      <c r="F60" s="1244"/>
      <c r="G60" s="1244"/>
      <c r="H60" s="1245"/>
      <c r="I60" s="1243"/>
      <c r="J60" s="1244"/>
      <c r="K60" s="1244"/>
      <c r="L60" s="1245"/>
      <c r="M60" s="1243"/>
      <c r="N60" s="1244"/>
      <c r="O60" s="1244"/>
      <c r="P60" s="1245"/>
      <c r="Q60" s="1243"/>
      <c r="R60" s="1244"/>
      <c r="S60" s="1244"/>
      <c r="T60" s="1245"/>
      <c r="U60" s="1243"/>
      <c r="V60" s="1244"/>
      <c r="W60" s="1244"/>
      <c r="X60" s="1245"/>
      <c r="Y60" s="1243"/>
      <c r="Z60" s="1244"/>
      <c r="AA60" s="1244"/>
      <c r="AB60" s="1245"/>
      <c r="AC60" s="1243"/>
      <c r="AD60" s="1244"/>
      <c r="AE60" s="1244"/>
      <c r="AF60" s="1246"/>
      <c r="AG60" s="1244"/>
      <c r="AH60" s="1244"/>
      <c r="AI60" s="1244"/>
      <c r="AJ60" s="1246"/>
      <c r="AK60" s="1244"/>
      <c r="AL60" s="1244"/>
      <c r="AM60" s="1244"/>
      <c r="AN60" s="1246"/>
      <c r="AO60" s="1244"/>
      <c r="AP60" s="1244"/>
      <c r="AQ60" s="1244"/>
      <c r="AR60" s="1246"/>
      <c r="AS60" s="1244"/>
      <c r="AT60" s="1244"/>
      <c r="AU60" s="1244"/>
      <c r="AV60" s="1246"/>
      <c r="AW60" s="1244"/>
      <c r="AX60" s="1244"/>
      <c r="AY60" s="1244"/>
      <c r="AZ60" s="1246"/>
      <c r="BA60" s="1244"/>
      <c r="BB60" s="1244"/>
      <c r="BC60" s="1244"/>
      <c r="BD60" s="1246"/>
      <c r="BE60" s="1244"/>
      <c r="BF60" s="1244"/>
      <c r="BG60" s="1244"/>
      <c r="BH60" s="1240"/>
      <c r="BI60" s="1244"/>
      <c r="BJ60" s="1244"/>
      <c r="BK60" s="1244"/>
      <c r="BL60" s="1240"/>
      <c r="BM60" s="1244"/>
      <c r="BN60" s="1244"/>
      <c r="BO60" s="1244"/>
      <c r="BP60" s="1240"/>
      <c r="BQ60" s="1244"/>
      <c r="BR60" s="1244"/>
      <c r="BS60" s="1244"/>
      <c r="BT60" s="1240"/>
      <c r="BU60" s="1244"/>
      <c r="BV60" s="1244"/>
      <c r="BW60" s="1244"/>
      <c r="BX60" s="1240"/>
      <c r="BY60" s="1244"/>
      <c r="BZ60" s="1244">
        <v>1</v>
      </c>
      <c r="CA60" s="1244">
        <v>4</v>
      </c>
      <c r="CB60" s="1240">
        <f t="shared" si="41"/>
        <v>5</v>
      </c>
    </row>
    <row r="61" spans="1:80" ht="12.75" customHeight="1" x14ac:dyDescent="0.2">
      <c r="A61" s="6420"/>
      <c r="B61" s="6423"/>
      <c r="C61" s="6444"/>
      <c r="D61" s="1242" t="s">
        <v>404</v>
      </c>
      <c r="E61" s="1243">
        <v>4</v>
      </c>
      <c r="F61" s="1244">
        <v>7</v>
      </c>
      <c r="G61" s="1244">
        <v>13</v>
      </c>
      <c r="H61" s="1245">
        <f>SUM(E61:G61)</f>
        <v>24</v>
      </c>
      <c r="I61" s="1243">
        <v>4</v>
      </c>
      <c r="J61" s="1244">
        <v>7</v>
      </c>
      <c r="K61" s="1244">
        <v>8</v>
      </c>
      <c r="L61" s="1245">
        <f>SUM(I61:K61)</f>
        <v>19</v>
      </c>
      <c r="M61" s="1243">
        <v>10</v>
      </c>
      <c r="N61" s="1244">
        <v>15</v>
      </c>
      <c r="O61" s="1244">
        <v>1</v>
      </c>
      <c r="P61" s="1245">
        <f>SUM(M61:O61)</f>
        <v>26</v>
      </c>
      <c r="Q61" s="1243">
        <v>6</v>
      </c>
      <c r="R61" s="1244">
        <v>10</v>
      </c>
      <c r="S61" s="1244">
        <v>10</v>
      </c>
      <c r="T61" s="1245">
        <f>SUM(Q61:S61)</f>
        <v>26</v>
      </c>
      <c r="U61" s="1243">
        <v>5</v>
      </c>
      <c r="V61" s="1244">
        <v>6</v>
      </c>
      <c r="W61" s="1244">
        <v>5</v>
      </c>
      <c r="X61" s="1245">
        <f t="shared" ref="X61:X75" si="50">SUM(U61:W61)</f>
        <v>16</v>
      </c>
      <c r="Y61" s="1243">
        <v>7</v>
      </c>
      <c r="Z61" s="1244">
        <v>2</v>
      </c>
      <c r="AA61" s="1244">
        <v>8</v>
      </c>
      <c r="AB61" s="1245">
        <f t="shared" ref="AB61:AB75" si="51">SUM(Y61:AA61)</f>
        <v>17</v>
      </c>
      <c r="AC61" s="1243">
        <v>2</v>
      </c>
      <c r="AD61" s="1244">
        <v>2</v>
      </c>
      <c r="AE61" s="1244"/>
      <c r="AF61" s="1246">
        <f>SUM(AC61:AE61)</f>
        <v>4</v>
      </c>
      <c r="AG61" s="1244">
        <v>2</v>
      </c>
      <c r="AH61" s="1244">
        <v>1</v>
      </c>
      <c r="AI61" s="1244">
        <v>4</v>
      </c>
      <c r="AJ61" s="1246">
        <f t="shared" ref="AJ61:AJ76" si="52">SUM(AG61:AI61)</f>
        <v>7</v>
      </c>
      <c r="AK61" s="1244">
        <v>2</v>
      </c>
      <c r="AL61" s="1244"/>
      <c r="AM61" s="1244"/>
      <c r="AN61" s="1246">
        <f t="shared" si="43"/>
        <v>2</v>
      </c>
      <c r="AO61" s="1244">
        <v>1</v>
      </c>
      <c r="AP61" s="1244"/>
      <c r="AQ61" s="1244">
        <v>3</v>
      </c>
      <c r="AR61" s="1246">
        <f t="shared" si="44"/>
        <v>4</v>
      </c>
      <c r="AS61" s="1244"/>
      <c r="AT61" s="1244">
        <v>2</v>
      </c>
      <c r="AU61" s="1244">
        <v>1</v>
      </c>
      <c r="AV61" s="1246">
        <f t="shared" si="45"/>
        <v>3</v>
      </c>
      <c r="AW61" s="1244">
        <v>4</v>
      </c>
      <c r="AX61" s="1244">
        <v>6</v>
      </c>
      <c r="AY61" s="1244">
        <v>1</v>
      </c>
      <c r="AZ61" s="1246">
        <f t="shared" si="46"/>
        <v>11</v>
      </c>
      <c r="BA61" s="1244"/>
      <c r="BB61" s="1244"/>
      <c r="BC61" s="1244"/>
      <c r="BD61" s="1246">
        <f t="shared" si="47"/>
        <v>0</v>
      </c>
      <c r="BE61" s="1244"/>
      <c r="BF61" s="1244"/>
      <c r="BG61" s="1244"/>
      <c r="BH61" s="1240">
        <f t="shared" si="42"/>
        <v>0</v>
      </c>
      <c r="BI61" s="1244"/>
      <c r="BJ61" s="1244"/>
      <c r="BK61" s="1244"/>
      <c r="BL61" s="1240">
        <f t="shared" si="48"/>
        <v>0</v>
      </c>
      <c r="BM61" s="1244"/>
      <c r="BN61" s="1244"/>
      <c r="BO61" s="1244"/>
      <c r="BP61" s="1240">
        <f t="shared" si="49"/>
        <v>0</v>
      </c>
      <c r="BQ61" s="1244"/>
      <c r="BR61" s="1244"/>
      <c r="BS61" s="1244"/>
      <c r="BT61" s="1240">
        <f t="shared" si="39"/>
        <v>0</v>
      </c>
      <c r="BU61" s="1244">
        <v>1</v>
      </c>
      <c r="BV61" s="1244">
        <v>1</v>
      </c>
      <c r="BW61" s="1244"/>
      <c r="BX61" s="1240">
        <f t="shared" si="40"/>
        <v>2</v>
      </c>
      <c r="BY61" s="1244"/>
      <c r="BZ61" s="1244"/>
      <c r="CA61" s="1244"/>
      <c r="CB61" s="1240">
        <f t="shared" si="41"/>
        <v>0</v>
      </c>
    </row>
    <row r="62" spans="1:80" ht="12.75" customHeight="1" x14ac:dyDescent="0.2">
      <c r="A62" s="6420"/>
      <c r="B62" s="6424"/>
      <c r="C62" s="1304"/>
      <c r="D62" s="1247" t="s">
        <v>160</v>
      </c>
      <c r="E62" s="1248">
        <f t="shared" ref="E62:AJ62" si="53">SUM(E48:E61)</f>
        <v>9</v>
      </c>
      <c r="F62" s="1249">
        <f t="shared" si="53"/>
        <v>27</v>
      </c>
      <c r="G62" s="1249">
        <f t="shared" si="53"/>
        <v>23</v>
      </c>
      <c r="H62" s="1249">
        <f t="shared" si="53"/>
        <v>59</v>
      </c>
      <c r="I62" s="1248">
        <f t="shared" si="53"/>
        <v>10</v>
      </c>
      <c r="J62" s="1249">
        <f t="shared" si="53"/>
        <v>20</v>
      </c>
      <c r="K62" s="1249">
        <f t="shared" si="53"/>
        <v>21</v>
      </c>
      <c r="L62" s="1249">
        <f t="shared" si="53"/>
        <v>51</v>
      </c>
      <c r="M62" s="1248">
        <f t="shared" si="53"/>
        <v>14</v>
      </c>
      <c r="N62" s="1249">
        <f t="shared" si="53"/>
        <v>38</v>
      </c>
      <c r="O62" s="1249">
        <f t="shared" si="53"/>
        <v>12</v>
      </c>
      <c r="P62" s="1249">
        <f t="shared" si="53"/>
        <v>64</v>
      </c>
      <c r="Q62" s="1248">
        <f t="shared" si="53"/>
        <v>15</v>
      </c>
      <c r="R62" s="1249">
        <f t="shared" si="53"/>
        <v>22</v>
      </c>
      <c r="S62" s="1249">
        <f t="shared" si="53"/>
        <v>15</v>
      </c>
      <c r="T62" s="1249">
        <f t="shared" si="53"/>
        <v>52</v>
      </c>
      <c r="U62" s="1248">
        <f t="shared" si="53"/>
        <v>14</v>
      </c>
      <c r="V62" s="1249">
        <f t="shared" si="53"/>
        <v>22</v>
      </c>
      <c r="W62" s="1249">
        <f t="shared" si="53"/>
        <v>16</v>
      </c>
      <c r="X62" s="1249">
        <f t="shared" si="53"/>
        <v>52</v>
      </c>
      <c r="Y62" s="1248">
        <f t="shared" si="53"/>
        <v>15</v>
      </c>
      <c r="Z62" s="1249">
        <f t="shared" si="53"/>
        <v>19</v>
      </c>
      <c r="AA62" s="1249">
        <f t="shared" si="53"/>
        <v>22</v>
      </c>
      <c r="AB62" s="1249">
        <f t="shared" si="53"/>
        <v>56</v>
      </c>
      <c r="AC62" s="1248">
        <f t="shared" si="53"/>
        <v>17</v>
      </c>
      <c r="AD62" s="1249">
        <f t="shared" si="53"/>
        <v>16</v>
      </c>
      <c r="AE62" s="1249">
        <f t="shared" si="53"/>
        <v>7</v>
      </c>
      <c r="AF62" s="1306">
        <f t="shared" si="53"/>
        <v>40</v>
      </c>
      <c r="AG62" s="1249">
        <f t="shared" si="53"/>
        <v>12</v>
      </c>
      <c r="AH62" s="1249">
        <f t="shared" si="53"/>
        <v>7</v>
      </c>
      <c r="AI62" s="1249">
        <f t="shared" si="53"/>
        <v>31</v>
      </c>
      <c r="AJ62" s="1306">
        <f t="shared" si="53"/>
        <v>50</v>
      </c>
      <c r="AK62" s="1249">
        <f t="shared" ref="AK62:BH62" si="54">SUM(AK48:AK61)</f>
        <v>9</v>
      </c>
      <c r="AL62" s="1249">
        <f t="shared" si="54"/>
        <v>28</v>
      </c>
      <c r="AM62" s="1249">
        <f t="shared" si="54"/>
        <v>21</v>
      </c>
      <c r="AN62" s="1306">
        <f t="shared" si="54"/>
        <v>58</v>
      </c>
      <c r="AO62" s="1249">
        <f t="shared" si="54"/>
        <v>20</v>
      </c>
      <c r="AP62" s="1249">
        <f t="shared" si="54"/>
        <v>17</v>
      </c>
      <c r="AQ62" s="1249">
        <f t="shared" si="54"/>
        <v>21</v>
      </c>
      <c r="AR62" s="1306">
        <f t="shared" si="54"/>
        <v>58</v>
      </c>
      <c r="AS62" s="1249">
        <f t="shared" si="54"/>
        <v>23</v>
      </c>
      <c r="AT62" s="1249">
        <f t="shared" si="54"/>
        <v>31</v>
      </c>
      <c r="AU62" s="1249">
        <f t="shared" si="54"/>
        <v>24</v>
      </c>
      <c r="AV62" s="1306">
        <f t="shared" si="54"/>
        <v>78</v>
      </c>
      <c r="AW62" s="1249">
        <f t="shared" si="54"/>
        <v>30</v>
      </c>
      <c r="AX62" s="1249">
        <f t="shared" si="54"/>
        <v>38</v>
      </c>
      <c r="AY62" s="1249">
        <f t="shared" si="54"/>
        <v>25</v>
      </c>
      <c r="AZ62" s="1306">
        <f t="shared" si="54"/>
        <v>93</v>
      </c>
      <c r="BA62" s="1249">
        <f t="shared" si="54"/>
        <v>22</v>
      </c>
      <c r="BB62" s="1249">
        <f t="shared" si="54"/>
        <v>22</v>
      </c>
      <c r="BC62" s="1249">
        <f t="shared" si="54"/>
        <v>28</v>
      </c>
      <c r="BD62" s="1306">
        <f t="shared" si="54"/>
        <v>72</v>
      </c>
      <c r="BE62" s="1249">
        <f t="shared" si="54"/>
        <v>16</v>
      </c>
      <c r="BF62" s="1249">
        <f t="shared" si="54"/>
        <v>25</v>
      </c>
      <c r="BG62" s="1249">
        <f t="shared" si="54"/>
        <v>30</v>
      </c>
      <c r="BH62" s="1306">
        <f t="shared" si="54"/>
        <v>71</v>
      </c>
      <c r="BI62" s="1249">
        <f t="shared" ref="BI62:BP62" si="55">SUM(BI48:BI61)</f>
        <v>29</v>
      </c>
      <c r="BJ62" s="1249">
        <f t="shared" si="55"/>
        <v>32</v>
      </c>
      <c r="BK62" s="1249">
        <f t="shared" si="55"/>
        <v>27</v>
      </c>
      <c r="BL62" s="1306">
        <f t="shared" si="55"/>
        <v>88</v>
      </c>
      <c r="BM62" s="1249">
        <f t="shared" si="55"/>
        <v>36</v>
      </c>
      <c r="BN62" s="1249">
        <f t="shared" si="55"/>
        <v>41</v>
      </c>
      <c r="BO62" s="1249">
        <f t="shared" si="55"/>
        <v>32</v>
      </c>
      <c r="BP62" s="1306">
        <f t="shared" si="55"/>
        <v>109</v>
      </c>
      <c r="BQ62" s="1249">
        <f t="shared" ref="BQ62:BX62" si="56">SUM(BQ48:BQ61)</f>
        <v>24</v>
      </c>
      <c r="BR62" s="1249">
        <f t="shared" si="56"/>
        <v>27</v>
      </c>
      <c r="BS62" s="1249">
        <f t="shared" si="56"/>
        <v>31</v>
      </c>
      <c r="BT62" s="1306">
        <f t="shared" si="56"/>
        <v>82</v>
      </c>
      <c r="BU62" s="1249">
        <f t="shared" si="56"/>
        <v>30</v>
      </c>
      <c r="BV62" s="1249">
        <f t="shared" si="56"/>
        <v>37</v>
      </c>
      <c r="BW62" s="1249">
        <f t="shared" si="56"/>
        <v>32</v>
      </c>
      <c r="BX62" s="1306">
        <f t="shared" si="56"/>
        <v>99</v>
      </c>
      <c r="BY62" s="1249">
        <f t="shared" ref="BY62:CB62" si="57">SUM(BY48:BY61)</f>
        <v>40</v>
      </c>
      <c r="BZ62" s="1249">
        <f t="shared" si="57"/>
        <v>41</v>
      </c>
      <c r="CA62" s="1249">
        <f t="shared" si="57"/>
        <v>37</v>
      </c>
      <c r="CB62" s="1306">
        <f t="shared" si="57"/>
        <v>118</v>
      </c>
    </row>
    <row r="63" spans="1:80" ht="12.75" customHeight="1" x14ac:dyDescent="0.2">
      <c r="A63" s="6420"/>
      <c r="B63" s="5967" t="s">
        <v>6</v>
      </c>
      <c r="C63" s="1303" t="s">
        <v>522</v>
      </c>
      <c r="D63" s="1261" t="s">
        <v>78</v>
      </c>
      <c r="E63" s="1237"/>
      <c r="F63" s="1238"/>
      <c r="G63" s="1238">
        <v>25</v>
      </c>
      <c r="H63" s="1258">
        <f>SUM(E63:G63)</f>
        <v>25</v>
      </c>
      <c r="I63" s="1256"/>
      <c r="J63" s="1257">
        <v>3</v>
      </c>
      <c r="K63" s="1257"/>
      <c r="L63" s="1258">
        <f>SUM(I63:K63)</f>
        <v>3</v>
      </c>
      <c r="M63" s="1256"/>
      <c r="N63" s="1257">
        <v>1</v>
      </c>
      <c r="O63" s="1257"/>
      <c r="P63" s="1258">
        <f>SUM(N63:O63)</f>
        <v>1</v>
      </c>
      <c r="Q63" s="1237"/>
      <c r="R63" s="1238">
        <v>1</v>
      </c>
      <c r="S63" s="1238"/>
      <c r="T63" s="1239">
        <f t="shared" ref="T63:T68" si="58">SUM(Q63:S63)</f>
        <v>1</v>
      </c>
      <c r="U63" s="1237">
        <v>2</v>
      </c>
      <c r="V63" s="1238">
        <v>3</v>
      </c>
      <c r="W63" s="1238">
        <v>6</v>
      </c>
      <c r="X63" s="1239">
        <f t="shared" si="50"/>
        <v>11</v>
      </c>
      <c r="Y63" s="1237">
        <v>2</v>
      </c>
      <c r="Z63" s="1238">
        <v>32</v>
      </c>
      <c r="AA63" s="1238">
        <v>2</v>
      </c>
      <c r="AB63" s="1239">
        <f t="shared" si="51"/>
        <v>36</v>
      </c>
      <c r="AC63" s="1237"/>
      <c r="AD63" s="1238">
        <v>65</v>
      </c>
      <c r="AE63" s="1238">
        <v>5</v>
      </c>
      <c r="AF63" s="1240">
        <f>SUM(AC63:AE63)</f>
        <v>70</v>
      </c>
      <c r="AG63" s="1238"/>
      <c r="AH63" s="1238">
        <v>12</v>
      </c>
      <c r="AI63" s="1238">
        <v>58</v>
      </c>
      <c r="AJ63" s="1240">
        <f t="shared" si="52"/>
        <v>70</v>
      </c>
      <c r="AK63" s="1238"/>
      <c r="AL63" s="1238"/>
      <c r="AM63" s="1238"/>
      <c r="AN63" s="1240"/>
      <c r="AO63" s="1238">
        <v>63</v>
      </c>
      <c r="AP63" s="1238">
        <v>16</v>
      </c>
      <c r="AQ63" s="1238">
        <v>1</v>
      </c>
      <c r="AR63" s="1240">
        <f t="shared" ref="AR63:AR68" si="59">SUM(AO63:AQ63)</f>
        <v>80</v>
      </c>
      <c r="AS63" s="1238"/>
      <c r="AT63" s="1238"/>
      <c r="AU63" s="1238"/>
      <c r="AV63" s="1240">
        <f t="shared" ref="AV63:AV68" si="60">SUM(AS63:AU63)</f>
        <v>0</v>
      </c>
      <c r="AW63" s="1238"/>
      <c r="AX63" s="1238">
        <v>15</v>
      </c>
      <c r="AY63" s="1238"/>
      <c r="AZ63" s="1240">
        <f t="shared" ref="AZ63:AZ71" si="61">SUM(AW63:AY63)</f>
        <v>15</v>
      </c>
      <c r="BA63" s="1238">
        <v>61</v>
      </c>
      <c r="BB63" s="1238">
        <v>1</v>
      </c>
      <c r="BC63" s="1238">
        <v>46</v>
      </c>
      <c r="BD63" s="1240">
        <f t="shared" ref="BD63:BD71" si="62">SUM(BA63:BC63)</f>
        <v>108</v>
      </c>
      <c r="BE63" s="1238">
        <v>4</v>
      </c>
      <c r="BF63" s="1238">
        <v>44</v>
      </c>
      <c r="BG63" s="1238">
        <v>52</v>
      </c>
      <c r="BH63" s="1240">
        <f t="shared" ref="BH63:BH75" si="63">SUM(BE63:BG63)</f>
        <v>100</v>
      </c>
      <c r="BI63" s="1238">
        <v>1</v>
      </c>
      <c r="BJ63" s="1238">
        <v>13</v>
      </c>
      <c r="BK63" s="1238">
        <v>2</v>
      </c>
      <c r="BL63" s="1240">
        <f t="shared" ref="BL63:BL68" si="64">SUM(BI63:BK63)</f>
        <v>16</v>
      </c>
      <c r="BM63" s="1238"/>
      <c r="BN63" s="1238">
        <v>7</v>
      </c>
      <c r="BO63" s="1238">
        <v>17</v>
      </c>
      <c r="BP63" s="1240">
        <f t="shared" ref="BP63:BP71" si="65">SUM(BM63:BO63)</f>
        <v>24</v>
      </c>
      <c r="BQ63" s="1238"/>
      <c r="BR63" s="1238">
        <v>15</v>
      </c>
      <c r="BS63" s="1238"/>
      <c r="BT63" s="1240">
        <f t="shared" ref="BT63:BT71" si="66">SUM(BQ63:BS63)</f>
        <v>15</v>
      </c>
      <c r="BU63" s="1238">
        <v>30</v>
      </c>
      <c r="BV63" s="1238"/>
      <c r="BW63" s="1238">
        <v>17</v>
      </c>
      <c r="BX63" s="1240">
        <f t="shared" ref="BX63:BX71" si="67">SUM(BU63:BW63)</f>
        <v>47</v>
      </c>
      <c r="BY63" s="1238">
        <v>2</v>
      </c>
      <c r="BZ63" s="1238"/>
      <c r="CA63" s="1238">
        <v>12</v>
      </c>
      <c r="CB63" s="1240">
        <f t="shared" ref="CB63:CB71" si="68">SUM(BY63:CA63)</f>
        <v>14</v>
      </c>
    </row>
    <row r="64" spans="1:80" ht="14.25" customHeight="1" x14ac:dyDescent="0.2">
      <c r="A64" s="6420"/>
      <c r="B64" s="5968"/>
      <c r="C64" s="6431" t="s">
        <v>521</v>
      </c>
      <c r="D64" s="1261" t="s">
        <v>80</v>
      </c>
      <c r="E64" s="1237"/>
      <c r="F64" s="1238">
        <v>3</v>
      </c>
      <c r="G64" s="1238">
        <v>14</v>
      </c>
      <c r="H64" s="1258">
        <f>SUM(E64:G64)</f>
        <v>17</v>
      </c>
      <c r="I64" s="1237"/>
      <c r="J64" s="1238">
        <v>9</v>
      </c>
      <c r="K64" s="1238">
        <v>3</v>
      </c>
      <c r="L64" s="1258">
        <f>SUM(I64:K64)</f>
        <v>12</v>
      </c>
      <c r="M64" s="1237">
        <v>4</v>
      </c>
      <c r="N64" s="1238">
        <v>13</v>
      </c>
      <c r="O64" s="1238">
        <v>13</v>
      </c>
      <c r="P64" s="1239">
        <f t="shared" ref="P64:P71" si="69">SUM(M64:O64)</f>
        <v>30</v>
      </c>
      <c r="Q64" s="1237">
        <v>2</v>
      </c>
      <c r="R64" s="1238">
        <v>4</v>
      </c>
      <c r="S64" s="1238">
        <v>3</v>
      </c>
      <c r="T64" s="1239">
        <f t="shared" si="58"/>
        <v>9</v>
      </c>
      <c r="U64" s="1237"/>
      <c r="V64" s="1238">
        <v>4</v>
      </c>
      <c r="W64" s="1238">
        <v>3</v>
      </c>
      <c r="X64" s="1239">
        <f t="shared" si="50"/>
        <v>7</v>
      </c>
      <c r="Y64" s="1237">
        <v>1</v>
      </c>
      <c r="Z64" s="1238">
        <v>9</v>
      </c>
      <c r="AA64" s="1238">
        <v>3</v>
      </c>
      <c r="AB64" s="1239">
        <f t="shared" si="51"/>
        <v>13</v>
      </c>
      <c r="AC64" s="1237">
        <v>1</v>
      </c>
      <c r="AD64" s="1238">
        <v>8</v>
      </c>
      <c r="AE64" s="1238">
        <v>2</v>
      </c>
      <c r="AF64" s="1240">
        <f>SUM(AC64:AE64)</f>
        <v>11</v>
      </c>
      <c r="AG64" s="1238"/>
      <c r="AH64" s="1238">
        <v>10</v>
      </c>
      <c r="AI64" s="1238">
        <v>2</v>
      </c>
      <c r="AJ64" s="1240">
        <f t="shared" si="52"/>
        <v>12</v>
      </c>
      <c r="AK64" s="1238">
        <v>1</v>
      </c>
      <c r="AL64" s="1238">
        <v>8</v>
      </c>
      <c r="AM64" s="1238">
        <v>3</v>
      </c>
      <c r="AN64" s="1240">
        <f>SUM(AK64:AM64)</f>
        <v>12</v>
      </c>
      <c r="AO64" s="1238">
        <v>2</v>
      </c>
      <c r="AP64" s="1238">
        <v>3</v>
      </c>
      <c r="AQ64" s="1238">
        <v>1</v>
      </c>
      <c r="AR64" s="1240">
        <f t="shared" si="59"/>
        <v>6</v>
      </c>
      <c r="AS64" s="1238">
        <v>1</v>
      </c>
      <c r="AT64" s="1238">
        <v>14</v>
      </c>
      <c r="AU64" s="1238">
        <v>1</v>
      </c>
      <c r="AV64" s="1240">
        <f t="shared" si="60"/>
        <v>16</v>
      </c>
      <c r="AW64" s="1238">
        <v>1</v>
      </c>
      <c r="AX64" s="1238">
        <v>1</v>
      </c>
      <c r="AY64" s="1238"/>
      <c r="AZ64" s="1240">
        <f t="shared" si="61"/>
        <v>2</v>
      </c>
      <c r="BA64" s="1238">
        <v>1</v>
      </c>
      <c r="BB64" s="1238">
        <v>11</v>
      </c>
      <c r="BC64" s="1238">
        <v>3</v>
      </c>
      <c r="BD64" s="1240">
        <f t="shared" si="62"/>
        <v>15</v>
      </c>
      <c r="BE64" s="1238">
        <v>1</v>
      </c>
      <c r="BF64" s="1238"/>
      <c r="BG64" s="1238"/>
      <c r="BH64" s="1240">
        <f t="shared" si="63"/>
        <v>1</v>
      </c>
      <c r="BI64" s="1238"/>
      <c r="BJ64" s="1238"/>
      <c r="BK64" s="1238"/>
      <c r="BL64" s="1240">
        <f t="shared" si="64"/>
        <v>0</v>
      </c>
      <c r="BM64" s="1238">
        <v>1</v>
      </c>
      <c r="BN64" s="1238">
        <v>13</v>
      </c>
      <c r="BO64" s="1238">
        <v>1</v>
      </c>
      <c r="BP64" s="1240">
        <f t="shared" si="65"/>
        <v>15</v>
      </c>
      <c r="BQ64" s="1238"/>
      <c r="BR64" s="1238"/>
      <c r="BS64" s="1238"/>
      <c r="BT64" s="1240">
        <f t="shared" si="66"/>
        <v>0</v>
      </c>
      <c r="BU64" s="1238"/>
      <c r="BV64" s="1238">
        <v>10</v>
      </c>
      <c r="BW64" s="1238"/>
      <c r="BX64" s="1240">
        <f t="shared" si="67"/>
        <v>10</v>
      </c>
      <c r="BY64" s="1238">
        <v>2</v>
      </c>
      <c r="BZ64" s="1238">
        <v>2</v>
      </c>
      <c r="CA64" s="1238"/>
      <c r="CB64" s="1240">
        <f t="shared" si="68"/>
        <v>4</v>
      </c>
    </row>
    <row r="65" spans="1:80" ht="14.25" customHeight="1" x14ac:dyDescent="0.2">
      <c r="A65" s="6420"/>
      <c r="B65" s="5968"/>
      <c r="C65" s="6432"/>
      <c r="D65" s="1261" t="s">
        <v>81</v>
      </c>
      <c r="E65" s="1237">
        <v>5</v>
      </c>
      <c r="F65" s="1238"/>
      <c r="G65" s="1238">
        <v>1</v>
      </c>
      <c r="H65" s="1258">
        <f>SUM(E65:G65)</f>
        <v>6</v>
      </c>
      <c r="I65" s="1237"/>
      <c r="J65" s="1238"/>
      <c r="K65" s="1238">
        <v>2</v>
      </c>
      <c r="L65" s="1258">
        <f>SUM(I65:K65)</f>
        <v>2</v>
      </c>
      <c r="M65" s="1237"/>
      <c r="N65" s="1238">
        <v>25</v>
      </c>
      <c r="O65" s="1238">
        <v>1</v>
      </c>
      <c r="P65" s="1239">
        <f t="shared" si="69"/>
        <v>26</v>
      </c>
      <c r="Q65" s="1237">
        <v>2</v>
      </c>
      <c r="R65" s="1238"/>
      <c r="S65" s="1238"/>
      <c r="T65" s="1239">
        <f t="shared" si="58"/>
        <v>2</v>
      </c>
      <c r="U65" s="1237">
        <v>4</v>
      </c>
      <c r="V65" s="1238"/>
      <c r="W65" s="1238">
        <v>6</v>
      </c>
      <c r="X65" s="1239">
        <f>SUM(U65:W65)</f>
        <v>10</v>
      </c>
      <c r="Y65" s="1237">
        <v>1</v>
      </c>
      <c r="Z65" s="1238">
        <v>5</v>
      </c>
      <c r="AA65" s="1238">
        <v>2</v>
      </c>
      <c r="AB65" s="1239">
        <f>SUM(Y65:AA65)</f>
        <v>8</v>
      </c>
      <c r="AC65" s="1237"/>
      <c r="AD65" s="1238"/>
      <c r="AE65" s="1238"/>
      <c r="AF65" s="1240"/>
      <c r="AG65" s="1238">
        <v>2</v>
      </c>
      <c r="AH65" s="1238">
        <v>7</v>
      </c>
      <c r="AI65" s="1238">
        <v>2</v>
      </c>
      <c r="AJ65" s="1240">
        <f>SUM(AG65:AI65)</f>
        <v>11</v>
      </c>
      <c r="AK65" s="1238"/>
      <c r="AL65" s="1238"/>
      <c r="AM65" s="1238"/>
      <c r="AN65" s="1240"/>
      <c r="AO65" s="1238">
        <v>2</v>
      </c>
      <c r="AP65" s="1238">
        <v>4</v>
      </c>
      <c r="AQ65" s="1238"/>
      <c r="AR65" s="1240">
        <f t="shared" si="59"/>
        <v>6</v>
      </c>
      <c r="AS65" s="1238">
        <v>1</v>
      </c>
      <c r="AT65" s="1238">
        <v>1</v>
      </c>
      <c r="AU65" s="1238">
        <v>4</v>
      </c>
      <c r="AV65" s="1240">
        <f t="shared" si="60"/>
        <v>6</v>
      </c>
      <c r="AW65" s="1238">
        <v>2</v>
      </c>
      <c r="AX65" s="1238">
        <v>14</v>
      </c>
      <c r="AY65" s="1238">
        <v>1</v>
      </c>
      <c r="AZ65" s="1240">
        <f t="shared" si="61"/>
        <v>17</v>
      </c>
      <c r="BA65" s="1238">
        <v>3</v>
      </c>
      <c r="BB65" s="1238">
        <v>2</v>
      </c>
      <c r="BC65" s="1238">
        <v>4</v>
      </c>
      <c r="BD65" s="1240">
        <f t="shared" si="62"/>
        <v>9</v>
      </c>
      <c r="BE65" s="1238">
        <v>1</v>
      </c>
      <c r="BF65" s="1238">
        <v>5</v>
      </c>
      <c r="BG65" s="1238">
        <v>2</v>
      </c>
      <c r="BH65" s="1240">
        <f>SUM(BE65:BG65)</f>
        <v>8</v>
      </c>
      <c r="BI65" s="1238">
        <v>1</v>
      </c>
      <c r="BJ65" s="1238">
        <v>1</v>
      </c>
      <c r="BK65" s="1238">
        <v>1</v>
      </c>
      <c r="BL65" s="1240">
        <f t="shared" si="64"/>
        <v>3</v>
      </c>
      <c r="BM65" s="1238">
        <v>9</v>
      </c>
      <c r="BN65" s="1238">
        <v>4</v>
      </c>
      <c r="BO65" s="1238">
        <v>2</v>
      </c>
      <c r="BP65" s="1240">
        <f t="shared" si="65"/>
        <v>15</v>
      </c>
      <c r="BQ65" s="1238">
        <v>1</v>
      </c>
      <c r="BR65" s="1238"/>
      <c r="BS65" s="1238">
        <v>1</v>
      </c>
      <c r="BT65" s="1240">
        <f t="shared" si="66"/>
        <v>2</v>
      </c>
      <c r="BU65" s="1238"/>
      <c r="BV65" s="1238">
        <v>5</v>
      </c>
      <c r="BW65" s="1238">
        <v>3</v>
      </c>
      <c r="BX65" s="1240">
        <f t="shared" si="67"/>
        <v>8</v>
      </c>
      <c r="BY65" s="1238">
        <v>1</v>
      </c>
      <c r="BZ65" s="1238">
        <v>4</v>
      </c>
      <c r="CA65" s="1238">
        <v>21</v>
      </c>
      <c r="CB65" s="1240">
        <f t="shared" si="68"/>
        <v>26</v>
      </c>
    </row>
    <row r="66" spans="1:80" ht="14.25" customHeight="1" x14ac:dyDescent="0.2">
      <c r="A66" s="6420"/>
      <c r="B66" s="5968"/>
      <c r="C66" s="6432"/>
      <c r="D66" s="1261" t="s">
        <v>79</v>
      </c>
      <c r="E66" s="1237">
        <v>1</v>
      </c>
      <c r="F66" s="1238">
        <v>1</v>
      </c>
      <c r="G66" s="1238">
        <v>3</v>
      </c>
      <c r="H66" s="1258">
        <f>SUM(E66:G66)</f>
        <v>5</v>
      </c>
      <c r="I66" s="1237">
        <v>2</v>
      </c>
      <c r="J66" s="1238">
        <v>7</v>
      </c>
      <c r="K66" s="1238">
        <v>6</v>
      </c>
      <c r="L66" s="1258">
        <f>SUM(I66:K66)</f>
        <v>15</v>
      </c>
      <c r="M66" s="1237">
        <v>2</v>
      </c>
      <c r="N66" s="1238">
        <v>3</v>
      </c>
      <c r="O66" s="1238">
        <v>2</v>
      </c>
      <c r="P66" s="1239">
        <f t="shared" si="69"/>
        <v>7</v>
      </c>
      <c r="Q66" s="1237">
        <v>2</v>
      </c>
      <c r="R66" s="1238"/>
      <c r="S66" s="1238">
        <v>2</v>
      </c>
      <c r="T66" s="1239">
        <f t="shared" si="58"/>
        <v>4</v>
      </c>
      <c r="U66" s="1237">
        <v>3</v>
      </c>
      <c r="V66" s="1238">
        <v>6</v>
      </c>
      <c r="W66" s="1238">
        <v>1</v>
      </c>
      <c r="X66" s="1239">
        <f>SUM(U66:W66)</f>
        <v>10</v>
      </c>
      <c r="Y66" s="1237">
        <v>4</v>
      </c>
      <c r="Z66" s="1238">
        <v>1</v>
      </c>
      <c r="AA66" s="1238">
        <v>1</v>
      </c>
      <c r="AB66" s="1239">
        <f>SUM(Y66:AA66)</f>
        <v>6</v>
      </c>
      <c r="AC66" s="1237">
        <v>1</v>
      </c>
      <c r="AD66" s="1238">
        <v>2</v>
      </c>
      <c r="AE66" s="1238">
        <v>1</v>
      </c>
      <c r="AF66" s="1240">
        <f>SUM(AC66:AE66)</f>
        <v>4</v>
      </c>
      <c r="AG66" s="1238">
        <v>1</v>
      </c>
      <c r="AH66" s="1238">
        <v>4</v>
      </c>
      <c r="AI66" s="1238">
        <v>4</v>
      </c>
      <c r="AJ66" s="1240">
        <f>SUM(AG66:AI66)</f>
        <v>9</v>
      </c>
      <c r="AK66" s="1238">
        <v>9</v>
      </c>
      <c r="AL66" s="1238">
        <v>14</v>
      </c>
      <c r="AM66" s="1238">
        <v>6</v>
      </c>
      <c r="AN66" s="1240">
        <f>SUM(AK66:AM66)</f>
        <v>29</v>
      </c>
      <c r="AO66" s="1238">
        <v>1</v>
      </c>
      <c r="AP66" s="1238">
        <v>2</v>
      </c>
      <c r="AQ66" s="1238">
        <v>4</v>
      </c>
      <c r="AR66" s="1240">
        <f t="shared" si="59"/>
        <v>7</v>
      </c>
      <c r="AS66" s="1238">
        <v>4</v>
      </c>
      <c r="AT66" s="1238">
        <v>20</v>
      </c>
      <c r="AU66" s="1238">
        <v>6</v>
      </c>
      <c r="AV66" s="1240">
        <f t="shared" si="60"/>
        <v>30</v>
      </c>
      <c r="AW66" s="1238">
        <v>8</v>
      </c>
      <c r="AX66" s="1238">
        <v>10</v>
      </c>
      <c r="AY66" s="1238">
        <v>7</v>
      </c>
      <c r="AZ66" s="1240">
        <f t="shared" si="61"/>
        <v>25</v>
      </c>
      <c r="BA66" s="1238">
        <v>35</v>
      </c>
      <c r="BB66" s="1238">
        <v>14</v>
      </c>
      <c r="BC66" s="1238">
        <v>3</v>
      </c>
      <c r="BD66" s="1240">
        <f t="shared" si="62"/>
        <v>52</v>
      </c>
      <c r="BE66" s="1238">
        <v>4</v>
      </c>
      <c r="BF66" s="1238">
        <v>9</v>
      </c>
      <c r="BG66" s="1238">
        <v>9</v>
      </c>
      <c r="BH66" s="1240">
        <f>SUM(BE66:BG66)</f>
        <v>22</v>
      </c>
      <c r="BI66" s="1238">
        <v>38</v>
      </c>
      <c r="BJ66" s="1238">
        <v>3</v>
      </c>
      <c r="BK66" s="1238"/>
      <c r="BL66" s="1240">
        <f t="shared" si="64"/>
        <v>41</v>
      </c>
      <c r="BM66" s="1238"/>
      <c r="BN66" s="1238">
        <v>9</v>
      </c>
      <c r="BO66" s="1238">
        <v>35</v>
      </c>
      <c r="BP66" s="1240">
        <f t="shared" si="65"/>
        <v>44</v>
      </c>
      <c r="BQ66" s="1238">
        <v>10</v>
      </c>
      <c r="BR66" s="1238"/>
      <c r="BS66" s="1238">
        <v>2</v>
      </c>
      <c r="BT66" s="1240">
        <f t="shared" si="66"/>
        <v>12</v>
      </c>
      <c r="BU66" s="1238">
        <v>2</v>
      </c>
      <c r="BV66" s="1238">
        <v>9</v>
      </c>
      <c r="BW66" s="1238">
        <v>30</v>
      </c>
      <c r="BX66" s="1240">
        <f t="shared" si="67"/>
        <v>41</v>
      </c>
      <c r="BY66" s="1238">
        <v>9</v>
      </c>
      <c r="BZ66" s="1238">
        <v>5</v>
      </c>
      <c r="CA66" s="1238"/>
      <c r="CB66" s="1240">
        <f t="shared" si="68"/>
        <v>14</v>
      </c>
    </row>
    <row r="67" spans="1:80" ht="14.25" customHeight="1" x14ac:dyDescent="0.2">
      <c r="A67" s="6420"/>
      <c r="B67" s="5968"/>
      <c r="C67" s="6432"/>
      <c r="D67" s="1261" t="s">
        <v>82</v>
      </c>
      <c r="E67" s="1237"/>
      <c r="F67" s="1238"/>
      <c r="G67" s="1238"/>
      <c r="H67" s="1258"/>
      <c r="I67" s="1237"/>
      <c r="J67" s="1238">
        <v>7</v>
      </c>
      <c r="K67" s="1238">
        <v>1</v>
      </c>
      <c r="L67" s="1258">
        <f>SUM(I67:K67)</f>
        <v>8</v>
      </c>
      <c r="M67" s="1237">
        <v>1</v>
      </c>
      <c r="N67" s="1238">
        <v>1</v>
      </c>
      <c r="O67" s="1238"/>
      <c r="P67" s="1239">
        <f t="shared" si="69"/>
        <v>2</v>
      </c>
      <c r="Q67" s="1237"/>
      <c r="R67" s="1238">
        <v>6</v>
      </c>
      <c r="S67" s="1238">
        <v>2</v>
      </c>
      <c r="T67" s="1239">
        <f t="shared" si="58"/>
        <v>8</v>
      </c>
      <c r="U67" s="1237">
        <v>4</v>
      </c>
      <c r="V67" s="1238">
        <v>4</v>
      </c>
      <c r="W67" s="1238">
        <v>3</v>
      </c>
      <c r="X67" s="1239">
        <f>SUM(U67:W67)</f>
        <v>11</v>
      </c>
      <c r="Y67" s="1237">
        <v>2</v>
      </c>
      <c r="Z67" s="1238">
        <v>5</v>
      </c>
      <c r="AA67" s="1238">
        <v>2</v>
      </c>
      <c r="AB67" s="1239">
        <f>SUM(Y67:AA67)</f>
        <v>9</v>
      </c>
      <c r="AC67" s="1237">
        <v>6</v>
      </c>
      <c r="AD67" s="1238">
        <v>4</v>
      </c>
      <c r="AE67" s="1238"/>
      <c r="AF67" s="1240">
        <f>SUM(AC67:AE67)</f>
        <v>10</v>
      </c>
      <c r="AG67" s="1238">
        <v>1</v>
      </c>
      <c r="AH67" s="1238">
        <v>7</v>
      </c>
      <c r="AI67" s="1238">
        <v>4</v>
      </c>
      <c r="AJ67" s="1240">
        <f>SUM(AG67:AI67)</f>
        <v>12</v>
      </c>
      <c r="AK67" s="1238">
        <v>1</v>
      </c>
      <c r="AL67" s="1238">
        <v>11</v>
      </c>
      <c r="AM67" s="1238">
        <v>1</v>
      </c>
      <c r="AN67" s="1240">
        <f>SUM(AK67:AM67)</f>
        <v>13</v>
      </c>
      <c r="AO67" s="1238"/>
      <c r="AP67" s="1238">
        <v>3</v>
      </c>
      <c r="AQ67" s="1238">
        <v>9</v>
      </c>
      <c r="AR67" s="1240">
        <f t="shared" si="59"/>
        <v>12</v>
      </c>
      <c r="AS67" s="1238">
        <v>5</v>
      </c>
      <c r="AT67" s="1238">
        <v>5</v>
      </c>
      <c r="AU67" s="1238">
        <v>6</v>
      </c>
      <c r="AV67" s="1240">
        <f t="shared" si="60"/>
        <v>16</v>
      </c>
      <c r="AW67" s="1238">
        <v>2</v>
      </c>
      <c r="AX67" s="1238">
        <v>19</v>
      </c>
      <c r="AY67" s="1238">
        <v>3</v>
      </c>
      <c r="AZ67" s="1240">
        <f t="shared" si="61"/>
        <v>24</v>
      </c>
      <c r="BA67" s="1238">
        <v>7</v>
      </c>
      <c r="BB67" s="1238">
        <v>3</v>
      </c>
      <c r="BC67" s="1238">
        <v>2</v>
      </c>
      <c r="BD67" s="1240">
        <f t="shared" si="62"/>
        <v>12</v>
      </c>
      <c r="BE67" s="1238"/>
      <c r="BF67" s="1238">
        <v>13</v>
      </c>
      <c r="BG67" s="1238">
        <v>13</v>
      </c>
      <c r="BH67" s="1240">
        <f>SUM(BE67:BG67)</f>
        <v>26</v>
      </c>
      <c r="BI67" s="1238">
        <v>5</v>
      </c>
      <c r="BJ67" s="1238"/>
      <c r="BK67" s="1238"/>
      <c r="BL67" s="1240">
        <f t="shared" si="64"/>
        <v>5</v>
      </c>
      <c r="BM67" s="1238">
        <v>1</v>
      </c>
      <c r="BN67" s="1238">
        <v>17</v>
      </c>
      <c r="BO67" s="1238">
        <v>5</v>
      </c>
      <c r="BP67" s="1240">
        <f t="shared" si="65"/>
        <v>23</v>
      </c>
      <c r="BQ67" s="1238">
        <v>1</v>
      </c>
      <c r="BR67" s="1238">
        <v>2</v>
      </c>
      <c r="BS67" s="1238">
        <v>1</v>
      </c>
      <c r="BT67" s="1240">
        <f t="shared" si="66"/>
        <v>4</v>
      </c>
      <c r="BU67" s="1238"/>
      <c r="BV67" s="1238">
        <v>12</v>
      </c>
      <c r="BW67" s="1238">
        <v>4</v>
      </c>
      <c r="BX67" s="1240">
        <f t="shared" si="67"/>
        <v>16</v>
      </c>
      <c r="BY67" s="1238">
        <v>5</v>
      </c>
      <c r="BZ67" s="1238"/>
      <c r="CA67" s="1238"/>
      <c r="CB67" s="1240">
        <f t="shared" si="68"/>
        <v>5</v>
      </c>
    </row>
    <row r="68" spans="1:80" ht="14.25" customHeight="1" x14ac:dyDescent="0.2">
      <c r="A68" s="6420"/>
      <c r="B68" s="5968"/>
      <c r="C68" s="6432"/>
      <c r="D68" s="1262" t="s">
        <v>139</v>
      </c>
      <c r="E68" s="1237"/>
      <c r="F68" s="1238"/>
      <c r="G68" s="1238"/>
      <c r="H68" s="1258"/>
      <c r="I68" s="1237"/>
      <c r="J68" s="1238"/>
      <c r="K68" s="1238"/>
      <c r="L68" s="1258"/>
      <c r="M68" s="1237"/>
      <c r="N68" s="1238"/>
      <c r="O68" s="1238">
        <v>1</v>
      </c>
      <c r="P68" s="1239">
        <f t="shared" si="69"/>
        <v>1</v>
      </c>
      <c r="Q68" s="1237">
        <v>5</v>
      </c>
      <c r="R68" s="1238"/>
      <c r="S68" s="1238">
        <v>1</v>
      </c>
      <c r="T68" s="1239">
        <f t="shared" si="58"/>
        <v>6</v>
      </c>
      <c r="U68" s="1237"/>
      <c r="V68" s="1238"/>
      <c r="W68" s="1238"/>
      <c r="X68" s="1239"/>
      <c r="Y68" s="1237"/>
      <c r="Z68" s="1238"/>
      <c r="AA68" s="1238"/>
      <c r="AB68" s="1239"/>
      <c r="AC68" s="1237"/>
      <c r="AD68" s="1238"/>
      <c r="AE68" s="1238"/>
      <c r="AF68" s="1240"/>
      <c r="AG68" s="1238"/>
      <c r="AH68" s="1238"/>
      <c r="AI68" s="1238">
        <v>1</v>
      </c>
      <c r="AJ68" s="1240">
        <f>SUM(AG68:AI68)</f>
        <v>1</v>
      </c>
      <c r="AK68" s="1238"/>
      <c r="AL68" s="1238">
        <v>1</v>
      </c>
      <c r="AM68" s="1238">
        <v>1</v>
      </c>
      <c r="AN68" s="1240">
        <f>SUM(AK68:AM68)</f>
        <v>2</v>
      </c>
      <c r="AO68" s="1238"/>
      <c r="AP68" s="1238"/>
      <c r="AQ68" s="1238"/>
      <c r="AR68" s="1240">
        <f t="shared" si="59"/>
        <v>0</v>
      </c>
      <c r="AS68" s="1238">
        <v>5</v>
      </c>
      <c r="AT68" s="1238"/>
      <c r="AU68" s="1238"/>
      <c r="AV68" s="1240">
        <f t="shared" si="60"/>
        <v>5</v>
      </c>
      <c r="AW68" s="1238">
        <v>7</v>
      </c>
      <c r="AX68" s="1238"/>
      <c r="AY68" s="1238">
        <v>1</v>
      </c>
      <c r="AZ68" s="1240">
        <f t="shared" si="61"/>
        <v>8</v>
      </c>
      <c r="BA68" s="1238">
        <v>4</v>
      </c>
      <c r="BB68" s="1238"/>
      <c r="BC68" s="1238">
        <v>5</v>
      </c>
      <c r="BD68" s="1240">
        <f t="shared" si="62"/>
        <v>9</v>
      </c>
      <c r="BE68" s="1238">
        <v>6</v>
      </c>
      <c r="BF68" s="1238"/>
      <c r="BG68" s="1238"/>
      <c r="BH68" s="1240">
        <f>SUM(BE68:BG68)</f>
        <v>6</v>
      </c>
      <c r="BI68" s="1238"/>
      <c r="BJ68" s="1238">
        <v>5</v>
      </c>
      <c r="BK68" s="1238">
        <v>11</v>
      </c>
      <c r="BL68" s="1240">
        <f t="shared" si="64"/>
        <v>16</v>
      </c>
      <c r="BM68" s="1238"/>
      <c r="BN68" s="1238">
        <v>1</v>
      </c>
      <c r="BO68" s="1238">
        <v>16</v>
      </c>
      <c r="BP68" s="1240">
        <f t="shared" si="65"/>
        <v>17</v>
      </c>
      <c r="BQ68" s="1238"/>
      <c r="BR68" s="1238"/>
      <c r="BS68" s="1238">
        <v>9</v>
      </c>
      <c r="BT68" s="1240">
        <f t="shared" si="66"/>
        <v>9</v>
      </c>
      <c r="BU68" s="1238"/>
      <c r="BV68" s="1238">
        <v>1</v>
      </c>
      <c r="BW68" s="1238">
        <v>8</v>
      </c>
      <c r="BX68" s="1240">
        <f t="shared" si="67"/>
        <v>9</v>
      </c>
      <c r="BY68" s="1238"/>
      <c r="BZ68" s="1238"/>
      <c r="CA68" s="1238">
        <v>7</v>
      </c>
      <c r="CB68" s="1240">
        <f t="shared" si="68"/>
        <v>7</v>
      </c>
    </row>
    <row r="69" spans="1:80" ht="14.25" customHeight="1" x14ac:dyDescent="0.2">
      <c r="A69" s="6420"/>
      <c r="B69" s="5968"/>
      <c r="C69" s="6432"/>
      <c r="D69" s="1262" t="s">
        <v>405</v>
      </c>
      <c r="E69" s="1237"/>
      <c r="F69" s="1238"/>
      <c r="G69" s="1238">
        <v>1</v>
      </c>
      <c r="H69" s="1258">
        <f>SUM(E69:G69)</f>
        <v>1</v>
      </c>
      <c r="I69" s="1237">
        <v>1</v>
      </c>
      <c r="J69" s="1238"/>
      <c r="K69" s="1238"/>
      <c r="L69" s="1258">
        <f t="shared" ref="L69:L74" si="70">SUM(I69:K69)</f>
        <v>1</v>
      </c>
      <c r="M69" s="1237"/>
      <c r="N69" s="1238">
        <v>2</v>
      </c>
      <c r="O69" s="1238"/>
      <c r="P69" s="1239">
        <f t="shared" si="69"/>
        <v>2</v>
      </c>
      <c r="Q69" s="1237"/>
      <c r="R69" s="1238"/>
      <c r="S69" s="1238"/>
      <c r="T69" s="1239"/>
      <c r="U69" s="1237"/>
      <c r="V69" s="1238"/>
      <c r="W69" s="1238"/>
      <c r="X69" s="1239"/>
      <c r="Y69" s="1237"/>
      <c r="Z69" s="1238"/>
      <c r="AA69" s="1238"/>
      <c r="AB69" s="1239"/>
      <c r="AC69" s="1237"/>
      <c r="AD69" s="1238"/>
      <c r="AE69" s="1238"/>
      <c r="AF69" s="1240"/>
      <c r="AG69" s="1238"/>
      <c r="AH69" s="1238"/>
      <c r="AI69" s="1238"/>
      <c r="AJ69" s="1240"/>
      <c r="AK69" s="1238"/>
      <c r="AL69" s="1238"/>
      <c r="AM69" s="1238"/>
      <c r="AN69" s="1240"/>
      <c r="AO69" s="1238"/>
      <c r="AP69" s="1238"/>
      <c r="AQ69" s="1238"/>
      <c r="AR69" s="1240"/>
      <c r="AS69" s="1238"/>
      <c r="AT69" s="1238"/>
      <c r="AU69" s="1238"/>
      <c r="AV69" s="1240"/>
      <c r="AW69" s="1238">
        <v>1</v>
      </c>
      <c r="AX69" s="1238"/>
      <c r="AY69" s="1238">
        <v>2</v>
      </c>
      <c r="AZ69" s="1240">
        <f t="shared" si="61"/>
        <v>3</v>
      </c>
      <c r="BA69" s="1238"/>
      <c r="BB69" s="1238"/>
      <c r="BC69" s="1238"/>
      <c r="BD69" s="1240">
        <f t="shared" si="62"/>
        <v>0</v>
      </c>
      <c r="BE69" s="1238"/>
      <c r="BF69" s="1238"/>
      <c r="BG69" s="1238"/>
      <c r="BH69" s="1240"/>
      <c r="BI69" s="1238"/>
      <c r="BJ69" s="1238"/>
      <c r="BK69" s="1238"/>
      <c r="BL69" s="1240"/>
      <c r="BM69" s="1238"/>
      <c r="BN69" s="1238"/>
      <c r="BO69" s="1238"/>
      <c r="BP69" s="1240">
        <f t="shared" si="65"/>
        <v>0</v>
      </c>
      <c r="BQ69" s="1238"/>
      <c r="BR69" s="1238"/>
      <c r="BS69" s="1238"/>
      <c r="BT69" s="1240">
        <f t="shared" si="66"/>
        <v>0</v>
      </c>
      <c r="BU69" s="1238"/>
      <c r="BV69" s="1238"/>
      <c r="BW69" s="1238"/>
      <c r="BX69" s="1240">
        <f t="shared" si="67"/>
        <v>0</v>
      </c>
      <c r="BY69" s="1238"/>
      <c r="BZ69" s="1238"/>
      <c r="CA69" s="1238"/>
      <c r="CB69" s="1240">
        <f t="shared" si="68"/>
        <v>0</v>
      </c>
    </row>
    <row r="70" spans="1:80" ht="14.25" customHeight="1" x14ac:dyDescent="0.2">
      <c r="A70" s="6420"/>
      <c r="B70" s="5968"/>
      <c r="C70" s="6432"/>
      <c r="D70" s="1262" t="s">
        <v>548</v>
      </c>
      <c r="E70" s="1237"/>
      <c r="F70" s="1238">
        <v>2</v>
      </c>
      <c r="G70" s="1238"/>
      <c r="H70" s="1258">
        <f>SUM(E70:G70)</f>
        <v>2</v>
      </c>
      <c r="I70" s="1237">
        <v>1</v>
      </c>
      <c r="J70" s="1238"/>
      <c r="K70" s="1238"/>
      <c r="L70" s="1258">
        <f t="shared" si="70"/>
        <v>1</v>
      </c>
      <c r="M70" s="1237"/>
      <c r="N70" s="1238">
        <v>2</v>
      </c>
      <c r="O70" s="1238"/>
      <c r="P70" s="1239">
        <f t="shared" si="69"/>
        <v>2</v>
      </c>
      <c r="Q70" s="1237"/>
      <c r="R70" s="1238">
        <v>2</v>
      </c>
      <c r="S70" s="1238"/>
      <c r="T70" s="1239">
        <f>SUM(Q70:S70)</f>
        <v>2</v>
      </c>
      <c r="U70" s="1237"/>
      <c r="V70" s="1238"/>
      <c r="W70" s="1238"/>
      <c r="X70" s="1239"/>
      <c r="Y70" s="1237"/>
      <c r="Z70" s="1238"/>
      <c r="AA70" s="1238">
        <v>1</v>
      </c>
      <c r="AB70" s="1239">
        <f>SUM(Y70:AA70)</f>
        <v>1</v>
      </c>
      <c r="AC70" s="1237"/>
      <c r="AD70" s="1238"/>
      <c r="AE70" s="1238"/>
      <c r="AF70" s="1240"/>
      <c r="AG70" s="1238"/>
      <c r="AH70" s="1238"/>
      <c r="AI70" s="1238"/>
      <c r="AJ70" s="1240"/>
      <c r="AK70" s="1238"/>
      <c r="AL70" s="1238"/>
      <c r="AM70" s="1238"/>
      <c r="AN70" s="1240"/>
      <c r="AO70" s="1238"/>
      <c r="AP70" s="1238"/>
      <c r="AQ70" s="1238">
        <v>1</v>
      </c>
      <c r="AR70" s="1240">
        <f>SUM(AO70:AQ70)</f>
        <v>1</v>
      </c>
      <c r="AS70" s="1238"/>
      <c r="AT70" s="1238">
        <v>1</v>
      </c>
      <c r="AU70" s="1238"/>
      <c r="AV70" s="1240">
        <f>SUM(AS70:AU70)</f>
        <v>1</v>
      </c>
      <c r="AW70" s="1238"/>
      <c r="AX70" s="1238"/>
      <c r="AY70" s="1238"/>
      <c r="AZ70" s="1240">
        <f t="shared" si="61"/>
        <v>0</v>
      </c>
      <c r="BA70" s="1238"/>
      <c r="BB70" s="1238"/>
      <c r="BC70" s="1238"/>
      <c r="BD70" s="1240">
        <f t="shared" si="62"/>
        <v>0</v>
      </c>
      <c r="BE70" s="1238"/>
      <c r="BF70" s="1238"/>
      <c r="BG70" s="1238"/>
      <c r="BH70" s="1240"/>
      <c r="BI70" s="1238"/>
      <c r="BJ70" s="1238"/>
      <c r="BK70" s="1238"/>
      <c r="BL70" s="1240"/>
      <c r="BM70" s="1238"/>
      <c r="BN70" s="1238"/>
      <c r="BO70" s="1238"/>
      <c r="BP70" s="1240">
        <f t="shared" si="65"/>
        <v>0</v>
      </c>
      <c r="BQ70" s="1238"/>
      <c r="BR70" s="1238"/>
      <c r="BS70" s="1238"/>
      <c r="BT70" s="1240">
        <f t="shared" si="66"/>
        <v>0</v>
      </c>
      <c r="BU70" s="1238"/>
      <c r="BV70" s="1238"/>
      <c r="BW70" s="1238"/>
      <c r="BX70" s="1240">
        <f t="shared" si="67"/>
        <v>0</v>
      </c>
      <c r="BY70" s="1238"/>
      <c r="BZ70" s="1238"/>
      <c r="CA70" s="1238"/>
      <c r="CB70" s="1240">
        <f t="shared" si="68"/>
        <v>0</v>
      </c>
    </row>
    <row r="71" spans="1:80" ht="14.25" customHeight="1" x14ac:dyDescent="0.2">
      <c r="A71" s="6420"/>
      <c r="B71" s="5968"/>
      <c r="C71" s="6433"/>
      <c r="D71" s="1242" t="s">
        <v>381</v>
      </c>
      <c r="E71" s="1243">
        <v>1</v>
      </c>
      <c r="F71" s="1244">
        <v>1</v>
      </c>
      <c r="G71" s="1244"/>
      <c r="H71" s="1245">
        <f>SUM(E71:G71)</f>
        <v>2</v>
      </c>
      <c r="I71" s="1243">
        <v>1</v>
      </c>
      <c r="J71" s="1244">
        <v>1</v>
      </c>
      <c r="K71" s="1244"/>
      <c r="L71" s="1245">
        <f t="shared" si="70"/>
        <v>2</v>
      </c>
      <c r="M71" s="1243">
        <v>1</v>
      </c>
      <c r="N71" s="1244"/>
      <c r="O71" s="1244"/>
      <c r="P71" s="1245">
        <f t="shared" si="69"/>
        <v>1</v>
      </c>
      <c r="Q71" s="1243"/>
      <c r="R71" s="1244"/>
      <c r="S71" s="1244"/>
      <c r="T71" s="1245"/>
      <c r="U71" s="1243"/>
      <c r="V71" s="1244"/>
      <c r="W71" s="1244"/>
      <c r="X71" s="1245"/>
      <c r="Y71" s="1243"/>
      <c r="Z71" s="1244"/>
      <c r="AA71" s="1244"/>
      <c r="AB71" s="1245"/>
      <c r="AC71" s="1243"/>
      <c r="AD71" s="1244"/>
      <c r="AE71" s="1244"/>
      <c r="AF71" s="1246"/>
      <c r="AG71" s="1244"/>
      <c r="AH71" s="1244"/>
      <c r="AI71" s="1244"/>
      <c r="AJ71" s="1246"/>
      <c r="AK71" s="1244"/>
      <c r="AL71" s="1244"/>
      <c r="AM71" s="1244"/>
      <c r="AN71" s="1246"/>
      <c r="AO71" s="1244"/>
      <c r="AP71" s="1244"/>
      <c r="AQ71" s="1244"/>
      <c r="AR71" s="1246"/>
      <c r="AS71" s="1244"/>
      <c r="AT71" s="1244">
        <v>1</v>
      </c>
      <c r="AU71" s="1244"/>
      <c r="AV71" s="1246">
        <f>SUM(AS71:AU71)</f>
        <v>1</v>
      </c>
      <c r="AW71" s="1244"/>
      <c r="AX71" s="1244"/>
      <c r="AY71" s="1244"/>
      <c r="AZ71" s="1246">
        <f t="shared" si="61"/>
        <v>0</v>
      </c>
      <c r="BA71" s="1244"/>
      <c r="BB71" s="1244">
        <v>1</v>
      </c>
      <c r="BC71" s="1244"/>
      <c r="BD71" s="1246">
        <f t="shared" si="62"/>
        <v>1</v>
      </c>
      <c r="BE71" s="1244"/>
      <c r="BF71" s="1244"/>
      <c r="BG71" s="1244"/>
      <c r="BH71" s="1246"/>
      <c r="BI71" s="1244"/>
      <c r="BJ71" s="1244"/>
      <c r="BK71" s="1244"/>
      <c r="BL71" s="1246"/>
      <c r="BM71" s="1244"/>
      <c r="BN71" s="1244"/>
      <c r="BO71" s="1244"/>
      <c r="BP71" s="1240">
        <f t="shared" si="65"/>
        <v>0</v>
      </c>
      <c r="BQ71" s="1244"/>
      <c r="BR71" s="1244"/>
      <c r="BS71" s="1244"/>
      <c r="BT71" s="1240">
        <f t="shared" si="66"/>
        <v>0</v>
      </c>
      <c r="BU71" s="1244"/>
      <c r="BV71" s="1244"/>
      <c r="BW71" s="1244"/>
      <c r="BX71" s="1240">
        <f t="shared" si="67"/>
        <v>0</v>
      </c>
      <c r="BY71" s="1244"/>
      <c r="BZ71" s="1244"/>
      <c r="CA71" s="1244"/>
      <c r="CB71" s="1240">
        <f t="shared" si="68"/>
        <v>0</v>
      </c>
    </row>
    <row r="72" spans="1:80" ht="14.25" customHeight="1" x14ac:dyDescent="0.2">
      <c r="A72" s="6420"/>
      <c r="B72" s="5968"/>
      <c r="C72" s="6431" t="s">
        <v>520</v>
      </c>
      <c r="D72" s="1261" t="s">
        <v>84</v>
      </c>
      <c r="E72" s="1237"/>
      <c r="F72" s="1238"/>
      <c r="G72" s="1238"/>
      <c r="H72" s="1258"/>
      <c r="I72" s="1237"/>
      <c r="J72" s="1238"/>
      <c r="K72" s="1238">
        <v>4</v>
      </c>
      <c r="L72" s="1258">
        <f t="shared" si="70"/>
        <v>4</v>
      </c>
      <c r="M72" s="1237">
        <v>1</v>
      </c>
      <c r="N72" s="1238">
        <v>1</v>
      </c>
      <c r="O72" s="1238">
        <v>3</v>
      </c>
      <c r="P72" s="1239">
        <f>SUM(M72:O72)</f>
        <v>5</v>
      </c>
      <c r="Q72" s="1237">
        <v>4</v>
      </c>
      <c r="R72" s="1238">
        <v>3</v>
      </c>
      <c r="S72" s="1238">
        <v>2</v>
      </c>
      <c r="T72" s="1239">
        <f>SUM(Q72:S72)</f>
        <v>9</v>
      </c>
      <c r="U72" s="1237">
        <v>2</v>
      </c>
      <c r="V72" s="1238">
        <v>1</v>
      </c>
      <c r="W72" s="1238">
        <v>2</v>
      </c>
      <c r="X72" s="1239">
        <f t="shared" si="50"/>
        <v>5</v>
      </c>
      <c r="Y72" s="1237">
        <v>5</v>
      </c>
      <c r="Z72" s="1238">
        <v>1</v>
      </c>
      <c r="AA72" s="1238">
        <v>4</v>
      </c>
      <c r="AB72" s="1239">
        <f t="shared" si="51"/>
        <v>10</v>
      </c>
      <c r="AC72" s="1237">
        <v>1</v>
      </c>
      <c r="AD72" s="1238">
        <v>3</v>
      </c>
      <c r="AE72" s="1238">
        <v>4</v>
      </c>
      <c r="AF72" s="1240">
        <f>SUM(AC72:AE72)</f>
        <v>8</v>
      </c>
      <c r="AG72" s="1238">
        <v>3</v>
      </c>
      <c r="AH72" s="1238">
        <v>2</v>
      </c>
      <c r="AI72" s="1238">
        <v>8</v>
      </c>
      <c r="AJ72" s="1240">
        <f t="shared" si="52"/>
        <v>13</v>
      </c>
      <c r="AK72" s="1238"/>
      <c r="AL72" s="1238">
        <v>8</v>
      </c>
      <c r="AM72" s="1238">
        <v>3</v>
      </c>
      <c r="AN72" s="1240">
        <f>SUM(AK72:AM72)</f>
        <v>11</v>
      </c>
      <c r="AO72" s="1238">
        <v>1</v>
      </c>
      <c r="AP72" s="1238">
        <v>1</v>
      </c>
      <c r="AQ72" s="1238">
        <v>4</v>
      </c>
      <c r="AR72" s="1240">
        <f t="shared" ref="AR72:AR78" si="71">SUM(AO72:AQ72)</f>
        <v>6</v>
      </c>
      <c r="AS72" s="1238">
        <v>6</v>
      </c>
      <c r="AT72" s="1238">
        <v>3</v>
      </c>
      <c r="AU72" s="1238">
        <v>8</v>
      </c>
      <c r="AV72" s="1240">
        <f t="shared" ref="AV72:AV78" si="72">SUM(AS72:AU72)</f>
        <v>17</v>
      </c>
      <c r="AW72" s="1238">
        <v>5</v>
      </c>
      <c r="AX72" s="1238">
        <v>6</v>
      </c>
      <c r="AY72" s="1238">
        <v>3</v>
      </c>
      <c r="AZ72" s="1240">
        <f t="shared" ref="AZ72:AZ78" si="73">SUM(AW72:AY72)</f>
        <v>14</v>
      </c>
      <c r="BA72" s="1238">
        <v>9</v>
      </c>
      <c r="BB72" s="1238">
        <v>3</v>
      </c>
      <c r="BC72" s="1238"/>
      <c r="BD72" s="1240">
        <f t="shared" ref="BD72:BD78" si="74">SUM(BA72:BC72)</f>
        <v>12</v>
      </c>
      <c r="BE72" s="1238">
        <v>7</v>
      </c>
      <c r="BF72" s="1238">
        <v>3</v>
      </c>
      <c r="BG72" s="1238">
        <v>3</v>
      </c>
      <c r="BH72" s="1240">
        <f t="shared" si="63"/>
        <v>13</v>
      </c>
      <c r="BI72" s="1238">
        <v>4</v>
      </c>
      <c r="BJ72" s="1238"/>
      <c r="BK72" s="1238">
        <v>5</v>
      </c>
      <c r="BL72" s="1240">
        <f>SUM(BI72:BK72)</f>
        <v>9</v>
      </c>
      <c r="BM72" s="1238">
        <v>9</v>
      </c>
      <c r="BN72" s="1238">
        <v>1</v>
      </c>
      <c r="BO72" s="1238">
        <v>2</v>
      </c>
      <c r="BP72" s="1240">
        <f>SUM(BM72:BO72)</f>
        <v>12</v>
      </c>
      <c r="BQ72" s="1238">
        <v>6</v>
      </c>
      <c r="BR72" s="1238">
        <v>1</v>
      </c>
      <c r="BS72" s="1238">
        <v>2</v>
      </c>
      <c r="BT72" s="1240">
        <f>SUM(BQ72:BS72)</f>
        <v>9</v>
      </c>
      <c r="BU72" s="1238">
        <v>7</v>
      </c>
      <c r="BV72" s="1238">
        <v>1</v>
      </c>
      <c r="BW72" s="1238">
        <v>4</v>
      </c>
      <c r="BX72" s="1240">
        <f>SUM(BU72:BW72)</f>
        <v>12</v>
      </c>
      <c r="BY72" s="1238">
        <v>5</v>
      </c>
      <c r="BZ72" s="1238">
        <v>1</v>
      </c>
      <c r="CA72" s="1238"/>
      <c r="CB72" s="1240">
        <f>SUM(BY72:CA72)</f>
        <v>6</v>
      </c>
    </row>
    <row r="73" spans="1:80" ht="14.25" customHeight="1" x14ac:dyDescent="0.2">
      <c r="A73" s="6420"/>
      <c r="B73" s="5968"/>
      <c r="C73" s="6432"/>
      <c r="D73" s="1261" t="s">
        <v>85</v>
      </c>
      <c r="E73" s="1237"/>
      <c r="F73" s="1238"/>
      <c r="G73" s="1238"/>
      <c r="H73" s="1258"/>
      <c r="I73" s="1237"/>
      <c r="J73" s="1238"/>
      <c r="K73" s="1238">
        <v>1</v>
      </c>
      <c r="L73" s="1258">
        <f t="shared" si="70"/>
        <v>1</v>
      </c>
      <c r="M73" s="1237"/>
      <c r="N73" s="1238">
        <v>1</v>
      </c>
      <c r="O73" s="1238"/>
      <c r="P73" s="1239">
        <f>SUM(M73:O73)</f>
        <v>1</v>
      </c>
      <c r="Q73" s="1237">
        <v>1</v>
      </c>
      <c r="R73" s="1238">
        <v>3</v>
      </c>
      <c r="S73" s="1238">
        <v>2</v>
      </c>
      <c r="T73" s="1239">
        <f>SUM(Q73:S73)</f>
        <v>6</v>
      </c>
      <c r="U73" s="1237">
        <v>1</v>
      </c>
      <c r="V73" s="1238">
        <v>2</v>
      </c>
      <c r="W73" s="1238">
        <v>12</v>
      </c>
      <c r="X73" s="1239">
        <f t="shared" si="50"/>
        <v>15</v>
      </c>
      <c r="Y73" s="1237">
        <v>2</v>
      </c>
      <c r="Z73" s="1238">
        <v>9</v>
      </c>
      <c r="AA73" s="1238">
        <v>4</v>
      </c>
      <c r="AB73" s="1239">
        <f t="shared" si="51"/>
        <v>15</v>
      </c>
      <c r="AC73" s="1237"/>
      <c r="AD73" s="1238">
        <v>5</v>
      </c>
      <c r="AE73" s="1238">
        <v>2</v>
      </c>
      <c r="AF73" s="1240">
        <f>SUM(AC73:AE73)</f>
        <v>7</v>
      </c>
      <c r="AG73" s="1238">
        <v>1</v>
      </c>
      <c r="AH73" s="1238">
        <v>6</v>
      </c>
      <c r="AI73" s="1238">
        <v>16</v>
      </c>
      <c r="AJ73" s="1240">
        <f t="shared" si="52"/>
        <v>23</v>
      </c>
      <c r="AK73" s="1238">
        <v>7</v>
      </c>
      <c r="AL73" s="1238">
        <v>16</v>
      </c>
      <c r="AM73" s="1238">
        <v>8</v>
      </c>
      <c r="AN73" s="1240">
        <f>SUM(AK73:AM73)</f>
        <v>31</v>
      </c>
      <c r="AO73" s="1238">
        <v>4</v>
      </c>
      <c r="AP73" s="1238">
        <v>4</v>
      </c>
      <c r="AQ73" s="1238">
        <v>2</v>
      </c>
      <c r="AR73" s="1240">
        <f t="shared" si="71"/>
        <v>10</v>
      </c>
      <c r="AS73" s="1238">
        <v>3</v>
      </c>
      <c r="AT73" s="1238">
        <v>5</v>
      </c>
      <c r="AU73" s="1238">
        <v>4</v>
      </c>
      <c r="AV73" s="1240">
        <f t="shared" si="72"/>
        <v>12</v>
      </c>
      <c r="AW73" s="1238"/>
      <c r="AX73" s="1238">
        <v>7</v>
      </c>
      <c r="AY73" s="1238">
        <v>1</v>
      </c>
      <c r="AZ73" s="1240">
        <f t="shared" si="73"/>
        <v>8</v>
      </c>
      <c r="BA73" s="1238">
        <v>11</v>
      </c>
      <c r="BB73" s="1238">
        <v>2</v>
      </c>
      <c r="BC73" s="1238">
        <v>2</v>
      </c>
      <c r="BD73" s="1240">
        <f t="shared" si="74"/>
        <v>15</v>
      </c>
      <c r="BE73" s="1238">
        <v>2</v>
      </c>
      <c r="BF73" s="1238">
        <v>1</v>
      </c>
      <c r="BG73" s="1238">
        <v>1</v>
      </c>
      <c r="BH73" s="1240">
        <f t="shared" si="63"/>
        <v>4</v>
      </c>
      <c r="BI73" s="1238">
        <v>4</v>
      </c>
      <c r="BJ73" s="1238">
        <v>5</v>
      </c>
      <c r="BK73" s="1238">
        <v>2</v>
      </c>
      <c r="BL73" s="1240">
        <f>SUM(BI73:BK73)</f>
        <v>11</v>
      </c>
      <c r="BM73" s="1238">
        <v>8</v>
      </c>
      <c r="BN73" s="1238">
        <v>10</v>
      </c>
      <c r="BO73" s="1238">
        <v>8</v>
      </c>
      <c r="BP73" s="1240">
        <f>SUM(BM73:BO73)</f>
        <v>26</v>
      </c>
      <c r="BQ73" s="1238">
        <v>4</v>
      </c>
      <c r="BR73" s="1238">
        <v>4</v>
      </c>
      <c r="BS73" s="1238">
        <v>1</v>
      </c>
      <c r="BT73" s="1240">
        <f>SUM(BQ73:BS73)</f>
        <v>9</v>
      </c>
      <c r="BU73" s="1238">
        <v>1</v>
      </c>
      <c r="BV73" s="1238">
        <v>11</v>
      </c>
      <c r="BW73" s="1238">
        <v>1</v>
      </c>
      <c r="BX73" s="1240">
        <f>SUM(BU73:BW73)</f>
        <v>13</v>
      </c>
      <c r="BY73" s="1238">
        <v>2</v>
      </c>
      <c r="BZ73" s="1238">
        <v>2</v>
      </c>
      <c r="CA73" s="1238">
        <v>1</v>
      </c>
      <c r="CB73" s="1240">
        <f>SUM(BY73:CA73)</f>
        <v>5</v>
      </c>
    </row>
    <row r="74" spans="1:80" ht="14.25" customHeight="1" x14ac:dyDescent="0.2">
      <c r="A74" s="6420"/>
      <c r="B74" s="5968"/>
      <c r="C74" s="6432"/>
      <c r="D74" s="1261" t="s">
        <v>83</v>
      </c>
      <c r="E74" s="1237"/>
      <c r="F74" s="1238"/>
      <c r="G74" s="1238"/>
      <c r="H74" s="1258"/>
      <c r="I74" s="1237"/>
      <c r="J74" s="1238"/>
      <c r="K74" s="1238">
        <v>1</v>
      </c>
      <c r="L74" s="1258">
        <f t="shared" si="70"/>
        <v>1</v>
      </c>
      <c r="M74" s="1237"/>
      <c r="N74" s="1238">
        <v>4</v>
      </c>
      <c r="O74" s="1238">
        <v>2</v>
      </c>
      <c r="P74" s="1239">
        <f>SUM(M74:O74)</f>
        <v>6</v>
      </c>
      <c r="Q74" s="1237">
        <v>2</v>
      </c>
      <c r="R74" s="1238">
        <v>2</v>
      </c>
      <c r="S74" s="1238">
        <v>1</v>
      </c>
      <c r="T74" s="1239">
        <f>SUM(Q74:S74)</f>
        <v>5</v>
      </c>
      <c r="U74" s="1237"/>
      <c r="V74" s="1238">
        <v>2</v>
      </c>
      <c r="W74" s="1238">
        <v>2</v>
      </c>
      <c r="X74" s="1239">
        <f t="shared" si="50"/>
        <v>4</v>
      </c>
      <c r="Y74" s="1237">
        <v>3</v>
      </c>
      <c r="Z74" s="1238">
        <v>4</v>
      </c>
      <c r="AA74" s="1238">
        <v>4</v>
      </c>
      <c r="AB74" s="1239">
        <f t="shared" si="51"/>
        <v>11</v>
      </c>
      <c r="AC74" s="1237">
        <v>1</v>
      </c>
      <c r="AD74" s="1238"/>
      <c r="AE74" s="1238"/>
      <c r="AF74" s="1240">
        <f>SUM(AC74:AE74)</f>
        <v>1</v>
      </c>
      <c r="AG74" s="1238"/>
      <c r="AH74" s="1238">
        <v>1</v>
      </c>
      <c r="AI74" s="1238">
        <v>5</v>
      </c>
      <c r="AJ74" s="1240">
        <f t="shared" si="52"/>
        <v>6</v>
      </c>
      <c r="AK74" s="1238">
        <v>3</v>
      </c>
      <c r="AL74" s="1238">
        <v>1</v>
      </c>
      <c r="AM74" s="1238">
        <v>1</v>
      </c>
      <c r="AN74" s="1240">
        <f>SUM(AK74:AM74)</f>
        <v>5</v>
      </c>
      <c r="AO74" s="1238">
        <v>6</v>
      </c>
      <c r="AP74" s="1238">
        <v>5</v>
      </c>
      <c r="AQ74" s="1238">
        <v>2</v>
      </c>
      <c r="AR74" s="1240">
        <f t="shared" si="71"/>
        <v>13</v>
      </c>
      <c r="AS74" s="1238">
        <v>2</v>
      </c>
      <c r="AT74" s="1238">
        <v>4</v>
      </c>
      <c r="AU74" s="1238">
        <v>3</v>
      </c>
      <c r="AV74" s="1240">
        <f t="shared" si="72"/>
        <v>9</v>
      </c>
      <c r="AW74" s="1238">
        <v>6</v>
      </c>
      <c r="AX74" s="1238">
        <v>3</v>
      </c>
      <c r="AY74" s="1238">
        <v>3</v>
      </c>
      <c r="AZ74" s="1240">
        <f t="shared" si="73"/>
        <v>12</v>
      </c>
      <c r="BA74" s="1238">
        <v>3</v>
      </c>
      <c r="BB74" s="1238">
        <v>8</v>
      </c>
      <c r="BC74" s="1238">
        <v>6</v>
      </c>
      <c r="BD74" s="1240">
        <f t="shared" si="74"/>
        <v>17</v>
      </c>
      <c r="BE74" s="1238">
        <v>6</v>
      </c>
      <c r="BF74" s="1238">
        <v>6</v>
      </c>
      <c r="BG74" s="1238">
        <v>5</v>
      </c>
      <c r="BH74" s="1240">
        <f t="shared" si="63"/>
        <v>17</v>
      </c>
      <c r="BI74" s="1238">
        <v>10</v>
      </c>
      <c r="BJ74" s="1238">
        <v>9</v>
      </c>
      <c r="BK74" s="1238">
        <v>9</v>
      </c>
      <c r="BL74" s="1240">
        <f>SUM(BI74:BK74)</f>
        <v>28</v>
      </c>
      <c r="BM74" s="1238">
        <v>3</v>
      </c>
      <c r="BN74" s="1238">
        <v>8</v>
      </c>
      <c r="BO74" s="1238">
        <v>14</v>
      </c>
      <c r="BP74" s="1240">
        <f>SUM(BM74:BO74)</f>
        <v>25</v>
      </c>
      <c r="BQ74" s="1238">
        <v>5</v>
      </c>
      <c r="BR74" s="1238">
        <v>9</v>
      </c>
      <c r="BS74" s="1238">
        <v>3</v>
      </c>
      <c r="BT74" s="1240">
        <f>SUM(BQ74:BS74)</f>
        <v>17</v>
      </c>
      <c r="BU74" s="1238">
        <v>4</v>
      </c>
      <c r="BV74" s="1238">
        <v>5</v>
      </c>
      <c r="BW74" s="1238">
        <v>14</v>
      </c>
      <c r="BX74" s="1240">
        <f>SUM(BU74:BW74)</f>
        <v>23</v>
      </c>
      <c r="BY74" s="1238">
        <v>6</v>
      </c>
      <c r="BZ74" s="1238">
        <v>5</v>
      </c>
      <c r="CA74" s="1238">
        <v>4</v>
      </c>
      <c r="CB74" s="1240">
        <f>SUM(BY74:CA74)</f>
        <v>15</v>
      </c>
    </row>
    <row r="75" spans="1:80" ht="14.25" customHeight="1" x14ac:dyDescent="0.2">
      <c r="A75" s="6420"/>
      <c r="B75" s="5968"/>
      <c r="C75" s="6432"/>
      <c r="D75" s="1261" t="s">
        <v>86</v>
      </c>
      <c r="E75" s="1237"/>
      <c r="F75" s="1238"/>
      <c r="G75" s="1238"/>
      <c r="H75" s="1258"/>
      <c r="I75" s="1237"/>
      <c r="J75" s="1238"/>
      <c r="K75" s="1238"/>
      <c r="L75" s="1258"/>
      <c r="M75" s="1237"/>
      <c r="N75" s="1238">
        <v>1</v>
      </c>
      <c r="O75" s="1238">
        <v>2</v>
      </c>
      <c r="P75" s="1239">
        <f>SUM(M75:O75)</f>
        <v>3</v>
      </c>
      <c r="Q75" s="1237"/>
      <c r="R75" s="1238">
        <v>1</v>
      </c>
      <c r="S75" s="1238">
        <v>4</v>
      </c>
      <c r="T75" s="1239">
        <f>SUM(Q75:S75)</f>
        <v>5</v>
      </c>
      <c r="U75" s="1237"/>
      <c r="V75" s="1238">
        <v>2</v>
      </c>
      <c r="W75" s="1238">
        <v>5</v>
      </c>
      <c r="X75" s="1239">
        <f t="shared" si="50"/>
        <v>7</v>
      </c>
      <c r="Y75" s="1237">
        <v>2</v>
      </c>
      <c r="Z75" s="1238">
        <v>3</v>
      </c>
      <c r="AA75" s="1238">
        <v>2</v>
      </c>
      <c r="AB75" s="1239">
        <f t="shared" si="51"/>
        <v>7</v>
      </c>
      <c r="AC75" s="1237">
        <v>2</v>
      </c>
      <c r="AD75" s="1238">
        <v>2</v>
      </c>
      <c r="AE75" s="1238">
        <v>4</v>
      </c>
      <c r="AF75" s="1240">
        <f>SUM(AC75:AE75)</f>
        <v>8</v>
      </c>
      <c r="AG75" s="1238">
        <v>1</v>
      </c>
      <c r="AH75" s="1238">
        <v>3</v>
      </c>
      <c r="AI75" s="1238">
        <v>1</v>
      </c>
      <c r="AJ75" s="1240">
        <f t="shared" si="52"/>
        <v>5</v>
      </c>
      <c r="AK75" s="1238">
        <v>2</v>
      </c>
      <c r="AL75" s="1238"/>
      <c r="AM75" s="1238">
        <v>3</v>
      </c>
      <c r="AN75" s="1240">
        <f>SUM(AK75:AM75)</f>
        <v>5</v>
      </c>
      <c r="AO75" s="1238">
        <v>1</v>
      </c>
      <c r="AP75" s="1238">
        <v>6</v>
      </c>
      <c r="AQ75" s="1238">
        <v>2</v>
      </c>
      <c r="AR75" s="1240">
        <f t="shared" si="71"/>
        <v>9</v>
      </c>
      <c r="AS75" s="1238">
        <v>3</v>
      </c>
      <c r="AT75" s="1238">
        <v>2</v>
      </c>
      <c r="AU75" s="1238">
        <v>3</v>
      </c>
      <c r="AV75" s="1240">
        <f t="shared" si="72"/>
        <v>8</v>
      </c>
      <c r="AW75" s="1238">
        <v>1</v>
      </c>
      <c r="AX75" s="1238">
        <v>6</v>
      </c>
      <c r="AY75" s="1238">
        <v>4</v>
      </c>
      <c r="AZ75" s="1240">
        <f t="shared" si="73"/>
        <v>11</v>
      </c>
      <c r="BA75" s="1238">
        <v>4</v>
      </c>
      <c r="BB75" s="1238">
        <v>3</v>
      </c>
      <c r="BC75" s="1238">
        <v>5</v>
      </c>
      <c r="BD75" s="1240">
        <f t="shared" si="74"/>
        <v>12</v>
      </c>
      <c r="BE75" s="1238">
        <v>1</v>
      </c>
      <c r="BF75" s="1238">
        <v>3</v>
      </c>
      <c r="BG75" s="1238">
        <v>10</v>
      </c>
      <c r="BH75" s="1240">
        <f t="shared" si="63"/>
        <v>14</v>
      </c>
      <c r="BI75" s="1238">
        <v>1</v>
      </c>
      <c r="BJ75" s="1238">
        <v>1</v>
      </c>
      <c r="BK75" s="1238">
        <v>5</v>
      </c>
      <c r="BL75" s="1240">
        <f>SUM(BI75:BK75)</f>
        <v>7</v>
      </c>
      <c r="BM75" s="1238">
        <v>1</v>
      </c>
      <c r="BN75" s="1238">
        <v>2</v>
      </c>
      <c r="BO75" s="1238">
        <v>8</v>
      </c>
      <c r="BP75" s="1240">
        <f>SUM(BM75:BO75)</f>
        <v>11</v>
      </c>
      <c r="BQ75" s="1238">
        <v>1</v>
      </c>
      <c r="BR75" s="1238">
        <v>1</v>
      </c>
      <c r="BS75" s="1238"/>
      <c r="BT75" s="1240">
        <f>SUM(BQ75:BS75)</f>
        <v>2</v>
      </c>
      <c r="BU75" s="1238"/>
      <c r="BV75" s="1238">
        <v>5</v>
      </c>
      <c r="BW75" s="1238">
        <v>10</v>
      </c>
      <c r="BX75" s="1240">
        <f>SUM(BU75:BW75)</f>
        <v>15</v>
      </c>
      <c r="BY75" s="1238">
        <v>6</v>
      </c>
      <c r="BZ75" s="1238">
        <v>1</v>
      </c>
      <c r="CA75" s="1238"/>
      <c r="CB75" s="1240">
        <f>SUM(BY75:CA75)</f>
        <v>7</v>
      </c>
    </row>
    <row r="76" spans="1:80" ht="14.25" customHeight="1" x14ac:dyDescent="0.2">
      <c r="A76" s="6420"/>
      <c r="B76" s="5968"/>
      <c r="C76" s="6432"/>
      <c r="D76" s="1262" t="s">
        <v>143</v>
      </c>
      <c r="E76" s="1237">
        <v>1</v>
      </c>
      <c r="F76" s="1238"/>
      <c r="G76" s="1238"/>
      <c r="H76" s="1258">
        <f>SUM(E76:G76)</f>
        <v>1</v>
      </c>
      <c r="I76" s="1237"/>
      <c r="J76" s="1238"/>
      <c r="K76" s="1238"/>
      <c r="L76" s="1258"/>
      <c r="M76" s="1237"/>
      <c r="N76" s="1238">
        <v>1</v>
      </c>
      <c r="O76" s="1238"/>
      <c r="P76" s="1239">
        <f>SUM(M76:O76)</f>
        <v>1</v>
      </c>
      <c r="Q76" s="1237"/>
      <c r="R76" s="1238"/>
      <c r="S76" s="1238"/>
      <c r="T76" s="1239"/>
      <c r="U76" s="1237"/>
      <c r="V76" s="1238">
        <v>2</v>
      </c>
      <c r="W76" s="1238"/>
      <c r="X76" s="1239">
        <f>SUM(U76:W76)</f>
        <v>2</v>
      </c>
      <c r="Y76" s="1237"/>
      <c r="Z76" s="1238"/>
      <c r="AA76" s="1238">
        <v>1</v>
      </c>
      <c r="AB76" s="1239">
        <f t="shared" ref="AB76:AB93" si="75">SUM(Y76:AA76)</f>
        <v>1</v>
      </c>
      <c r="AC76" s="1237">
        <v>1</v>
      </c>
      <c r="AD76" s="1238">
        <v>4</v>
      </c>
      <c r="AE76" s="1238"/>
      <c r="AF76" s="1240">
        <f>SUM(AC76:AE76)</f>
        <v>5</v>
      </c>
      <c r="AG76" s="1238">
        <v>1</v>
      </c>
      <c r="AH76" s="1238">
        <v>1</v>
      </c>
      <c r="AI76" s="1238"/>
      <c r="AJ76" s="1240">
        <f t="shared" si="52"/>
        <v>2</v>
      </c>
      <c r="AK76" s="1238">
        <v>1</v>
      </c>
      <c r="AL76" s="1238"/>
      <c r="AM76" s="1238"/>
      <c r="AN76" s="1240">
        <f>SUM(AK76:AM76)</f>
        <v>1</v>
      </c>
      <c r="AO76" s="1238"/>
      <c r="AP76" s="1238"/>
      <c r="AQ76" s="1238"/>
      <c r="AR76" s="1240">
        <f t="shared" si="71"/>
        <v>0</v>
      </c>
      <c r="AS76" s="1238"/>
      <c r="AT76" s="1238">
        <v>3</v>
      </c>
      <c r="AU76" s="1238">
        <v>1</v>
      </c>
      <c r="AV76" s="1240">
        <f t="shared" si="72"/>
        <v>4</v>
      </c>
      <c r="AW76" s="1238"/>
      <c r="AX76" s="1238"/>
      <c r="AY76" s="1238">
        <v>1</v>
      </c>
      <c r="AZ76" s="1240">
        <f t="shared" si="73"/>
        <v>1</v>
      </c>
      <c r="BA76" s="1238">
        <v>3</v>
      </c>
      <c r="BB76" s="1238"/>
      <c r="BC76" s="1238">
        <v>1</v>
      </c>
      <c r="BD76" s="1240">
        <f t="shared" si="74"/>
        <v>4</v>
      </c>
      <c r="BE76" s="1238">
        <v>1</v>
      </c>
      <c r="BF76" s="1238"/>
      <c r="BG76" s="1238"/>
      <c r="BH76" s="1240">
        <f>SUM(BE76:BG76)</f>
        <v>1</v>
      </c>
      <c r="BI76" s="1238"/>
      <c r="BJ76" s="1238">
        <v>1</v>
      </c>
      <c r="BK76" s="1238">
        <v>2</v>
      </c>
      <c r="BL76" s="1240">
        <f>SUM(BI76:BK76)</f>
        <v>3</v>
      </c>
      <c r="BM76" s="1238">
        <v>1</v>
      </c>
      <c r="BN76" s="1238"/>
      <c r="BO76" s="1238">
        <v>2</v>
      </c>
      <c r="BP76" s="1240">
        <f>SUM(BM76:BO76)</f>
        <v>3</v>
      </c>
      <c r="BQ76" s="1238"/>
      <c r="BR76" s="1238">
        <v>2</v>
      </c>
      <c r="BS76" s="1238">
        <v>1</v>
      </c>
      <c r="BT76" s="1240">
        <f>SUM(BQ76:BS76)</f>
        <v>3</v>
      </c>
      <c r="BU76" s="1238"/>
      <c r="BV76" s="1238">
        <v>2</v>
      </c>
      <c r="BW76" s="1238">
        <v>2</v>
      </c>
      <c r="BX76" s="1240">
        <f>SUM(BU76:BW76)</f>
        <v>4</v>
      </c>
      <c r="BY76" s="1238"/>
      <c r="BZ76" s="1238">
        <v>8</v>
      </c>
      <c r="CA76" s="1238">
        <v>4</v>
      </c>
      <c r="CB76" s="1240">
        <f>SUM(BY76:CA76)</f>
        <v>12</v>
      </c>
    </row>
    <row r="77" spans="1:80" ht="14.25" customHeight="1" x14ac:dyDescent="0.2">
      <c r="A77" s="6420"/>
      <c r="B77" s="5969"/>
      <c r="C77" s="1304"/>
      <c r="D77" s="1247" t="s">
        <v>160</v>
      </c>
      <c r="E77" s="1248">
        <f t="shared" ref="E77:AJ77" si="76">SUM(E63:E76)</f>
        <v>8</v>
      </c>
      <c r="F77" s="1249">
        <f t="shared" si="76"/>
        <v>7</v>
      </c>
      <c r="G77" s="1249">
        <f t="shared" si="76"/>
        <v>44</v>
      </c>
      <c r="H77" s="1249">
        <f t="shared" si="76"/>
        <v>59</v>
      </c>
      <c r="I77" s="1248">
        <f t="shared" si="76"/>
        <v>5</v>
      </c>
      <c r="J77" s="1249">
        <f t="shared" si="76"/>
        <v>27</v>
      </c>
      <c r="K77" s="1249">
        <f t="shared" si="76"/>
        <v>18</v>
      </c>
      <c r="L77" s="1249">
        <f t="shared" si="76"/>
        <v>50</v>
      </c>
      <c r="M77" s="1248">
        <f t="shared" si="76"/>
        <v>9</v>
      </c>
      <c r="N77" s="1249">
        <f t="shared" si="76"/>
        <v>55</v>
      </c>
      <c r="O77" s="1249">
        <f t="shared" si="76"/>
        <v>24</v>
      </c>
      <c r="P77" s="1249">
        <f t="shared" si="76"/>
        <v>88</v>
      </c>
      <c r="Q77" s="1248">
        <f t="shared" si="76"/>
        <v>18</v>
      </c>
      <c r="R77" s="1249">
        <f t="shared" si="76"/>
        <v>22</v>
      </c>
      <c r="S77" s="1249">
        <f t="shared" si="76"/>
        <v>17</v>
      </c>
      <c r="T77" s="1249">
        <f t="shared" si="76"/>
        <v>57</v>
      </c>
      <c r="U77" s="1248">
        <f t="shared" si="76"/>
        <v>16</v>
      </c>
      <c r="V77" s="1249">
        <f t="shared" si="76"/>
        <v>26</v>
      </c>
      <c r="W77" s="1249">
        <f t="shared" si="76"/>
        <v>40</v>
      </c>
      <c r="X77" s="1249">
        <f t="shared" si="76"/>
        <v>82</v>
      </c>
      <c r="Y77" s="1248">
        <f t="shared" si="76"/>
        <v>22</v>
      </c>
      <c r="Z77" s="1249">
        <f t="shared" si="76"/>
        <v>69</v>
      </c>
      <c r="AA77" s="1249">
        <f t="shared" si="76"/>
        <v>26</v>
      </c>
      <c r="AB77" s="1249">
        <f t="shared" si="76"/>
        <v>117</v>
      </c>
      <c r="AC77" s="1248">
        <f t="shared" si="76"/>
        <v>13</v>
      </c>
      <c r="AD77" s="1249">
        <f t="shared" si="76"/>
        <v>93</v>
      </c>
      <c r="AE77" s="1249">
        <f t="shared" si="76"/>
        <v>18</v>
      </c>
      <c r="AF77" s="1306">
        <f t="shared" si="76"/>
        <v>124</v>
      </c>
      <c r="AG77" s="1249">
        <f t="shared" si="76"/>
        <v>10</v>
      </c>
      <c r="AH77" s="1249">
        <f t="shared" si="76"/>
        <v>53</v>
      </c>
      <c r="AI77" s="1249">
        <f t="shared" si="76"/>
        <v>101</v>
      </c>
      <c r="AJ77" s="1306">
        <f t="shared" si="76"/>
        <v>164</v>
      </c>
      <c r="AK77" s="1249">
        <f t="shared" ref="AK77:BH77" si="77">SUM(AK63:AK76)</f>
        <v>24</v>
      </c>
      <c r="AL77" s="1249">
        <f t="shared" si="77"/>
        <v>59</v>
      </c>
      <c r="AM77" s="1249">
        <f t="shared" si="77"/>
        <v>26</v>
      </c>
      <c r="AN77" s="1306">
        <f t="shared" si="77"/>
        <v>109</v>
      </c>
      <c r="AO77" s="1249">
        <f t="shared" si="77"/>
        <v>80</v>
      </c>
      <c r="AP77" s="1249">
        <f t="shared" si="77"/>
        <v>44</v>
      </c>
      <c r="AQ77" s="1249">
        <f t="shared" si="77"/>
        <v>26</v>
      </c>
      <c r="AR77" s="1306">
        <f t="shared" si="77"/>
        <v>150</v>
      </c>
      <c r="AS77" s="1249">
        <f t="shared" si="77"/>
        <v>30</v>
      </c>
      <c r="AT77" s="1249">
        <f t="shared" si="77"/>
        <v>59</v>
      </c>
      <c r="AU77" s="1249">
        <f t="shared" si="77"/>
        <v>36</v>
      </c>
      <c r="AV77" s="1306">
        <f t="shared" si="77"/>
        <v>125</v>
      </c>
      <c r="AW77" s="1249">
        <f t="shared" si="77"/>
        <v>33</v>
      </c>
      <c r="AX77" s="1249">
        <f t="shared" si="77"/>
        <v>81</v>
      </c>
      <c r="AY77" s="1249">
        <f t="shared" si="77"/>
        <v>26</v>
      </c>
      <c r="AZ77" s="1306">
        <f t="shared" si="77"/>
        <v>140</v>
      </c>
      <c r="BA77" s="1249">
        <f t="shared" si="77"/>
        <v>141</v>
      </c>
      <c r="BB77" s="1249">
        <f t="shared" si="77"/>
        <v>48</v>
      </c>
      <c r="BC77" s="1249">
        <f t="shared" si="77"/>
        <v>77</v>
      </c>
      <c r="BD77" s="1306">
        <f t="shared" si="77"/>
        <v>266</v>
      </c>
      <c r="BE77" s="1249">
        <f t="shared" si="77"/>
        <v>33</v>
      </c>
      <c r="BF77" s="1249">
        <f t="shared" si="77"/>
        <v>84</v>
      </c>
      <c r="BG77" s="1249">
        <f t="shared" si="77"/>
        <v>95</v>
      </c>
      <c r="BH77" s="1306">
        <f t="shared" si="77"/>
        <v>212</v>
      </c>
      <c r="BI77" s="1249">
        <f t="shared" ref="BI77:BP77" si="78">SUM(BI63:BI76)</f>
        <v>64</v>
      </c>
      <c r="BJ77" s="1249">
        <f t="shared" si="78"/>
        <v>38</v>
      </c>
      <c r="BK77" s="1249">
        <f t="shared" si="78"/>
        <v>37</v>
      </c>
      <c r="BL77" s="1306">
        <f t="shared" si="78"/>
        <v>139</v>
      </c>
      <c r="BM77" s="1249">
        <f t="shared" si="78"/>
        <v>33</v>
      </c>
      <c r="BN77" s="1249">
        <f t="shared" si="78"/>
        <v>72</v>
      </c>
      <c r="BO77" s="1249">
        <f t="shared" si="78"/>
        <v>110</v>
      </c>
      <c r="BP77" s="1306">
        <f t="shared" si="78"/>
        <v>215</v>
      </c>
      <c r="BQ77" s="1249">
        <f t="shared" ref="BQ77:BX77" si="79">SUM(BQ63:BQ76)</f>
        <v>28</v>
      </c>
      <c r="BR77" s="1249">
        <f t="shared" si="79"/>
        <v>34</v>
      </c>
      <c r="BS77" s="1249">
        <f t="shared" si="79"/>
        <v>20</v>
      </c>
      <c r="BT77" s="1306">
        <f t="shared" si="79"/>
        <v>82</v>
      </c>
      <c r="BU77" s="1249">
        <f t="shared" si="79"/>
        <v>44</v>
      </c>
      <c r="BV77" s="1249">
        <f t="shared" si="79"/>
        <v>61</v>
      </c>
      <c r="BW77" s="1249">
        <f t="shared" si="79"/>
        <v>93</v>
      </c>
      <c r="BX77" s="1306">
        <f t="shared" si="79"/>
        <v>198</v>
      </c>
      <c r="BY77" s="1249">
        <f t="shared" ref="BY77:CB77" si="80">SUM(BY63:BY76)</f>
        <v>38</v>
      </c>
      <c r="BZ77" s="1249">
        <f t="shared" si="80"/>
        <v>28</v>
      </c>
      <c r="CA77" s="1249">
        <f t="shared" si="80"/>
        <v>49</v>
      </c>
      <c r="CB77" s="1306">
        <f t="shared" si="80"/>
        <v>115</v>
      </c>
    </row>
    <row r="78" spans="1:80" ht="12.75" customHeight="1" x14ac:dyDescent="0.2">
      <c r="A78" s="6420"/>
      <c r="B78" s="5967" t="s">
        <v>11</v>
      </c>
      <c r="C78" s="6431" t="s">
        <v>522</v>
      </c>
      <c r="D78" s="1307" t="s">
        <v>56</v>
      </c>
      <c r="E78" s="1251"/>
      <c r="F78" s="1252"/>
      <c r="G78" s="1252">
        <v>1</v>
      </c>
      <c r="H78" s="1232">
        <f>SUM(G78)</f>
        <v>1</v>
      </c>
      <c r="I78" s="1251">
        <v>2</v>
      </c>
      <c r="J78" s="1252"/>
      <c r="K78" s="1252"/>
      <c r="L78" s="1232">
        <f>SUM(I78:K78)</f>
        <v>2</v>
      </c>
      <c r="M78" s="1251"/>
      <c r="N78" s="1252"/>
      <c r="O78" s="1252">
        <v>1</v>
      </c>
      <c r="P78" s="1232">
        <f>SUM(M78:O78)</f>
        <v>1</v>
      </c>
      <c r="Q78" s="1251"/>
      <c r="R78" s="1252">
        <v>1</v>
      </c>
      <c r="S78" s="1252"/>
      <c r="T78" s="1232">
        <f>SUM(R78:S78)</f>
        <v>1</v>
      </c>
      <c r="U78" s="1251"/>
      <c r="V78" s="1252">
        <v>6</v>
      </c>
      <c r="W78" s="1252">
        <v>1</v>
      </c>
      <c r="X78" s="1232">
        <f t="shared" ref="X78:X83" si="81">SUM(U78:W78)</f>
        <v>7</v>
      </c>
      <c r="Y78" s="1251">
        <v>1</v>
      </c>
      <c r="Z78" s="1252">
        <v>2</v>
      </c>
      <c r="AA78" s="1252">
        <v>3</v>
      </c>
      <c r="AB78" s="1232">
        <f t="shared" si="75"/>
        <v>6</v>
      </c>
      <c r="AC78" s="1251"/>
      <c r="AD78" s="1252"/>
      <c r="AE78" s="1252">
        <v>1</v>
      </c>
      <c r="AF78" s="1235">
        <f>SUM(AC78:AE78)</f>
        <v>1</v>
      </c>
      <c r="AG78" s="1252"/>
      <c r="AH78" s="1252">
        <v>3</v>
      </c>
      <c r="AI78" s="1252">
        <v>5</v>
      </c>
      <c r="AJ78" s="1235">
        <f>SUM(AG78:AI78)</f>
        <v>8</v>
      </c>
      <c r="AK78" s="1252">
        <v>4</v>
      </c>
      <c r="AL78" s="1252">
        <v>6</v>
      </c>
      <c r="AM78" s="1252">
        <v>4</v>
      </c>
      <c r="AN78" s="1235">
        <f>SUM(AK78:AM78)</f>
        <v>14</v>
      </c>
      <c r="AO78" s="1252">
        <v>4</v>
      </c>
      <c r="AP78" s="1252">
        <v>2</v>
      </c>
      <c r="AQ78" s="1252">
        <v>5</v>
      </c>
      <c r="AR78" s="1235">
        <f t="shared" si="71"/>
        <v>11</v>
      </c>
      <c r="AS78" s="1252">
        <v>5</v>
      </c>
      <c r="AT78" s="1252">
        <v>11</v>
      </c>
      <c r="AU78" s="1252">
        <v>3</v>
      </c>
      <c r="AV78" s="1235">
        <f t="shared" si="72"/>
        <v>19</v>
      </c>
      <c r="AW78" s="1252">
        <v>1</v>
      </c>
      <c r="AX78" s="1252">
        <v>9</v>
      </c>
      <c r="AY78" s="1252">
        <v>8</v>
      </c>
      <c r="AZ78" s="1235">
        <f t="shared" si="73"/>
        <v>18</v>
      </c>
      <c r="BA78" s="1252">
        <v>6</v>
      </c>
      <c r="BB78" s="1252">
        <v>7</v>
      </c>
      <c r="BC78" s="1252">
        <v>7</v>
      </c>
      <c r="BD78" s="1235">
        <f t="shared" si="74"/>
        <v>20</v>
      </c>
      <c r="BE78" s="1252">
        <v>2</v>
      </c>
      <c r="BF78" s="1252">
        <v>7</v>
      </c>
      <c r="BG78" s="1252">
        <v>6</v>
      </c>
      <c r="BH78" s="1259">
        <f t="shared" ref="BH78:BH86" si="82">SUM(BE78:BG78)</f>
        <v>15</v>
      </c>
      <c r="BI78" s="1252">
        <v>6</v>
      </c>
      <c r="BJ78" s="1252">
        <v>8</v>
      </c>
      <c r="BK78" s="1252">
        <v>12</v>
      </c>
      <c r="BL78" s="1259">
        <f t="shared" ref="BL78:BL83" si="83">SUM(BI78:BK78)</f>
        <v>26</v>
      </c>
      <c r="BM78" s="1252"/>
      <c r="BN78" s="1252">
        <v>4</v>
      </c>
      <c r="BO78" s="1252">
        <v>2</v>
      </c>
      <c r="BP78" s="1259">
        <f t="shared" ref="BP78:BP85" si="84">SUM(BM78:BO78)</f>
        <v>6</v>
      </c>
      <c r="BQ78" s="1252">
        <v>3</v>
      </c>
      <c r="BR78" s="1252">
        <v>4</v>
      </c>
      <c r="BS78" s="1252">
        <v>6</v>
      </c>
      <c r="BT78" s="1259">
        <f t="shared" ref="BT78:BT83" si="85">SUM(BQ78:BS78)</f>
        <v>13</v>
      </c>
      <c r="BU78" s="1252">
        <v>2</v>
      </c>
      <c r="BV78" s="1252">
        <v>5</v>
      </c>
      <c r="BW78" s="1252">
        <v>7</v>
      </c>
      <c r="BX78" s="1259">
        <f t="shared" ref="BX78:BX84" si="86">SUM(BU78:BW78)</f>
        <v>14</v>
      </c>
      <c r="BY78" s="1252">
        <v>5</v>
      </c>
      <c r="BZ78" s="1252">
        <v>8</v>
      </c>
      <c r="CA78" s="1252">
        <v>1</v>
      </c>
      <c r="CB78" s="1259">
        <f t="shared" ref="CB78:CB84" si="87">SUM(BY78:CA78)</f>
        <v>14</v>
      </c>
    </row>
    <row r="79" spans="1:80" ht="12.75" customHeight="1" x14ac:dyDescent="0.2">
      <c r="A79" s="6420"/>
      <c r="B79" s="5968"/>
      <c r="C79" s="6432"/>
      <c r="D79" s="1308" t="s">
        <v>57</v>
      </c>
      <c r="E79" s="1237"/>
      <c r="F79" s="1238"/>
      <c r="G79" s="1238"/>
      <c r="H79" s="1239"/>
      <c r="I79" s="1237"/>
      <c r="J79" s="1238"/>
      <c r="K79" s="1238"/>
      <c r="L79" s="1239"/>
      <c r="M79" s="1237"/>
      <c r="N79" s="1238">
        <v>4</v>
      </c>
      <c r="O79" s="1238">
        <v>4</v>
      </c>
      <c r="P79" s="1239">
        <f>SUM(M79:O79)</f>
        <v>8</v>
      </c>
      <c r="Q79" s="1237"/>
      <c r="R79" s="1238"/>
      <c r="S79" s="1238"/>
      <c r="T79" s="1239"/>
      <c r="U79" s="1237">
        <v>14</v>
      </c>
      <c r="V79" s="1238"/>
      <c r="W79" s="1238"/>
      <c r="X79" s="1239">
        <f t="shared" si="81"/>
        <v>14</v>
      </c>
      <c r="Y79" s="1237"/>
      <c r="Z79" s="1238">
        <v>5</v>
      </c>
      <c r="AA79" s="1238">
        <v>3</v>
      </c>
      <c r="AB79" s="1239">
        <f>SUM(Y79:AA79)</f>
        <v>8</v>
      </c>
      <c r="AC79" s="1237">
        <v>3</v>
      </c>
      <c r="AD79" s="1238">
        <v>9</v>
      </c>
      <c r="AE79" s="1238">
        <v>3</v>
      </c>
      <c r="AF79" s="1240">
        <f>SUM(AC79:AE79)</f>
        <v>15</v>
      </c>
      <c r="AG79" s="1238"/>
      <c r="AH79" s="1238">
        <v>3</v>
      </c>
      <c r="AI79" s="1238"/>
      <c r="AJ79" s="1240">
        <f>SUM(AG79:AI79)</f>
        <v>3</v>
      </c>
      <c r="AK79" s="1238"/>
      <c r="AL79" s="1238">
        <v>2</v>
      </c>
      <c r="AM79" s="1238">
        <v>6</v>
      </c>
      <c r="AN79" s="1240">
        <f>SUM(AK79:AM79)</f>
        <v>8</v>
      </c>
      <c r="AO79" s="1238">
        <v>1</v>
      </c>
      <c r="AP79" s="1238">
        <v>4</v>
      </c>
      <c r="AQ79" s="1238"/>
      <c r="AR79" s="1240">
        <f>SUM(AO79:AQ79)</f>
        <v>5</v>
      </c>
      <c r="AS79" s="1238">
        <v>2</v>
      </c>
      <c r="AT79" s="1238">
        <v>4</v>
      </c>
      <c r="AU79" s="1238"/>
      <c r="AV79" s="1240">
        <f>SUM(AS79:AU79)</f>
        <v>6</v>
      </c>
      <c r="AW79" s="1238">
        <v>2</v>
      </c>
      <c r="AX79" s="1238">
        <v>2</v>
      </c>
      <c r="AY79" s="1238"/>
      <c r="AZ79" s="1240">
        <f>SUM(AW79:AY79)</f>
        <v>4</v>
      </c>
      <c r="BA79" s="1238">
        <v>1</v>
      </c>
      <c r="BB79" s="1238">
        <v>1</v>
      </c>
      <c r="BC79" s="1238"/>
      <c r="BD79" s="1240">
        <f>SUM(BA79:BC79)</f>
        <v>2</v>
      </c>
      <c r="BE79" s="1238">
        <v>1</v>
      </c>
      <c r="BF79" s="1238">
        <v>1</v>
      </c>
      <c r="BG79" s="1238"/>
      <c r="BH79" s="1240">
        <f>SUM(BE79:BG79)</f>
        <v>2</v>
      </c>
      <c r="BI79" s="1238">
        <v>1</v>
      </c>
      <c r="BJ79" s="1238">
        <v>1</v>
      </c>
      <c r="BK79" s="1238">
        <v>1</v>
      </c>
      <c r="BL79" s="1240">
        <f t="shared" si="83"/>
        <v>3</v>
      </c>
      <c r="BM79" s="1238">
        <v>1</v>
      </c>
      <c r="BN79" s="1238">
        <v>2</v>
      </c>
      <c r="BO79" s="1238">
        <v>3</v>
      </c>
      <c r="BP79" s="1240">
        <f t="shared" si="84"/>
        <v>6</v>
      </c>
      <c r="BQ79" s="1238">
        <v>2</v>
      </c>
      <c r="BR79" s="1238">
        <v>1</v>
      </c>
      <c r="BS79" s="1238">
        <v>4</v>
      </c>
      <c r="BT79" s="1240">
        <f t="shared" si="85"/>
        <v>7</v>
      </c>
      <c r="BU79" s="1238">
        <v>2</v>
      </c>
      <c r="BV79" s="1238">
        <v>3</v>
      </c>
      <c r="BW79" s="1238">
        <v>2</v>
      </c>
      <c r="BX79" s="1240">
        <f t="shared" si="86"/>
        <v>7</v>
      </c>
      <c r="BY79" s="1238"/>
      <c r="BZ79" s="1238">
        <v>1</v>
      </c>
      <c r="CA79" s="1238">
        <v>1</v>
      </c>
      <c r="CB79" s="1240">
        <f t="shared" si="87"/>
        <v>2</v>
      </c>
    </row>
    <row r="80" spans="1:80" ht="12.75" customHeight="1" x14ac:dyDescent="0.2">
      <c r="A80" s="6420"/>
      <c r="B80" s="5968"/>
      <c r="C80" s="6431" t="s">
        <v>521</v>
      </c>
      <c r="D80" s="1267" t="s">
        <v>551</v>
      </c>
      <c r="E80" s="1237">
        <v>1</v>
      </c>
      <c r="F80" s="1238">
        <v>6</v>
      </c>
      <c r="G80" s="1238">
        <v>4</v>
      </c>
      <c r="H80" s="1239">
        <f>SUM(E80:G80)</f>
        <v>11</v>
      </c>
      <c r="I80" s="1237">
        <v>2</v>
      </c>
      <c r="J80" s="1238">
        <v>7</v>
      </c>
      <c r="K80" s="1238">
        <v>2</v>
      </c>
      <c r="L80" s="1239">
        <f>SUM(I80:K80)</f>
        <v>11</v>
      </c>
      <c r="M80" s="1237"/>
      <c r="N80" s="1238">
        <v>3</v>
      </c>
      <c r="O80" s="1238">
        <v>10</v>
      </c>
      <c r="P80" s="1239">
        <f>SUM(M80:O80)</f>
        <v>13</v>
      </c>
      <c r="Q80" s="1237">
        <v>1</v>
      </c>
      <c r="R80" s="1238">
        <v>4</v>
      </c>
      <c r="S80" s="1238">
        <v>2</v>
      </c>
      <c r="T80" s="1239">
        <f>SUM(Q80:S80)</f>
        <v>7</v>
      </c>
      <c r="U80" s="1237">
        <v>2</v>
      </c>
      <c r="V80" s="1238">
        <v>5</v>
      </c>
      <c r="W80" s="1238">
        <v>4</v>
      </c>
      <c r="X80" s="1239">
        <f t="shared" si="81"/>
        <v>11</v>
      </c>
      <c r="Y80" s="1237"/>
      <c r="Z80" s="1238">
        <v>16</v>
      </c>
      <c r="AA80" s="1238">
        <v>5</v>
      </c>
      <c r="AB80" s="1239">
        <f t="shared" si="75"/>
        <v>21</v>
      </c>
      <c r="AC80" s="1237">
        <v>3</v>
      </c>
      <c r="AD80" s="1238">
        <v>2</v>
      </c>
      <c r="AE80" s="1238">
        <v>8</v>
      </c>
      <c r="AF80" s="1240">
        <f>SUM(AC80:AE80)</f>
        <v>13</v>
      </c>
      <c r="AG80" s="1238">
        <v>3</v>
      </c>
      <c r="AH80" s="1238">
        <v>10</v>
      </c>
      <c r="AI80" s="1238">
        <v>2</v>
      </c>
      <c r="AJ80" s="1240">
        <f>SUM(AG80:AI80)</f>
        <v>15</v>
      </c>
      <c r="AK80" s="1238">
        <v>8</v>
      </c>
      <c r="AL80" s="1238">
        <v>1</v>
      </c>
      <c r="AM80" s="1238">
        <v>2</v>
      </c>
      <c r="AN80" s="1240">
        <f>SUM(AK80:AM80)</f>
        <v>11</v>
      </c>
      <c r="AO80" s="1238">
        <v>9</v>
      </c>
      <c r="AP80" s="1238">
        <v>2</v>
      </c>
      <c r="AQ80" s="1238">
        <v>8</v>
      </c>
      <c r="AR80" s="1240">
        <f>SUM(AO80:AQ80)</f>
        <v>19</v>
      </c>
      <c r="AS80" s="1238">
        <v>5</v>
      </c>
      <c r="AT80" s="1238">
        <v>2</v>
      </c>
      <c r="AU80" s="1238">
        <v>9</v>
      </c>
      <c r="AV80" s="1240">
        <f>SUM(AS80:AU80)</f>
        <v>16</v>
      </c>
      <c r="AW80" s="1238">
        <v>15</v>
      </c>
      <c r="AX80" s="1238">
        <v>9</v>
      </c>
      <c r="AY80" s="1238">
        <v>3</v>
      </c>
      <c r="AZ80" s="1240">
        <f>SUM(AW80:AY80)</f>
        <v>27</v>
      </c>
      <c r="BA80" s="1238">
        <v>2</v>
      </c>
      <c r="BB80" s="1238">
        <v>10</v>
      </c>
      <c r="BC80" s="1238">
        <v>4</v>
      </c>
      <c r="BD80" s="1240">
        <f>SUM(BA80:BC80)</f>
        <v>16</v>
      </c>
      <c r="BE80" s="1238">
        <v>5</v>
      </c>
      <c r="BF80" s="1238">
        <v>7</v>
      </c>
      <c r="BG80" s="1238">
        <v>3</v>
      </c>
      <c r="BH80" s="1240">
        <f t="shared" si="82"/>
        <v>15</v>
      </c>
      <c r="BI80" s="1238">
        <v>3</v>
      </c>
      <c r="BJ80" s="1238">
        <v>9</v>
      </c>
      <c r="BK80" s="1238">
        <v>10</v>
      </c>
      <c r="BL80" s="1240">
        <f t="shared" si="83"/>
        <v>22</v>
      </c>
      <c r="BM80" s="1238">
        <v>2</v>
      </c>
      <c r="BN80" s="1238">
        <v>5</v>
      </c>
      <c r="BO80" s="1238">
        <v>6</v>
      </c>
      <c r="BP80" s="1240">
        <f t="shared" si="84"/>
        <v>13</v>
      </c>
      <c r="BQ80" s="1238">
        <v>1</v>
      </c>
      <c r="BR80" s="1238">
        <v>15</v>
      </c>
      <c r="BS80" s="1238">
        <v>4</v>
      </c>
      <c r="BT80" s="1240">
        <f t="shared" si="85"/>
        <v>20</v>
      </c>
      <c r="BU80" s="1238">
        <v>6</v>
      </c>
      <c r="BV80" s="1238">
        <v>10</v>
      </c>
      <c r="BW80" s="1238">
        <v>4</v>
      </c>
      <c r="BX80" s="1240">
        <f t="shared" si="86"/>
        <v>20</v>
      </c>
      <c r="BY80" s="1238">
        <v>3</v>
      </c>
      <c r="BZ80" s="1238">
        <v>10</v>
      </c>
      <c r="CA80" s="1238">
        <v>1</v>
      </c>
      <c r="CB80" s="1240">
        <f t="shared" si="87"/>
        <v>14</v>
      </c>
    </row>
    <row r="81" spans="1:80" ht="12.75" customHeight="1" x14ac:dyDescent="0.2">
      <c r="A81" s="6420"/>
      <c r="B81" s="5968"/>
      <c r="C81" s="6432"/>
      <c r="D81" s="1308" t="s">
        <v>384</v>
      </c>
      <c r="E81" s="1237"/>
      <c r="F81" s="1238">
        <v>1</v>
      </c>
      <c r="G81" s="1238"/>
      <c r="H81" s="1239">
        <f>SUM(E81:G81)</f>
        <v>1</v>
      </c>
      <c r="I81" s="1237">
        <v>1</v>
      </c>
      <c r="J81" s="1238">
        <v>2</v>
      </c>
      <c r="K81" s="1238">
        <v>1</v>
      </c>
      <c r="L81" s="1239">
        <f>SUM(I81:K81)</f>
        <v>4</v>
      </c>
      <c r="M81" s="1237"/>
      <c r="N81" s="1238"/>
      <c r="O81" s="1238">
        <v>4</v>
      </c>
      <c r="P81" s="1239">
        <f>SUM(M81:O81)</f>
        <v>4</v>
      </c>
      <c r="Q81" s="1237">
        <v>1</v>
      </c>
      <c r="R81" s="1238">
        <v>2</v>
      </c>
      <c r="S81" s="1238">
        <v>4</v>
      </c>
      <c r="T81" s="1239">
        <f>SUM(Q81:S81)</f>
        <v>7</v>
      </c>
      <c r="U81" s="1237"/>
      <c r="V81" s="1238"/>
      <c r="W81" s="1238">
        <v>2</v>
      </c>
      <c r="X81" s="1239">
        <f t="shared" si="81"/>
        <v>2</v>
      </c>
      <c r="Y81" s="1237"/>
      <c r="Z81" s="1238"/>
      <c r="AA81" s="1238">
        <v>1</v>
      </c>
      <c r="AB81" s="1239">
        <f>SUM(Y81:AA81)</f>
        <v>1</v>
      </c>
      <c r="AC81" s="1237"/>
      <c r="AD81" s="1238"/>
      <c r="AE81" s="1238"/>
      <c r="AF81" s="1240"/>
      <c r="AG81" s="1238"/>
      <c r="AH81" s="1238"/>
      <c r="AI81" s="1238"/>
      <c r="AJ81" s="1240"/>
      <c r="AK81" s="1238"/>
      <c r="AL81" s="1238"/>
      <c r="AM81" s="1238"/>
      <c r="AN81" s="1240"/>
      <c r="AO81" s="1238"/>
      <c r="AP81" s="1238"/>
      <c r="AQ81" s="1238"/>
      <c r="AR81" s="1240"/>
      <c r="AS81" s="1238">
        <v>1</v>
      </c>
      <c r="AT81" s="1238"/>
      <c r="AU81" s="1238">
        <v>1</v>
      </c>
      <c r="AV81" s="1240">
        <f>SUM(AS81:AU81)</f>
        <v>2</v>
      </c>
      <c r="AW81" s="1238">
        <v>2</v>
      </c>
      <c r="AX81" s="1238"/>
      <c r="AY81" s="1238"/>
      <c r="AZ81" s="1240">
        <f>SUM(AW81:AY81)</f>
        <v>2</v>
      </c>
      <c r="BA81" s="1238"/>
      <c r="BB81" s="1238"/>
      <c r="BC81" s="1238"/>
      <c r="BD81" s="1240">
        <f>SUM(BA81:BC81)</f>
        <v>0</v>
      </c>
      <c r="BE81" s="1238"/>
      <c r="BF81" s="1238"/>
      <c r="BG81" s="1238"/>
      <c r="BH81" s="1240">
        <f>SUM(BE81:BG81)</f>
        <v>0</v>
      </c>
      <c r="BI81" s="1238"/>
      <c r="BJ81" s="1238"/>
      <c r="BK81" s="1238"/>
      <c r="BL81" s="1240">
        <f t="shared" si="83"/>
        <v>0</v>
      </c>
      <c r="BM81" s="1238">
        <v>2</v>
      </c>
      <c r="BN81" s="1238">
        <v>4</v>
      </c>
      <c r="BO81" s="1238">
        <v>6</v>
      </c>
      <c r="BP81" s="1240">
        <f t="shared" si="84"/>
        <v>12</v>
      </c>
      <c r="BQ81" s="1238">
        <v>1</v>
      </c>
      <c r="BR81" s="1238">
        <v>2</v>
      </c>
      <c r="BS81" s="1238">
        <v>3</v>
      </c>
      <c r="BT81" s="1240">
        <f t="shared" si="85"/>
        <v>6</v>
      </c>
      <c r="BU81" s="1238">
        <v>3</v>
      </c>
      <c r="BV81" s="1238">
        <v>1</v>
      </c>
      <c r="BW81" s="1238">
        <v>9</v>
      </c>
      <c r="BX81" s="1240">
        <f t="shared" si="86"/>
        <v>13</v>
      </c>
      <c r="BY81" s="1238">
        <v>4</v>
      </c>
      <c r="BZ81" s="1238">
        <v>1</v>
      </c>
      <c r="CA81" s="1238">
        <v>5</v>
      </c>
      <c r="CB81" s="1240">
        <f t="shared" si="87"/>
        <v>10</v>
      </c>
    </row>
    <row r="82" spans="1:80" ht="12.75" customHeight="1" x14ac:dyDescent="0.2">
      <c r="A82" s="6420"/>
      <c r="B82" s="5968"/>
      <c r="C82" s="6432"/>
      <c r="D82" s="1267" t="s">
        <v>552</v>
      </c>
      <c r="E82" s="1237"/>
      <c r="F82" s="1238">
        <v>3</v>
      </c>
      <c r="G82" s="1238">
        <v>6</v>
      </c>
      <c r="H82" s="1239">
        <f>SUM(E82:G82)</f>
        <v>9</v>
      </c>
      <c r="I82" s="1237">
        <v>2</v>
      </c>
      <c r="J82" s="1238">
        <v>1</v>
      </c>
      <c r="K82" s="1238"/>
      <c r="L82" s="1239">
        <f>SUM(I82:K82)</f>
        <v>3</v>
      </c>
      <c r="M82" s="1237">
        <v>3</v>
      </c>
      <c r="N82" s="1238">
        <v>6</v>
      </c>
      <c r="O82" s="1238">
        <v>4</v>
      </c>
      <c r="P82" s="1239">
        <f>SUM(M82:O82)</f>
        <v>13</v>
      </c>
      <c r="Q82" s="1237">
        <v>3</v>
      </c>
      <c r="R82" s="1238">
        <v>7</v>
      </c>
      <c r="S82" s="1238">
        <v>3</v>
      </c>
      <c r="T82" s="1239">
        <f>SUM(Q82:S82)</f>
        <v>13</v>
      </c>
      <c r="U82" s="1237">
        <v>1</v>
      </c>
      <c r="V82" s="1238">
        <v>1</v>
      </c>
      <c r="W82" s="1238">
        <v>6</v>
      </c>
      <c r="X82" s="1239">
        <f t="shared" si="81"/>
        <v>8</v>
      </c>
      <c r="Y82" s="1237"/>
      <c r="Z82" s="1238">
        <v>3</v>
      </c>
      <c r="AA82" s="1238">
        <v>3</v>
      </c>
      <c r="AB82" s="1239">
        <f>SUM(Y82:AA82)</f>
        <v>6</v>
      </c>
      <c r="AC82" s="1237">
        <v>1</v>
      </c>
      <c r="AD82" s="1238">
        <v>3</v>
      </c>
      <c r="AE82" s="1238">
        <v>4</v>
      </c>
      <c r="AF82" s="1240">
        <f>SUM(AC82:AE82)</f>
        <v>8</v>
      </c>
      <c r="AG82" s="1238">
        <v>2</v>
      </c>
      <c r="AH82" s="1238">
        <v>3</v>
      </c>
      <c r="AI82" s="1238">
        <v>7</v>
      </c>
      <c r="AJ82" s="1240">
        <f>SUM(AG82:AI82)</f>
        <v>12</v>
      </c>
      <c r="AK82" s="1238">
        <v>1</v>
      </c>
      <c r="AL82" s="1238">
        <v>3</v>
      </c>
      <c r="AM82" s="1238">
        <v>4</v>
      </c>
      <c r="AN82" s="1240">
        <f>SUM(AK82:AM82)</f>
        <v>8</v>
      </c>
      <c r="AO82" s="1238">
        <v>3</v>
      </c>
      <c r="AP82" s="1238">
        <v>2</v>
      </c>
      <c r="AQ82" s="1238">
        <v>2</v>
      </c>
      <c r="AR82" s="1240">
        <f>SUM(AO82:AQ82)</f>
        <v>7</v>
      </c>
      <c r="AS82" s="1238">
        <v>2</v>
      </c>
      <c r="AT82" s="1238">
        <v>2</v>
      </c>
      <c r="AU82" s="1238">
        <v>5</v>
      </c>
      <c r="AV82" s="1240">
        <f>SUM(AS82:AU82)</f>
        <v>9</v>
      </c>
      <c r="AW82" s="1238">
        <v>6</v>
      </c>
      <c r="AX82" s="1238">
        <v>5</v>
      </c>
      <c r="AY82" s="1238">
        <v>2</v>
      </c>
      <c r="AZ82" s="1240">
        <f>SUM(AW82:AY82)</f>
        <v>13</v>
      </c>
      <c r="BA82" s="1238">
        <v>1</v>
      </c>
      <c r="BB82" s="1238">
        <v>6</v>
      </c>
      <c r="BC82" s="1238">
        <v>11</v>
      </c>
      <c r="BD82" s="1240">
        <f>SUM(BA82:BC82)</f>
        <v>18</v>
      </c>
      <c r="BE82" s="1238">
        <v>7</v>
      </c>
      <c r="BF82" s="1238">
        <v>4</v>
      </c>
      <c r="BG82" s="1238">
        <v>12</v>
      </c>
      <c r="BH82" s="1240">
        <f>SUM(BE82:BG82)</f>
        <v>23</v>
      </c>
      <c r="BI82" s="1238">
        <v>3</v>
      </c>
      <c r="BJ82" s="1238">
        <v>6</v>
      </c>
      <c r="BK82" s="1238">
        <v>9</v>
      </c>
      <c r="BL82" s="1240">
        <f t="shared" si="83"/>
        <v>18</v>
      </c>
      <c r="BM82" s="1238">
        <v>7</v>
      </c>
      <c r="BN82" s="1238">
        <v>6</v>
      </c>
      <c r="BO82" s="1238">
        <v>6</v>
      </c>
      <c r="BP82" s="1240">
        <f t="shared" si="84"/>
        <v>19</v>
      </c>
      <c r="BQ82" s="1238">
        <v>4</v>
      </c>
      <c r="BR82" s="1238">
        <v>7</v>
      </c>
      <c r="BS82" s="1238">
        <v>3</v>
      </c>
      <c r="BT82" s="1240">
        <f t="shared" si="85"/>
        <v>14</v>
      </c>
      <c r="BU82" s="1238">
        <v>3</v>
      </c>
      <c r="BV82" s="1238">
        <v>4</v>
      </c>
      <c r="BW82" s="1238">
        <v>9</v>
      </c>
      <c r="BX82" s="1240">
        <f t="shared" si="86"/>
        <v>16</v>
      </c>
      <c r="BY82" s="1238">
        <v>2</v>
      </c>
      <c r="BZ82" s="1238">
        <v>3</v>
      </c>
      <c r="CA82" s="1238">
        <v>5</v>
      </c>
      <c r="CB82" s="1240">
        <f t="shared" si="87"/>
        <v>10</v>
      </c>
    </row>
    <row r="83" spans="1:80" ht="12.75" customHeight="1" x14ac:dyDescent="0.2">
      <c r="A83" s="6420"/>
      <c r="B83" s="5968"/>
      <c r="C83" s="6432"/>
      <c r="D83" s="1308" t="s">
        <v>87</v>
      </c>
      <c r="E83" s="1237"/>
      <c r="F83" s="1238"/>
      <c r="G83" s="1238"/>
      <c r="H83" s="1239"/>
      <c r="I83" s="1237"/>
      <c r="J83" s="1238"/>
      <c r="K83" s="1238"/>
      <c r="L83" s="1239"/>
      <c r="M83" s="1237"/>
      <c r="N83" s="1238"/>
      <c r="O83" s="1238"/>
      <c r="P83" s="1239"/>
      <c r="Q83" s="1237"/>
      <c r="R83" s="1238"/>
      <c r="S83" s="1238"/>
      <c r="T83" s="1239"/>
      <c r="U83" s="1237"/>
      <c r="V83" s="1238"/>
      <c r="W83" s="1238">
        <v>2</v>
      </c>
      <c r="X83" s="1239">
        <f t="shared" si="81"/>
        <v>2</v>
      </c>
      <c r="Y83" s="1237">
        <v>4</v>
      </c>
      <c r="Z83" s="1238">
        <v>6</v>
      </c>
      <c r="AA83" s="1238">
        <v>4</v>
      </c>
      <c r="AB83" s="1239">
        <f>SUM(Y83:AA83)</f>
        <v>14</v>
      </c>
      <c r="AC83" s="1237">
        <v>4</v>
      </c>
      <c r="AD83" s="1238">
        <v>2</v>
      </c>
      <c r="AE83" s="1238">
        <v>3</v>
      </c>
      <c r="AF83" s="1240">
        <f>SUM(AC83:AE83)</f>
        <v>9</v>
      </c>
      <c r="AG83" s="1238">
        <v>3</v>
      </c>
      <c r="AH83" s="1238"/>
      <c r="AI83" s="1238">
        <v>5</v>
      </c>
      <c r="AJ83" s="1240">
        <f>SUM(AG83:AI83)</f>
        <v>8</v>
      </c>
      <c r="AK83" s="1238">
        <v>2</v>
      </c>
      <c r="AL83" s="1238">
        <v>2</v>
      </c>
      <c r="AM83" s="1238">
        <v>1</v>
      </c>
      <c r="AN83" s="1240">
        <f>SUM(AK83:AM83)</f>
        <v>5</v>
      </c>
      <c r="AO83" s="1238">
        <v>2</v>
      </c>
      <c r="AP83" s="1238">
        <v>3</v>
      </c>
      <c r="AQ83" s="1238">
        <v>3</v>
      </c>
      <c r="AR83" s="1240">
        <f>SUM(AO83:AQ83)</f>
        <v>8</v>
      </c>
      <c r="AS83" s="1238">
        <v>1</v>
      </c>
      <c r="AT83" s="1238">
        <v>2</v>
      </c>
      <c r="AU83" s="1238">
        <v>4</v>
      </c>
      <c r="AV83" s="1240">
        <f>SUM(AS83:AU83)</f>
        <v>7</v>
      </c>
      <c r="AW83" s="1238">
        <v>4</v>
      </c>
      <c r="AX83" s="1238">
        <v>2</v>
      </c>
      <c r="AY83" s="1238">
        <v>4</v>
      </c>
      <c r="AZ83" s="1240">
        <f>SUM(AW83:AY83)</f>
        <v>10</v>
      </c>
      <c r="BA83" s="1238">
        <v>5</v>
      </c>
      <c r="BB83" s="1238">
        <v>4</v>
      </c>
      <c r="BC83" s="1238">
        <v>4</v>
      </c>
      <c r="BD83" s="1240">
        <f>SUM(BA83:BC83)</f>
        <v>13</v>
      </c>
      <c r="BE83" s="1238">
        <v>6</v>
      </c>
      <c r="BF83" s="1238">
        <v>1</v>
      </c>
      <c r="BG83" s="1238"/>
      <c r="BH83" s="1240">
        <f>SUM(BE83:BG83)</f>
        <v>7</v>
      </c>
      <c r="BI83" s="1238">
        <v>4</v>
      </c>
      <c r="BJ83" s="1238">
        <v>1</v>
      </c>
      <c r="BK83" s="1238">
        <v>7</v>
      </c>
      <c r="BL83" s="1240">
        <f t="shared" si="83"/>
        <v>12</v>
      </c>
      <c r="BM83" s="1238">
        <v>9</v>
      </c>
      <c r="BN83" s="1238">
        <v>7</v>
      </c>
      <c r="BO83" s="1238">
        <v>3</v>
      </c>
      <c r="BP83" s="1240">
        <f t="shared" si="84"/>
        <v>19</v>
      </c>
      <c r="BQ83" s="1238">
        <v>2</v>
      </c>
      <c r="BR83" s="1238">
        <v>8</v>
      </c>
      <c r="BS83" s="1238">
        <v>8</v>
      </c>
      <c r="BT83" s="1240">
        <f t="shared" si="85"/>
        <v>18</v>
      </c>
      <c r="BU83" s="1238">
        <v>10</v>
      </c>
      <c r="BV83" s="1238">
        <v>4</v>
      </c>
      <c r="BW83" s="1238">
        <v>10</v>
      </c>
      <c r="BX83" s="1240">
        <f t="shared" si="86"/>
        <v>24</v>
      </c>
      <c r="BY83" s="1238">
        <v>4</v>
      </c>
      <c r="BZ83" s="1238">
        <v>2</v>
      </c>
      <c r="CA83" s="1238">
        <v>8</v>
      </c>
      <c r="CB83" s="1240">
        <f t="shared" si="87"/>
        <v>14</v>
      </c>
    </row>
    <row r="84" spans="1:80" ht="12.75" customHeight="1" x14ac:dyDescent="0.2">
      <c r="A84" s="6420"/>
      <c r="B84" s="5968"/>
      <c r="C84" s="6433"/>
      <c r="D84" s="1264" t="s">
        <v>550</v>
      </c>
      <c r="E84" s="1243"/>
      <c r="F84" s="1244"/>
      <c r="G84" s="1244">
        <v>1</v>
      </c>
      <c r="H84" s="1239">
        <f>SUM(E84:G84)</f>
        <v>1</v>
      </c>
      <c r="I84" s="1243"/>
      <c r="J84" s="1244"/>
      <c r="K84" s="1244"/>
      <c r="L84" s="1245"/>
      <c r="M84" s="1243"/>
      <c r="N84" s="1244"/>
      <c r="O84" s="1244"/>
      <c r="P84" s="1245"/>
      <c r="Q84" s="1243"/>
      <c r="R84" s="1244"/>
      <c r="S84" s="1244"/>
      <c r="T84" s="1245"/>
      <c r="U84" s="1243"/>
      <c r="V84" s="1244"/>
      <c r="W84" s="1244"/>
      <c r="X84" s="1245"/>
      <c r="Y84" s="1243"/>
      <c r="Z84" s="1244"/>
      <c r="AA84" s="1244"/>
      <c r="AB84" s="1245"/>
      <c r="AC84" s="1243"/>
      <c r="AD84" s="1244"/>
      <c r="AE84" s="1244"/>
      <c r="AF84" s="1246"/>
      <c r="AG84" s="1244"/>
      <c r="AH84" s="1244"/>
      <c r="AI84" s="1244"/>
      <c r="AJ84" s="1246"/>
      <c r="AK84" s="1244"/>
      <c r="AL84" s="1244"/>
      <c r="AM84" s="1244"/>
      <c r="AN84" s="1246"/>
      <c r="AO84" s="1244"/>
      <c r="AP84" s="1244"/>
      <c r="AQ84" s="1244"/>
      <c r="AR84" s="1246"/>
      <c r="AS84" s="1244"/>
      <c r="AT84" s="1244"/>
      <c r="AU84" s="1244"/>
      <c r="AV84" s="1246"/>
      <c r="AW84" s="1244"/>
      <c r="AX84" s="1244"/>
      <c r="AY84" s="1244"/>
      <c r="AZ84" s="1246"/>
      <c r="BA84" s="1244"/>
      <c r="BB84" s="1244"/>
      <c r="BC84" s="1244"/>
      <c r="BD84" s="1246"/>
      <c r="BE84" s="1244"/>
      <c r="BF84" s="1244"/>
      <c r="BG84" s="1244"/>
      <c r="BH84" s="1246"/>
      <c r="BI84" s="1244"/>
      <c r="BJ84" s="1244"/>
      <c r="BK84" s="1244"/>
      <c r="BL84" s="1246"/>
      <c r="BM84" s="1244"/>
      <c r="BN84" s="1244"/>
      <c r="BO84" s="1244"/>
      <c r="BP84" s="1240"/>
      <c r="BQ84" s="1244"/>
      <c r="BR84" s="1244"/>
      <c r="BS84" s="1244"/>
      <c r="BT84" s="1240"/>
      <c r="BU84" s="1244"/>
      <c r="BV84" s="1244"/>
      <c r="BW84" s="1244"/>
      <c r="BX84" s="1240">
        <f t="shared" si="86"/>
        <v>0</v>
      </c>
      <c r="BY84" s="1244"/>
      <c r="BZ84" s="1244"/>
      <c r="CA84" s="1244"/>
      <c r="CB84" s="1240">
        <f t="shared" si="87"/>
        <v>0</v>
      </c>
    </row>
    <row r="85" spans="1:80" ht="12.75" customHeight="1" x14ac:dyDescent="0.2">
      <c r="A85" s="6420"/>
      <c r="B85" s="5968"/>
      <c r="C85" s="6431" t="s">
        <v>520</v>
      </c>
      <c r="D85" s="1267" t="s">
        <v>551</v>
      </c>
      <c r="E85" s="1237"/>
      <c r="F85" s="1238"/>
      <c r="G85" s="1238"/>
      <c r="H85" s="1239"/>
      <c r="I85" s="1237"/>
      <c r="J85" s="1238"/>
      <c r="K85" s="1238">
        <v>1</v>
      </c>
      <c r="L85" s="1239">
        <f>SUM(I85:K85)</f>
        <v>1</v>
      </c>
      <c r="M85" s="1237"/>
      <c r="N85" s="1238"/>
      <c r="O85" s="1238">
        <v>1</v>
      </c>
      <c r="P85" s="1239">
        <f>SUM(M85:O85)</f>
        <v>1</v>
      </c>
      <c r="Q85" s="1237"/>
      <c r="R85" s="1238">
        <v>2</v>
      </c>
      <c r="S85" s="1238">
        <v>1</v>
      </c>
      <c r="T85" s="1239">
        <f>SUM(Q85:S85)</f>
        <v>3</v>
      </c>
      <c r="U85" s="1237">
        <v>2</v>
      </c>
      <c r="V85" s="1238">
        <v>2</v>
      </c>
      <c r="W85" s="1238"/>
      <c r="X85" s="1239">
        <f>SUM(U85:W85)</f>
        <v>4</v>
      </c>
      <c r="Y85" s="1237">
        <v>2</v>
      </c>
      <c r="Z85" s="1238">
        <v>3</v>
      </c>
      <c r="AA85" s="1238">
        <v>2</v>
      </c>
      <c r="AB85" s="1239">
        <f t="shared" si="75"/>
        <v>7</v>
      </c>
      <c r="AC85" s="1237">
        <v>2</v>
      </c>
      <c r="AD85" s="1238">
        <v>3</v>
      </c>
      <c r="AE85" s="1238">
        <v>3</v>
      </c>
      <c r="AF85" s="1240">
        <f>SUM(AC85:AE85)</f>
        <v>8</v>
      </c>
      <c r="AG85" s="1238">
        <v>2</v>
      </c>
      <c r="AH85" s="1238">
        <v>3</v>
      </c>
      <c r="AI85" s="1238">
        <v>3</v>
      </c>
      <c r="AJ85" s="1240">
        <f>SUM(AG85:AI85)</f>
        <v>8</v>
      </c>
      <c r="AK85" s="1238">
        <v>2</v>
      </c>
      <c r="AL85" s="1238">
        <v>2</v>
      </c>
      <c r="AM85" s="1238">
        <v>4</v>
      </c>
      <c r="AN85" s="1240">
        <f>SUM(AK85:AM85)</f>
        <v>8</v>
      </c>
      <c r="AO85" s="1238">
        <v>4</v>
      </c>
      <c r="AP85" s="1238">
        <v>3</v>
      </c>
      <c r="AQ85" s="1238">
        <v>2</v>
      </c>
      <c r="AR85" s="1240">
        <f>SUM(AO85:AQ85)</f>
        <v>9</v>
      </c>
      <c r="AS85" s="1238">
        <v>9</v>
      </c>
      <c r="AT85" s="1238">
        <v>8</v>
      </c>
      <c r="AU85" s="1238">
        <v>3</v>
      </c>
      <c r="AV85" s="1240">
        <f>SUM(AS85:AU85)</f>
        <v>20</v>
      </c>
      <c r="AW85" s="1238">
        <v>7</v>
      </c>
      <c r="AX85" s="1238">
        <v>6</v>
      </c>
      <c r="AY85" s="1238">
        <v>3</v>
      </c>
      <c r="AZ85" s="1240">
        <f>SUM(AW85:AY85)</f>
        <v>16</v>
      </c>
      <c r="BA85" s="1238">
        <v>10</v>
      </c>
      <c r="BB85" s="1238">
        <v>4</v>
      </c>
      <c r="BC85" s="1238">
        <v>3</v>
      </c>
      <c r="BD85" s="1240">
        <f>SUM(BA85:BC85)</f>
        <v>17</v>
      </c>
      <c r="BE85" s="1238">
        <v>3</v>
      </c>
      <c r="BF85" s="1238">
        <v>4</v>
      </c>
      <c r="BG85" s="1238">
        <v>8</v>
      </c>
      <c r="BH85" s="1240">
        <f t="shared" si="82"/>
        <v>15</v>
      </c>
      <c r="BI85" s="1238">
        <v>6</v>
      </c>
      <c r="BJ85" s="1238">
        <v>5</v>
      </c>
      <c r="BK85" s="1238">
        <v>2</v>
      </c>
      <c r="BL85" s="1240">
        <f>SUM(BI85:BK85)</f>
        <v>13</v>
      </c>
      <c r="BM85" s="1238">
        <v>3</v>
      </c>
      <c r="BN85" s="1238">
        <v>11</v>
      </c>
      <c r="BO85" s="1238">
        <v>8</v>
      </c>
      <c r="BP85" s="1240">
        <f t="shared" si="84"/>
        <v>22</v>
      </c>
      <c r="BQ85" s="1238">
        <v>4</v>
      </c>
      <c r="BR85" s="1238">
        <v>7</v>
      </c>
      <c r="BS85" s="1238">
        <v>3</v>
      </c>
      <c r="BT85" s="1240">
        <f>SUM(BQ85:BS85)</f>
        <v>14</v>
      </c>
      <c r="BU85" s="1238">
        <v>7</v>
      </c>
      <c r="BV85" s="1238">
        <v>3</v>
      </c>
      <c r="BW85" s="1238">
        <v>4</v>
      </c>
      <c r="BX85" s="1240">
        <f>SUM(BU85:BW85)</f>
        <v>14</v>
      </c>
      <c r="BY85" s="1238">
        <v>6</v>
      </c>
      <c r="BZ85" s="1238">
        <v>5</v>
      </c>
      <c r="CA85" s="1238">
        <v>3</v>
      </c>
      <c r="CB85" s="1240">
        <f>SUM(BY85:CA85)</f>
        <v>14</v>
      </c>
    </row>
    <row r="86" spans="1:80" ht="12.75" customHeight="1" x14ac:dyDescent="0.2">
      <c r="A86" s="6420"/>
      <c r="B86" s="5968"/>
      <c r="C86" s="6432"/>
      <c r="D86" s="1267" t="s">
        <v>552</v>
      </c>
      <c r="E86" s="1237"/>
      <c r="F86" s="1238"/>
      <c r="G86" s="1238"/>
      <c r="H86" s="1239"/>
      <c r="I86" s="1237"/>
      <c r="J86" s="1238"/>
      <c r="K86" s="1238"/>
      <c r="L86" s="1239"/>
      <c r="M86" s="1237"/>
      <c r="N86" s="1238"/>
      <c r="O86" s="1238"/>
      <c r="P86" s="1239"/>
      <c r="Q86" s="1237"/>
      <c r="R86" s="1238"/>
      <c r="S86" s="1238"/>
      <c r="T86" s="1239"/>
      <c r="U86" s="1237"/>
      <c r="V86" s="1238"/>
      <c r="W86" s="1238"/>
      <c r="X86" s="1239"/>
      <c r="Y86" s="1237"/>
      <c r="Z86" s="1238">
        <v>2</v>
      </c>
      <c r="AA86" s="1238">
        <v>1</v>
      </c>
      <c r="AB86" s="1239">
        <f t="shared" si="75"/>
        <v>3</v>
      </c>
      <c r="AC86" s="1237">
        <v>1</v>
      </c>
      <c r="AD86" s="1238">
        <v>1</v>
      </c>
      <c r="AE86" s="1238">
        <v>1</v>
      </c>
      <c r="AF86" s="1240">
        <f t="shared" ref="AF86:AF99" si="88">SUM(AC86:AE86)</f>
        <v>3</v>
      </c>
      <c r="AG86" s="1238"/>
      <c r="AH86" s="1238">
        <v>1</v>
      </c>
      <c r="AI86" s="1238"/>
      <c r="AJ86" s="1240">
        <f t="shared" ref="AJ86:AJ98" si="89">SUM(AG86:AI86)</f>
        <v>1</v>
      </c>
      <c r="AK86" s="1238">
        <v>1</v>
      </c>
      <c r="AL86" s="1238"/>
      <c r="AM86" s="1238">
        <v>1</v>
      </c>
      <c r="AN86" s="1240">
        <f t="shared" ref="AN86:AN107" si="90">SUM(AK86:AM86)</f>
        <v>2</v>
      </c>
      <c r="AO86" s="1238">
        <v>1</v>
      </c>
      <c r="AP86" s="1238">
        <v>2</v>
      </c>
      <c r="AQ86" s="1238">
        <v>2</v>
      </c>
      <c r="AR86" s="1240">
        <f t="shared" ref="AR86:AR125" si="91">SUM(AO86:AQ86)</f>
        <v>5</v>
      </c>
      <c r="AS86" s="1238">
        <v>4</v>
      </c>
      <c r="AT86" s="1238">
        <v>2</v>
      </c>
      <c r="AU86" s="1238">
        <v>1</v>
      </c>
      <c r="AV86" s="1240">
        <f t="shared" ref="AV86:AV125" si="92">SUM(AS86:AU86)</f>
        <v>7</v>
      </c>
      <c r="AW86" s="1238">
        <v>1</v>
      </c>
      <c r="AX86" s="1238">
        <v>2</v>
      </c>
      <c r="AY86" s="1238">
        <v>1</v>
      </c>
      <c r="AZ86" s="1240">
        <f t="shared" ref="AZ86:AZ125" si="93">SUM(AW86:AY86)</f>
        <v>4</v>
      </c>
      <c r="BA86" s="1238"/>
      <c r="BB86" s="1238"/>
      <c r="BC86" s="1238">
        <v>4</v>
      </c>
      <c r="BD86" s="1240">
        <f t="shared" ref="BD86:BD125" si="94">SUM(BA86:BC86)</f>
        <v>4</v>
      </c>
      <c r="BE86" s="1238">
        <v>2</v>
      </c>
      <c r="BF86" s="1238">
        <v>2</v>
      </c>
      <c r="BG86" s="1238">
        <v>5</v>
      </c>
      <c r="BH86" s="1240">
        <f t="shared" si="82"/>
        <v>9</v>
      </c>
      <c r="BI86" s="1238">
        <v>2</v>
      </c>
      <c r="BJ86" s="1238">
        <v>3</v>
      </c>
      <c r="BK86" s="1238">
        <v>4</v>
      </c>
      <c r="BL86" s="1240">
        <f>SUM(BI86:BK86)</f>
        <v>9</v>
      </c>
      <c r="BM86" s="1238">
        <v>1</v>
      </c>
      <c r="BN86" s="1238">
        <v>5</v>
      </c>
      <c r="BO86" s="1238">
        <v>2</v>
      </c>
      <c r="BP86" s="1240">
        <f>SUM(BM86:BO86)</f>
        <v>8</v>
      </c>
      <c r="BQ86" s="1238">
        <v>4</v>
      </c>
      <c r="BR86" s="1238">
        <v>4</v>
      </c>
      <c r="BS86" s="1238">
        <v>6</v>
      </c>
      <c r="BT86" s="1240">
        <f>SUM(BQ86:BS86)</f>
        <v>14</v>
      </c>
      <c r="BU86" s="1238">
        <v>2</v>
      </c>
      <c r="BV86" s="1238">
        <v>5</v>
      </c>
      <c r="BW86" s="1238">
        <v>5</v>
      </c>
      <c r="BX86" s="1240">
        <f>SUM(BU86:BW86)</f>
        <v>12</v>
      </c>
      <c r="BY86" s="1238">
        <v>9</v>
      </c>
      <c r="BZ86" s="1238">
        <v>3</v>
      </c>
      <c r="CA86" s="1238">
        <v>3</v>
      </c>
      <c r="CB86" s="1240">
        <f>SUM(BY86:CA86)</f>
        <v>15</v>
      </c>
    </row>
    <row r="87" spans="1:80" ht="12.75" customHeight="1" x14ac:dyDescent="0.2">
      <c r="A87" s="6420"/>
      <c r="B87" s="5968"/>
      <c r="C87" s="6432"/>
      <c r="D87" s="1309" t="s">
        <v>359</v>
      </c>
      <c r="E87" s="1243">
        <v>2</v>
      </c>
      <c r="F87" s="1244">
        <v>2</v>
      </c>
      <c r="G87" s="1244">
        <v>1</v>
      </c>
      <c r="H87" s="1245">
        <f>SUM(E87:G87)</f>
        <v>5</v>
      </c>
      <c r="I87" s="1243">
        <v>4</v>
      </c>
      <c r="J87" s="1244">
        <v>3</v>
      </c>
      <c r="K87" s="1244">
        <v>2</v>
      </c>
      <c r="L87" s="1245">
        <f>SUM(I87:K87)</f>
        <v>9</v>
      </c>
      <c r="M87" s="1243">
        <v>4</v>
      </c>
      <c r="N87" s="1244">
        <v>3</v>
      </c>
      <c r="O87" s="1244">
        <v>2</v>
      </c>
      <c r="P87" s="1245">
        <f>SUM(M87:O87)</f>
        <v>9</v>
      </c>
      <c r="Q87" s="1243">
        <v>6</v>
      </c>
      <c r="R87" s="1244">
        <v>3</v>
      </c>
      <c r="S87" s="1244">
        <v>1</v>
      </c>
      <c r="T87" s="1245">
        <f>SUM(Q87:S87)</f>
        <v>10</v>
      </c>
      <c r="U87" s="1243">
        <v>3</v>
      </c>
      <c r="V87" s="1244">
        <v>5</v>
      </c>
      <c r="W87" s="1244">
        <v>6</v>
      </c>
      <c r="X87" s="1245">
        <f>SUM(U87:W87)</f>
        <v>14</v>
      </c>
      <c r="Y87" s="1243">
        <v>6</v>
      </c>
      <c r="Z87" s="1244">
        <v>7</v>
      </c>
      <c r="AA87" s="1244">
        <v>3</v>
      </c>
      <c r="AB87" s="1245">
        <f t="shared" si="75"/>
        <v>16</v>
      </c>
      <c r="AC87" s="1243">
        <v>10</v>
      </c>
      <c r="AD87" s="1244">
        <v>2</v>
      </c>
      <c r="AE87" s="1244">
        <v>1</v>
      </c>
      <c r="AF87" s="1246">
        <f t="shared" si="88"/>
        <v>13</v>
      </c>
      <c r="AG87" s="1244">
        <v>5</v>
      </c>
      <c r="AH87" s="1244">
        <v>3</v>
      </c>
      <c r="AI87" s="1244"/>
      <c r="AJ87" s="1246">
        <f t="shared" si="89"/>
        <v>8</v>
      </c>
      <c r="AK87" s="1244">
        <v>2</v>
      </c>
      <c r="AL87" s="1244">
        <v>6</v>
      </c>
      <c r="AM87" s="1244">
        <v>7</v>
      </c>
      <c r="AN87" s="1246">
        <f t="shared" si="90"/>
        <v>15</v>
      </c>
      <c r="AO87" s="1244">
        <v>4</v>
      </c>
      <c r="AP87" s="1244">
        <v>2</v>
      </c>
      <c r="AQ87" s="1244">
        <v>5</v>
      </c>
      <c r="AR87" s="1246">
        <f t="shared" si="91"/>
        <v>11</v>
      </c>
      <c r="AS87" s="1244">
        <v>1</v>
      </c>
      <c r="AT87" s="1244">
        <v>4</v>
      </c>
      <c r="AU87" s="1244">
        <v>10</v>
      </c>
      <c r="AV87" s="1246">
        <f t="shared" si="92"/>
        <v>15</v>
      </c>
      <c r="AW87" s="1244"/>
      <c r="AX87" s="1244">
        <v>3</v>
      </c>
      <c r="AY87" s="1244">
        <v>5</v>
      </c>
      <c r="AZ87" s="1246">
        <f t="shared" si="93"/>
        <v>8</v>
      </c>
      <c r="BA87" s="1244">
        <v>7</v>
      </c>
      <c r="BB87" s="1244">
        <v>2</v>
      </c>
      <c r="BC87" s="1244"/>
      <c r="BD87" s="1246">
        <f t="shared" si="94"/>
        <v>9</v>
      </c>
      <c r="BE87" s="1244">
        <v>3</v>
      </c>
      <c r="BF87" s="1244">
        <v>2</v>
      </c>
      <c r="BG87" s="1244">
        <v>3</v>
      </c>
      <c r="BH87" s="1246">
        <f>SUM(BE87:BG87)</f>
        <v>8</v>
      </c>
      <c r="BI87" s="1244">
        <v>2</v>
      </c>
      <c r="BJ87" s="1244">
        <v>7</v>
      </c>
      <c r="BK87" s="1244">
        <v>2</v>
      </c>
      <c r="BL87" s="1246">
        <f>SUM(BI87:BK87)</f>
        <v>11</v>
      </c>
      <c r="BM87" s="1244">
        <v>1</v>
      </c>
      <c r="BN87" s="1244">
        <v>6</v>
      </c>
      <c r="BO87" s="1244">
        <v>1</v>
      </c>
      <c r="BP87" s="1246">
        <f>SUM(BM87:BO87)</f>
        <v>8</v>
      </c>
      <c r="BQ87" s="1244">
        <v>8</v>
      </c>
      <c r="BR87" s="1244">
        <v>1</v>
      </c>
      <c r="BS87" s="1244">
        <v>3</v>
      </c>
      <c r="BT87" s="1246">
        <f>SUM(BQ87:BS87)</f>
        <v>12</v>
      </c>
      <c r="BU87" s="1244">
        <v>3</v>
      </c>
      <c r="BV87" s="1244">
        <v>1</v>
      </c>
      <c r="BW87" s="1244">
        <v>3</v>
      </c>
      <c r="BX87" s="1246">
        <f>SUM(BU87:BW87)</f>
        <v>7</v>
      </c>
      <c r="BY87" s="1244">
        <v>2</v>
      </c>
      <c r="BZ87" s="1244">
        <v>1</v>
      </c>
      <c r="CA87" s="1244">
        <v>1</v>
      </c>
      <c r="CB87" s="1246">
        <f>SUM(BY87:CA87)</f>
        <v>4</v>
      </c>
    </row>
    <row r="88" spans="1:80" ht="12.75" customHeight="1" x14ac:dyDescent="0.2">
      <c r="A88" s="6420"/>
      <c r="B88" s="5969"/>
      <c r="C88" s="1311"/>
      <c r="D88" s="1310" t="s">
        <v>160</v>
      </c>
      <c r="E88" s="1248">
        <f t="shared" ref="E88:AJ88" si="95">SUM(E78:E87)</f>
        <v>3</v>
      </c>
      <c r="F88" s="1249">
        <f t="shared" si="95"/>
        <v>12</v>
      </c>
      <c r="G88" s="1249">
        <f t="shared" si="95"/>
        <v>13</v>
      </c>
      <c r="H88" s="1249">
        <f t="shared" si="95"/>
        <v>28</v>
      </c>
      <c r="I88" s="1248">
        <f t="shared" si="95"/>
        <v>11</v>
      </c>
      <c r="J88" s="1249">
        <f t="shared" si="95"/>
        <v>13</v>
      </c>
      <c r="K88" s="1249">
        <f t="shared" si="95"/>
        <v>6</v>
      </c>
      <c r="L88" s="1249">
        <f t="shared" si="95"/>
        <v>30</v>
      </c>
      <c r="M88" s="1248">
        <f t="shared" si="95"/>
        <v>7</v>
      </c>
      <c r="N88" s="1249">
        <f t="shared" si="95"/>
        <v>16</v>
      </c>
      <c r="O88" s="1249">
        <f t="shared" si="95"/>
        <v>26</v>
      </c>
      <c r="P88" s="1249">
        <f t="shared" si="95"/>
        <v>49</v>
      </c>
      <c r="Q88" s="1248">
        <f t="shared" si="95"/>
        <v>11</v>
      </c>
      <c r="R88" s="1249">
        <f t="shared" si="95"/>
        <v>19</v>
      </c>
      <c r="S88" s="1249">
        <f t="shared" si="95"/>
        <v>11</v>
      </c>
      <c r="T88" s="1249">
        <f t="shared" si="95"/>
        <v>41</v>
      </c>
      <c r="U88" s="1248">
        <f t="shared" si="95"/>
        <v>22</v>
      </c>
      <c r="V88" s="1249">
        <f t="shared" si="95"/>
        <v>19</v>
      </c>
      <c r="W88" s="1249">
        <f t="shared" si="95"/>
        <v>21</v>
      </c>
      <c r="X88" s="1249">
        <f t="shared" si="95"/>
        <v>62</v>
      </c>
      <c r="Y88" s="1248">
        <f t="shared" si="95"/>
        <v>13</v>
      </c>
      <c r="Z88" s="1249">
        <f t="shared" si="95"/>
        <v>44</v>
      </c>
      <c r="AA88" s="1249">
        <f t="shared" si="95"/>
        <v>25</v>
      </c>
      <c r="AB88" s="1249">
        <f t="shared" si="95"/>
        <v>82</v>
      </c>
      <c r="AC88" s="1248">
        <f t="shared" si="95"/>
        <v>24</v>
      </c>
      <c r="AD88" s="1249">
        <f t="shared" si="95"/>
        <v>22</v>
      </c>
      <c r="AE88" s="1249">
        <f t="shared" si="95"/>
        <v>24</v>
      </c>
      <c r="AF88" s="1306">
        <f t="shared" si="95"/>
        <v>70</v>
      </c>
      <c r="AG88" s="1249">
        <f t="shared" si="95"/>
        <v>15</v>
      </c>
      <c r="AH88" s="1249">
        <f t="shared" si="95"/>
        <v>26</v>
      </c>
      <c r="AI88" s="1249">
        <f t="shared" si="95"/>
        <v>22</v>
      </c>
      <c r="AJ88" s="1306">
        <f t="shared" si="95"/>
        <v>63</v>
      </c>
      <c r="AK88" s="1249">
        <f t="shared" ref="AK88:BH88" si="96">SUM(AK78:AK87)</f>
        <v>20</v>
      </c>
      <c r="AL88" s="1249">
        <f t="shared" si="96"/>
        <v>22</v>
      </c>
      <c r="AM88" s="1249">
        <f t="shared" si="96"/>
        <v>29</v>
      </c>
      <c r="AN88" s="1306">
        <f t="shared" si="96"/>
        <v>71</v>
      </c>
      <c r="AO88" s="1249">
        <f t="shared" si="96"/>
        <v>28</v>
      </c>
      <c r="AP88" s="1249">
        <f t="shared" si="96"/>
        <v>20</v>
      </c>
      <c r="AQ88" s="1249">
        <f t="shared" si="96"/>
        <v>27</v>
      </c>
      <c r="AR88" s="1306">
        <f t="shared" si="96"/>
        <v>75</v>
      </c>
      <c r="AS88" s="1249">
        <f t="shared" si="96"/>
        <v>30</v>
      </c>
      <c r="AT88" s="1249">
        <f t="shared" si="96"/>
        <v>35</v>
      </c>
      <c r="AU88" s="1249">
        <f t="shared" si="96"/>
        <v>36</v>
      </c>
      <c r="AV88" s="1306">
        <f t="shared" si="96"/>
        <v>101</v>
      </c>
      <c r="AW88" s="1249">
        <f t="shared" si="96"/>
        <v>38</v>
      </c>
      <c r="AX88" s="1249">
        <f t="shared" si="96"/>
        <v>38</v>
      </c>
      <c r="AY88" s="1249">
        <f t="shared" si="96"/>
        <v>26</v>
      </c>
      <c r="AZ88" s="1306">
        <f t="shared" si="96"/>
        <v>102</v>
      </c>
      <c r="BA88" s="1249">
        <f t="shared" si="96"/>
        <v>32</v>
      </c>
      <c r="BB88" s="1249">
        <f t="shared" si="96"/>
        <v>34</v>
      </c>
      <c r="BC88" s="1249">
        <f t="shared" si="96"/>
        <v>33</v>
      </c>
      <c r="BD88" s="1306">
        <f t="shared" si="96"/>
        <v>99</v>
      </c>
      <c r="BE88" s="1249">
        <f t="shared" si="96"/>
        <v>29</v>
      </c>
      <c r="BF88" s="1249">
        <f t="shared" si="96"/>
        <v>28</v>
      </c>
      <c r="BG88" s="1249">
        <f t="shared" si="96"/>
        <v>37</v>
      </c>
      <c r="BH88" s="1306">
        <f t="shared" si="96"/>
        <v>94</v>
      </c>
      <c r="BI88" s="1249">
        <f t="shared" ref="BI88:BP88" si="97">SUM(BI78:BI87)</f>
        <v>27</v>
      </c>
      <c r="BJ88" s="1249">
        <f t="shared" si="97"/>
        <v>40</v>
      </c>
      <c r="BK88" s="1249">
        <f t="shared" si="97"/>
        <v>47</v>
      </c>
      <c r="BL88" s="1306">
        <f t="shared" si="97"/>
        <v>114</v>
      </c>
      <c r="BM88" s="1249">
        <f t="shared" si="97"/>
        <v>26</v>
      </c>
      <c r="BN88" s="1249">
        <f t="shared" si="97"/>
        <v>50</v>
      </c>
      <c r="BO88" s="1249">
        <f t="shared" si="97"/>
        <v>37</v>
      </c>
      <c r="BP88" s="1306">
        <f t="shared" si="97"/>
        <v>113</v>
      </c>
      <c r="BQ88" s="1249">
        <f t="shared" ref="BQ88:BX88" si="98">SUM(BQ78:BQ87)</f>
        <v>29</v>
      </c>
      <c r="BR88" s="1249">
        <f t="shared" si="98"/>
        <v>49</v>
      </c>
      <c r="BS88" s="1249">
        <f t="shared" si="98"/>
        <v>40</v>
      </c>
      <c r="BT88" s="1306">
        <f t="shared" si="98"/>
        <v>118</v>
      </c>
      <c r="BU88" s="1249">
        <f t="shared" si="98"/>
        <v>38</v>
      </c>
      <c r="BV88" s="1249">
        <f t="shared" si="98"/>
        <v>36</v>
      </c>
      <c r="BW88" s="1249">
        <f t="shared" si="98"/>
        <v>53</v>
      </c>
      <c r="BX88" s="1306">
        <f t="shared" si="98"/>
        <v>127</v>
      </c>
      <c r="BY88" s="1249">
        <f t="shared" ref="BY88:CB88" si="99">SUM(BY78:BY87)</f>
        <v>35</v>
      </c>
      <c r="BZ88" s="1249">
        <f t="shared" si="99"/>
        <v>34</v>
      </c>
      <c r="CA88" s="1249">
        <f t="shared" si="99"/>
        <v>28</v>
      </c>
      <c r="CB88" s="1306">
        <f t="shared" si="99"/>
        <v>97</v>
      </c>
    </row>
    <row r="89" spans="1:80" ht="12.75" customHeight="1" x14ac:dyDescent="0.2">
      <c r="A89" s="6421"/>
      <c r="B89" s="4738"/>
      <c r="C89" s="4738"/>
      <c r="D89" s="4739" t="s">
        <v>524</v>
      </c>
      <c r="E89" s="4740">
        <f t="shared" ref="E89:AJ89" si="100">SUM(E62,E77,E88)</f>
        <v>20</v>
      </c>
      <c r="F89" s="4741">
        <f t="shared" si="100"/>
        <v>46</v>
      </c>
      <c r="G89" s="4741">
        <f t="shared" si="100"/>
        <v>80</v>
      </c>
      <c r="H89" s="4741">
        <f t="shared" si="100"/>
        <v>146</v>
      </c>
      <c r="I89" s="4740">
        <f t="shared" si="100"/>
        <v>26</v>
      </c>
      <c r="J89" s="4741">
        <f t="shared" si="100"/>
        <v>60</v>
      </c>
      <c r="K89" s="4741">
        <f t="shared" si="100"/>
        <v>45</v>
      </c>
      <c r="L89" s="4741">
        <f t="shared" si="100"/>
        <v>131</v>
      </c>
      <c r="M89" s="4740">
        <f t="shared" si="100"/>
        <v>30</v>
      </c>
      <c r="N89" s="4741">
        <f t="shared" si="100"/>
        <v>109</v>
      </c>
      <c r="O89" s="4741">
        <f t="shared" si="100"/>
        <v>62</v>
      </c>
      <c r="P89" s="4741">
        <f t="shared" si="100"/>
        <v>201</v>
      </c>
      <c r="Q89" s="4740">
        <f t="shared" si="100"/>
        <v>44</v>
      </c>
      <c r="R89" s="4741">
        <f t="shared" si="100"/>
        <v>63</v>
      </c>
      <c r="S89" s="4741">
        <f t="shared" si="100"/>
        <v>43</v>
      </c>
      <c r="T89" s="4741">
        <f t="shared" si="100"/>
        <v>150</v>
      </c>
      <c r="U89" s="4740">
        <f t="shared" si="100"/>
        <v>52</v>
      </c>
      <c r="V89" s="4741">
        <f t="shared" si="100"/>
        <v>67</v>
      </c>
      <c r="W89" s="4741">
        <f t="shared" si="100"/>
        <v>77</v>
      </c>
      <c r="X89" s="4741">
        <f t="shared" si="100"/>
        <v>196</v>
      </c>
      <c r="Y89" s="4740">
        <f t="shared" si="100"/>
        <v>50</v>
      </c>
      <c r="Z89" s="4741">
        <f t="shared" si="100"/>
        <v>132</v>
      </c>
      <c r="AA89" s="4741">
        <f t="shared" si="100"/>
        <v>73</v>
      </c>
      <c r="AB89" s="4741">
        <f t="shared" si="100"/>
        <v>255</v>
      </c>
      <c r="AC89" s="4740">
        <f t="shared" si="100"/>
        <v>54</v>
      </c>
      <c r="AD89" s="4741">
        <f t="shared" si="100"/>
        <v>131</v>
      </c>
      <c r="AE89" s="4741">
        <f t="shared" si="100"/>
        <v>49</v>
      </c>
      <c r="AF89" s="4742">
        <f t="shared" si="100"/>
        <v>234</v>
      </c>
      <c r="AG89" s="4741">
        <f t="shared" si="100"/>
        <v>37</v>
      </c>
      <c r="AH89" s="4741">
        <f t="shared" si="100"/>
        <v>86</v>
      </c>
      <c r="AI89" s="4741">
        <f t="shared" si="100"/>
        <v>154</v>
      </c>
      <c r="AJ89" s="4742">
        <f t="shared" si="100"/>
        <v>277</v>
      </c>
      <c r="AK89" s="4741">
        <f t="shared" ref="AK89:BH89" si="101">SUM(AK62,AK77,AK88)</f>
        <v>53</v>
      </c>
      <c r="AL89" s="4741">
        <f t="shared" si="101"/>
        <v>109</v>
      </c>
      <c r="AM89" s="4741">
        <f t="shared" si="101"/>
        <v>76</v>
      </c>
      <c r="AN89" s="4742">
        <f t="shared" si="101"/>
        <v>238</v>
      </c>
      <c r="AO89" s="4741">
        <f t="shared" si="101"/>
        <v>128</v>
      </c>
      <c r="AP89" s="4741">
        <f t="shared" si="101"/>
        <v>81</v>
      </c>
      <c r="AQ89" s="4741">
        <f t="shared" si="101"/>
        <v>74</v>
      </c>
      <c r="AR89" s="4742">
        <f t="shared" si="101"/>
        <v>283</v>
      </c>
      <c r="AS89" s="4741">
        <f t="shared" si="101"/>
        <v>83</v>
      </c>
      <c r="AT89" s="4741">
        <f t="shared" si="101"/>
        <v>125</v>
      </c>
      <c r="AU89" s="4741">
        <f t="shared" si="101"/>
        <v>96</v>
      </c>
      <c r="AV89" s="4742">
        <f t="shared" si="101"/>
        <v>304</v>
      </c>
      <c r="AW89" s="4741">
        <f t="shared" si="101"/>
        <v>101</v>
      </c>
      <c r="AX89" s="4741">
        <f t="shared" si="101"/>
        <v>157</v>
      </c>
      <c r="AY89" s="4741">
        <f t="shared" si="101"/>
        <v>77</v>
      </c>
      <c r="AZ89" s="4742">
        <f t="shared" si="101"/>
        <v>335</v>
      </c>
      <c r="BA89" s="4741">
        <f t="shared" si="101"/>
        <v>195</v>
      </c>
      <c r="BB89" s="4741">
        <f t="shared" si="101"/>
        <v>104</v>
      </c>
      <c r="BC89" s="4741">
        <f t="shared" si="101"/>
        <v>138</v>
      </c>
      <c r="BD89" s="4742">
        <f t="shared" si="101"/>
        <v>437</v>
      </c>
      <c r="BE89" s="4741">
        <f t="shared" si="101"/>
        <v>78</v>
      </c>
      <c r="BF89" s="4741">
        <f t="shared" si="101"/>
        <v>137</v>
      </c>
      <c r="BG89" s="4741">
        <f t="shared" si="101"/>
        <v>162</v>
      </c>
      <c r="BH89" s="4742">
        <f t="shared" si="101"/>
        <v>377</v>
      </c>
      <c r="BI89" s="4741">
        <f t="shared" ref="BI89:BP89" si="102">SUM(BI62,BI77,BI88)</f>
        <v>120</v>
      </c>
      <c r="BJ89" s="4741">
        <f t="shared" si="102"/>
        <v>110</v>
      </c>
      <c r="BK89" s="4741">
        <f t="shared" si="102"/>
        <v>111</v>
      </c>
      <c r="BL89" s="4742">
        <f t="shared" si="102"/>
        <v>341</v>
      </c>
      <c r="BM89" s="4741">
        <f t="shared" si="102"/>
        <v>95</v>
      </c>
      <c r="BN89" s="4741">
        <f t="shared" si="102"/>
        <v>163</v>
      </c>
      <c r="BO89" s="4741">
        <f t="shared" si="102"/>
        <v>179</v>
      </c>
      <c r="BP89" s="4742">
        <f t="shared" si="102"/>
        <v>437</v>
      </c>
      <c r="BQ89" s="4741">
        <f t="shared" ref="BQ89:BX89" si="103">SUM(BQ62,BQ77,BQ88)</f>
        <v>81</v>
      </c>
      <c r="BR89" s="4741">
        <f t="shared" si="103"/>
        <v>110</v>
      </c>
      <c r="BS89" s="4741">
        <f t="shared" si="103"/>
        <v>91</v>
      </c>
      <c r="BT89" s="4742">
        <f t="shared" si="103"/>
        <v>282</v>
      </c>
      <c r="BU89" s="4741">
        <f t="shared" si="103"/>
        <v>112</v>
      </c>
      <c r="BV89" s="4741">
        <f t="shared" si="103"/>
        <v>134</v>
      </c>
      <c r="BW89" s="4741">
        <f t="shared" si="103"/>
        <v>178</v>
      </c>
      <c r="BX89" s="4742">
        <f t="shared" si="103"/>
        <v>424</v>
      </c>
      <c r="BY89" s="4741">
        <f t="shared" ref="BY89:CB89" si="104">SUM(BY62,BY77,BY88)</f>
        <v>113</v>
      </c>
      <c r="BZ89" s="4741">
        <f t="shared" si="104"/>
        <v>103</v>
      </c>
      <c r="CA89" s="4741">
        <f t="shared" si="104"/>
        <v>114</v>
      </c>
      <c r="CB89" s="4742">
        <f t="shared" si="104"/>
        <v>330</v>
      </c>
    </row>
    <row r="90" spans="1:80" ht="12.75" customHeight="1" x14ac:dyDescent="0.2">
      <c r="A90" s="6425" t="s">
        <v>10</v>
      </c>
      <c r="B90" s="6428" t="s">
        <v>6</v>
      </c>
      <c r="C90" s="6431" t="s">
        <v>522</v>
      </c>
      <c r="D90" s="1265" t="s">
        <v>58</v>
      </c>
      <c r="E90" s="1256"/>
      <c r="F90" s="1257"/>
      <c r="G90" s="1257"/>
      <c r="H90" s="1258"/>
      <c r="I90" s="1256">
        <v>1</v>
      </c>
      <c r="J90" s="1257"/>
      <c r="K90" s="1257">
        <v>4</v>
      </c>
      <c r="L90" s="1258">
        <f>SUM(I90:K90)</f>
        <v>5</v>
      </c>
      <c r="M90" s="1256">
        <v>9</v>
      </c>
      <c r="N90" s="1257"/>
      <c r="O90" s="1257">
        <v>27</v>
      </c>
      <c r="P90" s="1258">
        <f>SUM(M90:O90)</f>
        <v>36</v>
      </c>
      <c r="Q90" s="1256">
        <v>3</v>
      </c>
      <c r="R90" s="1257">
        <v>12</v>
      </c>
      <c r="S90" s="1257"/>
      <c r="T90" s="1258">
        <f>SUM(Q90:S90)</f>
        <v>15</v>
      </c>
      <c r="U90" s="1256"/>
      <c r="V90" s="1257">
        <v>1</v>
      </c>
      <c r="W90" s="1257">
        <v>12</v>
      </c>
      <c r="X90" s="1258">
        <f>SUM(U90:W90)</f>
        <v>13</v>
      </c>
      <c r="Y90" s="1256">
        <v>1</v>
      </c>
      <c r="Z90" s="1257"/>
      <c r="AA90" s="1257">
        <v>1</v>
      </c>
      <c r="AB90" s="1258">
        <f t="shared" si="75"/>
        <v>2</v>
      </c>
      <c r="AC90" s="1256"/>
      <c r="AD90" s="1257">
        <v>15</v>
      </c>
      <c r="AE90" s="1257">
        <v>3</v>
      </c>
      <c r="AF90" s="1259">
        <f t="shared" si="88"/>
        <v>18</v>
      </c>
      <c r="AG90" s="1257"/>
      <c r="AH90" s="1257">
        <v>1</v>
      </c>
      <c r="AI90" s="1257"/>
      <c r="AJ90" s="1259">
        <f t="shared" si="89"/>
        <v>1</v>
      </c>
      <c r="AK90" s="1257"/>
      <c r="AL90" s="1257"/>
      <c r="AM90" s="1257">
        <v>12</v>
      </c>
      <c r="AN90" s="1259">
        <f t="shared" si="90"/>
        <v>12</v>
      </c>
      <c r="AO90" s="1257"/>
      <c r="AP90" s="1257"/>
      <c r="AQ90" s="1257">
        <v>9</v>
      </c>
      <c r="AR90" s="1259">
        <f t="shared" si="91"/>
        <v>9</v>
      </c>
      <c r="AS90" s="1257"/>
      <c r="AT90" s="1257"/>
      <c r="AU90" s="1257">
        <v>17</v>
      </c>
      <c r="AV90" s="1259">
        <f t="shared" si="92"/>
        <v>17</v>
      </c>
      <c r="AW90" s="1257"/>
      <c r="AX90" s="1257"/>
      <c r="AY90" s="1257"/>
      <c r="AZ90" s="1259">
        <f t="shared" si="93"/>
        <v>0</v>
      </c>
      <c r="BA90" s="1257"/>
      <c r="BB90" s="1257"/>
      <c r="BC90" s="1257">
        <v>17</v>
      </c>
      <c r="BD90" s="1259">
        <f t="shared" si="94"/>
        <v>17</v>
      </c>
      <c r="BE90" s="1257"/>
      <c r="BF90" s="1257">
        <v>1</v>
      </c>
      <c r="BG90" s="1257"/>
      <c r="BH90" s="1240">
        <f>SUM(BE90:BG90)</f>
        <v>1</v>
      </c>
      <c r="BI90" s="1257"/>
      <c r="BJ90" s="1257"/>
      <c r="BK90" s="1257"/>
      <c r="BL90" s="1240">
        <f>SUM(BI90:BK90)</f>
        <v>0</v>
      </c>
      <c r="BM90" s="1257"/>
      <c r="BN90" s="1257"/>
      <c r="BO90" s="1257"/>
      <c r="BP90" s="1240">
        <f>SUM(BM90:BO90)</f>
        <v>0</v>
      </c>
      <c r="BQ90" s="1257"/>
      <c r="BR90" s="1257"/>
      <c r="BS90" s="1257"/>
      <c r="BT90" s="1240">
        <f>SUM(BQ90:BS90)</f>
        <v>0</v>
      </c>
      <c r="BU90" s="1257"/>
      <c r="BV90" s="1257"/>
      <c r="BW90" s="1257"/>
      <c r="BX90" s="1240">
        <f>SUM(BU90:BW90)</f>
        <v>0</v>
      </c>
      <c r="BY90" s="1257"/>
      <c r="BZ90" s="1257"/>
      <c r="CA90" s="1257"/>
      <c r="CB90" s="1240">
        <f>SUM(BY90:CA90)</f>
        <v>0</v>
      </c>
    </row>
    <row r="91" spans="1:80" ht="12.75" customHeight="1" x14ac:dyDescent="0.2">
      <c r="A91" s="6426"/>
      <c r="B91" s="6428"/>
      <c r="C91" s="6432"/>
      <c r="D91" s="1261" t="s">
        <v>388</v>
      </c>
      <c r="E91" s="1237"/>
      <c r="F91" s="1238"/>
      <c r="G91" s="1238"/>
      <c r="H91" s="1239"/>
      <c r="I91" s="1237"/>
      <c r="J91" s="1238"/>
      <c r="K91" s="1238"/>
      <c r="L91" s="1258"/>
      <c r="M91" s="1237"/>
      <c r="N91" s="1238"/>
      <c r="O91" s="1238"/>
      <c r="P91" s="1258"/>
      <c r="Q91" s="1237"/>
      <c r="R91" s="1238"/>
      <c r="S91" s="1238"/>
      <c r="T91" s="1258"/>
      <c r="U91" s="1237"/>
      <c r="V91" s="1238"/>
      <c r="W91" s="1238"/>
      <c r="X91" s="1239"/>
      <c r="Y91" s="1237"/>
      <c r="Z91" s="1238">
        <v>1</v>
      </c>
      <c r="AA91" s="1238">
        <v>26</v>
      </c>
      <c r="AB91" s="1239">
        <f>SUM(Y91:AA91)</f>
        <v>27</v>
      </c>
      <c r="AC91" s="1237"/>
      <c r="AD91" s="1238">
        <v>1</v>
      </c>
      <c r="AE91" s="1238"/>
      <c r="AF91" s="1240">
        <f>SUM(AC91:AE91)</f>
        <v>1</v>
      </c>
      <c r="AG91" s="1238"/>
      <c r="AH91" s="1238">
        <v>1</v>
      </c>
      <c r="AI91" s="1238"/>
      <c r="AJ91" s="1240">
        <f>SUM(AG91:AI91)</f>
        <v>1</v>
      </c>
      <c r="AK91" s="1238">
        <v>31</v>
      </c>
      <c r="AL91" s="1238"/>
      <c r="AM91" s="1238">
        <v>3</v>
      </c>
      <c r="AN91" s="1240">
        <f>SUM(AK91:AM91)</f>
        <v>34</v>
      </c>
      <c r="AO91" s="1238"/>
      <c r="AP91" s="1238"/>
      <c r="AQ91" s="1238">
        <v>33</v>
      </c>
      <c r="AR91" s="1240">
        <f>SUM(AO91:AQ91)</f>
        <v>33</v>
      </c>
      <c r="AS91" s="1238">
        <v>1</v>
      </c>
      <c r="AT91" s="1238"/>
      <c r="AU91" s="1238">
        <v>1</v>
      </c>
      <c r="AV91" s="1240">
        <f>SUM(AS91:AU91)</f>
        <v>2</v>
      </c>
      <c r="AW91" s="1238"/>
      <c r="AX91" s="1238"/>
      <c r="AY91" s="1238">
        <v>40</v>
      </c>
      <c r="AZ91" s="1240">
        <f>SUM(AW91:AY91)</f>
        <v>40</v>
      </c>
      <c r="BA91" s="1238">
        <v>1</v>
      </c>
      <c r="BB91" s="1238">
        <v>1</v>
      </c>
      <c r="BC91" s="1238"/>
      <c r="BD91" s="1240">
        <f>SUM(BA91:BC91)</f>
        <v>2</v>
      </c>
      <c r="BE91" s="1238"/>
      <c r="BF91" s="1238"/>
      <c r="BG91" s="1238"/>
      <c r="BH91" s="1240">
        <f>SUM(BE91:BG91)</f>
        <v>0</v>
      </c>
      <c r="BI91" s="1238"/>
      <c r="BJ91" s="1238">
        <v>1</v>
      </c>
      <c r="BK91" s="1238"/>
      <c r="BL91" s="1240">
        <f>SUM(BI91:BK91)</f>
        <v>1</v>
      </c>
      <c r="BM91" s="1238"/>
      <c r="BN91" s="1238"/>
      <c r="BO91" s="1238">
        <v>28</v>
      </c>
      <c r="BP91" s="1240">
        <f>SUM(BM91:BO91)</f>
        <v>28</v>
      </c>
      <c r="BQ91" s="1238"/>
      <c r="BR91" s="1238">
        <v>1</v>
      </c>
      <c r="BS91" s="1238"/>
      <c r="BT91" s="1240">
        <f>SUM(BQ91:BS91)</f>
        <v>1</v>
      </c>
      <c r="BU91" s="1238"/>
      <c r="BV91" s="1238"/>
      <c r="BW91" s="1238">
        <v>1</v>
      </c>
      <c r="BX91" s="1240">
        <f>SUM(BU91:BW91)</f>
        <v>1</v>
      </c>
      <c r="BY91" s="1238">
        <v>1</v>
      </c>
      <c r="BZ91" s="1238"/>
      <c r="CA91" s="1238"/>
      <c r="CB91" s="1240">
        <f>SUM(BY91:CA91)</f>
        <v>1</v>
      </c>
    </row>
    <row r="92" spans="1:80" ht="12.75" customHeight="1" x14ac:dyDescent="0.2">
      <c r="A92" s="6426"/>
      <c r="B92" s="6428"/>
      <c r="C92" s="6431" t="s">
        <v>521</v>
      </c>
      <c r="D92" s="1261" t="s">
        <v>89</v>
      </c>
      <c r="E92" s="1237"/>
      <c r="F92" s="1238"/>
      <c r="G92" s="1238"/>
      <c r="H92" s="1239"/>
      <c r="I92" s="1237"/>
      <c r="J92" s="1238"/>
      <c r="K92" s="1238"/>
      <c r="L92" s="1258"/>
      <c r="M92" s="1237">
        <v>1</v>
      </c>
      <c r="N92" s="1238">
        <v>1</v>
      </c>
      <c r="O92" s="1238">
        <v>2</v>
      </c>
      <c r="P92" s="1258">
        <f t="shared" ref="P92:P102" si="105">SUM(M92:O92)</f>
        <v>4</v>
      </c>
      <c r="Q92" s="1237">
        <v>1</v>
      </c>
      <c r="R92" s="1238">
        <v>1</v>
      </c>
      <c r="S92" s="1238">
        <v>2</v>
      </c>
      <c r="T92" s="1258">
        <f t="shared" ref="T92:T102" si="106">SUM(Q92:S92)</f>
        <v>4</v>
      </c>
      <c r="U92" s="1237">
        <v>10</v>
      </c>
      <c r="V92" s="1238">
        <v>5</v>
      </c>
      <c r="W92" s="1238">
        <v>1</v>
      </c>
      <c r="X92" s="1239">
        <f>SUM(U92:W92)</f>
        <v>16</v>
      </c>
      <c r="Y92" s="1237">
        <v>2</v>
      </c>
      <c r="Z92" s="1238">
        <v>2</v>
      </c>
      <c r="AA92" s="1238">
        <v>2</v>
      </c>
      <c r="AB92" s="1239">
        <f t="shared" si="75"/>
        <v>6</v>
      </c>
      <c r="AC92" s="1237">
        <v>3</v>
      </c>
      <c r="AD92" s="1238">
        <v>4</v>
      </c>
      <c r="AE92" s="1238">
        <v>2</v>
      </c>
      <c r="AF92" s="1240">
        <f t="shared" si="88"/>
        <v>9</v>
      </c>
      <c r="AG92" s="1238">
        <v>1</v>
      </c>
      <c r="AH92" s="1238">
        <v>2</v>
      </c>
      <c r="AI92" s="1238">
        <v>3</v>
      </c>
      <c r="AJ92" s="1240">
        <f t="shared" si="89"/>
        <v>6</v>
      </c>
      <c r="AK92" s="1238">
        <v>1</v>
      </c>
      <c r="AL92" s="1238">
        <v>3</v>
      </c>
      <c r="AM92" s="1238">
        <v>4</v>
      </c>
      <c r="AN92" s="1240">
        <f t="shared" si="90"/>
        <v>8</v>
      </c>
      <c r="AO92" s="1238">
        <v>2</v>
      </c>
      <c r="AP92" s="1238">
        <v>2</v>
      </c>
      <c r="AQ92" s="1238"/>
      <c r="AR92" s="1240">
        <f t="shared" si="91"/>
        <v>4</v>
      </c>
      <c r="AS92" s="1238">
        <v>2</v>
      </c>
      <c r="AT92" s="1238">
        <v>2</v>
      </c>
      <c r="AU92" s="1238">
        <v>6</v>
      </c>
      <c r="AV92" s="1240">
        <f t="shared" si="92"/>
        <v>10</v>
      </c>
      <c r="AW92" s="1238">
        <v>12</v>
      </c>
      <c r="AX92" s="1238">
        <v>2</v>
      </c>
      <c r="AY92" s="1238">
        <v>6</v>
      </c>
      <c r="AZ92" s="1240">
        <f t="shared" si="93"/>
        <v>20</v>
      </c>
      <c r="BA92" s="1238">
        <v>9</v>
      </c>
      <c r="BB92" s="1238">
        <v>3</v>
      </c>
      <c r="BC92" s="1238">
        <v>1</v>
      </c>
      <c r="BD92" s="1240">
        <f t="shared" si="94"/>
        <v>13</v>
      </c>
      <c r="BE92" s="1238">
        <v>1</v>
      </c>
      <c r="BF92" s="1238"/>
      <c r="BG92" s="1238">
        <v>4</v>
      </c>
      <c r="BH92" s="1240">
        <f>SUM(BE92:BG92)</f>
        <v>5</v>
      </c>
      <c r="BI92" s="1238">
        <v>9</v>
      </c>
      <c r="BJ92" s="1238"/>
      <c r="BK92" s="1238"/>
      <c r="BL92" s="1240">
        <f>SUM(BI92:BK92)</f>
        <v>9</v>
      </c>
      <c r="BM92" s="1238">
        <v>1</v>
      </c>
      <c r="BN92" s="1238">
        <v>1</v>
      </c>
      <c r="BO92" s="1238">
        <v>9</v>
      </c>
      <c r="BP92" s="1240">
        <f>SUM(BM92:BO92)</f>
        <v>11</v>
      </c>
      <c r="BQ92" s="1238">
        <v>6</v>
      </c>
      <c r="BR92" s="1238"/>
      <c r="BS92" s="1238">
        <v>2</v>
      </c>
      <c r="BT92" s="1240">
        <f>SUM(BQ92:BS92)</f>
        <v>8</v>
      </c>
      <c r="BU92" s="1238">
        <v>1</v>
      </c>
      <c r="BV92" s="1238">
        <v>4</v>
      </c>
      <c r="BW92" s="1238">
        <v>5</v>
      </c>
      <c r="BX92" s="1240">
        <f>SUM(BU92:BW92)</f>
        <v>10</v>
      </c>
      <c r="BY92" s="1238">
        <v>10</v>
      </c>
      <c r="BZ92" s="1238">
        <v>1</v>
      </c>
      <c r="CA92" s="1238"/>
      <c r="CB92" s="1240">
        <f>SUM(BY92:CA92)</f>
        <v>11</v>
      </c>
    </row>
    <row r="93" spans="1:80" ht="12.75" customHeight="1" x14ac:dyDescent="0.2">
      <c r="A93" s="6426"/>
      <c r="B93" s="6428"/>
      <c r="C93" s="6432"/>
      <c r="D93" s="1261" t="s">
        <v>389</v>
      </c>
      <c r="E93" s="1237">
        <v>2</v>
      </c>
      <c r="F93" s="1238">
        <v>1</v>
      </c>
      <c r="G93" s="1238">
        <v>14</v>
      </c>
      <c r="H93" s="1239">
        <f>SUM(E93:G93)</f>
        <v>17</v>
      </c>
      <c r="I93" s="1237">
        <v>1</v>
      </c>
      <c r="J93" s="1238">
        <v>5</v>
      </c>
      <c r="K93" s="1238">
        <v>3</v>
      </c>
      <c r="L93" s="1258">
        <f t="shared" ref="L93:L98" si="107">SUM(I93:K93)</f>
        <v>9</v>
      </c>
      <c r="M93" s="1237">
        <v>1</v>
      </c>
      <c r="N93" s="1238">
        <v>3</v>
      </c>
      <c r="O93" s="1238">
        <v>4</v>
      </c>
      <c r="P93" s="1258">
        <f t="shared" si="105"/>
        <v>8</v>
      </c>
      <c r="Q93" s="1237">
        <v>2</v>
      </c>
      <c r="R93" s="1238">
        <v>10</v>
      </c>
      <c r="S93" s="1238">
        <v>11</v>
      </c>
      <c r="T93" s="1258">
        <f t="shared" si="106"/>
        <v>23</v>
      </c>
      <c r="U93" s="1237">
        <v>6</v>
      </c>
      <c r="V93" s="1238">
        <v>3</v>
      </c>
      <c r="W93" s="1238">
        <v>3</v>
      </c>
      <c r="X93" s="1239">
        <f>SUM(U93:W93)</f>
        <v>12</v>
      </c>
      <c r="Y93" s="1237">
        <v>6</v>
      </c>
      <c r="Z93" s="1238">
        <v>4</v>
      </c>
      <c r="AA93" s="1238">
        <v>5</v>
      </c>
      <c r="AB93" s="1239">
        <f t="shared" si="75"/>
        <v>15</v>
      </c>
      <c r="AC93" s="1237">
        <v>2</v>
      </c>
      <c r="AD93" s="1238">
        <v>4</v>
      </c>
      <c r="AE93" s="1238">
        <v>8</v>
      </c>
      <c r="AF93" s="1240">
        <f t="shared" si="88"/>
        <v>14</v>
      </c>
      <c r="AG93" s="1238">
        <v>1</v>
      </c>
      <c r="AH93" s="1238"/>
      <c r="AI93" s="1238">
        <v>8</v>
      </c>
      <c r="AJ93" s="1240">
        <f t="shared" si="89"/>
        <v>9</v>
      </c>
      <c r="AK93" s="1238">
        <v>2</v>
      </c>
      <c r="AL93" s="1238">
        <v>2</v>
      </c>
      <c r="AM93" s="1238">
        <v>8</v>
      </c>
      <c r="AN93" s="1240">
        <f t="shared" si="90"/>
        <v>12</v>
      </c>
      <c r="AO93" s="1238">
        <v>8</v>
      </c>
      <c r="AP93" s="1238">
        <v>1</v>
      </c>
      <c r="AQ93" s="1238">
        <v>8</v>
      </c>
      <c r="AR93" s="1240">
        <f t="shared" si="91"/>
        <v>17</v>
      </c>
      <c r="AS93" s="1238">
        <v>2</v>
      </c>
      <c r="AT93" s="1238">
        <v>5</v>
      </c>
      <c r="AU93" s="1238">
        <v>11</v>
      </c>
      <c r="AV93" s="1240">
        <f t="shared" si="92"/>
        <v>18</v>
      </c>
      <c r="AW93" s="1238">
        <v>10</v>
      </c>
      <c r="AX93" s="1238">
        <v>9</v>
      </c>
      <c r="AY93" s="1238">
        <v>9</v>
      </c>
      <c r="AZ93" s="1240">
        <f t="shared" si="93"/>
        <v>28</v>
      </c>
      <c r="BA93" s="1238">
        <v>14</v>
      </c>
      <c r="BB93" s="1238">
        <v>13</v>
      </c>
      <c r="BC93" s="1238">
        <v>10</v>
      </c>
      <c r="BD93" s="1240">
        <f t="shared" si="94"/>
        <v>37</v>
      </c>
      <c r="BE93" s="1238">
        <v>7</v>
      </c>
      <c r="BF93" s="1238">
        <v>1</v>
      </c>
      <c r="BG93" s="1238">
        <v>2</v>
      </c>
      <c r="BH93" s="1240">
        <f t="shared" ref="BH93:BH107" si="108">SUM(BE93:BG93)</f>
        <v>10</v>
      </c>
      <c r="BI93" s="1238"/>
      <c r="BJ93" s="1238">
        <v>2</v>
      </c>
      <c r="BK93" s="1238">
        <v>9</v>
      </c>
      <c r="BL93" s="1240">
        <f t="shared" ref="BL93:BL100" si="109">SUM(BI93:BK93)</f>
        <v>11</v>
      </c>
      <c r="BM93" s="1238">
        <v>6</v>
      </c>
      <c r="BN93" s="1238">
        <v>4</v>
      </c>
      <c r="BO93" s="1238">
        <v>5</v>
      </c>
      <c r="BP93" s="1240">
        <f t="shared" ref="BP93:BP102" si="110">SUM(BM93:BO93)</f>
        <v>15</v>
      </c>
      <c r="BQ93" s="1238">
        <v>3</v>
      </c>
      <c r="BR93" s="1238">
        <v>8</v>
      </c>
      <c r="BS93" s="1238">
        <v>13</v>
      </c>
      <c r="BT93" s="1240">
        <f t="shared" ref="BT93:BT102" si="111">SUM(BQ93:BS93)</f>
        <v>24</v>
      </c>
      <c r="BU93" s="1238">
        <v>7</v>
      </c>
      <c r="BV93" s="1238">
        <v>6</v>
      </c>
      <c r="BW93" s="1238"/>
      <c r="BX93" s="1240">
        <f t="shared" ref="BX93:BX102" si="112">SUM(BU93:BW93)</f>
        <v>13</v>
      </c>
      <c r="BY93" s="1238"/>
      <c r="BZ93" s="1238">
        <v>2</v>
      </c>
      <c r="CA93" s="1238">
        <v>22</v>
      </c>
      <c r="CB93" s="1240">
        <f t="shared" ref="CB93:CB102" si="113">SUM(BY93:CA93)</f>
        <v>24</v>
      </c>
    </row>
    <row r="94" spans="1:80" ht="12.75" customHeight="1" x14ac:dyDescent="0.2">
      <c r="A94" s="6426"/>
      <c r="B94" s="6428"/>
      <c r="C94" s="6432"/>
      <c r="D94" s="1262" t="s">
        <v>390</v>
      </c>
      <c r="E94" s="1237"/>
      <c r="F94" s="1238"/>
      <c r="G94" s="1238"/>
      <c r="H94" s="1239"/>
      <c r="I94" s="1237">
        <v>2</v>
      </c>
      <c r="J94" s="1238"/>
      <c r="K94" s="1238"/>
      <c r="L94" s="1258">
        <f t="shared" si="107"/>
        <v>2</v>
      </c>
      <c r="M94" s="1237"/>
      <c r="N94" s="1238"/>
      <c r="O94" s="1238"/>
      <c r="P94" s="1258"/>
      <c r="Q94" s="1237"/>
      <c r="R94" s="1238">
        <v>3</v>
      </c>
      <c r="S94" s="1238"/>
      <c r="T94" s="1258">
        <f t="shared" si="106"/>
        <v>3</v>
      </c>
      <c r="U94" s="1237">
        <v>1</v>
      </c>
      <c r="V94" s="1238"/>
      <c r="W94" s="1238">
        <v>3</v>
      </c>
      <c r="X94" s="1239">
        <f t="shared" ref="X94:X99" si="114">SUM(U94:W94)</f>
        <v>4</v>
      </c>
      <c r="Y94" s="1237">
        <v>1</v>
      </c>
      <c r="Z94" s="1238">
        <v>4</v>
      </c>
      <c r="AA94" s="1238"/>
      <c r="AB94" s="1239">
        <f>SUM(Y94:AA94)</f>
        <v>5</v>
      </c>
      <c r="AC94" s="1237">
        <v>3</v>
      </c>
      <c r="AD94" s="1238">
        <v>1</v>
      </c>
      <c r="AE94" s="1238">
        <v>5</v>
      </c>
      <c r="AF94" s="1240">
        <f t="shared" si="88"/>
        <v>9</v>
      </c>
      <c r="AG94" s="1238">
        <v>1</v>
      </c>
      <c r="AH94" s="1238">
        <v>4</v>
      </c>
      <c r="AI94" s="1238">
        <v>3</v>
      </c>
      <c r="AJ94" s="1240">
        <f t="shared" si="89"/>
        <v>8</v>
      </c>
      <c r="AK94" s="1238"/>
      <c r="AL94" s="1238">
        <v>1</v>
      </c>
      <c r="AM94" s="1238"/>
      <c r="AN94" s="1240">
        <f t="shared" si="90"/>
        <v>1</v>
      </c>
      <c r="AO94" s="1238">
        <v>1</v>
      </c>
      <c r="AP94" s="1238"/>
      <c r="AQ94" s="1238">
        <v>2</v>
      </c>
      <c r="AR94" s="1240">
        <f t="shared" si="91"/>
        <v>3</v>
      </c>
      <c r="AS94" s="1238">
        <v>3</v>
      </c>
      <c r="AT94" s="1238">
        <v>1</v>
      </c>
      <c r="AU94" s="1238">
        <v>2</v>
      </c>
      <c r="AV94" s="1240">
        <f t="shared" si="92"/>
        <v>6</v>
      </c>
      <c r="AW94" s="1238">
        <v>3</v>
      </c>
      <c r="AX94" s="1238">
        <v>3</v>
      </c>
      <c r="AY94" s="1238">
        <v>6</v>
      </c>
      <c r="AZ94" s="1240">
        <f t="shared" si="93"/>
        <v>12</v>
      </c>
      <c r="BA94" s="1238">
        <v>2</v>
      </c>
      <c r="BB94" s="1238">
        <v>4</v>
      </c>
      <c r="BC94" s="1238">
        <v>3</v>
      </c>
      <c r="BD94" s="1240">
        <f t="shared" si="94"/>
        <v>9</v>
      </c>
      <c r="BE94" s="1238">
        <v>4</v>
      </c>
      <c r="BF94" s="1238">
        <v>5</v>
      </c>
      <c r="BG94" s="1238">
        <v>5</v>
      </c>
      <c r="BH94" s="1240">
        <f t="shared" si="108"/>
        <v>14</v>
      </c>
      <c r="BI94" s="1238">
        <v>11</v>
      </c>
      <c r="BJ94" s="1238">
        <v>5</v>
      </c>
      <c r="BK94" s="1238"/>
      <c r="BL94" s="1240">
        <f t="shared" si="109"/>
        <v>16</v>
      </c>
      <c r="BM94" s="1238">
        <v>1</v>
      </c>
      <c r="BN94" s="1238">
        <v>2</v>
      </c>
      <c r="BO94" s="1238">
        <v>2</v>
      </c>
      <c r="BP94" s="1240">
        <f t="shared" si="110"/>
        <v>5</v>
      </c>
      <c r="BQ94" s="1238">
        <v>2</v>
      </c>
      <c r="BR94" s="1238">
        <v>3</v>
      </c>
      <c r="BS94" s="1238">
        <v>3</v>
      </c>
      <c r="BT94" s="1240">
        <f t="shared" si="111"/>
        <v>8</v>
      </c>
      <c r="BU94" s="1238">
        <v>2</v>
      </c>
      <c r="BV94" s="1238">
        <v>8</v>
      </c>
      <c r="BW94" s="1238">
        <v>6</v>
      </c>
      <c r="BX94" s="1240">
        <f t="shared" si="112"/>
        <v>16</v>
      </c>
      <c r="BY94" s="1238">
        <v>3</v>
      </c>
      <c r="BZ94" s="1238">
        <v>1</v>
      </c>
      <c r="CA94" s="1238">
        <v>1</v>
      </c>
      <c r="CB94" s="1240">
        <f t="shared" si="113"/>
        <v>5</v>
      </c>
    </row>
    <row r="95" spans="1:80" ht="12.75" customHeight="1" x14ac:dyDescent="0.2">
      <c r="A95" s="6426"/>
      <c r="B95" s="6428"/>
      <c r="C95" s="6432"/>
      <c r="D95" s="1262" t="s">
        <v>1484</v>
      </c>
      <c r="E95" s="1237">
        <v>2</v>
      </c>
      <c r="F95" s="1238">
        <v>4</v>
      </c>
      <c r="G95" s="1238"/>
      <c r="H95" s="1239">
        <f>SUM(E95:G95)</f>
        <v>6</v>
      </c>
      <c r="I95" s="1237">
        <v>2</v>
      </c>
      <c r="J95" s="1238"/>
      <c r="K95" s="1238">
        <v>3</v>
      </c>
      <c r="L95" s="1258">
        <f t="shared" si="107"/>
        <v>5</v>
      </c>
      <c r="M95" s="1237"/>
      <c r="N95" s="1238">
        <v>3</v>
      </c>
      <c r="O95" s="1238">
        <v>1</v>
      </c>
      <c r="P95" s="1258">
        <f t="shared" si="105"/>
        <v>4</v>
      </c>
      <c r="Q95" s="1237">
        <v>3</v>
      </c>
      <c r="R95" s="1238">
        <v>2</v>
      </c>
      <c r="S95" s="1238">
        <v>3</v>
      </c>
      <c r="T95" s="1258">
        <f t="shared" si="106"/>
        <v>8</v>
      </c>
      <c r="U95" s="1237">
        <v>5</v>
      </c>
      <c r="V95" s="1238">
        <v>1</v>
      </c>
      <c r="W95" s="1238"/>
      <c r="X95" s="1239">
        <f t="shared" si="114"/>
        <v>6</v>
      </c>
      <c r="Y95" s="1237">
        <v>1</v>
      </c>
      <c r="Z95" s="1238">
        <v>2</v>
      </c>
      <c r="AA95" s="1238">
        <v>3</v>
      </c>
      <c r="AB95" s="1239">
        <f>SUM(Y95:AA95)</f>
        <v>6</v>
      </c>
      <c r="AC95" s="1237">
        <v>5</v>
      </c>
      <c r="AD95" s="1238">
        <v>3</v>
      </c>
      <c r="AE95" s="1238"/>
      <c r="AF95" s="1240">
        <f t="shared" si="88"/>
        <v>8</v>
      </c>
      <c r="AG95" s="1238"/>
      <c r="AH95" s="1238"/>
      <c r="AI95" s="1238">
        <v>4</v>
      </c>
      <c r="AJ95" s="1240">
        <f t="shared" si="89"/>
        <v>4</v>
      </c>
      <c r="AK95" s="1238">
        <v>3</v>
      </c>
      <c r="AL95" s="1238">
        <v>1</v>
      </c>
      <c r="AM95" s="1238">
        <v>1</v>
      </c>
      <c r="AN95" s="1240">
        <f t="shared" si="90"/>
        <v>5</v>
      </c>
      <c r="AO95" s="1238"/>
      <c r="AP95" s="1238"/>
      <c r="AQ95" s="1238">
        <v>5</v>
      </c>
      <c r="AR95" s="1240">
        <f t="shared" si="91"/>
        <v>5</v>
      </c>
      <c r="AS95" s="1238">
        <v>3</v>
      </c>
      <c r="AT95" s="1238">
        <v>2</v>
      </c>
      <c r="AU95" s="1238">
        <v>1</v>
      </c>
      <c r="AV95" s="1240">
        <f t="shared" si="92"/>
        <v>6</v>
      </c>
      <c r="AW95" s="1238"/>
      <c r="AX95" s="1238"/>
      <c r="AY95" s="1238">
        <v>12</v>
      </c>
      <c r="AZ95" s="1240">
        <f t="shared" si="93"/>
        <v>12</v>
      </c>
      <c r="BA95" s="1238">
        <v>1</v>
      </c>
      <c r="BB95" s="1238">
        <v>8</v>
      </c>
      <c r="BC95" s="1238">
        <v>1</v>
      </c>
      <c r="BD95" s="1240">
        <f t="shared" si="94"/>
        <v>10</v>
      </c>
      <c r="BE95" s="1238"/>
      <c r="BF95" s="1238">
        <v>1</v>
      </c>
      <c r="BG95" s="1238">
        <v>8</v>
      </c>
      <c r="BH95" s="1240">
        <f t="shared" si="108"/>
        <v>9</v>
      </c>
      <c r="BI95" s="1238">
        <v>5</v>
      </c>
      <c r="BJ95" s="1238">
        <v>1</v>
      </c>
      <c r="BK95" s="1238"/>
      <c r="BL95" s="1240">
        <f t="shared" si="109"/>
        <v>6</v>
      </c>
      <c r="BM95" s="1238">
        <v>2</v>
      </c>
      <c r="BN95" s="1238">
        <v>1</v>
      </c>
      <c r="BO95" s="1238">
        <v>5</v>
      </c>
      <c r="BP95" s="1240">
        <f t="shared" si="110"/>
        <v>8</v>
      </c>
      <c r="BQ95" s="1238">
        <v>10</v>
      </c>
      <c r="BR95" s="1238"/>
      <c r="BS95" s="1238"/>
      <c r="BT95" s="1240">
        <f t="shared" si="111"/>
        <v>10</v>
      </c>
      <c r="BU95" s="1238"/>
      <c r="BV95" s="1238">
        <v>4</v>
      </c>
      <c r="BW95" s="1238">
        <v>6</v>
      </c>
      <c r="BX95" s="1240">
        <f t="shared" si="112"/>
        <v>10</v>
      </c>
      <c r="BY95" s="1238">
        <v>4</v>
      </c>
      <c r="BZ95" s="1238">
        <v>1</v>
      </c>
      <c r="CA95" s="1238"/>
      <c r="CB95" s="1240">
        <f t="shared" si="113"/>
        <v>5</v>
      </c>
    </row>
    <row r="96" spans="1:80" ht="12.75" customHeight="1" x14ac:dyDescent="0.2">
      <c r="A96" s="6426"/>
      <c r="B96" s="6428"/>
      <c r="C96" s="6432"/>
      <c r="D96" s="1262" t="s">
        <v>19</v>
      </c>
      <c r="E96" s="1237"/>
      <c r="F96" s="1238">
        <v>1</v>
      </c>
      <c r="G96" s="1238">
        <v>1</v>
      </c>
      <c r="H96" s="1239">
        <f>SUM(E96:G96)</f>
        <v>2</v>
      </c>
      <c r="I96" s="1237">
        <v>1</v>
      </c>
      <c r="J96" s="1238">
        <v>1</v>
      </c>
      <c r="K96" s="1238"/>
      <c r="L96" s="1258">
        <f t="shared" si="107"/>
        <v>2</v>
      </c>
      <c r="M96" s="1237"/>
      <c r="N96" s="1238">
        <v>1</v>
      </c>
      <c r="O96" s="1238"/>
      <c r="P96" s="1258">
        <f t="shared" si="105"/>
        <v>1</v>
      </c>
      <c r="Q96" s="1237">
        <v>3</v>
      </c>
      <c r="R96" s="1238"/>
      <c r="S96" s="1238">
        <v>1</v>
      </c>
      <c r="T96" s="1258">
        <f t="shared" si="106"/>
        <v>4</v>
      </c>
      <c r="U96" s="1237">
        <v>1</v>
      </c>
      <c r="V96" s="1238">
        <v>2</v>
      </c>
      <c r="W96" s="1238"/>
      <c r="X96" s="1239">
        <f t="shared" si="114"/>
        <v>3</v>
      </c>
      <c r="Y96" s="1237"/>
      <c r="Z96" s="1238"/>
      <c r="AA96" s="1238"/>
      <c r="AB96" s="1239"/>
      <c r="AC96" s="1237">
        <v>5</v>
      </c>
      <c r="AD96" s="1238"/>
      <c r="AE96" s="1238">
        <v>3</v>
      </c>
      <c r="AF96" s="1240">
        <f t="shared" si="88"/>
        <v>8</v>
      </c>
      <c r="AG96" s="1238">
        <v>2</v>
      </c>
      <c r="AH96" s="1238">
        <v>2</v>
      </c>
      <c r="AI96" s="1238">
        <v>2</v>
      </c>
      <c r="AJ96" s="1240">
        <f t="shared" si="89"/>
        <v>6</v>
      </c>
      <c r="AK96" s="1238">
        <v>5</v>
      </c>
      <c r="AL96" s="1238">
        <v>2</v>
      </c>
      <c r="AM96" s="1238">
        <v>3</v>
      </c>
      <c r="AN96" s="1240">
        <f t="shared" si="90"/>
        <v>10</v>
      </c>
      <c r="AO96" s="1238">
        <v>2</v>
      </c>
      <c r="AP96" s="1238">
        <v>1</v>
      </c>
      <c r="AQ96" s="1238">
        <v>2</v>
      </c>
      <c r="AR96" s="1240">
        <f t="shared" si="91"/>
        <v>5</v>
      </c>
      <c r="AS96" s="1238">
        <v>3</v>
      </c>
      <c r="AT96" s="1238">
        <v>1</v>
      </c>
      <c r="AU96" s="1238">
        <v>4</v>
      </c>
      <c r="AV96" s="1240">
        <f t="shared" si="92"/>
        <v>8</v>
      </c>
      <c r="AW96" s="1238">
        <v>9</v>
      </c>
      <c r="AX96" s="1238">
        <v>4</v>
      </c>
      <c r="AY96" s="1238">
        <v>5</v>
      </c>
      <c r="AZ96" s="1240">
        <f t="shared" si="93"/>
        <v>18</v>
      </c>
      <c r="BA96" s="1238">
        <v>4</v>
      </c>
      <c r="BB96" s="1238">
        <v>4</v>
      </c>
      <c r="BC96" s="1238"/>
      <c r="BD96" s="1240">
        <f t="shared" si="94"/>
        <v>8</v>
      </c>
      <c r="BE96" s="1238">
        <v>3</v>
      </c>
      <c r="BF96" s="1238">
        <v>3</v>
      </c>
      <c r="BG96" s="1238">
        <v>4</v>
      </c>
      <c r="BH96" s="1240">
        <f t="shared" si="108"/>
        <v>10</v>
      </c>
      <c r="BI96" s="1238">
        <v>7</v>
      </c>
      <c r="BJ96" s="1238">
        <v>2</v>
      </c>
      <c r="BK96" s="1238">
        <v>2</v>
      </c>
      <c r="BL96" s="1240">
        <f t="shared" si="109"/>
        <v>11</v>
      </c>
      <c r="BM96" s="1238">
        <v>1</v>
      </c>
      <c r="BN96" s="1238">
        <v>6</v>
      </c>
      <c r="BO96" s="1238">
        <v>5</v>
      </c>
      <c r="BP96" s="1240">
        <f t="shared" si="110"/>
        <v>12</v>
      </c>
      <c r="BQ96" s="1238">
        <v>3</v>
      </c>
      <c r="BR96" s="1238">
        <v>4</v>
      </c>
      <c r="BS96" s="1238">
        <v>1</v>
      </c>
      <c r="BT96" s="1240">
        <f t="shared" si="111"/>
        <v>8</v>
      </c>
      <c r="BU96" s="1238">
        <v>2</v>
      </c>
      <c r="BV96" s="1238">
        <v>3</v>
      </c>
      <c r="BW96" s="1238">
        <v>2</v>
      </c>
      <c r="BX96" s="1240">
        <f t="shared" si="112"/>
        <v>7</v>
      </c>
      <c r="BY96" s="1238">
        <v>2</v>
      </c>
      <c r="BZ96" s="1238">
        <v>3</v>
      </c>
      <c r="CA96" s="1238">
        <v>3</v>
      </c>
      <c r="CB96" s="1240">
        <f t="shared" si="113"/>
        <v>8</v>
      </c>
    </row>
    <row r="97" spans="1:80" ht="12.75" customHeight="1" x14ac:dyDescent="0.2">
      <c r="A97" s="6426"/>
      <c r="B97" s="6428"/>
      <c r="C97" s="6432"/>
      <c r="D97" s="1262" t="s">
        <v>88</v>
      </c>
      <c r="E97" s="1237"/>
      <c r="F97" s="1238">
        <v>6</v>
      </c>
      <c r="G97" s="1238">
        <v>2</v>
      </c>
      <c r="H97" s="1239">
        <f>SUM(E97:G97)</f>
        <v>8</v>
      </c>
      <c r="I97" s="1237"/>
      <c r="J97" s="1238">
        <v>1</v>
      </c>
      <c r="K97" s="1238">
        <v>1</v>
      </c>
      <c r="L97" s="1258">
        <f t="shared" si="107"/>
        <v>2</v>
      </c>
      <c r="M97" s="1237"/>
      <c r="N97" s="1238"/>
      <c r="O97" s="1238">
        <v>2</v>
      </c>
      <c r="P97" s="1258">
        <f t="shared" si="105"/>
        <v>2</v>
      </c>
      <c r="Q97" s="1237">
        <v>1</v>
      </c>
      <c r="R97" s="1238">
        <v>2</v>
      </c>
      <c r="S97" s="1238">
        <v>1</v>
      </c>
      <c r="T97" s="1258">
        <f t="shared" si="106"/>
        <v>4</v>
      </c>
      <c r="U97" s="1237"/>
      <c r="V97" s="1238">
        <v>1</v>
      </c>
      <c r="W97" s="1238">
        <v>1</v>
      </c>
      <c r="X97" s="1239">
        <f t="shared" si="114"/>
        <v>2</v>
      </c>
      <c r="Y97" s="1237">
        <v>4</v>
      </c>
      <c r="Z97" s="1238">
        <v>1</v>
      </c>
      <c r="AA97" s="1238"/>
      <c r="AB97" s="1239">
        <f>SUM(Y97:AA97)</f>
        <v>5</v>
      </c>
      <c r="AC97" s="1237">
        <v>1</v>
      </c>
      <c r="AD97" s="1238">
        <v>2</v>
      </c>
      <c r="AE97" s="1238">
        <v>1</v>
      </c>
      <c r="AF97" s="1240">
        <f t="shared" si="88"/>
        <v>4</v>
      </c>
      <c r="AG97" s="1238"/>
      <c r="AH97" s="1238">
        <v>2</v>
      </c>
      <c r="AI97" s="1238">
        <v>2</v>
      </c>
      <c r="AJ97" s="1240">
        <f t="shared" si="89"/>
        <v>4</v>
      </c>
      <c r="AK97" s="1238">
        <v>1</v>
      </c>
      <c r="AL97" s="1238">
        <v>5</v>
      </c>
      <c r="AM97" s="1238">
        <v>1</v>
      </c>
      <c r="AN97" s="1240">
        <f t="shared" si="90"/>
        <v>7</v>
      </c>
      <c r="AO97" s="1238"/>
      <c r="AP97" s="1238">
        <v>4</v>
      </c>
      <c r="AQ97" s="1238">
        <v>8</v>
      </c>
      <c r="AR97" s="1240">
        <f t="shared" si="91"/>
        <v>12</v>
      </c>
      <c r="AS97" s="1238">
        <v>2</v>
      </c>
      <c r="AT97" s="1238">
        <v>3</v>
      </c>
      <c r="AU97" s="1238">
        <v>1</v>
      </c>
      <c r="AV97" s="1240">
        <f t="shared" si="92"/>
        <v>6</v>
      </c>
      <c r="AW97" s="1238">
        <v>1</v>
      </c>
      <c r="AX97" s="1238">
        <v>5</v>
      </c>
      <c r="AY97" s="1238">
        <v>8</v>
      </c>
      <c r="AZ97" s="1240">
        <f t="shared" si="93"/>
        <v>14</v>
      </c>
      <c r="BA97" s="1238">
        <v>8</v>
      </c>
      <c r="BB97" s="1238">
        <v>2</v>
      </c>
      <c r="BC97" s="1238">
        <v>1</v>
      </c>
      <c r="BD97" s="1240">
        <f t="shared" si="94"/>
        <v>11</v>
      </c>
      <c r="BE97" s="1238">
        <v>1</v>
      </c>
      <c r="BF97" s="1238">
        <v>2</v>
      </c>
      <c r="BG97" s="1238">
        <v>5</v>
      </c>
      <c r="BH97" s="1240">
        <f t="shared" si="108"/>
        <v>8</v>
      </c>
      <c r="BI97" s="1238">
        <v>7</v>
      </c>
      <c r="BJ97" s="1238"/>
      <c r="BK97" s="1238">
        <v>1</v>
      </c>
      <c r="BL97" s="1240">
        <f t="shared" si="109"/>
        <v>8</v>
      </c>
      <c r="BM97" s="1238">
        <v>1</v>
      </c>
      <c r="BN97" s="1238"/>
      <c r="BO97" s="1238"/>
      <c r="BP97" s="1240">
        <f t="shared" si="110"/>
        <v>1</v>
      </c>
      <c r="BQ97" s="1238">
        <v>2</v>
      </c>
      <c r="BR97" s="1238">
        <v>3</v>
      </c>
      <c r="BS97" s="1238">
        <v>1</v>
      </c>
      <c r="BT97" s="1240">
        <f t="shared" si="111"/>
        <v>6</v>
      </c>
      <c r="BU97" s="1238"/>
      <c r="BV97" s="1238">
        <v>1</v>
      </c>
      <c r="BW97" s="1238">
        <v>2</v>
      </c>
      <c r="BX97" s="1240">
        <f t="shared" si="112"/>
        <v>3</v>
      </c>
      <c r="BY97" s="1238">
        <v>7</v>
      </c>
      <c r="BZ97" s="1238">
        <v>2</v>
      </c>
      <c r="CA97" s="1238">
        <v>1</v>
      </c>
      <c r="CB97" s="1240">
        <f t="shared" si="113"/>
        <v>10</v>
      </c>
    </row>
    <row r="98" spans="1:80" ht="12.75" customHeight="1" x14ac:dyDescent="0.2">
      <c r="A98" s="6426"/>
      <c r="B98" s="6428"/>
      <c r="C98" s="6432"/>
      <c r="D98" s="1262" t="s">
        <v>391</v>
      </c>
      <c r="E98" s="1237"/>
      <c r="F98" s="1238"/>
      <c r="G98" s="1238"/>
      <c r="H98" s="1239"/>
      <c r="I98" s="1237">
        <v>1</v>
      </c>
      <c r="J98" s="1238"/>
      <c r="K98" s="1238"/>
      <c r="L98" s="1258">
        <f t="shared" si="107"/>
        <v>1</v>
      </c>
      <c r="M98" s="1237">
        <v>1</v>
      </c>
      <c r="N98" s="1238"/>
      <c r="O98" s="1238"/>
      <c r="P98" s="1258">
        <f t="shared" si="105"/>
        <v>1</v>
      </c>
      <c r="Q98" s="1237"/>
      <c r="R98" s="1238">
        <v>1</v>
      </c>
      <c r="S98" s="1238"/>
      <c r="T98" s="1258">
        <f t="shared" si="106"/>
        <v>1</v>
      </c>
      <c r="U98" s="1237">
        <v>1</v>
      </c>
      <c r="V98" s="1238">
        <v>2</v>
      </c>
      <c r="W98" s="1238"/>
      <c r="X98" s="1239">
        <f t="shared" si="114"/>
        <v>3</v>
      </c>
      <c r="Y98" s="1237"/>
      <c r="Z98" s="1238"/>
      <c r="AA98" s="1238">
        <v>1</v>
      </c>
      <c r="AB98" s="1239">
        <f>SUM(Y98:AA98)</f>
        <v>1</v>
      </c>
      <c r="AC98" s="1237">
        <v>1</v>
      </c>
      <c r="AD98" s="1238"/>
      <c r="AE98" s="1238">
        <v>2</v>
      </c>
      <c r="AF98" s="1240">
        <f t="shared" si="88"/>
        <v>3</v>
      </c>
      <c r="AG98" s="1238"/>
      <c r="AH98" s="1238">
        <v>1</v>
      </c>
      <c r="AI98" s="1238">
        <v>2</v>
      </c>
      <c r="AJ98" s="1240">
        <f t="shared" si="89"/>
        <v>3</v>
      </c>
      <c r="AK98" s="1238">
        <v>5</v>
      </c>
      <c r="AL98" s="1238">
        <v>4</v>
      </c>
      <c r="AM98" s="1238">
        <v>2</v>
      </c>
      <c r="AN98" s="1240">
        <f t="shared" si="90"/>
        <v>11</v>
      </c>
      <c r="AO98" s="1238">
        <v>5</v>
      </c>
      <c r="AP98" s="1238">
        <v>3</v>
      </c>
      <c r="AQ98" s="1238">
        <v>3</v>
      </c>
      <c r="AR98" s="1240">
        <f t="shared" si="91"/>
        <v>11</v>
      </c>
      <c r="AS98" s="1238">
        <v>2</v>
      </c>
      <c r="AT98" s="1238"/>
      <c r="AU98" s="1238"/>
      <c r="AV98" s="1240">
        <f t="shared" si="92"/>
        <v>2</v>
      </c>
      <c r="AW98" s="1238">
        <v>3</v>
      </c>
      <c r="AX98" s="1238">
        <v>1</v>
      </c>
      <c r="AY98" s="1238">
        <v>7</v>
      </c>
      <c r="AZ98" s="1240">
        <f t="shared" si="93"/>
        <v>11</v>
      </c>
      <c r="BA98" s="1238">
        <v>6</v>
      </c>
      <c r="BB98" s="1238">
        <v>3</v>
      </c>
      <c r="BC98" s="1238"/>
      <c r="BD98" s="1240">
        <f t="shared" si="94"/>
        <v>9</v>
      </c>
      <c r="BE98" s="1238"/>
      <c r="BF98" s="1238">
        <v>2</v>
      </c>
      <c r="BG98" s="1238">
        <v>5</v>
      </c>
      <c r="BH98" s="1240">
        <f t="shared" si="108"/>
        <v>7</v>
      </c>
      <c r="BI98" s="1238">
        <v>6</v>
      </c>
      <c r="BJ98" s="1238">
        <v>1</v>
      </c>
      <c r="BK98" s="1238"/>
      <c r="BL98" s="1240">
        <f t="shared" si="109"/>
        <v>7</v>
      </c>
      <c r="BM98" s="1238"/>
      <c r="BN98" s="1238">
        <v>1</v>
      </c>
      <c r="BO98" s="1238">
        <v>3</v>
      </c>
      <c r="BP98" s="1240">
        <f t="shared" si="110"/>
        <v>4</v>
      </c>
      <c r="BQ98" s="1238">
        <v>6</v>
      </c>
      <c r="BR98" s="1238"/>
      <c r="BS98" s="1238"/>
      <c r="BT98" s="1240">
        <f t="shared" si="111"/>
        <v>6</v>
      </c>
      <c r="BU98" s="1238">
        <v>1</v>
      </c>
      <c r="BV98" s="1238"/>
      <c r="BW98" s="1238">
        <v>5</v>
      </c>
      <c r="BX98" s="1240">
        <f t="shared" si="112"/>
        <v>6</v>
      </c>
      <c r="BY98" s="1238">
        <v>8</v>
      </c>
      <c r="BZ98" s="1238"/>
      <c r="CA98" s="1238"/>
      <c r="CB98" s="1240">
        <f t="shared" si="113"/>
        <v>8</v>
      </c>
    </row>
    <row r="99" spans="1:80" ht="12.75" customHeight="1" x14ac:dyDescent="0.2">
      <c r="A99" s="6426"/>
      <c r="B99" s="6428"/>
      <c r="C99" s="6432"/>
      <c r="D99" s="1261" t="s">
        <v>139</v>
      </c>
      <c r="E99" s="1237"/>
      <c r="F99" s="1238"/>
      <c r="G99" s="1238"/>
      <c r="H99" s="1239"/>
      <c r="I99" s="1237"/>
      <c r="J99" s="1238"/>
      <c r="K99" s="1238"/>
      <c r="L99" s="1258"/>
      <c r="M99" s="1237"/>
      <c r="N99" s="1238"/>
      <c r="O99" s="1238"/>
      <c r="P99" s="1258"/>
      <c r="Q99" s="1237"/>
      <c r="R99" s="1238"/>
      <c r="S99" s="1238"/>
      <c r="T99" s="1258"/>
      <c r="U99" s="1237"/>
      <c r="V99" s="1238"/>
      <c r="W99" s="1238">
        <v>7</v>
      </c>
      <c r="X99" s="1239">
        <f t="shared" si="114"/>
        <v>7</v>
      </c>
      <c r="Y99" s="1237"/>
      <c r="Z99" s="1238"/>
      <c r="AA99" s="1238"/>
      <c r="AB99" s="1239"/>
      <c r="AC99" s="1237"/>
      <c r="AD99" s="1238"/>
      <c r="AE99" s="1238">
        <v>2</v>
      </c>
      <c r="AF99" s="1240">
        <f t="shared" si="88"/>
        <v>2</v>
      </c>
      <c r="AG99" s="1238"/>
      <c r="AH99" s="1238"/>
      <c r="AI99" s="1238"/>
      <c r="AJ99" s="1240"/>
      <c r="AK99" s="1238"/>
      <c r="AL99" s="1238"/>
      <c r="AM99" s="1238">
        <v>1</v>
      </c>
      <c r="AN99" s="1240">
        <f t="shared" si="90"/>
        <v>1</v>
      </c>
      <c r="AO99" s="1238"/>
      <c r="AP99" s="1238"/>
      <c r="AQ99" s="1238"/>
      <c r="AR99" s="1240">
        <f t="shared" si="91"/>
        <v>0</v>
      </c>
      <c r="AS99" s="1238">
        <v>1</v>
      </c>
      <c r="AT99" s="1238"/>
      <c r="AU99" s="1238"/>
      <c r="AV99" s="1240">
        <f t="shared" si="92"/>
        <v>1</v>
      </c>
      <c r="AW99" s="1238"/>
      <c r="AX99" s="1238"/>
      <c r="AY99" s="1238"/>
      <c r="AZ99" s="1240">
        <f t="shared" si="93"/>
        <v>0</v>
      </c>
      <c r="BA99" s="1238"/>
      <c r="BB99" s="1238"/>
      <c r="BC99" s="1238"/>
      <c r="BD99" s="1240">
        <f t="shared" si="94"/>
        <v>0</v>
      </c>
      <c r="BE99" s="1238"/>
      <c r="BF99" s="1238"/>
      <c r="BG99" s="1238"/>
      <c r="BH99" s="1240">
        <f t="shared" si="108"/>
        <v>0</v>
      </c>
      <c r="BI99" s="1238"/>
      <c r="BJ99" s="1238"/>
      <c r="BK99" s="1238"/>
      <c r="BL99" s="1240">
        <f t="shared" si="109"/>
        <v>0</v>
      </c>
      <c r="BM99" s="1238"/>
      <c r="BN99" s="1238"/>
      <c r="BO99" s="1238"/>
      <c r="BP99" s="1240">
        <f t="shared" si="110"/>
        <v>0</v>
      </c>
      <c r="BQ99" s="1238"/>
      <c r="BR99" s="1238"/>
      <c r="BS99" s="1238"/>
      <c r="BT99" s="1240">
        <f t="shared" si="111"/>
        <v>0</v>
      </c>
      <c r="BU99" s="1238"/>
      <c r="BV99" s="1238"/>
      <c r="BW99" s="1238"/>
      <c r="BX99" s="1240">
        <f t="shared" si="112"/>
        <v>0</v>
      </c>
      <c r="BY99" s="1238"/>
      <c r="BZ99" s="1238"/>
      <c r="CA99" s="1238"/>
      <c r="CB99" s="1240">
        <f t="shared" si="113"/>
        <v>0</v>
      </c>
    </row>
    <row r="100" spans="1:80" ht="14.25" customHeight="1" x14ac:dyDescent="0.2">
      <c r="A100" s="6426"/>
      <c r="B100" s="6428"/>
      <c r="C100" s="6432"/>
      <c r="D100" s="1261" t="s">
        <v>553</v>
      </c>
      <c r="E100" s="1237"/>
      <c r="F100" s="1238"/>
      <c r="G100" s="1238">
        <v>1</v>
      </c>
      <c r="H100" s="1239">
        <f>SUM(G100)</f>
        <v>1</v>
      </c>
      <c r="I100" s="1237"/>
      <c r="J100" s="1238"/>
      <c r="K100" s="1238"/>
      <c r="L100" s="1258"/>
      <c r="M100" s="1237"/>
      <c r="N100" s="1238"/>
      <c r="O100" s="1238"/>
      <c r="P100" s="1258"/>
      <c r="Q100" s="1237"/>
      <c r="R100" s="1238">
        <v>10</v>
      </c>
      <c r="S100" s="1238"/>
      <c r="T100" s="1258">
        <f t="shared" si="106"/>
        <v>10</v>
      </c>
      <c r="U100" s="1237"/>
      <c r="V100" s="1238"/>
      <c r="W100" s="1238"/>
      <c r="X100" s="1239"/>
      <c r="Y100" s="1237"/>
      <c r="Z100" s="1238"/>
      <c r="AA100" s="1238"/>
      <c r="AB100" s="1239"/>
      <c r="AC100" s="1237"/>
      <c r="AD100" s="1238"/>
      <c r="AE100" s="1238"/>
      <c r="AF100" s="1240"/>
      <c r="AG100" s="1238"/>
      <c r="AH100" s="1238"/>
      <c r="AI100" s="1238"/>
      <c r="AJ100" s="1240"/>
      <c r="AK100" s="1238">
        <v>9</v>
      </c>
      <c r="AL100" s="1238"/>
      <c r="AM100" s="1238"/>
      <c r="AN100" s="1240">
        <f t="shared" si="90"/>
        <v>9</v>
      </c>
      <c r="AO100" s="1238"/>
      <c r="AP100" s="1238"/>
      <c r="AQ100" s="1238">
        <v>1</v>
      </c>
      <c r="AR100" s="1240">
        <f t="shared" si="91"/>
        <v>1</v>
      </c>
      <c r="AS100" s="1238"/>
      <c r="AT100" s="1238"/>
      <c r="AU100" s="1238"/>
      <c r="AV100" s="1240">
        <f t="shared" si="92"/>
        <v>0</v>
      </c>
      <c r="AW100" s="1238"/>
      <c r="AX100" s="1238"/>
      <c r="AY100" s="1238"/>
      <c r="AZ100" s="1240">
        <f t="shared" si="93"/>
        <v>0</v>
      </c>
      <c r="BA100" s="1238"/>
      <c r="BB100" s="1238"/>
      <c r="BC100" s="1238">
        <v>1</v>
      </c>
      <c r="BD100" s="1240">
        <f t="shared" si="94"/>
        <v>1</v>
      </c>
      <c r="BE100" s="1238">
        <v>1</v>
      </c>
      <c r="BF100" s="1238">
        <v>1</v>
      </c>
      <c r="BG100" s="1238"/>
      <c r="BH100" s="1240">
        <f t="shared" si="108"/>
        <v>2</v>
      </c>
      <c r="BI100" s="1238"/>
      <c r="BJ100" s="1238"/>
      <c r="BK100" s="1238"/>
      <c r="BL100" s="1240">
        <f t="shared" si="109"/>
        <v>0</v>
      </c>
      <c r="BM100" s="1238"/>
      <c r="BN100" s="1238"/>
      <c r="BO100" s="1238"/>
      <c r="BP100" s="1240">
        <f t="shared" si="110"/>
        <v>0</v>
      </c>
      <c r="BQ100" s="1238"/>
      <c r="BR100" s="1238"/>
      <c r="BS100" s="1238"/>
      <c r="BT100" s="1240">
        <f t="shared" si="111"/>
        <v>0</v>
      </c>
      <c r="BU100" s="1238"/>
      <c r="BV100" s="1238"/>
      <c r="BW100" s="1238"/>
      <c r="BX100" s="1240">
        <f t="shared" si="112"/>
        <v>0</v>
      </c>
      <c r="BY100" s="1238"/>
      <c r="BZ100" s="1238"/>
      <c r="CA100" s="1238"/>
      <c r="CB100" s="1240">
        <f t="shared" si="113"/>
        <v>0</v>
      </c>
    </row>
    <row r="101" spans="1:80" ht="14.25" customHeight="1" x14ac:dyDescent="0.2">
      <c r="A101" s="6426"/>
      <c r="B101" s="6428"/>
      <c r="C101" s="6432"/>
      <c r="D101" s="1261" t="s">
        <v>416</v>
      </c>
      <c r="E101" s="1237"/>
      <c r="F101" s="1238"/>
      <c r="G101" s="1238"/>
      <c r="H101" s="1239"/>
      <c r="I101" s="1237"/>
      <c r="J101" s="1238"/>
      <c r="K101" s="1238"/>
      <c r="L101" s="1258"/>
      <c r="M101" s="1237"/>
      <c r="N101" s="1238"/>
      <c r="O101" s="1238"/>
      <c r="P101" s="1258"/>
      <c r="Q101" s="1237"/>
      <c r="R101" s="1238"/>
      <c r="S101" s="1238"/>
      <c r="T101" s="1258"/>
      <c r="U101" s="1237"/>
      <c r="V101" s="1238"/>
      <c r="W101" s="1238"/>
      <c r="X101" s="1239"/>
      <c r="Y101" s="1237"/>
      <c r="Z101" s="1238"/>
      <c r="AA101" s="1238"/>
      <c r="AB101" s="1239"/>
      <c r="AC101" s="1237"/>
      <c r="AD101" s="1238"/>
      <c r="AE101" s="1238"/>
      <c r="AF101" s="1240"/>
      <c r="AG101" s="1238"/>
      <c r="AH101" s="1238"/>
      <c r="AI101" s="1238"/>
      <c r="AJ101" s="1240"/>
      <c r="AK101" s="1238"/>
      <c r="AL101" s="1238"/>
      <c r="AM101" s="1238"/>
      <c r="AN101" s="1240"/>
      <c r="AO101" s="1238"/>
      <c r="AP101" s="1238"/>
      <c r="AQ101" s="1238"/>
      <c r="AR101" s="1240"/>
      <c r="AS101" s="1238"/>
      <c r="AT101" s="1238"/>
      <c r="AU101" s="1238"/>
      <c r="AV101" s="1240"/>
      <c r="AW101" s="1238"/>
      <c r="AX101" s="1238"/>
      <c r="AY101" s="1238"/>
      <c r="AZ101" s="1240"/>
      <c r="BA101" s="1238"/>
      <c r="BB101" s="1238"/>
      <c r="BC101" s="1238"/>
      <c r="BD101" s="1240"/>
      <c r="BE101" s="1238"/>
      <c r="BF101" s="1238"/>
      <c r="BG101" s="1238"/>
      <c r="BH101" s="1240"/>
      <c r="BI101" s="1238"/>
      <c r="BJ101" s="1238"/>
      <c r="BK101" s="1238"/>
      <c r="BL101" s="1240"/>
      <c r="BM101" s="1238">
        <v>2</v>
      </c>
      <c r="BN101" s="1238">
        <v>4</v>
      </c>
      <c r="BO101" s="1238">
        <v>2</v>
      </c>
      <c r="BP101" s="1240">
        <f t="shared" si="110"/>
        <v>8</v>
      </c>
      <c r="BQ101" s="1238"/>
      <c r="BR101" s="1238"/>
      <c r="BS101" s="1238">
        <v>1</v>
      </c>
      <c r="BT101" s="1240">
        <f t="shared" si="111"/>
        <v>1</v>
      </c>
      <c r="BU101" s="1238">
        <v>7</v>
      </c>
      <c r="BV101" s="1238">
        <v>4</v>
      </c>
      <c r="BW101" s="1238">
        <v>1</v>
      </c>
      <c r="BX101" s="1240">
        <f t="shared" si="112"/>
        <v>12</v>
      </c>
      <c r="BY101" s="1238"/>
      <c r="BZ101" s="1238"/>
      <c r="CA101" s="1238"/>
      <c r="CB101" s="1240">
        <f t="shared" si="113"/>
        <v>0</v>
      </c>
    </row>
    <row r="102" spans="1:80" ht="14.25" customHeight="1" x14ac:dyDescent="0.2">
      <c r="A102" s="6426"/>
      <c r="B102" s="6428"/>
      <c r="C102" s="6433"/>
      <c r="D102" s="1261" t="s">
        <v>554</v>
      </c>
      <c r="E102" s="1237"/>
      <c r="F102" s="1238"/>
      <c r="G102" s="1238"/>
      <c r="H102" s="1239"/>
      <c r="I102" s="1237"/>
      <c r="J102" s="1238"/>
      <c r="K102" s="1238"/>
      <c r="L102" s="1258"/>
      <c r="M102" s="1237">
        <v>1</v>
      </c>
      <c r="N102" s="1238"/>
      <c r="O102" s="1238"/>
      <c r="P102" s="1258">
        <f t="shared" si="105"/>
        <v>1</v>
      </c>
      <c r="Q102" s="1237"/>
      <c r="R102" s="1238">
        <v>12</v>
      </c>
      <c r="S102" s="1238"/>
      <c r="T102" s="1258">
        <f t="shared" si="106"/>
        <v>12</v>
      </c>
      <c r="U102" s="1237"/>
      <c r="V102" s="1238"/>
      <c r="W102" s="1238"/>
      <c r="X102" s="1239"/>
      <c r="Y102" s="1237"/>
      <c r="Z102" s="1238"/>
      <c r="AA102" s="1238"/>
      <c r="AB102" s="1239"/>
      <c r="AC102" s="1237"/>
      <c r="AD102" s="1238"/>
      <c r="AE102" s="1238"/>
      <c r="AF102" s="1240"/>
      <c r="AG102" s="1238"/>
      <c r="AH102" s="1238"/>
      <c r="AI102" s="1238"/>
      <c r="AJ102" s="1240"/>
      <c r="AK102" s="1238"/>
      <c r="AL102" s="1238"/>
      <c r="AM102" s="1238"/>
      <c r="AN102" s="1240"/>
      <c r="AO102" s="1238"/>
      <c r="AP102" s="1238"/>
      <c r="AQ102" s="1238"/>
      <c r="AR102" s="1240"/>
      <c r="AS102" s="1238"/>
      <c r="AT102" s="1238"/>
      <c r="AU102" s="1238"/>
      <c r="AV102" s="1240"/>
      <c r="AW102" s="1238"/>
      <c r="AX102" s="1238"/>
      <c r="AY102" s="1238"/>
      <c r="AZ102" s="1240"/>
      <c r="BA102" s="1238"/>
      <c r="BB102" s="1238"/>
      <c r="BC102" s="1238"/>
      <c r="BD102" s="1240"/>
      <c r="BE102" s="1238"/>
      <c r="BF102" s="1238"/>
      <c r="BG102" s="1238"/>
      <c r="BH102" s="1240"/>
      <c r="BI102" s="1238"/>
      <c r="BJ102" s="1238"/>
      <c r="BK102" s="1238"/>
      <c r="BL102" s="1240"/>
      <c r="BM102" s="1238"/>
      <c r="BN102" s="1238"/>
      <c r="BO102" s="1238"/>
      <c r="BP102" s="1240">
        <f t="shared" si="110"/>
        <v>0</v>
      </c>
      <c r="BQ102" s="1238"/>
      <c r="BR102" s="1238"/>
      <c r="BS102" s="1238"/>
      <c r="BT102" s="1240">
        <f t="shared" si="111"/>
        <v>0</v>
      </c>
      <c r="BU102" s="1238"/>
      <c r="BV102" s="1238"/>
      <c r="BW102" s="1238"/>
      <c r="BX102" s="1240">
        <f t="shared" si="112"/>
        <v>0</v>
      </c>
      <c r="BY102" s="1238"/>
      <c r="BZ102" s="1238"/>
      <c r="CA102" s="1238"/>
      <c r="CB102" s="1240">
        <f t="shared" si="113"/>
        <v>0</v>
      </c>
    </row>
    <row r="103" spans="1:80" ht="14.25" customHeight="1" x14ac:dyDescent="0.2">
      <c r="A103" s="6426"/>
      <c r="B103" s="6428"/>
      <c r="C103" s="6431" t="s">
        <v>520</v>
      </c>
      <c r="D103" s="1261" t="s">
        <v>90</v>
      </c>
      <c r="E103" s="1237"/>
      <c r="F103" s="1238"/>
      <c r="G103" s="1238"/>
      <c r="H103" s="1239"/>
      <c r="I103" s="1237"/>
      <c r="J103" s="1238"/>
      <c r="K103" s="1238"/>
      <c r="L103" s="1258"/>
      <c r="M103" s="1237"/>
      <c r="N103" s="1238"/>
      <c r="O103" s="1238"/>
      <c r="P103" s="1258"/>
      <c r="Q103" s="1237"/>
      <c r="R103" s="1238"/>
      <c r="S103" s="1238"/>
      <c r="T103" s="1258"/>
      <c r="U103" s="1237"/>
      <c r="V103" s="1238"/>
      <c r="W103" s="1238"/>
      <c r="X103" s="1239"/>
      <c r="Y103" s="1237"/>
      <c r="Z103" s="1238"/>
      <c r="AA103" s="1238"/>
      <c r="AB103" s="1239"/>
      <c r="AC103" s="1237"/>
      <c r="AD103" s="1238">
        <v>1</v>
      </c>
      <c r="AE103" s="1238">
        <v>1</v>
      </c>
      <c r="AF103" s="1240">
        <f>SUM(AC103:AE103)</f>
        <v>2</v>
      </c>
      <c r="AG103" s="1238"/>
      <c r="AH103" s="1238"/>
      <c r="AI103" s="1238">
        <v>1</v>
      </c>
      <c r="AJ103" s="1240">
        <f>SUM(AG103:AI103)</f>
        <v>1</v>
      </c>
      <c r="AK103" s="1238"/>
      <c r="AL103" s="1238"/>
      <c r="AM103" s="1238">
        <v>1</v>
      </c>
      <c r="AN103" s="1240">
        <f>SUM(AK103:AM103)</f>
        <v>1</v>
      </c>
      <c r="AO103" s="1238">
        <v>2</v>
      </c>
      <c r="AP103" s="1238"/>
      <c r="AQ103" s="1238">
        <v>1</v>
      </c>
      <c r="AR103" s="1240">
        <f>SUM(AO103:AQ103)</f>
        <v>3</v>
      </c>
      <c r="AS103" s="1238"/>
      <c r="AT103" s="1238">
        <v>2</v>
      </c>
      <c r="AU103" s="1238">
        <v>2</v>
      </c>
      <c r="AV103" s="1240">
        <f>SUM(AS103:AU103)</f>
        <v>4</v>
      </c>
      <c r="AW103" s="1238">
        <v>1</v>
      </c>
      <c r="AX103" s="1238">
        <v>4</v>
      </c>
      <c r="AY103" s="1238">
        <v>3</v>
      </c>
      <c r="AZ103" s="1240">
        <f>SUM(AW103:AY103)</f>
        <v>8</v>
      </c>
      <c r="BA103" s="1238">
        <v>2</v>
      </c>
      <c r="BB103" s="1238">
        <v>3</v>
      </c>
      <c r="BC103" s="1238">
        <v>2</v>
      </c>
      <c r="BD103" s="1240">
        <f>SUM(BA103:BC103)</f>
        <v>7</v>
      </c>
      <c r="BE103" s="1238">
        <v>5</v>
      </c>
      <c r="BF103" s="1238"/>
      <c r="BG103" s="1238">
        <v>1</v>
      </c>
      <c r="BH103" s="1240">
        <f>SUM(BE103:BG103)</f>
        <v>6</v>
      </c>
      <c r="BI103" s="1238"/>
      <c r="BJ103" s="1238">
        <v>1</v>
      </c>
      <c r="BK103" s="1238">
        <v>3</v>
      </c>
      <c r="BL103" s="1240">
        <f>SUM(BI103:BK103)</f>
        <v>4</v>
      </c>
      <c r="BM103" s="1238">
        <v>2</v>
      </c>
      <c r="BN103" s="1238"/>
      <c r="BO103" s="1238">
        <v>4</v>
      </c>
      <c r="BP103" s="1240">
        <f>SUM(BM103:BO103)</f>
        <v>6</v>
      </c>
      <c r="BQ103" s="1238">
        <v>3</v>
      </c>
      <c r="BR103" s="1238">
        <v>3</v>
      </c>
      <c r="BS103" s="1238">
        <v>3</v>
      </c>
      <c r="BT103" s="1240">
        <f>SUM(BQ103:BS103)</f>
        <v>9</v>
      </c>
      <c r="BU103" s="1238">
        <v>1</v>
      </c>
      <c r="BV103" s="1238">
        <v>2</v>
      </c>
      <c r="BW103" s="1238">
        <v>1</v>
      </c>
      <c r="BX103" s="1240">
        <f>SUM(BU103:BW103)</f>
        <v>4</v>
      </c>
      <c r="BY103" s="1238">
        <v>1</v>
      </c>
      <c r="BZ103" s="1238">
        <v>2</v>
      </c>
      <c r="CA103" s="1238">
        <v>5</v>
      </c>
      <c r="CB103" s="1240">
        <f>SUM(BY103:CA103)</f>
        <v>8</v>
      </c>
    </row>
    <row r="104" spans="1:80" ht="14.25" customHeight="1" x14ac:dyDescent="0.2">
      <c r="A104" s="6426"/>
      <c r="B104" s="6428"/>
      <c r="C104" s="6432"/>
      <c r="D104" s="1261" t="s">
        <v>143</v>
      </c>
      <c r="E104" s="1237"/>
      <c r="F104" s="1238"/>
      <c r="G104" s="1238"/>
      <c r="H104" s="1239"/>
      <c r="I104" s="1237"/>
      <c r="J104" s="1238"/>
      <c r="K104" s="1238"/>
      <c r="L104" s="1258"/>
      <c r="M104" s="1237"/>
      <c r="N104" s="1238"/>
      <c r="O104" s="1238"/>
      <c r="P104" s="1258"/>
      <c r="Q104" s="1237"/>
      <c r="R104" s="1238"/>
      <c r="S104" s="1238"/>
      <c r="T104" s="1258"/>
      <c r="U104" s="1237"/>
      <c r="V104" s="1238"/>
      <c r="W104" s="1238"/>
      <c r="X104" s="1239"/>
      <c r="Y104" s="1237"/>
      <c r="Z104" s="1238"/>
      <c r="AA104" s="1238"/>
      <c r="AB104" s="1239"/>
      <c r="AC104" s="1237">
        <v>1</v>
      </c>
      <c r="AD104" s="1238">
        <v>2</v>
      </c>
      <c r="AE104" s="1238"/>
      <c r="AF104" s="1240">
        <f>SUM(AC104:AE104)</f>
        <v>3</v>
      </c>
      <c r="AG104" s="1238"/>
      <c r="AH104" s="1238"/>
      <c r="AI104" s="1238"/>
      <c r="AJ104" s="1240"/>
      <c r="AK104" s="1238"/>
      <c r="AL104" s="1238">
        <v>1</v>
      </c>
      <c r="AM104" s="1238"/>
      <c r="AN104" s="1240">
        <f t="shared" si="90"/>
        <v>1</v>
      </c>
      <c r="AO104" s="1238"/>
      <c r="AP104" s="1238"/>
      <c r="AQ104" s="1238"/>
      <c r="AR104" s="1240">
        <f t="shared" si="91"/>
        <v>0</v>
      </c>
      <c r="AS104" s="1238">
        <v>1</v>
      </c>
      <c r="AT104" s="1238">
        <v>1</v>
      </c>
      <c r="AU104" s="1238">
        <v>1</v>
      </c>
      <c r="AV104" s="1240">
        <f t="shared" si="92"/>
        <v>3</v>
      </c>
      <c r="AW104" s="1238"/>
      <c r="AX104" s="1238"/>
      <c r="AY104" s="1238"/>
      <c r="AZ104" s="1240">
        <f t="shared" si="93"/>
        <v>0</v>
      </c>
      <c r="BA104" s="1238"/>
      <c r="BB104" s="1238">
        <v>1</v>
      </c>
      <c r="BC104" s="1238"/>
      <c r="BD104" s="1240">
        <f t="shared" si="94"/>
        <v>1</v>
      </c>
      <c r="BE104" s="1238"/>
      <c r="BF104" s="1238"/>
      <c r="BG104" s="1238"/>
      <c r="BH104" s="1240">
        <f t="shared" si="108"/>
        <v>0</v>
      </c>
      <c r="BI104" s="1238">
        <v>1</v>
      </c>
      <c r="BJ104" s="1238"/>
      <c r="BK104" s="1238">
        <v>3</v>
      </c>
      <c r="BL104" s="1240">
        <f>SUM(BI104:BK104)</f>
        <v>4</v>
      </c>
      <c r="BM104" s="1238"/>
      <c r="BN104" s="1238"/>
      <c r="BO104" s="1238">
        <v>2</v>
      </c>
      <c r="BP104" s="1240">
        <f>SUM(BM104:BO104)</f>
        <v>2</v>
      </c>
      <c r="BQ104" s="1238"/>
      <c r="BR104" s="1238"/>
      <c r="BS104" s="1238"/>
      <c r="BT104" s="1240">
        <f>SUM(BQ104:BS104)</f>
        <v>0</v>
      </c>
      <c r="BU104" s="1238"/>
      <c r="BV104" s="1238"/>
      <c r="BW104" s="1238"/>
      <c r="BX104" s="1240">
        <f>SUM(BU104:BW104)</f>
        <v>0</v>
      </c>
      <c r="BY104" s="1238"/>
      <c r="BZ104" s="1238"/>
      <c r="CA104" s="1238"/>
      <c r="CB104" s="1240">
        <f>SUM(BY104:CA104)</f>
        <v>0</v>
      </c>
    </row>
    <row r="105" spans="1:80" ht="14.25" customHeight="1" x14ac:dyDescent="0.2">
      <c r="A105" s="6426"/>
      <c r="B105" s="6428"/>
      <c r="C105" s="6432"/>
      <c r="D105" s="1242" t="s">
        <v>20</v>
      </c>
      <c r="E105" s="1243">
        <v>4</v>
      </c>
      <c r="F105" s="1244">
        <v>1</v>
      </c>
      <c r="G105" s="1244">
        <v>2</v>
      </c>
      <c r="H105" s="1245">
        <f>SUM(E105:G105)</f>
        <v>7</v>
      </c>
      <c r="I105" s="1243">
        <v>1</v>
      </c>
      <c r="J105" s="1244">
        <v>5</v>
      </c>
      <c r="K105" s="1244">
        <v>4</v>
      </c>
      <c r="L105" s="1245">
        <f>SUM(I105:K105)</f>
        <v>10</v>
      </c>
      <c r="M105" s="1243">
        <v>1</v>
      </c>
      <c r="N105" s="1244">
        <v>1</v>
      </c>
      <c r="O105" s="1244">
        <v>3</v>
      </c>
      <c r="P105" s="1245">
        <f>SUM(M105:O105)</f>
        <v>5</v>
      </c>
      <c r="Q105" s="1243">
        <v>5</v>
      </c>
      <c r="R105" s="1244">
        <v>5</v>
      </c>
      <c r="S105" s="1244">
        <v>7</v>
      </c>
      <c r="T105" s="1245">
        <f>SUM(Q105:S105)</f>
        <v>17</v>
      </c>
      <c r="U105" s="1243">
        <v>3</v>
      </c>
      <c r="V105" s="1244">
        <v>4</v>
      </c>
      <c r="W105" s="1244">
        <v>5</v>
      </c>
      <c r="X105" s="1245">
        <f t="shared" ref="X105:X113" si="115">SUM(U105:W105)</f>
        <v>12</v>
      </c>
      <c r="Y105" s="1243">
        <v>4</v>
      </c>
      <c r="Z105" s="1244">
        <v>4</v>
      </c>
      <c r="AA105" s="1244">
        <v>8</v>
      </c>
      <c r="AB105" s="1245">
        <f>SUM(Y105:AA105)</f>
        <v>16</v>
      </c>
      <c r="AC105" s="1243">
        <v>5</v>
      </c>
      <c r="AD105" s="1244">
        <v>7</v>
      </c>
      <c r="AE105" s="1244">
        <v>2</v>
      </c>
      <c r="AF105" s="1246">
        <f>SUM(AC105:AE105)</f>
        <v>14</v>
      </c>
      <c r="AG105" s="1244">
        <v>1</v>
      </c>
      <c r="AH105" s="1244">
        <v>9</v>
      </c>
      <c r="AI105" s="1244">
        <v>8</v>
      </c>
      <c r="AJ105" s="1246">
        <f>SUM(AG105:AI105)</f>
        <v>18</v>
      </c>
      <c r="AK105" s="1244">
        <v>4</v>
      </c>
      <c r="AL105" s="1244">
        <v>7</v>
      </c>
      <c r="AM105" s="1244">
        <v>6</v>
      </c>
      <c r="AN105" s="1246">
        <f t="shared" si="90"/>
        <v>17</v>
      </c>
      <c r="AO105" s="1244">
        <v>1</v>
      </c>
      <c r="AP105" s="1244">
        <v>8</v>
      </c>
      <c r="AQ105" s="1244">
        <v>5</v>
      </c>
      <c r="AR105" s="1246">
        <f t="shared" si="91"/>
        <v>14</v>
      </c>
      <c r="AS105" s="1244">
        <v>2</v>
      </c>
      <c r="AT105" s="1244">
        <v>8</v>
      </c>
      <c r="AU105" s="1244">
        <v>9</v>
      </c>
      <c r="AV105" s="1246">
        <f t="shared" si="92"/>
        <v>19</v>
      </c>
      <c r="AW105" s="1244">
        <v>9</v>
      </c>
      <c r="AX105" s="1244">
        <v>10</v>
      </c>
      <c r="AY105" s="1244">
        <v>20</v>
      </c>
      <c r="AZ105" s="1246">
        <f t="shared" si="93"/>
        <v>39</v>
      </c>
      <c r="BA105" s="1244">
        <v>14</v>
      </c>
      <c r="BB105" s="1244">
        <v>8</v>
      </c>
      <c r="BC105" s="1244">
        <v>3</v>
      </c>
      <c r="BD105" s="1246">
        <f t="shared" si="94"/>
        <v>25</v>
      </c>
      <c r="BE105" s="1244"/>
      <c r="BF105" s="1244">
        <v>8</v>
      </c>
      <c r="BG105" s="1244">
        <v>8</v>
      </c>
      <c r="BH105" s="1246">
        <f t="shared" si="108"/>
        <v>16</v>
      </c>
      <c r="BI105" s="1244">
        <v>6</v>
      </c>
      <c r="BJ105" s="1244">
        <v>9</v>
      </c>
      <c r="BK105" s="1244">
        <v>7</v>
      </c>
      <c r="BL105" s="1246">
        <f>SUM(BI105:BK105)</f>
        <v>22</v>
      </c>
      <c r="BM105" s="1244">
        <v>3</v>
      </c>
      <c r="BN105" s="1244">
        <v>4</v>
      </c>
      <c r="BO105" s="1244">
        <v>11</v>
      </c>
      <c r="BP105" s="1246">
        <f>SUM(BM105:BO105)</f>
        <v>18</v>
      </c>
      <c r="BQ105" s="1244">
        <v>6</v>
      </c>
      <c r="BR105" s="1244">
        <v>10</v>
      </c>
      <c r="BS105" s="1244">
        <v>6</v>
      </c>
      <c r="BT105" s="1246">
        <f>SUM(BQ105:BS105)</f>
        <v>22</v>
      </c>
      <c r="BU105" s="1244">
        <v>3</v>
      </c>
      <c r="BV105" s="1244">
        <v>3</v>
      </c>
      <c r="BW105" s="1244">
        <v>8</v>
      </c>
      <c r="BX105" s="1246">
        <f>SUM(BU105:BW105)</f>
        <v>14</v>
      </c>
      <c r="BY105" s="1244">
        <v>8</v>
      </c>
      <c r="BZ105" s="1244">
        <v>11</v>
      </c>
      <c r="CA105" s="1244">
        <v>4</v>
      </c>
      <c r="CB105" s="1246">
        <f>SUM(BY105:CA105)</f>
        <v>23</v>
      </c>
    </row>
    <row r="106" spans="1:80" ht="14.25" customHeight="1" x14ac:dyDescent="0.2">
      <c r="A106" s="6426"/>
      <c r="B106" s="6429"/>
      <c r="C106" s="1312"/>
      <c r="D106" s="1247" t="s">
        <v>160</v>
      </c>
      <c r="E106" s="1248">
        <f t="shared" ref="E106:AJ106" si="116">SUM(E90:E105)</f>
        <v>8</v>
      </c>
      <c r="F106" s="1249">
        <f t="shared" si="116"/>
        <v>13</v>
      </c>
      <c r="G106" s="1249">
        <f t="shared" si="116"/>
        <v>20</v>
      </c>
      <c r="H106" s="1249">
        <f t="shared" si="116"/>
        <v>41</v>
      </c>
      <c r="I106" s="1248">
        <f t="shared" si="116"/>
        <v>9</v>
      </c>
      <c r="J106" s="1249">
        <f t="shared" si="116"/>
        <v>12</v>
      </c>
      <c r="K106" s="1249">
        <f t="shared" si="116"/>
        <v>15</v>
      </c>
      <c r="L106" s="1249">
        <f t="shared" si="116"/>
        <v>36</v>
      </c>
      <c r="M106" s="1248">
        <f t="shared" si="116"/>
        <v>14</v>
      </c>
      <c r="N106" s="1249">
        <f t="shared" si="116"/>
        <v>9</v>
      </c>
      <c r="O106" s="1249">
        <f t="shared" si="116"/>
        <v>39</v>
      </c>
      <c r="P106" s="1249">
        <f t="shared" si="116"/>
        <v>62</v>
      </c>
      <c r="Q106" s="1248">
        <f t="shared" si="116"/>
        <v>18</v>
      </c>
      <c r="R106" s="1249">
        <f t="shared" si="116"/>
        <v>58</v>
      </c>
      <c r="S106" s="1249">
        <f t="shared" si="116"/>
        <v>25</v>
      </c>
      <c r="T106" s="1249">
        <f t="shared" si="116"/>
        <v>101</v>
      </c>
      <c r="U106" s="1248">
        <f t="shared" si="116"/>
        <v>27</v>
      </c>
      <c r="V106" s="1249">
        <f t="shared" si="116"/>
        <v>19</v>
      </c>
      <c r="W106" s="1249">
        <f t="shared" si="116"/>
        <v>32</v>
      </c>
      <c r="X106" s="1249">
        <f t="shared" si="116"/>
        <v>78</v>
      </c>
      <c r="Y106" s="1248">
        <f t="shared" si="116"/>
        <v>19</v>
      </c>
      <c r="Z106" s="1249">
        <f t="shared" si="116"/>
        <v>18</v>
      </c>
      <c r="AA106" s="1249">
        <f t="shared" si="116"/>
        <v>46</v>
      </c>
      <c r="AB106" s="1249">
        <f t="shared" si="116"/>
        <v>83</v>
      </c>
      <c r="AC106" s="1248">
        <f t="shared" si="116"/>
        <v>26</v>
      </c>
      <c r="AD106" s="1249">
        <f t="shared" si="116"/>
        <v>40</v>
      </c>
      <c r="AE106" s="1249">
        <f t="shared" si="116"/>
        <v>29</v>
      </c>
      <c r="AF106" s="1306">
        <f t="shared" si="116"/>
        <v>95</v>
      </c>
      <c r="AG106" s="1249">
        <f t="shared" si="116"/>
        <v>6</v>
      </c>
      <c r="AH106" s="1249">
        <f t="shared" si="116"/>
        <v>22</v>
      </c>
      <c r="AI106" s="1249">
        <f t="shared" si="116"/>
        <v>33</v>
      </c>
      <c r="AJ106" s="1306">
        <f t="shared" si="116"/>
        <v>61</v>
      </c>
      <c r="AK106" s="1249">
        <f t="shared" ref="AK106:BP106" si="117">SUM(AK90:AK105)</f>
        <v>61</v>
      </c>
      <c r="AL106" s="1249">
        <f t="shared" si="117"/>
        <v>26</v>
      </c>
      <c r="AM106" s="1249">
        <f t="shared" si="117"/>
        <v>42</v>
      </c>
      <c r="AN106" s="1306">
        <f t="shared" si="117"/>
        <v>129</v>
      </c>
      <c r="AO106" s="1249">
        <f t="shared" si="117"/>
        <v>21</v>
      </c>
      <c r="AP106" s="1249">
        <f t="shared" si="117"/>
        <v>19</v>
      </c>
      <c r="AQ106" s="1249">
        <f t="shared" si="117"/>
        <v>77</v>
      </c>
      <c r="AR106" s="1306">
        <f t="shared" si="117"/>
        <v>117</v>
      </c>
      <c r="AS106" s="1249">
        <f t="shared" si="117"/>
        <v>22</v>
      </c>
      <c r="AT106" s="1249">
        <f t="shared" si="117"/>
        <v>25</v>
      </c>
      <c r="AU106" s="1249">
        <f t="shared" si="117"/>
        <v>55</v>
      </c>
      <c r="AV106" s="1306">
        <f t="shared" si="117"/>
        <v>102</v>
      </c>
      <c r="AW106" s="1249">
        <f t="shared" si="117"/>
        <v>48</v>
      </c>
      <c r="AX106" s="1249">
        <f t="shared" si="117"/>
        <v>38</v>
      </c>
      <c r="AY106" s="1249">
        <f t="shared" si="117"/>
        <v>116</v>
      </c>
      <c r="AZ106" s="1306">
        <f t="shared" si="117"/>
        <v>202</v>
      </c>
      <c r="BA106" s="1249">
        <f t="shared" si="117"/>
        <v>61</v>
      </c>
      <c r="BB106" s="1249">
        <f t="shared" si="117"/>
        <v>50</v>
      </c>
      <c r="BC106" s="1249">
        <f t="shared" si="117"/>
        <v>39</v>
      </c>
      <c r="BD106" s="1306">
        <f t="shared" si="117"/>
        <v>150</v>
      </c>
      <c r="BE106" s="1249">
        <f t="shared" si="117"/>
        <v>22</v>
      </c>
      <c r="BF106" s="1249">
        <f t="shared" si="117"/>
        <v>24</v>
      </c>
      <c r="BG106" s="1249">
        <f t="shared" si="117"/>
        <v>42</v>
      </c>
      <c r="BH106" s="1306">
        <f t="shared" si="117"/>
        <v>88</v>
      </c>
      <c r="BI106" s="1249">
        <f t="shared" si="117"/>
        <v>52</v>
      </c>
      <c r="BJ106" s="1249">
        <f t="shared" si="117"/>
        <v>22</v>
      </c>
      <c r="BK106" s="1249">
        <f t="shared" si="117"/>
        <v>25</v>
      </c>
      <c r="BL106" s="1306">
        <f t="shared" si="117"/>
        <v>99</v>
      </c>
      <c r="BM106" s="1249">
        <f t="shared" si="117"/>
        <v>19</v>
      </c>
      <c r="BN106" s="1249">
        <f t="shared" si="117"/>
        <v>23</v>
      </c>
      <c r="BO106" s="1249">
        <f t="shared" si="117"/>
        <v>76</v>
      </c>
      <c r="BP106" s="1306">
        <f t="shared" si="117"/>
        <v>118</v>
      </c>
      <c r="BQ106" s="1249">
        <f t="shared" ref="BQ106:CB106" si="118">SUM(BQ90:BQ105)</f>
        <v>41</v>
      </c>
      <c r="BR106" s="1249">
        <f t="shared" si="118"/>
        <v>32</v>
      </c>
      <c r="BS106" s="1249">
        <f t="shared" si="118"/>
        <v>30</v>
      </c>
      <c r="BT106" s="1306">
        <f t="shared" si="118"/>
        <v>103</v>
      </c>
      <c r="BU106" s="1249">
        <f t="shared" si="118"/>
        <v>24</v>
      </c>
      <c r="BV106" s="1249">
        <f t="shared" si="118"/>
        <v>35</v>
      </c>
      <c r="BW106" s="1249">
        <f t="shared" si="118"/>
        <v>37</v>
      </c>
      <c r="BX106" s="1306">
        <f t="shared" si="118"/>
        <v>96</v>
      </c>
      <c r="BY106" s="1249">
        <f t="shared" si="118"/>
        <v>44</v>
      </c>
      <c r="BZ106" s="1249">
        <f t="shared" si="118"/>
        <v>23</v>
      </c>
      <c r="CA106" s="1249">
        <f t="shared" si="118"/>
        <v>36</v>
      </c>
      <c r="CB106" s="1306">
        <f t="shared" si="118"/>
        <v>103</v>
      </c>
    </row>
    <row r="107" spans="1:80" ht="12.75" customHeight="1" x14ac:dyDescent="0.2">
      <c r="A107" s="6426"/>
      <c r="B107" s="6430" t="s">
        <v>11</v>
      </c>
      <c r="C107" s="6431" t="s">
        <v>522</v>
      </c>
      <c r="D107" s="1263" t="s">
        <v>815</v>
      </c>
      <c r="E107" s="1251"/>
      <c r="F107" s="1252"/>
      <c r="G107" s="1252"/>
      <c r="H107" s="1232"/>
      <c r="I107" s="1251"/>
      <c r="J107" s="1252"/>
      <c r="K107" s="1252"/>
      <c r="L107" s="1232"/>
      <c r="M107" s="1251"/>
      <c r="N107" s="1252"/>
      <c r="O107" s="1252"/>
      <c r="P107" s="1232"/>
      <c r="Q107" s="1251"/>
      <c r="R107" s="1252"/>
      <c r="S107" s="1252"/>
      <c r="T107" s="1232"/>
      <c r="U107" s="1251"/>
      <c r="V107" s="1252">
        <v>3</v>
      </c>
      <c r="W107" s="1252">
        <v>8</v>
      </c>
      <c r="X107" s="1232">
        <f t="shared" si="115"/>
        <v>11</v>
      </c>
      <c r="Y107" s="1251">
        <v>6</v>
      </c>
      <c r="Z107" s="1252">
        <v>1</v>
      </c>
      <c r="AA107" s="1252">
        <v>1</v>
      </c>
      <c r="AB107" s="1232">
        <f>SUM(Y107:AA107)</f>
        <v>8</v>
      </c>
      <c r="AC107" s="1251"/>
      <c r="AD107" s="1252">
        <v>8</v>
      </c>
      <c r="AE107" s="1252">
        <v>1</v>
      </c>
      <c r="AF107" s="1235">
        <f>SUM(AC107:AE107)</f>
        <v>9</v>
      </c>
      <c r="AG107" s="1252"/>
      <c r="AH107" s="1252"/>
      <c r="AI107" s="1252"/>
      <c r="AJ107" s="1235"/>
      <c r="AK107" s="1252">
        <v>3</v>
      </c>
      <c r="AL107" s="1252">
        <v>9</v>
      </c>
      <c r="AM107" s="1252"/>
      <c r="AN107" s="1235">
        <f t="shared" si="90"/>
        <v>12</v>
      </c>
      <c r="AO107" s="1252"/>
      <c r="AP107" s="1252">
        <v>3</v>
      </c>
      <c r="AQ107" s="1252">
        <v>2</v>
      </c>
      <c r="AR107" s="1235">
        <f t="shared" si="91"/>
        <v>5</v>
      </c>
      <c r="AS107" s="1252"/>
      <c r="AT107" s="1252">
        <v>6</v>
      </c>
      <c r="AU107" s="1252">
        <v>4</v>
      </c>
      <c r="AV107" s="1235">
        <f t="shared" si="92"/>
        <v>10</v>
      </c>
      <c r="AW107" s="1252"/>
      <c r="AX107" s="1252"/>
      <c r="AY107" s="1252"/>
      <c r="AZ107" s="1235">
        <f t="shared" si="93"/>
        <v>0</v>
      </c>
      <c r="BA107" s="1252"/>
      <c r="BB107" s="1252">
        <v>1</v>
      </c>
      <c r="BC107" s="1252"/>
      <c r="BD107" s="1235">
        <f t="shared" si="94"/>
        <v>1</v>
      </c>
      <c r="BE107" s="1252">
        <v>6</v>
      </c>
      <c r="BF107" s="1252">
        <v>1</v>
      </c>
      <c r="BG107" s="1252"/>
      <c r="BH107" s="1259">
        <f t="shared" si="108"/>
        <v>7</v>
      </c>
      <c r="BI107" s="1252"/>
      <c r="BJ107" s="1252"/>
      <c r="BK107" s="1252"/>
      <c r="BL107" s="1259"/>
      <c r="BM107" s="1252">
        <v>9</v>
      </c>
      <c r="BN107" s="1252"/>
      <c r="BO107" s="1252"/>
      <c r="BP107" s="1240">
        <f t="shared" ref="BP107:BP119" si="119">SUM(BM107:BO107)</f>
        <v>9</v>
      </c>
      <c r="BQ107" s="1252"/>
      <c r="BR107" s="1252"/>
      <c r="BS107" s="1252"/>
      <c r="BT107" s="1240">
        <f t="shared" ref="BT107:BT119" si="120">SUM(BQ107:BS107)</f>
        <v>0</v>
      </c>
      <c r="BU107" s="1251"/>
      <c r="BV107" s="1252"/>
      <c r="BW107" s="1252"/>
      <c r="BX107" s="1235">
        <f t="shared" ref="BX107:BX120" si="121">SUM(BU107:BW107)</f>
        <v>0</v>
      </c>
      <c r="BY107" s="1251"/>
      <c r="BZ107" s="1252"/>
      <c r="CA107" s="1252"/>
      <c r="CB107" s="1235">
        <f t="shared" ref="CB107:CB120" si="122">SUM(BY107:CA107)</f>
        <v>0</v>
      </c>
    </row>
    <row r="108" spans="1:80" ht="12.75" customHeight="1" x14ac:dyDescent="0.2">
      <c r="A108" s="6426"/>
      <c r="B108" s="6428"/>
      <c r="C108" s="6432"/>
      <c r="D108" s="1262" t="s">
        <v>394</v>
      </c>
      <c r="E108" s="1237"/>
      <c r="F108" s="1238"/>
      <c r="G108" s="1238"/>
      <c r="H108" s="1239"/>
      <c r="I108" s="1237">
        <v>7</v>
      </c>
      <c r="J108" s="1238"/>
      <c r="K108" s="1238">
        <v>1</v>
      </c>
      <c r="L108" s="1239">
        <f>SUM(I108:K108)</f>
        <v>8</v>
      </c>
      <c r="M108" s="1237">
        <v>1</v>
      </c>
      <c r="N108" s="1238">
        <v>1</v>
      </c>
      <c r="O108" s="1238"/>
      <c r="P108" s="1239">
        <f>SUM(M108:O108)</f>
        <v>2</v>
      </c>
      <c r="Q108" s="1237">
        <v>1</v>
      </c>
      <c r="R108" s="1238">
        <v>36</v>
      </c>
      <c r="S108" s="1238">
        <v>1</v>
      </c>
      <c r="T108" s="1239">
        <f>SUM(Q108:S108)</f>
        <v>38</v>
      </c>
      <c r="U108" s="1237">
        <v>1</v>
      </c>
      <c r="V108" s="1238"/>
      <c r="W108" s="1238"/>
      <c r="X108" s="1239">
        <f t="shared" si="115"/>
        <v>1</v>
      </c>
      <c r="Y108" s="1237"/>
      <c r="Z108" s="1238"/>
      <c r="AA108" s="1238"/>
      <c r="AB108" s="1239"/>
      <c r="AC108" s="1237"/>
      <c r="AD108" s="1238"/>
      <c r="AE108" s="1238"/>
      <c r="AF108" s="1240"/>
      <c r="AG108" s="1238"/>
      <c r="AH108" s="1238"/>
      <c r="AI108" s="1238"/>
      <c r="AJ108" s="1240"/>
      <c r="AK108" s="1238"/>
      <c r="AL108" s="1238"/>
      <c r="AM108" s="1238"/>
      <c r="AN108" s="1240"/>
      <c r="AO108" s="1238"/>
      <c r="AP108" s="1238"/>
      <c r="AQ108" s="1238">
        <v>4</v>
      </c>
      <c r="AR108" s="1240">
        <f t="shared" si="91"/>
        <v>4</v>
      </c>
      <c r="AS108" s="1238"/>
      <c r="AT108" s="1238"/>
      <c r="AU108" s="1238"/>
      <c r="AV108" s="1240">
        <f t="shared" si="92"/>
        <v>0</v>
      </c>
      <c r="AW108" s="1238">
        <v>4</v>
      </c>
      <c r="AX108" s="1238">
        <v>2</v>
      </c>
      <c r="AY108" s="1238"/>
      <c r="AZ108" s="1240">
        <f t="shared" si="93"/>
        <v>6</v>
      </c>
      <c r="BA108" s="1238"/>
      <c r="BB108" s="1238"/>
      <c r="BC108" s="1238"/>
      <c r="BD108" s="1240">
        <f t="shared" si="94"/>
        <v>0</v>
      </c>
      <c r="BE108" s="1238"/>
      <c r="BF108" s="1238"/>
      <c r="BG108" s="1238"/>
      <c r="BH108" s="1240"/>
      <c r="BI108" s="1238"/>
      <c r="BJ108" s="1238"/>
      <c r="BK108" s="1238"/>
      <c r="BL108" s="1240"/>
      <c r="BM108" s="1238"/>
      <c r="BN108" s="1238"/>
      <c r="BO108" s="1238"/>
      <c r="BP108" s="1240">
        <f t="shared" si="119"/>
        <v>0</v>
      </c>
      <c r="BQ108" s="1238"/>
      <c r="BR108" s="1238"/>
      <c r="BS108" s="1238"/>
      <c r="BT108" s="1240">
        <f t="shared" si="120"/>
        <v>0</v>
      </c>
      <c r="BU108" s="1237"/>
      <c r="BV108" s="1238"/>
      <c r="BW108" s="1238"/>
      <c r="BX108" s="1240">
        <f t="shared" si="121"/>
        <v>0</v>
      </c>
      <c r="BY108" s="1237"/>
      <c r="BZ108" s="1238"/>
      <c r="CA108" s="1238"/>
      <c r="CB108" s="1240">
        <f t="shared" si="122"/>
        <v>0</v>
      </c>
    </row>
    <row r="109" spans="1:80" ht="12.75" customHeight="1" x14ac:dyDescent="0.2">
      <c r="A109" s="6426"/>
      <c r="B109" s="6428"/>
      <c r="C109" s="6432"/>
      <c r="D109" s="1262" t="s">
        <v>91</v>
      </c>
      <c r="E109" s="1237">
        <v>1</v>
      </c>
      <c r="F109" s="1238"/>
      <c r="G109" s="1238"/>
      <c r="H109" s="1239">
        <f>SUM(E109:G109)</f>
        <v>1</v>
      </c>
      <c r="I109" s="1237"/>
      <c r="J109" s="1238"/>
      <c r="K109" s="1238">
        <v>1</v>
      </c>
      <c r="L109" s="1239">
        <f>SUM(I109:K109)</f>
        <v>1</v>
      </c>
      <c r="M109" s="1237"/>
      <c r="N109" s="1238">
        <v>1</v>
      </c>
      <c r="O109" s="1238">
        <v>1</v>
      </c>
      <c r="P109" s="1239">
        <f>SUM(M109:O109)</f>
        <v>2</v>
      </c>
      <c r="Q109" s="1237"/>
      <c r="R109" s="1238">
        <v>23</v>
      </c>
      <c r="S109" s="1238">
        <v>7</v>
      </c>
      <c r="T109" s="1239">
        <f>SUM(Q109:S109)</f>
        <v>30</v>
      </c>
      <c r="U109" s="1237"/>
      <c r="V109" s="1238">
        <v>5</v>
      </c>
      <c r="W109" s="1238"/>
      <c r="X109" s="1239">
        <f t="shared" si="115"/>
        <v>5</v>
      </c>
      <c r="Y109" s="1237"/>
      <c r="Z109" s="1238"/>
      <c r="AA109" s="1238">
        <v>1</v>
      </c>
      <c r="AB109" s="1239">
        <f>SUM(Y109:AA109)</f>
        <v>1</v>
      </c>
      <c r="AC109" s="1237">
        <v>3</v>
      </c>
      <c r="AD109" s="1238"/>
      <c r="AE109" s="1238"/>
      <c r="AF109" s="1240">
        <f>SUM(AC109:AE109)</f>
        <v>3</v>
      </c>
      <c r="AG109" s="1238"/>
      <c r="AH109" s="1238"/>
      <c r="AI109" s="1238">
        <v>1</v>
      </c>
      <c r="AJ109" s="1240">
        <f t="shared" ref="AJ109:AJ118" si="123">SUM(AG109:AI109)</f>
        <v>1</v>
      </c>
      <c r="AK109" s="1238"/>
      <c r="AL109" s="1238"/>
      <c r="AM109" s="1238"/>
      <c r="AN109" s="1240"/>
      <c r="AO109" s="1238"/>
      <c r="AP109" s="1238"/>
      <c r="AQ109" s="1238"/>
      <c r="AR109" s="1240">
        <f t="shared" si="91"/>
        <v>0</v>
      </c>
      <c r="AS109" s="1238">
        <v>1</v>
      </c>
      <c r="AT109" s="1238">
        <v>4</v>
      </c>
      <c r="AU109" s="1238">
        <v>2</v>
      </c>
      <c r="AV109" s="1240">
        <f t="shared" si="92"/>
        <v>7</v>
      </c>
      <c r="AW109" s="1238"/>
      <c r="AX109" s="1238"/>
      <c r="AY109" s="1238"/>
      <c r="AZ109" s="1240">
        <f t="shared" si="93"/>
        <v>0</v>
      </c>
      <c r="BA109" s="1238"/>
      <c r="BB109" s="1238"/>
      <c r="BC109" s="1238">
        <v>2</v>
      </c>
      <c r="BD109" s="1240">
        <f t="shared" si="94"/>
        <v>2</v>
      </c>
      <c r="BE109" s="1238"/>
      <c r="BF109" s="1238"/>
      <c r="BG109" s="1238"/>
      <c r="BH109" s="1240"/>
      <c r="BI109" s="1238"/>
      <c r="BJ109" s="1238"/>
      <c r="BK109" s="1238"/>
      <c r="BL109" s="1240"/>
      <c r="BM109" s="1238"/>
      <c r="BN109" s="1238">
        <v>1</v>
      </c>
      <c r="BO109" s="1238"/>
      <c r="BP109" s="1240">
        <f t="shared" si="119"/>
        <v>1</v>
      </c>
      <c r="BQ109" s="1238">
        <v>5</v>
      </c>
      <c r="BR109" s="1238">
        <v>1</v>
      </c>
      <c r="BS109" s="1238"/>
      <c r="BT109" s="1240">
        <f t="shared" si="120"/>
        <v>6</v>
      </c>
      <c r="BU109" s="1237"/>
      <c r="BV109" s="1238"/>
      <c r="BW109" s="1238">
        <v>3</v>
      </c>
      <c r="BX109" s="1240">
        <f t="shared" si="121"/>
        <v>3</v>
      </c>
      <c r="BY109" s="1237">
        <v>2</v>
      </c>
      <c r="BZ109" s="1238">
        <v>2</v>
      </c>
      <c r="CA109" s="1238"/>
      <c r="CB109" s="1240">
        <f t="shared" si="122"/>
        <v>4</v>
      </c>
    </row>
    <row r="110" spans="1:80" ht="12.75" customHeight="1" x14ac:dyDescent="0.2">
      <c r="A110" s="6426"/>
      <c r="B110" s="6428"/>
      <c r="C110" s="6434" t="s">
        <v>521</v>
      </c>
      <c r="D110" s="1262" t="s">
        <v>567</v>
      </c>
      <c r="E110" s="1237"/>
      <c r="F110" s="1238"/>
      <c r="G110" s="1238"/>
      <c r="H110" s="1239"/>
      <c r="I110" s="1237"/>
      <c r="J110" s="1238"/>
      <c r="K110" s="1238"/>
      <c r="L110" s="1239"/>
      <c r="M110" s="1237"/>
      <c r="N110" s="1238"/>
      <c r="O110" s="1238"/>
      <c r="P110" s="1239"/>
      <c r="Q110" s="1237"/>
      <c r="R110" s="1238"/>
      <c r="S110" s="1238"/>
      <c r="T110" s="1239"/>
      <c r="U110" s="1237"/>
      <c r="V110" s="1238"/>
      <c r="W110" s="1238"/>
      <c r="X110" s="1239"/>
      <c r="Y110" s="1237"/>
      <c r="Z110" s="1238"/>
      <c r="AA110" s="1238"/>
      <c r="AB110" s="1239"/>
      <c r="AC110" s="1237"/>
      <c r="AD110" s="1238"/>
      <c r="AE110" s="1238"/>
      <c r="AF110" s="1240"/>
      <c r="AG110" s="1238"/>
      <c r="AH110" s="1238"/>
      <c r="AI110" s="1238"/>
      <c r="AJ110" s="1240"/>
      <c r="AK110" s="1238"/>
      <c r="AL110" s="1238"/>
      <c r="AM110" s="1238"/>
      <c r="AN110" s="1240"/>
      <c r="AO110" s="1238"/>
      <c r="AP110" s="1238"/>
      <c r="AQ110" s="1238"/>
      <c r="AR110" s="1240"/>
      <c r="AS110" s="1238"/>
      <c r="AT110" s="1238"/>
      <c r="AU110" s="1238"/>
      <c r="AV110" s="1240"/>
      <c r="AW110" s="1238"/>
      <c r="AX110" s="1238"/>
      <c r="AY110" s="1238"/>
      <c r="AZ110" s="1240"/>
      <c r="BA110" s="1238"/>
      <c r="BB110" s="1238"/>
      <c r="BC110" s="1238">
        <v>4</v>
      </c>
      <c r="BD110" s="1240">
        <f>SUM(BA110:BC110)</f>
        <v>4</v>
      </c>
      <c r="BE110" s="1238"/>
      <c r="BF110" s="1238"/>
      <c r="BG110" s="1238"/>
      <c r="BH110" s="1240"/>
      <c r="BI110" s="1238">
        <v>1</v>
      </c>
      <c r="BJ110" s="1238">
        <v>3</v>
      </c>
      <c r="BK110" s="1238">
        <v>2</v>
      </c>
      <c r="BL110" s="1240">
        <f>SUM(BI110:BK110)</f>
        <v>6</v>
      </c>
      <c r="BM110" s="1238"/>
      <c r="BN110" s="1238"/>
      <c r="BO110" s="1238"/>
      <c r="BP110" s="1240">
        <f t="shared" si="119"/>
        <v>0</v>
      </c>
      <c r="BQ110" s="1238">
        <v>1</v>
      </c>
      <c r="BR110" s="1238">
        <v>3</v>
      </c>
      <c r="BS110" s="1238">
        <v>1</v>
      </c>
      <c r="BT110" s="1240">
        <f t="shared" si="120"/>
        <v>5</v>
      </c>
      <c r="BU110" s="1237"/>
      <c r="BV110" s="1238">
        <v>1</v>
      </c>
      <c r="BW110" s="1238">
        <v>1</v>
      </c>
      <c r="BX110" s="1240">
        <f t="shared" si="121"/>
        <v>2</v>
      </c>
      <c r="BY110" s="1237">
        <v>1</v>
      </c>
      <c r="BZ110" s="1238">
        <v>4</v>
      </c>
      <c r="CA110" s="1238">
        <v>1</v>
      </c>
      <c r="CB110" s="1240">
        <f t="shared" si="122"/>
        <v>6</v>
      </c>
    </row>
    <row r="111" spans="1:80" ht="12.75" customHeight="1" x14ac:dyDescent="0.2">
      <c r="A111" s="6426"/>
      <c r="B111" s="6428"/>
      <c r="C111" s="6432"/>
      <c r="D111" s="1262" t="s">
        <v>94</v>
      </c>
      <c r="E111" s="1237"/>
      <c r="F111" s="1238">
        <v>1</v>
      </c>
      <c r="G111" s="1238">
        <v>3</v>
      </c>
      <c r="H111" s="1239">
        <f>SUM(E111:G111)</f>
        <v>4</v>
      </c>
      <c r="I111" s="1237"/>
      <c r="J111" s="1238"/>
      <c r="K111" s="1238">
        <v>1</v>
      </c>
      <c r="L111" s="1239">
        <f t="shared" ref="L111:L119" si="124">SUM(I111:K111)</f>
        <v>1</v>
      </c>
      <c r="M111" s="1237">
        <v>1</v>
      </c>
      <c r="N111" s="1238"/>
      <c r="O111" s="1238"/>
      <c r="P111" s="1239">
        <f t="shared" ref="P111:P118" si="125">SUM(M111:O111)</f>
        <v>1</v>
      </c>
      <c r="Q111" s="1237"/>
      <c r="R111" s="1238">
        <v>1</v>
      </c>
      <c r="S111" s="1238"/>
      <c r="T111" s="1239">
        <f t="shared" ref="T111:T118" si="126">SUM(Q111:S111)</f>
        <v>1</v>
      </c>
      <c r="U111" s="1237">
        <v>2</v>
      </c>
      <c r="V111" s="1238">
        <v>3</v>
      </c>
      <c r="W111" s="1238">
        <v>4</v>
      </c>
      <c r="X111" s="1239">
        <f t="shared" si="115"/>
        <v>9</v>
      </c>
      <c r="Y111" s="1237">
        <v>1</v>
      </c>
      <c r="Z111" s="1238">
        <v>5</v>
      </c>
      <c r="AA111" s="1238"/>
      <c r="AB111" s="1239">
        <f>SUM(Y111:AA111)</f>
        <v>6</v>
      </c>
      <c r="AC111" s="1237"/>
      <c r="AD111" s="1238"/>
      <c r="AE111" s="1238">
        <v>6</v>
      </c>
      <c r="AF111" s="1240">
        <f>SUM(AC111:AE111)</f>
        <v>6</v>
      </c>
      <c r="AG111" s="1238">
        <v>3</v>
      </c>
      <c r="AH111" s="1238">
        <v>1</v>
      </c>
      <c r="AI111" s="1238"/>
      <c r="AJ111" s="1240">
        <f t="shared" si="123"/>
        <v>4</v>
      </c>
      <c r="AK111" s="1238"/>
      <c r="AL111" s="1238"/>
      <c r="AM111" s="1238"/>
      <c r="AN111" s="1240"/>
      <c r="AO111" s="1238">
        <v>1</v>
      </c>
      <c r="AP111" s="1238">
        <v>2</v>
      </c>
      <c r="AQ111" s="1238">
        <v>2</v>
      </c>
      <c r="AR111" s="1240">
        <f t="shared" si="91"/>
        <v>5</v>
      </c>
      <c r="AS111" s="1238">
        <v>1</v>
      </c>
      <c r="AT111" s="1238">
        <v>4</v>
      </c>
      <c r="AU111" s="1238">
        <v>3</v>
      </c>
      <c r="AV111" s="1240">
        <f t="shared" si="92"/>
        <v>8</v>
      </c>
      <c r="AW111" s="1238">
        <v>1</v>
      </c>
      <c r="AX111" s="1238">
        <v>2</v>
      </c>
      <c r="AY111" s="1238">
        <v>7</v>
      </c>
      <c r="AZ111" s="1240">
        <f t="shared" si="93"/>
        <v>10</v>
      </c>
      <c r="BA111" s="1238"/>
      <c r="BB111" s="1238"/>
      <c r="BC111" s="1238"/>
      <c r="BD111" s="1240">
        <f t="shared" si="94"/>
        <v>0</v>
      </c>
      <c r="BE111" s="1238"/>
      <c r="BF111" s="1238"/>
      <c r="BG111" s="1238">
        <v>1</v>
      </c>
      <c r="BH111" s="1240">
        <f>SUM(BE111:BG111)</f>
        <v>1</v>
      </c>
      <c r="BI111" s="1238">
        <v>1</v>
      </c>
      <c r="BJ111" s="1238">
        <v>1</v>
      </c>
      <c r="BK111" s="1238">
        <v>1</v>
      </c>
      <c r="BL111" s="1240">
        <f>SUM(BI111:BK111)</f>
        <v>3</v>
      </c>
      <c r="BM111" s="1238"/>
      <c r="BN111" s="1238">
        <v>1</v>
      </c>
      <c r="BO111" s="1238">
        <v>1</v>
      </c>
      <c r="BP111" s="1240">
        <f t="shared" si="119"/>
        <v>2</v>
      </c>
      <c r="BQ111" s="1238">
        <v>2</v>
      </c>
      <c r="BR111" s="1238">
        <v>3</v>
      </c>
      <c r="BS111" s="1238">
        <v>2</v>
      </c>
      <c r="BT111" s="1240">
        <f t="shared" si="120"/>
        <v>7</v>
      </c>
      <c r="BU111" s="1237">
        <v>2</v>
      </c>
      <c r="BV111" s="1238">
        <v>3</v>
      </c>
      <c r="BW111" s="1238">
        <v>4</v>
      </c>
      <c r="BX111" s="1240">
        <f t="shared" si="121"/>
        <v>9</v>
      </c>
      <c r="BY111" s="1237">
        <v>2</v>
      </c>
      <c r="BZ111" s="1238">
        <v>4</v>
      </c>
      <c r="CA111" s="1238">
        <v>4</v>
      </c>
      <c r="CB111" s="1240">
        <f t="shared" si="122"/>
        <v>10</v>
      </c>
    </row>
    <row r="112" spans="1:80" ht="12.75" customHeight="1" x14ac:dyDescent="0.2">
      <c r="A112" s="6426"/>
      <c r="B112" s="6428"/>
      <c r="C112" s="6432"/>
      <c r="D112" s="1262" t="s">
        <v>93</v>
      </c>
      <c r="E112" s="1237">
        <v>1</v>
      </c>
      <c r="F112" s="1238"/>
      <c r="G112" s="1238">
        <v>1</v>
      </c>
      <c r="H112" s="1239">
        <f>SUM(E112:G112)</f>
        <v>2</v>
      </c>
      <c r="I112" s="1237"/>
      <c r="J112" s="1238">
        <v>1</v>
      </c>
      <c r="K112" s="1238">
        <v>1</v>
      </c>
      <c r="L112" s="1239">
        <f t="shared" si="124"/>
        <v>2</v>
      </c>
      <c r="M112" s="1237">
        <v>1</v>
      </c>
      <c r="N112" s="1238">
        <v>1</v>
      </c>
      <c r="O112" s="1238">
        <v>1</v>
      </c>
      <c r="P112" s="1239">
        <f t="shared" si="125"/>
        <v>3</v>
      </c>
      <c r="Q112" s="1237"/>
      <c r="R112" s="1238"/>
      <c r="S112" s="1238"/>
      <c r="T112" s="1239"/>
      <c r="U112" s="1237"/>
      <c r="V112" s="1238">
        <v>1</v>
      </c>
      <c r="W112" s="1238"/>
      <c r="X112" s="1239">
        <f t="shared" si="115"/>
        <v>1</v>
      </c>
      <c r="Y112" s="1237"/>
      <c r="Z112" s="1238">
        <v>4</v>
      </c>
      <c r="AA112" s="1238">
        <v>2</v>
      </c>
      <c r="AB112" s="1239">
        <f>SUM(Y112:AA112)</f>
        <v>6</v>
      </c>
      <c r="AC112" s="1237">
        <v>4</v>
      </c>
      <c r="AD112" s="1238"/>
      <c r="AE112" s="1238">
        <v>5</v>
      </c>
      <c r="AF112" s="1240">
        <f>SUM(AC112:AE112)</f>
        <v>9</v>
      </c>
      <c r="AG112" s="1238"/>
      <c r="AH112" s="1238">
        <v>1</v>
      </c>
      <c r="AI112" s="1238">
        <v>9</v>
      </c>
      <c r="AJ112" s="1240">
        <f t="shared" si="123"/>
        <v>10</v>
      </c>
      <c r="AK112" s="1238">
        <v>2</v>
      </c>
      <c r="AL112" s="1238">
        <v>2</v>
      </c>
      <c r="AM112" s="1238">
        <v>1</v>
      </c>
      <c r="AN112" s="1240">
        <f t="shared" ref="AN112:AN118" si="127">SUM(AK112:AM112)</f>
        <v>5</v>
      </c>
      <c r="AO112" s="1238">
        <v>6</v>
      </c>
      <c r="AP112" s="1238">
        <v>2</v>
      </c>
      <c r="AQ112" s="1238">
        <v>1</v>
      </c>
      <c r="AR112" s="1240">
        <f t="shared" si="91"/>
        <v>9</v>
      </c>
      <c r="AS112" s="1238">
        <v>2</v>
      </c>
      <c r="AT112" s="1238">
        <v>8</v>
      </c>
      <c r="AU112" s="1238">
        <v>7</v>
      </c>
      <c r="AV112" s="1240">
        <f t="shared" si="92"/>
        <v>17</v>
      </c>
      <c r="AW112" s="1238">
        <v>4</v>
      </c>
      <c r="AX112" s="1238">
        <v>1</v>
      </c>
      <c r="AY112" s="1238">
        <v>7</v>
      </c>
      <c r="AZ112" s="1240">
        <f t="shared" si="93"/>
        <v>12</v>
      </c>
      <c r="BA112" s="1238">
        <v>13</v>
      </c>
      <c r="BB112" s="1238">
        <v>1</v>
      </c>
      <c r="BC112" s="1238">
        <v>7</v>
      </c>
      <c r="BD112" s="1240">
        <f t="shared" si="94"/>
        <v>21</v>
      </c>
      <c r="BE112" s="1238">
        <v>1</v>
      </c>
      <c r="BF112" s="1238">
        <v>4</v>
      </c>
      <c r="BG112" s="1238">
        <v>5</v>
      </c>
      <c r="BH112" s="1240">
        <f t="shared" ref="BH112:BH122" si="128">SUM(BE112:BG112)</f>
        <v>10</v>
      </c>
      <c r="BI112" s="1238">
        <v>3</v>
      </c>
      <c r="BJ112" s="1238">
        <v>3</v>
      </c>
      <c r="BK112" s="1238">
        <v>13</v>
      </c>
      <c r="BL112" s="1240">
        <f t="shared" ref="BL112:BL119" si="129">SUM(BI112:BK112)</f>
        <v>19</v>
      </c>
      <c r="BM112" s="1238">
        <v>1</v>
      </c>
      <c r="BN112" s="1238"/>
      <c r="BO112" s="1238">
        <v>3</v>
      </c>
      <c r="BP112" s="1240">
        <f t="shared" si="119"/>
        <v>4</v>
      </c>
      <c r="BQ112" s="1238">
        <v>7</v>
      </c>
      <c r="BR112" s="1238"/>
      <c r="BS112" s="1238">
        <v>3</v>
      </c>
      <c r="BT112" s="1240">
        <f t="shared" si="120"/>
        <v>10</v>
      </c>
      <c r="BU112" s="1237">
        <v>4</v>
      </c>
      <c r="BV112" s="1238">
        <v>2</v>
      </c>
      <c r="BW112" s="1238">
        <v>4</v>
      </c>
      <c r="BX112" s="1240">
        <f t="shared" si="121"/>
        <v>10</v>
      </c>
      <c r="BY112" s="1237">
        <v>5</v>
      </c>
      <c r="BZ112" s="1238">
        <v>4</v>
      </c>
      <c r="CA112" s="1238">
        <v>3</v>
      </c>
      <c r="CB112" s="1240">
        <f t="shared" si="122"/>
        <v>12</v>
      </c>
    </row>
    <row r="113" spans="1:80" ht="12.75" customHeight="1" x14ac:dyDescent="0.2">
      <c r="A113" s="6426"/>
      <c r="B113" s="6428"/>
      <c r="C113" s="6432"/>
      <c r="D113" s="1262" t="s">
        <v>395</v>
      </c>
      <c r="E113" s="1237">
        <v>1</v>
      </c>
      <c r="F113" s="1238"/>
      <c r="G113" s="1238">
        <v>2</v>
      </c>
      <c r="H113" s="1239">
        <f>SUM(E113:G113)</f>
        <v>3</v>
      </c>
      <c r="I113" s="1237"/>
      <c r="J113" s="1238">
        <v>3</v>
      </c>
      <c r="K113" s="1238">
        <v>5</v>
      </c>
      <c r="L113" s="1239">
        <f t="shared" si="124"/>
        <v>8</v>
      </c>
      <c r="M113" s="1237"/>
      <c r="N113" s="1238"/>
      <c r="O113" s="1238">
        <v>3</v>
      </c>
      <c r="P113" s="1239">
        <f t="shared" si="125"/>
        <v>3</v>
      </c>
      <c r="Q113" s="1237">
        <v>1</v>
      </c>
      <c r="R113" s="1238">
        <v>1</v>
      </c>
      <c r="S113" s="1238"/>
      <c r="T113" s="1239">
        <f t="shared" si="126"/>
        <v>2</v>
      </c>
      <c r="U113" s="1237">
        <v>1</v>
      </c>
      <c r="V113" s="1238">
        <v>3</v>
      </c>
      <c r="W113" s="1238"/>
      <c r="X113" s="1239">
        <f t="shared" si="115"/>
        <v>4</v>
      </c>
      <c r="Y113" s="1237"/>
      <c r="Z113" s="1238">
        <v>4</v>
      </c>
      <c r="AA113" s="1238"/>
      <c r="AB113" s="1239">
        <f>SUM(Y113:AA113)</f>
        <v>4</v>
      </c>
      <c r="AC113" s="1237">
        <v>1</v>
      </c>
      <c r="AD113" s="1238">
        <v>5</v>
      </c>
      <c r="AE113" s="1238">
        <v>1</v>
      </c>
      <c r="AF113" s="1240">
        <f>SUM(AC113:AE113)</f>
        <v>7</v>
      </c>
      <c r="AG113" s="1238"/>
      <c r="AH113" s="1238">
        <v>2</v>
      </c>
      <c r="AI113" s="1238"/>
      <c r="AJ113" s="1240">
        <f t="shared" si="123"/>
        <v>2</v>
      </c>
      <c r="AK113" s="1238"/>
      <c r="AL113" s="1238">
        <v>2</v>
      </c>
      <c r="AM113" s="1238">
        <v>1</v>
      </c>
      <c r="AN113" s="1240">
        <f t="shared" si="127"/>
        <v>3</v>
      </c>
      <c r="AO113" s="1238"/>
      <c r="AP113" s="1238">
        <v>1</v>
      </c>
      <c r="AQ113" s="1238">
        <v>1</v>
      </c>
      <c r="AR113" s="1240">
        <f t="shared" si="91"/>
        <v>2</v>
      </c>
      <c r="AS113" s="1238">
        <v>5</v>
      </c>
      <c r="AT113" s="1238">
        <v>1</v>
      </c>
      <c r="AU113" s="1238">
        <v>1</v>
      </c>
      <c r="AV113" s="1240">
        <f t="shared" si="92"/>
        <v>7</v>
      </c>
      <c r="AW113" s="1238"/>
      <c r="AX113" s="1238">
        <v>7</v>
      </c>
      <c r="AY113" s="1238">
        <v>4</v>
      </c>
      <c r="AZ113" s="1240">
        <f t="shared" si="93"/>
        <v>11</v>
      </c>
      <c r="BA113" s="1238">
        <v>1</v>
      </c>
      <c r="BB113" s="1238"/>
      <c r="BC113" s="1238">
        <v>3</v>
      </c>
      <c r="BD113" s="1240">
        <f t="shared" si="94"/>
        <v>4</v>
      </c>
      <c r="BE113" s="1238">
        <v>1</v>
      </c>
      <c r="BF113" s="1238">
        <v>4</v>
      </c>
      <c r="BG113" s="1238"/>
      <c r="BH113" s="1240">
        <f t="shared" si="128"/>
        <v>5</v>
      </c>
      <c r="BI113" s="1238">
        <v>1</v>
      </c>
      <c r="BJ113" s="1238">
        <v>2</v>
      </c>
      <c r="BK113" s="1238">
        <v>6</v>
      </c>
      <c r="BL113" s="1240">
        <f t="shared" si="129"/>
        <v>9</v>
      </c>
      <c r="BM113" s="1238">
        <v>2</v>
      </c>
      <c r="BN113" s="1238">
        <v>1</v>
      </c>
      <c r="BO113" s="1238"/>
      <c r="BP113" s="1240">
        <f t="shared" si="119"/>
        <v>3</v>
      </c>
      <c r="BQ113" s="1238">
        <v>2</v>
      </c>
      <c r="BR113" s="1238">
        <v>5</v>
      </c>
      <c r="BS113" s="1238">
        <v>1</v>
      </c>
      <c r="BT113" s="1240">
        <f t="shared" si="120"/>
        <v>8</v>
      </c>
      <c r="BU113" s="1237"/>
      <c r="BV113" s="1238"/>
      <c r="BW113" s="1238"/>
      <c r="BX113" s="1240">
        <f t="shared" si="121"/>
        <v>0</v>
      </c>
      <c r="BY113" s="1237">
        <v>3</v>
      </c>
      <c r="BZ113" s="1238">
        <v>9</v>
      </c>
      <c r="CA113" s="1238">
        <v>1</v>
      </c>
      <c r="CB113" s="1240">
        <f t="shared" si="122"/>
        <v>13</v>
      </c>
    </row>
    <row r="114" spans="1:80" ht="12.75" customHeight="1" x14ac:dyDescent="0.2">
      <c r="A114" s="6426"/>
      <c r="B114" s="6428"/>
      <c r="C114" s="6432"/>
      <c r="D114" s="1262" t="s">
        <v>620</v>
      </c>
      <c r="E114" s="1237"/>
      <c r="F114" s="1238"/>
      <c r="G114" s="1238">
        <v>1</v>
      </c>
      <c r="H114" s="1239">
        <f>SUM(E114:G114)</f>
        <v>1</v>
      </c>
      <c r="I114" s="1237">
        <v>1</v>
      </c>
      <c r="J114" s="1238"/>
      <c r="K114" s="1238"/>
      <c r="L114" s="1239">
        <f t="shared" si="124"/>
        <v>1</v>
      </c>
      <c r="M114" s="1237"/>
      <c r="N114" s="1238"/>
      <c r="O114" s="1238">
        <v>1</v>
      </c>
      <c r="P114" s="1239">
        <f t="shared" si="125"/>
        <v>1</v>
      </c>
      <c r="Q114" s="1237"/>
      <c r="R114" s="1238"/>
      <c r="S114" s="1238"/>
      <c r="T114" s="1239"/>
      <c r="U114" s="1237"/>
      <c r="V114" s="1238"/>
      <c r="W114" s="1238"/>
      <c r="X114" s="1239"/>
      <c r="Y114" s="1237"/>
      <c r="Z114" s="1238"/>
      <c r="AA114" s="1238"/>
      <c r="AB114" s="1239"/>
      <c r="AC114" s="1237"/>
      <c r="AD114" s="1238"/>
      <c r="AE114" s="1238"/>
      <c r="AF114" s="1240"/>
      <c r="AG114" s="1238">
        <v>1</v>
      </c>
      <c r="AH114" s="1238">
        <v>1</v>
      </c>
      <c r="AI114" s="1238"/>
      <c r="AJ114" s="1240">
        <f t="shared" si="123"/>
        <v>2</v>
      </c>
      <c r="AK114" s="1238">
        <v>1</v>
      </c>
      <c r="AL114" s="1238">
        <v>1</v>
      </c>
      <c r="AM114" s="1238"/>
      <c r="AN114" s="1240">
        <f t="shared" si="127"/>
        <v>2</v>
      </c>
      <c r="AO114" s="1238">
        <v>1</v>
      </c>
      <c r="AP114" s="1238">
        <v>1</v>
      </c>
      <c r="AQ114" s="1238">
        <v>2</v>
      </c>
      <c r="AR114" s="1240">
        <f t="shared" si="91"/>
        <v>4</v>
      </c>
      <c r="AS114" s="1238"/>
      <c r="AT114" s="1238"/>
      <c r="AU114" s="1238"/>
      <c r="AV114" s="1240">
        <f t="shared" si="92"/>
        <v>0</v>
      </c>
      <c r="AW114" s="1238"/>
      <c r="AX114" s="1238"/>
      <c r="AY114" s="1238">
        <v>2</v>
      </c>
      <c r="AZ114" s="1240">
        <f t="shared" si="93"/>
        <v>2</v>
      </c>
      <c r="BA114" s="1238"/>
      <c r="BB114" s="1238"/>
      <c r="BC114" s="1238"/>
      <c r="BD114" s="1240">
        <f t="shared" si="94"/>
        <v>0</v>
      </c>
      <c r="BE114" s="1238">
        <v>1</v>
      </c>
      <c r="BF114" s="1238"/>
      <c r="BG114" s="1238"/>
      <c r="BH114" s="1240">
        <f t="shared" si="128"/>
        <v>1</v>
      </c>
      <c r="BI114" s="1238"/>
      <c r="BJ114" s="1238"/>
      <c r="BK114" s="1238"/>
      <c r="BL114" s="1240"/>
      <c r="BM114" s="1238"/>
      <c r="BN114" s="1238">
        <v>5</v>
      </c>
      <c r="BO114" s="1238"/>
      <c r="BP114" s="1240">
        <f t="shared" si="119"/>
        <v>5</v>
      </c>
      <c r="BQ114" s="1238"/>
      <c r="BR114" s="1238"/>
      <c r="BS114" s="1238"/>
      <c r="BT114" s="1240">
        <f t="shared" si="120"/>
        <v>0</v>
      </c>
      <c r="BU114" s="1237"/>
      <c r="BV114" s="1238">
        <v>1</v>
      </c>
      <c r="BW114" s="1238"/>
      <c r="BX114" s="1240">
        <f t="shared" si="121"/>
        <v>1</v>
      </c>
      <c r="BY114" s="1237"/>
      <c r="BZ114" s="1238"/>
      <c r="CA114" s="1238"/>
      <c r="CB114" s="1240">
        <f t="shared" si="122"/>
        <v>0</v>
      </c>
    </row>
    <row r="115" spans="1:80" ht="12.75" customHeight="1" x14ac:dyDescent="0.2">
      <c r="A115" s="6426"/>
      <c r="B115" s="6428"/>
      <c r="C115" s="6432"/>
      <c r="D115" s="1262" t="s">
        <v>95</v>
      </c>
      <c r="E115" s="1237"/>
      <c r="F115" s="1238"/>
      <c r="G115" s="1238"/>
      <c r="H115" s="1239"/>
      <c r="I115" s="1237"/>
      <c r="J115" s="1238"/>
      <c r="K115" s="1238">
        <v>2</v>
      </c>
      <c r="L115" s="1239">
        <f t="shared" si="124"/>
        <v>2</v>
      </c>
      <c r="M115" s="1237">
        <v>5</v>
      </c>
      <c r="N115" s="1238"/>
      <c r="O115" s="1238"/>
      <c r="P115" s="1239">
        <f t="shared" si="125"/>
        <v>5</v>
      </c>
      <c r="Q115" s="1237">
        <v>1</v>
      </c>
      <c r="R115" s="1238"/>
      <c r="S115" s="1238">
        <v>1</v>
      </c>
      <c r="T115" s="1239">
        <f t="shared" si="126"/>
        <v>2</v>
      </c>
      <c r="U115" s="1237">
        <v>1</v>
      </c>
      <c r="V115" s="1238">
        <v>2</v>
      </c>
      <c r="W115" s="1238">
        <v>3</v>
      </c>
      <c r="X115" s="1239">
        <f>SUM(U115:W115)</f>
        <v>6</v>
      </c>
      <c r="Y115" s="1237">
        <v>3</v>
      </c>
      <c r="Z115" s="1238">
        <v>2</v>
      </c>
      <c r="AA115" s="1238">
        <v>4</v>
      </c>
      <c r="AB115" s="1239">
        <f>SUM(Y115:AA115)</f>
        <v>9</v>
      </c>
      <c r="AC115" s="1237"/>
      <c r="AD115" s="1238">
        <v>1</v>
      </c>
      <c r="AE115" s="1238"/>
      <c r="AF115" s="1240">
        <f>SUM(AC115:AE115)</f>
        <v>1</v>
      </c>
      <c r="AG115" s="1238">
        <v>2</v>
      </c>
      <c r="AH115" s="1238">
        <v>2</v>
      </c>
      <c r="AI115" s="1238">
        <v>5</v>
      </c>
      <c r="AJ115" s="1240">
        <f t="shared" si="123"/>
        <v>9</v>
      </c>
      <c r="AK115" s="1238">
        <v>2</v>
      </c>
      <c r="AL115" s="1238">
        <v>1</v>
      </c>
      <c r="AM115" s="1238">
        <v>5</v>
      </c>
      <c r="AN115" s="1240">
        <f t="shared" si="127"/>
        <v>8</v>
      </c>
      <c r="AO115" s="1238">
        <v>1</v>
      </c>
      <c r="AP115" s="1238">
        <v>5</v>
      </c>
      <c r="AQ115" s="1238">
        <v>3</v>
      </c>
      <c r="AR115" s="1240">
        <f t="shared" si="91"/>
        <v>9</v>
      </c>
      <c r="AS115" s="1238">
        <v>3</v>
      </c>
      <c r="AT115" s="1238">
        <v>2</v>
      </c>
      <c r="AU115" s="1238">
        <v>3</v>
      </c>
      <c r="AV115" s="1240">
        <f t="shared" si="92"/>
        <v>8</v>
      </c>
      <c r="AW115" s="1238"/>
      <c r="AX115" s="1238">
        <v>7</v>
      </c>
      <c r="AY115" s="1238">
        <v>2</v>
      </c>
      <c r="AZ115" s="1240">
        <f t="shared" si="93"/>
        <v>9</v>
      </c>
      <c r="BA115" s="1238">
        <v>4</v>
      </c>
      <c r="BB115" s="1238">
        <v>12</v>
      </c>
      <c r="BC115" s="1238">
        <v>3</v>
      </c>
      <c r="BD115" s="1240">
        <f t="shared" si="94"/>
        <v>19</v>
      </c>
      <c r="BE115" s="1238">
        <v>4</v>
      </c>
      <c r="BF115" s="1238"/>
      <c r="BG115" s="1238">
        <v>6</v>
      </c>
      <c r="BH115" s="1240">
        <f t="shared" si="128"/>
        <v>10</v>
      </c>
      <c r="BI115" s="1238">
        <v>3</v>
      </c>
      <c r="BJ115" s="1238">
        <v>6</v>
      </c>
      <c r="BK115" s="1238">
        <v>1</v>
      </c>
      <c r="BL115" s="1240">
        <f t="shared" si="129"/>
        <v>10</v>
      </c>
      <c r="BM115" s="1238">
        <v>3</v>
      </c>
      <c r="BN115" s="1238">
        <v>5</v>
      </c>
      <c r="BO115" s="1238">
        <v>7</v>
      </c>
      <c r="BP115" s="1240">
        <f t="shared" si="119"/>
        <v>15</v>
      </c>
      <c r="BQ115" s="1238">
        <v>4</v>
      </c>
      <c r="BR115" s="1238">
        <v>4</v>
      </c>
      <c r="BS115" s="1238">
        <v>4</v>
      </c>
      <c r="BT115" s="1240">
        <f t="shared" si="120"/>
        <v>12</v>
      </c>
      <c r="BU115" s="1237">
        <v>6</v>
      </c>
      <c r="BV115" s="1238">
        <v>3</v>
      </c>
      <c r="BW115" s="1238">
        <v>3</v>
      </c>
      <c r="BX115" s="1240">
        <f t="shared" si="121"/>
        <v>12</v>
      </c>
      <c r="BY115" s="1237">
        <v>2</v>
      </c>
      <c r="BZ115" s="1238">
        <v>6</v>
      </c>
      <c r="CA115" s="1238">
        <v>1</v>
      </c>
      <c r="CB115" s="1240">
        <f t="shared" si="122"/>
        <v>9</v>
      </c>
    </row>
    <row r="116" spans="1:80" ht="12.75" customHeight="1" x14ac:dyDescent="0.2">
      <c r="A116" s="6426"/>
      <c r="B116" s="6428"/>
      <c r="C116" s="6432"/>
      <c r="D116" s="1262" t="s">
        <v>92</v>
      </c>
      <c r="E116" s="1237"/>
      <c r="F116" s="1238"/>
      <c r="G116" s="1238"/>
      <c r="H116" s="1239"/>
      <c r="I116" s="1237"/>
      <c r="J116" s="1238"/>
      <c r="K116" s="1238"/>
      <c r="L116" s="1239"/>
      <c r="M116" s="1237"/>
      <c r="N116" s="1238"/>
      <c r="O116" s="1238"/>
      <c r="P116" s="1239"/>
      <c r="Q116" s="1237"/>
      <c r="R116" s="1238"/>
      <c r="S116" s="1238"/>
      <c r="T116" s="1239"/>
      <c r="U116" s="1237"/>
      <c r="V116" s="1238"/>
      <c r="W116" s="1238"/>
      <c r="X116" s="1239"/>
      <c r="Y116" s="1237"/>
      <c r="Z116" s="1238">
        <v>1</v>
      </c>
      <c r="AA116" s="1238"/>
      <c r="AB116" s="1239">
        <f>SUM(Y116:AA116)</f>
        <v>1</v>
      </c>
      <c r="AC116" s="1237">
        <v>2</v>
      </c>
      <c r="AD116" s="1238">
        <v>1</v>
      </c>
      <c r="AE116" s="1238">
        <v>2</v>
      </c>
      <c r="AF116" s="1240">
        <f>SUM(AC116:AE116)</f>
        <v>5</v>
      </c>
      <c r="AG116" s="1238">
        <v>3</v>
      </c>
      <c r="AH116" s="1238">
        <v>4</v>
      </c>
      <c r="AI116" s="1238">
        <v>3</v>
      </c>
      <c r="AJ116" s="1240">
        <f t="shared" si="123"/>
        <v>10</v>
      </c>
      <c r="AK116" s="1238">
        <v>1</v>
      </c>
      <c r="AL116" s="1238">
        <v>6</v>
      </c>
      <c r="AM116" s="1238">
        <v>8</v>
      </c>
      <c r="AN116" s="1240">
        <f t="shared" si="127"/>
        <v>15</v>
      </c>
      <c r="AO116" s="1238">
        <v>3</v>
      </c>
      <c r="AP116" s="1238">
        <v>3</v>
      </c>
      <c r="AQ116" s="1238">
        <v>1</v>
      </c>
      <c r="AR116" s="1240">
        <f t="shared" si="91"/>
        <v>7</v>
      </c>
      <c r="AS116" s="1238">
        <v>5</v>
      </c>
      <c r="AT116" s="1238">
        <v>8</v>
      </c>
      <c r="AU116" s="1238">
        <v>5</v>
      </c>
      <c r="AV116" s="1240">
        <f t="shared" si="92"/>
        <v>18</v>
      </c>
      <c r="AW116" s="1238">
        <v>6</v>
      </c>
      <c r="AX116" s="1238">
        <v>4</v>
      </c>
      <c r="AY116" s="1238">
        <v>3</v>
      </c>
      <c r="AZ116" s="1240">
        <f t="shared" si="93"/>
        <v>13</v>
      </c>
      <c r="BA116" s="1238">
        <v>4</v>
      </c>
      <c r="BB116" s="1238">
        <v>4</v>
      </c>
      <c r="BC116" s="1238">
        <v>6</v>
      </c>
      <c r="BD116" s="1240">
        <f t="shared" si="94"/>
        <v>14</v>
      </c>
      <c r="BE116" s="1238">
        <v>4</v>
      </c>
      <c r="BF116" s="1238">
        <v>1</v>
      </c>
      <c r="BG116" s="1238">
        <v>1</v>
      </c>
      <c r="BH116" s="1240">
        <f t="shared" si="128"/>
        <v>6</v>
      </c>
      <c r="BI116" s="1238">
        <v>6</v>
      </c>
      <c r="BJ116" s="1238">
        <v>3</v>
      </c>
      <c r="BK116" s="1238">
        <v>5</v>
      </c>
      <c r="BL116" s="1240">
        <f t="shared" si="129"/>
        <v>14</v>
      </c>
      <c r="BM116" s="1238">
        <v>1</v>
      </c>
      <c r="BN116" s="1238">
        <v>12</v>
      </c>
      <c r="BO116" s="1238">
        <v>9</v>
      </c>
      <c r="BP116" s="1240">
        <f t="shared" si="119"/>
        <v>22</v>
      </c>
      <c r="BQ116" s="1238">
        <v>2</v>
      </c>
      <c r="BR116" s="1238">
        <v>6</v>
      </c>
      <c r="BS116" s="1238">
        <v>12</v>
      </c>
      <c r="BT116" s="1240">
        <f t="shared" si="120"/>
        <v>20</v>
      </c>
      <c r="BU116" s="1237">
        <v>4</v>
      </c>
      <c r="BV116" s="1238">
        <v>7</v>
      </c>
      <c r="BW116" s="1238">
        <v>6</v>
      </c>
      <c r="BX116" s="1240">
        <f t="shared" si="121"/>
        <v>17</v>
      </c>
      <c r="BY116" s="1237">
        <v>6</v>
      </c>
      <c r="BZ116" s="1238">
        <v>8</v>
      </c>
      <c r="CA116" s="1238">
        <v>3</v>
      </c>
      <c r="CB116" s="1240">
        <f t="shared" si="122"/>
        <v>17</v>
      </c>
    </row>
    <row r="117" spans="1:80" ht="12.75" customHeight="1" x14ac:dyDescent="0.2">
      <c r="A117" s="6426"/>
      <c r="B117" s="6428"/>
      <c r="C117" s="6433"/>
      <c r="D117" s="1262" t="s">
        <v>1564</v>
      </c>
      <c r="E117" s="1237"/>
      <c r="F117" s="1238"/>
      <c r="G117" s="1238"/>
      <c r="H117" s="1239"/>
      <c r="I117" s="1237"/>
      <c r="J117" s="1238"/>
      <c r="K117" s="1238"/>
      <c r="L117" s="1239"/>
      <c r="M117" s="1237"/>
      <c r="N117" s="1238"/>
      <c r="O117" s="1238"/>
      <c r="P117" s="1239"/>
      <c r="Q117" s="1237"/>
      <c r="R117" s="1238"/>
      <c r="S117" s="1238"/>
      <c r="T117" s="1239"/>
      <c r="U117" s="1237"/>
      <c r="V117" s="1238"/>
      <c r="W117" s="1238"/>
      <c r="X117" s="1239"/>
      <c r="Y117" s="1237"/>
      <c r="Z117" s="1238"/>
      <c r="AA117" s="1238"/>
      <c r="AB117" s="1239"/>
      <c r="AC117" s="1237"/>
      <c r="AD117" s="1238"/>
      <c r="AE117" s="1238"/>
      <c r="AF117" s="1240"/>
      <c r="AG117" s="1238"/>
      <c r="AH117" s="1238"/>
      <c r="AI117" s="1238"/>
      <c r="AJ117" s="1240"/>
      <c r="AK117" s="1238"/>
      <c r="AL117" s="1238"/>
      <c r="AM117" s="1238"/>
      <c r="AN117" s="1240"/>
      <c r="AO117" s="1238"/>
      <c r="AP117" s="1238"/>
      <c r="AQ117" s="1238"/>
      <c r="AR117" s="1240"/>
      <c r="AS117" s="1238"/>
      <c r="AT117" s="1238"/>
      <c r="AU117" s="1238"/>
      <c r="AV117" s="1240"/>
      <c r="AW117" s="1238"/>
      <c r="AX117" s="1238"/>
      <c r="AY117" s="1238"/>
      <c r="AZ117" s="1240"/>
      <c r="BA117" s="1238"/>
      <c r="BB117" s="1238"/>
      <c r="BC117" s="1238"/>
      <c r="BD117" s="1240"/>
      <c r="BE117" s="1238"/>
      <c r="BF117" s="1238"/>
      <c r="BG117" s="1238"/>
      <c r="BH117" s="1240"/>
      <c r="BI117" s="1238"/>
      <c r="BJ117" s="1238"/>
      <c r="BK117" s="1238"/>
      <c r="BL117" s="1240"/>
      <c r="BM117" s="1238"/>
      <c r="BN117" s="1238"/>
      <c r="BO117" s="1238"/>
      <c r="BP117" s="1240"/>
      <c r="BQ117" s="1238"/>
      <c r="BR117" s="1238"/>
      <c r="BS117" s="1238"/>
      <c r="BT117" s="1240"/>
      <c r="BU117" s="1237"/>
      <c r="BV117" s="1238"/>
      <c r="BW117" s="1238">
        <v>3</v>
      </c>
      <c r="BX117" s="1240">
        <f t="shared" si="121"/>
        <v>3</v>
      </c>
      <c r="BY117" s="1237">
        <v>2</v>
      </c>
      <c r="BZ117" s="1238">
        <v>2</v>
      </c>
      <c r="CA117" s="1238">
        <v>2</v>
      </c>
      <c r="CB117" s="1240">
        <f t="shared" si="122"/>
        <v>6</v>
      </c>
    </row>
    <row r="118" spans="1:80" ht="12.75" customHeight="1" x14ac:dyDescent="0.2">
      <c r="A118" s="6426"/>
      <c r="B118" s="6428"/>
      <c r="C118" s="6434" t="s">
        <v>520</v>
      </c>
      <c r="D118" s="1261" t="s">
        <v>621</v>
      </c>
      <c r="E118" s="1237"/>
      <c r="F118" s="1238">
        <v>2</v>
      </c>
      <c r="G118" s="1238">
        <v>3</v>
      </c>
      <c r="H118" s="1239">
        <f>SUM(E118:G118)</f>
        <v>5</v>
      </c>
      <c r="I118" s="1237">
        <v>1</v>
      </c>
      <c r="J118" s="1238">
        <v>2</v>
      </c>
      <c r="K118" s="1238">
        <v>1</v>
      </c>
      <c r="L118" s="1239">
        <f>SUM(I118:K118)</f>
        <v>4</v>
      </c>
      <c r="M118" s="1237">
        <v>1</v>
      </c>
      <c r="N118" s="1238">
        <v>1</v>
      </c>
      <c r="O118" s="1238">
        <v>1</v>
      </c>
      <c r="P118" s="1239">
        <f t="shared" si="125"/>
        <v>3</v>
      </c>
      <c r="Q118" s="1237">
        <v>1</v>
      </c>
      <c r="R118" s="1238">
        <v>1</v>
      </c>
      <c r="S118" s="1238"/>
      <c r="T118" s="1239">
        <f t="shared" si="126"/>
        <v>2</v>
      </c>
      <c r="U118" s="1237">
        <v>3</v>
      </c>
      <c r="V118" s="1238">
        <v>1</v>
      </c>
      <c r="W118" s="1238">
        <v>5</v>
      </c>
      <c r="X118" s="1239">
        <f>SUM(U118:W118)</f>
        <v>9</v>
      </c>
      <c r="Y118" s="1237">
        <v>2</v>
      </c>
      <c r="Z118" s="1238"/>
      <c r="AA118" s="1238">
        <v>1</v>
      </c>
      <c r="AB118" s="1239">
        <f>SUM(Y118:AA118)</f>
        <v>3</v>
      </c>
      <c r="AC118" s="1237">
        <v>2</v>
      </c>
      <c r="AD118" s="1238">
        <v>6</v>
      </c>
      <c r="AE118" s="1238">
        <v>4</v>
      </c>
      <c r="AF118" s="1240">
        <f>SUM(AC118:AE118)</f>
        <v>12</v>
      </c>
      <c r="AG118" s="1238">
        <v>6</v>
      </c>
      <c r="AH118" s="1238">
        <v>4</v>
      </c>
      <c r="AI118" s="1238">
        <v>2</v>
      </c>
      <c r="AJ118" s="1240">
        <f t="shared" si="123"/>
        <v>12</v>
      </c>
      <c r="AK118" s="1238">
        <v>2</v>
      </c>
      <c r="AL118" s="1238">
        <v>4</v>
      </c>
      <c r="AM118" s="1238">
        <v>5</v>
      </c>
      <c r="AN118" s="1240">
        <f t="shared" si="127"/>
        <v>11</v>
      </c>
      <c r="AO118" s="1238">
        <v>2</v>
      </c>
      <c r="AP118" s="1238">
        <v>2</v>
      </c>
      <c r="AQ118" s="1238">
        <v>2</v>
      </c>
      <c r="AR118" s="1240">
        <f t="shared" si="91"/>
        <v>6</v>
      </c>
      <c r="AS118" s="1238">
        <v>1</v>
      </c>
      <c r="AT118" s="1238">
        <v>1</v>
      </c>
      <c r="AU118" s="1238">
        <v>2</v>
      </c>
      <c r="AV118" s="1240">
        <f t="shared" si="92"/>
        <v>4</v>
      </c>
      <c r="AW118" s="1238">
        <v>1</v>
      </c>
      <c r="AX118" s="1238">
        <v>5</v>
      </c>
      <c r="AY118" s="1238">
        <v>5</v>
      </c>
      <c r="AZ118" s="1240">
        <f t="shared" si="93"/>
        <v>11</v>
      </c>
      <c r="BA118" s="1238">
        <v>3</v>
      </c>
      <c r="BB118" s="1238">
        <v>4</v>
      </c>
      <c r="BC118" s="1238">
        <v>7</v>
      </c>
      <c r="BD118" s="1240">
        <f t="shared" si="94"/>
        <v>14</v>
      </c>
      <c r="BE118" s="1238">
        <v>7</v>
      </c>
      <c r="BF118" s="1238">
        <v>1</v>
      </c>
      <c r="BG118" s="1238">
        <v>7</v>
      </c>
      <c r="BH118" s="1240">
        <f t="shared" si="128"/>
        <v>15</v>
      </c>
      <c r="BI118" s="1238">
        <v>4</v>
      </c>
      <c r="BJ118" s="1238"/>
      <c r="BK118" s="1238">
        <v>3</v>
      </c>
      <c r="BL118" s="1240">
        <f t="shared" si="129"/>
        <v>7</v>
      </c>
      <c r="BM118" s="1238">
        <v>3</v>
      </c>
      <c r="BN118" s="1238">
        <v>3</v>
      </c>
      <c r="BO118" s="1238">
        <v>1</v>
      </c>
      <c r="BP118" s="1240">
        <f t="shared" si="119"/>
        <v>7</v>
      </c>
      <c r="BQ118" s="1238">
        <v>6</v>
      </c>
      <c r="BR118" s="1238">
        <v>2</v>
      </c>
      <c r="BS118" s="1238">
        <v>4</v>
      </c>
      <c r="BT118" s="1240">
        <f t="shared" si="120"/>
        <v>12</v>
      </c>
      <c r="BU118" s="1237">
        <v>4</v>
      </c>
      <c r="BV118" s="1238">
        <v>2</v>
      </c>
      <c r="BW118" s="1238">
        <v>5</v>
      </c>
      <c r="BX118" s="1240">
        <f t="shared" si="121"/>
        <v>11</v>
      </c>
      <c r="BY118" s="1237">
        <v>1</v>
      </c>
      <c r="BZ118" s="1238">
        <v>6</v>
      </c>
      <c r="CA118" s="1238">
        <v>2</v>
      </c>
      <c r="CB118" s="1240">
        <f t="shared" si="122"/>
        <v>9</v>
      </c>
    </row>
    <row r="119" spans="1:80" ht="12.75" customHeight="1" x14ac:dyDescent="0.2">
      <c r="A119" s="6426"/>
      <c r="B119" s="6428"/>
      <c r="C119" s="6432"/>
      <c r="D119" s="1262" t="s">
        <v>96</v>
      </c>
      <c r="E119" s="1237"/>
      <c r="F119" s="1238"/>
      <c r="G119" s="1238"/>
      <c r="H119" s="1239"/>
      <c r="I119" s="1237"/>
      <c r="J119" s="1238"/>
      <c r="K119" s="1238"/>
      <c r="L119" s="1239">
        <f t="shared" si="124"/>
        <v>0</v>
      </c>
      <c r="M119" s="1237"/>
      <c r="N119" s="1238"/>
      <c r="O119" s="1238"/>
      <c r="P119" s="1239"/>
      <c r="Q119" s="1237"/>
      <c r="R119" s="1238"/>
      <c r="S119" s="1238"/>
      <c r="T119" s="1239"/>
      <c r="U119" s="1237"/>
      <c r="V119" s="1238"/>
      <c r="W119" s="1238"/>
      <c r="X119" s="1239"/>
      <c r="Y119" s="1237"/>
      <c r="Z119" s="1238"/>
      <c r="AA119" s="1238"/>
      <c r="AB119" s="1239"/>
      <c r="AC119" s="1237"/>
      <c r="AD119" s="1238"/>
      <c r="AE119" s="1238"/>
      <c r="AF119" s="1240"/>
      <c r="AG119" s="1238"/>
      <c r="AH119" s="1238"/>
      <c r="AI119" s="1238"/>
      <c r="AJ119" s="1240"/>
      <c r="AK119" s="1238"/>
      <c r="AL119" s="1238"/>
      <c r="AM119" s="1238"/>
      <c r="AN119" s="1240"/>
      <c r="AO119" s="1238">
        <v>2</v>
      </c>
      <c r="AP119" s="1238">
        <v>5</v>
      </c>
      <c r="AQ119" s="1238"/>
      <c r="AR119" s="1240">
        <f t="shared" si="91"/>
        <v>7</v>
      </c>
      <c r="AS119" s="1238"/>
      <c r="AT119" s="1238">
        <v>2</v>
      </c>
      <c r="AU119" s="1238"/>
      <c r="AV119" s="1240">
        <f t="shared" si="92"/>
        <v>2</v>
      </c>
      <c r="AW119" s="1238"/>
      <c r="AX119" s="1238">
        <v>3</v>
      </c>
      <c r="AY119" s="1238">
        <v>1</v>
      </c>
      <c r="AZ119" s="1240">
        <f t="shared" si="93"/>
        <v>4</v>
      </c>
      <c r="BA119" s="1238">
        <v>2</v>
      </c>
      <c r="BB119" s="1238">
        <v>1</v>
      </c>
      <c r="BC119" s="1238">
        <v>1</v>
      </c>
      <c r="BD119" s="1240">
        <f t="shared" si="94"/>
        <v>4</v>
      </c>
      <c r="BE119" s="1238"/>
      <c r="BF119" s="1238">
        <v>1</v>
      </c>
      <c r="BG119" s="1238">
        <v>1</v>
      </c>
      <c r="BH119" s="1240">
        <f t="shared" si="128"/>
        <v>2</v>
      </c>
      <c r="BI119" s="1238"/>
      <c r="BJ119" s="1238">
        <v>2</v>
      </c>
      <c r="BK119" s="1238">
        <v>3</v>
      </c>
      <c r="BL119" s="1240">
        <f t="shared" si="129"/>
        <v>5</v>
      </c>
      <c r="BM119" s="1238">
        <v>3</v>
      </c>
      <c r="BN119" s="1238">
        <v>2</v>
      </c>
      <c r="BO119" s="1238">
        <v>1</v>
      </c>
      <c r="BP119" s="1240">
        <f t="shared" si="119"/>
        <v>6</v>
      </c>
      <c r="BQ119" s="1238"/>
      <c r="BR119" s="1238"/>
      <c r="BS119" s="1238">
        <v>1</v>
      </c>
      <c r="BT119" s="1240">
        <f t="shared" si="120"/>
        <v>1</v>
      </c>
      <c r="BU119" s="1237">
        <v>2</v>
      </c>
      <c r="BV119" s="1238">
        <v>1</v>
      </c>
      <c r="BW119" s="1238">
        <v>1</v>
      </c>
      <c r="BX119" s="1240">
        <f t="shared" si="121"/>
        <v>4</v>
      </c>
      <c r="BY119" s="1237"/>
      <c r="BZ119" s="1238">
        <v>3</v>
      </c>
      <c r="CA119" s="1238">
        <v>1</v>
      </c>
      <c r="CB119" s="1240">
        <f t="shared" si="122"/>
        <v>4</v>
      </c>
    </row>
    <row r="120" spans="1:80" ht="12.75" customHeight="1" x14ac:dyDescent="0.2">
      <c r="A120" s="6426"/>
      <c r="B120" s="6428"/>
      <c r="C120" s="6432"/>
      <c r="D120" s="1261" t="s">
        <v>1565</v>
      </c>
      <c r="E120" s="1237"/>
      <c r="F120" s="1238"/>
      <c r="G120" s="1238"/>
      <c r="H120" s="1239"/>
      <c r="I120" s="1237"/>
      <c r="J120" s="1238"/>
      <c r="K120" s="1238"/>
      <c r="L120" s="1239"/>
      <c r="M120" s="1237"/>
      <c r="N120" s="1238"/>
      <c r="O120" s="1238"/>
      <c r="P120" s="1239"/>
      <c r="Q120" s="1237"/>
      <c r="R120" s="1238"/>
      <c r="S120" s="1238"/>
      <c r="T120" s="1239"/>
      <c r="U120" s="1237"/>
      <c r="V120" s="1238"/>
      <c r="W120" s="1238"/>
      <c r="X120" s="1239"/>
      <c r="Y120" s="1237"/>
      <c r="Z120" s="1238"/>
      <c r="AA120" s="1238"/>
      <c r="AB120" s="1239"/>
      <c r="AC120" s="1237"/>
      <c r="AD120" s="1238"/>
      <c r="AE120" s="1238"/>
      <c r="AF120" s="1240"/>
      <c r="AG120" s="1238"/>
      <c r="AH120" s="1238"/>
      <c r="AI120" s="1238"/>
      <c r="AJ120" s="1240"/>
      <c r="AK120" s="1238"/>
      <c r="AL120" s="1238"/>
      <c r="AM120" s="1238"/>
      <c r="AN120" s="1240"/>
      <c r="AO120" s="1238"/>
      <c r="AP120" s="1238"/>
      <c r="AQ120" s="1238"/>
      <c r="AR120" s="1240"/>
      <c r="AS120" s="1238"/>
      <c r="AT120" s="1238"/>
      <c r="AU120" s="1238"/>
      <c r="AV120" s="1240"/>
      <c r="AW120" s="1238"/>
      <c r="AX120" s="1238"/>
      <c r="AY120" s="1238"/>
      <c r="AZ120" s="1240"/>
      <c r="BA120" s="1238"/>
      <c r="BB120" s="1238"/>
      <c r="BC120" s="1238"/>
      <c r="BD120" s="1240"/>
      <c r="BE120" s="1238"/>
      <c r="BF120" s="1238"/>
      <c r="BG120" s="1238"/>
      <c r="BH120" s="1240"/>
      <c r="BI120" s="1238"/>
      <c r="BJ120" s="1238"/>
      <c r="BK120" s="1238"/>
      <c r="BL120" s="1240"/>
      <c r="BM120" s="1238"/>
      <c r="BN120" s="1238"/>
      <c r="BO120" s="1238"/>
      <c r="BP120" s="1240"/>
      <c r="BQ120" s="1238"/>
      <c r="BR120" s="1238"/>
      <c r="BS120" s="1238"/>
      <c r="BT120" s="1240"/>
      <c r="BU120" s="1237"/>
      <c r="BV120" s="1238"/>
      <c r="BW120" s="1238">
        <v>1</v>
      </c>
      <c r="BX120" s="1240">
        <f t="shared" si="121"/>
        <v>1</v>
      </c>
      <c r="BY120" s="1237">
        <v>1</v>
      </c>
      <c r="BZ120" s="1238">
        <v>1</v>
      </c>
      <c r="CA120" s="1238">
        <v>2</v>
      </c>
      <c r="CB120" s="1240">
        <f t="shared" si="122"/>
        <v>4</v>
      </c>
    </row>
    <row r="121" spans="1:80" ht="12.75" customHeight="1" x14ac:dyDescent="0.2">
      <c r="A121" s="6426"/>
      <c r="B121" s="6429"/>
      <c r="C121" s="1312"/>
      <c r="D121" s="1247" t="s">
        <v>160</v>
      </c>
      <c r="E121" s="1248">
        <f t="shared" ref="E121:AJ121" si="130">SUM(E107:E119)</f>
        <v>3</v>
      </c>
      <c r="F121" s="1249">
        <f t="shared" si="130"/>
        <v>3</v>
      </c>
      <c r="G121" s="1249">
        <f t="shared" si="130"/>
        <v>10</v>
      </c>
      <c r="H121" s="1249">
        <f t="shared" si="130"/>
        <v>16</v>
      </c>
      <c r="I121" s="1248">
        <f t="shared" si="130"/>
        <v>9</v>
      </c>
      <c r="J121" s="1249">
        <f t="shared" si="130"/>
        <v>6</v>
      </c>
      <c r="K121" s="1249">
        <f t="shared" si="130"/>
        <v>12</v>
      </c>
      <c r="L121" s="1249">
        <f t="shared" si="130"/>
        <v>27</v>
      </c>
      <c r="M121" s="1248">
        <f t="shared" si="130"/>
        <v>9</v>
      </c>
      <c r="N121" s="1249">
        <f t="shared" si="130"/>
        <v>4</v>
      </c>
      <c r="O121" s="1249">
        <f t="shared" si="130"/>
        <v>7</v>
      </c>
      <c r="P121" s="1249">
        <f t="shared" si="130"/>
        <v>20</v>
      </c>
      <c r="Q121" s="1248">
        <f t="shared" si="130"/>
        <v>4</v>
      </c>
      <c r="R121" s="1249">
        <f t="shared" si="130"/>
        <v>62</v>
      </c>
      <c r="S121" s="1249">
        <f t="shared" si="130"/>
        <v>9</v>
      </c>
      <c r="T121" s="1249">
        <f t="shared" si="130"/>
        <v>75</v>
      </c>
      <c r="U121" s="1248">
        <f t="shared" si="130"/>
        <v>8</v>
      </c>
      <c r="V121" s="1249">
        <f t="shared" si="130"/>
        <v>18</v>
      </c>
      <c r="W121" s="1249">
        <f t="shared" si="130"/>
        <v>20</v>
      </c>
      <c r="X121" s="1249">
        <f t="shared" si="130"/>
        <v>46</v>
      </c>
      <c r="Y121" s="1248">
        <f t="shared" si="130"/>
        <v>12</v>
      </c>
      <c r="Z121" s="1249">
        <f t="shared" si="130"/>
        <v>17</v>
      </c>
      <c r="AA121" s="1249">
        <f t="shared" si="130"/>
        <v>9</v>
      </c>
      <c r="AB121" s="1249">
        <f t="shared" si="130"/>
        <v>38</v>
      </c>
      <c r="AC121" s="1248">
        <f t="shared" si="130"/>
        <v>12</v>
      </c>
      <c r="AD121" s="1249">
        <f t="shared" si="130"/>
        <v>21</v>
      </c>
      <c r="AE121" s="1249">
        <f t="shared" si="130"/>
        <v>19</v>
      </c>
      <c r="AF121" s="1306">
        <f t="shared" si="130"/>
        <v>52</v>
      </c>
      <c r="AG121" s="1249">
        <f t="shared" si="130"/>
        <v>15</v>
      </c>
      <c r="AH121" s="1249">
        <f t="shared" si="130"/>
        <v>15</v>
      </c>
      <c r="AI121" s="1249">
        <f t="shared" si="130"/>
        <v>20</v>
      </c>
      <c r="AJ121" s="1306">
        <f t="shared" si="130"/>
        <v>50</v>
      </c>
      <c r="AK121" s="1249">
        <f t="shared" ref="AK121:BH121" si="131">SUM(AK107:AK119)</f>
        <v>11</v>
      </c>
      <c r="AL121" s="1249">
        <f t="shared" si="131"/>
        <v>25</v>
      </c>
      <c r="AM121" s="1249">
        <f t="shared" si="131"/>
        <v>20</v>
      </c>
      <c r="AN121" s="1306">
        <f t="shared" si="131"/>
        <v>56</v>
      </c>
      <c r="AO121" s="1249">
        <f t="shared" si="131"/>
        <v>16</v>
      </c>
      <c r="AP121" s="1249">
        <f t="shared" si="131"/>
        <v>24</v>
      </c>
      <c r="AQ121" s="1249">
        <f t="shared" si="131"/>
        <v>18</v>
      </c>
      <c r="AR121" s="1306">
        <f t="shared" si="131"/>
        <v>58</v>
      </c>
      <c r="AS121" s="1249">
        <f t="shared" si="131"/>
        <v>18</v>
      </c>
      <c r="AT121" s="1249">
        <f t="shared" si="131"/>
        <v>36</v>
      </c>
      <c r="AU121" s="1249">
        <f t="shared" si="131"/>
        <v>27</v>
      </c>
      <c r="AV121" s="1306">
        <f t="shared" si="131"/>
        <v>81</v>
      </c>
      <c r="AW121" s="1249">
        <f t="shared" si="131"/>
        <v>16</v>
      </c>
      <c r="AX121" s="1249">
        <f t="shared" si="131"/>
        <v>31</v>
      </c>
      <c r="AY121" s="1249">
        <f t="shared" si="131"/>
        <v>31</v>
      </c>
      <c r="AZ121" s="1306">
        <f t="shared" si="131"/>
        <v>78</v>
      </c>
      <c r="BA121" s="1249">
        <f t="shared" si="131"/>
        <v>27</v>
      </c>
      <c r="BB121" s="1249">
        <f t="shared" si="131"/>
        <v>23</v>
      </c>
      <c r="BC121" s="1249">
        <f t="shared" si="131"/>
        <v>33</v>
      </c>
      <c r="BD121" s="1306">
        <f t="shared" si="131"/>
        <v>83</v>
      </c>
      <c r="BE121" s="1249">
        <f t="shared" si="131"/>
        <v>24</v>
      </c>
      <c r="BF121" s="1249">
        <f t="shared" si="131"/>
        <v>12</v>
      </c>
      <c r="BG121" s="1249">
        <f t="shared" si="131"/>
        <v>21</v>
      </c>
      <c r="BH121" s="1306">
        <f t="shared" si="131"/>
        <v>57</v>
      </c>
      <c r="BI121" s="1249">
        <f t="shared" ref="BI121:BP121" si="132">SUM(BI107:BI119)</f>
        <v>19</v>
      </c>
      <c r="BJ121" s="1249">
        <f t="shared" si="132"/>
        <v>20</v>
      </c>
      <c r="BK121" s="1249">
        <f t="shared" si="132"/>
        <v>34</v>
      </c>
      <c r="BL121" s="1306">
        <f t="shared" si="132"/>
        <v>73</v>
      </c>
      <c r="BM121" s="1249">
        <f t="shared" si="132"/>
        <v>22</v>
      </c>
      <c r="BN121" s="1249">
        <f t="shared" si="132"/>
        <v>30</v>
      </c>
      <c r="BO121" s="1249">
        <f t="shared" si="132"/>
        <v>22</v>
      </c>
      <c r="BP121" s="1306">
        <f t="shared" si="132"/>
        <v>74</v>
      </c>
      <c r="BQ121" s="1249">
        <f>SUM(BQ107:BQ119)</f>
        <v>29</v>
      </c>
      <c r="BR121" s="1249">
        <f>SUM(BR107:BR119)</f>
        <v>24</v>
      </c>
      <c r="BS121" s="1249">
        <f>SUM(BS107:BS119)</f>
        <v>28</v>
      </c>
      <c r="BT121" s="1306">
        <f>SUM(BT107:BT119)</f>
        <v>81</v>
      </c>
      <c r="BU121" s="1248">
        <f t="shared" ref="BU121:CB121" si="133">SUM(BU107:BU120)</f>
        <v>22</v>
      </c>
      <c r="BV121" s="1249">
        <f t="shared" si="133"/>
        <v>20</v>
      </c>
      <c r="BW121" s="1249">
        <f t="shared" si="133"/>
        <v>31</v>
      </c>
      <c r="BX121" s="1306">
        <f t="shared" si="133"/>
        <v>73</v>
      </c>
      <c r="BY121" s="1248">
        <f t="shared" si="133"/>
        <v>25</v>
      </c>
      <c r="BZ121" s="1249">
        <f t="shared" si="133"/>
        <v>49</v>
      </c>
      <c r="CA121" s="1249">
        <f t="shared" si="133"/>
        <v>20</v>
      </c>
      <c r="CB121" s="1306">
        <f t="shared" si="133"/>
        <v>94</v>
      </c>
    </row>
    <row r="122" spans="1:80" ht="12.75" customHeight="1" x14ac:dyDescent="0.2">
      <c r="A122" s="6426"/>
      <c r="B122" s="5950" t="s">
        <v>7</v>
      </c>
      <c r="C122" s="6431" t="s">
        <v>521</v>
      </c>
      <c r="D122" s="1266" t="s">
        <v>1</v>
      </c>
      <c r="E122" s="1256"/>
      <c r="F122" s="1257"/>
      <c r="G122" s="1257"/>
      <c r="H122" s="1258"/>
      <c r="I122" s="1256"/>
      <c r="J122" s="1257"/>
      <c r="K122" s="1257"/>
      <c r="L122" s="1258"/>
      <c r="M122" s="1256"/>
      <c r="N122" s="1257"/>
      <c r="O122" s="1257"/>
      <c r="P122" s="1258"/>
      <c r="Q122" s="1256"/>
      <c r="R122" s="1257">
        <v>10</v>
      </c>
      <c r="S122" s="1257">
        <v>9</v>
      </c>
      <c r="T122" s="1258">
        <f>SUM(Q122:S122)</f>
        <v>19</v>
      </c>
      <c r="U122" s="1256"/>
      <c r="V122" s="1257"/>
      <c r="W122" s="1257"/>
      <c r="X122" s="1258"/>
      <c r="Y122" s="1256"/>
      <c r="Z122" s="1257">
        <v>15</v>
      </c>
      <c r="AA122" s="1257"/>
      <c r="AB122" s="1258">
        <f>SUM(Y122:AA122)</f>
        <v>15</v>
      </c>
      <c r="AC122" s="1256">
        <v>1</v>
      </c>
      <c r="AD122" s="1257">
        <v>12</v>
      </c>
      <c r="AE122" s="1257">
        <v>4</v>
      </c>
      <c r="AF122" s="1259">
        <f>SUM(AC122:AE122)</f>
        <v>17</v>
      </c>
      <c r="AG122" s="1257">
        <v>1</v>
      </c>
      <c r="AH122" s="1257">
        <v>25</v>
      </c>
      <c r="AI122" s="1257"/>
      <c r="AJ122" s="1259">
        <f>SUM(AG122:AI122)</f>
        <v>26</v>
      </c>
      <c r="AK122" s="1257"/>
      <c r="AL122" s="1257">
        <v>20</v>
      </c>
      <c r="AM122" s="1257"/>
      <c r="AN122" s="1259">
        <f>SUM(AK122:AM122)</f>
        <v>20</v>
      </c>
      <c r="AO122" s="1257"/>
      <c r="AP122" s="1257">
        <v>17</v>
      </c>
      <c r="AQ122" s="1257">
        <v>1</v>
      </c>
      <c r="AR122" s="1259">
        <f t="shared" si="91"/>
        <v>18</v>
      </c>
      <c r="AS122" s="1257">
        <v>1</v>
      </c>
      <c r="AT122" s="1257">
        <v>8</v>
      </c>
      <c r="AU122" s="1257">
        <v>8</v>
      </c>
      <c r="AV122" s="1259">
        <f t="shared" si="92"/>
        <v>17</v>
      </c>
      <c r="AW122" s="1257"/>
      <c r="AX122" s="1257">
        <v>2</v>
      </c>
      <c r="AY122" s="1257">
        <v>13</v>
      </c>
      <c r="AZ122" s="1259">
        <f t="shared" si="93"/>
        <v>15</v>
      </c>
      <c r="BA122" s="1257"/>
      <c r="BB122" s="1257"/>
      <c r="BC122" s="1257">
        <v>17</v>
      </c>
      <c r="BD122" s="1259">
        <f t="shared" si="94"/>
        <v>17</v>
      </c>
      <c r="BE122" s="1257"/>
      <c r="BF122" s="1257"/>
      <c r="BG122" s="1257">
        <v>12</v>
      </c>
      <c r="BH122" s="1246">
        <f t="shared" si="128"/>
        <v>12</v>
      </c>
      <c r="BI122" s="1257">
        <v>3</v>
      </c>
      <c r="BJ122" s="1257"/>
      <c r="BK122" s="1257">
        <v>15</v>
      </c>
      <c r="BL122" s="1246">
        <f>SUM(BI122:BK122)</f>
        <v>18</v>
      </c>
      <c r="BM122" s="1257">
        <v>3</v>
      </c>
      <c r="BN122" s="1257">
        <v>11</v>
      </c>
      <c r="BO122" s="1257">
        <v>5</v>
      </c>
      <c r="BP122" s="1246">
        <f>SUM(BM122:BO122)</f>
        <v>19</v>
      </c>
      <c r="BQ122" s="1257"/>
      <c r="BR122" s="1257">
        <v>4</v>
      </c>
      <c r="BS122" s="1257">
        <v>15</v>
      </c>
      <c r="BT122" s="1246">
        <f>SUM(BQ122:BS122)</f>
        <v>19</v>
      </c>
      <c r="BU122" s="1257">
        <v>1</v>
      </c>
      <c r="BV122" s="1257">
        <v>2</v>
      </c>
      <c r="BW122" s="1257">
        <v>21</v>
      </c>
      <c r="BX122" s="1246">
        <f>SUM(BU122:BW122)</f>
        <v>24</v>
      </c>
      <c r="BY122" s="1257">
        <v>2</v>
      </c>
      <c r="BZ122" s="1257">
        <v>2</v>
      </c>
      <c r="CA122" s="1257">
        <v>10</v>
      </c>
      <c r="CB122" s="1246">
        <f>SUM(BY122:CA122)</f>
        <v>14</v>
      </c>
    </row>
    <row r="123" spans="1:80" ht="12.75" customHeight="1" x14ac:dyDescent="0.2">
      <c r="A123" s="6426"/>
      <c r="B123" s="5951"/>
      <c r="C123" s="6432"/>
      <c r="D123" s="1267" t="s">
        <v>531</v>
      </c>
      <c r="E123" s="1237"/>
      <c r="F123" s="1238"/>
      <c r="G123" s="1238"/>
      <c r="H123" s="1239"/>
      <c r="I123" s="1237"/>
      <c r="J123" s="1238"/>
      <c r="K123" s="1238"/>
      <c r="L123" s="1239"/>
      <c r="M123" s="1237"/>
      <c r="N123" s="1238"/>
      <c r="O123" s="1238"/>
      <c r="P123" s="1239"/>
      <c r="Q123" s="1237"/>
      <c r="R123" s="1238"/>
      <c r="S123" s="1238"/>
      <c r="T123" s="1239"/>
      <c r="U123" s="1237"/>
      <c r="V123" s="1238"/>
      <c r="W123" s="1238"/>
      <c r="X123" s="1239"/>
      <c r="Y123" s="1237"/>
      <c r="Z123" s="1238"/>
      <c r="AA123" s="1238"/>
      <c r="AB123" s="1239"/>
      <c r="AC123" s="1237"/>
      <c r="AD123" s="1238"/>
      <c r="AE123" s="1238"/>
      <c r="AF123" s="1240"/>
      <c r="AG123" s="1238"/>
      <c r="AH123" s="1238"/>
      <c r="AI123" s="1238"/>
      <c r="AJ123" s="1240"/>
      <c r="AK123" s="1238"/>
      <c r="AL123" s="1238"/>
      <c r="AM123" s="1238"/>
      <c r="AN123" s="1240"/>
      <c r="AO123" s="1238"/>
      <c r="AP123" s="1238"/>
      <c r="AQ123" s="1238"/>
      <c r="AR123" s="1240"/>
      <c r="AS123" s="1238"/>
      <c r="AT123" s="1238"/>
      <c r="AU123" s="1238"/>
      <c r="AV123" s="1240"/>
      <c r="AW123" s="1238"/>
      <c r="AX123" s="1238"/>
      <c r="AY123" s="1238"/>
      <c r="AZ123" s="1240"/>
      <c r="BA123" s="1238">
        <v>4</v>
      </c>
      <c r="BB123" s="1238">
        <v>9</v>
      </c>
      <c r="BC123" s="1238"/>
      <c r="BD123" s="1240">
        <f t="shared" si="94"/>
        <v>13</v>
      </c>
      <c r="BE123" s="1238"/>
      <c r="BF123" s="1238"/>
      <c r="BG123" s="1238"/>
      <c r="BH123" s="1246"/>
      <c r="BI123" s="1238"/>
      <c r="BJ123" s="1238">
        <v>4</v>
      </c>
      <c r="BK123" s="1238">
        <v>5</v>
      </c>
      <c r="BL123" s="1246">
        <f>SUM(BI123:BK123)</f>
        <v>9</v>
      </c>
      <c r="BM123" s="1238"/>
      <c r="BN123" s="1238">
        <v>1</v>
      </c>
      <c r="BO123" s="1238"/>
      <c r="BP123" s="1246">
        <f>SUM(BM123:BO123)</f>
        <v>1</v>
      </c>
      <c r="BQ123" s="1238"/>
      <c r="BR123" s="1238">
        <v>9</v>
      </c>
      <c r="BS123" s="1238">
        <v>6</v>
      </c>
      <c r="BT123" s="1246">
        <f>SUM(BQ123:BS123)</f>
        <v>15</v>
      </c>
      <c r="BU123" s="1238"/>
      <c r="BV123" s="1238"/>
      <c r="BW123" s="1238"/>
      <c r="BX123" s="1246">
        <f>SUM(BU123:BW123)</f>
        <v>0</v>
      </c>
      <c r="BY123" s="1238"/>
      <c r="BZ123" s="1238"/>
      <c r="CA123" s="1238">
        <v>15</v>
      </c>
      <c r="CB123" s="1246">
        <f>SUM(BY123:CA123)</f>
        <v>15</v>
      </c>
    </row>
    <row r="124" spans="1:80" ht="12.75" customHeight="1" x14ac:dyDescent="0.2">
      <c r="A124" s="6426"/>
      <c r="B124" s="5951"/>
      <c r="C124" s="6433"/>
      <c r="D124" s="1268" t="s">
        <v>532</v>
      </c>
      <c r="E124" s="1243"/>
      <c r="F124" s="1244"/>
      <c r="G124" s="1244"/>
      <c r="H124" s="1245"/>
      <c r="I124" s="1243"/>
      <c r="J124" s="1244"/>
      <c r="K124" s="1244"/>
      <c r="L124" s="1245"/>
      <c r="M124" s="1243"/>
      <c r="N124" s="1244"/>
      <c r="O124" s="1244"/>
      <c r="P124" s="1245"/>
      <c r="Q124" s="1243"/>
      <c r="R124" s="1244"/>
      <c r="S124" s="1244"/>
      <c r="T124" s="1245"/>
      <c r="U124" s="1243"/>
      <c r="V124" s="1244"/>
      <c r="W124" s="1244"/>
      <c r="X124" s="1245"/>
      <c r="Y124" s="1243"/>
      <c r="Z124" s="1244"/>
      <c r="AA124" s="1244"/>
      <c r="AB124" s="1245"/>
      <c r="AC124" s="1243"/>
      <c r="AD124" s="1244"/>
      <c r="AE124" s="1244"/>
      <c r="AF124" s="1246"/>
      <c r="AG124" s="1244"/>
      <c r="AH124" s="1244"/>
      <c r="AI124" s="1244"/>
      <c r="AJ124" s="1246"/>
      <c r="AK124" s="1244"/>
      <c r="AL124" s="1244"/>
      <c r="AM124" s="1244"/>
      <c r="AN124" s="1246"/>
      <c r="AO124" s="1244"/>
      <c r="AP124" s="1244"/>
      <c r="AQ124" s="1244"/>
      <c r="AR124" s="1246"/>
      <c r="AS124" s="1244"/>
      <c r="AT124" s="1244"/>
      <c r="AU124" s="1244"/>
      <c r="AV124" s="1246"/>
      <c r="AW124" s="1244"/>
      <c r="AX124" s="1244"/>
      <c r="AY124" s="1244"/>
      <c r="AZ124" s="1246"/>
      <c r="BA124" s="1244"/>
      <c r="BB124" s="1244"/>
      <c r="BC124" s="1244"/>
      <c r="BD124" s="1246"/>
      <c r="BE124" s="1244"/>
      <c r="BF124" s="1244">
        <v>1</v>
      </c>
      <c r="BG124" s="1244">
        <v>1</v>
      </c>
      <c r="BH124" s="1246">
        <f>SUM(BE124:BG124)</f>
        <v>2</v>
      </c>
      <c r="BI124" s="1244"/>
      <c r="BJ124" s="1244">
        <v>24</v>
      </c>
      <c r="BK124" s="1244"/>
      <c r="BL124" s="1246">
        <f>SUM(BI124:BK124)</f>
        <v>24</v>
      </c>
      <c r="BM124" s="1244">
        <v>2</v>
      </c>
      <c r="BN124" s="1244"/>
      <c r="BO124" s="1244">
        <v>1</v>
      </c>
      <c r="BP124" s="1246">
        <f>SUM(BM124:BO124)</f>
        <v>3</v>
      </c>
      <c r="BQ124" s="1244">
        <v>17</v>
      </c>
      <c r="BR124" s="1244"/>
      <c r="BS124" s="1244"/>
      <c r="BT124" s="1246">
        <f>SUM(BQ124:BS124)</f>
        <v>17</v>
      </c>
      <c r="BU124" s="1244">
        <v>1</v>
      </c>
      <c r="BV124" s="1244"/>
      <c r="BW124" s="1244">
        <v>2</v>
      </c>
      <c r="BX124" s="1246">
        <f>SUM(BU124:BW124)</f>
        <v>3</v>
      </c>
      <c r="BY124" s="1244">
        <v>7</v>
      </c>
      <c r="BZ124" s="1244"/>
      <c r="CA124" s="1244">
        <v>2</v>
      </c>
      <c r="CB124" s="1246">
        <f>SUM(BY124:CA124)</f>
        <v>9</v>
      </c>
    </row>
    <row r="125" spans="1:80" ht="12.75" customHeight="1" x14ac:dyDescent="0.2">
      <c r="A125" s="6426"/>
      <c r="B125" s="5951"/>
      <c r="C125" s="1057" t="s">
        <v>520</v>
      </c>
      <c r="D125" s="1309" t="s">
        <v>2</v>
      </c>
      <c r="E125" s="1243"/>
      <c r="F125" s="1244"/>
      <c r="G125" s="1244"/>
      <c r="H125" s="1245"/>
      <c r="I125" s="1243"/>
      <c r="J125" s="1244"/>
      <c r="K125" s="1244"/>
      <c r="L125" s="1245"/>
      <c r="M125" s="1243"/>
      <c r="N125" s="1244"/>
      <c r="O125" s="1244"/>
      <c r="P125" s="1245"/>
      <c r="Q125" s="1243"/>
      <c r="R125" s="1244"/>
      <c r="S125" s="1244"/>
      <c r="T125" s="1245"/>
      <c r="U125" s="1243"/>
      <c r="V125" s="1244"/>
      <c r="W125" s="1244"/>
      <c r="X125" s="1245"/>
      <c r="Y125" s="1243"/>
      <c r="Z125" s="1244"/>
      <c r="AA125" s="1244"/>
      <c r="AB125" s="1245"/>
      <c r="AC125" s="1243"/>
      <c r="AD125" s="1244"/>
      <c r="AE125" s="1244"/>
      <c r="AF125" s="1246"/>
      <c r="AG125" s="1244"/>
      <c r="AH125" s="1244"/>
      <c r="AI125" s="1244"/>
      <c r="AJ125" s="1246"/>
      <c r="AK125" s="1244"/>
      <c r="AL125" s="1244"/>
      <c r="AM125" s="1244"/>
      <c r="AN125" s="1246"/>
      <c r="AO125" s="1244"/>
      <c r="AP125" s="1244">
        <v>1</v>
      </c>
      <c r="AQ125" s="1244">
        <v>1</v>
      </c>
      <c r="AR125" s="1246">
        <f t="shared" si="91"/>
        <v>2</v>
      </c>
      <c r="AS125" s="1244"/>
      <c r="AT125" s="1244"/>
      <c r="AU125" s="1244">
        <v>2</v>
      </c>
      <c r="AV125" s="1246">
        <f t="shared" si="92"/>
        <v>2</v>
      </c>
      <c r="AW125" s="1244"/>
      <c r="AX125" s="1244"/>
      <c r="AY125" s="1244">
        <v>3</v>
      </c>
      <c r="AZ125" s="1246">
        <f t="shared" si="93"/>
        <v>3</v>
      </c>
      <c r="BA125" s="1244"/>
      <c r="BB125" s="1244">
        <v>2</v>
      </c>
      <c r="BC125" s="1244">
        <v>1</v>
      </c>
      <c r="BD125" s="1246">
        <f t="shared" si="94"/>
        <v>3</v>
      </c>
      <c r="BE125" s="1244">
        <v>1</v>
      </c>
      <c r="BF125" s="1244">
        <v>1</v>
      </c>
      <c r="BG125" s="1244">
        <v>4</v>
      </c>
      <c r="BH125" s="1246">
        <f>SUM(BE125:BG125)</f>
        <v>6</v>
      </c>
      <c r="BI125" s="1244"/>
      <c r="BJ125" s="1244"/>
      <c r="BK125" s="1244">
        <v>2</v>
      </c>
      <c r="BL125" s="1246">
        <f>SUM(BI125:BK125)</f>
        <v>2</v>
      </c>
      <c r="BM125" s="1244">
        <v>2</v>
      </c>
      <c r="BN125" s="1244">
        <v>2</v>
      </c>
      <c r="BO125" s="1244">
        <v>2</v>
      </c>
      <c r="BP125" s="1246">
        <f>SUM(BM125:BO125)</f>
        <v>6</v>
      </c>
      <c r="BQ125" s="1244">
        <v>3</v>
      </c>
      <c r="BR125" s="1244">
        <v>3</v>
      </c>
      <c r="BS125" s="1244"/>
      <c r="BT125" s="1246">
        <f>SUM(BQ125:BS125)</f>
        <v>6</v>
      </c>
      <c r="BU125" s="1244"/>
      <c r="BV125" s="1244">
        <v>4</v>
      </c>
      <c r="BW125" s="1244">
        <v>1</v>
      </c>
      <c r="BX125" s="1246">
        <f>SUM(BU125:BW125)</f>
        <v>5</v>
      </c>
      <c r="BY125" s="1244">
        <v>5</v>
      </c>
      <c r="BZ125" s="1244">
        <v>5</v>
      </c>
      <c r="CA125" s="1244">
        <v>2</v>
      </c>
      <c r="CB125" s="1246">
        <f>SUM(BY125:CA125)</f>
        <v>12</v>
      </c>
    </row>
    <row r="126" spans="1:80" ht="12.75" customHeight="1" x14ac:dyDescent="0.2">
      <c r="A126" s="6426"/>
      <c r="B126" s="5952"/>
      <c r="C126" s="1311"/>
      <c r="D126" s="1310" t="s">
        <v>160</v>
      </c>
      <c r="E126" s="1248"/>
      <c r="F126" s="1249"/>
      <c r="G126" s="1249"/>
      <c r="H126" s="1249"/>
      <c r="I126" s="1248"/>
      <c r="J126" s="1249"/>
      <c r="K126" s="1249"/>
      <c r="L126" s="1249"/>
      <c r="M126" s="1248"/>
      <c r="N126" s="1249"/>
      <c r="O126" s="1249"/>
      <c r="P126" s="1249"/>
      <c r="Q126" s="1248"/>
      <c r="R126" s="1249">
        <f>SUM(R122:R125)</f>
        <v>10</v>
      </c>
      <c r="S126" s="1249">
        <f t="shared" ref="S126:BH126" si="134">SUM(S122:S125)</f>
        <v>9</v>
      </c>
      <c r="T126" s="1249">
        <f t="shared" si="134"/>
        <v>19</v>
      </c>
      <c r="U126" s="1248">
        <f t="shared" si="134"/>
        <v>0</v>
      </c>
      <c r="V126" s="1249">
        <f t="shared" si="134"/>
        <v>0</v>
      </c>
      <c r="W126" s="1249">
        <f t="shared" si="134"/>
        <v>0</v>
      </c>
      <c r="X126" s="1249">
        <f t="shared" si="134"/>
        <v>0</v>
      </c>
      <c r="Y126" s="1248">
        <f t="shared" si="134"/>
        <v>0</v>
      </c>
      <c r="Z126" s="1249">
        <f t="shared" si="134"/>
        <v>15</v>
      </c>
      <c r="AA126" s="1249">
        <f t="shared" si="134"/>
        <v>0</v>
      </c>
      <c r="AB126" s="1249">
        <f t="shared" si="134"/>
        <v>15</v>
      </c>
      <c r="AC126" s="1248">
        <f t="shared" si="134"/>
        <v>1</v>
      </c>
      <c r="AD126" s="1249">
        <f t="shared" si="134"/>
        <v>12</v>
      </c>
      <c r="AE126" s="1249">
        <f t="shared" si="134"/>
        <v>4</v>
      </c>
      <c r="AF126" s="1306">
        <f t="shared" si="134"/>
        <v>17</v>
      </c>
      <c r="AG126" s="1249">
        <f t="shared" si="134"/>
        <v>1</v>
      </c>
      <c r="AH126" s="1249">
        <f t="shared" si="134"/>
        <v>25</v>
      </c>
      <c r="AI126" s="1249">
        <f t="shared" si="134"/>
        <v>0</v>
      </c>
      <c r="AJ126" s="1306">
        <f t="shared" si="134"/>
        <v>26</v>
      </c>
      <c r="AK126" s="1249">
        <f t="shared" si="134"/>
        <v>0</v>
      </c>
      <c r="AL126" s="1249">
        <f t="shared" si="134"/>
        <v>20</v>
      </c>
      <c r="AM126" s="1249">
        <f t="shared" si="134"/>
        <v>0</v>
      </c>
      <c r="AN126" s="1306">
        <f t="shared" si="134"/>
        <v>20</v>
      </c>
      <c r="AO126" s="1249">
        <f t="shared" si="134"/>
        <v>0</v>
      </c>
      <c r="AP126" s="1249">
        <f t="shared" si="134"/>
        <v>18</v>
      </c>
      <c r="AQ126" s="1249">
        <f t="shared" si="134"/>
        <v>2</v>
      </c>
      <c r="AR126" s="1306">
        <f t="shared" si="134"/>
        <v>20</v>
      </c>
      <c r="AS126" s="1249">
        <f t="shared" si="134"/>
        <v>1</v>
      </c>
      <c r="AT126" s="1249">
        <f t="shared" si="134"/>
        <v>8</v>
      </c>
      <c r="AU126" s="1249">
        <f t="shared" si="134"/>
        <v>10</v>
      </c>
      <c r="AV126" s="1306">
        <f t="shared" si="134"/>
        <v>19</v>
      </c>
      <c r="AW126" s="1249">
        <f t="shared" si="134"/>
        <v>0</v>
      </c>
      <c r="AX126" s="1249">
        <f t="shared" si="134"/>
        <v>2</v>
      </c>
      <c r="AY126" s="1249">
        <f t="shared" si="134"/>
        <v>16</v>
      </c>
      <c r="AZ126" s="1306">
        <f t="shared" si="134"/>
        <v>18</v>
      </c>
      <c r="BA126" s="1249">
        <f t="shared" si="134"/>
        <v>4</v>
      </c>
      <c r="BB126" s="1249">
        <f t="shared" si="134"/>
        <v>11</v>
      </c>
      <c r="BC126" s="1249">
        <f t="shared" si="134"/>
        <v>18</v>
      </c>
      <c r="BD126" s="1306">
        <f t="shared" si="134"/>
        <v>33</v>
      </c>
      <c r="BE126" s="1249">
        <f t="shared" si="134"/>
        <v>1</v>
      </c>
      <c r="BF126" s="1249">
        <f t="shared" si="134"/>
        <v>2</v>
      </c>
      <c r="BG126" s="1249">
        <f t="shared" si="134"/>
        <v>17</v>
      </c>
      <c r="BH126" s="1306">
        <f t="shared" si="134"/>
        <v>20</v>
      </c>
      <c r="BI126" s="1249">
        <f t="shared" ref="BI126:BP126" si="135">SUM(BI122:BI125)</f>
        <v>3</v>
      </c>
      <c r="BJ126" s="1249">
        <f t="shared" si="135"/>
        <v>28</v>
      </c>
      <c r="BK126" s="1249">
        <f t="shared" si="135"/>
        <v>22</v>
      </c>
      <c r="BL126" s="1306">
        <f t="shared" si="135"/>
        <v>53</v>
      </c>
      <c r="BM126" s="1249">
        <f t="shared" si="135"/>
        <v>7</v>
      </c>
      <c r="BN126" s="1249">
        <f t="shared" si="135"/>
        <v>14</v>
      </c>
      <c r="BO126" s="1249">
        <f t="shared" si="135"/>
        <v>8</v>
      </c>
      <c r="BP126" s="1306">
        <f t="shared" si="135"/>
        <v>29</v>
      </c>
      <c r="BQ126" s="1249">
        <f t="shared" ref="BQ126:BX126" si="136">SUM(BQ122:BQ125)</f>
        <v>20</v>
      </c>
      <c r="BR126" s="1249">
        <f t="shared" si="136"/>
        <v>16</v>
      </c>
      <c r="BS126" s="1249">
        <f t="shared" si="136"/>
        <v>21</v>
      </c>
      <c r="BT126" s="1306">
        <f t="shared" si="136"/>
        <v>57</v>
      </c>
      <c r="BU126" s="1249">
        <f t="shared" si="136"/>
        <v>2</v>
      </c>
      <c r="BV126" s="1249">
        <f t="shared" si="136"/>
        <v>6</v>
      </c>
      <c r="BW126" s="1249">
        <f t="shared" si="136"/>
        <v>24</v>
      </c>
      <c r="BX126" s="1306">
        <f t="shared" si="136"/>
        <v>32</v>
      </c>
      <c r="BY126" s="1249">
        <f t="shared" ref="BY126:CB126" si="137">SUM(BY122:BY125)</f>
        <v>14</v>
      </c>
      <c r="BZ126" s="1249">
        <f t="shared" si="137"/>
        <v>7</v>
      </c>
      <c r="CA126" s="1249">
        <f t="shared" si="137"/>
        <v>29</v>
      </c>
      <c r="CB126" s="1306">
        <f t="shared" si="137"/>
        <v>50</v>
      </c>
    </row>
    <row r="127" spans="1:80" ht="12.75" customHeight="1" x14ac:dyDescent="0.2">
      <c r="A127" s="6427"/>
      <c r="B127" s="4733"/>
      <c r="C127" s="4733"/>
      <c r="D127" s="4734" t="s">
        <v>525</v>
      </c>
      <c r="E127" s="4735">
        <f t="shared" ref="E127:AJ127" si="138">SUM(E121,E106,E126)</f>
        <v>11</v>
      </c>
      <c r="F127" s="4736">
        <f t="shared" si="138"/>
        <v>16</v>
      </c>
      <c r="G127" s="4736">
        <f t="shared" si="138"/>
        <v>30</v>
      </c>
      <c r="H127" s="4736">
        <f t="shared" si="138"/>
        <v>57</v>
      </c>
      <c r="I127" s="4735">
        <f t="shared" si="138"/>
        <v>18</v>
      </c>
      <c r="J127" s="4736">
        <f t="shared" si="138"/>
        <v>18</v>
      </c>
      <c r="K127" s="4736">
        <f t="shared" si="138"/>
        <v>27</v>
      </c>
      <c r="L127" s="4736">
        <f t="shared" si="138"/>
        <v>63</v>
      </c>
      <c r="M127" s="4735">
        <f t="shared" si="138"/>
        <v>23</v>
      </c>
      <c r="N127" s="4736">
        <f t="shared" si="138"/>
        <v>13</v>
      </c>
      <c r="O127" s="4736">
        <f t="shared" si="138"/>
        <v>46</v>
      </c>
      <c r="P127" s="4736">
        <f t="shared" si="138"/>
        <v>82</v>
      </c>
      <c r="Q127" s="4735">
        <f t="shared" si="138"/>
        <v>22</v>
      </c>
      <c r="R127" s="4736">
        <f t="shared" si="138"/>
        <v>130</v>
      </c>
      <c r="S127" s="4736">
        <f t="shared" si="138"/>
        <v>43</v>
      </c>
      <c r="T127" s="4736">
        <f t="shared" si="138"/>
        <v>195</v>
      </c>
      <c r="U127" s="4735">
        <f t="shared" si="138"/>
        <v>35</v>
      </c>
      <c r="V127" s="4736">
        <f t="shared" si="138"/>
        <v>37</v>
      </c>
      <c r="W127" s="4736">
        <f t="shared" si="138"/>
        <v>52</v>
      </c>
      <c r="X127" s="4736">
        <f t="shared" si="138"/>
        <v>124</v>
      </c>
      <c r="Y127" s="4735">
        <f t="shared" si="138"/>
        <v>31</v>
      </c>
      <c r="Z127" s="4736">
        <f t="shared" si="138"/>
        <v>50</v>
      </c>
      <c r="AA127" s="4736">
        <f t="shared" si="138"/>
        <v>55</v>
      </c>
      <c r="AB127" s="4736">
        <f t="shared" si="138"/>
        <v>136</v>
      </c>
      <c r="AC127" s="4735">
        <f t="shared" si="138"/>
        <v>39</v>
      </c>
      <c r="AD127" s="4736">
        <f t="shared" si="138"/>
        <v>73</v>
      </c>
      <c r="AE127" s="4736">
        <f t="shared" si="138"/>
        <v>52</v>
      </c>
      <c r="AF127" s="4737">
        <f t="shared" si="138"/>
        <v>164</v>
      </c>
      <c r="AG127" s="4736">
        <f t="shared" si="138"/>
        <v>22</v>
      </c>
      <c r="AH127" s="4736">
        <f t="shared" si="138"/>
        <v>62</v>
      </c>
      <c r="AI127" s="4736">
        <f t="shared" si="138"/>
        <v>53</v>
      </c>
      <c r="AJ127" s="4737">
        <f t="shared" si="138"/>
        <v>137</v>
      </c>
      <c r="AK127" s="4736">
        <f t="shared" ref="AK127:BH127" si="139">SUM(AK121,AK106,AK126)</f>
        <v>72</v>
      </c>
      <c r="AL127" s="4736">
        <f t="shared" si="139"/>
        <v>71</v>
      </c>
      <c r="AM127" s="4736">
        <f t="shared" si="139"/>
        <v>62</v>
      </c>
      <c r="AN127" s="4737">
        <f t="shared" si="139"/>
        <v>205</v>
      </c>
      <c r="AO127" s="4736">
        <f t="shared" si="139"/>
        <v>37</v>
      </c>
      <c r="AP127" s="4736">
        <f t="shared" si="139"/>
        <v>61</v>
      </c>
      <c r="AQ127" s="4736">
        <f t="shared" si="139"/>
        <v>97</v>
      </c>
      <c r="AR127" s="4737">
        <f t="shared" si="139"/>
        <v>195</v>
      </c>
      <c r="AS127" s="4736">
        <f t="shared" si="139"/>
        <v>41</v>
      </c>
      <c r="AT127" s="4736">
        <f t="shared" si="139"/>
        <v>69</v>
      </c>
      <c r="AU127" s="4736">
        <f t="shared" si="139"/>
        <v>92</v>
      </c>
      <c r="AV127" s="4737">
        <f t="shared" si="139"/>
        <v>202</v>
      </c>
      <c r="AW127" s="4736">
        <f t="shared" si="139"/>
        <v>64</v>
      </c>
      <c r="AX127" s="4736">
        <f t="shared" si="139"/>
        <v>71</v>
      </c>
      <c r="AY127" s="4736">
        <f t="shared" si="139"/>
        <v>163</v>
      </c>
      <c r="AZ127" s="4737">
        <f t="shared" si="139"/>
        <v>298</v>
      </c>
      <c r="BA127" s="4736">
        <f t="shared" si="139"/>
        <v>92</v>
      </c>
      <c r="BB127" s="4736">
        <f t="shared" si="139"/>
        <v>84</v>
      </c>
      <c r="BC127" s="4736">
        <f t="shared" si="139"/>
        <v>90</v>
      </c>
      <c r="BD127" s="4737">
        <f t="shared" si="139"/>
        <v>266</v>
      </c>
      <c r="BE127" s="4736">
        <f t="shared" si="139"/>
        <v>47</v>
      </c>
      <c r="BF127" s="4736">
        <f t="shared" si="139"/>
        <v>38</v>
      </c>
      <c r="BG127" s="4736">
        <f t="shared" si="139"/>
        <v>80</v>
      </c>
      <c r="BH127" s="4737">
        <f t="shared" si="139"/>
        <v>165</v>
      </c>
      <c r="BI127" s="4736">
        <f t="shared" ref="BI127:BP127" si="140">SUM(BI121,BI106,BI126)</f>
        <v>74</v>
      </c>
      <c r="BJ127" s="4736">
        <f t="shared" si="140"/>
        <v>70</v>
      </c>
      <c r="BK127" s="4736">
        <f t="shared" si="140"/>
        <v>81</v>
      </c>
      <c r="BL127" s="4737">
        <f t="shared" si="140"/>
        <v>225</v>
      </c>
      <c r="BM127" s="4736">
        <f t="shared" si="140"/>
        <v>48</v>
      </c>
      <c r="BN127" s="4736">
        <f t="shared" si="140"/>
        <v>67</v>
      </c>
      <c r="BO127" s="4736">
        <f t="shared" si="140"/>
        <v>106</v>
      </c>
      <c r="BP127" s="4737">
        <f t="shared" si="140"/>
        <v>221</v>
      </c>
      <c r="BQ127" s="4736">
        <f t="shared" ref="BQ127:BX127" si="141">SUM(BQ121,BQ106,BQ126)</f>
        <v>90</v>
      </c>
      <c r="BR127" s="4736">
        <f t="shared" si="141"/>
        <v>72</v>
      </c>
      <c r="BS127" s="4736">
        <f t="shared" si="141"/>
        <v>79</v>
      </c>
      <c r="BT127" s="4737">
        <f t="shared" si="141"/>
        <v>241</v>
      </c>
      <c r="BU127" s="4736">
        <f t="shared" si="141"/>
        <v>48</v>
      </c>
      <c r="BV127" s="4736">
        <f t="shared" si="141"/>
        <v>61</v>
      </c>
      <c r="BW127" s="4736">
        <f t="shared" si="141"/>
        <v>92</v>
      </c>
      <c r="BX127" s="4737">
        <f t="shared" si="141"/>
        <v>201</v>
      </c>
      <c r="BY127" s="4736">
        <f t="shared" ref="BY127:CB127" si="142">SUM(BY121,BY106,BY126)</f>
        <v>83</v>
      </c>
      <c r="BZ127" s="4736">
        <f t="shared" si="142"/>
        <v>79</v>
      </c>
      <c r="CA127" s="4736">
        <f t="shared" si="142"/>
        <v>85</v>
      </c>
      <c r="CB127" s="4737">
        <f t="shared" si="142"/>
        <v>247</v>
      </c>
    </row>
    <row r="128" spans="1:80" ht="12.75" customHeight="1" x14ac:dyDescent="0.2">
      <c r="A128" s="6435" t="s">
        <v>8</v>
      </c>
      <c r="B128" s="6438" t="s">
        <v>6</v>
      </c>
      <c r="C128" s="1469" t="s">
        <v>521</v>
      </c>
      <c r="D128" s="1266" t="s">
        <v>622</v>
      </c>
      <c r="E128" s="1251"/>
      <c r="F128" s="1252"/>
      <c r="G128" s="1252"/>
      <c r="H128" s="1235"/>
      <c r="I128" s="1257"/>
      <c r="J128" s="1257"/>
      <c r="K128" s="1257"/>
      <c r="L128" s="1258"/>
      <c r="M128" s="1251"/>
      <c r="N128" s="1252"/>
      <c r="O128" s="1252"/>
      <c r="P128" s="1235"/>
      <c r="Q128" s="1257"/>
      <c r="R128" s="1257"/>
      <c r="S128" s="1257"/>
      <c r="T128" s="1258"/>
      <c r="U128" s="1251"/>
      <c r="V128" s="1252"/>
      <c r="W128" s="1252"/>
      <c r="X128" s="1235"/>
      <c r="Y128" s="1257"/>
      <c r="Z128" s="1257"/>
      <c r="AA128" s="1257"/>
      <c r="AB128" s="1258"/>
      <c r="AC128" s="1251"/>
      <c r="AD128" s="1252"/>
      <c r="AE128" s="1252"/>
      <c r="AF128" s="1235"/>
      <c r="AG128" s="1257"/>
      <c r="AH128" s="1257"/>
      <c r="AI128" s="1257"/>
      <c r="AJ128" s="1258"/>
      <c r="AK128" s="1251"/>
      <c r="AL128" s="1252"/>
      <c r="AM128" s="1252"/>
      <c r="AN128" s="1235"/>
      <c r="AO128" s="1257"/>
      <c r="AP128" s="1257"/>
      <c r="AQ128" s="1257"/>
      <c r="AR128" s="1258"/>
      <c r="AS128" s="1251"/>
      <c r="AT128" s="1252"/>
      <c r="AU128" s="1252"/>
      <c r="AV128" s="1235"/>
      <c r="AW128" s="1257"/>
      <c r="AX128" s="1257"/>
      <c r="AY128" s="1257"/>
      <c r="AZ128" s="1258"/>
      <c r="BA128" s="1251"/>
      <c r="BB128" s="1252"/>
      <c r="BC128" s="1252"/>
      <c r="BD128" s="1235"/>
      <c r="BE128" s="1257"/>
      <c r="BF128" s="1257"/>
      <c r="BG128" s="1257"/>
      <c r="BH128" s="1246"/>
      <c r="BI128" s="1257">
        <v>5</v>
      </c>
      <c r="BJ128" s="1257">
        <v>3</v>
      </c>
      <c r="BK128" s="1257">
        <v>2</v>
      </c>
      <c r="BL128" s="1246">
        <f>SUM(BI128:BK128)</f>
        <v>10</v>
      </c>
      <c r="BM128" s="1257">
        <v>3</v>
      </c>
      <c r="BN128" s="1257">
        <v>1</v>
      </c>
      <c r="BO128" s="1257">
        <v>2</v>
      </c>
      <c r="BP128" s="1246">
        <f>SUM(BM128:BO128)</f>
        <v>6</v>
      </c>
      <c r="BQ128" s="1257">
        <v>3</v>
      </c>
      <c r="BR128" s="1257">
        <v>1</v>
      </c>
      <c r="BS128" s="1257">
        <v>5</v>
      </c>
      <c r="BT128" s="1246">
        <f>SUM(BQ128:BS128)</f>
        <v>9</v>
      </c>
      <c r="BU128" s="1257">
        <v>1</v>
      </c>
      <c r="BV128" s="1257">
        <v>2</v>
      </c>
      <c r="BW128" s="1257">
        <v>4</v>
      </c>
      <c r="BX128" s="1246">
        <f>SUM(BU128:BW128)</f>
        <v>7</v>
      </c>
      <c r="BY128" s="1257">
        <v>8</v>
      </c>
      <c r="BZ128" s="1257"/>
      <c r="CA128" s="1257">
        <v>4</v>
      </c>
      <c r="CB128" s="1246">
        <f>SUM(BY128:CA128)</f>
        <v>12</v>
      </c>
    </row>
    <row r="129" spans="1:80" ht="12.75" customHeight="1" x14ac:dyDescent="0.2">
      <c r="A129" s="6436"/>
      <c r="B129" s="6439"/>
      <c r="C129" s="1477" t="s">
        <v>520</v>
      </c>
      <c r="D129" s="1267" t="s">
        <v>622</v>
      </c>
      <c r="E129" s="1237"/>
      <c r="F129" s="1238"/>
      <c r="G129" s="1238"/>
      <c r="H129" s="1240"/>
      <c r="I129" s="1238"/>
      <c r="J129" s="1238"/>
      <c r="K129" s="1238"/>
      <c r="L129" s="1239"/>
      <c r="M129" s="1237"/>
      <c r="N129" s="1238"/>
      <c r="O129" s="1238"/>
      <c r="P129" s="1240"/>
      <c r="Q129" s="1238"/>
      <c r="R129" s="1238"/>
      <c r="S129" s="1238"/>
      <c r="T129" s="1239"/>
      <c r="U129" s="1237"/>
      <c r="V129" s="1238"/>
      <c r="W129" s="1238"/>
      <c r="X129" s="1240"/>
      <c r="Y129" s="1238"/>
      <c r="Z129" s="1238"/>
      <c r="AA129" s="1238"/>
      <c r="AB129" s="1239"/>
      <c r="AC129" s="1237"/>
      <c r="AD129" s="1238"/>
      <c r="AE129" s="1238"/>
      <c r="AF129" s="1240"/>
      <c r="AG129" s="1238"/>
      <c r="AH129" s="1238"/>
      <c r="AI129" s="1238"/>
      <c r="AJ129" s="1239"/>
      <c r="AK129" s="1237"/>
      <c r="AL129" s="1238"/>
      <c r="AM129" s="1238"/>
      <c r="AN129" s="1240"/>
      <c r="AO129" s="1238"/>
      <c r="AP129" s="1238"/>
      <c r="AQ129" s="1238"/>
      <c r="AR129" s="1239"/>
      <c r="AS129" s="1237"/>
      <c r="AT129" s="1238"/>
      <c r="AU129" s="1238"/>
      <c r="AV129" s="1240"/>
      <c r="AW129" s="1238"/>
      <c r="AX129" s="1238"/>
      <c r="AY129" s="1238"/>
      <c r="AZ129" s="1239"/>
      <c r="BA129" s="1237"/>
      <c r="BB129" s="1238"/>
      <c r="BC129" s="1238"/>
      <c r="BD129" s="1240"/>
      <c r="BE129" s="1238"/>
      <c r="BF129" s="1238"/>
      <c r="BG129" s="1238"/>
      <c r="BH129" s="1246"/>
      <c r="BI129" s="1238"/>
      <c r="BJ129" s="1238"/>
      <c r="BK129" s="1238"/>
      <c r="BL129" s="1246">
        <f>SUM(BI129:BK129)</f>
        <v>0</v>
      </c>
      <c r="BM129" s="1238"/>
      <c r="BN129" s="1238">
        <v>1</v>
      </c>
      <c r="BO129" s="1238">
        <v>1</v>
      </c>
      <c r="BP129" s="1246">
        <f>SUM(BM129:BO129)</f>
        <v>2</v>
      </c>
      <c r="BQ129" s="1238"/>
      <c r="BR129" s="1238">
        <v>1</v>
      </c>
      <c r="BS129" s="1238"/>
      <c r="BT129" s="1246">
        <f>SUM(BQ129:BS129)</f>
        <v>1</v>
      </c>
      <c r="BU129" s="1238">
        <v>2</v>
      </c>
      <c r="BV129" s="1238">
        <v>1</v>
      </c>
      <c r="BW129" s="1238">
        <v>2</v>
      </c>
      <c r="BX129" s="1246">
        <f>SUM(BU129:BW129)</f>
        <v>5</v>
      </c>
      <c r="BY129" s="1238">
        <v>5</v>
      </c>
      <c r="BZ129" s="1238">
        <v>1</v>
      </c>
      <c r="CA129" s="1238">
        <v>3</v>
      </c>
      <c r="CB129" s="1246">
        <f>SUM(BY129:CA129)</f>
        <v>9</v>
      </c>
    </row>
    <row r="130" spans="1:80" ht="12.75" customHeight="1" x14ac:dyDescent="0.2">
      <c r="A130" s="6436"/>
      <c r="B130" s="6440"/>
      <c r="C130" s="1462"/>
      <c r="D130" s="1310"/>
      <c r="E130" s="1248"/>
      <c r="F130" s="1249"/>
      <c r="G130" s="1249"/>
      <c r="H130" s="1306"/>
      <c r="I130" s="1249"/>
      <c r="J130" s="1249"/>
      <c r="K130" s="1249"/>
      <c r="L130" s="1249"/>
      <c r="M130" s="1248"/>
      <c r="N130" s="1249"/>
      <c r="O130" s="1249"/>
      <c r="P130" s="1306"/>
      <c r="Q130" s="1249"/>
      <c r="R130" s="1249"/>
      <c r="S130" s="1249"/>
      <c r="T130" s="1249"/>
      <c r="U130" s="1248"/>
      <c r="V130" s="1249"/>
      <c r="W130" s="1249"/>
      <c r="X130" s="1306"/>
      <c r="Y130" s="1249"/>
      <c r="Z130" s="1249"/>
      <c r="AA130" s="1249"/>
      <c r="AB130" s="1249"/>
      <c r="AC130" s="1248"/>
      <c r="AD130" s="1249"/>
      <c r="AE130" s="1249"/>
      <c r="AF130" s="1306"/>
      <c r="AG130" s="1249"/>
      <c r="AH130" s="1249"/>
      <c r="AI130" s="1249"/>
      <c r="AJ130" s="1249"/>
      <c r="AK130" s="1248"/>
      <c r="AL130" s="1249"/>
      <c r="AM130" s="1249"/>
      <c r="AN130" s="1306"/>
      <c r="AO130" s="1249"/>
      <c r="AP130" s="1249"/>
      <c r="AQ130" s="1249"/>
      <c r="AR130" s="1249"/>
      <c r="AS130" s="1248"/>
      <c r="AT130" s="1249"/>
      <c r="AU130" s="1249"/>
      <c r="AV130" s="1306"/>
      <c r="AW130" s="1249"/>
      <c r="AX130" s="1249"/>
      <c r="AY130" s="1249"/>
      <c r="AZ130" s="1249"/>
      <c r="BA130" s="1248"/>
      <c r="BB130" s="1249"/>
      <c r="BC130" s="1249"/>
      <c r="BD130" s="1306"/>
      <c r="BE130" s="1249"/>
      <c r="BF130" s="1249"/>
      <c r="BG130" s="1249"/>
      <c r="BH130" s="1306"/>
      <c r="BI130" s="1248">
        <f t="shared" ref="BI130:BP130" si="143">SUM(BI128:BI129)</f>
        <v>5</v>
      </c>
      <c r="BJ130" s="1249">
        <f t="shared" si="143"/>
        <v>3</v>
      </c>
      <c r="BK130" s="1249">
        <f t="shared" si="143"/>
        <v>2</v>
      </c>
      <c r="BL130" s="1306">
        <f t="shared" si="143"/>
        <v>10</v>
      </c>
      <c r="BM130" s="1248">
        <f t="shared" si="143"/>
        <v>3</v>
      </c>
      <c r="BN130" s="1249">
        <f t="shared" si="143"/>
        <v>2</v>
      </c>
      <c r="BO130" s="1249">
        <f t="shared" si="143"/>
        <v>3</v>
      </c>
      <c r="BP130" s="1306">
        <f t="shared" si="143"/>
        <v>8</v>
      </c>
      <c r="BQ130" s="1248">
        <f t="shared" ref="BQ130:BX130" si="144">SUM(BQ128:BQ129)</f>
        <v>3</v>
      </c>
      <c r="BR130" s="1249">
        <f t="shared" si="144"/>
        <v>2</v>
      </c>
      <c r="BS130" s="1249">
        <f t="shared" si="144"/>
        <v>5</v>
      </c>
      <c r="BT130" s="1306">
        <f t="shared" si="144"/>
        <v>10</v>
      </c>
      <c r="BU130" s="1248">
        <f t="shared" si="144"/>
        <v>3</v>
      </c>
      <c r="BV130" s="1249">
        <f t="shared" si="144"/>
        <v>3</v>
      </c>
      <c r="BW130" s="1249">
        <f t="shared" si="144"/>
        <v>6</v>
      </c>
      <c r="BX130" s="1306">
        <f t="shared" si="144"/>
        <v>12</v>
      </c>
      <c r="BY130" s="1248">
        <f t="shared" ref="BY130:CB130" si="145">SUM(BY128:BY129)</f>
        <v>13</v>
      </c>
      <c r="BZ130" s="1249">
        <f t="shared" si="145"/>
        <v>1</v>
      </c>
      <c r="CA130" s="1249">
        <f t="shared" si="145"/>
        <v>7</v>
      </c>
      <c r="CB130" s="1306">
        <f t="shared" si="145"/>
        <v>21</v>
      </c>
    </row>
    <row r="131" spans="1:80" ht="12.75" customHeight="1" x14ac:dyDescent="0.2">
      <c r="A131" s="6436"/>
      <c r="B131" s="6438" t="s">
        <v>9</v>
      </c>
      <c r="C131" s="1477" t="s">
        <v>521</v>
      </c>
      <c r="D131" s="1267" t="s">
        <v>412</v>
      </c>
      <c r="E131" s="1475"/>
      <c r="F131" s="1468"/>
      <c r="G131" s="1468"/>
      <c r="H131" s="1476"/>
      <c r="I131" s="1468"/>
      <c r="J131" s="1468"/>
      <c r="K131" s="1468"/>
      <c r="L131" s="1468"/>
      <c r="M131" s="1475"/>
      <c r="N131" s="1468"/>
      <c r="O131" s="1468"/>
      <c r="P131" s="1476"/>
      <c r="Q131" s="1468"/>
      <c r="R131" s="1468"/>
      <c r="S131" s="1468"/>
      <c r="T131" s="1468"/>
      <c r="U131" s="1475"/>
      <c r="V131" s="1468"/>
      <c r="W131" s="1468"/>
      <c r="X131" s="1476"/>
      <c r="Y131" s="1468"/>
      <c r="Z131" s="1468"/>
      <c r="AA131" s="1468"/>
      <c r="AB131" s="1468"/>
      <c r="AC131" s="1475"/>
      <c r="AD131" s="1468"/>
      <c r="AE131" s="1468"/>
      <c r="AF131" s="1476"/>
      <c r="AG131" s="1468"/>
      <c r="AH131" s="1468"/>
      <c r="AI131" s="1468"/>
      <c r="AJ131" s="1468"/>
      <c r="AK131" s="1475"/>
      <c r="AL131" s="1468"/>
      <c r="AM131" s="1468"/>
      <c r="AN131" s="1476"/>
      <c r="AO131" s="1468"/>
      <c r="AP131" s="1468"/>
      <c r="AQ131" s="1468"/>
      <c r="AR131" s="1468"/>
      <c r="AS131" s="1475"/>
      <c r="AT131" s="1468"/>
      <c r="AU131" s="1468"/>
      <c r="AV131" s="1476"/>
      <c r="AW131" s="1468"/>
      <c r="AX131" s="1468"/>
      <c r="AY131" s="1468"/>
      <c r="AZ131" s="1468"/>
      <c r="BA131" s="1475"/>
      <c r="BB131" s="1468"/>
      <c r="BC131" s="1468"/>
      <c r="BD131" s="1476"/>
      <c r="BE131" s="1473"/>
      <c r="BF131" s="1473"/>
      <c r="BG131" s="1473"/>
      <c r="BH131" s="1473"/>
      <c r="BI131" s="1472"/>
      <c r="BJ131" s="1473"/>
      <c r="BK131" s="1473"/>
      <c r="BL131" s="1474">
        <f>SUM(BI131:BK131)</f>
        <v>0</v>
      </c>
      <c r="BM131" s="1472"/>
      <c r="BN131" s="1473"/>
      <c r="BO131" s="1473">
        <v>8</v>
      </c>
      <c r="BP131" s="1474">
        <f>SUM(BM131:BO131)</f>
        <v>8</v>
      </c>
      <c r="BQ131" s="1472"/>
      <c r="BR131" s="1473"/>
      <c r="BS131" s="4241">
        <v>11</v>
      </c>
      <c r="BT131" s="1474">
        <f>SUM(BQ131:BS131)</f>
        <v>11</v>
      </c>
      <c r="BU131" s="1472"/>
      <c r="BV131" s="1473">
        <v>3</v>
      </c>
      <c r="BW131" s="4241">
        <v>15</v>
      </c>
      <c r="BX131" s="1474">
        <f>SUM(BU131:BW131)</f>
        <v>18</v>
      </c>
      <c r="BY131" s="1472"/>
      <c r="BZ131" s="1473"/>
      <c r="CA131" s="4241">
        <v>7</v>
      </c>
      <c r="CB131" s="1474">
        <f>SUM(BY131:CA131)</f>
        <v>7</v>
      </c>
    </row>
    <row r="132" spans="1:80" ht="12.75" customHeight="1" x14ac:dyDescent="0.2">
      <c r="A132" s="6436"/>
      <c r="B132" s="6440"/>
      <c r="C132" s="1462"/>
      <c r="D132" s="1310"/>
      <c r="E132" s="1248"/>
      <c r="F132" s="1249"/>
      <c r="G132" s="1249"/>
      <c r="H132" s="1306"/>
      <c r="I132" s="1249"/>
      <c r="J132" s="1249"/>
      <c r="K132" s="1249"/>
      <c r="L132" s="1249"/>
      <c r="M132" s="1248"/>
      <c r="N132" s="1249"/>
      <c r="O132" s="1249"/>
      <c r="P132" s="1306"/>
      <c r="Q132" s="1249"/>
      <c r="R132" s="1249"/>
      <c r="S132" s="1249"/>
      <c r="T132" s="1249"/>
      <c r="U132" s="1248"/>
      <c r="V132" s="1249"/>
      <c r="W132" s="1249"/>
      <c r="X132" s="1306"/>
      <c r="Y132" s="1249"/>
      <c r="Z132" s="1249"/>
      <c r="AA132" s="1249"/>
      <c r="AB132" s="1249"/>
      <c r="AC132" s="1248"/>
      <c r="AD132" s="1249"/>
      <c r="AE132" s="1249"/>
      <c r="AF132" s="1306"/>
      <c r="AG132" s="1249"/>
      <c r="AH132" s="1249"/>
      <c r="AI132" s="1249"/>
      <c r="AJ132" s="1249"/>
      <c r="AK132" s="1248"/>
      <c r="AL132" s="1249"/>
      <c r="AM132" s="1249"/>
      <c r="AN132" s="1306"/>
      <c r="AO132" s="1249"/>
      <c r="AP132" s="1249"/>
      <c r="AQ132" s="1249"/>
      <c r="AR132" s="1249"/>
      <c r="AS132" s="1248"/>
      <c r="AT132" s="1249"/>
      <c r="AU132" s="1249"/>
      <c r="AV132" s="1306"/>
      <c r="AW132" s="1249"/>
      <c r="AX132" s="1249"/>
      <c r="AY132" s="1249"/>
      <c r="AZ132" s="1249"/>
      <c r="BA132" s="1248"/>
      <c r="BB132" s="1249"/>
      <c r="BC132" s="1249"/>
      <c r="BD132" s="1306"/>
      <c r="BE132" s="1249"/>
      <c r="BF132" s="1249"/>
      <c r="BG132" s="1249"/>
      <c r="BH132" s="1249"/>
      <c r="BI132" s="1248">
        <f t="shared" ref="BI132:BP132" si="146">SUM(BI131)</f>
        <v>0</v>
      </c>
      <c r="BJ132" s="1249">
        <f t="shared" si="146"/>
        <v>0</v>
      </c>
      <c r="BK132" s="1249">
        <f t="shared" si="146"/>
        <v>0</v>
      </c>
      <c r="BL132" s="1306">
        <f t="shared" si="146"/>
        <v>0</v>
      </c>
      <c r="BM132" s="1248">
        <f t="shared" si="146"/>
        <v>0</v>
      </c>
      <c r="BN132" s="1249">
        <f t="shared" si="146"/>
        <v>0</v>
      </c>
      <c r="BO132" s="1249">
        <f t="shared" si="146"/>
        <v>8</v>
      </c>
      <c r="BP132" s="1306">
        <f t="shared" si="146"/>
        <v>8</v>
      </c>
      <c r="BQ132" s="1248">
        <f t="shared" ref="BQ132:BX132" si="147">SUM(BQ131)</f>
        <v>0</v>
      </c>
      <c r="BR132" s="1249">
        <f t="shared" si="147"/>
        <v>0</v>
      </c>
      <c r="BS132" s="1249">
        <f t="shared" si="147"/>
        <v>11</v>
      </c>
      <c r="BT132" s="1306">
        <f t="shared" si="147"/>
        <v>11</v>
      </c>
      <c r="BU132" s="1248">
        <f t="shared" si="147"/>
        <v>0</v>
      </c>
      <c r="BV132" s="1249">
        <f t="shared" si="147"/>
        <v>3</v>
      </c>
      <c r="BW132" s="1249">
        <f t="shared" si="147"/>
        <v>15</v>
      </c>
      <c r="BX132" s="1306">
        <f t="shared" si="147"/>
        <v>18</v>
      </c>
      <c r="BY132" s="1248">
        <f t="shared" ref="BY132:CB132" si="148">SUM(BY131)</f>
        <v>0</v>
      </c>
      <c r="BZ132" s="1249">
        <f t="shared" si="148"/>
        <v>0</v>
      </c>
      <c r="CA132" s="1249">
        <f t="shared" si="148"/>
        <v>7</v>
      </c>
      <c r="CB132" s="1306">
        <f t="shared" si="148"/>
        <v>7</v>
      </c>
    </row>
    <row r="133" spans="1:80" ht="12.75" customHeight="1" x14ac:dyDescent="0.2">
      <c r="A133" s="6436"/>
      <c r="B133" s="6441" t="s">
        <v>74</v>
      </c>
      <c r="C133" s="1305" t="s">
        <v>522</v>
      </c>
      <c r="D133" s="1267" t="s">
        <v>623</v>
      </c>
      <c r="E133" s="1261"/>
      <c r="F133" s="1267"/>
      <c r="G133" s="1267"/>
      <c r="H133" s="1471"/>
      <c r="I133" s="1267"/>
      <c r="J133" s="1267"/>
      <c r="K133" s="1267"/>
      <c r="L133" s="1267"/>
      <c r="M133" s="1261"/>
      <c r="N133" s="1267"/>
      <c r="O133" s="1267"/>
      <c r="P133" s="1471"/>
      <c r="Q133" s="1267"/>
      <c r="R133" s="1267"/>
      <c r="S133" s="1267"/>
      <c r="T133" s="1267"/>
      <c r="U133" s="1261"/>
      <c r="V133" s="1267"/>
      <c r="W133" s="1267"/>
      <c r="X133" s="1471"/>
      <c r="Y133" s="1267"/>
      <c r="Z133" s="1267"/>
      <c r="AA133" s="1267"/>
      <c r="AB133" s="1267"/>
      <c r="AC133" s="1261"/>
      <c r="AD133" s="1267"/>
      <c r="AE133" s="1267"/>
      <c r="AF133" s="1471"/>
      <c r="AG133" s="1267"/>
      <c r="AH133" s="1267"/>
      <c r="AI133" s="1267"/>
      <c r="AJ133" s="1267"/>
      <c r="AK133" s="1261"/>
      <c r="AL133" s="1267"/>
      <c r="AM133" s="1267"/>
      <c r="AN133" s="1471"/>
      <c r="AO133" s="1267"/>
      <c r="AP133" s="1267"/>
      <c r="AQ133" s="1267"/>
      <c r="AR133" s="1267"/>
      <c r="AS133" s="1261"/>
      <c r="AT133" s="1267"/>
      <c r="AU133" s="1267"/>
      <c r="AV133" s="1471"/>
      <c r="AW133" s="1267"/>
      <c r="AX133" s="1267"/>
      <c r="AY133" s="1267"/>
      <c r="AZ133" s="1267"/>
      <c r="BA133" s="1261"/>
      <c r="BB133" s="1267"/>
      <c r="BC133" s="1267"/>
      <c r="BD133" s="1471"/>
      <c r="BE133" s="1659"/>
      <c r="BF133" s="1470"/>
      <c r="BG133" s="1470"/>
      <c r="BH133" s="1660"/>
      <c r="BI133" s="1257"/>
      <c r="BJ133" s="1257">
        <v>2</v>
      </c>
      <c r="BK133" s="1470"/>
      <c r="BL133" s="1246">
        <f>SUM(BI133:BK133)</f>
        <v>2</v>
      </c>
      <c r="BM133" s="1257"/>
      <c r="BN133" s="1257">
        <v>2</v>
      </c>
      <c r="BO133" s="1470"/>
      <c r="BP133" s="1246">
        <f>SUM(BM133:BO133)</f>
        <v>2</v>
      </c>
      <c r="BQ133" s="1257"/>
      <c r="BR133" s="1257">
        <v>2</v>
      </c>
      <c r="BS133" s="1470"/>
      <c r="BT133" s="1246">
        <f>SUM(BQ133:BS133)</f>
        <v>2</v>
      </c>
      <c r="BU133" s="1257">
        <v>1</v>
      </c>
      <c r="BV133" s="1257">
        <v>1</v>
      </c>
      <c r="BW133" s="1470"/>
      <c r="BX133" s="1246">
        <f>SUM(BU133:BW133)</f>
        <v>2</v>
      </c>
      <c r="BY133" s="5478"/>
      <c r="BZ133" s="5478">
        <v>1</v>
      </c>
      <c r="CA133" s="5480"/>
      <c r="CB133" s="1246">
        <f>SUM(BY133:CA133)</f>
        <v>1</v>
      </c>
    </row>
    <row r="134" spans="1:80" ht="12.75" customHeight="1" x14ac:dyDescent="0.2">
      <c r="A134" s="6436"/>
      <c r="B134" s="6441"/>
      <c r="C134" s="1305" t="s">
        <v>521</v>
      </c>
      <c r="D134" s="1267" t="s">
        <v>623</v>
      </c>
      <c r="E134" s="1261"/>
      <c r="F134" s="1267"/>
      <c r="G134" s="1267"/>
      <c r="H134" s="1471"/>
      <c r="I134" s="1267"/>
      <c r="J134" s="1267"/>
      <c r="K134" s="1267"/>
      <c r="L134" s="1267"/>
      <c r="M134" s="1261"/>
      <c r="N134" s="1267"/>
      <c r="O134" s="1267"/>
      <c r="P134" s="1471"/>
      <c r="Q134" s="1267"/>
      <c r="R134" s="1267"/>
      <c r="S134" s="1267"/>
      <c r="T134" s="1267"/>
      <c r="U134" s="1261"/>
      <c r="V134" s="1267"/>
      <c r="W134" s="1267"/>
      <c r="X134" s="1471"/>
      <c r="Y134" s="1267"/>
      <c r="Z134" s="1267"/>
      <c r="AA134" s="1267"/>
      <c r="AB134" s="1267"/>
      <c r="AC134" s="1261"/>
      <c r="AD134" s="1267"/>
      <c r="AE134" s="1267"/>
      <c r="AF134" s="1471"/>
      <c r="AG134" s="1267"/>
      <c r="AH134" s="1267"/>
      <c r="AI134" s="1267"/>
      <c r="AJ134" s="1267"/>
      <c r="AK134" s="1261"/>
      <c r="AL134" s="1267"/>
      <c r="AM134" s="1267"/>
      <c r="AN134" s="1471"/>
      <c r="AO134" s="1267"/>
      <c r="AP134" s="1267"/>
      <c r="AQ134" s="1267"/>
      <c r="AR134" s="1267"/>
      <c r="AS134" s="1261"/>
      <c r="AT134" s="1267"/>
      <c r="AU134" s="1267"/>
      <c r="AV134" s="1471"/>
      <c r="AW134" s="1267"/>
      <c r="AX134" s="1267"/>
      <c r="AY134" s="1267"/>
      <c r="AZ134" s="1267"/>
      <c r="BA134" s="1261"/>
      <c r="BB134" s="1267"/>
      <c r="BC134" s="1267"/>
      <c r="BD134" s="1471"/>
      <c r="BE134" s="1261"/>
      <c r="BF134" s="1267"/>
      <c r="BG134" s="1267"/>
      <c r="BH134" s="1471"/>
      <c r="BI134" s="1267"/>
      <c r="BJ134" s="1257"/>
      <c r="BK134" s="1267"/>
      <c r="BL134" s="1246">
        <f>SUM(BI134:BK134)</f>
        <v>0</v>
      </c>
      <c r="BM134" s="1267"/>
      <c r="BN134" s="1257"/>
      <c r="BO134" s="1238">
        <v>1</v>
      </c>
      <c r="BP134" s="1246">
        <f>SUM(BM134:BO134)</f>
        <v>1</v>
      </c>
      <c r="BQ134" s="1267"/>
      <c r="BR134" s="1257">
        <v>5</v>
      </c>
      <c r="BS134" s="1238">
        <v>1</v>
      </c>
      <c r="BT134" s="1246">
        <f>SUM(BQ134:BS134)</f>
        <v>6</v>
      </c>
      <c r="BU134" s="5477">
        <v>4</v>
      </c>
      <c r="BV134" s="5478">
        <v>1</v>
      </c>
      <c r="BW134" s="5479">
        <v>4</v>
      </c>
      <c r="BX134" s="1246">
        <f>SUM(BU134:BW134)</f>
        <v>9</v>
      </c>
      <c r="BY134" s="5477">
        <v>1</v>
      </c>
      <c r="BZ134" s="5478">
        <v>4</v>
      </c>
      <c r="CA134" s="5479">
        <v>2</v>
      </c>
      <c r="CB134" s="1246">
        <f>SUM(BY134:CA134)</f>
        <v>7</v>
      </c>
    </row>
    <row r="135" spans="1:80" ht="12.75" customHeight="1" x14ac:dyDescent="0.2">
      <c r="A135" s="6436"/>
      <c r="B135" s="6441"/>
      <c r="C135" s="6443" t="s">
        <v>520</v>
      </c>
      <c r="D135" s="1267" t="s">
        <v>623</v>
      </c>
      <c r="E135" s="1261"/>
      <c r="F135" s="1267"/>
      <c r="G135" s="1267"/>
      <c r="H135" s="1471"/>
      <c r="I135" s="1267"/>
      <c r="J135" s="1267"/>
      <c r="K135" s="1267"/>
      <c r="L135" s="1267"/>
      <c r="M135" s="1261"/>
      <c r="N135" s="1267"/>
      <c r="O135" s="1267"/>
      <c r="P135" s="1471"/>
      <c r="Q135" s="1267"/>
      <c r="R135" s="1267"/>
      <c r="S135" s="1267"/>
      <c r="T135" s="1267"/>
      <c r="U135" s="1261"/>
      <c r="V135" s="1267"/>
      <c r="W135" s="1267"/>
      <c r="X135" s="1471"/>
      <c r="Y135" s="1267"/>
      <c r="Z135" s="1267"/>
      <c r="AA135" s="1267"/>
      <c r="AB135" s="1267"/>
      <c r="AC135" s="1261"/>
      <c r="AD135" s="1267"/>
      <c r="AE135" s="1267"/>
      <c r="AF135" s="1471"/>
      <c r="AG135" s="1267"/>
      <c r="AH135" s="1267"/>
      <c r="AI135" s="1267"/>
      <c r="AJ135" s="1267"/>
      <c r="AK135" s="1261"/>
      <c r="AL135" s="1267"/>
      <c r="AM135" s="1267"/>
      <c r="AN135" s="1471"/>
      <c r="AO135" s="1267"/>
      <c r="AP135" s="1267"/>
      <c r="AQ135" s="1267"/>
      <c r="AR135" s="1267"/>
      <c r="AS135" s="1261"/>
      <c r="AT135" s="1267"/>
      <c r="AU135" s="1267"/>
      <c r="AV135" s="1471"/>
      <c r="AW135" s="1267"/>
      <c r="AX135" s="1267"/>
      <c r="AY135" s="1267"/>
      <c r="AZ135" s="1267"/>
      <c r="BA135" s="1261"/>
      <c r="BB135" s="1267"/>
      <c r="BC135" s="1267"/>
      <c r="BD135" s="1471"/>
      <c r="BE135" s="1261"/>
      <c r="BF135" s="1267"/>
      <c r="BG135" s="1267"/>
      <c r="BH135" s="1471"/>
      <c r="BI135" s="1267"/>
      <c r="BJ135" s="1257"/>
      <c r="BK135" s="1267"/>
      <c r="BL135" s="1246">
        <f>SUM(BI135:BK135)</f>
        <v>0</v>
      </c>
      <c r="BM135" s="1267"/>
      <c r="BN135" s="1257"/>
      <c r="BO135" s="1267"/>
      <c r="BP135" s="1246">
        <f>SUM(BM135:BO135)</f>
        <v>0</v>
      </c>
      <c r="BQ135" s="1267"/>
      <c r="BR135" s="1257">
        <v>1</v>
      </c>
      <c r="BS135" s="1267"/>
      <c r="BT135" s="1246">
        <f>SUM(BQ135:BS135)</f>
        <v>1</v>
      </c>
      <c r="BU135" s="1267"/>
      <c r="BV135" s="1257"/>
      <c r="BW135" s="1267"/>
      <c r="BX135" s="1246">
        <f>SUM(BU135:BW135)</f>
        <v>0</v>
      </c>
      <c r="BY135" s="5477"/>
      <c r="BZ135" s="5478"/>
      <c r="CA135" s="5477">
        <v>2</v>
      </c>
      <c r="CB135" s="1246">
        <f>SUM(BY135:CA135)</f>
        <v>2</v>
      </c>
    </row>
    <row r="136" spans="1:80" ht="12.75" customHeight="1" x14ac:dyDescent="0.2">
      <c r="A136" s="6436"/>
      <c r="B136" s="6442"/>
      <c r="C136" s="6444"/>
      <c r="D136" s="4243" t="s">
        <v>621</v>
      </c>
      <c r="E136" s="4244"/>
      <c r="F136" s="4243"/>
      <c r="G136" s="4243"/>
      <c r="H136" s="4245"/>
      <c r="I136" s="4243"/>
      <c r="J136" s="4243"/>
      <c r="K136" s="4243"/>
      <c r="L136" s="4243"/>
      <c r="M136" s="4244"/>
      <c r="N136" s="4243"/>
      <c r="O136" s="4243"/>
      <c r="P136" s="4245"/>
      <c r="Q136" s="4243"/>
      <c r="R136" s="4243"/>
      <c r="S136" s="4243"/>
      <c r="T136" s="4243"/>
      <c r="U136" s="4244"/>
      <c r="V136" s="4243"/>
      <c r="W136" s="4243"/>
      <c r="X136" s="4245"/>
      <c r="Y136" s="4243"/>
      <c r="Z136" s="4243"/>
      <c r="AA136" s="4243"/>
      <c r="AB136" s="4243"/>
      <c r="AC136" s="4244"/>
      <c r="AD136" s="4243"/>
      <c r="AE136" s="4243"/>
      <c r="AF136" s="4245"/>
      <c r="AG136" s="4243"/>
      <c r="AH136" s="4243"/>
      <c r="AI136" s="4243"/>
      <c r="AJ136" s="4243"/>
      <c r="AK136" s="4244"/>
      <c r="AL136" s="4243"/>
      <c r="AM136" s="4243"/>
      <c r="AN136" s="4245"/>
      <c r="AO136" s="4243"/>
      <c r="AP136" s="4243"/>
      <c r="AQ136" s="4243"/>
      <c r="AR136" s="4243"/>
      <c r="AS136" s="4244"/>
      <c r="AT136" s="4243"/>
      <c r="AU136" s="4243"/>
      <c r="AV136" s="4245"/>
      <c r="AW136" s="4243"/>
      <c r="AX136" s="4243"/>
      <c r="AY136" s="4243"/>
      <c r="AZ136" s="4243"/>
      <c r="BA136" s="4244"/>
      <c r="BB136" s="4243"/>
      <c r="BC136" s="4243"/>
      <c r="BD136" s="4245"/>
      <c r="BE136" s="4244"/>
      <c r="BF136" s="4243"/>
      <c r="BG136" s="4243"/>
      <c r="BH136" s="4245"/>
      <c r="BI136" s="4243"/>
      <c r="BJ136" s="4242"/>
      <c r="BK136" s="4243"/>
      <c r="BL136" s="1476"/>
      <c r="BM136" s="4243"/>
      <c r="BN136" s="4242"/>
      <c r="BO136" s="4243"/>
      <c r="BP136" s="1476"/>
      <c r="BQ136" s="4243"/>
      <c r="BR136" s="4242"/>
      <c r="BS136" s="1238">
        <v>1</v>
      </c>
      <c r="BT136" s="1246">
        <f>SUM(BQ136:BS136)</f>
        <v>1</v>
      </c>
      <c r="BU136" s="4243"/>
      <c r="BV136" s="4242"/>
      <c r="BW136" s="1238"/>
      <c r="BX136" s="1246">
        <f>SUM(BU136:BW136)</f>
        <v>0</v>
      </c>
      <c r="BY136" s="5481"/>
      <c r="BZ136" s="5482"/>
      <c r="CA136" s="5479"/>
      <c r="CB136" s="1246">
        <f>SUM(BY136:CA136)</f>
        <v>0</v>
      </c>
    </row>
    <row r="137" spans="1:80" ht="12.75" customHeight="1" x14ac:dyDescent="0.2">
      <c r="A137" s="6436"/>
      <c r="B137" s="6441"/>
      <c r="C137" s="1462"/>
      <c r="D137" s="1310"/>
      <c r="E137" s="1248"/>
      <c r="F137" s="1249"/>
      <c r="G137" s="1249"/>
      <c r="H137" s="1306"/>
      <c r="I137" s="1249"/>
      <c r="J137" s="1249"/>
      <c r="K137" s="1249"/>
      <c r="L137" s="1249"/>
      <c r="M137" s="1248"/>
      <c r="N137" s="1249"/>
      <c r="O137" s="1249"/>
      <c r="P137" s="1306"/>
      <c r="Q137" s="1249"/>
      <c r="R137" s="1249"/>
      <c r="S137" s="1249"/>
      <c r="T137" s="1249"/>
      <c r="U137" s="1248"/>
      <c r="V137" s="1249"/>
      <c r="W137" s="1249"/>
      <c r="X137" s="1306"/>
      <c r="Y137" s="1249"/>
      <c r="Z137" s="1249"/>
      <c r="AA137" s="1249"/>
      <c r="AB137" s="1249"/>
      <c r="AC137" s="1248"/>
      <c r="AD137" s="1249"/>
      <c r="AE137" s="1249"/>
      <c r="AF137" s="1306"/>
      <c r="AG137" s="1249"/>
      <c r="AH137" s="1249"/>
      <c r="AI137" s="1249"/>
      <c r="AJ137" s="1249"/>
      <c r="AK137" s="1248"/>
      <c r="AL137" s="1249"/>
      <c r="AM137" s="1249"/>
      <c r="AN137" s="1306"/>
      <c r="AO137" s="1249"/>
      <c r="AP137" s="1249"/>
      <c r="AQ137" s="1249"/>
      <c r="AR137" s="1249"/>
      <c r="AS137" s="1248"/>
      <c r="AT137" s="1249"/>
      <c r="AU137" s="1249"/>
      <c r="AV137" s="1306"/>
      <c r="AW137" s="1249"/>
      <c r="AX137" s="1249"/>
      <c r="AY137" s="1249"/>
      <c r="AZ137" s="1249"/>
      <c r="BA137" s="1248"/>
      <c r="BB137" s="1249"/>
      <c r="BC137" s="1249"/>
      <c r="BD137" s="1306"/>
      <c r="BE137" s="1248"/>
      <c r="BF137" s="1249"/>
      <c r="BG137" s="1249"/>
      <c r="BH137" s="1306"/>
      <c r="BI137" s="1249">
        <f t="shared" ref="BI137:BP137" si="149">SUM(BI133:BI135)</f>
        <v>0</v>
      </c>
      <c r="BJ137" s="1249">
        <f t="shared" si="149"/>
        <v>2</v>
      </c>
      <c r="BK137" s="1249">
        <f t="shared" si="149"/>
        <v>0</v>
      </c>
      <c r="BL137" s="1306">
        <f t="shared" si="149"/>
        <v>2</v>
      </c>
      <c r="BM137" s="1249">
        <f t="shared" si="149"/>
        <v>0</v>
      </c>
      <c r="BN137" s="1249">
        <f t="shared" si="149"/>
        <v>2</v>
      </c>
      <c r="BO137" s="1249">
        <f t="shared" si="149"/>
        <v>1</v>
      </c>
      <c r="BP137" s="1306">
        <f t="shared" si="149"/>
        <v>3</v>
      </c>
      <c r="BQ137" s="1248">
        <f>SUM(BQ133:BQ135)</f>
        <v>0</v>
      </c>
      <c r="BR137" s="1249">
        <f>SUM(BR133:BR136)</f>
        <v>8</v>
      </c>
      <c r="BS137" s="1249">
        <f>SUM(BS133:BS136)</f>
        <v>2</v>
      </c>
      <c r="BT137" s="1306">
        <f>SUM(BT133:BT136)</f>
        <v>10</v>
      </c>
      <c r="BU137" s="1248">
        <f>SUM(BU133:BU135)</f>
        <v>5</v>
      </c>
      <c r="BV137" s="1249">
        <f>SUM(BV133:BV136)</f>
        <v>2</v>
      </c>
      <c r="BW137" s="1249">
        <f>SUM(BW133:BW136)</f>
        <v>4</v>
      </c>
      <c r="BX137" s="1306">
        <f>SUM(BX133:BX136)</f>
        <v>11</v>
      </c>
      <c r="BY137" s="1248">
        <f>SUM(BY133:BY135)</f>
        <v>1</v>
      </c>
      <c r="BZ137" s="1249">
        <f>SUM(BZ133:BZ136)</f>
        <v>5</v>
      </c>
      <c r="CA137" s="1249">
        <f>SUM(CA133:CA136)</f>
        <v>4</v>
      </c>
      <c r="CB137" s="1306">
        <f>SUM(CB133:CB136)</f>
        <v>10</v>
      </c>
    </row>
    <row r="138" spans="1:80" ht="15" x14ac:dyDescent="0.2">
      <c r="A138" s="6437"/>
      <c r="B138" s="4729"/>
      <c r="C138" s="4729"/>
      <c r="D138" s="4730" t="s">
        <v>526</v>
      </c>
      <c r="E138" s="4729"/>
      <c r="F138" s="4729"/>
      <c r="G138" s="4729"/>
      <c r="H138" s="4729"/>
      <c r="I138" s="4729"/>
      <c r="J138" s="4729"/>
      <c r="K138" s="4729"/>
      <c r="L138" s="4729"/>
      <c r="M138" s="4729"/>
      <c r="N138" s="4729"/>
      <c r="O138" s="4729"/>
      <c r="P138" s="4729"/>
      <c r="Q138" s="4729"/>
      <c r="R138" s="4729"/>
      <c r="S138" s="4729"/>
      <c r="T138" s="4729"/>
      <c r="U138" s="4729"/>
      <c r="V138" s="4729"/>
      <c r="W138" s="4729"/>
      <c r="X138" s="4729"/>
      <c r="Y138" s="4729"/>
      <c r="Z138" s="4729"/>
      <c r="AA138" s="4729"/>
      <c r="AB138" s="4729"/>
      <c r="AC138" s="4729"/>
      <c r="AD138" s="4729"/>
      <c r="AE138" s="4729"/>
      <c r="AF138" s="4729"/>
      <c r="AG138" s="4729"/>
      <c r="AH138" s="4729"/>
      <c r="AI138" s="4729"/>
      <c r="AJ138" s="4729"/>
      <c r="AK138" s="4729"/>
      <c r="AL138" s="4729"/>
      <c r="AM138" s="4729"/>
      <c r="AN138" s="4729"/>
      <c r="AO138" s="4729"/>
      <c r="AP138" s="4729"/>
      <c r="AQ138" s="4729"/>
      <c r="AR138" s="4729"/>
      <c r="AS138" s="4729"/>
      <c r="AT138" s="4729"/>
      <c r="AU138" s="4729"/>
      <c r="AV138" s="4729"/>
      <c r="AW138" s="4729"/>
      <c r="AX138" s="4729"/>
      <c r="AY138" s="4729"/>
      <c r="AZ138" s="4729"/>
      <c r="BA138" s="4729"/>
      <c r="BB138" s="4729"/>
      <c r="BC138" s="4729"/>
      <c r="BD138" s="4729"/>
      <c r="BE138" s="4729"/>
      <c r="BF138" s="4729"/>
      <c r="BG138" s="4729"/>
      <c r="BH138" s="4729"/>
      <c r="BI138" s="4731">
        <f t="shared" ref="BI138:BP138" si="150">SUM(BI130,BI132,BI137)</f>
        <v>5</v>
      </c>
      <c r="BJ138" s="4731">
        <f t="shared" si="150"/>
        <v>5</v>
      </c>
      <c r="BK138" s="4731">
        <f t="shared" si="150"/>
        <v>2</v>
      </c>
      <c r="BL138" s="4732">
        <f t="shared" si="150"/>
        <v>12</v>
      </c>
      <c r="BM138" s="4731">
        <f t="shared" si="150"/>
        <v>3</v>
      </c>
      <c r="BN138" s="4731">
        <f t="shared" si="150"/>
        <v>4</v>
      </c>
      <c r="BO138" s="4731">
        <f t="shared" si="150"/>
        <v>12</v>
      </c>
      <c r="BP138" s="4732">
        <f t="shared" si="150"/>
        <v>19</v>
      </c>
      <c r="BQ138" s="4731">
        <f t="shared" ref="BQ138:BX138" si="151">SUM(BQ130,BQ132,BQ137)</f>
        <v>3</v>
      </c>
      <c r="BR138" s="4731">
        <f t="shared" si="151"/>
        <v>10</v>
      </c>
      <c r="BS138" s="4731">
        <f t="shared" si="151"/>
        <v>18</v>
      </c>
      <c r="BT138" s="4732">
        <f t="shared" si="151"/>
        <v>31</v>
      </c>
      <c r="BU138" s="4731">
        <f t="shared" si="151"/>
        <v>8</v>
      </c>
      <c r="BV138" s="4731">
        <f t="shared" si="151"/>
        <v>8</v>
      </c>
      <c r="BW138" s="4731">
        <f t="shared" si="151"/>
        <v>25</v>
      </c>
      <c r="BX138" s="4732">
        <f t="shared" si="151"/>
        <v>41</v>
      </c>
      <c r="BY138" s="4731">
        <f t="shared" ref="BY138:CB138" si="152">SUM(BY130,BY132,BY137)</f>
        <v>14</v>
      </c>
      <c r="BZ138" s="4731">
        <f t="shared" si="152"/>
        <v>6</v>
      </c>
      <c r="CA138" s="4731">
        <f t="shared" si="152"/>
        <v>18</v>
      </c>
      <c r="CB138" s="4732">
        <f t="shared" si="152"/>
        <v>38</v>
      </c>
    </row>
    <row r="139" spans="1:80" s="987" customFormat="1" ht="15" x14ac:dyDescent="0.2">
      <c r="A139" s="1270"/>
      <c r="B139" s="5879" t="s">
        <v>76</v>
      </c>
      <c r="C139" s="5880"/>
      <c r="D139" s="6418"/>
      <c r="E139" s="1271">
        <f t="shared" ref="E139:AJ139" si="153">SUM(E47,E89,E127)</f>
        <v>32</v>
      </c>
      <c r="F139" s="1272">
        <f t="shared" si="153"/>
        <v>69</v>
      </c>
      <c r="G139" s="1272">
        <f t="shared" si="153"/>
        <v>132</v>
      </c>
      <c r="H139" s="1272">
        <f t="shared" si="153"/>
        <v>233</v>
      </c>
      <c r="I139" s="1271">
        <f t="shared" si="153"/>
        <v>45</v>
      </c>
      <c r="J139" s="1272">
        <f t="shared" si="153"/>
        <v>82</v>
      </c>
      <c r="K139" s="1272">
        <f t="shared" si="153"/>
        <v>86</v>
      </c>
      <c r="L139" s="1272">
        <f t="shared" si="153"/>
        <v>213</v>
      </c>
      <c r="M139" s="1271">
        <f t="shared" si="153"/>
        <v>60</v>
      </c>
      <c r="N139" s="1272">
        <f t="shared" si="153"/>
        <v>151</v>
      </c>
      <c r="O139" s="1272">
        <f t="shared" si="153"/>
        <v>128</v>
      </c>
      <c r="P139" s="1272">
        <f t="shared" si="153"/>
        <v>339</v>
      </c>
      <c r="Q139" s="1271">
        <f t="shared" si="153"/>
        <v>80</v>
      </c>
      <c r="R139" s="1272">
        <f t="shared" si="153"/>
        <v>397</v>
      </c>
      <c r="S139" s="1272">
        <f t="shared" si="153"/>
        <v>138</v>
      </c>
      <c r="T139" s="1272">
        <f t="shared" si="153"/>
        <v>615</v>
      </c>
      <c r="U139" s="1271">
        <f t="shared" si="153"/>
        <v>108</v>
      </c>
      <c r="V139" s="1272">
        <f t="shared" si="153"/>
        <v>134</v>
      </c>
      <c r="W139" s="1272">
        <f t="shared" si="153"/>
        <v>147</v>
      </c>
      <c r="X139" s="1272">
        <f t="shared" si="153"/>
        <v>389</v>
      </c>
      <c r="Y139" s="1271">
        <f t="shared" si="153"/>
        <v>102</v>
      </c>
      <c r="Z139" s="1272">
        <f t="shared" si="153"/>
        <v>219</v>
      </c>
      <c r="AA139" s="1272">
        <f t="shared" si="153"/>
        <v>154</v>
      </c>
      <c r="AB139" s="1272">
        <f t="shared" si="153"/>
        <v>475</v>
      </c>
      <c r="AC139" s="1271">
        <f t="shared" si="153"/>
        <v>116</v>
      </c>
      <c r="AD139" s="1272">
        <f t="shared" si="153"/>
        <v>258</v>
      </c>
      <c r="AE139" s="1272">
        <f t="shared" si="153"/>
        <v>127</v>
      </c>
      <c r="AF139" s="1273">
        <f t="shared" si="153"/>
        <v>501</v>
      </c>
      <c r="AG139" s="1272">
        <f t="shared" si="153"/>
        <v>77</v>
      </c>
      <c r="AH139" s="1272">
        <f t="shared" si="153"/>
        <v>201</v>
      </c>
      <c r="AI139" s="1272">
        <f t="shared" si="153"/>
        <v>243</v>
      </c>
      <c r="AJ139" s="1273">
        <f t="shared" si="153"/>
        <v>521</v>
      </c>
      <c r="AK139" s="1272">
        <f t="shared" ref="AK139:BH139" si="154">SUM(AK47,AK89,AK127)</f>
        <v>151</v>
      </c>
      <c r="AL139" s="1272">
        <f t="shared" si="154"/>
        <v>227</v>
      </c>
      <c r="AM139" s="1272">
        <f t="shared" si="154"/>
        <v>162</v>
      </c>
      <c r="AN139" s="1273">
        <f t="shared" si="154"/>
        <v>540</v>
      </c>
      <c r="AO139" s="1272">
        <f t="shared" si="154"/>
        <v>185</v>
      </c>
      <c r="AP139" s="1272">
        <f t="shared" si="154"/>
        <v>178</v>
      </c>
      <c r="AQ139" s="1272">
        <f t="shared" si="154"/>
        <v>199</v>
      </c>
      <c r="AR139" s="1273">
        <f t="shared" si="154"/>
        <v>562</v>
      </c>
      <c r="AS139" s="1272">
        <f t="shared" si="154"/>
        <v>145</v>
      </c>
      <c r="AT139" s="1272">
        <f t="shared" si="154"/>
        <v>236</v>
      </c>
      <c r="AU139" s="1272">
        <f t="shared" si="154"/>
        <v>246</v>
      </c>
      <c r="AV139" s="1273">
        <f t="shared" si="154"/>
        <v>627</v>
      </c>
      <c r="AW139" s="1272">
        <f t="shared" si="154"/>
        <v>181</v>
      </c>
      <c r="AX139" s="1272">
        <f t="shared" si="154"/>
        <v>271</v>
      </c>
      <c r="AY139" s="1272">
        <f t="shared" si="154"/>
        <v>285</v>
      </c>
      <c r="AZ139" s="1273">
        <f t="shared" si="154"/>
        <v>737</v>
      </c>
      <c r="BA139" s="1272">
        <f t="shared" si="154"/>
        <v>310</v>
      </c>
      <c r="BB139" s="1272">
        <f t="shared" si="154"/>
        <v>261</v>
      </c>
      <c r="BC139" s="1272">
        <f t="shared" si="154"/>
        <v>290</v>
      </c>
      <c r="BD139" s="1273">
        <f t="shared" si="154"/>
        <v>861</v>
      </c>
      <c r="BE139" s="1272">
        <f t="shared" si="154"/>
        <v>159</v>
      </c>
      <c r="BF139" s="1272">
        <f t="shared" si="154"/>
        <v>227</v>
      </c>
      <c r="BG139" s="1272">
        <f t="shared" si="154"/>
        <v>277</v>
      </c>
      <c r="BH139" s="1273">
        <f t="shared" si="154"/>
        <v>663</v>
      </c>
      <c r="BI139" s="1271">
        <f t="shared" ref="BI139:CB139" si="155">SUM(BI47,BI89,BI127,BI138)</f>
        <v>220</v>
      </c>
      <c r="BJ139" s="1272">
        <f t="shared" si="155"/>
        <v>247</v>
      </c>
      <c r="BK139" s="1272">
        <f t="shared" si="155"/>
        <v>265</v>
      </c>
      <c r="BL139" s="1273">
        <f t="shared" si="155"/>
        <v>732</v>
      </c>
      <c r="BM139" s="1271">
        <f t="shared" si="155"/>
        <v>180</v>
      </c>
      <c r="BN139" s="1272">
        <f t="shared" si="155"/>
        <v>292</v>
      </c>
      <c r="BO139" s="1272">
        <f t="shared" si="155"/>
        <v>343</v>
      </c>
      <c r="BP139" s="1273">
        <f t="shared" si="155"/>
        <v>815</v>
      </c>
      <c r="BQ139" s="1271">
        <f t="shared" si="155"/>
        <v>209</v>
      </c>
      <c r="BR139" s="1272">
        <f t="shared" si="155"/>
        <v>236</v>
      </c>
      <c r="BS139" s="1272">
        <f t="shared" si="155"/>
        <v>214</v>
      </c>
      <c r="BT139" s="1273">
        <f t="shared" si="155"/>
        <v>659</v>
      </c>
      <c r="BU139" s="1271">
        <f t="shared" si="155"/>
        <v>224</v>
      </c>
      <c r="BV139" s="1272">
        <f t="shared" si="155"/>
        <v>269</v>
      </c>
      <c r="BW139" s="1272">
        <f t="shared" si="155"/>
        <v>331</v>
      </c>
      <c r="BX139" s="1273">
        <f t="shared" si="155"/>
        <v>824</v>
      </c>
      <c r="BY139" s="5520">
        <f t="shared" si="155"/>
        <v>250</v>
      </c>
      <c r="BZ139" s="5521">
        <f t="shared" si="155"/>
        <v>259</v>
      </c>
      <c r="CA139" s="5521">
        <f t="shared" si="155"/>
        <v>262</v>
      </c>
      <c r="CB139" s="5522">
        <f t="shared" si="155"/>
        <v>771</v>
      </c>
    </row>
    <row r="140" spans="1:80" x14ac:dyDescent="0.2">
      <c r="B140" s="1021" t="s">
        <v>1243</v>
      </c>
      <c r="C140" s="1021"/>
      <c r="D140" s="1021"/>
      <c r="E140" s="1018"/>
      <c r="F140" s="1018"/>
      <c r="G140" s="1018"/>
      <c r="H140" s="1020"/>
      <c r="I140" s="1018"/>
      <c r="J140" s="1018"/>
      <c r="K140" s="1018"/>
      <c r="L140" s="1020"/>
      <c r="M140" s="1018"/>
      <c r="N140" s="1018"/>
      <c r="O140" s="1018"/>
      <c r="P140" s="1020"/>
      <c r="Q140" s="1018"/>
      <c r="R140" s="1018"/>
      <c r="S140" s="1018"/>
      <c r="T140" s="1020"/>
    </row>
    <row r="141" spans="1:80" x14ac:dyDescent="0.2">
      <c r="B141" s="240" t="s">
        <v>1571</v>
      </c>
      <c r="C141" s="1022"/>
      <c r="D141" s="1022"/>
    </row>
  </sheetData>
  <sheetProtection algorithmName="SHA-512" hashValue="d7axS11R8aogAoNUuR6k2HUd5eiz8sB5Zdp4bv5qh+t2LliuAvPeExSfUI7yS57w84pX66v9YvHPXyGACwLH9A==" saltValue="rshdifXkVGDa2jtQLb4nOg==" spinCount="100000" sheet="1" objects="1" scenarios="1"/>
  <mergeCells count="64">
    <mergeCell ref="BY3:CB3"/>
    <mergeCell ref="BU3:BX3"/>
    <mergeCell ref="C35:C40"/>
    <mergeCell ref="C110:C117"/>
    <mergeCell ref="C41:C45"/>
    <mergeCell ref="C55:C61"/>
    <mergeCell ref="C64:C71"/>
    <mergeCell ref="BQ3:BT3"/>
    <mergeCell ref="C48:C54"/>
    <mergeCell ref="C6:C11"/>
    <mergeCell ref="C28:C30"/>
    <mergeCell ref="C21:C27"/>
    <mergeCell ref="C12:C13"/>
    <mergeCell ref="C32:C34"/>
    <mergeCell ref="A1:C1"/>
    <mergeCell ref="BM3:BP3"/>
    <mergeCell ref="AW3:AZ3"/>
    <mergeCell ref="BA3:BD3"/>
    <mergeCell ref="BE3:BH3"/>
    <mergeCell ref="AS3:AV3"/>
    <mergeCell ref="BI3:BL3"/>
    <mergeCell ref="AK3:AN3"/>
    <mergeCell ref="C3:C4"/>
    <mergeCell ref="E3:H3"/>
    <mergeCell ref="A5:A47"/>
    <mergeCell ref="B5:B17"/>
    <mergeCell ref="AO3:AR3"/>
    <mergeCell ref="I3:L3"/>
    <mergeCell ref="A3:A4"/>
    <mergeCell ref="B3:B4"/>
    <mergeCell ref="D3:D4"/>
    <mergeCell ref="B18:B31"/>
    <mergeCell ref="C18:C20"/>
    <mergeCell ref="B32:B46"/>
    <mergeCell ref="U3:X3"/>
    <mergeCell ref="Y3:AB3"/>
    <mergeCell ref="AC3:AF3"/>
    <mergeCell ref="AG3:AJ3"/>
    <mergeCell ref="M3:P3"/>
    <mergeCell ref="Q3:T3"/>
    <mergeCell ref="A128:A138"/>
    <mergeCell ref="B128:B130"/>
    <mergeCell ref="B131:B132"/>
    <mergeCell ref="B133:B137"/>
    <mergeCell ref="C92:C102"/>
    <mergeCell ref="C103:C105"/>
    <mergeCell ref="C107:C109"/>
    <mergeCell ref="C135:C136"/>
    <mergeCell ref="B139:D139"/>
    <mergeCell ref="A48:A89"/>
    <mergeCell ref="B48:B62"/>
    <mergeCell ref="B63:B77"/>
    <mergeCell ref="B78:B88"/>
    <mergeCell ref="A90:A127"/>
    <mergeCell ref="B90:B106"/>
    <mergeCell ref="B107:B121"/>
    <mergeCell ref="B122:B126"/>
    <mergeCell ref="C78:C79"/>
    <mergeCell ref="C80:C84"/>
    <mergeCell ref="C85:C87"/>
    <mergeCell ref="C90:C91"/>
    <mergeCell ref="C122:C124"/>
    <mergeCell ref="C118:C120"/>
    <mergeCell ref="C72:C76"/>
  </mergeCells>
  <printOptions horizontalCentered="1" verticalCentered="1"/>
  <pageMargins left="0.39370078740157483" right="0.39370078740157483" top="0.27559055118110237" bottom="0.19685039370078741" header="0" footer="0.31496062992125984"/>
  <pageSetup scale="45" pageOrder="overThenDown" orientation="landscape" horizontalDpi="1200" verticalDpi="1200" r:id="rId1"/>
  <headerFooter alignWithMargins="0"/>
  <rowBreaks count="1" manualBreakCount="1">
    <brk id="89" max="16383" man="1"/>
  </rowBreaks>
  <colBreaks count="3" manualBreakCount="3">
    <brk id="24" max="1048575" man="1"/>
    <brk id="44" max="1048575" man="1"/>
    <brk id="64" max="1048575" man="1"/>
  </colBreaks>
  <ignoredErrors>
    <ignoredError sqref="E17:BP17 E31:BP31 BP21 E28:BL30 E46:BP47 E41:BK41 E62:BP62 E77:BP77 E130:BP130 E106:BP106 E102:BL105 E88:BP90 E121:BP121 BO113:BP113 E126:BP127 E122:BL125 E61:BG61 BO25:BO26 BO32:BP32 BP41 E55:BL59 E63:BL76 E78:BL87 BO97:BP97 E118:BL119 BO114 E128:BL129 E137:BP138 BO133:BP133 E18:BL26 BP35 BP55:BP59 BP63:BP68 BP72:BP76 BP86:BP87 BP78:BP83 E91:BN91 BP91:BP96 E92:BL100 BP98:BP99 BP118:BP119 BP111:BP112 BP122:BP125 BP128:BP129 E132:BP132 E131:BN131 BP131 BP134 BP103:BP105 BO102 BO100:BP100 BO110:BP110 BO107:BO109 E133:BL135 BO135:BP135 BO84 BO69:BO71 BO61 BO33 BO29 BO22:BO23 BO20 BI61:BK61 E35:BL35 BP48:BP53 E48:BL53 BT17:BT31 BT121:BT132 BX130:BX132 BU137 BX106 BX77 BX62 BX31 BP115:BP116 E107:BL116 BX121 CB17 E32:BL33 CB62:CB77 BY130:CB137" formula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BZ114"/>
  <sheetViews>
    <sheetView showGridLines="0" zoomScaleNormal="100" zoomScaleSheetLayoutView="80" workbookViewId="0">
      <pane xSplit="2" ySplit="5" topLeftCell="BB6" activePane="bottomRight" state="frozen"/>
      <selection sqref="A1:E1"/>
      <selection pane="topRight" sqref="A1:E1"/>
      <selection pane="bottomLeft" sqref="A1:E1"/>
      <selection pane="bottomRight" activeCell="CB16" sqref="CB16"/>
    </sheetView>
  </sheetViews>
  <sheetFormatPr baseColWidth="10" defaultRowHeight="12.75" x14ac:dyDescent="0.2"/>
  <cols>
    <col min="1" max="1" width="15.28515625" style="209" customWidth="1"/>
    <col min="2" max="2" width="17.7109375" style="209" customWidth="1"/>
    <col min="3" max="25" width="8.28515625" style="209" customWidth="1"/>
    <col min="26" max="26" width="8.28515625" style="222" customWidth="1"/>
    <col min="27" max="29" width="8.28515625" style="209" customWidth="1"/>
    <col min="30" max="30" width="8.28515625" style="222" customWidth="1"/>
    <col min="31" max="33" width="8.28515625" style="209" customWidth="1"/>
    <col min="34" max="34" width="8.28515625" style="222" customWidth="1"/>
    <col min="35" max="37" width="8.28515625" style="209" customWidth="1"/>
    <col min="38" max="38" width="8.28515625" style="222" customWidth="1"/>
    <col min="39" max="70" width="8.28515625" style="209" customWidth="1"/>
    <col min="71" max="78" width="8.7109375" style="209" customWidth="1"/>
    <col min="79" max="271" width="11.42578125" style="209"/>
    <col min="272" max="272" width="1.140625" style="209" customWidth="1"/>
    <col min="273" max="273" width="17" style="209" customWidth="1"/>
    <col min="274" max="274" width="24.7109375" style="209" customWidth="1"/>
    <col min="275" max="290" width="0" style="209" hidden="1" customWidth="1"/>
    <col min="291" max="310" width="7.85546875" style="209" customWidth="1"/>
    <col min="311" max="527" width="11.42578125" style="209"/>
    <col min="528" max="528" width="1.140625" style="209" customWidth="1"/>
    <col min="529" max="529" width="17" style="209" customWidth="1"/>
    <col min="530" max="530" width="24.7109375" style="209" customWidth="1"/>
    <col min="531" max="546" width="0" style="209" hidden="1" customWidth="1"/>
    <col min="547" max="566" width="7.85546875" style="209" customWidth="1"/>
    <col min="567" max="783" width="11.42578125" style="209"/>
    <col min="784" max="784" width="1.140625" style="209" customWidth="1"/>
    <col min="785" max="785" width="17" style="209" customWidth="1"/>
    <col min="786" max="786" width="24.7109375" style="209" customWidth="1"/>
    <col min="787" max="802" width="0" style="209" hidden="1" customWidth="1"/>
    <col min="803" max="822" width="7.85546875" style="209" customWidth="1"/>
    <col min="823" max="1039" width="11.42578125" style="209"/>
    <col min="1040" max="1040" width="1.140625" style="209" customWidth="1"/>
    <col min="1041" max="1041" width="17" style="209" customWidth="1"/>
    <col min="1042" max="1042" width="24.7109375" style="209" customWidth="1"/>
    <col min="1043" max="1058" width="0" style="209" hidden="1" customWidth="1"/>
    <col min="1059" max="1078" width="7.85546875" style="209" customWidth="1"/>
    <col min="1079" max="1295" width="11.42578125" style="209"/>
    <col min="1296" max="1296" width="1.140625" style="209" customWidth="1"/>
    <col min="1297" max="1297" width="17" style="209" customWidth="1"/>
    <col min="1298" max="1298" width="24.7109375" style="209" customWidth="1"/>
    <col min="1299" max="1314" width="0" style="209" hidden="1" customWidth="1"/>
    <col min="1315" max="1334" width="7.85546875" style="209" customWidth="1"/>
    <col min="1335" max="1551" width="11.42578125" style="209"/>
    <col min="1552" max="1552" width="1.140625" style="209" customWidth="1"/>
    <col min="1553" max="1553" width="17" style="209" customWidth="1"/>
    <col min="1554" max="1554" width="24.7109375" style="209" customWidth="1"/>
    <col min="1555" max="1570" width="0" style="209" hidden="1" customWidth="1"/>
    <col min="1571" max="1590" width="7.85546875" style="209" customWidth="1"/>
    <col min="1591" max="1807" width="11.42578125" style="209"/>
    <col min="1808" max="1808" width="1.140625" style="209" customWidth="1"/>
    <col min="1809" max="1809" width="17" style="209" customWidth="1"/>
    <col min="1810" max="1810" width="24.7109375" style="209" customWidth="1"/>
    <col min="1811" max="1826" width="0" style="209" hidden="1" customWidth="1"/>
    <col min="1827" max="1846" width="7.85546875" style="209" customWidth="1"/>
    <col min="1847" max="2063" width="11.42578125" style="209"/>
    <col min="2064" max="2064" width="1.140625" style="209" customWidth="1"/>
    <col min="2065" max="2065" width="17" style="209" customWidth="1"/>
    <col min="2066" max="2066" width="24.7109375" style="209" customWidth="1"/>
    <col min="2067" max="2082" width="0" style="209" hidden="1" customWidth="1"/>
    <col min="2083" max="2102" width="7.85546875" style="209" customWidth="1"/>
    <col min="2103" max="2319" width="11.42578125" style="209"/>
    <col min="2320" max="2320" width="1.140625" style="209" customWidth="1"/>
    <col min="2321" max="2321" width="17" style="209" customWidth="1"/>
    <col min="2322" max="2322" width="24.7109375" style="209" customWidth="1"/>
    <col min="2323" max="2338" width="0" style="209" hidden="1" customWidth="1"/>
    <col min="2339" max="2358" width="7.85546875" style="209" customWidth="1"/>
    <col min="2359" max="2575" width="11.42578125" style="209"/>
    <col min="2576" max="2576" width="1.140625" style="209" customWidth="1"/>
    <col min="2577" max="2577" width="17" style="209" customWidth="1"/>
    <col min="2578" max="2578" width="24.7109375" style="209" customWidth="1"/>
    <col min="2579" max="2594" width="0" style="209" hidden="1" customWidth="1"/>
    <col min="2595" max="2614" width="7.85546875" style="209" customWidth="1"/>
    <col min="2615" max="2831" width="11.42578125" style="209"/>
    <col min="2832" max="2832" width="1.140625" style="209" customWidth="1"/>
    <col min="2833" max="2833" width="17" style="209" customWidth="1"/>
    <col min="2834" max="2834" width="24.7109375" style="209" customWidth="1"/>
    <col min="2835" max="2850" width="0" style="209" hidden="1" customWidth="1"/>
    <col min="2851" max="2870" width="7.85546875" style="209" customWidth="1"/>
    <col min="2871" max="3087" width="11.42578125" style="209"/>
    <col min="3088" max="3088" width="1.140625" style="209" customWidth="1"/>
    <col min="3089" max="3089" width="17" style="209" customWidth="1"/>
    <col min="3090" max="3090" width="24.7109375" style="209" customWidth="1"/>
    <col min="3091" max="3106" width="0" style="209" hidden="1" customWidth="1"/>
    <col min="3107" max="3126" width="7.85546875" style="209" customWidth="1"/>
    <col min="3127" max="3343" width="11.42578125" style="209"/>
    <col min="3344" max="3344" width="1.140625" style="209" customWidth="1"/>
    <col min="3345" max="3345" width="17" style="209" customWidth="1"/>
    <col min="3346" max="3346" width="24.7109375" style="209" customWidth="1"/>
    <col min="3347" max="3362" width="0" style="209" hidden="1" customWidth="1"/>
    <col min="3363" max="3382" width="7.85546875" style="209" customWidth="1"/>
    <col min="3383" max="3599" width="11.42578125" style="209"/>
    <col min="3600" max="3600" width="1.140625" style="209" customWidth="1"/>
    <col min="3601" max="3601" width="17" style="209" customWidth="1"/>
    <col min="3602" max="3602" width="24.7109375" style="209" customWidth="1"/>
    <col min="3603" max="3618" width="0" style="209" hidden="1" customWidth="1"/>
    <col min="3619" max="3638" width="7.85546875" style="209" customWidth="1"/>
    <col min="3639" max="3855" width="11.42578125" style="209"/>
    <col min="3856" max="3856" width="1.140625" style="209" customWidth="1"/>
    <col min="3857" max="3857" width="17" style="209" customWidth="1"/>
    <col min="3858" max="3858" width="24.7109375" style="209" customWidth="1"/>
    <col min="3859" max="3874" width="0" style="209" hidden="1" customWidth="1"/>
    <col min="3875" max="3894" width="7.85546875" style="209" customWidth="1"/>
    <col min="3895" max="4111" width="11.42578125" style="209"/>
    <col min="4112" max="4112" width="1.140625" style="209" customWidth="1"/>
    <col min="4113" max="4113" width="17" style="209" customWidth="1"/>
    <col min="4114" max="4114" width="24.7109375" style="209" customWidth="1"/>
    <col min="4115" max="4130" width="0" style="209" hidden="1" customWidth="1"/>
    <col min="4131" max="4150" width="7.85546875" style="209" customWidth="1"/>
    <col min="4151" max="4367" width="11.42578125" style="209"/>
    <col min="4368" max="4368" width="1.140625" style="209" customWidth="1"/>
    <col min="4369" max="4369" width="17" style="209" customWidth="1"/>
    <col min="4370" max="4370" width="24.7109375" style="209" customWidth="1"/>
    <col min="4371" max="4386" width="0" style="209" hidden="1" customWidth="1"/>
    <col min="4387" max="4406" width="7.85546875" style="209" customWidth="1"/>
    <col min="4407" max="4623" width="11.42578125" style="209"/>
    <col min="4624" max="4624" width="1.140625" style="209" customWidth="1"/>
    <col min="4625" max="4625" width="17" style="209" customWidth="1"/>
    <col min="4626" max="4626" width="24.7109375" style="209" customWidth="1"/>
    <col min="4627" max="4642" width="0" style="209" hidden="1" customWidth="1"/>
    <col min="4643" max="4662" width="7.85546875" style="209" customWidth="1"/>
    <col min="4663" max="4879" width="11.42578125" style="209"/>
    <col min="4880" max="4880" width="1.140625" style="209" customWidth="1"/>
    <col min="4881" max="4881" width="17" style="209" customWidth="1"/>
    <col min="4882" max="4882" width="24.7109375" style="209" customWidth="1"/>
    <col min="4883" max="4898" width="0" style="209" hidden="1" customWidth="1"/>
    <col min="4899" max="4918" width="7.85546875" style="209" customWidth="1"/>
    <col min="4919" max="5135" width="11.42578125" style="209"/>
    <col min="5136" max="5136" width="1.140625" style="209" customWidth="1"/>
    <col min="5137" max="5137" width="17" style="209" customWidth="1"/>
    <col min="5138" max="5138" width="24.7109375" style="209" customWidth="1"/>
    <col min="5139" max="5154" width="0" style="209" hidden="1" customWidth="1"/>
    <col min="5155" max="5174" width="7.85546875" style="209" customWidth="1"/>
    <col min="5175" max="5391" width="11.42578125" style="209"/>
    <col min="5392" max="5392" width="1.140625" style="209" customWidth="1"/>
    <col min="5393" max="5393" width="17" style="209" customWidth="1"/>
    <col min="5394" max="5394" width="24.7109375" style="209" customWidth="1"/>
    <col min="5395" max="5410" width="0" style="209" hidden="1" customWidth="1"/>
    <col min="5411" max="5430" width="7.85546875" style="209" customWidth="1"/>
    <col min="5431" max="5647" width="11.42578125" style="209"/>
    <col min="5648" max="5648" width="1.140625" style="209" customWidth="1"/>
    <col min="5649" max="5649" width="17" style="209" customWidth="1"/>
    <col min="5650" max="5650" width="24.7109375" style="209" customWidth="1"/>
    <col min="5651" max="5666" width="0" style="209" hidden="1" customWidth="1"/>
    <col min="5667" max="5686" width="7.85546875" style="209" customWidth="1"/>
    <col min="5687" max="5903" width="11.42578125" style="209"/>
    <col min="5904" max="5904" width="1.140625" style="209" customWidth="1"/>
    <col min="5905" max="5905" width="17" style="209" customWidth="1"/>
    <col min="5906" max="5906" width="24.7109375" style="209" customWidth="1"/>
    <col min="5907" max="5922" width="0" style="209" hidden="1" customWidth="1"/>
    <col min="5923" max="5942" width="7.85546875" style="209" customWidth="1"/>
    <col min="5943" max="6159" width="11.42578125" style="209"/>
    <col min="6160" max="6160" width="1.140625" style="209" customWidth="1"/>
    <col min="6161" max="6161" width="17" style="209" customWidth="1"/>
    <col min="6162" max="6162" width="24.7109375" style="209" customWidth="1"/>
    <col min="6163" max="6178" width="0" style="209" hidden="1" customWidth="1"/>
    <col min="6179" max="6198" width="7.85546875" style="209" customWidth="1"/>
    <col min="6199" max="6415" width="11.42578125" style="209"/>
    <col min="6416" max="6416" width="1.140625" style="209" customWidth="1"/>
    <col min="6417" max="6417" width="17" style="209" customWidth="1"/>
    <col min="6418" max="6418" width="24.7109375" style="209" customWidth="1"/>
    <col min="6419" max="6434" width="0" style="209" hidden="1" customWidth="1"/>
    <col min="6435" max="6454" width="7.85546875" style="209" customWidth="1"/>
    <col min="6455" max="6671" width="11.42578125" style="209"/>
    <col min="6672" max="6672" width="1.140625" style="209" customWidth="1"/>
    <col min="6673" max="6673" width="17" style="209" customWidth="1"/>
    <col min="6674" max="6674" width="24.7109375" style="209" customWidth="1"/>
    <col min="6675" max="6690" width="0" style="209" hidden="1" customWidth="1"/>
    <col min="6691" max="6710" width="7.85546875" style="209" customWidth="1"/>
    <col min="6711" max="6927" width="11.42578125" style="209"/>
    <col min="6928" max="6928" width="1.140625" style="209" customWidth="1"/>
    <col min="6929" max="6929" width="17" style="209" customWidth="1"/>
    <col min="6930" max="6930" width="24.7109375" style="209" customWidth="1"/>
    <col min="6931" max="6946" width="0" style="209" hidden="1" customWidth="1"/>
    <col min="6947" max="6966" width="7.85546875" style="209" customWidth="1"/>
    <col min="6967" max="7183" width="11.42578125" style="209"/>
    <col min="7184" max="7184" width="1.140625" style="209" customWidth="1"/>
    <col min="7185" max="7185" width="17" style="209" customWidth="1"/>
    <col min="7186" max="7186" width="24.7109375" style="209" customWidth="1"/>
    <col min="7187" max="7202" width="0" style="209" hidden="1" customWidth="1"/>
    <col min="7203" max="7222" width="7.85546875" style="209" customWidth="1"/>
    <col min="7223" max="7439" width="11.42578125" style="209"/>
    <col min="7440" max="7440" width="1.140625" style="209" customWidth="1"/>
    <col min="7441" max="7441" width="17" style="209" customWidth="1"/>
    <col min="7442" max="7442" width="24.7109375" style="209" customWidth="1"/>
    <col min="7443" max="7458" width="0" style="209" hidden="1" customWidth="1"/>
    <col min="7459" max="7478" width="7.85546875" style="209" customWidth="1"/>
    <col min="7479" max="7695" width="11.42578125" style="209"/>
    <col min="7696" max="7696" width="1.140625" style="209" customWidth="1"/>
    <col min="7697" max="7697" width="17" style="209" customWidth="1"/>
    <col min="7698" max="7698" width="24.7109375" style="209" customWidth="1"/>
    <col min="7699" max="7714" width="0" style="209" hidden="1" customWidth="1"/>
    <col min="7715" max="7734" width="7.85546875" style="209" customWidth="1"/>
    <col min="7735" max="7951" width="11.42578125" style="209"/>
    <col min="7952" max="7952" width="1.140625" style="209" customWidth="1"/>
    <col min="7953" max="7953" width="17" style="209" customWidth="1"/>
    <col min="7954" max="7954" width="24.7109375" style="209" customWidth="1"/>
    <col min="7955" max="7970" width="0" style="209" hidden="1" customWidth="1"/>
    <col min="7971" max="7990" width="7.85546875" style="209" customWidth="1"/>
    <col min="7991" max="8207" width="11.42578125" style="209"/>
    <col min="8208" max="8208" width="1.140625" style="209" customWidth="1"/>
    <col min="8209" max="8209" width="17" style="209" customWidth="1"/>
    <col min="8210" max="8210" width="24.7109375" style="209" customWidth="1"/>
    <col min="8211" max="8226" width="0" style="209" hidden="1" customWidth="1"/>
    <col min="8227" max="8246" width="7.85546875" style="209" customWidth="1"/>
    <col min="8247" max="8463" width="11.42578125" style="209"/>
    <col min="8464" max="8464" width="1.140625" style="209" customWidth="1"/>
    <col min="8465" max="8465" width="17" style="209" customWidth="1"/>
    <col min="8466" max="8466" width="24.7109375" style="209" customWidth="1"/>
    <col min="8467" max="8482" width="0" style="209" hidden="1" customWidth="1"/>
    <col min="8483" max="8502" width="7.85546875" style="209" customWidth="1"/>
    <col min="8503" max="8719" width="11.42578125" style="209"/>
    <col min="8720" max="8720" width="1.140625" style="209" customWidth="1"/>
    <col min="8721" max="8721" width="17" style="209" customWidth="1"/>
    <col min="8722" max="8722" width="24.7109375" style="209" customWidth="1"/>
    <col min="8723" max="8738" width="0" style="209" hidden="1" customWidth="1"/>
    <col min="8739" max="8758" width="7.85546875" style="209" customWidth="1"/>
    <col min="8759" max="8975" width="11.42578125" style="209"/>
    <col min="8976" max="8976" width="1.140625" style="209" customWidth="1"/>
    <col min="8977" max="8977" width="17" style="209" customWidth="1"/>
    <col min="8978" max="8978" width="24.7109375" style="209" customWidth="1"/>
    <col min="8979" max="8994" width="0" style="209" hidden="1" customWidth="1"/>
    <col min="8995" max="9014" width="7.85546875" style="209" customWidth="1"/>
    <col min="9015" max="9231" width="11.42578125" style="209"/>
    <col min="9232" max="9232" width="1.140625" style="209" customWidth="1"/>
    <col min="9233" max="9233" width="17" style="209" customWidth="1"/>
    <col min="9234" max="9234" width="24.7109375" style="209" customWidth="1"/>
    <col min="9235" max="9250" width="0" style="209" hidden="1" customWidth="1"/>
    <col min="9251" max="9270" width="7.85546875" style="209" customWidth="1"/>
    <col min="9271" max="9487" width="11.42578125" style="209"/>
    <col min="9488" max="9488" width="1.140625" style="209" customWidth="1"/>
    <col min="9489" max="9489" width="17" style="209" customWidth="1"/>
    <col min="9490" max="9490" width="24.7109375" style="209" customWidth="1"/>
    <col min="9491" max="9506" width="0" style="209" hidden="1" customWidth="1"/>
    <col min="9507" max="9526" width="7.85546875" style="209" customWidth="1"/>
    <col min="9527" max="9743" width="11.42578125" style="209"/>
    <col min="9744" max="9744" width="1.140625" style="209" customWidth="1"/>
    <col min="9745" max="9745" width="17" style="209" customWidth="1"/>
    <col min="9746" max="9746" width="24.7109375" style="209" customWidth="1"/>
    <col min="9747" max="9762" width="0" style="209" hidden="1" customWidth="1"/>
    <col min="9763" max="9782" width="7.85546875" style="209" customWidth="1"/>
    <col min="9783" max="9999" width="11.42578125" style="209"/>
    <col min="10000" max="10000" width="1.140625" style="209" customWidth="1"/>
    <col min="10001" max="10001" width="17" style="209" customWidth="1"/>
    <col min="10002" max="10002" width="24.7109375" style="209" customWidth="1"/>
    <col min="10003" max="10018" width="0" style="209" hidden="1" customWidth="1"/>
    <col min="10019" max="10038" width="7.85546875" style="209" customWidth="1"/>
    <col min="10039" max="10255" width="11.42578125" style="209"/>
    <col min="10256" max="10256" width="1.140625" style="209" customWidth="1"/>
    <col min="10257" max="10257" width="17" style="209" customWidth="1"/>
    <col min="10258" max="10258" width="24.7109375" style="209" customWidth="1"/>
    <col min="10259" max="10274" width="0" style="209" hidden="1" customWidth="1"/>
    <col min="10275" max="10294" width="7.85546875" style="209" customWidth="1"/>
    <col min="10295" max="10511" width="11.42578125" style="209"/>
    <col min="10512" max="10512" width="1.140625" style="209" customWidth="1"/>
    <col min="10513" max="10513" width="17" style="209" customWidth="1"/>
    <col min="10514" max="10514" width="24.7109375" style="209" customWidth="1"/>
    <col min="10515" max="10530" width="0" style="209" hidden="1" customWidth="1"/>
    <col min="10531" max="10550" width="7.85546875" style="209" customWidth="1"/>
    <col min="10551" max="10767" width="11.42578125" style="209"/>
    <col min="10768" max="10768" width="1.140625" style="209" customWidth="1"/>
    <col min="10769" max="10769" width="17" style="209" customWidth="1"/>
    <col min="10770" max="10770" width="24.7109375" style="209" customWidth="1"/>
    <col min="10771" max="10786" width="0" style="209" hidden="1" customWidth="1"/>
    <col min="10787" max="10806" width="7.85546875" style="209" customWidth="1"/>
    <col min="10807" max="11023" width="11.42578125" style="209"/>
    <col min="11024" max="11024" width="1.140625" style="209" customWidth="1"/>
    <col min="11025" max="11025" width="17" style="209" customWidth="1"/>
    <col min="11026" max="11026" width="24.7109375" style="209" customWidth="1"/>
    <col min="11027" max="11042" width="0" style="209" hidden="1" customWidth="1"/>
    <col min="11043" max="11062" width="7.85546875" style="209" customWidth="1"/>
    <col min="11063" max="11279" width="11.42578125" style="209"/>
    <col min="11280" max="11280" width="1.140625" style="209" customWidth="1"/>
    <col min="11281" max="11281" width="17" style="209" customWidth="1"/>
    <col min="11282" max="11282" width="24.7109375" style="209" customWidth="1"/>
    <col min="11283" max="11298" width="0" style="209" hidden="1" customWidth="1"/>
    <col min="11299" max="11318" width="7.85546875" style="209" customWidth="1"/>
    <col min="11319" max="11535" width="11.42578125" style="209"/>
    <col min="11536" max="11536" width="1.140625" style="209" customWidth="1"/>
    <col min="11537" max="11537" width="17" style="209" customWidth="1"/>
    <col min="11538" max="11538" width="24.7109375" style="209" customWidth="1"/>
    <col min="11539" max="11554" width="0" style="209" hidden="1" customWidth="1"/>
    <col min="11555" max="11574" width="7.85546875" style="209" customWidth="1"/>
    <col min="11575" max="11791" width="11.42578125" style="209"/>
    <col min="11792" max="11792" width="1.140625" style="209" customWidth="1"/>
    <col min="11793" max="11793" width="17" style="209" customWidth="1"/>
    <col min="11794" max="11794" width="24.7109375" style="209" customWidth="1"/>
    <col min="11795" max="11810" width="0" style="209" hidden="1" customWidth="1"/>
    <col min="11811" max="11830" width="7.85546875" style="209" customWidth="1"/>
    <col min="11831" max="12047" width="11.42578125" style="209"/>
    <col min="12048" max="12048" width="1.140625" style="209" customWidth="1"/>
    <col min="12049" max="12049" width="17" style="209" customWidth="1"/>
    <col min="12050" max="12050" width="24.7109375" style="209" customWidth="1"/>
    <col min="12051" max="12066" width="0" style="209" hidden="1" customWidth="1"/>
    <col min="12067" max="12086" width="7.85546875" style="209" customWidth="1"/>
    <col min="12087" max="12303" width="11.42578125" style="209"/>
    <col min="12304" max="12304" width="1.140625" style="209" customWidth="1"/>
    <col min="12305" max="12305" width="17" style="209" customWidth="1"/>
    <col min="12306" max="12306" width="24.7109375" style="209" customWidth="1"/>
    <col min="12307" max="12322" width="0" style="209" hidden="1" customWidth="1"/>
    <col min="12323" max="12342" width="7.85546875" style="209" customWidth="1"/>
    <col min="12343" max="12559" width="11.42578125" style="209"/>
    <col min="12560" max="12560" width="1.140625" style="209" customWidth="1"/>
    <col min="12561" max="12561" width="17" style="209" customWidth="1"/>
    <col min="12562" max="12562" width="24.7109375" style="209" customWidth="1"/>
    <col min="12563" max="12578" width="0" style="209" hidden="1" customWidth="1"/>
    <col min="12579" max="12598" width="7.85546875" style="209" customWidth="1"/>
    <col min="12599" max="12815" width="11.42578125" style="209"/>
    <col min="12816" max="12816" width="1.140625" style="209" customWidth="1"/>
    <col min="12817" max="12817" width="17" style="209" customWidth="1"/>
    <col min="12818" max="12818" width="24.7109375" style="209" customWidth="1"/>
    <col min="12819" max="12834" width="0" style="209" hidden="1" customWidth="1"/>
    <col min="12835" max="12854" width="7.85546875" style="209" customWidth="1"/>
    <col min="12855" max="13071" width="11.42578125" style="209"/>
    <col min="13072" max="13072" width="1.140625" style="209" customWidth="1"/>
    <col min="13073" max="13073" width="17" style="209" customWidth="1"/>
    <col min="13074" max="13074" width="24.7109375" style="209" customWidth="1"/>
    <col min="13075" max="13090" width="0" style="209" hidden="1" customWidth="1"/>
    <col min="13091" max="13110" width="7.85546875" style="209" customWidth="1"/>
    <col min="13111" max="13327" width="11.42578125" style="209"/>
    <col min="13328" max="13328" width="1.140625" style="209" customWidth="1"/>
    <col min="13329" max="13329" width="17" style="209" customWidth="1"/>
    <col min="13330" max="13330" width="24.7109375" style="209" customWidth="1"/>
    <col min="13331" max="13346" width="0" style="209" hidden="1" customWidth="1"/>
    <col min="13347" max="13366" width="7.85546875" style="209" customWidth="1"/>
    <col min="13367" max="13583" width="11.42578125" style="209"/>
    <col min="13584" max="13584" width="1.140625" style="209" customWidth="1"/>
    <col min="13585" max="13585" width="17" style="209" customWidth="1"/>
    <col min="13586" max="13586" width="24.7109375" style="209" customWidth="1"/>
    <col min="13587" max="13602" width="0" style="209" hidden="1" customWidth="1"/>
    <col min="13603" max="13622" width="7.85546875" style="209" customWidth="1"/>
    <col min="13623" max="13839" width="11.42578125" style="209"/>
    <col min="13840" max="13840" width="1.140625" style="209" customWidth="1"/>
    <col min="13841" max="13841" width="17" style="209" customWidth="1"/>
    <col min="13842" max="13842" width="24.7109375" style="209" customWidth="1"/>
    <col min="13843" max="13858" width="0" style="209" hidden="1" customWidth="1"/>
    <col min="13859" max="13878" width="7.85546875" style="209" customWidth="1"/>
    <col min="13879" max="14095" width="11.42578125" style="209"/>
    <col min="14096" max="14096" width="1.140625" style="209" customWidth="1"/>
    <col min="14097" max="14097" width="17" style="209" customWidth="1"/>
    <col min="14098" max="14098" width="24.7109375" style="209" customWidth="1"/>
    <col min="14099" max="14114" width="0" style="209" hidden="1" customWidth="1"/>
    <col min="14115" max="14134" width="7.85546875" style="209" customWidth="1"/>
    <col min="14135" max="14351" width="11.42578125" style="209"/>
    <col min="14352" max="14352" width="1.140625" style="209" customWidth="1"/>
    <col min="14353" max="14353" width="17" style="209" customWidth="1"/>
    <col min="14354" max="14354" width="24.7109375" style="209" customWidth="1"/>
    <col min="14355" max="14370" width="0" style="209" hidden="1" customWidth="1"/>
    <col min="14371" max="14390" width="7.85546875" style="209" customWidth="1"/>
    <col min="14391" max="14607" width="11.42578125" style="209"/>
    <col min="14608" max="14608" width="1.140625" style="209" customWidth="1"/>
    <col min="14609" max="14609" width="17" style="209" customWidth="1"/>
    <col min="14610" max="14610" width="24.7109375" style="209" customWidth="1"/>
    <col min="14611" max="14626" width="0" style="209" hidden="1" customWidth="1"/>
    <col min="14627" max="14646" width="7.85546875" style="209" customWidth="1"/>
    <col min="14647" max="14863" width="11.42578125" style="209"/>
    <col min="14864" max="14864" width="1.140625" style="209" customWidth="1"/>
    <col min="14865" max="14865" width="17" style="209" customWidth="1"/>
    <col min="14866" max="14866" width="24.7109375" style="209" customWidth="1"/>
    <col min="14867" max="14882" width="0" style="209" hidden="1" customWidth="1"/>
    <col min="14883" max="14902" width="7.85546875" style="209" customWidth="1"/>
    <col min="14903" max="15119" width="11.42578125" style="209"/>
    <col min="15120" max="15120" width="1.140625" style="209" customWidth="1"/>
    <col min="15121" max="15121" width="17" style="209" customWidth="1"/>
    <col min="15122" max="15122" width="24.7109375" style="209" customWidth="1"/>
    <col min="15123" max="15138" width="0" style="209" hidden="1" customWidth="1"/>
    <col min="15139" max="15158" width="7.85546875" style="209" customWidth="1"/>
    <col min="15159" max="15375" width="11.42578125" style="209"/>
    <col min="15376" max="15376" width="1.140625" style="209" customWidth="1"/>
    <col min="15377" max="15377" width="17" style="209" customWidth="1"/>
    <col min="15378" max="15378" width="24.7109375" style="209" customWidth="1"/>
    <col min="15379" max="15394" width="0" style="209" hidden="1" customWidth="1"/>
    <col min="15395" max="15414" width="7.85546875" style="209" customWidth="1"/>
    <col min="15415" max="15631" width="11.42578125" style="209"/>
    <col min="15632" max="15632" width="1.140625" style="209" customWidth="1"/>
    <col min="15633" max="15633" width="17" style="209" customWidth="1"/>
    <col min="15634" max="15634" width="24.7109375" style="209" customWidth="1"/>
    <col min="15635" max="15650" width="0" style="209" hidden="1" customWidth="1"/>
    <col min="15651" max="15670" width="7.85546875" style="209" customWidth="1"/>
    <col min="15671" max="15887" width="11.42578125" style="209"/>
    <col min="15888" max="15888" width="1.140625" style="209" customWidth="1"/>
    <col min="15889" max="15889" width="17" style="209" customWidth="1"/>
    <col min="15890" max="15890" width="24.7109375" style="209" customWidth="1"/>
    <col min="15891" max="15906" width="0" style="209" hidden="1" customWidth="1"/>
    <col min="15907" max="15926" width="7.85546875" style="209" customWidth="1"/>
    <col min="15927" max="16143" width="11.42578125" style="209"/>
    <col min="16144" max="16144" width="1.140625" style="209" customWidth="1"/>
    <col min="16145" max="16145" width="17" style="209" customWidth="1"/>
    <col min="16146" max="16146" width="24.7109375" style="209" customWidth="1"/>
    <col min="16147" max="16162" width="0" style="209" hidden="1" customWidth="1"/>
    <col min="16163" max="16182" width="7.85546875" style="209" customWidth="1"/>
    <col min="16183" max="16384" width="11.42578125" style="209"/>
  </cols>
  <sheetData>
    <row r="1" spans="1:78" ht="44.25" customHeight="1" x14ac:dyDescent="0.2">
      <c r="A1" s="5682" t="s">
        <v>1279</v>
      </c>
      <c r="B1" s="5682"/>
      <c r="C1" s="648"/>
      <c r="D1" s="648"/>
      <c r="E1" s="648"/>
      <c r="F1" s="648"/>
      <c r="G1" s="648"/>
      <c r="H1" s="648"/>
      <c r="I1" s="648"/>
      <c r="J1" s="648"/>
      <c r="K1" s="648"/>
      <c r="L1" s="648"/>
      <c r="M1" s="648"/>
      <c r="N1" s="648"/>
      <c r="O1" s="648"/>
      <c r="P1" s="648"/>
      <c r="Q1" s="648"/>
      <c r="R1" s="648"/>
      <c r="S1" s="648"/>
      <c r="T1" s="648"/>
      <c r="U1" s="648"/>
      <c r="V1" s="648"/>
      <c r="W1" s="648"/>
      <c r="X1" s="648"/>
      <c r="Y1" s="648"/>
      <c r="Z1" s="648"/>
      <c r="AA1" s="648"/>
      <c r="AB1" s="648"/>
      <c r="AC1" s="648"/>
      <c r="AD1" s="648"/>
      <c r="AE1" s="648"/>
      <c r="AF1" s="648"/>
      <c r="AG1" s="648"/>
      <c r="AH1" s="648"/>
      <c r="AI1" s="648"/>
      <c r="AJ1" s="648"/>
      <c r="AK1" s="648"/>
      <c r="AL1" s="648"/>
      <c r="AM1" s="648"/>
      <c r="AN1" s="648"/>
      <c r="AO1" s="648"/>
      <c r="AP1" s="648"/>
    </row>
    <row r="2" spans="1:78" ht="12" customHeight="1" x14ac:dyDescent="0.2">
      <c r="A2" s="754"/>
      <c r="B2" s="754"/>
      <c r="C2" s="754"/>
      <c r="D2" s="754"/>
      <c r="E2" s="754"/>
      <c r="F2" s="754"/>
      <c r="G2" s="754"/>
      <c r="H2" s="754"/>
      <c r="I2" s="754"/>
      <c r="J2" s="754"/>
      <c r="K2" s="754"/>
      <c r="L2" s="754"/>
      <c r="M2" s="754"/>
      <c r="N2" s="754"/>
      <c r="O2" s="754"/>
      <c r="P2" s="754"/>
      <c r="Q2" s="754"/>
      <c r="R2" s="754"/>
      <c r="S2" s="754"/>
      <c r="T2" s="754"/>
      <c r="U2" s="754"/>
      <c r="V2" s="754"/>
      <c r="W2" s="754"/>
      <c r="X2" s="754"/>
      <c r="Y2" s="754"/>
      <c r="Z2" s="754"/>
      <c r="AA2" s="754"/>
      <c r="AB2" s="754"/>
      <c r="AC2" s="754"/>
      <c r="AD2" s="754"/>
      <c r="AE2" s="754"/>
      <c r="AF2" s="754"/>
      <c r="AG2" s="754"/>
      <c r="AH2" s="754"/>
      <c r="AI2" s="754"/>
      <c r="AJ2" s="754"/>
      <c r="AK2" s="754"/>
      <c r="AL2" s="754"/>
    </row>
    <row r="3" spans="1:78" ht="12.75" customHeight="1" x14ac:dyDescent="0.2">
      <c r="A3" s="6454" t="s">
        <v>164</v>
      </c>
      <c r="B3" s="6458" t="s">
        <v>25</v>
      </c>
      <c r="C3" s="6170">
        <v>1999</v>
      </c>
      <c r="D3" s="6171"/>
      <c r="E3" s="6171"/>
      <c r="F3" s="6172"/>
      <c r="G3" s="6170">
        <v>2000</v>
      </c>
      <c r="H3" s="6171"/>
      <c r="I3" s="6171"/>
      <c r="J3" s="6172"/>
      <c r="K3" s="6170">
        <v>2001</v>
      </c>
      <c r="L3" s="6171"/>
      <c r="M3" s="6171"/>
      <c r="N3" s="6172"/>
      <c r="O3" s="6170">
        <v>2002</v>
      </c>
      <c r="P3" s="6171"/>
      <c r="Q3" s="6171"/>
      <c r="R3" s="6172"/>
      <c r="S3" s="6170">
        <v>2003</v>
      </c>
      <c r="T3" s="6171"/>
      <c r="U3" s="6171"/>
      <c r="V3" s="6172"/>
      <c r="W3" s="6170">
        <v>2004</v>
      </c>
      <c r="X3" s="6171"/>
      <c r="Y3" s="6171"/>
      <c r="Z3" s="6172"/>
      <c r="AA3" s="6170">
        <v>2005</v>
      </c>
      <c r="AB3" s="6171"/>
      <c r="AC3" s="6171"/>
      <c r="AD3" s="6172"/>
      <c r="AE3" s="6170">
        <v>2006</v>
      </c>
      <c r="AF3" s="6171"/>
      <c r="AG3" s="6171"/>
      <c r="AH3" s="6172"/>
      <c r="AI3" s="6170">
        <v>2007</v>
      </c>
      <c r="AJ3" s="6171"/>
      <c r="AK3" s="6171"/>
      <c r="AL3" s="6172"/>
      <c r="AM3" s="6170">
        <v>2008</v>
      </c>
      <c r="AN3" s="6171"/>
      <c r="AO3" s="6171"/>
      <c r="AP3" s="6172"/>
      <c r="AQ3" s="6170">
        <v>2009</v>
      </c>
      <c r="AR3" s="6171"/>
      <c r="AS3" s="6171"/>
      <c r="AT3" s="6172"/>
      <c r="AU3" s="6170">
        <v>2010</v>
      </c>
      <c r="AV3" s="6171"/>
      <c r="AW3" s="6171"/>
      <c r="AX3" s="6172"/>
      <c r="AY3" s="6170">
        <v>2011</v>
      </c>
      <c r="AZ3" s="6171"/>
      <c r="BA3" s="6171"/>
      <c r="BB3" s="6172"/>
      <c r="BC3" s="6170">
        <v>2012</v>
      </c>
      <c r="BD3" s="6171"/>
      <c r="BE3" s="6171"/>
      <c r="BF3" s="6172"/>
      <c r="BG3" s="6170">
        <v>2013</v>
      </c>
      <c r="BH3" s="6171"/>
      <c r="BI3" s="6171"/>
      <c r="BJ3" s="6172"/>
      <c r="BK3" s="6170">
        <v>2014</v>
      </c>
      <c r="BL3" s="6171"/>
      <c r="BM3" s="6171"/>
      <c r="BN3" s="6172"/>
      <c r="BO3" s="6170">
        <v>2015</v>
      </c>
      <c r="BP3" s="6171"/>
      <c r="BQ3" s="6171"/>
      <c r="BR3" s="6172"/>
      <c r="BS3" s="6170">
        <v>2016</v>
      </c>
      <c r="BT3" s="6171"/>
      <c r="BU3" s="6171"/>
      <c r="BV3" s="6172"/>
      <c r="BW3" s="6170">
        <v>2017</v>
      </c>
      <c r="BX3" s="6171"/>
      <c r="BY3" s="6171"/>
      <c r="BZ3" s="6172"/>
    </row>
    <row r="4" spans="1:78" ht="15" x14ac:dyDescent="0.2">
      <c r="A4" s="6320"/>
      <c r="B4" s="6458"/>
      <c r="C4" s="1054" t="s">
        <v>653</v>
      </c>
      <c r="D4" s="1055" t="s">
        <v>651</v>
      </c>
      <c r="E4" s="1056" t="s">
        <v>652</v>
      </c>
      <c r="F4" s="1052" t="s">
        <v>160</v>
      </c>
      <c r="G4" s="1690" t="s">
        <v>653</v>
      </c>
      <c r="H4" s="1691" t="s">
        <v>651</v>
      </c>
      <c r="I4" s="1692" t="s">
        <v>652</v>
      </c>
      <c r="J4" s="1052" t="s">
        <v>160</v>
      </c>
      <c r="K4" s="1690" t="s">
        <v>653</v>
      </c>
      <c r="L4" s="1691" t="s">
        <v>651</v>
      </c>
      <c r="M4" s="1692" t="s">
        <v>652</v>
      </c>
      <c r="N4" s="1052" t="s">
        <v>160</v>
      </c>
      <c r="O4" s="1690" t="s">
        <v>653</v>
      </c>
      <c r="P4" s="1691" t="s">
        <v>651</v>
      </c>
      <c r="Q4" s="1692" t="s">
        <v>652</v>
      </c>
      <c r="R4" s="1052" t="s">
        <v>160</v>
      </c>
      <c r="S4" s="1690" t="s">
        <v>653</v>
      </c>
      <c r="T4" s="1691" t="s">
        <v>651</v>
      </c>
      <c r="U4" s="1692" t="s">
        <v>652</v>
      </c>
      <c r="V4" s="1052" t="s">
        <v>160</v>
      </c>
      <c r="W4" s="1690" t="s">
        <v>653</v>
      </c>
      <c r="X4" s="1691" t="s">
        <v>651</v>
      </c>
      <c r="Y4" s="1692" t="s">
        <v>652</v>
      </c>
      <c r="Z4" s="1052" t="s">
        <v>160</v>
      </c>
      <c r="AA4" s="1690" t="s">
        <v>653</v>
      </c>
      <c r="AB4" s="1691" t="s">
        <v>651</v>
      </c>
      <c r="AC4" s="1692" t="s">
        <v>652</v>
      </c>
      <c r="AD4" s="1052" t="s">
        <v>160</v>
      </c>
      <c r="AE4" s="1690" t="s">
        <v>653</v>
      </c>
      <c r="AF4" s="1691" t="s">
        <v>651</v>
      </c>
      <c r="AG4" s="1692" t="s">
        <v>652</v>
      </c>
      <c r="AH4" s="1052" t="s">
        <v>160</v>
      </c>
      <c r="AI4" s="1690" t="s">
        <v>653</v>
      </c>
      <c r="AJ4" s="1691" t="s">
        <v>651</v>
      </c>
      <c r="AK4" s="1692" t="s">
        <v>652</v>
      </c>
      <c r="AL4" s="1052" t="s">
        <v>160</v>
      </c>
      <c r="AM4" s="1690" t="s">
        <v>653</v>
      </c>
      <c r="AN4" s="1691" t="s">
        <v>651</v>
      </c>
      <c r="AO4" s="1692" t="s">
        <v>652</v>
      </c>
      <c r="AP4" s="1052" t="s">
        <v>160</v>
      </c>
      <c r="AQ4" s="1690" t="s">
        <v>653</v>
      </c>
      <c r="AR4" s="1691" t="s">
        <v>651</v>
      </c>
      <c r="AS4" s="1692" t="s">
        <v>652</v>
      </c>
      <c r="AT4" s="1052" t="s">
        <v>160</v>
      </c>
      <c r="AU4" s="1690" t="s">
        <v>653</v>
      </c>
      <c r="AV4" s="1691" t="s">
        <v>651</v>
      </c>
      <c r="AW4" s="1692" t="s">
        <v>652</v>
      </c>
      <c r="AX4" s="1052" t="s">
        <v>160</v>
      </c>
      <c r="AY4" s="1690" t="s">
        <v>653</v>
      </c>
      <c r="AZ4" s="1691" t="s">
        <v>651</v>
      </c>
      <c r="BA4" s="1692" t="s">
        <v>652</v>
      </c>
      <c r="BB4" s="1052" t="s">
        <v>160</v>
      </c>
      <c r="BC4" s="1690" t="s">
        <v>653</v>
      </c>
      <c r="BD4" s="1691" t="s">
        <v>651</v>
      </c>
      <c r="BE4" s="1692" t="s">
        <v>652</v>
      </c>
      <c r="BF4" s="1052" t="s">
        <v>160</v>
      </c>
      <c r="BG4" s="1690" t="s">
        <v>653</v>
      </c>
      <c r="BH4" s="1691" t="s">
        <v>651</v>
      </c>
      <c r="BI4" s="1692" t="s">
        <v>652</v>
      </c>
      <c r="BJ4" s="1052" t="s">
        <v>160</v>
      </c>
      <c r="BK4" s="2003" t="s">
        <v>653</v>
      </c>
      <c r="BL4" s="2004" t="s">
        <v>651</v>
      </c>
      <c r="BM4" s="2005" t="s">
        <v>652</v>
      </c>
      <c r="BN4" s="1052" t="s">
        <v>160</v>
      </c>
      <c r="BO4" s="4214" t="s">
        <v>653</v>
      </c>
      <c r="BP4" s="4215" t="s">
        <v>651</v>
      </c>
      <c r="BQ4" s="4216" t="s">
        <v>652</v>
      </c>
      <c r="BR4" s="1052" t="s">
        <v>160</v>
      </c>
      <c r="BS4" s="5049" t="s">
        <v>653</v>
      </c>
      <c r="BT4" s="5050" t="s">
        <v>651</v>
      </c>
      <c r="BU4" s="5051" t="s">
        <v>652</v>
      </c>
      <c r="BV4" s="1052" t="s">
        <v>160</v>
      </c>
      <c r="BW4" s="5465" t="s">
        <v>653</v>
      </c>
      <c r="BX4" s="5466" t="s">
        <v>651</v>
      </c>
      <c r="BY4" s="5467" t="s">
        <v>652</v>
      </c>
      <c r="BZ4" s="1052" t="s">
        <v>160</v>
      </c>
    </row>
    <row r="5" spans="1:78" ht="12.7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  <c r="AV5" s="262"/>
      <c r="AW5" s="262"/>
      <c r="AX5" s="262"/>
      <c r="AY5" s="262"/>
      <c r="AZ5" s="262"/>
      <c r="BA5" s="262"/>
      <c r="BB5" s="262"/>
      <c r="BC5" s="262"/>
      <c r="BD5" s="262"/>
      <c r="BE5" s="262"/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2"/>
      <c r="BS5" s="262"/>
      <c r="BT5" s="262"/>
      <c r="BU5" s="262"/>
      <c r="BV5" s="262"/>
      <c r="BW5" s="262"/>
      <c r="BX5" s="262"/>
      <c r="BY5" s="262"/>
      <c r="BZ5" s="262"/>
    </row>
    <row r="6" spans="1:78" ht="12.75" customHeight="1" x14ac:dyDescent="0.2">
      <c r="A6" s="6213" t="s">
        <v>5</v>
      </c>
      <c r="B6" s="1029" t="s">
        <v>615</v>
      </c>
      <c r="C6" s="1274">
        <f>+'EGRESO-POS plan'!E5</f>
        <v>0</v>
      </c>
      <c r="D6" s="1275">
        <f>+'EGRESO-POS plan'!F5</f>
        <v>0</v>
      </c>
      <c r="E6" s="1275">
        <f>+'EGRESO-POS plan'!G5</f>
        <v>0</v>
      </c>
      <c r="F6" s="1276">
        <f>SUM(C6:E6)</f>
        <v>0</v>
      </c>
      <c r="G6" s="1274">
        <f>+'EGRESO-POS plan'!I5</f>
        <v>0</v>
      </c>
      <c r="H6" s="1275">
        <f>+'EGRESO-POS plan'!J5</f>
        <v>0</v>
      </c>
      <c r="I6" s="1275">
        <f>+'EGRESO-POS plan'!K5</f>
        <v>0</v>
      </c>
      <c r="J6" s="1276">
        <f>SUM(G6:I6)</f>
        <v>0</v>
      </c>
      <c r="K6" s="1274">
        <f>+'EGRESO-POS plan'!M5</f>
        <v>0</v>
      </c>
      <c r="L6" s="1275">
        <f>+'EGRESO-POS plan'!N5</f>
        <v>0</v>
      </c>
      <c r="M6" s="1275">
        <f>+'EGRESO-POS plan'!O5</f>
        <v>0</v>
      </c>
      <c r="N6" s="1276">
        <f>SUM(K6:M6)</f>
        <v>0</v>
      </c>
      <c r="O6" s="1274">
        <f>+'EGRESO-POS plan'!Q5</f>
        <v>1</v>
      </c>
      <c r="P6" s="1275">
        <f>+'EGRESO-POS plan'!R5</f>
        <v>0</v>
      </c>
      <c r="Q6" s="1275">
        <f>+'EGRESO-POS plan'!S5</f>
        <v>0</v>
      </c>
      <c r="R6" s="1276">
        <f>SUM(O6:Q6)</f>
        <v>1</v>
      </c>
      <c r="S6" s="1274"/>
      <c r="T6" s="1275">
        <v>2</v>
      </c>
      <c r="U6" s="1275"/>
      <c r="V6" s="1276">
        <v>2</v>
      </c>
      <c r="W6" s="1275"/>
      <c r="X6" s="1275"/>
      <c r="Y6" s="1275"/>
      <c r="Z6" s="1277"/>
      <c r="AA6" s="1274"/>
      <c r="AB6" s="1275"/>
      <c r="AC6" s="1275"/>
      <c r="AD6" s="1276"/>
      <c r="AE6" s="1275"/>
      <c r="AF6" s="1275"/>
      <c r="AG6" s="1275"/>
      <c r="AH6" s="1276"/>
      <c r="AI6" s="1275"/>
      <c r="AJ6" s="1275"/>
      <c r="AK6" s="1275"/>
      <c r="AL6" s="1277"/>
      <c r="AM6" s="1030"/>
      <c r="AN6" s="1031"/>
      <c r="AO6" s="1031"/>
      <c r="AP6" s="1031"/>
      <c r="AQ6" s="1030"/>
      <c r="AR6" s="1031"/>
      <c r="AS6" s="1031"/>
      <c r="AT6" s="1048"/>
      <c r="AU6" s="1030"/>
      <c r="AV6" s="1031"/>
      <c r="AW6" s="1031"/>
      <c r="AX6" s="1048">
        <f>AU6+AV6+AW6</f>
        <v>0</v>
      </c>
      <c r="AY6" s="1030"/>
      <c r="AZ6" s="1031"/>
      <c r="BA6" s="1031"/>
      <c r="BB6" s="1048"/>
      <c r="BC6" s="1030"/>
      <c r="BD6" s="1031"/>
      <c r="BE6" s="1031"/>
      <c r="BF6" s="1048"/>
      <c r="BG6" s="1030"/>
      <c r="BH6" s="1031"/>
      <c r="BI6" s="1031"/>
      <c r="BJ6" s="1048"/>
      <c r="BK6" s="1030"/>
      <c r="BL6" s="1031"/>
      <c r="BM6" s="1031"/>
      <c r="BN6" s="1048"/>
      <c r="BO6" s="1030"/>
      <c r="BP6" s="1031"/>
      <c r="BQ6" s="1031"/>
      <c r="BR6" s="1048"/>
      <c r="BS6" s="1030"/>
      <c r="BT6" s="1031"/>
      <c r="BU6" s="1031"/>
      <c r="BV6" s="1048"/>
      <c r="BW6" s="1030">
        <f>SUM('EGRESO-POS plan'!BY5)</f>
        <v>0</v>
      </c>
      <c r="BX6" s="1031">
        <f>SUM('EGRESO-POS plan'!BZ5)</f>
        <v>0</v>
      </c>
      <c r="BY6" s="1031">
        <f>SUM('EGRESO-POS plan'!CA5)</f>
        <v>0</v>
      </c>
      <c r="BZ6" s="1048"/>
    </row>
    <row r="7" spans="1:78" ht="12.75" customHeight="1" x14ac:dyDescent="0.2">
      <c r="A7" s="6211"/>
      <c r="B7" s="1034" t="s">
        <v>616</v>
      </c>
      <c r="C7" s="1278">
        <f>+'EGRESO-POS plan'!E6+'EGRESO-POS plan'!E7+'EGRESO-POS plan'!E9</f>
        <v>0</v>
      </c>
      <c r="D7" s="1279">
        <f>+'EGRESO-POS plan'!F6+'EGRESO-POS plan'!F7+'EGRESO-POS plan'!F9</f>
        <v>2</v>
      </c>
      <c r="E7" s="1279">
        <f>+'EGRESO-POS plan'!G6+'EGRESO-POS plan'!G7+'EGRESO-POS plan'!G9</f>
        <v>1</v>
      </c>
      <c r="F7" s="1280">
        <f t="shared" ref="F7:F21" si="0">SUM(C7:E7)</f>
        <v>3</v>
      </c>
      <c r="G7" s="1278">
        <f>+'EGRESO-POS plan'!I6+'EGRESO-POS plan'!I7+'EGRESO-POS plan'!I9</f>
        <v>1</v>
      </c>
      <c r="H7" s="1279">
        <f>+'EGRESO-POS plan'!J6+'EGRESO-POS plan'!J7+'EGRESO-POS plan'!J9</f>
        <v>0</v>
      </c>
      <c r="I7" s="1279">
        <f>+'EGRESO-POS plan'!K6+'EGRESO-POS plan'!K7+'EGRESO-POS plan'!K9</f>
        <v>1</v>
      </c>
      <c r="J7" s="1280">
        <f t="shared" ref="J7:J21" si="1">SUM(G7:I7)</f>
        <v>2</v>
      </c>
      <c r="K7" s="1278">
        <f>+'EGRESO-POS plan'!M6+'EGRESO-POS plan'!M7+'EGRESO-POS plan'!M9</f>
        <v>2</v>
      </c>
      <c r="L7" s="1279">
        <f>+'EGRESO-POS plan'!N6+'EGRESO-POS plan'!N7+'EGRESO-POS plan'!N9</f>
        <v>4</v>
      </c>
      <c r="M7" s="1279">
        <f>+'EGRESO-POS plan'!O6+'EGRESO-POS plan'!O7+'EGRESO-POS plan'!O9</f>
        <v>7</v>
      </c>
      <c r="N7" s="1280">
        <f t="shared" ref="N7:N21" si="2">SUM(K7:M7)</f>
        <v>13</v>
      </c>
      <c r="O7" s="1278">
        <f>+'EGRESO-POS plan'!Q6+'EGRESO-POS plan'!Q7+'EGRESO-POS plan'!Q9</f>
        <v>0</v>
      </c>
      <c r="P7" s="1279">
        <f>+'EGRESO-POS plan'!R6+'EGRESO-POS plan'!R7+'EGRESO-POS plan'!R9</f>
        <v>6</v>
      </c>
      <c r="Q7" s="1279">
        <f>+'EGRESO-POS plan'!S6+'EGRESO-POS plan'!S7+'EGRESO-POS plan'!S9</f>
        <v>7</v>
      </c>
      <c r="R7" s="1280">
        <f t="shared" ref="R7:R21" si="3">SUM(O7:Q7)</f>
        <v>13</v>
      </c>
      <c r="S7" s="1278">
        <v>4</v>
      </c>
      <c r="T7" s="1279">
        <v>11</v>
      </c>
      <c r="U7" s="1279">
        <v>6</v>
      </c>
      <c r="V7" s="1280">
        <v>21</v>
      </c>
      <c r="W7" s="1279">
        <v>6</v>
      </c>
      <c r="X7" s="1279">
        <v>6</v>
      </c>
      <c r="Y7" s="1279">
        <v>8</v>
      </c>
      <c r="Z7" s="1281">
        <v>20</v>
      </c>
      <c r="AA7" s="1278">
        <v>5</v>
      </c>
      <c r="AB7" s="1279">
        <v>14</v>
      </c>
      <c r="AC7" s="1279">
        <v>7</v>
      </c>
      <c r="AD7" s="1280">
        <v>26</v>
      </c>
      <c r="AE7" s="1279">
        <v>7</v>
      </c>
      <c r="AF7" s="1279">
        <v>10</v>
      </c>
      <c r="AG7" s="1279">
        <v>6</v>
      </c>
      <c r="AH7" s="1280">
        <v>23</v>
      </c>
      <c r="AI7" s="1279">
        <v>13</v>
      </c>
      <c r="AJ7" s="1279">
        <v>9</v>
      </c>
      <c r="AK7" s="1279">
        <v>12</v>
      </c>
      <c r="AL7" s="1281">
        <v>34</v>
      </c>
      <c r="AM7" s="1035">
        <v>10</v>
      </c>
      <c r="AN7" s="1036">
        <v>11</v>
      </c>
      <c r="AO7" s="1036">
        <v>12</v>
      </c>
      <c r="AP7" s="1036">
        <v>33</v>
      </c>
      <c r="AQ7" s="1035">
        <v>1</v>
      </c>
      <c r="AR7" s="1036">
        <v>12</v>
      </c>
      <c r="AS7" s="1036">
        <v>2</v>
      </c>
      <c r="AT7" s="1039">
        <v>15</v>
      </c>
      <c r="AU7" s="1035">
        <v>5</v>
      </c>
      <c r="AV7" s="1036">
        <v>7</v>
      </c>
      <c r="AW7" s="1036">
        <v>7</v>
      </c>
      <c r="AX7" s="1039">
        <f t="shared" ref="AX7:AX21" si="4">AU7+AV7+AW7</f>
        <v>19</v>
      </c>
      <c r="AY7" s="1035">
        <v>12</v>
      </c>
      <c r="AZ7" s="1036">
        <v>12</v>
      </c>
      <c r="BA7" s="1036">
        <v>7</v>
      </c>
      <c r="BB7" s="1039">
        <f t="shared" ref="BB7:BB21" si="5">AY7+AZ7+BA7</f>
        <v>31</v>
      </c>
      <c r="BC7" s="1035">
        <f>SUM('EGRESO-POS plan'!BE6,'EGRESO-POS plan'!BE7,'EGRESO-POS plan'!BE9)</f>
        <v>15</v>
      </c>
      <c r="BD7" s="1036">
        <f>SUM('EGRESO-POS plan'!BF6,'EGRESO-POS plan'!BF7,'EGRESO-POS plan'!BF9)</f>
        <v>12</v>
      </c>
      <c r="BE7" s="1036">
        <f>SUM('EGRESO-POS plan'!BG6,'EGRESO-POS plan'!BG7,'EGRESO-POS plan'!BG9)</f>
        <v>12</v>
      </c>
      <c r="BF7" s="1039">
        <f>SUM(BC7:BE7)</f>
        <v>39</v>
      </c>
      <c r="BG7" s="1035">
        <f>SUM('EGRESO-POS plan'!BI6,'EGRESO-POS plan'!BI7,'EGRESO-POS plan'!BI9)</f>
        <v>7</v>
      </c>
      <c r="BH7" s="1036">
        <f>SUM('EGRESO-POS plan'!BJ6,'EGRESO-POS plan'!BJ7,'EGRESO-POS plan'!BJ9)</f>
        <v>8</v>
      </c>
      <c r="BI7" s="1036">
        <f>SUM('EGRESO-POS plan'!BK6,'EGRESO-POS plan'!BK7,'EGRESO-POS plan'!BK9)</f>
        <v>8</v>
      </c>
      <c r="BJ7" s="1039">
        <f>SUM(BG7:BI7)</f>
        <v>23</v>
      </c>
      <c r="BK7" s="1035">
        <f>SUM('EGRESO-POS plan'!BM6,'EGRESO-POS plan'!BM7,'EGRESO-POS plan'!BM9)</f>
        <v>10</v>
      </c>
      <c r="BL7" s="1036">
        <f>SUM('EGRESO-POS plan'!BN6:BN11)</f>
        <v>14</v>
      </c>
      <c r="BM7" s="1036">
        <f>SUM('EGRESO-POS plan'!BO6:BO11)</f>
        <v>14</v>
      </c>
      <c r="BN7" s="1039">
        <f>SUM(BK7:BM7)</f>
        <v>38</v>
      </c>
      <c r="BO7" s="1035">
        <f>SUM('EGRESO-POS plan'!BQ6:BQ11)</f>
        <v>15</v>
      </c>
      <c r="BP7" s="1036">
        <f>SUM('EGRESO-POS plan'!BR6:BR11)</f>
        <v>11</v>
      </c>
      <c r="BQ7" s="1036">
        <f>SUM('EGRESO-POS plan'!BS6:BS11)</f>
        <v>8</v>
      </c>
      <c r="BR7" s="1039">
        <f>SUM(BO7:BQ7)</f>
        <v>34</v>
      </c>
      <c r="BS7" s="1035">
        <f>SUM('EGRESO-POS plan'!BU6:BU11)</f>
        <v>20</v>
      </c>
      <c r="BT7" s="1036">
        <f>SUM('EGRESO-POS plan'!BV6:BV11)</f>
        <v>19</v>
      </c>
      <c r="BU7" s="1036">
        <f>SUM('EGRESO-POS plan'!BW6:BW11)</f>
        <v>12</v>
      </c>
      <c r="BV7" s="1039">
        <f>SUM(BS7:BU7)</f>
        <v>51</v>
      </c>
      <c r="BW7" s="1035">
        <f>SUM('EGRESO-POS plan'!BY6:BY11)</f>
        <v>24</v>
      </c>
      <c r="BX7" s="1036">
        <f>SUM('EGRESO-POS plan'!BZ6:BZ11)</f>
        <v>25</v>
      </c>
      <c r="BY7" s="1036">
        <f>SUM('EGRESO-POS plan'!CA6:CA11)</f>
        <v>16</v>
      </c>
      <c r="BZ7" s="1039">
        <f>SUM(BW7:BY7)</f>
        <v>65</v>
      </c>
    </row>
    <row r="8" spans="1:78" s="222" customFormat="1" ht="12.75" customHeight="1" x14ac:dyDescent="0.2">
      <c r="A8" s="6211"/>
      <c r="B8" s="1040" t="s">
        <v>617</v>
      </c>
      <c r="C8" s="1278">
        <f>+'EGRESO-POS plan'!E12+'EGRESO-POS plan'!E13</f>
        <v>0</v>
      </c>
      <c r="D8" s="1279">
        <f>+'EGRESO-POS plan'!F12+'EGRESO-POS plan'!F13</f>
        <v>0</v>
      </c>
      <c r="E8" s="1279">
        <f>+'EGRESO-POS plan'!G12+'EGRESO-POS plan'!G13</f>
        <v>0</v>
      </c>
      <c r="F8" s="1280">
        <f t="shared" si="0"/>
        <v>0</v>
      </c>
      <c r="G8" s="1278">
        <f>+'EGRESO-POS plan'!I12+'EGRESO-POS plan'!I13</f>
        <v>0</v>
      </c>
      <c r="H8" s="1279">
        <f>+'EGRESO-POS plan'!J12+'EGRESO-POS plan'!J13</f>
        <v>0</v>
      </c>
      <c r="I8" s="1279">
        <f>+'EGRESO-POS plan'!K12+'EGRESO-POS plan'!K13</f>
        <v>0</v>
      </c>
      <c r="J8" s="1280">
        <f t="shared" si="1"/>
        <v>0</v>
      </c>
      <c r="K8" s="1278">
        <f>+'EGRESO-POS plan'!M12+'EGRESO-POS plan'!M13</f>
        <v>0</v>
      </c>
      <c r="L8" s="1279">
        <f>+'EGRESO-POS plan'!N12+'EGRESO-POS plan'!N13</f>
        <v>0</v>
      </c>
      <c r="M8" s="1279">
        <f>+'EGRESO-POS plan'!O12+'EGRESO-POS plan'!O13</f>
        <v>0</v>
      </c>
      <c r="N8" s="1280">
        <f t="shared" si="2"/>
        <v>0</v>
      </c>
      <c r="O8" s="1278">
        <f>+'EGRESO-POS plan'!Q12+'EGRESO-POS plan'!Q13</f>
        <v>0</v>
      </c>
      <c r="P8" s="1279">
        <f>+'EGRESO-POS plan'!R12+'EGRESO-POS plan'!R13</f>
        <v>0</v>
      </c>
      <c r="Q8" s="1279">
        <f>+'EGRESO-POS plan'!S12+'EGRESO-POS plan'!S13</f>
        <v>1</v>
      </c>
      <c r="R8" s="1280">
        <f t="shared" si="3"/>
        <v>1</v>
      </c>
      <c r="S8" s="1278">
        <v>1</v>
      </c>
      <c r="T8" s="1279">
        <v>1</v>
      </c>
      <c r="U8" s="1279">
        <v>0</v>
      </c>
      <c r="V8" s="1280">
        <v>2</v>
      </c>
      <c r="W8" s="1279">
        <v>1</v>
      </c>
      <c r="X8" s="1279">
        <v>1</v>
      </c>
      <c r="Y8" s="1279">
        <v>2</v>
      </c>
      <c r="Z8" s="1281">
        <v>4</v>
      </c>
      <c r="AA8" s="1278">
        <v>1</v>
      </c>
      <c r="AB8" s="1279">
        <v>5</v>
      </c>
      <c r="AC8" s="1279">
        <v>3</v>
      </c>
      <c r="AD8" s="1280">
        <v>9</v>
      </c>
      <c r="AE8" s="1279">
        <v>1</v>
      </c>
      <c r="AF8" s="1279">
        <v>2</v>
      </c>
      <c r="AG8" s="1279">
        <v>4</v>
      </c>
      <c r="AH8" s="1280">
        <v>7</v>
      </c>
      <c r="AI8" s="1279">
        <v>0</v>
      </c>
      <c r="AJ8" s="1279">
        <v>1</v>
      </c>
      <c r="AK8" s="1279">
        <v>1</v>
      </c>
      <c r="AL8" s="1281">
        <v>2</v>
      </c>
      <c r="AM8" s="1035">
        <v>2</v>
      </c>
      <c r="AN8" s="1036">
        <v>1</v>
      </c>
      <c r="AO8" s="1036">
        <v>0</v>
      </c>
      <c r="AP8" s="1036">
        <v>3</v>
      </c>
      <c r="AQ8" s="1035">
        <v>0</v>
      </c>
      <c r="AR8" s="1036">
        <v>2</v>
      </c>
      <c r="AS8" s="1036">
        <v>1</v>
      </c>
      <c r="AT8" s="1039">
        <v>3</v>
      </c>
      <c r="AU8" s="1035">
        <v>1</v>
      </c>
      <c r="AV8" s="1036">
        <v>3</v>
      </c>
      <c r="AW8" s="1036">
        <v>2</v>
      </c>
      <c r="AX8" s="1039">
        <f t="shared" si="4"/>
        <v>6</v>
      </c>
      <c r="AY8" s="1035">
        <v>3</v>
      </c>
      <c r="AZ8" s="1036">
        <v>6</v>
      </c>
      <c r="BA8" s="1036">
        <v>2</v>
      </c>
      <c r="BB8" s="1039">
        <f t="shared" si="5"/>
        <v>11</v>
      </c>
      <c r="BC8" s="1035">
        <f>SUM('EGRESO-POS plan'!BE12,'EGRESO-POS plan'!BE13)</f>
        <v>0</v>
      </c>
      <c r="BD8" s="1036">
        <f>SUM('EGRESO-POS plan'!BF12,'EGRESO-POS plan'!BF13)</f>
        <v>1</v>
      </c>
      <c r="BE8" s="1036">
        <f>SUM('EGRESO-POS plan'!BG12,'EGRESO-POS plan'!BG13)</f>
        <v>5</v>
      </c>
      <c r="BF8" s="1039">
        <f>SUM(BC8:BE8)</f>
        <v>6</v>
      </c>
      <c r="BG8" s="1035">
        <f>SUM('EGRESO-POS plan'!BI12,'EGRESO-POS plan'!BI13)</f>
        <v>2</v>
      </c>
      <c r="BH8" s="1036">
        <f>SUM('EGRESO-POS plan'!BJ12,'EGRESO-POS plan'!BJ13)</f>
        <v>5</v>
      </c>
      <c r="BI8" s="1036">
        <f>SUM('EGRESO-POS plan'!BK12,'EGRESO-POS plan'!BK13)</f>
        <v>6</v>
      </c>
      <c r="BJ8" s="1039">
        <f>SUM(BG8:BI8)</f>
        <v>13</v>
      </c>
      <c r="BK8" s="1035">
        <f>SUM('EGRESO-POS plan'!BM12,'EGRESO-POS plan'!BM13)</f>
        <v>1</v>
      </c>
      <c r="BL8" s="1036">
        <f>SUM('EGRESO-POS plan'!BN12,'EGRESO-POS plan'!BN13)</f>
        <v>1</v>
      </c>
      <c r="BM8" s="1036">
        <f>SUM('EGRESO-POS plan'!BO12:BO13)</f>
        <v>3</v>
      </c>
      <c r="BN8" s="1039">
        <f>SUM(BK8:BM8)</f>
        <v>5</v>
      </c>
      <c r="BO8" s="1035">
        <f>SUM('EGRESO-POS plan'!BQ12,'EGRESO-POS plan'!BQ13)</f>
        <v>1</v>
      </c>
      <c r="BP8" s="1036">
        <f>SUM('EGRESO-POS plan'!BR12,'EGRESO-POS plan'!BR13)</f>
        <v>3</v>
      </c>
      <c r="BQ8" s="1036">
        <f>SUM('EGRESO-POS plan'!BS12:BS13)</f>
        <v>0</v>
      </c>
      <c r="BR8" s="1039">
        <f>SUM(BO8:BQ8)</f>
        <v>4</v>
      </c>
      <c r="BS8" s="1035">
        <f>SUM('EGRESO-POS plan'!BU12,'EGRESO-POS plan'!BU13)</f>
        <v>1</v>
      </c>
      <c r="BT8" s="1036">
        <f>SUM('EGRESO-POS plan'!BV12,'EGRESO-POS plan'!BV13)</f>
        <v>4</v>
      </c>
      <c r="BU8" s="1036">
        <f>SUM('EGRESO-POS plan'!BW12:BW13)</f>
        <v>2</v>
      </c>
      <c r="BV8" s="1039">
        <f>SUM(BS8:BU8)</f>
        <v>7</v>
      </c>
      <c r="BW8" s="1035">
        <f>SUM('EGRESO-POS plan'!BY12:BY16)</f>
        <v>2</v>
      </c>
      <c r="BX8" s="1036">
        <f>SUM('EGRESO-POS plan'!BZ12:BZ16)</f>
        <v>2</v>
      </c>
      <c r="BY8" s="1036">
        <f>SUM('EGRESO-POS plan'!CA12:CA16)</f>
        <v>6</v>
      </c>
      <c r="BZ8" s="1039">
        <f>SUM(BW8:BY8)</f>
        <v>10</v>
      </c>
    </row>
    <row r="9" spans="1:78" s="222" customFormat="1" ht="12.75" customHeight="1" x14ac:dyDescent="0.2">
      <c r="A9" s="6212"/>
      <c r="B9" s="574" t="s">
        <v>13</v>
      </c>
      <c r="C9" s="1147">
        <f>SUM(C6:C8)</f>
        <v>0</v>
      </c>
      <c r="D9" s="1148">
        <f>SUM(D6:D8)</f>
        <v>2</v>
      </c>
      <c r="E9" s="1148">
        <f>SUM(E6:E8)</f>
        <v>1</v>
      </c>
      <c r="F9" s="1139">
        <f t="shared" si="0"/>
        <v>3</v>
      </c>
      <c r="G9" s="1147">
        <f>SUM(G6:G8)</f>
        <v>1</v>
      </c>
      <c r="H9" s="1148">
        <f>SUM(H6:H8)</f>
        <v>0</v>
      </c>
      <c r="I9" s="1148">
        <f>SUM(I6:I8)</f>
        <v>1</v>
      </c>
      <c r="J9" s="1139">
        <f t="shared" si="1"/>
        <v>2</v>
      </c>
      <c r="K9" s="1147">
        <f>SUM(K6:K8)</f>
        <v>2</v>
      </c>
      <c r="L9" s="1148">
        <f>SUM(L6:L8)</f>
        <v>4</v>
      </c>
      <c r="M9" s="1148">
        <f>SUM(M6:M8)</f>
        <v>7</v>
      </c>
      <c r="N9" s="1139">
        <f t="shared" si="2"/>
        <v>13</v>
      </c>
      <c r="O9" s="1147">
        <f>SUM(O6:O8)</f>
        <v>1</v>
      </c>
      <c r="P9" s="1148">
        <f>SUM(P6:P8)</f>
        <v>6</v>
      </c>
      <c r="Q9" s="1148">
        <f>SUM(Q6:Q8)</f>
        <v>8</v>
      </c>
      <c r="R9" s="1139">
        <f t="shared" si="3"/>
        <v>15</v>
      </c>
      <c r="S9" s="1147">
        <v>5</v>
      </c>
      <c r="T9" s="1148">
        <v>14</v>
      </c>
      <c r="U9" s="1148">
        <v>6</v>
      </c>
      <c r="V9" s="1139">
        <v>25</v>
      </c>
      <c r="W9" s="1148">
        <v>7</v>
      </c>
      <c r="X9" s="1148">
        <v>7</v>
      </c>
      <c r="Y9" s="1148">
        <v>10</v>
      </c>
      <c r="Z9" s="1148">
        <v>24</v>
      </c>
      <c r="AA9" s="1147">
        <v>6</v>
      </c>
      <c r="AB9" s="1148">
        <v>19</v>
      </c>
      <c r="AC9" s="1148">
        <v>10</v>
      </c>
      <c r="AD9" s="1139">
        <v>35</v>
      </c>
      <c r="AE9" s="1148">
        <v>8</v>
      </c>
      <c r="AF9" s="1148">
        <v>12</v>
      </c>
      <c r="AG9" s="1148">
        <v>10</v>
      </c>
      <c r="AH9" s="1139">
        <v>30</v>
      </c>
      <c r="AI9" s="1148">
        <v>13</v>
      </c>
      <c r="AJ9" s="1148">
        <v>10</v>
      </c>
      <c r="AK9" s="1148">
        <v>13</v>
      </c>
      <c r="AL9" s="1148">
        <v>36</v>
      </c>
      <c r="AM9" s="569">
        <v>12</v>
      </c>
      <c r="AN9" s="570">
        <v>12</v>
      </c>
      <c r="AO9" s="570">
        <v>12</v>
      </c>
      <c r="AP9" s="570">
        <v>36</v>
      </c>
      <c r="AQ9" s="569">
        <f t="shared" ref="AQ9:AW9" si="6">SUM(AQ6:AQ8)</f>
        <v>1</v>
      </c>
      <c r="AR9" s="570">
        <f t="shared" si="6"/>
        <v>14</v>
      </c>
      <c r="AS9" s="570">
        <f t="shared" si="6"/>
        <v>3</v>
      </c>
      <c r="AT9" s="571">
        <f t="shared" si="6"/>
        <v>18</v>
      </c>
      <c r="AU9" s="569">
        <f t="shared" si="6"/>
        <v>6</v>
      </c>
      <c r="AV9" s="570">
        <f t="shared" si="6"/>
        <v>10</v>
      </c>
      <c r="AW9" s="570">
        <f t="shared" si="6"/>
        <v>9</v>
      </c>
      <c r="AX9" s="571">
        <f t="shared" si="4"/>
        <v>25</v>
      </c>
      <c r="AY9" s="569">
        <f>SUM(AY6:AY8)</f>
        <v>15</v>
      </c>
      <c r="AZ9" s="570">
        <f>SUM(AZ6:AZ8)</f>
        <v>18</v>
      </c>
      <c r="BA9" s="570">
        <f>SUM(BA6:BA8)</f>
        <v>9</v>
      </c>
      <c r="BB9" s="571">
        <f t="shared" si="5"/>
        <v>42</v>
      </c>
      <c r="BC9" s="569">
        <f t="shared" ref="BC9:BJ9" si="7">SUM(BC6:BC8)</f>
        <v>15</v>
      </c>
      <c r="BD9" s="570">
        <f t="shared" si="7"/>
        <v>13</v>
      </c>
      <c r="BE9" s="570">
        <f t="shared" si="7"/>
        <v>17</v>
      </c>
      <c r="BF9" s="571">
        <f t="shared" si="7"/>
        <v>45</v>
      </c>
      <c r="BG9" s="569">
        <f t="shared" si="7"/>
        <v>9</v>
      </c>
      <c r="BH9" s="570">
        <f t="shared" si="7"/>
        <v>13</v>
      </c>
      <c r="BI9" s="570">
        <f t="shared" si="7"/>
        <v>14</v>
      </c>
      <c r="BJ9" s="571">
        <f t="shared" si="7"/>
        <v>36</v>
      </c>
      <c r="BK9" s="569">
        <f t="shared" ref="BK9:BR9" si="8">SUM(BK6:BK8)</f>
        <v>11</v>
      </c>
      <c r="BL9" s="570">
        <f t="shared" si="8"/>
        <v>15</v>
      </c>
      <c r="BM9" s="570">
        <f t="shared" si="8"/>
        <v>17</v>
      </c>
      <c r="BN9" s="571">
        <f t="shared" si="8"/>
        <v>43</v>
      </c>
      <c r="BO9" s="569">
        <f t="shared" si="8"/>
        <v>16</v>
      </c>
      <c r="BP9" s="570">
        <f t="shared" si="8"/>
        <v>14</v>
      </c>
      <c r="BQ9" s="570">
        <f t="shared" si="8"/>
        <v>8</v>
      </c>
      <c r="BR9" s="571">
        <f t="shared" si="8"/>
        <v>38</v>
      </c>
      <c r="BS9" s="569">
        <f t="shared" ref="BS9:BZ9" si="9">SUM(BS6:BS8)</f>
        <v>21</v>
      </c>
      <c r="BT9" s="570">
        <f t="shared" si="9"/>
        <v>23</v>
      </c>
      <c r="BU9" s="570">
        <f t="shared" si="9"/>
        <v>14</v>
      </c>
      <c r="BV9" s="571">
        <f t="shared" si="9"/>
        <v>58</v>
      </c>
      <c r="BW9" s="569">
        <f t="shared" si="9"/>
        <v>26</v>
      </c>
      <c r="BX9" s="570">
        <f t="shared" si="9"/>
        <v>27</v>
      </c>
      <c r="BY9" s="570">
        <f t="shared" si="9"/>
        <v>22</v>
      </c>
      <c r="BZ9" s="571">
        <f t="shared" si="9"/>
        <v>75</v>
      </c>
    </row>
    <row r="10" spans="1:78" ht="12.75" customHeight="1" x14ac:dyDescent="0.2">
      <c r="A10" s="6213" t="s">
        <v>6</v>
      </c>
      <c r="B10" s="1029" t="s">
        <v>615</v>
      </c>
      <c r="C10" s="1282">
        <f>+'EGRESO-POS plan'!E18+'EGRESO-POS plan'!E19</f>
        <v>0</v>
      </c>
      <c r="D10" s="1283">
        <f>+'EGRESO-POS plan'!F18+'EGRESO-POS plan'!F19</f>
        <v>0</v>
      </c>
      <c r="E10" s="1283">
        <f>+'EGRESO-POS plan'!G18+'EGRESO-POS plan'!G19</f>
        <v>2</v>
      </c>
      <c r="F10" s="1284">
        <f t="shared" si="0"/>
        <v>2</v>
      </c>
      <c r="G10" s="1282">
        <f>+'EGRESO-POS plan'!I18+'EGRESO-POS plan'!I19</f>
        <v>0</v>
      </c>
      <c r="H10" s="1283">
        <f>+'EGRESO-POS plan'!J18+'EGRESO-POS plan'!J19</f>
        <v>1</v>
      </c>
      <c r="I10" s="1283">
        <f>+'EGRESO-POS plan'!K18+'EGRESO-POS plan'!K19</f>
        <v>3</v>
      </c>
      <c r="J10" s="1284">
        <f t="shared" si="1"/>
        <v>4</v>
      </c>
      <c r="K10" s="1282">
        <f>+'EGRESO-POS plan'!M18+'EGRESO-POS plan'!M19</f>
        <v>0</v>
      </c>
      <c r="L10" s="1283">
        <f>+'EGRESO-POS plan'!N18+'EGRESO-POS plan'!N19</f>
        <v>8</v>
      </c>
      <c r="M10" s="1283">
        <f>+'EGRESO-POS plan'!O18+'EGRESO-POS plan'!O19</f>
        <v>1</v>
      </c>
      <c r="N10" s="1284">
        <f t="shared" si="2"/>
        <v>9</v>
      </c>
      <c r="O10" s="1282">
        <f>+'EGRESO-POS plan'!Q18+'EGRESO-POS plan'!Q19</f>
        <v>1</v>
      </c>
      <c r="P10" s="1283">
        <f>+'EGRESO-POS plan'!R18+'EGRESO-POS plan'!R19</f>
        <v>54</v>
      </c>
      <c r="Q10" s="1283">
        <f>+'EGRESO-POS plan'!S18+'EGRESO-POS plan'!S19</f>
        <v>10</v>
      </c>
      <c r="R10" s="1284">
        <f t="shared" si="3"/>
        <v>65</v>
      </c>
      <c r="S10" s="1282">
        <v>0</v>
      </c>
      <c r="T10" s="1283">
        <v>8</v>
      </c>
      <c r="U10" s="1283">
        <v>0</v>
      </c>
      <c r="V10" s="1284">
        <v>8</v>
      </c>
      <c r="W10" s="1283">
        <v>0</v>
      </c>
      <c r="X10" s="1283">
        <v>8</v>
      </c>
      <c r="Y10" s="1283">
        <v>5</v>
      </c>
      <c r="Z10" s="1285">
        <v>13</v>
      </c>
      <c r="AA10" s="1282">
        <v>6</v>
      </c>
      <c r="AB10" s="1283">
        <v>22</v>
      </c>
      <c r="AC10" s="1283">
        <v>0</v>
      </c>
      <c r="AD10" s="1284">
        <v>28</v>
      </c>
      <c r="AE10" s="1283">
        <v>0</v>
      </c>
      <c r="AF10" s="1283">
        <v>21</v>
      </c>
      <c r="AG10" s="1283">
        <v>2</v>
      </c>
      <c r="AH10" s="1284">
        <v>23</v>
      </c>
      <c r="AI10" s="1283">
        <v>1</v>
      </c>
      <c r="AJ10" s="1283">
        <v>17</v>
      </c>
      <c r="AK10" s="1283">
        <v>9</v>
      </c>
      <c r="AL10" s="1285">
        <v>27</v>
      </c>
      <c r="AM10" s="1286">
        <v>0</v>
      </c>
      <c r="AN10" s="1287">
        <v>5</v>
      </c>
      <c r="AO10" s="1287">
        <v>0</v>
      </c>
      <c r="AP10" s="1287">
        <v>5</v>
      </c>
      <c r="AQ10" s="1286">
        <v>1</v>
      </c>
      <c r="AR10" s="1287">
        <v>9</v>
      </c>
      <c r="AS10" s="1287">
        <v>1</v>
      </c>
      <c r="AT10" s="1288">
        <v>11</v>
      </c>
      <c r="AU10" s="1286"/>
      <c r="AV10" s="1287">
        <v>7</v>
      </c>
      <c r="AW10" s="1287"/>
      <c r="AX10" s="1288">
        <f t="shared" si="4"/>
        <v>7</v>
      </c>
      <c r="AY10" s="1286">
        <v>1</v>
      </c>
      <c r="AZ10" s="1287">
        <v>17</v>
      </c>
      <c r="BA10" s="1287">
        <v>1</v>
      </c>
      <c r="BB10" s="1288">
        <f t="shared" si="5"/>
        <v>19</v>
      </c>
      <c r="BC10" s="1030">
        <f>SUM('EGRESO-POS plan'!BE18,'EGRESO-POS plan'!BE19,'EGRESO-POS plan'!BE20)</f>
        <v>0</v>
      </c>
      <c r="BD10" s="1031">
        <f>SUM('EGRESO-POS plan'!BF18,'EGRESO-POS plan'!BF19,'EGRESO-POS plan'!BF20)</f>
        <v>24</v>
      </c>
      <c r="BE10" s="1031">
        <f>SUM('EGRESO-POS plan'!BG18,'EGRESO-POS plan'!BG19,'EGRESO-POS plan'!BG20)</f>
        <v>0</v>
      </c>
      <c r="BF10" s="1048">
        <f>SUM(BC10:BE10)</f>
        <v>24</v>
      </c>
      <c r="BG10" s="1030">
        <f>SUM('EGRESO-POS plan'!BI18,'EGRESO-POS plan'!BI19,'EGRESO-POS plan'!BI20)</f>
        <v>0</v>
      </c>
      <c r="BH10" s="1031">
        <f>SUM('EGRESO-POS plan'!BJ18,'EGRESO-POS plan'!BJ19,'EGRESO-POS plan'!BJ20)</f>
        <v>9</v>
      </c>
      <c r="BI10" s="1031">
        <f>SUM('EGRESO-POS plan'!BK18,'EGRESO-POS plan'!BK19,'EGRESO-POS plan'!BK20)</f>
        <v>2</v>
      </c>
      <c r="BJ10" s="1048">
        <f>SUM(BG10:BI10)</f>
        <v>11</v>
      </c>
      <c r="BK10" s="1030">
        <f>SUM('EGRESO-POS plan'!BM18,'EGRESO-POS plan'!BM19,'EGRESO-POS plan'!BM20)</f>
        <v>0</v>
      </c>
      <c r="BL10" s="1031">
        <f>SUM('EGRESO-POS plan'!BN18,'EGRESO-POS plan'!BN19,'EGRESO-POS plan'!BN20)</f>
        <v>16</v>
      </c>
      <c r="BM10" s="1031">
        <f>SUM('EGRESO-POS plan'!BO18:BO20)</f>
        <v>6</v>
      </c>
      <c r="BN10" s="1048">
        <f>SUM(BK10:BM10)</f>
        <v>22</v>
      </c>
      <c r="BO10" s="1030">
        <f>SUM('EGRESO-POS plan'!BQ18,'EGRESO-POS plan'!BQ19,'EGRESO-POS plan'!BQ20)</f>
        <v>1</v>
      </c>
      <c r="BP10" s="1031">
        <f>SUM('EGRESO-POS plan'!BR18,'EGRESO-POS plan'!BR19,'EGRESO-POS plan'!BR20)</f>
        <v>11</v>
      </c>
      <c r="BQ10" s="1031">
        <f>SUM('EGRESO-POS plan'!BS18:BS20)</f>
        <v>3</v>
      </c>
      <c r="BR10" s="1048">
        <f>SUM(BO10:BQ10)</f>
        <v>15</v>
      </c>
      <c r="BS10" s="1030">
        <f>SUM('EGRESO-POS plan'!BU18,'EGRESO-POS plan'!BU19,'EGRESO-POS plan'!BU20)</f>
        <v>0</v>
      </c>
      <c r="BT10" s="1031">
        <f>SUM('EGRESO-POS plan'!BV18,'EGRESO-POS plan'!BV19,'EGRESO-POS plan'!BV20)</f>
        <v>21</v>
      </c>
      <c r="BU10" s="1031">
        <f>SUM('EGRESO-POS plan'!BW18:BW20)</f>
        <v>4</v>
      </c>
      <c r="BV10" s="1048">
        <f>SUM(BS10:BU10)</f>
        <v>25</v>
      </c>
      <c r="BW10" s="1030">
        <f>SUM('EGRESO-POS plan'!BY18:BY20)</f>
        <v>0</v>
      </c>
      <c r="BX10" s="1031">
        <f>SUM('EGRESO-POS plan'!BZ18:BZ20)</f>
        <v>20</v>
      </c>
      <c r="BY10" s="1031">
        <f>SUM('EGRESO-POS plan'!CA18:CA20)</f>
        <v>0</v>
      </c>
      <c r="BZ10" s="1048">
        <f>SUM(BW10:BY10)</f>
        <v>20</v>
      </c>
    </row>
    <row r="11" spans="1:78" ht="12.75" customHeight="1" x14ac:dyDescent="0.2">
      <c r="A11" s="6211"/>
      <c r="B11" s="1034" t="s">
        <v>616</v>
      </c>
      <c r="C11" s="1278">
        <f>+'EGRESO-POS plan'!E22+'EGRESO-POS plan'!E23+'EGRESO-POS plan'!E24+'EGRESO-POS plan'!E25+'EGRESO-POS plan'!E26</f>
        <v>0</v>
      </c>
      <c r="D11" s="1279">
        <f>+'EGRESO-POS plan'!F22+'EGRESO-POS plan'!F23+'EGRESO-POS plan'!F24+'EGRESO-POS plan'!F25+'EGRESO-POS plan'!F26</f>
        <v>5</v>
      </c>
      <c r="E11" s="1279">
        <f>+'EGRESO-POS plan'!G22+'EGRESO-POS plan'!G23+'EGRESO-POS plan'!G24+'EGRESO-POS plan'!G25+'EGRESO-POS plan'!G26</f>
        <v>2</v>
      </c>
      <c r="F11" s="1280">
        <f t="shared" si="0"/>
        <v>7</v>
      </c>
      <c r="G11" s="1278">
        <f>+'EGRESO-POS plan'!I22+'EGRESO-POS plan'!I23+'EGRESO-POS plan'!I24+'EGRESO-POS plan'!I25+'EGRESO-POS plan'!I26</f>
        <v>0</v>
      </c>
      <c r="H11" s="1279">
        <f>+'EGRESO-POS plan'!J22+'EGRESO-POS plan'!J23+'EGRESO-POS plan'!J24+'EGRESO-POS plan'!J25+'EGRESO-POS plan'!J26</f>
        <v>0</v>
      </c>
      <c r="I11" s="1279">
        <f>+'EGRESO-POS plan'!K22+'EGRESO-POS plan'!K23+'EGRESO-POS plan'!K24+'EGRESO-POS plan'!K25+'EGRESO-POS plan'!K26</f>
        <v>4</v>
      </c>
      <c r="J11" s="1280">
        <f t="shared" si="1"/>
        <v>4</v>
      </c>
      <c r="K11" s="1278">
        <f>+'EGRESO-POS plan'!M22+'EGRESO-POS plan'!M23+'EGRESO-POS plan'!M24+'EGRESO-POS plan'!M25+'EGRESO-POS plan'!M26</f>
        <v>1</v>
      </c>
      <c r="L11" s="1279">
        <f>+'EGRESO-POS plan'!N22+'EGRESO-POS plan'!N23+'EGRESO-POS plan'!N24+'EGRESO-POS plan'!N25+'EGRESO-POS plan'!N26</f>
        <v>4</v>
      </c>
      <c r="M11" s="1279">
        <f>+'EGRESO-POS plan'!O22+'EGRESO-POS plan'!O23+'EGRESO-POS plan'!O24+'EGRESO-POS plan'!O25+'EGRESO-POS plan'!O26</f>
        <v>5</v>
      </c>
      <c r="N11" s="1280">
        <f t="shared" si="2"/>
        <v>10</v>
      </c>
      <c r="O11" s="1278">
        <f>+'EGRESO-POS plan'!Q22+'EGRESO-POS plan'!Q23+'EGRESO-POS plan'!Q24+'EGRESO-POS plan'!Q25+'EGRESO-POS plan'!Q26</f>
        <v>2</v>
      </c>
      <c r="P11" s="1279">
        <f>+'EGRESO-POS plan'!R22+'EGRESO-POS plan'!R23+'EGRESO-POS plan'!R24+'EGRESO-POS plan'!R25+'EGRESO-POS plan'!R26</f>
        <v>69</v>
      </c>
      <c r="Q11" s="1279">
        <f>+'EGRESO-POS plan'!S22+'EGRESO-POS plan'!S23+'EGRESO-POS plan'!S24+'EGRESO-POS plan'!S25+'EGRESO-POS plan'!S26</f>
        <v>3</v>
      </c>
      <c r="R11" s="1280">
        <f t="shared" si="3"/>
        <v>74</v>
      </c>
      <c r="S11" s="1278">
        <v>15</v>
      </c>
      <c r="T11" s="1279">
        <v>5</v>
      </c>
      <c r="U11" s="1279">
        <v>6</v>
      </c>
      <c r="V11" s="1280">
        <v>26</v>
      </c>
      <c r="W11" s="1279">
        <v>10</v>
      </c>
      <c r="X11" s="1279">
        <v>5</v>
      </c>
      <c r="Y11" s="1279">
        <v>1</v>
      </c>
      <c r="Z11" s="1281">
        <v>16</v>
      </c>
      <c r="AA11" s="1278">
        <v>6</v>
      </c>
      <c r="AB11" s="1279">
        <v>2</v>
      </c>
      <c r="AC11" s="1279">
        <v>1</v>
      </c>
      <c r="AD11" s="1280">
        <v>9</v>
      </c>
      <c r="AE11" s="1279">
        <v>6</v>
      </c>
      <c r="AF11" s="1279">
        <v>4</v>
      </c>
      <c r="AG11" s="1279">
        <v>13</v>
      </c>
      <c r="AH11" s="1280">
        <v>23</v>
      </c>
      <c r="AI11" s="1279">
        <v>8</v>
      </c>
      <c r="AJ11" s="1279">
        <v>4</v>
      </c>
      <c r="AK11" s="1279">
        <v>0</v>
      </c>
      <c r="AL11" s="1281">
        <v>12</v>
      </c>
      <c r="AM11" s="1035">
        <v>3</v>
      </c>
      <c r="AN11" s="1036">
        <v>11</v>
      </c>
      <c r="AO11" s="1036">
        <v>3</v>
      </c>
      <c r="AP11" s="1036">
        <v>17</v>
      </c>
      <c r="AQ11" s="1035">
        <v>6</v>
      </c>
      <c r="AR11" s="1036">
        <v>9</v>
      </c>
      <c r="AS11" s="1036">
        <v>3</v>
      </c>
      <c r="AT11" s="1039">
        <v>18</v>
      </c>
      <c r="AU11" s="1035">
        <v>6</v>
      </c>
      <c r="AV11" s="1036">
        <v>12</v>
      </c>
      <c r="AW11" s="1036">
        <v>4</v>
      </c>
      <c r="AX11" s="1039">
        <f t="shared" si="4"/>
        <v>22</v>
      </c>
      <c r="AY11" s="1035">
        <v>4</v>
      </c>
      <c r="AZ11" s="1036">
        <v>16</v>
      </c>
      <c r="BA11" s="1036">
        <v>6</v>
      </c>
      <c r="BB11" s="1039">
        <f t="shared" si="5"/>
        <v>26</v>
      </c>
      <c r="BC11" s="1035">
        <f>SUM('EGRESO-POS plan'!BE21,'EGRESO-POS plan'!BE22,'EGRESO-POS plan'!BE23,'EGRESO-POS plan'!BE24,'EGRESO-POS plan'!BE25,'EGRESO-POS plan'!BE26)</f>
        <v>10</v>
      </c>
      <c r="BD11" s="1036">
        <f>SUM('EGRESO-POS plan'!BF21,'EGRESO-POS plan'!BF22,'EGRESO-POS plan'!BF23,'EGRESO-POS plan'!BF24,'EGRESO-POS plan'!BF25,'EGRESO-POS plan'!BF26)</f>
        <v>3</v>
      </c>
      <c r="BE11" s="1036">
        <f>SUM('EGRESO-POS plan'!BG21,'EGRESO-POS plan'!BG22,'EGRESO-POS plan'!BG23,'EGRESO-POS plan'!BG24,'EGRESO-POS plan'!BG25,'EGRESO-POS plan'!BG26)</f>
        <v>3</v>
      </c>
      <c r="BF11" s="1039">
        <f>SUM(BC11:BE11)</f>
        <v>16</v>
      </c>
      <c r="BG11" s="1035">
        <f>SUM('EGRESO-POS plan'!BI21,'EGRESO-POS plan'!BI22,'EGRESO-POS plan'!BI23,'EGRESO-POS plan'!BI24,'EGRESO-POS plan'!BI25,'EGRESO-POS plan'!BI26)</f>
        <v>2</v>
      </c>
      <c r="BH11" s="1036">
        <f>SUM('EGRESO-POS plan'!BJ21,'EGRESO-POS plan'!BJ22,'EGRESO-POS plan'!BJ23,'EGRESO-POS plan'!BJ24,'EGRESO-POS plan'!BJ25,'EGRESO-POS plan'!BJ26)</f>
        <v>3</v>
      </c>
      <c r="BI11" s="1036">
        <f>SUM('EGRESO-POS plan'!BK21,'EGRESO-POS plan'!BK22,'EGRESO-POS plan'!BK23,'EGRESO-POS plan'!BK24,'EGRESO-POS plan'!BK25,'EGRESO-POS plan'!BK26)</f>
        <v>15</v>
      </c>
      <c r="BJ11" s="1039">
        <f>SUM(BG11:BI11)</f>
        <v>20</v>
      </c>
      <c r="BK11" s="1035">
        <f>SUM('EGRESO-POS plan'!BM21,'EGRESO-POS plan'!BM22,'EGRESO-POS plan'!BM23,'EGRESO-POS plan'!BM24,'EGRESO-POS plan'!BM25,'EGRESO-POS plan'!BM26)</f>
        <v>9</v>
      </c>
      <c r="BL11" s="1036">
        <f>SUM('EGRESO-POS plan'!BN21,'EGRESO-POS plan'!BN22,'EGRESO-POS plan'!BN23,'EGRESO-POS plan'!BN24,'EGRESO-POS plan'!BN25,'EGRESO-POS plan'!BN26)</f>
        <v>8</v>
      </c>
      <c r="BM11" s="1036">
        <f>SUM('EGRESO-POS plan'!BO21:BO27)</f>
        <v>8</v>
      </c>
      <c r="BN11" s="1039">
        <f>SUM(BK11:BM11)</f>
        <v>25</v>
      </c>
      <c r="BO11" s="1035">
        <f>SUM('EGRESO-POS plan'!BQ21:BQ27)</f>
        <v>8</v>
      </c>
      <c r="BP11" s="1036">
        <f>SUM('EGRESO-POS plan'!BR21:BR27)</f>
        <v>7</v>
      </c>
      <c r="BQ11" s="1036">
        <f>SUM('EGRESO-POS plan'!BS21:BS27)</f>
        <v>7</v>
      </c>
      <c r="BR11" s="1039">
        <f>SUM(BO11:BQ11)</f>
        <v>22</v>
      </c>
      <c r="BS11" s="1035">
        <f>SUM('EGRESO-POS plan'!BU21:BU27)</f>
        <v>25</v>
      </c>
      <c r="BT11" s="1036">
        <f>SUM('EGRESO-POS plan'!BV21:BV27)</f>
        <v>7</v>
      </c>
      <c r="BU11" s="1036">
        <f>SUM('EGRESO-POS plan'!BW21:BW27)</f>
        <v>12</v>
      </c>
      <c r="BV11" s="1039">
        <f>SUM(BS11:BU11)</f>
        <v>44</v>
      </c>
      <c r="BW11" s="1035">
        <f>SUM('EGRESO-POS plan'!BY21:BY27)</f>
        <v>8</v>
      </c>
      <c r="BX11" s="1036">
        <f>SUM('EGRESO-POS plan'!BZ21:BZ27)</f>
        <v>9</v>
      </c>
      <c r="BY11" s="1036">
        <f>SUM('EGRESO-POS plan'!CA21:CA27)</f>
        <v>3</v>
      </c>
      <c r="BZ11" s="1039">
        <f>SUM(BW11:BY11)</f>
        <v>20</v>
      </c>
    </row>
    <row r="12" spans="1:78" ht="12.75" customHeight="1" x14ac:dyDescent="0.2">
      <c r="A12" s="6211"/>
      <c r="B12" s="1040" t="s">
        <v>617</v>
      </c>
      <c r="C12" s="1278">
        <f>+'EGRESO-POS plan'!E29+'EGRESO-POS plan'!E30</f>
        <v>0</v>
      </c>
      <c r="D12" s="1279">
        <f>+'EGRESO-POS plan'!F29+'EGRESO-POS plan'!F30</f>
        <v>0</v>
      </c>
      <c r="E12" s="1279">
        <f>+'EGRESO-POS plan'!G29+'EGRESO-POS plan'!G30</f>
        <v>0</v>
      </c>
      <c r="F12" s="1280">
        <f t="shared" si="0"/>
        <v>0</v>
      </c>
      <c r="G12" s="1278">
        <f>+'EGRESO-POS plan'!I29+'EGRESO-POS plan'!I30</f>
        <v>0</v>
      </c>
      <c r="H12" s="1279">
        <f>+'EGRESO-POS plan'!J29+'EGRESO-POS plan'!J30</f>
        <v>0</v>
      </c>
      <c r="I12" s="1279">
        <f>+'EGRESO-POS plan'!K29+'EGRESO-POS plan'!K30</f>
        <v>0</v>
      </c>
      <c r="J12" s="1280">
        <f t="shared" si="1"/>
        <v>0</v>
      </c>
      <c r="K12" s="1278">
        <f>+'EGRESO-POS plan'!M29+'EGRESO-POS plan'!M30</f>
        <v>0</v>
      </c>
      <c r="L12" s="1279">
        <f>+'EGRESO-POS plan'!N29+'EGRESO-POS plan'!N30</f>
        <v>0</v>
      </c>
      <c r="M12" s="1279">
        <f>+'EGRESO-POS plan'!O29+'EGRESO-POS plan'!O30</f>
        <v>0</v>
      </c>
      <c r="N12" s="1280">
        <f t="shared" si="2"/>
        <v>0</v>
      </c>
      <c r="O12" s="1278">
        <f>+'EGRESO-POS plan'!Q29+'EGRESO-POS plan'!Q30</f>
        <v>0</v>
      </c>
      <c r="P12" s="1279">
        <f>+'EGRESO-POS plan'!R29+'EGRESO-POS plan'!R30</f>
        <v>0</v>
      </c>
      <c r="Q12" s="1279">
        <f>+'EGRESO-POS plan'!S29+'EGRESO-POS plan'!S30</f>
        <v>0</v>
      </c>
      <c r="R12" s="1280">
        <f t="shared" si="3"/>
        <v>0</v>
      </c>
      <c r="S12" s="1278">
        <v>0</v>
      </c>
      <c r="T12" s="1279">
        <v>0</v>
      </c>
      <c r="U12" s="1279">
        <v>0</v>
      </c>
      <c r="V12" s="1280">
        <v>0</v>
      </c>
      <c r="W12" s="1279">
        <v>0</v>
      </c>
      <c r="X12" s="1279">
        <v>0</v>
      </c>
      <c r="Y12" s="1279">
        <v>0</v>
      </c>
      <c r="Z12" s="1281">
        <v>0</v>
      </c>
      <c r="AA12" s="1278">
        <v>0</v>
      </c>
      <c r="AB12" s="1279">
        <v>0</v>
      </c>
      <c r="AC12" s="1279">
        <v>0</v>
      </c>
      <c r="AD12" s="1280">
        <v>0</v>
      </c>
      <c r="AE12" s="1279">
        <v>1</v>
      </c>
      <c r="AF12" s="1279">
        <v>0</v>
      </c>
      <c r="AG12" s="1279">
        <v>0</v>
      </c>
      <c r="AH12" s="1280">
        <v>1</v>
      </c>
      <c r="AI12" s="1279">
        <v>0</v>
      </c>
      <c r="AJ12" s="1279">
        <v>0</v>
      </c>
      <c r="AK12" s="1279">
        <v>0</v>
      </c>
      <c r="AL12" s="1281">
        <v>0</v>
      </c>
      <c r="AM12" s="1035">
        <v>0</v>
      </c>
      <c r="AN12" s="1036">
        <v>0</v>
      </c>
      <c r="AO12" s="1036">
        <v>0</v>
      </c>
      <c r="AP12" s="1036">
        <v>0</v>
      </c>
      <c r="AQ12" s="1035">
        <v>0</v>
      </c>
      <c r="AR12" s="1036">
        <v>0</v>
      </c>
      <c r="AS12" s="1036">
        <v>2</v>
      </c>
      <c r="AT12" s="1039">
        <v>2</v>
      </c>
      <c r="AU12" s="1035"/>
      <c r="AV12" s="1036">
        <v>1</v>
      </c>
      <c r="AW12" s="1036">
        <v>2</v>
      </c>
      <c r="AX12" s="1039">
        <f t="shared" si="4"/>
        <v>3</v>
      </c>
      <c r="AY12" s="1035">
        <v>1</v>
      </c>
      <c r="AZ12" s="1036">
        <v>4</v>
      </c>
      <c r="BA12" s="1036">
        <v>1</v>
      </c>
      <c r="BB12" s="1039">
        <f t="shared" si="5"/>
        <v>6</v>
      </c>
      <c r="BC12" s="1035">
        <f>SUM('EGRESO-POS plan'!BE28,'EGRESO-POS plan'!BE29,'EGRESO-POS plan'!BE30)</f>
        <v>4</v>
      </c>
      <c r="BD12" s="1036">
        <f>SUM('EGRESO-POS plan'!BF28,'EGRESO-POS plan'!BF29,'EGRESO-POS plan'!BF30)</f>
        <v>2</v>
      </c>
      <c r="BE12" s="1036">
        <f>SUM('EGRESO-POS plan'!BG28,'EGRESO-POS plan'!BG29,'EGRESO-POS plan'!BG30)</f>
        <v>0</v>
      </c>
      <c r="BF12" s="1039">
        <f>SUM(BC12:BE12)</f>
        <v>6</v>
      </c>
      <c r="BG12" s="1035">
        <f>SUM('EGRESO-POS plan'!BI28,'EGRESO-POS plan'!BI29,'EGRESO-POS plan'!BI30)</f>
        <v>1</v>
      </c>
      <c r="BH12" s="1036">
        <f>SUM('EGRESO-POS plan'!BJ28,'EGRESO-POS plan'!BJ29,'EGRESO-POS plan'!BJ30)</f>
        <v>2</v>
      </c>
      <c r="BI12" s="1036">
        <f>SUM('EGRESO-POS plan'!BK28,'EGRESO-POS plan'!BK29,'EGRESO-POS plan'!BK30)</f>
        <v>5</v>
      </c>
      <c r="BJ12" s="1039">
        <f>SUM(BG12:BI12)</f>
        <v>8</v>
      </c>
      <c r="BK12" s="1035">
        <f>SUM('EGRESO-POS plan'!BM28,'EGRESO-POS plan'!BM29,'EGRESO-POS plan'!BM30)</f>
        <v>7</v>
      </c>
      <c r="BL12" s="1036">
        <f>SUM('EGRESO-POS plan'!BN28,'EGRESO-POS plan'!BN29,'EGRESO-POS plan'!BN30)</f>
        <v>2</v>
      </c>
      <c r="BM12" s="1036">
        <f>SUM('EGRESO-POS plan'!BO28:BO30)</f>
        <v>3</v>
      </c>
      <c r="BN12" s="1039">
        <f>SUM(BK12:BM12)</f>
        <v>12</v>
      </c>
      <c r="BO12" s="1035">
        <f>SUM('EGRESO-POS plan'!BQ28,'EGRESO-POS plan'!BQ29,'EGRESO-POS plan'!BQ30)</f>
        <v>2</v>
      </c>
      <c r="BP12" s="1036">
        <f>SUM('EGRESO-POS plan'!BR28,'EGRESO-POS plan'!BR29,'EGRESO-POS plan'!BR30)</f>
        <v>1</v>
      </c>
      <c r="BQ12" s="1036">
        <f>SUM('EGRESO-POS plan'!BS28:BS30)</f>
        <v>4</v>
      </c>
      <c r="BR12" s="1039">
        <f>SUM(BO12:BQ12)</f>
        <v>7</v>
      </c>
      <c r="BS12" s="1035">
        <f>SUM('EGRESO-POS plan'!BU28,'EGRESO-POS plan'!BU29,'EGRESO-POS plan'!BU30)</f>
        <v>8</v>
      </c>
      <c r="BT12" s="1036">
        <f>SUM('EGRESO-POS plan'!BV28,'EGRESO-POS plan'!BV29,'EGRESO-POS plan'!BV30)</f>
        <v>1</v>
      </c>
      <c r="BU12" s="1036">
        <f>SUM('EGRESO-POS plan'!BW28:BW30)</f>
        <v>2</v>
      </c>
      <c r="BV12" s="1039">
        <f>SUM(BS12:BU12)</f>
        <v>11</v>
      </c>
      <c r="BW12" s="1035">
        <f>SUM('EGRESO-POS plan'!BY28:BY30)</f>
        <v>1</v>
      </c>
      <c r="BX12" s="1036">
        <f>SUM('EGRESO-POS plan'!BZ28:BZ30)</f>
        <v>1</v>
      </c>
      <c r="BY12" s="1036">
        <f>SUM('EGRESO-POS plan'!CA28:CA30)</f>
        <v>2</v>
      </c>
      <c r="BZ12" s="1039">
        <f>SUM(BW12:BY12)</f>
        <v>4</v>
      </c>
    </row>
    <row r="13" spans="1:78" s="222" customFormat="1" ht="12.75" customHeight="1" x14ac:dyDescent="0.2">
      <c r="A13" s="6212"/>
      <c r="B13" s="574" t="s">
        <v>14</v>
      </c>
      <c r="C13" s="1147">
        <f>SUM(C10:C12)</f>
        <v>0</v>
      </c>
      <c r="D13" s="1148">
        <f>SUM(D10:D12)</f>
        <v>5</v>
      </c>
      <c r="E13" s="1148">
        <f>SUM(E10:E12)</f>
        <v>4</v>
      </c>
      <c r="F13" s="1139">
        <f t="shared" si="0"/>
        <v>9</v>
      </c>
      <c r="G13" s="1147">
        <f>SUM(G10:G12)</f>
        <v>0</v>
      </c>
      <c r="H13" s="1148">
        <f>SUM(H10:H12)</f>
        <v>1</v>
      </c>
      <c r="I13" s="1148">
        <f>SUM(I10:I12)</f>
        <v>7</v>
      </c>
      <c r="J13" s="1139">
        <f t="shared" si="1"/>
        <v>8</v>
      </c>
      <c r="K13" s="1147">
        <f>SUM(K10:K12)</f>
        <v>1</v>
      </c>
      <c r="L13" s="1148">
        <f>SUM(L10:L12)</f>
        <v>12</v>
      </c>
      <c r="M13" s="1148">
        <f>SUM(M10:M12)</f>
        <v>6</v>
      </c>
      <c r="N13" s="1139">
        <f t="shared" si="2"/>
        <v>19</v>
      </c>
      <c r="O13" s="1147">
        <f>SUM(O10:O12)</f>
        <v>3</v>
      </c>
      <c r="P13" s="1148">
        <f>SUM(P10:P12)</f>
        <v>123</v>
      </c>
      <c r="Q13" s="1148">
        <f>SUM(Q10:Q12)</f>
        <v>13</v>
      </c>
      <c r="R13" s="1139">
        <f t="shared" si="3"/>
        <v>139</v>
      </c>
      <c r="S13" s="1147">
        <v>15</v>
      </c>
      <c r="T13" s="1148">
        <v>13</v>
      </c>
      <c r="U13" s="1148">
        <v>6</v>
      </c>
      <c r="V13" s="1139">
        <v>34</v>
      </c>
      <c r="W13" s="1148">
        <v>10</v>
      </c>
      <c r="X13" s="1148">
        <v>13</v>
      </c>
      <c r="Y13" s="1148">
        <v>6</v>
      </c>
      <c r="Z13" s="1148">
        <v>29</v>
      </c>
      <c r="AA13" s="1147">
        <v>12</v>
      </c>
      <c r="AB13" s="1148">
        <v>24</v>
      </c>
      <c r="AC13" s="1148">
        <v>1</v>
      </c>
      <c r="AD13" s="1139">
        <v>37</v>
      </c>
      <c r="AE13" s="1148">
        <v>7</v>
      </c>
      <c r="AF13" s="1148">
        <v>25</v>
      </c>
      <c r="AG13" s="1148">
        <v>15</v>
      </c>
      <c r="AH13" s="1139">
        <v>47</v>
      </c>
      <c r="AI13" s="1148">
        <v>9</v>
      </c>
      <c r="AJ13" s="1148">
        <v>21</v>
      </c>
      <c r="AK13" s="1148">
        <v>9</v>
      </c>
      <c r="AL13" s="1148">
        <v>39</v>
      </c>
      <c r="AM13" s="569">
        <v>3</v>
      </c>
      <c r="AN13" s="570">
        <v>16</v>
      </c>
      <c r="AO13" s="570">
        <v>3</v>
      </c>
      <c r="AP13" s="570">
        <v>22</v>
      </c>
      <c r="AQ13" s="569">
        <f t="shared" ref="AQ13:AW13" si="10">SUM(AQ10:AQ12)</f>
        <v>7</v>
      </c>
      <c r="AR13" s="570">
        <f t="shared" si="10"/>
        <v>18</v>
      </c>
      <c r="AS13" s="570">
        <f t="shared" si="10"/>
        <v>6</v>
      </c>
      <c r="AT13" s="571">
        <f t="shared" si="10"/>
        <v>31</v>
      </c>
      <c r="AU13" s="569">
        <f t="shared" si="10"/>
        <v>6</v>
      </c>
      <c r="AV13" s="570">
        <f t="shared" si="10"/>
        <v>20</v>
      </c>
      <c r="AW13" s="570">
        <f t="shared" si="10"/>
        <v>6</v>
      </c>
      <c r="AX13" s="571">
        <f t="shared" si="4"/>
        <v>32</v>
      </c>
      <c r="AY13" s="569">
        <f>SUM(AY10:AY12)</f>
        <v>6</v>
      </c>
      <c r="AZ13" s="570">
        <f>SUM(AZ10:AZ12)</f>
        <v>37</v>
      </c>
      <c r="BA13" s="570">
        <f>SUM(BA10:BA12)</f>
        <v>8</v>
      </c>
      <c r="BB13" s="571">
        <f t="shared" si="5"/>
        <v>51</v>
      </c>
      <c r="BC13" s="569">
        <f t="shared" ref="BC13:BJ13" si="11">SUM(BC10:BC12)</f>
        <v>14</v>
      </c>
      <c r="BD13" s="570">
        <f t="shared" si="11"/>
        <v>29</v>
      </c>
      <c r="BE13" s="570">
        <f t="shared" si="11"/>
        <v>3</v>
      </c>
      <c r="BF13" s="571">
        <f t="shared" si="11"/>
        <v>46</v>
      </c>
      <c r="BG13" s="569">
        <f t="shared" si="11"/>
        <v>3</v>
      </c>
      <c r="BH13" s="570">
        <f t="shared" si="11"/>
        <v>14</v>
      </c>
      <c r="BI13" s="570">
        <f t="shared" si="11"/>
        <v>22</v>
      </c>
      <c r="BJ13" s="571">
        <f t="shared" si="11"/>
        <v>39</v>
      </c>
      <c r="BK13" s="569">
        <f t="shared" ref="BK13:BR13" si="12">SUM(BK10:BK12)</f>
        <v>16</v>
      </c>
      <c r="BL13" s="570">
        <f t="shared" si="12"/>
        <v>26</v>
      </c>
      <c r="BM13" s="570">
        <f t="shared" si="12"/>
        <v>17</v>
      </c>
      <c r="BN13" s="571">
        <f t="shared" si="12"/>
        <v>59</v>
      </c>
      <c r="BO13" s="569">
        <f t="shared" si="12"/>
        <v>11</v>
      </c>
      <c r="BP13" s="570">
        <f t="shared" si="12"/>
        <v>19</v>
      </c>
      <c r="BQ13" s="570">
        <f t="shared" si="12"/>
        <v>14</v>
      </c>
      <c r="BR13" s="571">
        <f t="shared" si="12"/>
        <v>44</v>
      </c>
      <c r="BS13" s="569">
        <f t="shared" ref="BS13:BZ13" si="13">SUM(BS10:BS12)</f>
        <v>33</v>
      </c>
      <c r="BT13" s="570">
        <f t="shared" si="13"/>
        <v>29</v>
      </c>
      <c r="BU13" s="570">
        <f t="shared" si="13"/>
        <v>18</v>
      </c>
      <c r="BV13" s="571">
        <f t="shared" si="13"/>
        <v>80</v>
      </c>
      <c r="BW13" s="569">
        <f t="shared" si="13"/>
        <v>9</v>
      </c>
      <c r="BX13" s="570">
        <f t="shared" si="13"/>
        <v>30</v>
      </c>
      <c r="BY13" s="570">
        <f t="shared" si="13"/>
        <v>5</v>
      </c>
      <c r="BZ13" s="571">
        <f t="shared" si="13"/>
        <v>44</v>
      </c>
    </row>
    <row r="14" spans="1:78" ht="12.75" customHeight="1" x14ac:dyDescent="0.2">
      <c r="A14" s="6213" t="s">
        <v>7</v>
      </c>
      <c r="B14" s="1029" t="s">
        <v>615</v>
      </c>
      <c r="C14" s="1274">
        <f>+'EGRESO-POS plan'!E32+'EGRESO-POS plan'!E33</f>
        <v>0</v>
      </c>
      <c r="D14" s="1275">
        <f>+'EGRESO-POS plan'!F32+'EGRESO-POS plan'!F33</f>
        <v>0</v>
      </c>
      <c r="E14" s="1275">
        <f>+'EGRESO-POS plan'!G32+'EGRESO-POS plan'!G33</f>
        <v>17</v>
      </c>
      <c r="F14" s="1276">
        <f t="shared" si="0"/>
        <v>17</v>
      </c>
      <c r="G14" s="1274">
        <f>+'EGRESO-POS plan'!I32+'EGRESO-POS plan'!I33</f>
        <v>0</v>
      </c>
      <c r="H14" s="1275">
        <f>+'EGRESO-POS plan'!J32+'EGRESO-POS plan'!J33</f>
        <v>3</v>
      </c>
      <c r="I14" s="1275">
        <f>+'EGRESO-POS plan'!K32+'EGRESO-POS plan'!K33</f>
        <v>6</v>
      </c>
      <c r="J14" s="1276">
        <f t="shared" si="1"/>
        <v>9</v>
      </c>
      <c r="K14" s="1274">
        <f>+'EGRESO-POS plan'!M32+'EGRESO-POS plan'!M33</f>
        <v>1</v>
      </c>
      <c r="L14" s="1275">
        <f>+'EGRESO-POS plan'!N32+'EGRESO-POS plan'!N33</f>
        <v>7</v>
      </c>
      <c r="M14" s="1275">
        <f>+'EGRESO-POS plan'!O32+'EGRESO-POS plan'!O33</f>
        <v>2</v>
      </c>
      <c r="N14" s="1276">
        <f t="shared" si="2"/>
        <v>10</v>
      </c>
      <c r="O14" s="1274">
        <f>+'EGRESO-POS plan'!Q32+'EGRESO-POS plan'!Q33</f>
        <v>3</v>
      </c>
      <c r="P14" s="1275">
        <f>+'EGRESO-POS plan'!R32+'EGRESO-POS plan'!R33</f>
        <v>69</v>
      </c>
      <c r="Q14" s="1275">
        <f>+'EGRESO-POS plan'!S32+'EGRESO-POS plan'!S33</f>
        <v>26</v>
      </c>
      <c r="R14" s="1276">
        <f t="shared" si="3"/>
        <v>98</v>
      </c>
      <c r="S14" s="1274">
        <v>0</v>
      </c>
      <c r="T14" s="1275">
        <v>1</v>
      </c>
      <c r="U14" s="1275">
        <v>2</v>
      </c>
      <c r="V14" s="1276">
        <v>3</v>
      </c>
      <c r="W14" s="1275">
        <v>2</v>
      </c>
      <c r="X14" s="1275">
        <v>15</v>
      </c>
      <c r="Y14" s="1275">
        <v>7</v>
      </c>
      <c r="Z14" s="1277">
        <v>24</v>
      </c>
      <c r="AA14" s="1274">
        <v>1</v>
      </c>
      <c r="AB14" s="1275">
        <v>4</v>
      </c>
      <c r="AC14" s="1275">
        <v>9</v>
      </c>
      <c r="AD14" s="1276">
        <v>14</v>
      </c>
      <c r="AE14" s="1275">
        <v>0</v>
      </c>
      <c r="AF14" s="1275">
        <v>13</v>
      </c>
      <c r="AG14" s="1275">
        <v>4</v>
      </c>
      <c r="AH14" s="1276">
        <v>17</v>
      </c>
      <c r="AI14" s="1275">
        <v>0</v>
      </c>
      <c r="AJ14" s="1275">
        <v>16</v>
      </c>
      <c r="AK14" s="1275">
        <v>1</v>
      </c>
      <c r="AL14" s="1277">
        <v>17</v>
      </c>
      <c r="AM14" s="1030">
        <v>1</v>
      </c>
      <c r="AN14" s="1031">
        <v>2</v>
      </c>
      <c r="AO14" s="1031">
        <v>11</v>
      </c>
      <c r="AP14" s="1031">
        <v>14</v>
      </c>
      <c r="AQ14" s="1030">
        <v>10</v>
      </c>
      <c r="AR14" s="1031">
        <v>4</v>
      </c>
      <c r="AS14" s="1031">
        <v>47</v>
      </c>
      <c r="AT14" s="1048">
        <v>61</v>
      </c>
      <c r="AU14" s="1030">
        <v>1</v>
      </c>
      <c r="AV14" s="1031">
        <v>1</v>
      </c>
      <c r="AW14" s="1031">
        <v>24</v>
      </c>
      <c r="AX14" s="1048">
        <f t="shared" si="4"/>
        <v>26</v>
      </c>
      <c r="AY14" s="1030"/>
      <c r="AZ14" s="1031">
        <v>2</v>
      </c>
      <c r="BA14" s="1031">
        <v>32</v>
      </c>
      <c r="BB14" s="1048">
        <f t="shared" si="5"/>
        <v>34</v>
      </c>
      <c r="BC14" s="1030">
        <f>SUM('EGRESO-POS plan'!BE32)</f>
        <v>1</v>
      </c>
      <c r="BD14" s="1031">
        <f>SUM('EGRESO-POS plan'!BF32)</f>
        <v>4</v>
      </c>
      <c r="BE14" s="1031">
        <f>SUM('EGRESO-POS plan'!BG32)</f>
        <v>1</v>
      </c>
      <c r="BF14" s="1048">
        <f>SUM(BC14:BE14)</f>
        <v>6</v>
      </c>
      <c r="BG14" s="1030">
        <f>SUM('EGRESO-POS plan'!BI32)</f>
        <v>0</v>
      </c>
      <c r="BH14" s="1031">
        <f>SUM('EGRESO-POS plan'!BJ32)</f>
        <v>5</v>
      </c>
      <c r="BI14" s="1031">
        <f>SUM('EGRESO-POS plan'!BK32)</f>
        <v>28</v>
      </c>
      <c r="BJ14" s="1048">
        <f>SUM(BG14:BI14)</f>
        <v>33</v>
      </c>
      <c r="BK14" s="1030">
        <f>SUM('EGRESO-POS plan'!BM32)</f>
        <v>0</v>
      </c>
      <c r="BL14" s="1031">
        <f>SUM('EGRESO-POS plan'!BN32)</f>
        <v>1</v>
      </c>
      <c r="BM14" s="1031">
        <f>SUM('EGRESO-POS plan'!BO32)</f>
        <v>0</v>
      </c>
      <c r="BN14" s="1048">
        <f>SUM(BK14:BM14)</f>
        <v>1</v>
      </c>
      <c r="BO14" s="1030">
        <f>SUM('EGRESO-POS plan'!BQ32)</f>
        <v>0</v>
      </c>
      <c r="BP14" s="1031">
        <f>SUM('EGRESO-POS plan'!BR32)</f>
        <v>0</v>
      </c>
      <c r="BQ14" s="1031">
        <f>SUM('EGRESO-POS plan'!BS32)</f>
        <v>0</v>
      </c>
      <c r="BR14" s="1048">
        <f>SUM(BO14:BQ14)</f>
        <v>0</v>
      </c>
      <c r="BS14" s="1030">
        <f>SUM('EGRESO-POS plan'!BU32)</f>
        <v>0</v>
      </c>
      <c r="BT14" s="1031">
        <f>SUM('EGRESO-POS plan'!BV32)</f>
        <v>0</v>
      </c>
      <c r="BU14" s="1031">
        <f>SUM('EGRESO-POS plan'!BW32)</f>
        <v>0</v>
      </c>
      <c r="BV14" s="1048">
        <f>SUM(BS14:BU14)</f>
        <v>0</v>
      </c>
      <c r="BW14" s="1030">
        <f>SUM('EGRESO-POS plan'!BY32:BY34)</f>
        <v>0</v>
      </c>
      <c r="BX14" s="1031">
        <f>SUM('EGRESO-POS plan'!BZ32:BZ34)</f>
        <v>0</v>
      </c>
      <c r="BY14" s="1031">
        <f>SUM('EGRESO-POS plan'!CA32:CA34)</f>
        <v>9</v>
      </c>
      <c r="BZ14" s="1048">
        <f>SUM(BW14:BY14)</f>
        <v>9</v>
      </c>
    </row>
    <row r="15" spans="1:78" ht="12.75" customHeight="1" x14ac:dyDescent="0.2">
      <c r="A15" s="6211"/>
      <c r="B15" s="1034" t="s">
        <v>616</v>
      </c>
      <c r="C15" s="1278">
        <f>+'EGRESO-POS plan'!E35</f>
        <v>1</v>
      </c>
      <c r="D15" s="1279">
        <f>+'EGRESO-POS plan'!F35</f>
        <v>0</v>
      </c>
      <c r="E15" s="1279">
        <f>+'EGRESO-POS plan'!G35</f>
        <v>0</v>
      </c>
      <c r="F15" s="1280">
        <f t="shared" si="0"/>
        <v>1</v>
      </c>
      <c r="G15" s="1278">
        <f>+'EGRESO-POS plan'!I35</f>
        <v>0</v>
      </c>
      <c r="H15" s="1279">
        <f>+'EGRESO-POS plan'!J35</f>
        <v>0</v>
      </c>
      <c r="I15" s="1279">
        <f>+'EGRESO-POS plan'!K35</f>
        <v>0</v>
      </c>
      <c r="J15" s="1280">
        <f t="shared" si="1"/>
        <v>0</v>
      </c>
      <c r="K15" s="1278">
        <f>+'EGRESO-POS plan'!M35</f>
        <v>2</v>
      </c>
      <c r="L15" s="1279">
        <f>+'EGRESO-POS plan'!N35</f>
        <v>0</v>
      </c>
      <c r="M15" s="1279">
        <f>+'EGRESO-POS plan'!O35</f>
        <v>1</v>
      </c>
      <c r="N15" s="1280">
        <f t="shared" si="2"/>
        <v>3</v>
      </c>
      <c r="O15" s="1278">
        <f>+'EGRESO-POS plan'!Q35</f>
        <v>7</v>
      </c>
      <c r="P15" s="1279">
        <f>+'EGRESO-POS plan'!R35</f>
        <v>6</v>
      </c>
      <c r="Q15" s="1279">
        <f>+'EGRESO-POS plan'!S35</f>
        <v>5</v>
      </c>
      <c r="R15" s="1280">
        <f t="shared" si="3"/>
        <v>18</v>
      </c>
      <c r="S15" s="1278">
        <v>1</v>
      </c>
      <c r="T15" s="1279">
        <v>2</v>
      </c>
      <c r="U15" s="1279">
        <v>4</v>
      </c>
      <c r="V15" s="1280">
        <v>7</v>
      </c>
      <c r="W15" s="1279">
        <v>2</v>
      </c>
      <c r="X15" s="1279">
        <v>1</v>
      </c>
      <c r="Y15" s="1279">
        <v>2</v>
      </c>
      <c r="Z15" s="1281">
        <v>5</v>
      </c>
      <c r="AA15" s="1278">
        <v>4</v>
      </c>
      <c r="AB15" s="1279">
        <v>1</v>
      </c>
      <c r="AC15" s="1279">
        <v>5</v>
      </c>
      <c r="AD15" s="1280">
        <v>10</v>
      </c>
      <c r="AE15" s="1279">
        <v>2</v>
      </c>
      <c r="AF15" s="1279">
        <v>2</v>
      </c>
      <c r="AG15" s="1279">
        <v>5</v>
      </c>
      <c r="AH15" s="1280">
        <v>9</v>
      </c>
      <c r="AI15" s="1279">
        <v>4</v>
      </c>
      <c r="AJ15" s="1279">
        <v>0</v>
      </c>
      <c r="AK15" s="1279">
        <v>0</v>
      </c>
      <c r="AL15" s="1281">
        <v>4</v>
      </c>
      <c r="AM15" s="1035">
        <v>3</v>
      </c>
      <c r="AN15" s="1036">
        <v>6</v>
      </c>
      <c r="AO15" s="1036">
        <v>2</v>
      </c>
      <c r="AP15" s="1036">
        <v>11</v>
      </c>
      <c r="AQ15" s="1035">
        <v>2</v>
      </c>
      <c r="AR15" s="1036">
        <v>5</v>
      </c>
      <c r="AS15" s="1036">
        <v>1</v>
      </c>
      <c r="AT15" s="1039">
        <v>8</v>
      </c>
      <c r="AU15" s="1035">
        <v>2</v>
      </c>
      <c r="AV15" s="1036">
        <v>11</v>
      </c>
      <c r="AW15" s="1036">
        <v>3</v>
      </c>
      <c r="AX15" s="1039">
        <f t="shared" si="4"/>
        <v>16</v>
      </c>
      <c r="AY15" s="1035">
        <v>1</v>
      </c>
      <c r="AZ15" s="1036">
        <v>12</v>
      </c>
      <c r="BA15" s="1036">
        <v>11</v>
      </c>
      <c r="BB15" s="1039">
        <f t="shared" si="5"/>
        <v>24</v>
      </c>
      <c r="BC15" s="1035">
        <f>SUM('EGRESO-POS plan'!BE35)</f>
        <v>4</v>
      </c>
      <c r="BD15" s="1036">
        <f>SUM('EGRESO-POS plan'!BF35)</f>
        <v>5</v>
      </c>
      <c r="BE15" s="1036">
        <f>SUM('EGRESO-POS plan'!BG35)</f>
        <v>13</v>
      </c>
      <c r="BF15" s="1039">
        <f>SUM(BC15:BE15)</f>
        <v>22</v>
      </c>
      <c r="BG15" s="1035">
        <f>SUM('EGRESO-POS plan'!BI35)</f>
        <v>6</v>
      </c>
      <c r="BH15" s="1036">
        <f>SUM('EGRESO-POS plan'!BJ35)</f>
        <v>25</v>
      </c>
      <c r="BI15" s="1036">
        <f>SUM('EGRESO-POS plan'!BK35)</f>
        <v>6</v>
      </c>
      <c r="BJ15" s="1039">
        <f>SUM(BG15:BI15)</f>
        <v>37</v>
      </c>
      <c r="BK15" s="1035">
        <f>SUM('EGRESO-POS plan'!BM35)</f>
        <v>4</v>
      </c>
      <c r="BL15" s="1036">
        <f>SUM('EGRESO-POS plan'!BN35)</f>
        <v>11</v>
      </c>
      <c r="BM15" s="1036">
        <f>SUM('EGRESO-POS plan'!BO35)</f>
        <v>11</v>
      </c>
      <c r="BN15" s="1039">
        <f>SUM(BK15:BM15)</f>
        <v>26</v>
      </c>
      <c r="BO15" s="1035">
        <f>SUM('EGRESO-POS plan'!BQ35:BQ39)</f>
        <v>8</v>
      </c>
      <c r="BP15" s="1036">
        <f>SUM('EGRESO-POS plan'!BR35:BR39)</f>
        <v>8</v>
      </c>
      <c r="BQ15" s="1036">
        <f>SUM('EGRESO-POS plan'!BS35:BS39)</f>
        <v>2</v>
      </c>
      <c r="BR15" s="1039">
        <f>SUM(BO15:BQ15)</f>
        <v>18</v>
      </c>
      <c r="BS15" s="1035">
        <f>SUM('EGRESO-POS plan'!BU35:BU39)</f>
        <v>2</v>
      </c>
      <c r="BT15" s="1036">
        <f>SUM('EGRESO-POS plan'!BV35:BV39)</f>
        <v>8</v>
      </c>
      <c r="BU15" s="1036">
        <f>SUM('EGRESO-POS plan'!BW35:BW40)</f>
        <v>3</v>
      </c>
      <c r="BV15" s="1039">
        <f>SUM(BS15:BU15)</f>
        <v>13</v>
      </c>
      <c r="BW15" s="1035">
        <f>SUM('EGRESO-POS plan'!BY35:BY40)</f>
        <v>5</v>
      </c>
      <c r="BX15" s="1036">
        <f>SUM('EGRESO-POS plan'!BZ35:BZ40)</f>
        <v>12</v>
      </c>
      <c r="BY15" s="1036">
        <f>SUM('EGRESO-POS plan'!CA35:CA40)</f>
        <v>6</v>
      </c>
      <c r="BZ15" s="1039">
        <f>SUM(BW15:BY15)</f>
        <v>23</v>
      </c>
    </row>
    <row r="16" spans="1:78" ht="12.75" customHeight="1" x14ac:dyDescent="0.2">
      <c r="A16" s="6211"/>
      <c r="B16" s="1040" t="s">
        <v>617</v>
      </c>
      <c r="C16" s="1278">
        <f>+'EGRESO-POS plan'!E41</f>
        <v>0</v>
      </c>
      <c r="D16" s="1279">
        <f>+'EGRESO-POS plan'!F41</f>
        <v>0</v>
      </c>
      <c r="E16" s="1279">
        <f>+'EGRESO-POS plan'!G41</f>
        <v>0</v>
      </c>
      <c r="F16" s="1280">
        <f t="shared" si="0"/>
        <v>0</v>
      </c>
      <c r="G16" s="1278">
        <f>+'EGRESO-POS plan'!I41</f>
        <v>0</v>
      </c>
      <c r="H16" s="1279">
        <f>+'EGRESO-POS plan'!J41</f>
        <v>0</v>
      </c>
      <c r="I16" s="1279">
        <f>+'EGRESO-POS plan'!K41</f>
        <v>0</v>
      </c>
      <c r="J16" s="1280">
        <f t="shared" si="1"/>
        <v>0</v>
      </c>
      <c r="K16" s="1278">
        <f>+'EGRESO-POS plan'!M41</f>
        <v>1</v>
      </c>
      <c r="L16" s="1279">
        <f>+'EGRESO-POS plan'!N41</f>
        <v>6</v>
      </c>
      <c r="M16" s="1279">
        <f>+'EGRESO-POS plan'!O41</f>
        <v>4</v>
      </c>
      <c r="N16" s="1280">
        <f t="shared" si="2"/>
        <v>11</v>
      </c>
      <c r="O16" s="1278">
        <f>+'EGRESO-POS plan'!Q41</f>
        <v>0</v>
      </c>
      <c r="P16" s="1279">
        <f>+'EGRESO-POS plan'!R41</f>
        <v>0</v>
      </c>
      <c r="Q16" s="1279">
        <f>+'EGRESO-POS plan'!S41</f>
        <v>0</v>
      </c>
      <c r="R16" s="1280">
        <f t="shared" si="3"/>
        <v>0</v>
      </c>
      <c r="S16" s="1278">
        <v>0</v>
      </c>
      <c r="T16" s="1279">
        <v>0</v>
      </c>
      <c r="U16" s="1279">
        <v>0</v>
      </c>
      <c r="V16" s="1280">
        <v>0</v>
      </c>
      <c r="W16" s="1279">
        <v>0</v>
      </c>
      <c r="X16" s="1279">
        <v>1</v>
      </c>
      <c r="Y16" s="1279">
        <v>1</v>
      </c>
      <c r="Z16" s="1281">
        <v>2</v>
      </c>
      <c r="AA16" s="1278">
        <v>0</v>
      </c>
      <c r="AB16" s="1279">
        <v>6</v>
      </c>
      <c r="AC16" s="1279">
        <v>1</v>
      </c>
      <c r="AD16" s="1280">
        <v>7</v>
      </c>
      <c r="AE16" s="1279">
        <v>1</v>
      </c>
      <c r="AF16" s="1279">
        <v>1</v>
      </c>
      <c r="AG16" s="1279">
        <v>2</v>
      </c>
      <c r="AH16" s="1280">
        <v>4</v>
      </c>
      <c r="AI16" s="1279">
        <v>0</v>
      </c>
      <c r="AJ16" s="1279">
        <v>0</v>
      </c>
      <c r="AK16" s="1279">
        <v>1</v>
      </c>
      <c r="AL16" s="1281">
        <v>1</v>
      </c>
      <c r="AM16" s="1035">
        <v>1</v>
      </c>
      <c r="AN16" s="1036">
        <v>0</v>
      </c>
      <c r="AO16" s="1036">
        <v>0</v>
      </c>
      <c r="AP16" s="1036">
        <v>1</v>
      </c>
      <c r="AQ16" s="1035">
        <v>1</v>
      </c>
      <c r="AR16" s="1036">
        <v>1</v>
      </c>
      <c r="AS16" s="1036">
        <v>1</v>
      </c>
      <c r="AT16" s="1039">
        <v>3</v>
      </c>
      <c r="AU16" s="1035">
        <v>1</v>
      </c>
      <c r="AV16" s="1036">
        <v>1</v>
      </c>
      <c r="AW16" s="1036">
        <v>3</v>
      </c>
      <c r="AX16" s="1039">
        <f t="shared" si="4"/>
        <v>5</v>
      </c>
      <c r="AY16" s="1035">
        <v>1</v>
      </c>
      <c r="AZ16" s="1036">
        <v>4</v>
      </c>
      <c r="BA16" s="1036">
        <v>2</v>
      </c>
      <c r="BB16" s="1039">
        <f t="shared" si="5"/>
        <v>7</v>
      </c>
      <c r="BC16" s="1035">
        <f>SUM('EGRESO-POS plan'!BE41)</f>
        <v>0</v>
      </c>
      <c r="BD16" s="1036">
        <f>SUM('EGRESO-POS plan'!BF41)</f>
        <v>1</v>
      </c>
      <c r="BE16" s="1036">
        <f>SUM('EGRESO-POS plan'!BG41)</f>
        <v>1</v>
      </c>
      <c r="BF16" s="1039">
        <f>SUM(BC16:BE16)</f>
        <v>2</v>
      </c>
      <c r="BG16" s="1035">
        <f>SUM('EGRESO-POS plan'!BI41)</f>
        <v>3</v>
      </c>
      <c r="BH16" s="1036">
        <f>SUM('EGRESO-POS plan'!BJ41)</f>
        <v>5</v>
      </c>
      <c r="BI16" s="1036">
        <f>SUM('EGRESO-POS plan'!BK41)</f>
        <v>1</v>
      </c>
      <c r="BJ16" s="1039">
        <f>SUM(BG16:BI16)</f>
        <v>9</v>
      </c>
      <c r="BK16" s="1035">
        <f>SUM('EGRESO-POS plan'!BM41)</f>
        <v>3</v>
      </c>
      <c r="BL16" s="1036">
        <f>SUM('EGRESO-POS plan'!BN41)</f>
        <v>5</v>
      </c>
      <c r="BM16" s="1036">
        <f>SUM('EGRESO-POS plan'!BO41)</f>
        <v>1</v>
      </c>
      <c r="BN16" s="1039">
        <f>SUM(BK16:BM16)</f>
        <v>9</v>
      </c>
      <c r="BO16" s="1035">
        <f>SUM('EGRESO-POS plan'!BQ41:BQ44)</f>
        <v>0</v>
      </c>
      <c r="BP16" s="1036">
        <f>SUM('EGRESO-POS plan'!BR41:BR44)</f>
        <v>3</v>
      </c>
      <c r="BQ16" s="1036">
        <f>SUM('EGRESO-POS plan'!BS41:BS44)</f>
        <v>2</v>
      </c>
      <c r="BR16" s="1039">
        <f>SUM(BO16:BQ16)</f>
        <v>5</v>
      </c>
      <c r="BS16" s="1036">
        <f>SUM('EGRESO-POS plan'!BU41:BU45)</f>
        <v>0</v>
      </c>
      <c r="BT16" s="1036">
        <f>SUM('EGRESO-POS plan'!BV41:BV45)</f>
        <v>6</v>
      </c>
      <c r="BU16" s="1036">
        <f>SUM('EGRESO-POS plan'!BW41:BW45)</f>
        <v>1</v>
      </c>
      <c r="BV16" s="1039">
        <f>SUM(BS16:BU16)</f>
        <v>7</v>
      </c>
      <c r="BW16" s="1036">
        <f>SUM('EGRESO-POS plan'!BY41:BY45)</f>
        <v>0</v>
      </c>
      <c r="BX16" s="1036">
        <f>SUM('EGRESO-POS plan'!BZ41:BZ45)</f>
        <v>2</v>
      </c>
      <c r="BY16" s="1036">
        <f>SUM('EGRESO-POS plan'!CA41:CA45)</f>
        <v>3</v>
      </c>
      <c r="BZ16" s="1039">
        <f>SUM(BW16:BY16)</f>
        <v>5</v>
      </c>
    </row>
    <row r="17" spans="1:78" s="222" customFormat="1" ht="12.75" customHeight="1" x14ac:dyDescent="0.2">
      <c r="A17" s="6212"/>
      <c r="B17" s="574" t="s">
        <v>15</v>
      </c>
      <c r="C17" s="1147">
        <f>SUM(C14:C16)</f>
        <v>1</v>
      </c>
      <c r="D17" s="1148">
        <f>SUM(D14:D16)</f>
        <v>0</v>
      </c>
      <c r="E17" s="1148">
        <f>SUM(E14:E16)</f>
        <v>17</v>
      </c>
      <c r="F17" s="1139">
        <f t="shared" si="0"/>
        <v>18</v>
      </c>
      <c r="G17" s="1147">
        <f>SUM(G14:G16)</f>
        <v>0</v>
      </c>
      <c r="H17" s="1148">
        <f>SUM(H14:H16)</f>
        <v>3</v>
      </c>
      <c r="I17" s="1148">
        <f>SUM(I14:I16)</f>
        <v>6</v>
      </c>
      <c r="J17" s="1139">
        <f t="shared" si="1"/>
        <v>9</v>
      </c>
      <c r="K17" s="1147">
        <f>SUM(K14:K16)</f>
        <v>4</v>
      </c>
      <c r="L17" s="1148">
        <f>SUM(L14:L16)</f>
        <v>13</v>
      </c>
      <c r="M17" s="1148">
        <f>SUM(M14:M16)</f>
        <v>7</v>
      </c>
      <c r="N17" s="1139">
        <f t="shared" si="2"/>
        <v>24</v>
      </c>
      <c r="O17" s="1147">
        <f>SUM(O14:O16)</f>
        <v>10</v>
      </c>
      <c r="P17" s="1148">
        <f>SUM(P14:P16)</f>
        <v>75</v>
      </c>
      <c r="Q17" s="1148">
        <f>SUM(Q14:Q16)</f>
        <v>31</v>
      </c>
      <c r="R17" s="1139">
        <f t="shared" si="3"/>
        <v>116</v>
      </c>
      <c r="S17" s="1147">
        <v>1</v>
      </c>
      <c r="T17" s="1148">
        <v>3</v>
      </c>
      <c r="U17" s="1148">
        <v>6</v>
      </c>
      <c r="V17" s="1139">
        <v>10</v>
      </c>
      <c r="W17" s="1148">
        <v>4</v>
      </c>
      <c r="X17" s="1148">
        <v>17</v>
      </c>
      <c r="Y17" s="1148">
        <v>10</v>
      </c>
      <c r="Z17" s="1148">
        <v>31</v>
      </c>
      <c r="AA17" s="1147">
        <v>5</v>
      </c>
      <c r="AB17" s="1148">
        <v>11</v>
      </c>
      <c r="AC17" s="1148">
        <v>15</v>
      </c>
      <c r="AD17" s="1139">
        <v>31</v>
      </c>
      <c r="AE17" s="1148">
        <v>3</v>
      </c>
      <c r="AF17" s="1148">
        <v>16</v>
      </c>
      <c r="AG17" s="1148">
        <v>11</v>
      </c>
      <c r="AH17" s="1139">
        <v>30</v>
      </c>
      <c r="AI17" s="1148">
        <v>4</v>
      </c>
      <c r="AJ17" s="1148">
        <v>16</v>
      </c>
      <c r="AK17" s="1148">
        <v>2</v>
      </c>
      <c r="AL17" s="1148">
        <v>22</v>
      </c>
      <c r="AM17" s="569">
        <v>5</v>
      </c>
      <c r="AN17" s="570">
        <v>8</v>
      </c>
      <c r="AO17" s="570">
        <v>13</v>
      </c>
      <c r="AP17" s="570">
        <v>26</v>
      </c>
      <c r="AQ17" s="569">
        <f t="shared" ref="AQ17:AW17" si="14">SUM(AQ14:AQ16)</f>
        <v>13</v>
      </c>
      <c r="AR17" s="570">
        <f t="shared" si="14"/>
        <v>10</v>
      </c>
      <c r="AS17" s="570">
        <f t="shared" si="14"/>
        <v>49</v>
      </c>
      <c r="AT17" s="571">
        <f t="shared" si="14"/>
        <v>72</v>
      </c>
      <c r="AU17" s="569">
        <f t="shared" si="14"/>
        <v>4</v>
      </c>
      <c r="AV17" s="570">
        <f t="shared" si="14"/>
        <v>13</v>
      </c>
      <c r="AW17" s="570">
        <f t="shared" si="14"/>
        <v>30</v>
      </c>
      <c r="AX17" s="571">
        <f t="shared" si="4"/>
        <v>47</v>
      </c>
      <c r="AY17" s="569">
        <f>SUM(AY14:AY16)</f>
        <v>2</v>
      </c>
      <c r="AZ17" s="570">
        <f>SUM(AZ14:AZ16)</f>
        <v>18</v>
      </c>
      <c r="BA17" s="570">
        <f>SUM(BA14:BA16)</f>
        <v>45</v>
      </c>
      <c r="BB17" s="571">
        <f t="shared" si="5"/>
        <v>65</v>
      </c>
      <c r="BC17" s="569">
        <f t="shared" ref="BC17:BJ17" si="15">SUM(BC14:BC16)</f>
        <v>5</v>
      </c>
      <c r="BD17" s="570">
        <f t="shared" si="15"/>
        <v>10</v>
      </c>
      <c r="BE17" s="570">
        <f t="shared" si="15"/>
        <v>15</v>
      </c>
      <c r="BF17" s="571">
        <f t="shared" si="15"/>
        <v>30</v>
      </c>
      <c r="BG17" s="569">
        <f t="shared" si="15"/>
        <v>9</v>
      </c>
      <c r="BH17" s="570">
        <f t="shared" si="15"/>
        <v>35</v>
      </c>
      <c r="BI17" s="570">
        <f t="shared" si="15"/>
        <v>35</v>
      </c>
      <c r="BJ17" s="571">
        <f t="shared" si="15"/>
        <v>79</v>
      </c>
      <c r="BK17" s="569">
        <f t="shared" ref="BK17:BR17" si="16">SUM(BK14:BK16)</f>
        <v>7</v>
      </c>
      <c r="BL17" s="570">
        <f t="shared" si="16"/>
        <v>17</v>
      </c>
      <c r="BM17" s="570">
        <f t="shared" si="16"/>
        <v>12</v>
      </c>
      <c r="BN17" s="571">
        <f t="shared" si="16"/>
        <v>36</v>
      </c>
      <c r="BO17" s="569">
        <f t="shared" si="16"/>
        <v>8</v>
      </c>
      <c r="BP17" s="570">
        <f t="shared" si="16"/>
        <v>11</v>
      </c>
      <c r="BQ17" s="570">
        <f t="shared" si="16"/>
        <v>4</v>
      </c>
      <c r="BR17" s="571">
        <f t="shared" si="16"/>
        <v>23</v>
      </c>
      <c r="BS17" s="569">
        <f t="shared" ref="BS17:BZ17" si="17">SUM(BS14:BS16)</f>
        <v>2</v>
      </c>
      <c r="BT17" s="570">
        <f t="shared" si="17"/>
        <v>14</v>
      </c>
      <c r="BU17" s="570">
        <f t="shared" si="17"/>
        <v>4</v>
      </c>
      <c r="BV17" s="571">
        <f t="shared" si="17"/>
        <v>20</v>
      </c>
      <c r="BW17" s="569">
        <f t="shared" si="17"/>
        <v>5</v>
      </c>
      <c r="BX17" s="570">
        <f t="shared" si="17"/>
        <v>14</v>
      </c>
      <c r="BY17" s="570">
        <f t="shared" si="17"/>
        <v>18</v>
      </c>
      <c r="BZ17" s="571">
        <f t="shared" si="17"/>
        <v>37</v>
      </c>
    </row>
    <row r="18" spans="1:78" ht="12.75" customHeight="1" x14ac:dyDescent="0.2">
      <c r="A18" s="6338" t="s">
        <v>677</v>
      </c>
      <c r="B18" s="1029" t="s">
        <v>615</v>
      </c>
      <c r="C18" s="1274">
        <f>+C6+C10+C14</f>
        <v>0</v>
      </c>
      <c r="D18" s="1275">
        <f t="shared" ref="D18:E20" si="18">+D6+D10+D14</f>
        <v>0</v>
      </c>
      <c r="E18" s="1275">
        <f t="shared" si="18"/>
        <v>19</v>
      </c>
      <c r="F18" s="1276">
        <f t="shared" si="0"/>
        <v>19</v>
      </c>
      <c r="G18" s="1274">
        <f t="shared" ref="G18:I20" si="19">+G6+G10+G14</f>
        <v>0</v>
      </c>
      <c r="H18" s="1275">
        <f t="shared" si="19"/>
        <v>4</v>
      </c>
      <c r="I18" s="1275">
        <f t="shared" si="19"/>
        <v>9</v>
      </c>
      <c r="J18" s="1276">
        <f t="shared" si="1"/>
        <v>13</v>
      </c>
      <c r="K18" s="1274">
        <f t="shared" ref="K18:M20" si="20">+K6+K10+K14</f>
        <v>1</v>
      </c>
      <c r="L18" s="1275">
        <f t="shared" si="20"/>
        <v>15</v>
      </c>
      <c r="M18" s="1275">
        <f t="shared" si="20"/>
        <v>3</v>
      </c>
      <c r="N18" s="1276">
        <f t="shared" si="2"/>
        <v>19</v>
      </c>
      <c r="O18" s="1274">
        <f t="shared" ref="O18:Q20" si="21">+O6+O10+O14</f>
        <v>5</v>
      </c>
      <c r="P18" s="1275">
        <f t="shared" si="21"/>
        <v>123</v>
      </c>
      <c r="Q18" s="1275">
        <f t="shared" si="21"/>
        <v>36</v>
      </c>
      <c r="R18" s="1276">
        <f t="shared" si="3"/>
        <v>164</v>
      </c>
      <c r="S18" s="1274">
        <f t="shared" ref="S18:AL20" si="22">S6+S10+S14</f>
        <v>0</v>
      </c>
      <c r="T18" s="1275">
        <f t="shared" si="22"/>
        <v>11</v>
      </c>
      <c r="U18" s="1275">
        <f t="shared" si="22"/>
        <v>2</v>
      </c>
      <c r="V18" s="1276">
        <f t="shared" si="22"/>
        <v>13</v>
      </c>
      <c r="W18" s="1275">
        <f t="shared" si="22"/>
        <v>2</v>
      </c>
      <c r="X18" s="1275">
        <f t="shared" si="22"/>
        <v>23</v>
      </c>
      <c r="Y18" s="1275">
        <f t="shared" si="22"/>
        <v>12</v>
      </c>
      <c r="Z18" s="1277">
        <f t="shared" si="22"/>
        <v>37</v>
      </c>
      <c r="AA18" s="1274">
        <f t="shared" si="22"/>
        <v>7</v>
      </c>
      <c r="AB18" s="1275">
        <f t="shared" si="22"/>
        <v>26</v>
      </c>
      <c r="AC18" s="1275">
        <f t="shared" si="22"/>
        <v>9</v>
      </c>
      <c r="AD18" s="1276">
        <f t="shared" si="22"/>
        <v>42</v>
      </c>
      <c r="AE18" s="1275">
        <f t="shared" si="22"/>
        <v>0</v>
      </c>
      <c r="AF18" s="1275">
        <f t="shared" si="22"/>
        <v>34</v>
      </c>
      <c r="AG18" s="1275">
        <f t="shared" si="22"/>
        <v>6</v>
      </c>
      <c r="AH18" s="1276">
        <f t="shared" si="22"/>
        <v>40</v>
      </c>
      <c r="AI18" s="1275">
        <f t="shared" si="22"/>
        <v>1</v>
      </c>
      <c r="AJ18" s="1275">
        <f t="shared" si="22"/>
        <v>33</v>
      </c>
      <c r="AK18" s="1275">
        <f t="shared" si="22"/>
        <v>10</v>
      </c>
      <c r="AL18" s="1277">
        <f t="shared" si="22"/>
        <v>44</v>
      </c>
      <c r="AM18" s="1030">
        <v>1</v>
      </c>
      <c r="AN18" s="1031">
        <v>7</v>
      </c>
      <c r="AO18" s="1031">
        <v>11</v>
      </c>
      <c r="AP18" s="1031">
        <v>19</v>
      </c>
      <c r="AQ18" s="1030">
        <f t="shared" ref="AQ18:AW20" si="23">SUM(AQ6,AQ10,AQ14)</f>
        <v>11</v>
      </c>
      <c r="AR18" s="1031">
        <f t="shared" si="23"/>
        <v>13</v>
      </c>
      <c r="AS18" s="1031">
        <f t="shared" si="23"/>
        <v>48</v>
      </c>
      <c r="AT18" s="1048">
        <f t="shared" si="23"/>
        <v>72</v>
      </c>
      <c r="AU18" s="1030">
        <f t="shared" si="23"/>
        <v>1</v>
      </c>
      <c r="AV18" s="1031">
        <f t="shared" si="23"/>
        <v>8</v>
      </c>
      <c r="AW18" s="1031">
        <f t="shared" si="23"/>
        <v>24</v>
      </c>
      <c r="AX18" s="1048">
        <f t="shared" si="4"/>
        <v>33</v>
      </c>
      <c r="AY18" s="1030">
        <f t="shared" ref="AY18:BA20" si="24">SUM(AY6,AY10,AY14)</f>
        <v>1</v>
      </c>
      <c r="AZ18" s="1031">
        <f t="shared" si="24"/>
        <v>19</v>
      </c>
      <c r="BA18" s="1031">
        <f t="shared" si="24"/>
        <v>33</v>
      </c>
      <c r="BB18" s="1048">
        <f t="shared" si="5"/>
        <v>53</v>
      </c>
      <c r="BC18" s="1030">
        <f>SUM(BC6,BC10,BC14)</f>
        <v>1</v>
      </c>
      <c r="BD18" s="1031">
        <f>SUM(BD6,BD10,BD14)</f>
        <v>28</v>
      </c>
      <c r="BE18" s="1031">
        <f>SUM(BE6,BE10,BE14)</f>
        <v>1</v>
      </c>
      <c r="BF18" s="1048">
        <f>SUM(BC18:BE18)</f>
        <v>30</v>
      </c>
      <c r="BG18" s="1030">
        <f t="shared" ref="BG18:BI20" si="25">SUM(BG6,BG10,BG14)</f>
        <v>0</v>
      </c>
      <c r="BH18" s="1031">
        <f t="shared" si="25"/>
        <v>14</v>
      </c>
      <c r="BI18" s="1031">
        <f t="shared" si="25"/>
        <v>30</v>
      </c>
      <c r="BJ18" s="1048">
        <f>SUM(BG18:BI18)</f>
        <v>44</v>
      </c>
      <c r="BK18" s="1030">
        <f t="shared" ref="BK18:BM20" si="26">SUM(BK6,BK10,BK14)</f>
        <v>0</v>
      </c>
      <c r="BL18" s="1031">
        <f t="shared" si="26"/>
        <v>17</v>
      </c>
      <c r="BM18" s="1031">
        <f t="shared" si="26"/>
        <v>6</v>
      </c>
      <c r="BN18" s="1048">
        <f>SUM(BK18:BM18)</f>
        <v>23</v>
      </c>
      <c r="BO18" s="1030">
        <f t="shared" ref="BO18:BQ20" si="27">SUM(BO6,BO10,BO14)</f>
        <v>1</v>
      </c>
      <c r="BP18" s="1031">
        <f t="shared" si="27"/>
        <v>11</v>
      </c>
      <c r="BQ18" s="1031">
        <f t="shared" si="27"/>
        <v>3</v>
      </c>
      <c r="BR18" s="1048">
        <f>SUM(BO18:BQ18)</f>
        <v>15</v>
      </c>
      <c r="BS18" s="1030">
        <f t="shared" ref="BS18:BU20" si="28">SUM(BS6,BS10,BS14)</f>
        <v>0</v>
      </c>
      <c r="BT18" s="1031">
        <f t="shared" si="28"/>
        <v>21</v>
      </c>
      <c r="BU18" s="1031">
        <f t="shared" si="28"/>
        <v>4</v>
      </c>
      <c r="BV18" s="1048">
        <f>SUM(BS18:BU18)</f>
        <v>25</v>
      </c>
      <c r="BW18" s="1030">
        <f t="shared" ref="BW18" si="29">SUM(BW6,BW10,BW14)</f>
        <v>0</v>
      </c>
      <c r="BX18" s="1031">
        <f t="shared" ref="BX18:BY18" si="30">SUM(BX6,BX10,BX14)</f>
        <v>20</v>
      </c>
      <c r="BY18" s="1031">
        <f t="shared" si="30"/>
        <v>9</v>
      </c>
      <c r="BZ18" s="1048">
        <f>SUM(BW18:BY18)</f>
        <v>29</v>
      </c>
    </row>
    <row r="19" spans="1:78" ht="15" x14ac:dyDescent="0.2">
      <c r="A19" s="6339"/>
      <c r="B19" s="1034" t="s">
        <v>616</v>
      </c>
      <c r="C19" s="1278">
        <f>+C7+C11+C15</f>
        <v>1</v>
      </c>
      <c r="D19" s="1279">
        <f t="shared" si="18"/>
        <v>7</v>
      </c>
      <c r="E19" s="1279">
        <f t="shared" si="18"/>
        <v>3</v>
      </c>
      <c r="F19" s="1280">
        <f t="shared" si="0"/>
        <v>11</v>
      </c>
      <c r="G19" s="1278">
        <f t="shared" si="19"/>
        <v>1</v>
      </c>
      <c r="H19" s="1279">
        <f t="shared" si="19"/>
        <v>0</v>
      </c>
      <c r="I19" s="1279">
        <f t="shared" si="19"/>
        <v>5</v>
      </c>
      <c r="J19" s="1280">
        <f t="shared" si="1"/>
        <v>6</v>
      </c>
      <c r="K19" s="1278">
        <f t="shared" si="20"/>
        <v>5</v>
      </c>
      <c r="L19" s="1279">
        <f t="shared" si="20"/>
        <v>8</v>
      </c>
      <c r="M19" s="1279">
        <f t="shared" si="20"/>
        <v>13</v>
      </c>
      <c r="N19" s="1280">
        <f t="shared" si="2"/>
        <v>26</v>
      </c>
      <c r="O19" s="1278">
        <f t="shared" si="21"/>
        <v>9</v>
      </c>
      <c r="P19" s="1279">
        <f t="shared" si="21"/>
        <v>81</v>
      </c>
      <c r="Q19" s="1279">
        <f t="shared" si="21"/>
        <v>15</v>
      </c>
      <c r="R19" s="1280">
        <f t="shared" si="3"/>
        <v>105</v>
      </c>
      <c r="S19" s="1278">
        <f t="shared" si="22"/>
        <v>20</v>
      </c>
      <c r="T19" s="1279">
        <f t="shared" si="22"/>
        <v>18</v>
      </c>
      <c r="U19" s="1279">
        <f t="shared" si="22"/>
        <v>16</v>
      </c>
      <c r="V19" s="1280">
        <f t="shared" si="22"/>
        <v>54</v>
      </c>
      <c r="W19" s="1279">
        <f t="shared" si="22"/>
        <v>18</v>
      </c>
      <c r="X19" s="1279">
        <f t="shared" si="22"/>
        <v>12</v>
      </c>
      <c r="Y19" s="1279">
        <f t="shared" si="22"/>
        <v>11</v>
      </c>
      <c r="Z19" s="1281">
        <f t="shared" si="22"/>
        <v>41</v>
      </c>
      <c r="AA19" s="1278">
        <f t="shared" si="22"/>
        <v>15</v>
      </c>
      <c r="AB19" s="1279">
        <f t="shared" si="22"/>
        <v>17</v>
      </c>
      <c r="AC19" s="1279">
        <f t="shared" si="22"/>
        <v>13</v>
      </c>
      <c r="AD19" s="1280">
        <f t="shared" si="22"/>
        <v>45</v>
      </c>
      <c r="AE19" s="1279">
        <f t="shared" si="22"/>
        <v>15</v>
      </c>
      <c r="AF19" s="1279">
        <f t="shared" si="22"/>
        <v>16</v>
      </c>
      <c r="AG19" s="1279">
        <f t="shared" si="22"/>
        <v>24</v>
      </c>
      <c r="AH19" s="1280">
        <f t="shared" si="22"/>
        <v>55</v>
      </c>
      <c r="AI19" s="1279">
        <f t="shared" si="22"/>
        <v>25</v>
      </c>
      <c r="AJ19" s="1279">
        <f t="shared" si="22"/>
        <v>13</v>
      </c>
      <c r="AK19" s="1279">
        <f t="shared" si="22"/>
        <v>12</v>
      </c>
      <c r="AL19" s="1281">
        <f t="shared" si="22"/>
        <v>50</v>
      </c>
      <c r="AM19" s="1035">
        <v>16</v>
      </c>
      <c r="AN19" s="1036">
        <v>28</v>
      </c>
      <c r="AO19" s="1036">
        <v>17</v>
      </c>
      <c r="AP19" s="1036">
        <v>61</v>
      </c>
      <c r="AQ19" s="1035">
        <f t="shared" si="23"/>
        <v>9</v>
      </c>
      <c r="AR19" s="1036">
        <f t="shared" si="23"/>
        <v>26</v>
      </c>
      <c r="AS19" s="1036">
        <f t="shared" si="23"/>
        <v>6</v>
      </c>
      <c r="AT19" s="1039">
        <f t="shared" si="23"/>
        <v>41</v>
      </c>
      <c r="AU19" s="1035">
        <f t="shared" si="23"/>
        <v>13</v>
      </c>
      <c r="AV19" s="1036">
        <f t="shared" si="23"/>
        <v>30</v>
      </c>
      <c r="AW19" s="1036">
        <f t="shared" si="23"/>
        <v>14</v>
      </c>
      <c r="AX19" s="1039">
        <f t="shared" si="4"/>
        <v>57</v>
      </c>
      <c r="AY19" s="1035">
        <f t="shared" si="24"/>
        <v>17</v>
      </c>
      <c r="AZ19" s="1036">
        <f t="shared" si="24"/>
        <v>40</v>
      </c>
      <c r="BA19" s="1036">
        <f t="shared" si="24"/>
        <v>24</v>
      </c>
      <c r="BB19" s="1039">
        <f t="shared" si="5"/>
        <v>81</v>
      </c>
      <c r="BC19" s="1035">
        <f t="shared" ref="BC19:BE20" si="31">SUM(BC7,BC11,BC15)</f>
        <v>29</v>
      </c>
      <c r="BD19" s="1036">
        <f t="shared" si="31"/>
        <v>20</v>
      </c>
      <c r="BE19" s="1036">
        <f t="shared" si="31"/>
        <v>28</v>
      </c>
      <c r="BF19" s="1039">
        <f>SUM(BC19:BE19)</f>
        <v>77</v>
      </c>
      <c r="BG19" s="1035">
        <f t="shared" si="25"/>
        <v>15</v>
      </c>
      <c r="BH19" s="1036">
        <f t="shared" si="25"/>
        <v>36</v>
      </c>
      <c r="BI19" s="1036">
        <f t="shared" si="25"/>
        <v>29</v>
      </c>
      <c r="BJ19" s="1039">
        <f>SUM(BG19:BI19)</f>
        <v>80</v>
      </c>
      <c r="BK19" s="1035">
        <f t="shared" si="26"/>
        <v>23</v>
      </c>
      <c r="BL19" s="1036">
        <f t="shared" si="26"/>
        <v>33</v>
      </c>
      <c r="BM19" s="1036">
        <f t="shared" si="26"/>
        <v>33</v>
      </c>
      <c r="BN19" s="1039">
        <f>SUM(BK19:BM19)</f>
        <v>89</v>
      </c>
      <c r="BO19" s="1035">
        <f t="shared" si="27"/>
        <v>31</v>
      </c>
      <c r="BP19" s="1036">
        <f t="shared" si="27"/>
        <v>26</v>
      </c>
      <c r="BQ19" s="1036">
        <f t="shared" si="27"/>
        <v>17</v>
      </c>
      <c r="BR19" s="1039">
        <f>SUM(BO19:BQ19)</f>
        <v>74</v>
      </c>
      <c r="BS19" s="1035">
        <f t="shared" si="28"/>
        <v>47</v>
      </c>
      <c r="BT19" s="1036">
        <f t="shared" si="28"/>
        <v>34</v>
      </c>
      <c r="BU19" s="1036">
        <f t="shared" si="28"/>
        <v>27</v>
      </c>
      <c r="BV19" s="1039">
        <f>SUM(BS19:BU19)</f>
        <v>108</v>
      </c>
      <c r="BW19" s="1035">
        <f t="shared" ref="BW19" si="32">SUM(BW7,BW11,BW15)</f>
        <v>37</v>
      </c>
      <c r="BX19" s="1036">
        <f t="shared" ref="BX19:BY19" si="33">SUM(BX7,BX11,BX15)</f>
        <v>46</v>
      </c>
      <c r="BY19" s="1036">
        <f t="shared" si="33"/>
        <v>25</v>
      </c>
      <c r="BZ19" s="1039">
        <f>SUM(BW19:BY19)</f>
        <v>108</v>
      </c>
    </row>
    <row r="20" spans="1:78" ht="15" x14ac:dyDescent="0.2">
      <c r="A20" s="6339"/>
      <c r="B20" s="1040" t="s">
        <v>617</v>
      </c>
      <c r="C20" s="1289">
        <f>+C8+C12+C16</f>
        <v>0</v>
      </c>
      <c r="D20" s="1290">
        <f t="shared" si="18"/>
        <v>0</v>
      </c>
      <c r="E20" s="1290">
        <f t="shared" si="18"/>
        <v>0</v>
      </c>
      <c r="F20" s="1291">
        <f t="shared" si="0"/>
        <v>0</v>
      </c>
      <c r="G20" s="1289">
        <f t="shared" si="19"/>
        <v>0</v>
      </c>
      <c r="H20" s="1290">
        <f t="shared" si="19"/>
        <v>0</v>
      </c>
      <c r="I20" s="1290">
        <f t="shared" si="19"/>
        <v>0</v>
      </c>
      <c r="J20" s="1291">
        <f t="shared" si="1"/>
        <v>0</v>
      </c>
      <c r="K20" s="1289">
        <f t="shared" si="20"/>
        <v>1</v>
      </c>
      <c r="L20" s="1290">
        <f t="shared" si="20"/>
        <v>6</v>
      </c>
      <c r="M20" s="1290">
        <f t="shared" si="20"/>
        <v>4</v>
      </c>
      <c r="N20" s="1291">
        <f t="shared" si="2"/>
        <v>11</v>
      </c>
      <c r="O20" s="1289">
        <f t="shared" si="21"/>
        <v>0</v>
      </c>
      <c r="P20" s="1290">
        <f t="shared" si="21"/>
        <v>0</v>
      </c>
      <c r="Q20" s="1290">
        <f t="shared" si="21"/>
        <v>1</v>
      </c>
      <c r="R20" s="1291">
        <f t="shared" si="3"/>
        <v>1</v>
      </c>
      <c r="S20" s="1289">
        <f t="shared" si="22"/>
        <v>1</v>
      </c>
      <c r="T20" s="1290">
        <f t="shared" si="22"/>
        <v>1</v>
      </c>
      <c r="U20" s="1290">
        <f t="shared" si="22"/>
        <v>0</v>
      </c>
      <c r="V20" s="1291">
        <f t="shared" si="22"/>
        <v>2</v>
      </c>
      <c r="W20" s="1290">
        <f t="shared" si="22"/>
        <v>1</v>
      </c>
      <c r="X20" s="1290">
        <f t="shared" si="22"/>
        <v>2</v>
      </c>
      <c r="Y20" s="1290">
        <f t="shared" si="22"/>
        <v>3</v>
      </c>
      <c r="Z20" s="1292">
        <f t="shared" si="22"/>
        <v>6</v>
      </c>
      <c r="AA20" s="1289">
        <f t="shared" si="22"/>
        <v>1</v>
      </c>
      <c r="AB20" s="1290">
        <f t="shared" si="22"/>
        <v>11</v>
      </c>
      <c r="AC20" s="1290">
        <f t="shared" si="22"/>
        <v>4</v>
      </c>
      <c r="AD20" s="1291">
        <f t="shared" si="22"/>
        <v>16</v>
      </c>
      <c r="AE20" s="1290">
        <f t="shared" si="22"/>
        <v>3</v>
      </c>
      <c r="AF20" s="1290">
        <f t="shared" si="22"/>
        <v>3</v>
      </c>
      <c r="AG20" s="1290">
        <f t="shared" si="22"/>
        <v>6</v>
      </c>
      <c r="AH20" s="1291">
        <f t="shared" si="22"/>
        <v>12</v>
      </c>
      <c r="AI20" s="1290">
        <f t="shared" si="22"/>
        <v>0</v>
      </c>
      <c r="AJ20" s="1290">
        <f t="shared" si="22"/>
        <v>1</v>
      </c>
      <c r="AK20" s="1290">
        <f t="shared" si="22"/>
        <v>2</v>
      </c>
      <c r="AL20" s="1292">
        <f t="shared" si="22"/>
        <v>3</v>
      </c>
      <c r="AM20" s="1041">
        <v>3</v>
      </c>
      <c r="AN20" s="1042">
        <v>1</v>
      </c>
      <c r="AO20" s="1042">
        <v>0</v>
      </c>
      <c r="AP20" s="1042">
        <v>4</v>
      </c>
      <c r="AQ20" s="1041">
        <f t="shared" si="23"/>
        <v>1</v>
      </c>
      <c r="AR20" s="1042">
        <f t="shared" si="23"/>
        <v>3</v>
      </c>
      <c r="AS20" s="1042">
        <f t="shared" si="23"/>
        <v>4</v>
      </c>
      <c r="AT20" s="1045">
        <f t="shared" si="23"/>
        <v>8</v>
      </c>
      <c r="AU20" s="1041">
        <f t="shared" si="23"/>
        <v>2</v>
      </c>
      <c r="AV20" s="1042">
        <f t="shared" si="23"/>
        <v>5</v>
      </c>
      <c r="AW20" s="1042">
        <f t="shared" si="23"/>
        <v>7</v>
      </c>
      <c r="AX20" s="1045">
        <f t="shared" si="4"/>
        <v>14</v>
      </c>
      <c r="AY20" s="1041">
        <f t="shared" si="24"/>
        <v>5</v>
      </c>
      <c r="AZ20" s="1042">
        <f t="shared" si="24"/>
        <v>14</v>
      </c>
      <c r="BA20" s="1042">
        <f t="shared" si="24"/>
        <v>5</v>
      </c>
      <c r="BB20" s="1045">
        <f t="shared" si="5"/>
        <v>24</v>
      </c>
      <c r="BC20" s="1041">
        <f t="shared" si="31"/>
        <v>4</v>
      </c>
      <c r="BD20" s="1042">
        <f t="shared" si="31"/>
        <v>4</v>
      </c>
      <c r="BE20" s="1042">
        <f t="shared" si="31"/>
        <v>6</v>
      </c>
      <c r="BF20" s="1045">
        <f>SUM(BC20:BE20)</f>
        <v>14</v>
      </c>
      <c r="BG20" s="1041">
        <f t="shared" si="25"/>
        <v>6</v>
      </c>
      <c r="BH20" s="1042">
        <f t="shared" si="25"/>
        <v>12</v>
      </c>
      <c r="BI20" s="1042">
        <f t="shared" si="25"/>
        <v>12</v>
      </c>
      <c r="BJ20" s="1045">
        <f>SUM(BG20:BI20)</f>
        <v>30</v>
      </c>
      <c r="BK20" s="1041">
        <f t="shared" si="26"/>
        <v>11</v>
      </c>
      <c r="BL20" s="1042">
        <f t="shared" si="26"/>
        <v>8</v>
      </c>
      <c r="BM20" s="1042">
        <f t="shared" si="26"/>
        <v>7</v>
      </c>
      <c r="BN20" s="1045">
        <f>SUM(BK20:BM20)</f>
        <v>26</v>
      </c>
      <c r="BO20" s="1041">
        <f t="shared" si="27"/>
        <v>3</v>
      </c>
      <c r="BP20" s="1042">
        <f t="shared" si="27"/>
        <v>7</v>
      </c>
      <c r="BQ20" s="1042">
        <f t="shared" si="27"/>
        <v>6</v>
      </c>
      <c r="BR20" s="1045">
        <f>SUM(BO20:BQ20)</f>
        <v>16</v>
      </c>
      <c r="BS20" s="1041">
        <f t="shared" si="28"/>
        <v>9</v>
      </c>
      <c r="BT20" s="1042">
        <f t="shared" si="28"/>
        <v>11</v>
      </c>
      <c r="BU20" s="1042">
        <f t="shared" si="28"/>
        <v>5</v>
      </c>
      <c r="BV20" s="1045">
        <f>SUM(BS20:BU20)</f>
        <v>25</v>
      </c>
      <c r="BW20" s="1041">
        <f t="shared" ref="BW20" si="34">SUM(BW8,BW12,BW16)</f>
        <v>3</v>
      </c>
      <c r="BX20" s="1042">
        <f t="shared" ref="BX20:BY20" si="35">SUM(BX8,BX12,BX16)</f>
        <v>5</v>
      </c>
      <c r="BY20" s="1042">
        <f t="shared" si="35"/>
        <v>11</v>
      </c>
      <c r="BZ20" s="1045">
        <f>SUM(BW20:BY20)</f>
        <v>19</v>
      </c>
    </row>
    <row r="21" spans="1:78" s="224" customFormat="1" ht="15" x14ac:dyDescent="0.2">
      <c r="A21" s="6340"/>
      <c r="B21" s="2434" t="s">
        <v>12</v>
      </c>
      <c r="C21" s="2428">
        <f>SUM(C18:C20)</f>
        <v>1</v>
      </c>
      <c r="D21" s="2429">
        <f>SUM(D18:D20)</f>
        <v>7</v>
      </c>
      <c r="E21" s="2429">
        <f>SUM(E18:E20)</f>
        <v>22</v>
      </c>
      <c r="F21" s="2430">
        <f t="shared" si="0"/>
        <v>30</v>
      </c>
      <c r="G21" s="2428">
        <f>SUM(G18:G20)</f>
        <v>1</v>
      </c>
      <c r="H21" s="2429">
        <f>SUM(H18:H20)</f>
        <v>4</v>
      </c>
      <c r="I21" s="2429">
        <f>SUM(I18:I20)</f>
        <v>14</v>
      </c>
      <c r="J21" s="2430">
        <f t="shared" si="1"/>
        <v>19</v>
      </c>
      <c r="K21" s="2428">
        <f>SUM(K18:K20)</f>
        <v>7</v>
      </c>
      <c r="L21" s="2429">
        <f>SUM(L18:L20)</f>
        <v>29</v>
      </c>
      <c r="M21" s="2429">
        <f>SUM(M18:M20)</f>
        <v>20</v>
      </c>
      <c r="N21" s="2430">
        <f t="shared" si="2"/>
        <v>56</v>
      </c>
      <c r="O21" s="2428">
        <f>SUM(O18:O20)</f>
        <v>14</v>
      </c>
      <c r="P21" s="2429">
        <f>SUM(P18:P20)</f>
        <v>204</v>
      </c>
      <c r="Q21" s="2429">
        <f>SUM(Q18:Q20)</f>
        <v>52</v>
      </c>
      <c r="R21" s="2430">
        <f t="shared" si="3"/>
        <v>270</v>
      </c>
      <c r="S21" s="2428">
        <f>SUM(S18:S20)</f>
        <v>21</v>
      </c>
      <c r="T21" s="2429">
        <f>SUM(T18:T20)</f>
        <v>30</v>
      </c>
      <c r="U21" s="2429">
        <f>SUM(U18:U20)</f>
        <v>18</v>
      </c>
      <c r="V21" s="2430">
        <f>SUM(V18:V20)</f>
        <v>69</v>
      </c>
      <c r="W21" s="2429">
        <f t="shared" ref="W21:AL21" si="36">SUM(W18:W20)</f>
        <v>21</v>
      </c>
      <c r="X21" s="2429">
        <f t="shared" si="36"/>
        <v>37</v>
      </c>
      <c r="Y21" s="2429">
        <f t="shared" si="36"/>
        <v>26</v>
      </c>
      <c r="Z21" s="2429">
        <f t="shared" si="36"/>
        <v>84</v>
      </c>
      <c r="AA21" s="2428">
        <f t="shared" si="36"/>
        <v>23</v>
      </c>
      <c r="AB21" s="2429">
        <f t="shared" si="36"/>
        <v>54</v>
      </c>
      <c r="AC21" s="2429">
        <f t="shared" si="36"/>
        <v>26</v>
      </c>
      <c r="AD21" s="2430">
        <f t="shared" si="36"/>
        <v>103</v>
      </c>
      <c r="AE21" s="2429">
        <f t="shared" si="36"/>
        <v>18</v>
      </c>
      <c r="AF21" s="2429">
        <f t="shared" si="36"/>
        <v>53</v>
      </c>
      <c r="AG21" s="2429">
        <f t="shared" si="36"/>
        <v>36</v>
      </c>
      <c r="AH21" s="2430">
        <f t="shared" si="36"/>
        <v>107</v>
      </c>
      <c r="AI21" s="2429">
        <f t="shared" si="36"/>
        <v>26</v>
      </c>
      <c r="AJ21" s="2429">
        <f t="shared" si="36"/>
        <v>47</v>
      </c>
      <c r="AK21" s="2429">
        <f t="shared" si="36"/>
        <v>24</v>
      </c>
      <c r="AL21" s="2429">
        <f t="shared" si="36"/>
        <v>97</v>
      </c>
      <c r="AM21" s="2407">
        <v>20</v>
      </c>
      <c r="AN21" s="2408">
        <v>36</v>
      </c>
      <c r="AO21" s="2408">
        <v>28</v>
      </c>
      <c r="AP21" s="2408">
        <v>84</v>
      </c>
      <c r="AQ21" s="2407">
        <f t="shared" ref="AQ21:AW21" si="37">SUM(AQ18:AQ20)</f>
        <v>21</v>
      </c>
      <c r="AR21" s="2408">
        <f t="shared" si="37"/>
        <v>42</v>
      </c>
      <c r="AS21" s="2408">
        <f t="shared" si="37"/>
        <v>58</v>
      </c>
      <c r="AT21" s="2409">
        <f t="shared" si="37"/>
        <v>121</v>
      </c>
      <c r="AU21" s="2407">
        <f t="shared" si="37"/>
        <v>16</v>
      </c>
      <c r="AV21" s="2408">
        <f t="shared" si="37"/>
        <v>43</v>
      </c>
      <c r="AW21" s="2408">
        <f t="shared" si="37"/>
        <v>45</v>
      </c>
      <c r="AX21" s="2409">
        <f t="shared" si="4"/>
        <v>104</v>
      </c>
      <c r="AY21" s="2407">
        <f>SUM(AY18:AY20)</f>
        <v>23</v>
      </c>
      <c r="AZ21" s="2408">
        <f>SUM(AZ18:AZ20)</f>
        <v>73</v>
      </c>
      <c r="BA21" s="2408">
        <f>SUM(BA18:BA20)</f>
        <v>62</v>
      </c>
      <c r="BB21" s="2409">
        <f t="shared" si="5"/>
        <v>158</v>
      </c>
      <c r="BC21" s="2407">
        <f t="shared" ref="BC21:BJ21" si="38">SUM(BC18:BC20)</f>
        <v>34</v>
      </c>
      <c r="BD21" s="2408">
        <f t="shared" si="38"/>
        <v>52</v>
      </c>
      <c r="BE21" s="2408">
        <f t="shared" si="38"/>
        <v>35</v>
      </c>
      <c r="BF21" s="2409">
        <f t="shared" si="38"/>
        <v>121</v>
      </c>
      <c r="BG21" s="2407">
        <f t="shared" si="38"/>
        <v>21</v>
      </c>
      <c r="BH21" s="2408">
        <f t="shared" si="38"/>
        <v>62</v>
      </c>
      <c r="BI21" s="2408">
        <f t="shared" si="38"/>
        <v>71</v>
      </c>
      <c r="BJ21" s="2409">
        <f t="shared" si="38"/>
        <v>154</v>
      </c>
      <c r="BK21" s="2407">
        <f t="shared" ref="BK21:BR21" si="39">SUM(BK18:BK20)</f>
        <v>34</v>
      </c>
      <c r="BL21" s="2408">
        <f t="shared" si="39"/>
        <v>58</v>
      </c>
      <c r="BM21" s="2408">
        <f t="shared" si="39"/>
        <v>46</v>
      </c>
      <c r="BN21" s="2409">
        <f t="shared" si="39"/>
        <v>138</v>
      </c>
      <c r="BO21" s="2407">
        <f t="shared" si="39"/>
        <v>35</v>
      </c>
      <c r="BP21" s="2408">
        <f t="shared" si="39"/>
        <v>44</v>
      </c>
      <c r="BQ21" s="2408">
        <f t="shared" si="39"/>
        <v>26</v>
      </c>
      <c r="BR21" s="2409">
        <f t="shared" si="39"/>
        <v>105</v>
      </c>
      <c r="BS21" s="2407">
        <f t="shared" ref="BS21:BZ21" si="40">SUM(BS18:BS20)</f>
        <v>56</v>
      </c>
      <c r="BT21" s="2408">
        <f t="shared" si="40"/>
        <v>66</v>
      </c>
      <c r="BU21" s="2408">
        <f t="shared" si="40"/>
        <v>36</v>
      </c>
      <c r="BV21" s="2409">
        <f t="shared" si="40"/>
        <v>158</v>
      </c>
      <c r="BW21" s="2407">
        <f t="shared" si="40"/>
        <v>40</v>
      </c>
      <c r="BX21" s="2408">
        <f t="shared" si="40"/>
        <v>71</v>
      </c>
      <c r="BY21" s="2408">
        <f t="shared" si="40"/>
        <v>45</v>
      </c>
      <c r="BZ21" s="2409">
        <f t="shared" si="40"/>
        <v>156</v>
      </c>
    </row>
    <row r="22" spans="1:78" ht="15" x14ac:dyDescent="0.2">
      <c r="A22" s="262"/>
      <c r="B22" s="904"/>
      <c r="C22" s="765"/>
      <c r="D22" s="765"/>
      <c r="E22" s="765"/>
      <c r="F22" s="765"/>
      <c r="G22" s="765"/>
      <c r="H22" s="765"/>
      <c r="I22" s="765"/>
      <c r="J22" s="765"/>
      <c r="K22" s="765"/>
      <c r="L22" s="765"/>
      <c r="M22" s="765"/>
      <c r="N22" s="765"/>
      <c r="O22" s="765"/>
      <c r="P22" s="765"/>
      <c r="Q22" s="765"/>
      <c r="R22" s="765"/>
      <c r="S22" s="765"/>
      <c r="T22" s="765"/>
      <c r="U22" s="765"/>
      <c r="V22" s="765"/>
      <c r="W22" s="765"/>
      <c r="X22" s="765"/>
      <c r="Y22" s="765"/>
      <c r="Z22" s="765"/>
      <c r="AA22" s="765"/>
      <c r="AB22" s="765"/>
      <c r="AC22" s="765"/>
      <c r="AD22" s="765"/>
      <c r="AE22" s="765"/>
      <c r="AF22" s="765"/>
      <c r="AG22" s="765"/>
      <c r="AH22" s="765"/>
      <c r="AI22" s="765"/>
      <c r="AJ22" s="765"/>
      <c r="AK22" s="765"/>
      <c r="AL22" s="765"/>
      <c r="AM22" s="765"/>
      <c r="AN22" s="765"/>
      <c r="AO22" s="765"/>
      <c r="AP22" s="765"/>
      <c r="AQ22" s="765"/>
      <c r="AR22" s="765"/>
      <c r="AS22" s="765"/>
      <c r="AT22" s="765"/>
      <c r="AU22" s="765"/>
      <c r="AV22" s="765"/>
      <c r="AW22" s="765"/>
      <c r="AX22" s="765"/>
      <c r="AY22" s="765"/>
      <c r="AZ22" s="765"/>
      <c r="BA22" s="765"/>
      <c r="BB22" s="765"/>
      <c r="BC22" s="765"/>
      <c r="BD22" s="765"/>
      <c r="BE22" s="765"/>
      <c r="BF22" s="765"/>
      <c r="BG22" s="765"/>
      <c r="BH22" s="765"/>
      <c r="BI22" s="765"/>
      <c r="BJ22" s="765"/>
      <c r="BK22" s="765"/>
      <c r="BL22" s="765"/>
      <c r="BM22" s="765"/>
      <c r="BN22" s="765"/>
      <c r="BO22" s="765"/>
      <c r="BP22" s="765"/>
      <c r="BQ22" s="765"/>
      <c r="BR22" s="765"/>
      <c r="BS22" s="765"/>
      <c r="BT22" s="765"/>
      <c r="BU22" s="765"/>
      <c r="BV22" s="765"/>
      <c r="BW22" s="765"/>
      <c r="BX22" s="765"/>
      <c r="BY22" s="765"/>
      <c r="BZ22" s="765"/>
    </row>
    <row r="23" spans="1:78" ht="15" x14ac:dyDescent="0.2">
      <c r="A23" s="6218" t="s">
        <v>5</v>
      </c>
      <c r="B23" s="1029" t="s">
        <v>615</v>
      </c>
      <c r="C23" s="1274"/>
      <c r="D23" s="1275"/>
      <c r="E23" s="1275"/>
      <c r="F23" s="1276"/>
      <c r="G23" s="1274"/>
      <c r="H23" s="1275"/>
      <c r="I23" s="1275"/>
      <c r="J23" s="1276"/>
      <c r="K23" s="1274"/>
      <c r="L23" s="1275"/>
      <c r="M23" s="1275"/>
      <c r="N23" s="1276"/>
      <c r="O23" s="1274"/>
      <c r="P23" s="1275"/>
      <c r="Q23" s="1275"/>
      <c r="R23" s="1276"/>
      <c r="S23" s="1274"/>
      <c r="T23" s="1275"/>
      <c r="U23" s="1275"/>
      <c r="V23" s="1276"/>
      <c r="W23" s="1274"/>
      <c r="X23" s="1275"/>
      <c r="Y23" s="1275"/>
      <c r="Z23" s="1277"/>
      <c r="AA23" s="1274"/>
      <c r="AB23" s="1275"/>
      <c r="AC23" s="1275"/>
      <c r="AD23" s="1276"/>
      <c r="AE23" s="1275"/>
      <c r="AF23" s="1275"/>
      <c r="AG23" s="1275"/>
      <c r="AH23" s="1276"/>
      <c r="AI23" s="1275"/>
      <c r="AJ23" s="1275"/>
      <c r="AK23" s="1275"/>
      <c r="AL23" s="1277"/>
      <c r="AM23" s="1030"/>
      <c r="AN23" s="1031"/>
      <c r="AO23" s="1031"/>
      <c r="AP23" s="1048"/>
      <c r="AQ23" s="1030"/>
      <c r="AR23" s="1031"/>
      <c r="AS23" s="1031"/>
      <c r="AT23" s="1048"/>
      <c r="AU23" s="1030"/>
      <c r="AV23" s="1031"/>
      <c r="AW23" s="1031"/>
      <c r="AX23" s="1048"/>
      <c r="AY23" s="1030"/>
      <c r="AZ23" s="1031"/>
      <c r="BA23" s="1031"/>
      <c r="BB23" s="1048"/>
      <c r="BC23" s="1030"/>
      <c r="BD23" s="1031"/>
      <c r="BE23" s="1031"/>
      <c r="BF23" s="1048"/>
      <c r="BG23" s="1030"/>
      <c r="BH23" s="1031"/>
      <c r="BI23" s="1031"/>
      <c r="BJ23" s="1048"/>
      <c r="BK23" s="1030"/>
      <c r="BL23" s="1031"/>
      <c r="BM23" s="1031"/>
      <c r="BN23" s="1048"/>
      <c r="BO23" s="1030"/>
      <c r="BP23" s="1031"/>
      <c r="BQ23" s="1031"/>
      <c r="BR23" s="1048"/>
      <c r="BS23" s="1030"/>
      <c r="BT23" s="1031"/>
      <c r="BU23" s="1031"/>
      <c r="BV23" s="1048"/>
      <c r="BW23" s="1030"/>
      <c r="BX23" s="1031"/>
      <c r="BY23" s="1031"/>
      <c r="BZ23" s="1048"/>
    </row>
    <row r="24" spans="1:78" ht="15" x14ac:dyDescent="0.2">
      <c r="A24" s="6219"/>
      <c r="B24" s="1034" t="s">
        <v>616</v>
      </c>
      <c r="C24" s="1278">
        <f>+'EGRESO-POS plan'!E48+'EGRESO-POS plan'!E49+'EGRESO-POS plan'!E50+'EGRESO-POS plan'!E51+'EGRESO-POS plan'!E52+'EGRESO-POS plan'!E53</f>
        <v>5</v>
      </c>
      <c r="D24" s="1279">
        <f>+'EGRESO-POS plan'!F48+'EGRESO-POS plan'!F49+'EGRESO-POS plan'!F50+'EGRESO-POS plan'!F51+'EGRESO-POS plan'!F52+'EGRESO-POS plan'!F53</f>
        <v>20</v>
      </c>
      <c r="E24" s="1279">
        <f>+'EGRESO-POS plan'!G48+'EGRESO-POS plan'!G49+'EGRESO-POS plan'!G50+'EGRESO-POS plan'!G51+'EGRESO-POS plan'!G52+'EGRESO-POS plan'!G53</f>
        <v>10</v>
      </c>
      <c r="F24" s="1280">
        <f t="shared" ref="F24:F38" si="41">SUM(C24:E24)</f>
        <v>35</v>
      </c>
      <c r="G24" s="1278">
        <f>+'EGRESO-POS plan'!I48+'EGRESO-POS plan'!I49+'EGRESO-POS plan'!I50+'EGRESO-POS plan'!I51+'EGRESO-POS plan'!I52+'EGRESO-POS plan'!I53</f>
        <v>6</v>
      </c>
      <c r="H24" s="1279">
        <f>+'EGRESO-POS plan'!J48+'EGRESO-POS plan'!J49+'EGRESO-POS plan'!J50+'EGRESO-POS plan'!J51+'EGRESO-POS plan'!J52+'EGRESO-POS plan'!J53</f>
        <v>13</v>
      </c>
      <c r="I24" s="1279">
        <f>+'EGRESO-POS plan'!K48+'EGRESO-POS plan'!K49+'EGRESO-POS plan'!K50+'EGRESO-POS plan'!K51+'EGRESO-POS plan'!K52+'EGRESO-POS plan'!K53</f>
        <v>13</v>
      </c>
      <c r="J24" s="1280">
        <f t="shared" ref="J24:J38" si="42">SUM(G24:I24)</f>
        <v>32</v>
      </c>
      <c r="K24" s="1278">
        <f>+'EGRESO-POS plan'!M48+'EGRESO-POS plan'!M49+'EGRESO-POS plan'!M50+'EGRESO-POS plan'!M51+'EGRESO-POS plan'!M52+'EGRESO-POS plan'!M53</f>
        <v>4</v>
      </c>
      <c r="L24" s="1279">
        <f>+'EGRESO-POS plan'!N48+'EGRESO-POS plan'!N49+'EGRESO-POS plan'!N50+'EGRESO-POS plan'!N51+'EGRESO-POS plan'!N52+'EGRESO-POS plan'!N53</f>
        <v>23</v>
      </c>
      <c r="M24" s="1279">
        <f>+'EGRESO-POS plan'!O48+'EGRESO-POS plan'!O49+'EGRESO-POS plan'!O50+'EGRESO-POS plan'!O51+'EGRESO-POS plan'!O52+'EGRESO-POS plan'!O53</f>
        <v>11</v>
      </c>
      <c r="N24" s="1280">
        <f t="shared" ref="N24:N38" si="43">SUM(K24:M24)</f>
        <v>38</v>
      </c>
      <c r="O24" s="1278">
        <f>+'EGRESO-POS plan'!Q48+'EGRESO-POS plan'!Q49+'EGRESO-POS plan'!Q50+'EGRESO-POS plan'!Q51+'EGRESO-POS plan'!Q52+'EGRESO-POS plan'!Q53</f>
        <v>9</v>
      </c>
      <c r="P24" s="1279">
        <f>+'EGRESO-POS plan'!R48+'EGRESO-POS plan'!R49+'EGRESO-POS plan'!R50+'EGRESO-POS plan'!R51+'EGRESO-POS plan'!R52+'EGRESO-POS plan'!R53</f>
        <v>12</v>
      </c>
      <c r="Q24" s="1279">
        <f>+'EGRESO-POS plan'!S48+'EGRESO-POS plan'!S49+'EGRESO-POS plan'!S50+'EGRESO-POS plan'!S51+'EGRESO-POS plan'!S52+'EGRESO-POS plan'!S53</f>
        <v>5</v>
      </c>
      <c r="R24" s="1280">
        <f t="shared" ref="R24:R38" si="44">SUM(O24:Q24)</f>
        <v>26</v>
      </c>
      <c r="S24" s="1278">
        <v>7</v>
      </c>
      <c r="T24" s="1279">
        <v>10</v>
      </c>
      <c r="U24" s="1279">
        <v>8</v>
      </c>
      <c r="V24" s="1280">
        <v>25</v>
      </c>
      <c r="W24" s="1278">
        <v>6</v>
      </c>
      <c r="X24" s="1279">
        <v>10</v>
      </c>
      <c r="Y24" s="1279">
        <v>7</v>
      </c>
      <c r="Z24" s="1281">
        <v>23</v>
      </c>
      <c r="AA24" s="1278">
        <v>11</v>
      </c>
      <c r="AB24" s="1279">
        <v>7</v>
      </c>
      <c r="AC24" s="1279">
        <v>5</v>
      </c>
      <c r="AD24" s="1280">
        <v>23</v>
      </c>
      <c r="AE24" s="1279">
        <v>9</v>
      </c>
      <c r="AF24" s="1279">
        <v>5</v>
      </c>
      <c r="AG24" s="1279">
        <v>14</v>
      </c>
      <c r="AH24" s="1280">
        <v>28</v>
      </c>
      <c r="AI24" s="1279">
        <v>5</v>
      </c>
      <c r="AJ24" s="1279">
        <v>17</v>
      </c>
      <c r="AK24" s="1279">
        <v>10</v>
      </c>
      <c r="AL24" s="1281">
        <v>32</v>
      </c>
      <c r="AM24" s="1035">
        <v>9</v>
      </c>
      <c r="AN24" s="1036">
        <v>11</v>
      </c>
      <c r="AO24" s="1036">
        <v>9</v>
      </c>
      <c r="AP24" s="1039">
        <v>29</v>
      </c>
      <c r="AQ24" s="1035">
        <v>17</v>
      </c>
      <c r="AR24" s="1036">
        <v>20</v>
      </c>
      <c r="AS24" s="1036">
        <v>16</v>
      </c>
      <c r="AT24" s="1039">
        <v>53</v>
      </c>
      <c r="AU24" s="1035">
        <v>18</v>
      </c>
      <c r="AV24" s="1036">
        <v>25</v>
      </c>
      <c r="AW24" s="1036">
        <v>14</v>
      </c>
      <c r="AX24" s="1039">
        <f t="shared" ref="AX24:AX38" si="45">AU24+AV24+AW24</f>
        <v>57</v>
      </c>
      <c r="AY24" s="1035">
        <v>17</v>
      </c>
      <c r="AZ24" s="1036">
        <v>12</v>
      </c>
      <c r="BA24" s="1036">
        <v>20</v>
      </c>
      <c r="BB24" s="1039">
        <f t="shared" ref="BB24:BB38" si="46">AY24+AZ24+BA24</f>
        <v>49</v>
      </c>
      <c r="BC24" s="1035">
        <f>SUM('EGRESO-POS plan'!BE48,'EGRESO-POS plan'!BE49,'EGRESO-POS plan'!BE50,'EGRESO-POS plan'!BE51,'EGRESO-POS plan'!BE52,'EGRESO-POS plan'!BE53)</f>
        <v>13</v>
      </c>
      <c r="BD24" s="1036">
        <f>SUM('EGRESO-POS plan'!BF48,'EGRESO-POS plan'!BF49,'EGRESO-POS plan'!BF50,'EGRESO-POS plan'!BF51,'EGRESO-POS plan'!BF52,'EGRESO-POS plan'!BF53)</f>
        <v>15</v>
      </c>
      <c r="BE24" s="1036">
        <f>SUM('EGRESO-POS plan'!BG48,'EGRESO-POS plan'!BG49,'EGRESO-POS plan'!BG50,'EGRESO-POS plan'!BG51,'EGRESO-POS plan'!BG52,'EGRESO-POS plan'!BG53)</f>
        <v>21</v>
      </c>
      <c r="BF24" s="1039">
        <f>SUM(BC24:BE24)</f>
        <v>49</v>
      </c>
      <c r="BG24" s="1035">
        <f>SUM('EGRESO-POS plan'!BI48,'EGRESO-POS plan'!BI49,'EGRESO-POS plan'!BI50,'EGRESO-POS plan'!BI51,'EGRESO-POS plan'!BI52,'EGRESO-POS plan'!BI53)</f>
        <v>21</v>
      </c>
      <c r="BH24" s="1036">
        <f>SUM('EGRESO-POS plan'!BJ48,'EGRESO-POS plan'!BJ49,'EGRESO-POS plan'!BJ50,'EGRESO-POS plan'!BJ51,'EGRESO-POS plan'!BJ52,'EGRESO-POS plan'!BJ53)</f>
        <v>26</v>
      </c>
      <c r="BI24" s="1036">
        <f>SUM('EGRESO-POS plan'!BK48,'EGRESO-POS plan'!BK49,'EGRESO-POS plan'!BK50,'EGRESO-POS plan'!BK51,'EGRESO-POS plan'!BK52,'EGRESO-POS plan'!BK53)</f>
        <v>17</v>
      </c>
      <c r="BJ24" s="1039">
        <f>SUM(BG24:BI24)</f>
        <v>64</v>
      </c>
      <c r="BK24" s="1035">
        <f>SUM('EGRESO-POS plan'!BM48,'EGRESO-POS plan'!BM49,'EGRESO-POS plan'!BM50,'EGRESO-POS plan'!BM51,'EGRESO-POS plan'!BM52,'EGRESO-POS plan'!BM53)</f>
        <v>28</v>
      </c>
      <c r="BL24" s="1036">
        <f>SUM('EGRESO-POS plan'!BN48,'EGRESO-POS plan'!BN49,'EGRESO-POS plan'!BN50,'EGRESO-POS plan'!BN51,'EGRESO-POS plan'!BN52,'EGRESO-POS plan'!BN53)</f>
        <v>24</v>
      </c>
      <c r="BM24" s="1036">
        <f>SUM('EGRESO-POS plan'!BO48,'EGRESO-POS plan'!BO49,'EGRESO-POS plan'!BO50,'EGRESO-POS plan'!BO51,'EGRESO-POS plan'!BO52,'EGRESO-POS plan'!BO53)</f>
        <v>20</v>
      </c>
      <c r="BN24" s="1039">
        <f>SUM(BK24:BM24)</f>
        <v>72</v>
      </c>
      <c r="BO24" s="1035">
        <f>SUM('EGRESO-POS plan'!BQ48:BQ54)</f>
        <v>16</v>
      </c>
      <c r="BP24" s="1036">
        <f>SUM('EGRESO-POS plan'!BR48:BR54)</f>
        <v>24</v>
      </c>
      <c r="BQ24" s="1036">
        <f>SUM('EGRESO-POS plan'!BS48:BS54)</f>
        <v>19</v>
      </c>
      <c r="BR24" s="1039">
        <f>SUM(BO24:BQ24)</f>
        <v>59</v>
      </c>
      <c r="BS24" s="1035">
        <f>SUM('EGRESO-POS plan'!BU48:BU54)</f>
        <v>19</v>
      </c>
      <c r="BT24" s="1036">
        <f>SUM('EGRESO-POS plan'!BV48:BV54)</f>
        <v>25</v>
      </c>
      <c r="BU24" s="1036">
        <f>SUM('EGRESO-POS plan'!BW48:BW54)</f>
        <v>19</v>
      </c>
      <c r="BV24" s="1039">
        <f>SUM(BS24:BU24)</f>
        <v>63</v>
      </c>
      <c r="BW24" s="1035">
        <f>SUM('EGRESO-POS plan'!BY48:BY54)</f>
        <v>25</v>
      </c>
      <c r="BX24" s="1036">
        <f>SUM('EGRESO-POS plan'!BZ48:BZ54)</f>
        <v>32</v>
      </c>
      <c r="BY24" s="1036">
        <f>SUM('EGRESO-POS plan'!CA48:CA54)</f>
        <v>25</v>
      </c>
      <c r="BZ24" s="1039">
        <f>SUM(BW24:BY24)</f>
        <v>82</v>
      </c>
    </row>
    <row r="25" spans="1:78" ht="15" x14ac:dyDescent="0.2">
      <c r="A25" s="6219"/>
      <c r="B25" s="1040" t="s">
        <v>617</v>
      </c>
      <c r="C25" s="1278">
        <f>+'EGRESO-POS plan'!E55+'EGRESO-POS plan'!E56+'EGRESO-POS plan'!E57+'EGRESO-POS plan'!E58+'EGRESO-POS plan'!E59+'EGRESO-POS plan'!E61</f>
        <v>4</v>
      </c>
      <c r="D25" s="1279">
        <f>+'EGRESO-POS plan'!F55+'EGRESO-POS plan'!F56+'EGRESO-POS plan'!F57+'EGRESO-POS plan'!F58+'EGRESO-POS plan'!F59+'EGRESO-POS plan'!F61</f>
        <v>7</v>
      </c>
      <c r="E25" s="1279">
        <f>+'EGRESO-POS plan'!G55+'EGRESO-POS plan'!G56+'EGRESO-POS plan'!G57+'EGRESO-POS plan'!G58+'EGRESO-POS plan'!G59+'EGRESO-POS plan'!G61</f>
        <v>13</v>
      </c>
      <c r="F25" s="1280">
        <f t="shared" si="41"/>
        <v>24</v>
      </c>
      <c r="G25" s="1278">
        <f>+'EGRESO-POS plan'!I55+'EGRESO-POS plan'!I56+'EGRESO-POS plan'!I57+'EGRESO-POS plan'!I58+'EGRESO-POS plan'!I59+'EGRESO-POS plan'!I61</f>
        <v>4</v>
      </c>
      <c r="H25" s="1279">
        <f>+'EGRESO-POS plan'!J55+'EGRESO-POS plan'!J56+'EGRESO-POS plan'!J57+'EGRESO-POS plan'!J58+'EGRESO-POS plan'!J59+'EGRESO-POS plan'!J61</f>
        <v>7</v>
      </c>
      <c r="I25" s="1279">
        <f>+'EGRESO-POS plan'!K55+'EGRESO-POS plan'!K56+'EGRESO-POS plan'!K57+'EGRESO-POS plan'!K58+'EGRESO-POS plan'!K59+'EGRESO-POS plan'!K61</f>
        <v>8</v>
      </c>
      <c r="J25" s="1280">
        <f t="shared" si="42"/>
        <v>19</v>
      </c>
      <c r="K25" s="1278">
        <f>+'EGRESO-POS plan'!M55+'EGRESO-POS plan'!M56+'EGRESO-POS plan'!M57+'EGRESO-POS plan'!M58+'EGRESO-POS plan'!M59+'EGRESO-POS plan'!M61</f>
        <v>10</v>
      </c>
      <c r="L25" s="1279">
        <f>+'EGRESO-POS plan'!N55+'EGRESO-POS plan'!N56+'EGRESO-POS plan'!N57+'EGRESO-POS plan'!N58+'EGRESO-POS plan'!N59+'EGRESO-POS plan'!N61</f>
        <v>15</v>
      </c>
      <c r="M25" s="1279">
        <f>+'EGRESO-POS plan'!O55+'EGRESO-POS plan'!O56+'EGRESO-POS plan'!O57+'EGRESO-POS plan'!O58+'EGRESO-POS plan'!O59+'EGRESO-POS plan'!O61</f>
        <v>1</v>
      </c>
      <c r="N25" s="1280">
        <f t="shared" si="43"/>
        <v>26</v>
      </c>
      <c r="O25" s="1278">
        <f>+'EGRESO-POS plan'!Q55+'EGRESO-POS plan'!Q56+'EGRESO-POS plan'!Q57+'EGRESO-POS plan'!Q58+'EGRESO-POS plan'!Q59+'EGRESO-POS plan'!Q61</f>
        <v>6</v>
      </c>
      <c r="P25" s="1279">
        <f>+'EGRESO-POS plan'!R55+'EGRESO-POS plan'!R56+'EGRESO-POS plan'!R57+'EGRESO-POS plan'!R58+'EGRESO-POS plan'!R59+'EGRESO-POS plan'!R61</f>
        <v>10</v>
      </c>
      <c r="Q25" s="1279">
        <f>+'EGRESO-POS plan'!S55+'EGRESO-POS plan'!S56+'EGRESO-POS plan'!S57+'EGRESO-POS plan'!S58+'EGRESO-POS plan'!S59+'EGRESO-POS plan'!S61</f>
        <v>10</v>
      </c>
      <c r="R25" s="1280">
        <f t="shared" si="44"/>
        <v>26</v>
      </c>
      <c r="S25" s="1278">
        <v>7</v>
      </c>
      <c r="T25" s="1279">
        <v>12</v>
      </c>
      <c r="U25" s="1279">
        <v>8</v>
      </c>
      <c r="V25" s="1280">
        <v>27</v>
      </c>
      <c r="W25" s="1278">
        <v>9</v>
      </c>
      <c r="X25" s="1279">
        <v>9</v>
      </c>
      <c r="Y25" s="1279">
        <v>15</v>
      </c>
      <c r="Z25" s="1281">
        <v>33</v>
      </c>
      <c r="AA25" s="1278">
        <v>6</v>
      </c>
      <c r="AB25" s="1279">
        <v>9</v>
      </c>
      <c r="AC25" s="1279">
        <v>2</v>
      </c>
      <c r="AD25" s="1280">
        <v>17</v>
      </c>
      <c r="AE25" s="1279">
        <v>3</v>
      </c>
      <c r="AF25" s="1279">
        <v>2</v>
      </c>
      <c r="AG25" s="1279">
        <v>17</v>
      </c>
      <c r="AH25" s="1280">
        <v>22</v>
      </c>
      <c r="AI25" s="1279">
        <v>4</v>
      </c>
      <c r="AJ25" s="1279">
        <v>11</v>
      </c>
      <c r="AK25" s="1279">
        <v>11</v>
      </c>
      <c r="AL25" s="1281">
        <v>26</v>
      </c>
      <c r="AM25" s="1035">
        <v>11</v>
      </c>
      <c r="AN25" s="1036">
        <v>6</v>
      </c>
      <c r="AO25" s="1036">
        <v>12</v>
      </c>
      <c r="AP25" s="1039">
        <v>29</v>
      </c>
      <c r="AQ25" s="1035">
        <v>6</v>
      </c>
      <c r="AR25" s="1036">
        <v>11</v>
      </c>
      <c r="AS25" s="1036">
        <v>8</v>
      </c>
      <c r="AT25" s="1039">
        <v>25</v>
      </c>
      <c r="AU25" s="1035">
        <v>12</v>
      </c>
      <c r="AV25" s="1036">
        <v>13</v>
      </c>
      <c r="AW25" s="1036">
        <v>11</v>
      </c>
      <c r="AX25" s="1039">
        <f t="shared" si="45"/>
        <v>36</v>
      </c>
      <c r="AY25" s="1035">
        <v>5</v>
      </c>
      <c r="AZ25" s="1036">
        <v>10</v>
      </c>
      <c r="BA25" s="1036">
        <v>8</v>
      </c>
      <c r="BB25" s="1039">
        <f t="shared" si="46"/>
        <v>23</v>
      </c>
      <c r="BC25" s="1035">
        <f>SUM('EGRESO-POS plan'!BE55,'EGRESO-POS plan'!BE56,'EGRESO-POS plan'!BE57,'EGRESO-POS plan'!BE58,'EGRESO-POS plan'!BE59,'EGRESO-POS plan'!BE61)</f>
        <v>3</v>
      </c>
      <c r="BD25" s="1036">
        <f>SUM('EGRESO-POS plan'!BF55,'EGRESO-POS plan'!BF56,'EGRESO-POS plan'!BF57,'EGRESO-POS plan'!BF58,'EGRESO-POS plan'!BF59,'EGRESO-POS plan'!BF61)</f>
        <v>10</v>
      </c>
      <c r="BE25" s="1036">
        <f>SUM('EGRESO-POS plan'!BG55,'EGRESO-POS plan'!BG56,'EGRESO-POS plan'!BG57,'EGRESO-POS plan'!BG58,'EGRESO-POS plan'!BG59,'EGRESO-POS plan'!BG61)</f>
        <v>9</v>
      </c>
      <c r="BF25" s="1039">
        <f>SUM(BC25:BE25)</f>
        <v>22</v>
      </c>
      <c r="BG25" s="1035">
        <f>SUM('EGRESO-POS plan'!BI55,'EGRESO-POS plan'!BI56,'EGRESO-POS plan'!BI57,'EGRESO-POS plan'!BI58,'EGRESO-POS plan'!BI59,'EGRESO-POS plan'!BI61)</f>
        <v>8</v>
      </c>
      <c r="BH25" s="1036">
        <f>SUM('EGRESO-POS plan'!BJ55,'EGRESO-POS plan'!BJ56,'EGRESO-POS plan'!BJ57,'EGRESO-POS plan'!BJ58,'EGRESO-POS plan'!BJ59,'EGRESO-POS plan'!BJ61)</f>
        <v>6</v>
      </c>
      <c r="BI25" s="1036">
        <f>SUM('EGRESO-POS plan'!BK55,'EGRESO-POS plan'!BK56,'EGRESO-POS plan'!BK57,'EGRESO-POS plan'!BK58,'EGRESO-POS plan'!BK59,'EGRESO-POS plan'!BK61)</f>
        <v>10</v>
      </c>
      <c r="BJ25" s="1039">
        <f>SUM(BG25:BI25)</f>
        <v>24</v>
      </c>
      <c r="BK25" s="1035">
        <f>SUM('EGRESO-POS plan'!BM55,'EGRESO-POS plan'!BM56,'EGRESO-POS plan'!BM57,'EGRESO-POS plan'!BM58,'EGRESO-POS plan'!BM59,'EGRESO-POS plan'!BM61)</f>
        <v>8</v>
      </c>
      <c r="BL25" s="1036">
        <f>SUM('EGRESO-POS plan'!BN55,'EGRESO-POS plan'!BN56,'EGRESO-POS plan'!BN57,'EGRESO-POS plan'!BN58,'EGRESO-POS plan'!BN59,'EGRESO-POS plan'!BN61)</f>
        <v>17</v>
      </c>
      <c r="BM25" s="1036">
        <f>SUM('EGRESO-POS plan'!BO55,'EGRESO-POS plan'!BO56,'EGRESO-POS plan'!BO57,'EGRESO-POS plan'!BO58,'EGRESO-POS plan'!BO59,'EGRESO-POS plan'!BO61)</f>
        <v>12</v>
      </c>
      <c r="BN25" s="1039">
        <f>SUM(BK25:BM25)</f>
        <v>37</v>
      </c>
      <c r="BO25" s="1035">
        <f>SUM('EGRESO-POS plan'!BQ55,'EGRESO-POS plan'!BQ56,'EGRESO-POS plan'!BQ57,'EGRESO-POS plan'!BQ58,'EGRESO-POS plan'!BQ59,'EGRESO-POS plan'!BQ61)</f>
        <v>8</v>
      </c>
      <c r="BP25" s="1036">
        <f>SUM('EGRESO-POS plan'!BR55,'EGRESO-POS plan'!BR56,'EGRESO-POS plan'!BR57,'EGRESO-POS plan'!BR58,'EGRESO-POS plan'!BR59,'EGRESO-POS plan'!BR61)</f>
        <v>3</v>
      </c>
      <c r="BQ25" s="1036">
        <f>SUM('EGRESO-POS plan'!BS55,'EGRESO-POS plan'!BS56,'EGRESO-POS plan'!BS57,'EGRESO-POS plan'!BS58,'EGRESO-POS plan'!BS59,'EGRESO-POS plan'!BS61)</f>
        <v>12</v>
      </c>
      <c r="BR25" s="1039">
        <f>SUM(BO25:BQ25)</f>
        <v>23</v>
      </c>
      <c r="BS25" s="1035">
        <f>SUM('EGRESO-POS plan'!BU55,'EGRESO-POS plan'!BU56,'EGRESO-POS plan'!BU57,'EGRESO-POS plan'!BU58,'EGRESO-POS plan'!BU59,'EGRESO-POS plan'!BU61)</f>
        <v>11</v>
      </c>
      <c r="BT25" s="1036">
        <f>SUM('EGRESO-POS plan'!BV55,'EGRESO-POS plan'!BV56,'EGRESO-POS plan'!BV57,'EGRESO-POS plan'!BV58,'EGRESO-POS plan'!BV59,'EGRESO-POS plan'!BV61)</f>
        <v>12</v>
      </c>
      <c r="BU25" s="1036">
        <f>SUM('EGRESO-POS plan'!BW55,'EGRESO-POS plan'!BW56,'EGRESO-POS plan'!BW57,'EGRESO-POS plan'!BW58,'EGRESO-POS plan'!BW59,'EGRESO-POS plan'!BW61)</f>
        <v>13</v>
      </c>
      <c r="BV25" s="1039">
        <f>SUM(BS25:BU25)</f>
        <v>36</v>
      </c>
      <c r="BW25" s="1035">
        <f>SUM('EGRESO-POS plan'!BY55:BY61)</f>
        <v>15</v>
      </c>
      <c r="BX25" s="1036">
        <f>SUM('EGRESO-POS plan'!BZ55:BZ61)</f>
        <v>9</v>
      </c>
      <c r="BY25" s="1036">
        <f>SUM('EGRESO-POS plan'!CA55:CA61)</f>
        <v>12</v>
      </c>
      <c r="BZ25" s="1039">
        <f>SUM(BW25:BY25)</f>
        <v>36</v>
      </c>
    </row>
    <row r="26" spans="1:78" s="222" customFormat="1" ht="15" x14ac:dyDescent="0.2">
      <c r="A26" s="6219"/>
      <c r="B26" s="574" t="s">
        <v>14</v>
      </c>
      <c r="C26" s="1147">
        <f>SUM(C23:C25)</f>
        <v>9</v>
      </c>
      <c r="D26" s="1148">
        <f>SUM(D23:D25)</f>
        <v>27</v>
      </c>
      <c r="E26" s="1148">
        <f>SUM(E23:E25)</f>
        <v>23</v>
      </c>
      <c r="F26" s="1139">
        <f t="shared" si="41"/>
        <v>59</v>
      </c>
      <c r="G26" s="1147">
        <f>SUM(G23:G25)</f>
        <v>10</v>
      </c>
      <c r="H26" s="1148">
        <f>SUM(H23:H25)</f>
        <v>20</v>
      </c>
      <c r="I26" s="1148">
        <f>SUM(I23:I25)</f>
        <v>21</v>
      </c>
      <c r="J26" s="1139">
        <f t="shared" si="42"/>
        <v>51</v>
      </c>
      <c r="K26" s="1147">
        <f>SUM(K23:K25)</f>
        <v>14</v>
      </c>
      <c r="L26" s="1148">
        <f>SUM(L23:L25)</f>
        <v>38</v>
      </c>
      <c r="M26" s="1148">
        <f>SUM(M23:M25)</f>
        <v>12</v>
      </c>
      <c r="N26" s="1139">
        <f t="shared" si="43"/>
        <v>64</v>
      </c>
      <c r="O26" s="1147">
        <f>SUM(O23:O25)</f>
        <v>15</v>
      </c>
      <c r="P26" s="1148">
        <f>SUM(P23:P25)</f>
        <v>22</v>
      </c>
      <c r="Q26" s="1148">
        <f>SUM(Q23:Q25)</f>
        <v>15</v>
      </c>
      <c r="R26" s="1139">
        <f t="shared" si="44"/>
        <v>52</v>
      </c>
      <c r="S26" s="1147">
        <v>14</v>
      </c>
      <c r="T26" s="1148">
        <v>22</v>
      </c>
      <c r="U26" s="1148">
        <v>16</v>
      </c>
      <c r="V26" s="1139">
        <v>52</v>
      </c>
      <c r="W26" s="1147">
        <v>15</v>
      </c>
      <c r="X26" s="1148">
        <v>19</v>
      </c>
      <c r="Y26" s="1148">
        <v>22</v>
      </c>
      <c r="Z26" s="1148">
        <v>56</v>
      </c>
      <c r="AA26" s="1147">
        <v>17</v>
      </c>
      <c r="AB26" s="1148">
        <v>16</v>
      </c>
      <c r="AC26" s="1148">
        <v>7</v>
      </c>
      <c r="AD26" s="1139">
        <v>40</v>
      </c>
      <c r="AE26" s="1148">
        <v>12</v>
      </c>
      <c r="AF26" s="1148">
        <v>7</v>
      </c>
      <c r="AG26" s="1148">
        <v>31</v>
      </c>
      <c r="AH26" s="1139">
        <v>50</v>
      </c>
      <c r="AI26" s="1148">
        <v>9</v>
      </c>
      <c r="AJ26" s="1148">
        <v>28</v>
      </c>
      <c r="AK26" s="1148">
        <v>21</v>
      </c>
      <c r="AL26" s="1148">
        <v>58</v>
      </c>
      <c r="AM26" s="569">
        <v>20</v>
      </c>
      <c r="AN26" s="570">
        <v>17</v>
      </c>
      <c r="AO26" s="570">
        <v>21</v>
      </c>
      <c r="AP26" s="570">
        <v>58</v>
      </c>
      <c r="AQ26" s="569">
        <v>23</v>
      </c>
      <c r="AR26" s="570">
        <v>31</v>
      </c>
      <c r="AS26" s="570">
        <v>24</v>
      </c>
      <c r="AT26" s="571">
        <v>78</v>
      </c>
      <c r="AU26" s="569">
        <f>SUM(AU23:AU25)</f>
        <v>30</v>
      </c>
      <c r="AV26" s="570">
        <f>SUM(AV23:AV25)</f>
        <v>38</v>
      </c>
      <c r="AW26" s="570">
        <f>SUM(AW23:AW25)</f>
        <v>25</v>
      </c>
      <c r="AX26" s="571">
        <f t="shared" si="45"/>
        <v>93</v>
      </c>
      <c r="AY26" s="569">
        <f>SUM(AY23:AY25)</f>
        <v>22</v>
      </c>
      <c r="AZ26" s="570">
        <f>SUM(AZ23:AZ25)</f>
        <v>22</v>
      </c>
      <c r="BA26" s="570">
        <f>SUM(BA23:BA25)</f>
        <v>28</v>
      </c>
      <c r="BB26" s="571">
        <f t="shared" si="46"/>
        <v>72</v>
      </c>
      <c r="BC26" s="569">
        <f t="shared" ref="BC26:BJ26" si="47">SUM(BC23:BC25)</f>
        <v>16</v>
      </c>
      <c r="BD26" s="570">
        <f t="shared" si="47"/>
        <v>25</v>
      </c>
      <c r="BE26" s="570">
        <f t="shared" si="47"/>
        <v>30</v>
      </c>
      <c r="BF26" s="571">
        <f t="shared" si="47"/>
        <v>71</v>
      </c>
      <c r="BG26" s="569">
        <f t="shared" si="47"/>
        <v>29</v>
      </c>
      <c r="BH26" s="570">
        <f t="shared" si="47"/>
        <v>32</v>
      </c>
      <c r="BI26" s="570">
        <f t="shared" si="47"/>
        <v>27</v>
      </c>
      <c r="BJ26" s="571">
        <f t="shared" si="47"/>
        <v>88</v>
      </c>
      <c r="BK26" s="569">
        <f t="shared" ref="BK26:BR26" si="48">SUM(BK23:BK25)</f>
        <v>36</v>
      </c>
      <c r="BL26" s="570">
        <f t="shared" si="48"/>
        <v>41</v>
      </c>
      <c r="BM26" s="570">
        <f t="shared" si="48"/>
        <v>32</v>
      </c>
      <c r="BN26" s="571">
        <f t="shared" si="48"/>
        <v>109</v>
      </c>
      <c r="BO26" s="569">
        <f t="shared" si="48"/>
        <v>24</v>
      </c>
      <c r="BP26" s="570">
        <f t="shared" si="48"/>
        <v>27</v>
      </c>
      <c r="BQ26" s="570">
        <f t="shared" si="48"/>
        <v>31</v>
      </c>
      <c r="BR26" s="571">
        <f t="shared" si="48"/>
        <v>82</v>
      </c>
      <c r="BS26" s="569">
        <f t="shared" ref="BS26:BZ26" si="49">SUM(BS23:BS25)</f>
        <v>30</v>
      </c>
      <c r="BT26" s="570">
        <f t="shared" si="49"/>
        <v>37</v>
      </c>
      <c r="BU26" s="570">
        <f t="shared" si="49"/>
        <v>32</v>
      </c>
      <c r="BV26" s="571">
        <f t="shared" si="49"/>
        <v>99</v>
      </c>
      <c r="BW26" s="569">
        <f t="shared" si="49"/>
        <v>40</v>
      </c>
      <c r="BX26" s="570">
        <f t="shared" si="49"/>
        <v>41</v>
      </c>
      <c r="BY26" s="570">
        <f t="shared" si="49"/>
        <v>37</v>
      </c>
      <c r="BZ26" s="571">
        <f t="shared" si="49"/>
        <v>118</v>
      </c>
    </row>
    <row r="27" spans="1:78" ht="15" x14ac:dyDescent="0.2">
      <c r="A27" s="6218" t="s">
        <v>6</v>
      </c>
      <c r="B27" s="1029" t="s">
        <v>615</v>
      </c>
      <c r="C27" s="1282">
        <f>+'EGRESO-POS plan'!E63</f>
        <v>0</v>
      </c>
      <c r="D27" s="1283">
        <f>+'EGRESO-POS plan'!F63</f>
        <v>0</v>
      </c>
      <c r="E27" s="1283">
        <f>+'EGRESO-POS plan'!G63</f>
        <v>25</v>
      </c>
      <c r="F27" s="1284">
        <f t="shared" si="41"/>
        <v>25</v>
      </c>
      <c r="G27" s="1282">
        <f>+'EGRESO-POS plan'!I63</f>
        <v>0</v>
      </c>
      <c r="H27" s="1283">
        <f>+'EGRESO-POS plan'!J63</f>
        <v>3</v>
      </c>
      <c r="I27" s="1283">
        <f>+'EGRESO-POS plan'!K63</f>
        <v>0</v>
      </c>
      <c r="J27" s="1284">
        <f t="shared" si="42"/>
        <v>3</v>
      </c>
      <c r="K27" s="1282">
        <f>+'EGRESO-POS plan'!M63</f>
        <v>0</v>
      </c>
      <c r="L27" s="1283">
        <f>+'EGRESO-POS plan'!N63</f>
        <v>1</v>
      </c>
      <c r="M27" s="1283">
        <f>+'EGRESO-POS plan'!O63</f>
        <v>0</v>
      </c>
      <c r="N27" s="1284">
        <f t="shared" si="43"/>
        <v>1</v>
      </c>
      <c r="O27" s="1282">
        <f>+'EGRESO-POS plan'!Q63</f>
        <v>0</v>
      </c>
      <c r="P27" s="1283">
        <f>+'EGRESO-POS plan'!R63</f>
        <v>1</v>
      </c>
      <c r="Q27" s="1283">
        <f>+'EGRESO-POS plan'!S63</f>
        <v>0</v>
      </c>
      <c r="R27" s="1284">
        <f t="shared" si="44"/>
        <v>1</v>
      </c>
      <c r="S27" s="1282">
        <v>2</v>
      </c>
      <c r="T27" s="1283">
        <v>3</v>
      </c>
      <c r="U27" s="1283">
        <v>6</v>
      </c>
      <c r="V27" s="1284">
        <v>11</v>
      </c>
      <c r="W27" s="1282">
        <v>2</v>
      </c>
      <c r="X27" s="1283">
        <v>32</v>
      </c>
      <c r="Y27" s="1283">
        <v>2</v>
      </c>
      <c r="Z27" s="1285">
        <v>36</v>
      </c>
      <c r="AA27" s="1282">
        <v>0</v>
      </c>
      <c r="AB27" s="1283">
        <v>65</v>
      </c>
      <c r="AC27" s="1283">
        <v>5</v>
      </c>
      <c r="AD27" s="1284">
        <v>70</v>
      </c>
      <c r="AE27" s="1283">
        <v>0</v>
      </c>
      <c r="AF27" s="1283">
        <v>12</v>
      </c>
      <c r="AG27" s="1283">
        <v>58</v>
      </c>
      <c r="AH27" s="1284">
        <v>70</v>
      </c>
      <c r="AI27" s="1283">
        <v>0</v>
      </c>
      <c r="AJ27" s="1283">
        <v>0</v>
      </c>
      <c r="AK27" s="1283">
        <v>0</v>
      </c>
      <c r="AL27" s="1285">
        <v>0</v>
      </c>
      <c r="AM27" s="1286">
        <v>63</v>
      </c>
      <c r="AN27" s="1287">
        <v>16</v>
      </c>
      <c r="AO27" s="1287">
        <v>1</v>
      </c>
      <c r="AP27" s="1288">
        <v>80</v>
      </c>
      <c r="AQ27" s="1293"/>
      <c r="AR27" s="1294"/>
      <c r="AS27" s="1294"/>
      <c r="AT27" s="1295"/>
      <c r="AU27" s="1293"/>
      <c r="AV27" s="1036">
        <v>15</v>
      </c>
      <c r="AW27" s="1294"/>
      <c r="AX27" s="1048">
        <f t="shared" si="45"/>
        <v>15</v>
      </c>
      <c r="AY27" s="1035">
        <v>61</v>
      </c>
      <c r="AZ27" s="1036">
        <v>1</v>
      </c>
      <c r="BA27" s="1036">
        <v>46</v>
      </c>
      <c r="BB27" s="1048">
        <f t="shared" si="46"/>
        <v>108</v>
      </c>
      <c r="BC27" s="1030">
        <f>SUM('EGRESO-POS plan'!BE63)</f>
        <v>4</v>
      </c>
      <c r="BD27" s="1031">
        <f>SUM('EGRESO-POS plan'!BF63)</f>
        <v>44</v>
      </c>
      <c r="BE27" s="1031">
        <f>SUM('EGRESO-POS plan'!BG63)</f>
        <v>52</v>
      </c>
      <c r="BF27" s="1048">
        <f>SUM(BC27:BE27)</f>
        <v>100</v>
      </c>
      <c r="BG27" s="1030">
        <f>SUM('EGRESO-POS plan'!BI63)</f>
        <v>1</v>
      </c>
      <c r="BH27" s="1031">
        <f>SUM('EGRESO-POS plan'!BJ63)</f>
        <v>13</v>
      </c>
      <c r="BI27" s="1031">
        <f>SUM('EGRESO-POS plan'!BK63)</f>
        <v>2</v>
      </c>
      <c r="BJ27" s="1048">
        <f>SUM(BG27:BI27)</f>
        <v>16</v>
      </c>
      <c r="BK27" s="1030">
        <f>SUM('EGRESO-POS plan'!BM63)</f>
        <v>0</v>
      </c>
      <c r="BL27" s="1031">
        <f>SUM('EGRESO-POS plan'!BN63)</f>
        <v>7</v>
      </c>
      <c r="BM27" s="1031">
        <f>SUM('EGRESO-POS plan'!BO63)</f>
        <v>17</v>
      </c>
      <c r="BN27" s="1048">
        <f>SUM(BK27:BM27)</f>
        <v>24</v>
      </c>
      <c r="BO27" s="1030">
        <f>SUM('EGRESO-POS plan'!BQ63)</f>
        <v>0</v>
      </c>
      <c r="BP27" s="1031">
        <f>SUM('EGRESO-POS plan'!BR63)</f>
        <v>15</v>
      </c>
      <c r="BQ27" s="1031">
        <f>SUM('EGRESO-POS plan'!BS63)</f>
        <v>0</v>
      </c>
      <c r="BR27" s="1048">
        <f>SUM(BO27:BQ27)</f>
        <v>15</v>
      </c>
      <c r="BS27" s="1030">
        <f>SUM('EGRESO-POS plan'!BU63)</f>
        <v>30</v>
      </c>
      <c r="BT27" s="1031">
        <f>SUM('EGRESO-POS plan'!BV63)</f>
        <v>0</v>
      </c>
      <c r="BU27" s="1031">
        <f>SUM('EGRESO-POS plan'!BW63)</f>
        <v>17</v>
      </c>
      <c r="BV27" s="1048">
        <f>SUM(BS27:BU27)</f>
        <v>47</v>
      </c>
      <c r="BW27" s="1030">
        <f>SUM('EGRESO-POS plan'!BY63)</f>
        <v>2</v>
      </c>
      <c r="BX27" s="1031">
        <f>SUM('EGRESO-POS plan'!BZ63)</f>
        <v>0</v>
      </c>
      <c r="BY27" s="1031">
        <f>SUM('EGRESO-POS plan'!CA63)</f>
        <v>12</v>
      </c>
      <c r="BZ27" s="1048">
        <f>SUM(BW27:BY27)</f>
        <v>14</v>
      </c>
    </row>
    <row r="28" spans="1:78" ht="15" x14ac:dyDescent="0.2">
      <c r="A28" s="6219"/>
      <c r="B28" s="1034" t="s">
        <v>616</v>
      </c>
      <c r="C28" s="1278">
        <f>+'EGRESO-POS plan'!E64+'EGRESO-POS plan'!E65+'EGRESO-POS plan'!E66+'EGRESO-POS plan'!E67+'EGRESO-POS plan'!E68+'EGRESO-POS plan'!E69+'EGRESO-POS plan'!E70+'EGRESO-POS plan'!E71</f>
        <v>7</v>
      </c>
      <c r="D28" s="1279">
        <f>+'EGRESO-POS plan'!F64+'EGRESO-POS plan'!F65+'EGRESO-POS plan'!F66+'EGRESO-POS plan'!F67+'EGRESO-POS plan'!F68+'EGRESO-POS plan'!F69+'EGRESO-POS plan'!F70+'EGRESO-POS plan'!F71</f>
        <v>7</v>
      </c>
      <c r="E28" s="1279">
        <f>+'EGRESO-POS plan'!G64+'EGRESO-POS plan'!G65+'EGRESO-POS plan'!G66+'EGRESO-POS plan'!G67+'EGRESO-POS plan'!G68+'EGRESO-POS plan'!G69+'EGRESO-POS plan'!G70+'EGRESO-POS plan'!G71</f>
        <v>19</v>
      </c>
      <c r="F28" s="1280">
        <f t="shared" si="41"/>
        <v>33</v>
      </c>
      <c r="G28" s="1278">
        <f>+'EGRESO-POS plan'!I64+'EGRESO-POS plan'!I65+'EGRESO-POS plan'!I66+'EGRESO-POS plan'!I67+'EGRESO-POS plan'!I68+'EGRESO-POS plan'!I69+'EGRESO-POS plan'!I70+'EGRESO-POS plan'!I71</f>
        <v>5</v>
      </c>
      <c r="H28" s="1279">
        <f>+'EGRESO-POS plan'!J64+'EGRESO-POS plan'!J65+'EGRESO-POS plan'!J66+'EGRESO-POS plan'!J67+'EGRESO-POS plan'!J68+'EGRESO-POS plan'!J69+'EGRESO-POS plan'!J70+'EGRESO-POS plan'!J71</f>
        <v>24</v>
      </c>
      <c r="I28" s="1279">
        <f>+'EGRESO-POS plan'!K64+'EGRESO-POS plan'!K65+'EGRESO-POS plan'!K66+'EGRESO-POS plan'!K67+'EGRESO-POS plan'!K68+'EGRESO-POS plan'!K69+'EGRESO-POS plan'!K70+'EGRESO-POS plan'!K71</f>
        <v>12</v>
      </c>
      <c r="J28" s="1280">
        <f t="shared" si="42"/>
        <v>41</v>
      </c>
      <c r="K28" s="1278">
        <f>+'EGRESO-POS plan'!M64+'EGRESO-POS plan'!M65+'EGRESO-POS plan'!M66+'EGRESO-POS plan'!M67+'EGRESO-POS plan'!M68+'EGRESO-POS plan'!M69+'EGRESO-POS plan'!M70+'EGRESO-POS plan'!M71</f>
        <v>8</v>
      </c>
      <c r="L28" s="1279">
        <f>+'EGRESO-POS plan'!N64+'EGRESO-POS plan'!N65+'EGRESO-POS plan'!N66+'EGRESO-POS plan'!N67+'EGRESO-POS plan'!N68+'EGRESO-POS plan'!N69+'EGRESO-POS plan'!N70+'EGRESO-POS plan'!N71</f>
        <v>46</v>
      </c>
      <c r="M28" s="1279">
        <f>+'EGRESO-POS plan'!O64+'EGRESO-POS plan'!O65+'EGRESO-POS plan'!O66+'EGRESO-POS plan'!O67+'EGRESO-POS plan'!O68+'EGRESO-POS plan'!O69+'EGRESO-POS plan'!O70+'EGRESO-POS plan'!O71</f>
        <v>17</v>
      </c>
      <c r="N28" s="1280">
        <f t="shared" si="43"/>
        <v>71</v>
      </c>
      <c r="O28" s="1278">
        <f>+'EGRESO-POS plan'!Q64+'EGRESO-POS plan'!Q65+'EGRESO-POS plan'!Q66+'EGRESO-POS plan'!Q67+'EGRESO-POS plan'!Q68+'EGRESO-POS plan'!Q69+'EGRESO-POS plan'!Q70+'EGRESO-POS plan'!Q71</f>
        <v>11</v>
      </c>
      <c r="P28" s="1279">
        <f>+'EGRESO-POS plan'!R64+'EGRESO-POS plan'!R65+'EGRESO-POS plan'!R66+'EGRESO-POS plan'!R67+'EGRESO-POS plan'!R68+'EGRESO-POS plan'!R69+'EGRESO-POS plan'!R70+'EGRESO-POS plan'!R71</f>
        <v>12</v>
      </c>
      <c r="Q28" s="1279">
        <f>+'EGRESO-POS plan'!S64+'EGRESO-POS plan'!S65+'EGRESO-POS plan'!S66+'EGRESO-POS plan'!S67+'EGRESO-POS plan'!S68+'EGRESO-POS plan'!S69+'EGRESO-POS plan'!S70+'EGRESO-POS plan'!S71</f>
        <v>8</v>
      </c>
      <c r="R28" s="1280">
        <f t="shared" si="44"/>
        <v>31</v>
      </c>
      <c r="S28" s="1278">
        <v>11</v>
      </c>
      <c r="T28" s="1279">
        <v>14</v>
      </c>
      <c r="U28" s="1279">
        <v>13</v>
      </c>
      <c r="V28" s="1280">
        <v>38</v>
      </c>
      <c r="W28" s="1278">
        <v>8</v>
      </c>
      <c r="X28" s="1279">
        <v>20</v>
      </c>
      <c r="Y28" s="1279">
        <v>9</v>
      </c>
      <c r="Z28" s="1281">
        <v>37</v>
      </c>
      <c r="AA28" s="1278">
        <v>8</v>
      </c>
      <c r="AB28" s="1279">
        <v>14</v>
      </c>
      <c r="AC28" s="1279">
        <v>3</v>
      </c>
      <c r="AD28" s="1280">
        <v>25</v>
      </c>
      <c r="AE28" s="1279">
        <v>4</v>
      </c>
      <c r="AF28" s="1279">
        <v>28</v>
      </c>
      <c r="AG28" s="1279">
        <v>13</v>
      </c>
      <c r="AH28" s="1280">
        <v>45</v>
      </c>
      <c r="AI28" s="1279">
        <v>11</v>
      </c>
      <c r="AJ28" s="1279">
        <v>34</v>
      </c>
      <c r="AK28" s="1279">
        <v>11</v>
      </c>
      <c r="AL28" s="1281">
        <v>56</v>
      </c>
      <c r="AM28" s="1035">
        <v>5</v>
      </c>
      <c r="AN28" s="1036">
        <v>12</v>
      </c>
      <c r="AO28" s="1036">
        <v>15</v>
      </c>
      <c r="AP28" s="1039">
        <v>32</v>
      </c>
      <c r="AQ28" s="1035">
        <v>16</v>
      </c>
      <c r="AR28" s="1036">
        <v>42</v>
      </c>
      <c r="AS28" s="1036">
        <v>17</v>
      </c>
      <c r="AT28" s="1039">
        <v>75</v>
      </c>
      <c r="AU28" s="1035">
        <v>21</v>
      </c>
      <c r="AV28" s="1036">
        <v>44</v>
      </c>
      <c r="AW28" s="1036">
        <v>14</v>
      </c>
      <c r="AX28" s="1039">
        <f t="shared" si="45"/>
        <v>79</v>
      </c>
      <c r="AY28" s="1035">
        <v>50</v>
      </c>
      <c r="AZ28" s="1036">
        <v>31</v>
      </c>
      <c r="BA28" s="1036">
        <v>17</v>
      </c>
      <c r="BB28" s="1039">
        <f t="shared" si="46"/>
        <v>98</v>
      </c>
      <c r="BC28" s="1035">
        <f>SUM('EGRESO-POS plan'!BE64,'EGRESO-POS plan'!BE65,'EGRESO-POS plan'!BE66,'EGRESO-POS plan'!BE67,'EGRESO-POS plan'!BE68,'EGRESO-POS plan'!BE69,'EGRESO-POS plan'!BE70,'EGRESO-POS plan'!BE71)</f>
        <v>12</v>
      </c>
      <c r="BD28" s="1036">
        <f>SUM('EGRESO-POS plan'!BF64,'EGRESO-POS plan'!BF65,'EGRESO-POS plan'!BF66,'EGRESO-POS plan'!BF67,'EGRESO-POS plan'!BF68,'EGRESO-POS plan'!BF69,'EGRESO-POS plan'!BF70,'EGRESO-POS plan'!BF71)</f>
        <v>27</v>
      </c>
      <c r="BE28" s="1036">
        <f>SUM('EGRESO-POS plan'!BG64,'EGRESO-POS plan'!BG65,'EGRESO-POS plan'!BG66,'EGRESO-POS plan'!BG67,'EGRESO-POS plan'!BG68,'EGRESO-POS plan'!BG69,'EGRESO-POS plan'!BG70,'EGRESO-POS plan'!BG71)</f>
        <v>24</v>
      </c>
      <c r="BF28" s="1039">
        <f>SUM(BC28:BE28)</f>
        <v>63</v>
      </c>
      <c r="BG28" s="1035">
        <f>SUM('EGRESO-POS plan'!BI64,'EGRESO-POS plan'!BI65,'EGRESO-POS plan'!BI66,'EGRESO-POS plan'!BI67,'EGRESO-POS plan'!BI68,'EGRESO-POS plan'!BI69,'EGRESO-POS plan'!BI70,'EGRESO-POS plan'!BI71)</f>
        <v>44</v>
      </c>
      <c r="BH28" s="1036">
        <f>SUM('EGRESO-POS plan'!BJ64,'EGRESO-POS plan'!BJ65,'EGRESO-POS plan'!BJ66,'EGRESO-POS plan'!BJ67,'EGRESO-POS plan'!BJ68,'EGRESO-POS plan'!BJ69,'EGRESO-POS plan'!BJ70,'EGRESO-POS plan'!BJ71)</f>
        <v>9</v>
      </c>
      <c r="BI28" s="1036">
        <f>SUM('EGRESO-POS plan'!BK64,'EGRESO-POS plan'!BK65,'EGRESO-POS plan'!BK66,'EGRESO-POS plan'!BK67,'EGRESO-POS plan'!BK68,'EGRESO-POS plan'!BK69,'EGRESO-POS plan'!BK70,'EGRESO-POS plan'!BK71)</f>
        <v>12</v>
      </c>
      <c r="BJ28" s="1039">
        <f>SUM(BG28:BI28)</f>
        <v>65</v>
      </c>
      <c r="BK28" s="1035">
        <f>SUM('EGRESO-POS plan'!BM64,'EGRESO-POS plan'!BM65,'EGRESO-POS plan'!BM66,'EGRESO-POS plan'!BM67,'EGRESO-POS plan'!BM68,'EGRESO-POS plan'!BM69,'EGRESO-POS plan'!BM70,'EGRESO-POS plan'!BM71)</f>
        <v>11</v>
      </c>
      <c r="BL28" s="1036">
        <f>SUM('EGRESO-POS plan'!BN64,'EGRESO-POS plan'!BN65,'EGRESO-POS plan'!BN66,'EGRESO-POS plan'!BN67,'EGRESO-POS plan'!BN68,'EGRESO-POS plan'!BN69,'EGRESO-POS plan'!BN70,'EGRESO-POS plan'!BN71)</f>
        <v>44</v>
      </c>
      <c r="BM28" s="1036">
        <f>SUM('EGRESO-POS plan'!BO64,'EGRESO-POS plan'!BO65,'EGRESO-POS plan'!BO66,'EGRESO-POS plan'!BO67,'EGRESO-POS plan'!BO68,'EGRESO-POS plan'!BO69,'EGRESO-POS plan'!BO70,'EGRESO-POS plan'!BO71)</f>
        <v>59</v>
      </c>
      <c r="BN28" s="1039">
        <f>SUM(BK28:BM28)</f>
        <v>114</v>
      </c>
      <c r="BO28" s="1035">
        <f>SUM('EGRESO-POS plan'!BQ64,'EGRESO-POS plan'!BQ65,'EGRESO-POS plan'!BQ66,'EGRESO-POS plan'!BQ67,'EGRESO-POS plan'!BQ68,'EGRESO-POS plan'!BQ69,'EGRESO-POS plan'!BQ70,'EGRESO-POS plan'!BQ71)</f>
        <v>12</v>
      </c>
      <c r="BP28" s="1036">
        <f>SUM('EGRESO-POS plan'!BR64,'EGRESO-POS plan'!BR65,'EGRESO-POS plan'!BR66,'EGRESO-POS plan'!BR67,'EGRESO-POS plan'!BR68,'EGRESO-POS plan'!BR69,'EGRESO-POS plan'!BR70,'EGRESO-POS plan'!BR71)</f>
        <v>2</v>
      </c>
      <c r="BQ28" s="1036">
        <f>SUM('EGRESO-POS plan'!BS64,'EGRESO-POS plan'!BS65,'EGRESO-POS plan'!BS66,'EGRESO-POS plan'!BS67,'EGRESO-POS plan'!BS68,'EGRESO-POS plan'!BS69,'EGRESO-POS plan'!BS70,'EGRESO-POS plan'!BS71)</f>
        <v>13</v>
      </c>
      <c r="BR28" s="1039">
        <f>SUM(BO28:BQ28)</f>
        <v>27</v>
      </c>
      <c r="BS28" s="1035">
        <f>SUM('EGRESO-POS plan'!BU64,'EGRESO-POS plan'!BU65,'EGRESO-POS plan'!BU66,'EGRESO-POS plan'!BU67,'EGRESO-POS plan'!BU68,'EGRESO-POS plan'!BU69,'EGRESO-POS plan'!BU70,'EGRESO-POS plan'!BU71)</f>
        <v>2</v>
      </c>
      <c r="BT28" s="1036">
        <f>SUM('EGRESO-POS plan'!BV64,'EGRESO-POS plan'!BV65,'EGRESO-POS plan'!BV66,'EGRESO-POS plan'!BV67,'EGRESO-POS plan'!BV68,'EGRESO-POS plan'!BV69,'EGRESO-POS plan'!BV70,'EGRESO-POS plan'!BV71)</f>
        <v>37</v>
      </c>
      <c r="BU28" s="1036">
        <f>SUM('EGRESO-POS plan'!BW64,'EGRESO-POS plan'!BW65,'EGRESO-POS plan'!BW66,'EGRESO-POS plan'!BW67,'EGRESO-POS plan'!BW68,'EGRESO-POS plan'!BW69,'EGRESO-POS plan'!BW70,'EGRESO-POS plan'!BW71)</f>
        <v>45</v>
      </c>
      <c r="BV28" s="1039">
        <f>SUM(BS28:BU28)</f>
        <v>84</v>
      </c>
      <c r="BW28" s="1035">
        <f>SUM('EGRESO-POS plan'!BY64,'EGRESO-POS plan'!BY65,'EGRESO-POS plan'!BY66,'EGRESO-POS plan'!BY67,'EGRESO-POS plan'!BY68,'EGRESO-POS plan'!BY69,'EGRESO-POS plan'!BY70,'EGRESO-POS plan'!BY71)</f>
        <v>17</v>
      </c>
      <c r="BX28" s="1036">
        <f>SUM('EGRESO-POS plan'!BZ64,'EGRESO-POS plan'!BZ65,'EGRESO-POS plan'!BZ66,'EGRESO-POS plan'!BZ67,'EGRESO-POS plan'!BZ68,'EGRESO-POS plan'!BZ69,'EGRESO-POS plan'!BZ70,'EGRESO-POS plan'!BZ71)</f>
        <v>11</v>
      </c>
      <c r="BY28" s="1036">
        <f>SUM('EGRESO-POS plan'!CA64,'EGRESO-POS plan'!CA65,'EGRESO-POS plan'!CA66,'EGRESO-POS plan'!CA67,'EGRESO-POS plan'!CA68,'EGRESO-POS plan'!CA69,'EGRESO-POS plan'!CA70,'EGRESO-POS plan'!CA71)</f>
        <v>28</v>
      </c>
      <c r="BZ28" s="1039">
        <f>SUM(BW28:BY28)</f>
        <v>56</v>
      </c>
    </row>
    <row r="29" spans="1:78" ht="15" x14ac:dyDescent="0.2">
      <c r="A29" s="6219"/>
      <c r="B29" s="1040" t="s">
        <v>617</v>
      </c>
      <c r="C29" s="1278">
        <f>+'EGRESO-POS plan'!E72+'EGRESO-POS plan'!E73+'EGRESO-POS plan'!E74+'EGRESO-POS plan'!E75+'EGRESO-POS plan'!E76</f>
        <v>1</v>
      </c>
      <c r="D29" s="1279">
        <f>+'EGRESO-POS plan'!F72+'EGRESO-POS plan'!F73+'EGRESO-POS plan'!F74+'EGRESO-POS plan'!F75+'EGRESO-POS plan'!F76</f>
        <v>0</v>
      </c>
      <c r="E29" s="1279">
        <f>+'EGRESO-POS plan'!G72+'EGRESO-POS plan'!G73+'EGRESO-POS plan'!G74+'EGRESO-POS plan'!G75+'EGRESO-POS plan'!G76</f>
        <v>0</v>
      </c>
      <c r="F29" s="1280">
        <f t="shared" si="41"/>
        <v>1</v>
      </c>
      <c r="G29" s="1278">
        <f>+'EGRESO-POS plan'!I72+'EGRESO-POS plan'!I73+'EGRESO-POS plan'!I74+'EGRESO-POS plan'!I75+'EGRESO-POS plan'!I76</f>
        <v>0</v>
      </c>
      <c r="H29" s="1279">
        <f>+'EGRESO-POS plan'!J72+'EGRESO-POS plan'!J73+'EGRESO-POS plan'!J74+'EGRESO-POS plan'!J75+'EGRESO-POS plan'!J76</f>
        <v>0</v>
      </c>
      <c r="I29" s="1279">
        <f>+'EGRESO-POS plan'!K72+'EGRESO-POS plan'!K73+'EGRESO-POS plan'!K74+'EGRESO-POS plan'!K75+'EGRESO-POS plan'!K76</f>
        <v>6</v>
      </c>
      <c r="J29" s="1280">
        <f t="shared" si="42"/>
        <v>6</v>
      </c>
      <c r="K29" s="1278">
        <f>+'EGRESO-POS plan'!M72+'EGRESO-POS plan'!M73+'EGRESO-POS plan'!M74+'EGRESO-POS plan'!M75+'EGRESO-POS plan'!M76</f>
        <v>1</v>
      </c>
      <c r="L29" s="1279">
        <f>+'EGRESO-POS plan'!N72+'EGRESO-POS plan'!N73+'EGRESO-POS plan'!N74+'EGRESO-POS plan'!N75+'EGRESO-POS plan'!N76</f>
        <v>8</v>
      </c>
      <c r="M29" s="1279">
        <f>+'EGRESO-POS plan'!O72+'EGRESO-POS plan'!O73+'EGRESO-POS plan'!O74+'EGRESO-POS plan'!O75+'EGRESO-POS plan'!O76</f>
        <v>7</v>
      </c>
      <c r="N29" s="1280">
        <f t="shared" si="43"/>
        <v>16</v>
      </c>
      <c r="O29" s="1278">
        <f>+'EGRESO-POS plan'!Q72+'EGRESO-POS plan'!Q73+'EGRESO-POS plan'!Q74+'EGRESO-POS plan'!Q75+'EGRESO-POS plan'!Q76</f>
        <v>7</v>
      </c>
      <c r="P29" s="1279">
        <f>+'EGRESO-POS plan'!R72+'EGRESO-POS plan'!R73+'EGRESO-POS plan'!R74+'EGRESO-POS plan'!R75+'EGRESO-POS plan'!R76</f>
        <v>9</v>
      </c>
      <c r="Q29" s="1279">
        <f>+'EGRESO-POS plan'!S72+'EGRESO-POS plan'!S73+'EGRESO-POS plan'!S74+'EGRESO-POS plan'!S75+'EGRESO-POS plan'!S76</f>
        <v>9</v>
      </c>
      <c r="R29" s="1280">
        <f t="shared" si="44"/>
        <v>25</v>
      </c>
      <c r="S29" s="1278">
        <v>3</v>
      </c>
      <c r="T29" s="1279">
        <v>9</v>
      </c>
      <c r="U29" s="1279">
        <v>21</v>
      </c>
      <c r="V29" s="1280">
        <v>33</v>
      </c>
      <c r="W29" s="1278">
        <v>12</v>
      </c>
      <c r="X29" s="1279">
        <v>17</v>
      </c>
      <c r="Y29" s="1279">
        <v>15</v>
      </c>
      <c r="Z29" s="1281">
        <v>44</v>
      </c>
      <c r="AA29" s="1278">
        <v>5</v>
      </c>
      <c r="AB29" s="1279">
        <v>14</v>
      </c>
      <c r="AC29" s="1279">
        <v>10</v>
      </c>
      <c r="AD29" s="1280">
        <v>29</v>
      </c>
      <c r="AE29" s="1279">
        <v>6</v>
      </c>
      <c r="AF29" s="1279">
        <v>13</v>
      </c>
      <c r="AG29" s="1279">
        <v>30</v>
      </c>
      <c r="AH29" s="1280">
        <v>49</v>
      </c>
      <c r="AI29" s="1279">
        <v>13</v>
      </c>
      <c r="AJ29" s="1279">
        <v>25</v>
      </c>
      <c r="AK29" s="1279">
        <v>15</v>
      </c>
      <c r="AL29" s="1281">
        <v>53</v>
      </c>
      <c r="AM29" s="1035">
        <v>12</v>
      </c>
      <c r="AN29" s="1036">
        <v>16</v>
      </c>
      <c r="AO29" s="1036">
        <v>10</v>
      </c>
      <c r="AP29" s="1039">
        <v>38</v>
      </c>
      <c r="AQ29" s="1035">
        <v>14</v>
      </c>
      <c r="AR29" s="1036">
        <v>17</v>
      </c>
      <c r="AS29" s="1036">
        <v>19</v>
      </c>
      <c r="AT29" s="1039">
        <v>50</v>
      </c>
      <c r="AU29" s="1035">
        <v>12</v>
      </c>
      <c r="AV29" s="1036">
        <v>22</v>
      </c>
      <c r="AW29" s="1036">
        <v>12</v>
      </c>
      <c r="AX29" s="1039">
        <f t="shared" si="45"/>
        <v>46</v>
      </c>
      <c r="AY29" s="1035">
        <v>30</v>
      </c>
      <c r="AZ29" s="1036">
        <v>16</v>
      </c>
      <c r="BA29" s="1036">
        <v>14</v>
      </c>
      <c r="BB29" s="1039">
        <f t="shared" si="46"/>
        <v>60</v>
      </c>
      <c r="BC29" s="1035">
        <f>SUM('EGRESO-POS plan'!BE72,'EGRESO-POS plan'!BE73,'EGRESO-POS plan'!BE74,'EGRESO-POS plan'!BE75,'EGRESO-POS plan'!BE76)</f>
        <v>17</v>
      </c>
      <c r="BD29" s="1036">
        <f>SUM('EGRESO-POS plan'!BF72,'EGRESO-POS plan'!BF73,'EGRESO-POS plan'!BF74,'EGRESO-POS plan'!BF75,'EGRESO-POS plan'!BF76)</f>
        <v>13</v>
      </c>
      <c r="BE29" s="1036">
        <f>SUM('EGRESO-POS plan'!BG72,'EGRESO-POS plan'!BG73,'EGRESO-POS plan'!BG74,'EGRESO-POS plan'!BG75,'EGRESO-POS plan'!BG76)</f>
        <v>19</v>
      </c>
      <c r="BF29" s="1039">
        <f>SUM(BC29:BE29)</f>
        <v>49</v>
      </c>
      <c r="BG29" s="1035">
        <f>SUM('EGRESO-POS plan'!BI72,'EGRESO-POS plan'!BI73,'EGRESO-POS plan'!BI74,'EGRESO-POS plan'!BI75,'EGRESO-POS plan'!BI76)</f>
        <v>19</v>
      </c>
      <c r="BH29" s="1036">
        <f>SUM('EGRESO-POS plan'!BJ72,'EGRESO-POS plan'!BJ73,'EGRESO-POS plan'!BJ74,'EGRESO-POS plan'!BJ75,'EGRESO-POS plan'!BJ76)</f>
        <v>16</v>
      </c>
      <c r="BI29" s="1036">
        <f>SUM('EGRESO-POS plan'!BK72,'EGRESO-POS plan'!BK73,'EGRESO-POS plan'!BK74,'EGRESO-POS plan'!BK75,'EGRESO-POS plan'!BK76)</f>
        <v>23</v>
      </c>
      <c r="BJ29" s="1039">
        <f>SUM(BG29:BI29)</f>
        <v>58</v>
      </c>
      <c r="BK29" s="1035">
        <f>SUM('EGRESO-POS plan'!BM72,'EGRESO-POS plan'!BM73,'EGRESO-POS plan'!BM74,'EGRESO-POS plan'!BM75,'EGRESO-POS plan'!BM76)</f>
        <v>22</v>
      </c>
      <c r="BL29" s="1036">
        <f>SUM('EGRESO-POS plan'!BN72,'EGRESO-POS plan'!BN73,'EGRESO-POS plan'!BN74,'EGRESO-POS plan'!BN75,'EGRESO-POS plan'!BN76)</f>
        <v>21</v>
      </c>
      <c r="BM29" s="1036">
        <f>SUM('EGRESO-POS plan'!BO72,'EGRESO-POS plan'!BO73,'EGRESO-POS plan'!BO74,'EGRESO-POS plan'!BO75,'EGRESO-POS plan'!BO76)</f>
        <v>34</v>
      </c>
      <c r="BN29" s="1039">
        <f>SUM(BK29:BM29)</f>
        <v>77</v>
      </c>
      <c r="BO29" s="1035">
        <f>SUM('EGRESO-POS plan'!BQ72,'EGRESO-POS plan'!BQ73,'EGRESO-POS plan'!BQ74,'EGRESO-POS plan'!BQ75,'EGRESO-POS plan'!BQ76)</f>
        <v>16</v>
      </c>
      <c r="BP29" s="1036">
        <f>SUM('EGRESO-POS plan'!BR72,'EGRESO-POS plan'!BR73,'EGRESO-POS plan'!BR74,'EGRESO-POS plan'!BR75,'EGRESO-POS plan'!BR76)</f>
        <v>17</v>
      </c>
      <c r="BQ29" s="1036">
        <f>SUM('EGRESO-POS plan'!BS72,'EGRESO-POS plan'!BS73,'EGRESO-POS plan'!BS74,'EGRESO-POS plan'!BS75,'EGRESO-POS plan'!BS76)</f>
        <v>7</v>
      </c>
      <c r="BR29" s="1039">
        <f>SUM(BO29:BQ29)</f>
        <v>40</v>
      </c>
      <c r="BS29" s="1035">
        <f>SUM('EGRESO-POS plan'!BU72,'EGRESO-POS plan'!BU73,'EGRESO-POS plan'!BU74,'EGRESO-POS plan'!BU75,'EGRESO-POS plan'!BU76)</f>
        <v>12</v>
      </c>
      <c r="BT29" s="1036">
        <f>SUM('EGRESO-POS plan'!BV72,'EGRESO-POS plan'!BV73,'EGRESO-POS plan'!BV74,'EGRESO-POS plan'!BV75,'EGRESO-POS plan'!BV76)</f>
        <v>24</v>
      </c>
      <c r="BU29" s="1036">
        <f>SUM('EGRESO-POS plan'!BW72,'EGRESO-POS plan'!BW73,'EGRESO-POS plan'!BW74,'EGRESO-POS plan'!BW75,'EGRESO-POS plan'!BW76)</f>
        <v>31</v>
      </c>
      <c r="BV29" s="1039">
        <f>SUM(BS29:BU29)</f>
        <v>67</v>
      </c>
      <c r="BW29" s="1035">
        <f>SUM('EGRESO-POS plan'!BY72,'EGRESO-POS plan'!BY73,'EGRESO-POS plan'!BY74,'EGRESO-POS plan'!BY75,'EGRESO-POS plan'!BY76)</f>
        <v>19</v>
      </c>
      <c r="BX29" s="1036">
        <f>SUM('EGRESO-POS plan'!BZ72,'EGRESO-POS plan'!BZ73,'EGRESO-POS plan'!BZ74,'EGRESO-POS plan'!BZ75,'EGRESO-POS plan'!BZ76)</f>
        <v>17</v>
      </c>
      <c r="BY29" s="1036">
        <f>SUM('EGRESO-POS plan'!CA72,'EGRESO-POS plan'!CA73,'EGRESO-POS plan'!CA74,'EGRESO-POS plan'!CA75,'EGRESO-POS plan'!CA76)</f>
        <v>9</v>
      </c>
      <c r="BZ29" s="1039">
        <f>SUM(BW29:BY29)</f>
        <v>45</v>
      </c>
    </row>
    <row r="30" spans="1:78" s="222" customFormat="1" ht="15" x14ac:dyDescent="0.2">
      <c r="A30" s="6219"/>
      <c r="B30" s="574" t="s">
        <v>417</v>
      </c>
      <c r="C30" s="1147">
        <f>SUM(C27:C29)</f>
        <v>8</v>
      </c>
      <c r="D30" s="1148">
        <f>SUM(D27:D29)</f>
        <v>7</v>
      </c>
      <c r="E30" s="1148">
        <f>SUM(E27:E29)</f>
        <v>44</v>
      </c>
      <c r="F30" s="1139">
        <f t="shared" si="41"/>
        <v>59</v>
      </c>
      <c r="G30" s="1147">
        <f>SUM(G27:G29)</f>
        <v>5</v>
      </c>
      <c r="H30" s="1148">
        <f>SUM(H27:H29)</f>
        <v>27</v>
      </c>
      <c r="I30" s="1148">
        <f>SUM(I27:I29)</f>
        <v>18</v>
      </c>
      <c r="J30" s="1139">
        <f t="shared" si="42"/>
        <v>50</v>
      </c>
      <c r="K30" s="1147">
        <f>SUM(K27:K29)</f>
        <v>9</v>
      </c>
      <c r="L30" s="1148">
        <f>SUM(L27:L29)</f>
        <v>55</v>
      </c>
      <c r="M30" s="1148">
        <f>SUM(M27:M29)</f>
        <v>24</v>
      </c>
      <c r="N30" s="1139">
        <f t="shared" si="43"/>
        <v>88</v>
      </c>
      <c r="O30" s="1147">
        <f>SUM(O27:O29)</f>
        <v>18</v>
      </c>
      <c r="P30" s="1148">
        <f>SUM(P27:P29)</f>
        <v>22</v>
      </c>
      <c r="Q30" s="1148">
        <f>SUM(Q27:Q29)</f>
        <v>17</v>
      </c>
      <c r="R30" s="1139">
        <f t="shared" si="44"/>
        <v>57</v>
      </c>
      <c r="S30" s="1147">
        <v>16</v>
      </c>
      <c r="T30" s="1148">
        <v>26</v>
      </c>
      <c r="U30" s="1148">
        <v>40</v>
      </c>
      <c r="V30" s="1139">
        <v>82</v>
      </c>
      <c r="W30" s="1147">
        <v>22</v>
      </c>
      <c r="X30" s="1148">
        <v>69</v>
      </c>
      <c r="Y30" s="1148">
        <v>26</v>
      </c>
      <c r="Z30" s="1148">
        <v>117</v>
      </c>
      <c r="AA30" s="1147">
        <v>13</v>
      </c>
      <c r="AB30" s="1148">
        <v>93</v>
      </c>
      <c r="AC30" s="1148">
        <v>18</v>
      </c>
      <c r="AD30" s="1139">
        <v>124</v>
      </c>
      <c r="AE30" s="1148">
        <v>10</v>
      </c>
      <c r="AF30" s="1148">
        <v>53</v>
      </c>
      <c r="AG30" s="1148">
        <v>101</v>
      </c>
      <c r="AH30" s="1139">
        <v>164</v>
      </c>
      <c r="AI30" s="1148">
        <v>24</v>
      </c>
      <c r="AJ30" s="1148">
        <v>59</v>
      </c>
      <c r="AK30" s="1148">
        <v>26</v>
      </c>
      <c r="AL30" s="1148">
        <v>109</v>
      </c>
      <c r="AM30" s="569">
        <v>80</v>
      </c>
      <c r="AN30" s="570">
        <v>44</v>
      </c>
      <c r="AO30" s="570">
        <v>26</v>
      </c>
      <c r="AP30" s="570">
        <v>150</v>
      </c>
      <c r="AQ30" s="569">
        <v>30</v>
      </c>
      <c r="AR30" s="570">
        <v>59</v>
      </c>
      <c r="AS30" s="570">
        <v>36</v>
      </c>
      <c r="AT30" s="571">
        <v>125</v>
      </c>
      <c r="AU30" s="569">
        <f>SUM(AU27:AU29)</f>
        <v>33</v>
      </c>
      <c r="AV30" s="570">
        <f>SUM(AV27:AV29)</f>
        <v>81</v>
      </c>
      <c r="AW30" s="570">
        <f>SUM(AW27:AW29)</f>
        <v>26</v>
      </c>
      <c r="AX30" s="571">
        <f t="shared" si="45"/>
        <v>140</v>
      </c>
      <c r="AY30" s="569">
        <f>SUM(AY27:AY29)</f>
        <v>141</v>
      </c>
      <c r="AZ30" s="570">
        <f>SUM(AZ27:AZ29)</f>
        <v>48</v>
      </c>
      <c r="BA30" s="570">
        <f>SUM(BA27:BA29)</f>
        <v>77</v>
      </c>
      <c r="BB30" s="571">
        <f t="shared" si="46"/>
        <v>266</v>
      </c>
      <c r="BC30" s="569">
        <f t="shared" ref="BC30:BJ30" si="50">SUM(BC27:BC29)</f>
        <v>33</v>
      </c>
      <c r="BD30" s="570">
        <f t="shared" si="50"/>
        <v>84</v>
      </c>
      <c r="BE30" s="570">
        <f t="shared" si="50"/>
        <v>95</v>
      </c>
      <c r="BF30" s="571">
        <f t="shared" si="50"/>
        <v>212</v>
      </c>
      <c r="BG30" s="569">
        <f t="shared" si="50"/>
        <v>64</v>
      </c>
      <c r="BH30" s="570">
        <f t="shared" si="50"/>
        <v>38</v>
      </c>
      <c r="BI30" s="570">
        <f t="shared" si="50"/>
        <v>37</v>
      </c>
      <c r="BJ30" s="571">
        <f t="shared" si="50"/>
        <v>139</v>
      </c>
      <c r="BK30" s="569">
        <f t="shared" ref="BK30:BR30" si="51">SUM(BK27:BK29)</f>
        <v>33</v>
      </c>
      <c r="BL30" s="570">
        <f t="shared" si="51"/>
        <v>72</v>
      </c>
      <c r="BM30" s="570">
        <f t="shared" si="51"/>
        <v>110</v>
      </c>
      <c r="BN30" s="571">
        <f t="shared" si="51"/>
        <v>215</v>
      </c>
      <c r="BO30" s="569">
        <f t="shared" si="51"/>
        <v>28</v>
      </c>
      <c r="BP30" s="570">
        <f t="shared" si="51"/>
        <v>34</v>
      </c>
      <c r="BQ30" s="570">
        <f t="shared" si="51"/>
        <v>20</v>
      </c>
      <c r="BR30" s="571">
        <f t="shared" si="51"/>
        <v>82</v>
      </c>
      <c r="BS30" s="569">
        <f t="shared" ref="BS30:BZ30" si="52">SUM(BS27:BS29)</f>
        <v>44</v>
      </c>
      <c r="BT30" s="570">
        <f t="shared" si="52"/>
        <v>61</v>
      </c>
      <c r="BU30" s="570">
        <f t="shared" si="52"/>
        <v>93</v>
      </c>
      <c r="BV30" s="571">
        <f t="shared" si="52"/>
        <v>198</v>
      </c>
      <c r="BW30" s="569">
        <f t="shared" si="52"/>
        <v>38</v>
      </c>
      <c r="BX30" s="570">
        <f t="shared" si="52"/>
        <v>28</v>
      </c>
      <c r="BY30" s="570">
        <f t="shared" si="52"/>
        <v>49</v>
      </c>
      <c r="BZ30" s="571">
        <f t="shared" si="52"/>
        <v>115</v>
      </c>
    </row>
    <row r="31" spans="1:78" ht="15" x14ac:dyDescent="0.2">
      <c r="A31" s="6218" t="s">
        <v>11</v>
      </c>
      <c r="B31" s="1029" t="s">
        <v>615</v>
      </c>
      <c r="C31" s="1274">
        <f>+'EGRESO-POS plan'!E78+'EGRESO-POS plan'!E79</f>
        <v>0</v>
      </c>
      <c r="D31" s="1275">
        <f>+'EGRESO-POS plan'!F78+'EGRESO-POS plan'!F79</f>
        <v>0</v>
      </c>
      <c r="E31" s="1275">
        <f>+'EGRESO-POS plan'!G78+'EGRESO-POS plan'!G79</f>
        <v>1</v>
      </c>
      <c r="F31" s="1276">
        <f t="shared" si="41"/>
        <v>1</v>
      </c>
      <c r="G31" s="1274">
        <f>+'EGRESO-POS plan'!I78+'EGRESO-POS plan'!I79</f>
        <v>2</v>
      </c>
      <c r="H31" s="1275">
        <f>+'EGRESO-POS plan'!J78+'EGRESO-POS plan'!J79</f>
        <v>0</v>
      </c>
      <c r="I31" s="1275">
        <f>+'EGRESO-POS plan'!K78+'EGRESO-POS plan'!K79</f>
        <v>0</v>
      </c>
      <c r="J31" s="1276">
        <f t="shared" si="42"/>
        <v>2</v>
      </c>
      <c r="K31" s="1274">
        <f>+'EGRESO-POS plan'!M78+'EGRESO-POS plan'!M79</f>
        <v>0</v>
      </c>
      <c r="L31" s="1275">
        <f>+'EGRESO-POS plan'!N78+'EGRESO-POS plan'!N79</f>
        <v>4</v>
      </c>
      <c r="M31" s="1275">
        <f>+'EGRESO-POS plan'!O78+'EGRESO-POS plan'!O79</f>
        <v>5</v>
      </c>
      <c r="N31" s="1276">
        <f t="shared" si="43"/>
        <v>9</v>
      </c>
      <c r="O31" s="1274">
        <f>+'EGRESO-POS plan'!Q78+'EGRESO-POS plan'!Q79</f>
        <v>0</v>
      </c>
      <c r="P31" s="1275">
        <f>+'EGRESO-POS plan'!R78+'EGRESO-POS plan'!R79</f>
        <v>1</v>
      </c>
      <c r="Q31" s="1275">
        <f>+'EGRESO-POS plan'!S78+'EGRESO-POS plan'!S79</f>
        <v>0</v>
      </c>
      <c r="R31" s="1276">
        <f t="shared" si="44"/>
        <v>1</v>
      </c>
      <c r="S31" s="1274">
        <v>14</v>
      </c>
      <c r="T31" s="1275">
        <v>6</v>
      </c>
      <c r="U31" s="1275">
        <v>1</v>
      </c>
      <c r="V31" s="1276">
        <v>21</v>
      </c>
      <c r="W31" s="1274">
        <v>1</v>
      </c>
      <c r="X31" s="1275">
        <v>7</v>
      </c>
      <c r="Y31" s="1275">
        <v>6</v>
      </c>
      <c r="Z31" s="1277">
        <v>14</v>
      </c>
      <c r="AA31" s="1274">
        <v>3</v>
      </c>
      <c r="AB31" s="1275">
        <v>9</v>
      </c>
      <c r="AC31" s="1275">
        <v>4</v>
      </c>
      <c r="AD31" s="1276">
        <v>16</v>
      </c>
      <c r="AE31" s="1275">
        <v>0</v>
      </c>
      <c r="AF31" s="1275">
        <v>6</v>
      </c>
      <c r="AG31" s="1275">
        <v>5</v>
      </c>
      <c r="AH31" s="1276">
        <v>11</v>
      </c>
      <c r="AI31" s="1275">
        <v>4</v>
      </c>
      <c r="AJ31" s="1275">
        <v>8</v>
      </c>
      <c r="AK31" s="1275">
        <v>10</v>
      </c>
      <c r="AL31" s="1277">
        <v>22</v>
      </c>
      <c r="AM31" s="1030">
        <v>5</v>
      </c>
      <c r="AN31" s="1031">
        <v>6</v>
      </c>
      <c r="AO31" s="1031">
        <v>5</v>
      </c>
      <c r="AP31" s="1048">
        <v>16</v>
      </c>
      <c r="AQ31" s="1030">
        <v>7</v>
      </c>
      <c r="AR31" s="1031">
        <v>15</v>
      </c>
      <c r="AS31" s="1031">
        <v>3</v>
      </c>
      <c r="AT31" s="1048">
        <v>25</v>
      </c>
      <c r="AU31" s="1030">
        <v>3</v>
      </c>
      <c r="AV31" s="1031">
        <v>11</v>
      </c>
      <c r="AW31" s="1031">
        <v>8</v>
      </c>
      <c r="AX31" s="1048">
        <f t="shared" si="45"/>
        <v>22</v>
      </c>
      <c r="AY31" s="1030">
        <v>7</v>
      </c>
      <c r="AZ31" s="1031">
        <v>8</v>
      </c>
      <c r="BA31" s="1031">
        <v>7</v>
      </c>
      <c r="BB31" s="1048">
        <f t="shared" si="46"/>
        <v>22</v>
      </c>
      <c r="BC31" s="1030">
        <f>SUM('EGRESO-POS plan'!BE78,'EGRESO-POS plan'!BE79)</f>
        <v>3</v>
      </c>
      <c r="BD31" s="1031">
        <f>SUM('EGRESO-POS plan'!BF78,'EGRESO-POS plan'!BF79)</f>
        <v>8</v>
      </c>
      <c r="BE31" s="1031">
        <f>SUM('EGRESO-POS plan'!BG78,'EGRESO-POS plan'!BG79)</f>
        <v>6</v>
      </c>
      <c r="BF31" s="1048">
        <f>SUM(BC31:BE31)</f>
        <v>17</v>
      </c>
      <c r="BG31" s="1030">
        <f>SUM('EGRESO-POS plan'!BI78,'EGRESO-POS plan'!BI79)</f>
        <v>7</v>
      </c>
      <c r="BH31" s="1031">
        <f>SUM('EGRESO-POS plan'!BJ78,'EGRESO-POS plan'!BJ79)</f>
        <v>9</v>
      </c>
      <c r="BI31" s="1031">
        <f>SUM('EGRESO-POS plan'!BK78,'EGRESO-POS plan'!BK79)</f>
        <v>13</v>
      </c>
      <c r="BJ31" s="1048">
        <f>SUM(BG31:BI31)</f>
        <v>29</v>
      </c>
      <c r="BK31" s="1030">
        <f>SUM('EGRESO-POS plan'!BM78,'EGRESO-POS plan'!BM79)</f>
        <v>1</v>
      </c>
      <c r="BL31" s="1031">
        <f>SUM('EGRESO-POS plan'!BN78,'EGRESO-POS plan'!BN79)</f>
        <v>6</v>
      </c>
      <c r="BM31" s="1031">
        <f>SUM('EGRESO-POS plan'!BO78,'EGRESO-POS plan'!BO79)</f>
        <v>5</v>
      </c>
      <c r="BN31" s="1048">
        <f>SUM(BK31:BM31)</f>
        <v>12</v>
      </c>
      <c r="BO31" s="1030">
        <f>SUM('EGRESO-POS plan'!BQ78,'EGRESO-POS plan'!BQ79)</f>
        <v>5</v>
      </c>
      <c r="BP31" s="1031">
        <f>SUM('EGRESO-POS plan'!BR78,'EGRESO-POS plan'!BR79)</f>
        <v>5</v>
      </c>
      <c r="BQ31" s="1031">
        <f>SUM('EGRESO-POS plan'!BS78,'EGRESO-POS plan'!BS79)</f>
        <v>10</v>
      </c>
      <c r="BR31" s="1048">
        <f>SUM(BO31:BQ31)</f>
        <v>20</v>
      </c>
      <c r="BS31" s="1030">
        <f>SUM('EGRESO-POS plan'!BU78,'EGRESO-POS plan'!BU79)</f>
        <v>4</v>
      </c>
      <c r="BT31" s="1031">
        <f>SUM('EGRESO-POS plan'!BV78,'EGRESO-POS plan'!BV79)</f>
        <v>8</v>
      </c>
      <c r="BU31" s="1031">
        <f>SUM('EGRESO-POS plan'!BW78,'EGRESO-POS plan'!BW79)</f>
        <v>9</v>
      </c>
      <c r="BV31" s="1048">
        <f>SUM(BS31:BU31)</f>
        <v>21</v>
      </c>
      <c r="BW31" s="1030">
        <f>SUM('EGRESO-POS plan'!BY78,'EGRESO-POS plan'!BY79)</f>
        <v>5</v>
      </c>
      <c r="BX31" s="1031">
        <f>SUM('EGRESO-POS plan'!BZ78,'EGRESO-POS plan'!BZ79)</f>
        <v>9</v>
      </c>
      <c r="BY31" s="1031">
        <f>SUM('EGRESO-POS plan'!CA78,'EGRESO-POS plan'!CA79)</f>
        <v>2</v>
      </c>
      <c r="BZ31" s="1048">
        <f>SUM(BW31:BY31)</f>
        <v>16</v>
      </c>
    </row>
    <row r="32" spans="1:78" ht="15" x14ac:dyDescent="0.2">
      <c r="A32" s="6219"/>
      <c r="B32" s="1034" t="s">
        <v>616</v>
      </c>
      <c r="C32" s="1278">
        <f>+'EGRESO-POS plan'!E80+'EGRESO-POS plan'!E81+'EGRESO-POS plan'!E82+'EGRESO-POS plan'!E83+'EGRESO-POS plan'!E84</f>
        <v>1</v>
      </c>
      <c r="D32" s="1279">
        <f>+'EGRESO-POS plan'!F80+'EGRESO-POS plan'!F81+'EGRESO-POS plan'!F82+'EGRESO-POS plan'!F83+'EGRESO-POS plan'!F84</f>
        <v>10</v>
      </c>
      <c r="E32" s="1279">
        <f>+'EGRESO-POS plan'!G80+'EGRESO-POS plan'!G81+'EGRESO-POS plan'!G82+'EGRESO-POS plan'!G83+'EGRESO-POS plan'!G84</f>
        <v>11</v>
      </c>
      <c r="F32" s="1280">
        <f t="shared" si="41"/>
        <v>22</v>
      </c>
      <c r="G32" s="1278">
        <f>+'EGRESO-POS plan'!I80+'EGRESO-POS plan'!I81+'EGRESO-POS plan'!I82+'EGRESO-POS plan'!I83+'EGRESO-POS plan'!I84</f>
        <v>5</v>
      </c>
      <c r="H32" s="1279">
        <f>+'EGRESO-POS plan'!J80+'EGRESO-POS plan'!J81+'EGRESO-POS plan'!J82+'EGRESO-POS plan'!J83+'EGRESO-POS plan'!J84</f>
        <v>10</v>
      </c>
      <c r="I32" s="1279">
        <f>+'EGRESO-POS plan'!K80+'EGRESO-POS plan'!K81+'EGRESO-POS plan'!K82+'EGRESO-POS plan'!K83+'EGRESO-POS plan'!K84</f>
        <v>3</v>
      </c>
      <c r="J32" s="1280">
        <f t="shared" si="42"/>
        <v>18</v>
      </c>
      <c r="K32" s="1278">
        <f>+'EGRESO-POS plan'!M80+'EGRESO-POS plan'!M81+'EGRESO-POS plan'!M82+'EGRESO-POS plan'!M83+'EGRESO-POS plan'!M84</f>
        <v>3</v>
      </c>
      <c r="L32" s="1279">
        <f>+'EGRESO-POS plan'!N80+'EGRESO-POS plan'!N81+'EGRESO-POS plan'!N82+'EGRESO-POS plan'!N83+'EGRESO-POS plan'!N84</f>
        <v>9</v>
      </c>
      <c r="M32" s="1279">
        <f>+'EGRESO-POS plan'!O80+'EGRESO-POS plan'!O81+'EGRESO-POS plan'!O82+'EGRESO-POS plan'!O83+'EGRESO-POS plan'!O84</f>
        <v>18</v>
      </c>
      <c r="N32" s="1280">
        <f t="shared" si="43"/>
        <v>30</v>
      </c>
      <c r="O32" s="1278">
        <f>+'EGRESO-POS plan'!Q80+'EGRESO-POS plan'!Q81+'EGRESO-POS plan'!Q82+'EGRESO-POS plan'!Q83+'EGRESO-POS plan'!Q84</f>
        <v>5</v>
      </c>
      <c r="P32" s="1279">
        <f>+'EGRESO-POS plan'!R80+'EGRESO-POS plan'!R81+'EGRESO-POS plan'!R82+'EGRESO-POS plan'!R83+'EGRESO-POS plan'!R84</f>
        <v>13</v>
      </c>
      <c r="Q32" s="1279">
        <f>+'EGRESO-POS plan'!S80+'EGRESO-POS plan'!S81+'EGRESO-POS plan'!S82+'EGRESO-POS plan'!S83+'EGRESO-POS plan'!S84</f>
        <v>9</v>
      </c>
      <c r="R32" s="1280">
        <f t="shared" si="44"/>
        <v>27</v>
      </c>
      <c r="S32" s="1278">
        <v>3</v>
      </c>
      <c r="T32" s="1279">
        <v>6</v>
      </c>
      <c r="U32" s="1279">
        <v>14</v>
      </c>
      <c r="V32" s="1280">
        <v>23</v>
      </c>
      <c r="W32" s="1278">
        <v>4</v>
      </c>
      <c r="X32" s="1279">
        <v>25</v>
      </c>
      <c r="Y32" s="1279">
        <v>13</v>
      </c>
      <c r="Z32" s="1281">
        <v>42</v>
      </c>
      <c r="AA32" s="1278">
        <v>8</v>
      </c>
      <c r="AB32" s="1279">
        <v>7</v>
      </c>
      <c r="AC32" s="1279">
        <v>15</v>
      </c>
      <c r="AD32" s="1280">
        <v>30</v>
      </c>
      <c r="AE32" s="1279">
        <v>8</v>
      </c>
      <c r="AF32" s="1279">
        <v>13</v>
      </c>
      <c r="AG32" s="1279">
        <v>14</v>
      </c>
      <c r="AH32" s="1280">
        <v>35</v>
      </c>
      <c r="AI32" s="1279">
        <v>11</v>
      </c>
      <c r="AJ32" s="1279">
        <v>6</v>
      </c>
      <c r="AK32" s="1279">
        <v>7</v>
      </c>
      <c r="AL32" s="1281">
        <v>24</v>
      </c>
      <c r="AM32" s="1035">
        <v>14</v>
      </c>
      <c r="AN32" s="1036">
        <v>7</v>
      </c>
      <c r="AO32" s="1036">
        <v>13</v>
      </c>
      <c r="AP32" s="1039">
        <v>34</v>
      </c>
      <c r="AQ32" s="1035">
        <v>9</v>
      </c>
      <c r="AR32" s="1036">
        <v>6</v>
      </c>
      <c r="AS32" s="1036">
        <v>19</v>
      </c>
      <c r="AT32" s="1039">
        <v>34</v>
      </c>
      <c r="AU32" s="1035">
        <v>27</v>
      </c>
      <c r="AV32" s="1036">
        <v>16</v>
      </c>
      <c r="AW32" s="1036">
        <v>9</v>
      </c>
      <c r="AX32" s="1039">
        <f t="shared" si="45"/>
        <v>52</v>
      </c>
      <c r="AY32" s="1035">
        <v>8</v>
      </c>
      <c r="AZ32" s="1036">
        <v>20</v>
      </c>
      <c r="BA32" s="1036">
        <v>19</v>
      </c>
      <c r="BB32" s="1039">
        <f t="shared" si="46"/>
        <v>47</v>
      </c>
      <c r="BC32" s="1035">
        <f>SUM('EGRESO-POS plan'!BE80,'EGRESO-POS plan'!BE81,'EGRESO-POS plan'!BE82,'EGRESO-POS plan'!BE83)</f>
        <v>18</v>
      </c>
      <c r="BD32" s="1036">
        <f>SUM('EGRESO-POS plan'!BF80,'EGRESO-POS plan'!BF81,'EGRESO-POS plan'!BF82,'EGRESO-POS plan'!BF83)</f>
        <v>12</v>
      </c>
      <c r="BE32" s="1036">
        <f>SUM('EGRESO-POS plan'!BG80,'EGRESO-POS plan'!BG81,'EGRESO-POS plan'!BG82,'EGRESO-POS plan'!BG83)</f>
        <v>15</v>
      </c>
      <c r="BF32" s="1039">
        <f>SUM(BC32:BE32)</f>
        <v>45</v>
      </c>
      <c r="BG32" s="1035">
        <f>SUM('EGRESO-POS plan'!BI80,'EGRESO-POS plan'!BI81,'EGRESO-POS plan'!BI82,'EGRESO-POS plan'!BI83)</f>
        <v>10</v>
      </c>
      <c r="BH32" s="1036">
        <f>SUM('EGRESO-POS plan'!BJ80,'EGRESO-POS plan'!BJ81,'EGRESO-POS plan'!BJ82,'EGRESO-POS plan'!BJ83)</f>
        <v>16</v>
      </c>
      <c r="BI32" s="1036">
        <f>SUM('EGRESO-POS plan'!BK80,'EGRESO-POS plan'!BK81,'EGRESO-POS plan'!BK82,'EGRESO-POS plan'!BK83)</f>
        <v>26</v>
      </c>
      <c r="BJ32" s="1039">
        <f>SUM(BG32:BI32)</f>
        <v>52</v>
      </c>
      <c r="BK32" s="1035">
        <f>SUM('EGRESO-POS plan'!BM80,'EGRESO-POS plan'!BM81,'EGRESO-POS plan'!BM82,'EGRESO-POS plan'!BM83)</f>
        <v>20</v>
      </c>
      <c r="BL32" s="1036">
        <f>SUM('EGRESO-POS plan'!BN80,'EGRESO-POS plan'!BN81,'EGRESO-POS plan'!BN82,'EGRESO-POS plan'!BN83)</f>
        <v>22</v>
      </c>
      <c r="BM32" s="1036">
        <f>SUM('EGRESO-POS plan'!BO80,'EGRESO-POS plan'!BO81,'EGRESO-POS plan'!BO82,'EGRESO-POS plan'!BO83)</f>
        <v>21</v>
      </c>
      <c r="BN32" s="1039">
        <f>SUM(BK32:BM32)</f>
        <v>63</v>
      </c>
      <c r="BO32" s="1035">
        <f>SUM('EGRESO-POS plan'!BQ80,'EGRESO-POS plan'!BQ81,'EGRESO-POS plan'!BQ82,'EGRESO-POS plan'!BQ83)</f>
        <v>8</v>
      </c>
      <c r="BP32" s="1036">
        <f>SUM('EGRESO-POS plan'!BR80,'EGRESO-POS plan'!BR81,'EGRESO-POS plan'!BR82,'EGRESO-POS plan'!BR83)</f>
        <v>32</v>
      </c>
      <c r="BQ32" s="1036">
        <f>SUM('EGRESO-POS plan'!BS80,'EGRESO-POS plan'!BS81,'EGRESO-POS plan'!BS82,'EGRESO-POS plan'!BS83)</f>
        <v>18</v>
      </c>
      <c r="BR32" s="1039">
        <f>SUM(BO32:BQ32)</f>
        <v>58</v>
      </c>
      <c r="BS32" s="1035">
        <f>SUM('EGRESO-POS plan'!BU80,'EGRESO-POS plan'!BU81,'EGRESO-POS plan'!BU82,'EGRESO-POS plan'!BU83)</f>
        <v>22</v>
      </c>
      <c r="BT32" s="1036">
        <f>SUM('EGRESO-POS plan'!BV80,'EGRESO-POS plan'!BV81,'EGRESO-POS plan'!BV82,'EGRESO-POS plan'!BV83)</f>
        <v>19</v>
      </c>
      <c r="BU32" s="1036">
        <f>SUM('EGRESO-POS plan'!BW80,'EGRESO-POS plan'!BW81,'EGRESO-POS plan'!BW82,'EGRESO-POS plan'!BW83)</f>
        <v>32</v>
      </c>
      <c r="BV32" s="1039">
        <f>SUM(BS32:BU32)</f>
        <v>73</v>
      </c>
      <c r="BW32" s="1035">
        <f>SUM('EGRESO-POS plan'!BY80,'EGRESO-POS plan'!BY81,'EGRESO-POS plan'!BY82,'EGRESO-POS plan'!BY83)</f>
        <v>13</v>
      </c>
      <c r="BX32" s="1036">
        <f>SUM('EGRESO-POS plan'!BZ80,'EGRESO-POS plan'!BZ81,'EGRESO-POS plan'!BZ82,'EGRESO-POS plan'!BZ83)</f>
        <v>16</v>
      </c>
      <c r="BY32" s="1036">
        <f>SUM('EGRESO-POS plan'!CA80,'EGRESO-POS plan'!CA81,'EGRESO-POS plan'!CA82,'EGRESO-POS plan'!CA83)</f>
        <v>19</v>
      </c>
      <c r="BZ32" s="1039">
        <f>SUM(BW32:BY32)</f>
        <v>48</v>
      </c>
    </row>
    <row r="33" spans="1:78" ht="15" x14ac:dyDescent="0.2">
      <c r="A33" s="6219"/>
      <c r="B33" s="1040" t="s">
        <v>617</v>
      </c>
      <c r="C33" s="1278">
        <f>+'EGRESO-POS plan'!E87</f>
        <v>2</v>
      </c>
      <c r="D33" s="1279">
        <f>+'EGRESO-POS plan'!F87</f>
        <v>2</v>
      </c>
      <c r="E33" s="1279">
        <f>+'EGRESO-POS plan'!G87</f>
        <v>1</v>
      </c>
      <c r="F33" s="1280">
        <f t="shared" si="41"/>
        <v>5</v>
      </c>
      <c r="G33" s="1278">
        <f>+'EGRESO-POS plan'!I85+'EGRESO-POS plan'!I86+'EGRESO-POS plan'!I87</f>
        <v>4</v>
      </c>
      <c r="H33" s="1279">
        <f>+'EGRESO-POS plan'!J85+'EGRESO-POS plan'!J86+'EGRESO-POS plan'!J87</f>
        <v>3</v>
      </c>
      <c r="I33" s="1279">
        <f>+'EGRESO-POS plan'!K85+'EGRESO-POS plan'!K86+'EGRESO-POS plan'!K87</f>
        <v>3</v>
      </c>
      <c r="J33" s="1280">
        <f t="shared" si="42"/>
        <v>10</v>
      </c>
      <c r="K33" s="1278">
        <f>+'EGRESO-POS plan'!M85+'EGRESO-POS plan'!M86+'EGRESO-POS plan'!M87</f>
        <v>4</v>
      </c>
      <c r="L33" s="1279">
        <f>+'EGRESO-POS plan'!N85+'EGRESO-POS plan'!N86+'EGRESO-POS plan'!N87</f>
        <v>3</v>
      </c>
      <c r="M33" s="1279">
        <f>+'EGRESO-POS plan'!O85+'EGRESO-POS plan'!O86+'EGRESO-POS plan'!O87</f>
        <v>3</v>
      </c>
      <c r="N33" s="1280">
        <f t="shared" si="43"/>
        <v>10</v>
      </c>
      <c r="O33" s="1278">
        <f>+'EGRESO-POS plan'!Q85+'EGRESO-POS plan'!Q86+'EGRESO-POS plan'!Q87</f>
        <v>6</v>
      </c>
      <c r="P33" s="1279">
        <f>+'EGRESO-POS plan'!R85+'EGRESO-POS plan'!R86+'EGRESO-POS plan'!R87</f>
        <v>5</v>
      </c>
      <c r="Q33" s="1279">
        <f>+'EGRESO-POS plan'!S85+'EGRESO-POS plan'!S86+'EGRESO-POS plan'!S87</f>
        <v>2</v>
      </c>
      <c r="R33" s="1280">
        <f t="shared" si="44"/>
        <v>13</v>
      </c>
      <c r="S33" s="1278">
        <v>5</v>
      </c>
      <c r="T33" s="1279">
        <v>7</v>
      </c>
      <c r="U33" s="1279">
        <v>6</v>
      </c>
      <c r="V33" s="1280">
        <v>18</v>
      </c>
      <c r="W33" s="1278">
        <v>8</v>
      </c>
      <c r="X33" s="1279">
        <v>12</v>
      </c>
      <c r="Y33" s="1279">
        <v>6</v>
      </c>
      <c r="Z33" s="1281">
        <v>26</v>
      </c>
      <c r="AA33" s="1278">
        <v>13</v>
      </c>
      <c r="AB33" s="1279">
        <v>6</v>
      </c>
      <c r="AC33" s="1279">
        <v>5</v>
      </c>
      <c r="AD33" s="1280">
        <v>24</v>
      </c>
      <c r="AE33" s="1279">
        <v>7</v>
      </c>
      <c r="AF33" s="1279">
        <v>7</v>
      </c>
      <c r="AG33" s="1279">
        <v>3</v>
      </c>
      <c r="AH33" s="1280">
        <v>17</v>
      </c>
      <c r="AI33" s="1279">
        <v>5</v>
      </c>
      <c r="AJ33" s="1279">
        <v>8</v>
      </c>
      <c r="AK33" s="1279">
        <v>12</v>
      </c>
      <c r="AL33" s="1281">
        <v>25</v>
      </c>
      <c r="AM33" s="1035">
        <v>9</v>
      </c>
      <c r="AN33" s="1036">
        <v>7</v>
      </c>
      <c r="AO33" s="1036">
        <v>9</v>
      </c>
      <c r="AP33" s="1039">
        <v>25</v>
      </c>
      <c r="AQ33" s="1035">
        <v>14</v>
      </c>
      <c r="AR33" s="1036">
        <v>14</v>
      </c>
      <c r="AS33" s="1036">
        <v>14</v>
      </c>
      <c r="AT33" s="1039">
        <v>42</v>
      </c>
      <c r="AU33" s="1035">
        <v>8</v>
      </c>
      <c r="AV33" s="1036">
        <v>11</v>
      </c>
      <c r="AW33" s="1036">
        <v>9</v>
      </c>
      <c r="AX33" s="1039">
        <f t="shared" si="45"/>
        <v>28</v>
      </c>
      <c r="AY33" s="1035">
        <v>17</v>
      </c>
      <c r="AZ33" s="1036">
        <v>6</v>
      </c>
      <c r="BA33" s="1036">
        <v>7</v>
      </c>
      <c r="BB33" s="1039">
        <f t="shared" si="46"/>
        <v>30</v>
      </c>
      <c r="BC33" s="1035">
        <f>SUM('EGRESO-POS plan'!BE85,'EGRESO-POS plan'!BE86,'EGRESO-POS plan'!BE87)</f>
        <v>8</v>
      </c>
      <c r="BD33" s="1036">
        <f>SUM('EGRESO-POS plan'!BF85,'EGRESO-POS plan'!BF86,'EGRESO-POS plan'!BF87)</f>
        <v>8</v>
      </c>
      <c r="BE33" s="1036">
        <f>SUM('EGRESO-POS plan'!BG85,'EGRESO-POS plan'!BG86,'EGRESO-POS plan'!BG87)</f>
        <v>16</v>
      </c>
      <c r="BF33" s="1039">
        <f>SUM(BC33:BE33)</f>
        <v>32</v>
      </c>
      <c r="BG33" s="1035">
        <f>SUM('EGRESO-POS plan'!BI85,'EGRESO-POS plan'!BI86,'EGRESO-POS plan'!BI87)</f>
        <v>10</v>
      </c>
      <c r="BH33" s="1036">
        <f>SUM('EGRESO-POS plan'!BJ85,'EGRESO-POS plan'!BJ86,'EGRESO-POS plan'!BJ87)</f>
        <v>15</v>
      </c>
      <c r="BI33" s="1036">
        <f>SUM('EGRESO-POS plan'!BK85,'EGRESO-POS plan'!BK86,'EGRESO-POS plan'!BK87)</f>
        <v>8</v>
      </c>
      <c r="BJ33" s="1039">
        <f>SUM(BG33:BI33)</f>
        <v>33</v>
      </c>
      <c r="BK33" s="1035">
        <f>SUM('EGRESO-POS plan'!BM85,'EGRESO-POS plan'!BM86,'EGRESO-POS plan'!BM87)</f>
        <v>5</v>
      </c>
      <c r="BL33" s="1036">
        <f>SUM('EGRESO-POS plan'!BN85,'EGRESO-POS plan'!BN86,'EGRESO-POS plan'!BN87)</f>
        <v>22</v>
      </c>
      <c r="BM33" s="1036">
        <f>SUM('EGRESO-POS plan'!BO85,'EGRESO-POS plan'!BO86,'EGRESO-POS plan'!BO87)</f>
        <v>11</v>
      </c>
      <c r="BN33" s="1039">
        <f>SUM(BK33:BM33)</f>
        <v>38</v>
      </c>
      <c r="BO33" s="1035">
        <f>SUM('EGRESO-POS plan'!BQ85,'EGRESO-POS plan'!BQ86,'EGRESO-POS plan'!BQ87)</f>
        <v>16</v>
      </c>
      <c r="BP33" s="1036">
        <f>SUM('EGRESO-POS plan'!BR85,'EGRESO-POS plan'!BR86,'EGRESO-POS plan'!BR87)</f>
        <v>12</v>
      </c>
      <c r="BQ33" s="1036">
        <f>SUM('EGRESO-POS plan'!BS85,'EGRESO-POS plan'!BS86,'EGRESO-POS plan'!BS87)</f>
        <v>12</v>
      </c>
      <c r="BR33" s="1039">
        <f>SUM(BO33:BQ33)</f>
        <v>40</v>
      </c>
      <c r="BS33" s="1035">
        <f>SUM('EGRESO-POS plan'!BU85,'EGRESO-POS plan'!BU86,'EGRESO-POS plan'!BU87)</f>
        <v>12</v>
      </c>
      <c r="BT33" s="1036">
        <f>SUM('EGRESO-POS plan'!BV85,'EGRESO-POS plan'!BV86,'EGRESO-POS plan'!BV87)</f>
        <v>9</v>
      </c>
      <c r="BU33" s="1036">
        <f>SUM('EGRESO-POS plan'!BW85,'EGRESO-POS plan'!BW86,'EGRESO-POS plan'!BW87)</f>
        <v>12</v>
      </c>
      <c r="BV33" s="1039">
        <f>SUM(BS33:BU33)</f>
        <v>33</v>
      </c>
      <c r="BW33" s="1035">
        <f>SUM('EGRESO-POS plan'!BY85,'EGRESO-POS plan'!BY86,'EGRESO-POS plan'!BY87)</f>
        <v>17</v>
      </c>
      <c r="BX33" s="1036">
        <f>SUM('EGRESO-POS plan'!BZ85,'EGRESO-POS plan'!BZ86,'EGRESO-POS plan'!BZ87)</f>
        <v>9</v>
      </c>
      <c r="BY33" s="1036">
        <f>SUM('EGRESO-POS plan'!CA85,'EGRESO-POS plan'!CA86,'EGRESO-POS plan'!CA87)</f>
        <v>7</v>
      </c>
      <c r="BZ33" s="1039">
        <f>SUM(BW33:BY33)</f>
        <v>33</v>
      </c>
    </row>
    <row r="34" spans="1:78" s="222" customFormat="1" ht="15" x14ac:dyDescent="0.2">
      <c r="A34" s="6219"/>
      <c r="B34" s="574" t="s">
        <v>418</v>
      </c>
      <c r="C34" s="1147">
        <f>SUM(C31:C33)</f>
        <v>3</v>
      </c>
      <c r="D34" s="1148">
        <f>SUM(D31:D33)</f>
        <v>12</v>
      </c>
      <c r="E34" s="1148">
        <f>SUM(E31:E33)</f>
        <v>13</v>
      </c>
      <c r="F34" s="1139">
        <f>SUM(C34:E34)</f>
        <v>28</v>
      </c>
      <c r="G34" s="1147">
        <f>SUM(G31:G33)</f>
        <v>11</v>
      </c>
      <c r="H34" s="1148">
        <f>SUM(H31:H33)</f>
        <v>13</v>
      </c>
      <c r="I34" s="1148">
        <f>SUM(I31:I33)</f>
        <v>6</v>
      </c>
      <c r="J34" s="1139">
        <f t="shared" si="42"/>
        <v>30</v>
      </c>
      <c r="K34" s="1147">
        <f>SUM(K31:K33)</f>
        <v>7</v>
      </c>
      <c r="L34" s="1148">
        <f>SUM(L31:L33)</f>
        <v>16</v>
      </c>
      <c r="M34" s="1148">
        <f>SUM(M31:M33)</f>
        <v>26</v>
      </c>
      <c r="N34" s="1139">
        <f t="shared" si="43"/>
        <v>49</v>
      </c>
      <c r="O34" s="1147">
        <f>SUM(O31:O33)</f>
        <v>11</v>
      </c>
      <c r="P34" s="1148">
        <f>SUM(P31:P33)</f>
        <v>19</v>
      </c>
      <c r="Q34" s="1148">
        <f>SUM(Q31:Q33)</f>
        <v>11</v>
      </c>
      <c r="R34" s="1139">
        <f t="shared" si="44"/>
        <v>41</v>
      </c>
      <c r="S34" s="1147">
        <v>22</v>
      </c>
      <c r="T34" s="1148">
        <v>19</v>
      </c>
      <c r="U34" s="1148">
        <v>21</v>
      </c>
      <c r="V34" s="1139">
        <v>62</v>
      </c>
      <c r="W34" s="1147">
        <v>13</v>
      </c>
      <c r="X34" s="1148">
        <v>44</v>
      </c>
      <c r="Y34" s="1148">
        <v>25</v>
      </c>
      <c r="Z34" s="1148">
        <v>82</v>
      </c>
      <c r="AA34" s="1147">
        <v>24</v>
      </c>
      <c r="AB34" s="1148">
        <v>22</v>
      </c>
      <c r="AC34" s="1148">
        <v>24</v>
      </c>
      <c r="AD34" s="1139">
        <v>70</v>
      </c>
      <c r="AE34" s="1148">
        <v>15</v>
      </c>
      <c r="AF34" s="1148">
        <v>26</v>
      </c>
      <c r="AG34" s="1148">
        <v>22</v>
      </c>
      <c r="AH34" s="1139">
        <v>63</v>
      </c>
      <c r="AI34" s="1148">
        <v>20</v>
      </c>
      <c r="AJ34" s="1148">
        <v>22</v>
      </c>
      <c r="AK34" s="1148">
        <v>29</v>
      </c>
      <c r="AL34" s="1148">
        <v>71</v>
      </c>
      <c r="AM34" s="569">
        <v>28</v>
      </c>
      <c r="AN34" s="570">
        <v>20</v>
      </c>
      <c r="AO34" s="570">
        <v>27</v>
      </c>
      <c r="AP34" s="570">
        <v>75</v>
      </c>
      <c r="AQ34" s="569">
        <v>30</v>
      </c>
      <c r="AR34" s="570">
        <v>35</v>
      </c>
      <c r="AS34" s="570">
        <v>36</v>
      </c>
      <c r="AT34" s="571">
        <v>101</v>
      </c>
      <c r="AU34" s="569">
        <f>SUM(AU31:AU33)</f>
        <v>38</v>
      </c>
      <c r="AV34" s="570">
        <f>SUM(AV31:AV33)</f>
        <v>38</v>
      </c>
      <c r="AW34" s="570">
        <f>SUM(AW31:AW33)</f>
        <v>26</v>
      </c>
      <c r="AX34" s="571">
        <f t="shared" si="45"/>
        <v>102</v>
      </c>
      <c r="AY34" s="569">
        <f>SUM(AY31:AY33)</f>
        <v>32</v>
      </c>
      <c r="AZ34" s="570">
        <f>SUM(AZ31:AZ33)</f>
        <v>34</v>
      </c>
      <c r="BA34" s="570">
        <f>SUM(BA31:BA33)</f>
        <v>33</v>
      </c>
      <c r="BB34" s="571">
        <f t="shared" si="46"/>
        <v>99</v>
      </c>
      <c r="BC34" s="569">
        <f t="shared" ref="BC34:BJ34" si="53">SUM(BC31:BC33)</f>
        <v>29</v>
      </c>
      <c r="BD34" s="570">
        <f t="shared" si="53"/>
        <v>28</v>
      </c>
      <c r="BE34" s="570">
        <f t="shared" si="53"/>
        <v>37</v>
      </c>
      <c r="BF34" s="571">
        <f t="shared" si="53"/>
        <v>94</v>
      </c>
      <c r="BG34" s="569">
        <f t="shared" si="53"/>
        <v>27</v>
      </c>
      <c r="BH34" s="570">
        <f t="shared" si="53"/>
        <v>40</v>
      </c>
      <c r="BI34" s="570">
        <f t="shared" si="53"/>
        <v>47</v>
      </c>
      <c r="BJ34" s="571">
        <f t="shared" si="53"/>
        <v>114</v>
      </c>
      <c r="BK34" s="569">
        <f t="shared" ref="BK34:BR34" si="54">SUM(BK31:BK33)</f>
        <v>26</v>
      </c>
      <c r="BL34" s="570">
        <f t="shared" si="54"/>
        <v>50</v>
      </c>
      <c r="BM34" s="570">
        <f t="shared" si="54"/>
        <v>37</v>
      </c>
      <c r="BN34" s="571">
        <f t="shared" si="54"/>
        <v>113</v>
      </c>
      <c r="BO34" s="569">
        <f t="shared" si="54"/>
        <v>29</v>
      </c>
      <c r="BP34" s="570">
        <f t="shared" si="54"/>
        <v>49</v>
      </c>
      <c r="BQ34" s="570">
        <f t="shared" si="54"/>
        <v>40</v>
      </c>
      <c r="BR34" s="571">
        <f t="shared" si="54"/>
        <v>118</v>
      </c>
      <c r="BS34" s="569">
        <f t="shared" ref="BS34:BZ34" si="55">SUM(BS31:BS33)</f>
        <v>38</v>
      </c>
      <c r="BT34" s="570">
        <f t="shared" si="55"/>
        <v>36</v>
      </c>
      <c r="BU34" s="570">
        <f t="shared" si="55"/>
        <v>53</v>
      </c>
      <c r="BV34" s="571">
        <f t="shared" si="55"/>
        <v>127</v>
      </c>
      <c r="BW34" s="569">
        <f t="shared" si="55"/>
        <v>35</v>
      </c>
      <c r="BX34" s="570">
        <f t="shared" si="55"/>
        <v>34</v>
      </c>
      <c r="BY34" s="570">
        <f t="shared" si="55"/>
        <v>28</v>
      </c>
      <c r="BZ34" s="571">
        <f t="shared" si="55"/>
        <v>97</v>
      </c>
    </row>
    <row r="35" spans="1:78" ht="15" customHeight="1" x14ac:dyDescent="0.2">
      <c r="A35" s="6342" t="s">
        <v>679</v>
      </c>
      <c r="B35" s="1029" t="s">
        <v>615</v>
      </c>
      <c r="C35" s="1274">
        <f>+C23+C27+C31</f>
        <v>0</v>
      </c>
      <c r="D35" s="1275">
        <f t="shared" ref="D35:E37" si="56">+D23+D27+D31</f>
        <v>0</v>
      </c>
      <c r="E35" s="1275">
        <f t="shared" si="56"/>
        <v>26</v>
      </c>
      <c r="F35" s="1276">
        <f t="shared" si="41"/>
        <v>26</v>
      </c>
      <c r="G35" s="1274">
        <f t="shared" ref="G35:I37" si="57">+G23+G27+G31</f>
        <v>2</v>
      </c>
      <c r="H35" s="1275">
        <f t="shared" si="57"/>
        <v>3</v>
      </c>
      <c r="I35" s="1275">
        <f t="shared" si="57"/>
        <v>0</v>
      </c>
      <c r="J35" s="1276">
        <f t="shared" si="42"/>
        <v>5</v>
      </c>
      <c r="K35" s="1274">
        <f t="shared" ref="K35:M37" si="58">+K23+K27+K31</f>
        <v>0</v>
      </c>
      <c r="L35" s="1275">
        <f t="shared" si="58"/>
        <v>5</v>
      </c>
      <c r="M35" s="1275">
        <f t="shared" si="58"/>
        <v>5</v>
      </c>
      <c r="N35" s="1276">
        <f t="shared" si="43"/>
        <v>10</v>
      </c>
      <c r="O35" s="1274">
        <f t="shared" ref="O35:Q37" si="59">+O23+O27+O31</f>
        <v>0</v>
      </c>
      <c r="P35" s="1275">
        <f t="shared" si="59"/>
        <v>2</v>
      </c>
      <c r="Q35" s="1275">
        <f t="shared" si="59"/>
        <v>0</v>
      </c>
      <c r="R35" s="1276">
        <f t="shared" si="44"/>
        <v>2</v>
      </c>
      <c r="S35" s="1274">
        <f t="shared" ref="S35:AL37" si="60">S23+S27+S31</f>
        <v>16</v>
      </c>
      <c r="T35" s="1275">
        <f t="shared" si="60"/>
        <v>9</v>
      </c>
      <c r="U35" s="1275">
        <f t="shared" si="60"/>
        <v>7</v>
      </c>
      <c r="V35" s="1276">
        <f t="shared" si="60"/>
        <v>32</v>
      </c>
      <c r="W35" s="1274">
        <f t="shared" si="60"/>
        <v>3</v>
      </c>
      <c r="X35" s="1275">
        <f t="shared" si="60"/>
        <v>39</v>
      </c>
      <c r="Y35" s="1275">
        <f t="shared" si="60"/>
        <v>8</v>
      </c>
      <c r="Z35" s="1277">
        <f t="shared" si="60"/>
        <v>50</v>
      </c>
      <c r="AA35" s="1274">
        <f t="shared" si="60"/>
        <v>3</v>
      </c>
      <c r="AB35" s="1275">
        <f t="shared" si="60"/>
        <v>74</v>
      </c>
      <c r="AC35" s="1275">
        <f t="shared" si="60"/>
        <v>9</v>
      </c>
      <c r="AD35" s="1276">
        <f t="shared" si="60"/>
        <v>86</v>
      </c>
      <c r="AE35" s="1275">
        <f t="shared" si="60"/>
        <v>0</v>
      </c>
      <c r="AF35" s="1275">
        <f t="shared" si="60"/>
        <v>18</v>
      </c>
      <c r="AG35" s="1275">
        <f t="shared" si="60"/>
        <v>63</v>
      </c>
      <c r="AH35" s="1276">
        <f t="shared" si="60"/>
        <v>81</v>
      </c>
      <c r="AI35" s="1275">
        <f t="shared" si="60"/>
        <v>4</v>
      </c>
      <c r="AJ35" s="1275">
        <f t="shared" si="60"/>
        <v>8</v>
      </c>
      <c r="AK35" s="1275">
        <f t="shared" si="60"/>
        <v>10</v>
      </c>
      <c r="AL35" s="1277">
        <f t="shared" si="60"/>
        <v>22</v>
      </c>
      <c r="AM35" s="1030">
        <v>68</v>
      </c>
      <c r="AN35" s="1031">
        <v>22</v>
      </c>
      <c r="AO35" s="1031">
        <v>6</v>
      </c>
      <c r="AP35" s="1048">
        <v>96</v>
      </c>
      <c r="AQ35" s="1030">
        <f t="shared" ref="AQ35:AW37" si="61">SUM(AQ23,AQ27,AQ31)</f>
        <v>7</v>
      </c>
      <c r="AR35" s="1031">
        <f t="shared" si="61"/>
        <v>15</v>
      </c>
      <c r="AS35" s="1031">
        <f t="shared" si="61"/>
        <v>3</v>
      </c>
      <c r="AT35" s="1048">
        <f t="shared" si="61"/>
        <v>25</v>
      </c>
      <c r="AU35" s="1030">
        <f t="shared" si="61"/>
        <v>3</v>
      </c>
      <c r="AV35" s="1031">
        <f t="shared" si="61"/>
        <v>26</v>
      </c>
      <c r="AW35" s="1031">
        <f t="shared" si="61"/>
        <v>8</v>
      </c>
      <c r="AX35" s="1048">
        <f t="shared" si="45"/>
        <v>37</v>
      </c>
      <c r="AY35" s="1030">
        <f t="shared" ref="AY35:BA37" si="62">SUM(AY23,AY27,AY31)</f>
        <v>68</v>
      </c>
      <c r="AZ35" s="1031">
        <f t="shared" si="62"/>
        <v>9</v>
      </c>
      <c r="BA35" s="1031">
        <f t="shared" si="62"/>
        <v>53</v>
      </c>
      <c r="BB35" s="1048">
        <f t="shared" si="46"/>
        <v>130</v>
      </c>
      <c r="BC35" s="1030">
        <f t="shared" ref="BC35:BJ35" si="63">SUM(BC23,BC27,BC31)</f>
        <v>7</v>
      </c>
      <c r="BD35" s="1031">
        <f t="shared" si="63"/>
        <v>52</v>
      </c>
      <c r="BE35" s="1031">
        <f t="shared" si="63"/>
        <v>58</v>
      </c>
      <c r="BF35" s="1048">
        <f t="shared" si="63"/>
        <v>117</v>
      </c>
      <c r="BG35" s="1030">
        <f t="shared" si="63"/>
        <v>8</v>
      </c>
      <c r="BH35" s="1031">
        <f t="shared" si="63"/>
        <v>22</v>
      </c>
      <c r="BI35" s="1031">
        <f t="shared" si="63"/>
        <v>15</v>
      </c>
      <c r="BJ35" s="1048">
        <f t="shared" si="63"/>
        <v>45</v>
      </c>
      <c r="BK35" s="1030">
        <f t="shared" ref="BK35:BN37" si="64">SUM(BK23,BK27,BK31)</f>
        <v>1</v>
      </c>
      <c r="BL35" s="1031">
        <f t="shared" si="64"/>
        <v>13</v>
      </c>
      <c r="BM35" s="1031">
        <f t="shared" si="64"/>
        <v>22</v>
      </c>
      <c r="BN35" s="1048">
        <f t="shared" si="64"/>
        <v>36</v>
      </c>
      <c r="BO35" s="1030">
        <f t="shared" ref="BO35:BV37" si="65">SUM(BO23,BO27,BO31)</f>
        <v>5</v>
      </c>
      <c r="BP35" s="1031">
        <f t="shared" si="65"/>
        <v>20</v>
      </c>
      <c r="BQ35" s="1031">
        <f t="shared" si="65"/>
        <v>10</v>
      </c>
      <c r="BR35" s="1048">
        <f t="shared" si="65"/>
        <v>35</v>
      </c>
      <c r="BS35" s="1030">
        <f t="shared" si="65"/>
        <v>34</v>
      </c>
      <c r="BT35" s="1031">
        <f t="shared" si="65"/>
        <v>8</v>
      </c>
      <c r="BU35" s="1031">
        <f t="shared" si="65"/>
        <v>26</v>
      </c>
      <c r="BV35" s="1048">
        <f t="shared" si="65"/>
        <v>68</v>
      </c>
      <c r="BW35" s="1030">
        <f t="shared" ref="BW35:BZ35" si="66">SUM(BW23,BW27,BW31)</f>
        <v>7</v>
      </c>
      <c r="BX35" s="1031">
        <f t="shared" si="66"/>
        <v>9</v>
      </c>
      <c r="BY35" s="1031">
        <f t="shared" si="66"/>
        <v>14</v>
      </c>
      <c r="BZ35" s="1048">
        <f t="shared" si="66"/>
        <v>30</v>
      </c>
    </row>
    <row r="36" spans="1:78" ht="15" x14ac:dyDescent="0.2">
      <c r="A36" s="6343"/>
      <c r="B36" s="1034" t="s">
        <v>616</v>
      </c>
      <c r="C36" s="1278">
        <f>+C24+C28+C32</f>
        <v>13</v>
      </c>
      <c r="D36" s="1279">
        <f t="shared" si="56"/>
        <v>37</v>
      </c>
      <c r="E36" s="1279">
        <f t="shared" si="56"/>
        <v>40</v>
      </c>
      <c r="F36" s="1280">
        <f t="shared" si="41"/>
        <v>90</v>
      </c>
      <c r="G36" s="1278">
        <f t="shared" si="57"/>
        <v>16</v>
      </c>
      <c r="H36" s="1279">
        <f t="shared" si="57"/>
        <v>47</v>
      </c>
      <c r="I36" s="1279">
        <f t="shared" si="57"/>
        <v>28</v>
      </c>
      <c r="J36" s="1280">
        <f t="shared" si="42"/>
        <v>91</v>
      </c>
      <c r="K36" s="1278">
        <f t="shared" si="58"/>
        <v>15</v>
      </c>
      <c r="L36" s="1279">
        <f t="shared" si="58"/>
        <v>78</v>
      </c>
      <c r="M36" s="1279">
        <f t="shared" si="58"/>
        <v>46</v>
      </c>
      <c r="N36" s="1280">
        <f t="shared" si="43"/>
        <v>139</v>
      </c>
      <c r="O36" s="1278">
        <f t="shared" si="59"/>
        <v>25</v>
      </c>
      <c r="P36" s="1279">
        <f t="shared" si="59"/>
        <v>37</v>
      </c>
      <c r="Q36" s="1279">
        <f t="shared" si="59"/>
        <v>22</v>
      </c>
      <c r="R36" s="1280">
        <f t="shared" si="44"/>
        <v>84</v>
      </c>
      <c r="S36" s="1278">
        <f t="shared" si="60"/>
        <v>21</v>
      </c>
      <c r="T36" s="1279">
        <f t="shared" si="60"/>
        <v>30</v>
      </c>
      <c r="U36" s="1279">
        <f t="shared" si="60"/>
        <v>35</v>
      </c>
      <c r="V36" s="1280">
        <f t="shared" si="60"/>
        <v>86</v>
      </c>
      <c r="W36" s="1278">
        <f t="shared" si="60"/>
        <v>18</v>
      </c>
      <c r="X36" s="1279">
        <f t="shared" si="60"/>
        <v>55</v>
      </c>
      <c r="Y36" s="1279">
        <f t="shared" si="60"/>
        <v>29</v>
      </c>
      <c r="Z36" s="1281">
        <f t="shared" si="60"/>
        <v>102</v>
      </c>
      <c r="AA36" s="1278">
        <f t="shared" si="60"/>
        <v>27</v>
      </c>
      <c r="AB36" s="1279">
        <f t="shared" si="60"/>
        <v>28</v>
      </c>
      <c r="AC36" s="1279">
        <f t="shared" si="60"/>
        <v>23</v>
      </c>
      <c r="AD36" s="1280">
        <f t="shared" si="60"/>
        <v>78</v>
      </c>
      <c r="AE36" s="1279">
        <f t="shared" si="60"/>
        <v>21</v>
      </c>
      <c r="AF36" s="1279">
        <f t="shared" si="60"/>
        <v>46</v>
      </c>
      <c r="AG36" s="1279">
        <f t="shared" si="60"/>
        <v>41</v>
      </c>
      <c r="AH36" s="1280">
        <f t="shared" si="60"/>
        <v>108</v>
      </c>
      <c r="AI36" s="1279">
        <f t="shared" si="60"/>
        <v>27</v>
      </c>
      <c r="AJ36" s="1279">
        <f t="shared" si="60"/>
        <v>57</v>
      </c>
      <c r="AK36" s="1279">
        <f t="shared" si="60"/>
        <v>28</v>
      </c>
      <c r="AL36" s="1281">
        <f t="shared" si="60"/>
        <v>112</v>
      </c>
      <c r="AM36" s="1035">
        <v>28</v>
      </c>
      <c r="AN36" s="1036">
        <v>30</v>
      </c>
      <c r="AO36" s="1036">
        <v>37</v>
      </c>
      <c r="AP36" s="1039">
        <v>95</v>
      </c>
      <c r="AQ36" s="1035">
        <f t="shared" si="61"/>
        <v>42</v>
      </c>
      <c r="AR36" s="1036">
        <f t="shared" si="61"/>
        <v>68</v>
      </c>
      <c r="AS36" s="1036">
        <f t="shared" si="61"/>
        <v>52</v>
      </c>
      <c r="AT36" s="1039">
        <f t="shared" si="61"/>
        <v>162</v>
      </c>
      <c r="AU36" s="1035">
        <f t="shared" si="61"/>
        <v>66</v>
      </c>
      <c r="AV36" s="1036">
        <f t="shared" si="61"/>
        <v>85</v>
      </c>
      <c r="AW36" s="1036">
        <f t="shared" si="61"/>
        <v>37</v>
      </c>
      <c r="AX36" s="1039">
        <f t="shared" si="45"/>
        <v>188</v>
      </c>
      <c r="AY36" s="1035">
        <f t="shared" si="62"/>
        <v>75</v>
      </c>
      <c r="AZ36" s="1036">
        <f t="shared" si="62"/>
        <v>63</v>
      </c>
      <c r="BA36" s="1036">
        <f t="shared" si="62"/>
        <v>56</v>
      </c>
      <c r="BB36" s="1039">
        <f t="shared" si="46"/>
        <v>194</v>
      </c>
      <c r="BC36" s="1035">
        <f t="shared" ref="BC36:BF37" si="67">SUM(BC24,BC28,BC32)</f>
        <v>43</v>
      </c>
      <c r="BD36" s="1036">
        <f t="shared" si="67"/>
        <v>54</v>
      </c>
      <c r="BE36" s="1036">
        <f t="shared" si="67"/>
        <v>60</v>
      </c>
      <c r="BF36" s="1039">
        <f t="shared" si="67"/>
        <v>157</v>
      </c>
      <c r="BG36" s="1035">
        <f t="shared" ref="BG36:BJ37" si="68">SUM(BG24,BG28,BG32)</f>
        <v>75</v>
      </c>
      <c r="BH36" s="1036">
        <f t="shared" si="68"/>
        <v>51</v>
      </c>
      <c r="BI36" s="1036">
        <f t="shared" si="68"/>
        <v>55</v>
      </c>
      <c r="BJ36" s="1039">
        <f t="shared" si="68"/>
        <v>181</v>
      </c>
      <c r="BK36" s="1035">
        <f t="shared" si="64"/>
        <v>59</v>
      </c>
      <c r="BL36" s="1036">
        <f t="shared" si="64"/>
        <v>90</v>
      </c>
      <c r="BM36" s="1036">
        <f t="shared" si="64"/>
        <v>100</v>
      </c>
      <c r="BN36" s="1039">
        <f t="shared" si="64"/>
        <v>249</v>
      </c>
      <c r="BO36" s="1035">
        <f t="shared" si="65"/>
        <v>36</v>
      </c>
      <c r="BP36" s="1036">
        <f t="shared" si="65"/>
        <v>58</v>
      </c>
      <c r="BQ36" s="1036">
        <f t="shared" si="65"/>
        <v>50</v>
      </c>
      <c r="BR36" s="1039">
        <f t="shared" si="65"/>
        <v>144</v>
      </c>
      <c r="BS36" s="1035">
        <f t="shared" si="65"/>
        <v>43</v>
      </c>
      <c r="BT36" s="1036">
        <f t="shared" si="65"/>
        <v>81</v>
      </c>
      <c r="BU36" s="1036">
        <f t="shared" si="65"/>
        <v>96</v>
      </c>
      <c r="BV36" s="1039">
        <f t="shared" si="65"/>
        <v>220</v>
      </c>
      <c r="BW36" s="1035">
        <f t="shared" ref="BW36:BZ36" si="69">SUM(BW24,BW28,BW32)</f>
        <v>55</v>
      </c>
      <c r="BX36" s="1036">
        <f t="shared" si="69"/>
        <v>59</v>
      </c>
      <c r="BY36" s="1036">
        <f t="shared" si="69"/>
        <v>72</v>
      </c>
      <c r="BZ36" s="1039">
        <f t="shared" si="69"/>
        <v>186</v>
      </c>
    </row>
    <row r="37" spans="1:78" ht="15" x14ac:dyDescent="0.2">
      <c r="A37" s="6343"/>
      <c r="B37" s="1040" t="s">
        <v>617</v>
      </c>
      <c r="C37" s="1278">
        <f>+C25+C29+C33</f>
        <v>7</v>
      </c>
      <c r="D37" s="1279">
        <f t="shared" si="56"/>
        <v>9</v>
      </c>
      <c r="E37" s="1279">
        <f t="shared" si="56"/>
        <v>14</v>
      </c>
      <c r="F37" s="1280">
        <f t="shared" si="41"/>
        <v>30</v>
      </c>
      <c r="G37" s="1278">
        <f t="shared" si="57"/>
        <v>8</v>
      </c>
      <c r="H37" s="1279">
        <f t="shared" si="57"/>
        <v>10</v>
      </c>
      <c r="I37" s="1279">
        <f t="shared" si="57"/>
        <v>17</v>
      </c>
      <c r="J37" s="1280">
        <f t="shared" si="42"/>
        <v>35</v>
      </c>
      <c r="K37" s="1278">
        <f t="shared" si="58"/>
        <v>15</v>
      </c>
      <c r="L37" s="1279">
        <f t="shared" si="58"/>
        <v>26</v>
      </c>
      <c r="M37" s="1279">
        <f t="shared" si="58"/>
        <v>11</v>
      </c>
      <c r="N37" s="1280">
        <f t="shared" si="43"/>
        <v>52</v>
      </c>
      <c r="O37" s="1278">
        <f t="shared" si="59"/>
        <v>19</v>
      </c>
      <c r="P37" s="1279">
        <f t="shared" si="59"/>
        <v>24</v>
      </c>
      <c r="Q37" s="1279">
        <f t="shared" si="59"/>
        <v>21</v>
      </c>
      <c r="R37" s="1280">
        <f t="shared" si="44"/>
        <v>64</v>
      </c>
      <c r="S37" s="1278">
        <f t="shared" si="60"/>
        <v>15</v>
      </c>
      <c r="T37" s="1279">
        <f t="shared" si="60"/>
        <v>28</v>
      </c>
      <c r="U37" s="1279">
        <f t="shared" si="60"/>
        <v>35</v>
      </c>
      <c r="V37" s="1280">
        <f t="shared" si="60"/>
        <v>78</v>
      </c>
      <c r="W37" s="1278">
        <f t="shared" si="60"/>
        <v>29</v>
      </c>
      <c r="X37" s="1279">
        <f t="shared" si="60"/>
        <v>38</v>
      </c>
      <c r="Y37" s="1279">
        <f t="shared" si="60"/>
        <v>36</v>
      </c>
      <c r="Z37" s="1281">
        <f t="shared" si="60"/>
        <v>103</v>
      </c>
      <c r="AA37" s="1278">
        <f t="shared" si="60"/>
        <v>24</v>
      </c>
      <c r="AB37" s="1279">
        <f t="shared" si="60"/>
        <v>29</v>
      </c>
      <c r="AC37" s="1279">
        <f t="shared" si="60"/>
        <v>17</v>
      </c>
      <c r="AD37" s="1280">
        <f t="shared" si="60"/>
        <v>70</v>
      </c>
      <c r="AE37" s="1279">
        <f t="shared" si="60"/>
        <v>16</v>
      </c>
      <c r="AF37" s="1279">
        <f t="shared" si="60"/>
        <v>22</v>
      </c>
      <c r="AG37" s="1279">
        <f t="shared" si="60"/>
        <v>50</v>
      </c>
      <c r="AH37" s="1280">
        <f t="shared" si="60"/>
        <v>88</v>
      </c>
      <c r="AI37" s="1279">
        <f t="shared" si="60"/>
        <v>22</v>
      </c>
      <c r="AJ37" s="1279">
        <f t="shared" si="60"/>
        <v>44</v>
      </c>
      <c r="AK37" s="1279">
        <f t="shared" si="60"/>
        <v>38</v>
      </c>
      <c r="AL37" s="1281">
        <f t="shared" si="60"/>
        <v>104</v>
      </c>
      <c r="AM37" s="1035">
        <v>32</v>
      </c>
      <c r="AN37" s="1036">
        <v>29</v>
      </c>
      <c r="AO37" s="1036">
        <v>31</v>
      </c>
      <c r="AP37" s="1039">
        <v>92</v>
      </c>
      <c r="AQ37" s="1035">
        <f t="shared" si="61"/>
        <v>34</v>
      </c>
      <c r="AR37" s="1036">
        <f t="shared" si="61"/>
        <v>42</v>
      </c>
      <c r="AS37" s="1036">
        <f t="shared" si="61"/>
        <v>41</v>
      </c>
      <c r="AT37" s="1039">
        <f t="shared" si="61"/>
        <v>117</v>
      </c>
      <c r="AU37" s="1035">
        <f t="shared" si="61"/>
        <v>32</v>
      </c>
      <c r="AV37" s="1036">
        <f t="shared" si="61"/>
        <v>46</v>
      </c>
      <c r="AW37" s="1036">
        <f t="shared" si="61"/>
        <v>32</v>
      </c>
      <c r="AX37" s="1039">
        <f t="shared" si="45"/>
        <v>110</v>
      </c>
      <c r="AY37" s="1035">
        <f t="shared" si="62"/>
        <v>52</v>
      </c>
      <c r="AZ37" s="1036">
        <f t="shared" si="62"/>
        <v>32</v>
      </c>
      <c r="BA37" s="1036">
        <f t="shared" si="62"/>
        <v>29</v>
      </c>
      <c r="BB37" s="1039">
        <f t="shared" si="46"/>
        <v>113</v>
      </c>
      <c r="BC37" s="1035">
        <f t="shared" si="67"/>
        <v>28</v>
      </c>
      <c r="BD37" s="1036">
        <f t="shared" si="67"/>
        <v>31</v>
      </c>
      <c r="BE37" s="1036">
        <f t="shared" si="67"/>
        <v>44</v>
      </c>
      <c r="BF37" s="1039">
        <f t="shared" si="67"/>
        <v>103</v>
      </c>
      <c r="BG37" s="1035">
        <f t="shared" si="68"/>
        <v>37</v>
      </c>
      <c r="BH37" s="1036">
        <f t="shared" si="68"/>
        <v>37</v>
      </c>
      <c r="BI37" s="1036">
        <f t="shared" si="68"/>
        <v>41</v>
      </c>
      <c r="BJ37" s="1039">
        <f t="shared" si="68"/>
        <v>115</v>
      </c>
      <c r="BK37" s="1035">
        <f t="shared" si="64"/>
        <v>35</v>
      </c>
      <c r="BL37" s="1036">
        <f t="shared" si="64"/>
        <v>60</v>
      </c>
      <c r="BM37" s="1036">
        <f t="shared" si="64"/>
        <v>57</v>
      </c>
      <c r="BN37" s="1039">
        <f t="shared" si="64"/>
        <v>152</v>
      </c>
      <c r="BO37" s="1035">
        <f t="shared" si="65"/>
        <v>40</v>
      </c>
      <c r="BP37" s="1036">
        <f t="shared" si="65"/>
        <v>32</v>
      </c>
      <c r="BQ37" s="1036">
        <f t="shared" si="65"/>
        <v>31</v>
      </c>
      <c r="BR37" s="1039">
        <f t="shared" si="65"/>
        <v>103</v>
      </c>
      <c r="BS37" s="1035">
        <f t="shared" si="65"/>
        <v>35</v>
      </c>
      <c r="BT37" s="1036">
        <f t="shared" si="65"/>
        <v>45</v>
      </c>
      <c r="BU37" s="1036">
        <f t="shared" si="65"/>
        <v>56</v>
      </c>
      <c r="BV37" s="1039">
        <f t="shared" si="65"/>
        <v>136</v>
      </c>
      <c r="BW37" s="1035">
        <f t="shared" ref="BW37:BZ37" si="70">SUM(BW25,BW29,BW33)</f>
        <v>51</v>
      </c>
      <c r="BX37" s="1036">
        <f t="shared" si="70"/>
        <v>35</v>
      </c>
      <c r="BY37" s="1036">
        <f t="shared" si="70"/>
        <v>28</v>
      </c>
      <c r="BZ37" s="1039">
        <f t="shared" si="70"/>
        <v>114</v>
      </c>
    </row>
    <row r="38" spans="1:78" s="222" customFormat="1" ht="15" x14ac:dyDescent="0.2">
      <c r="A38" s="6344"/>
      <c r="B38" s="2433" t="s">
        <v>12</v>
      </c>
      <c r="C38" s="2425">
        <f>SUM(C35:C37)</f>
        <v>20</v>
      </c>
      <c r="D38" s="2426">
        <f>SUM(D35:D37)</f>
        <v>46</v>
      </c>
      <c r="E38" s="2426">
        <f>SUM(E35:E37)</f>
        <v>80</v>
      </c>
      <c r="F38" s="2427">
        <f t="shared" si="41"/>
        <v>146</v>
      </c>
      <c r="G38" s="2425">
        <f>SUM(G35:G37)</f>
        <v>26</v>
      </c>
      <c r="H38" s="2426">
        <f>SUM(H35:H37)</f>
        <v>60</v>
      </c>
      <c r="I38" s="2426">
        <f>SUM(I35:I37)</f>
        <v>45</v>
      </c>
      <c r="J38" s="2427">
        <f t="shared" si="42"/>
        <v>131</v>
      </c>
      <c r="K38" s="2425">
        <f>SUM(K35:K37)</f>
        <v>30</v>
      </c>
      <c r="L38" s="2426">
        <f>SUM(L35:L37)</f>
        <v>109</v>
      </c>
      <c r="M38" s="2426">
        <f>SUM(M35:M37)</f>
        <v>62</v>
      </c>
      <c r="N38" s="2427">
        <f t="shared" si="43"/>
        <v>201</v>
      </c>
      <c r="O38" s="2425">
        <f>SUM(O35:O37)</f>
        <v>44</v>
      </c>
      <c r="P38" s="2426">
        <f>SUM(P35:P37)</f>
        <v>63</v>
      </c>
      <c r="Q38" s="2426">
        <f>SUM(Q35:Q37)</f>
        <v>43</v>
      </c>
      <c r="R38" s="2427">
        <f t="shared" si="44"/>
        <v>150</v>
      </c>
      <c r="S38" s="2425">
        <f>SUM(S35:S37)</f>
        <v>52</v>
      </c>
      <c r="T38" s="2426">
        <f>SUM(T35:T37)</f>
        <v>67</v>
      </c>
      <c r="U38" s="2426">
        <f>SUM(U35:U37)</f>
        <v>77</v>
      </c>
      <c r="V38" s="2427">
        <f>SUM(V35:V37)</f>
        <v>196</v>
      </c>
      <c r="W38" s="2425">
        <f t="shared" ref="W38:AL38" si="71">SUM(W35:W37)</f>
        <v>50</v>
      </c>
      <c r="X38" s="2426">
        <f t="shared" si="71"/>
        <v>132</v>
      </c>
      <c r="Y38" s="2426">
        <f t="shared" si="71"/>
        <v>73</v>
      </c>
      <c r="Z38" s="2426">
        <f t="shared" si="71"/>
        <v>255</v>
      </c>
      <c r="AA38" s="2425">
        <f t="shared" si="71"/>
        <v>54</v>
      </c>
      <c r="AB38" s="2426">
        <f t="shared" si="71"/>
        <v>131</v>
      </c>
      <c r="AC38" s="2426">
        <f t="shared" si="71"/>
        <v>49</v>
      </c>
      <c r="AD38" s="2427">
        <f t="shared" si="71"/>
        <v>234</v>
      </c>
      <c r="AE38" s="2426">
        <f t="shared" si="71"/>
        <v>37</v>
      </c>
      <c r="AF38" s="2426">
        <f t="shared" si="71"/>
        <v>86</v>
      </c>
      <c r="AG38" s="2426">
        <f t="shared" si="71"/>
        <v>154</v>
      </c>
      <c r="AH38" s="2427">
        <f t="shared" si="71"/>
        <v>277</v>
      </c>
      <c r="AI38" s="2426">
        <f t="shared" si="71"/>
        <v>53</v>
      </c>
      <c r="AJ38" s="2426">
        <f t="shared" si="71"/>
        <v>109</v>
      </c>
      <c r="AK38" s="2426">
        <f t="shared" si="71"/>
        <v>76</v>
      </c>
      <c r="AL38" s="2426">
        <f t="shared" si="71"/>
        <v>238</v>
      </c>
      <c r="AM38" s="2415">
        <v>128</v>
      </c>
      <c r="AN38" s="2416">
        <v>81</v>
      </c>
      <c r="AO38" s="2416">
        <v>74</v>
      </c>
      <c r="AP38" s="2416">
        <v>283</v>
      </c>
      <c r="AQ38" s="2415">
        <f t="shared" ref="AQ38:AW38" si="72">SUM(AQ35:AQ37)</f>
        <v>83</v>
      </c>
      <c r="AR38" s="2416">
        <f t="shared" si="72"/>
        <v>125</v>
      </c>
      <c r="AS38" s="2416">
        <f t="shared" si="72"/>
        <v>96</v>
      </c>
      <c r="AT38" s="2417">
        <f t="shared" si="72"/>
        <v>304</v>
      </c>
      <c r="AU38" s="2415">
        <f t="shared" si="72"/>
        <v>101</v>
      </c>
      <c r="AV38" s="2416">
        <f t="shared" si="72"/>
        <v>157</v>
      </c>
      <c r="AW38" s="2416">
        <f t="shared" si="72"/>
        <v>77</v>
      </c>
      <c r="AX38" s="2417">
        <f t="shared" si="45"/>
        <v>335</v>
      </c>
      <c r="AY38" s="2415">
        <f>SUM(AY35:AY37)</f>
        <v>195</v>
      </c>
      <c r="AZ38" s="2416">
        <f>SUM(AZ35:AZ37)</f>
        <v>104</v>
      </c>
      <c r="BA38" s="2416">
        <f>SUM(BA35:BA37)</f>
        <v>138</v>
      </c>
      <c r="BB38" s="2417">
        <f t="shared" si="46"/>
        <v>437</v>
      </c>
      <c r="BC38" s="2415">
        <f t="shared" ref="BC38:BJ38" si="73">SUM(BC35:BC37)</f>
        <v>78</v>
      </c>
      <c r="BD38" s="2416">
        <f t="shared" si="73"/>
        <v>137</v>
      </c>
      <c r="BE38" s="2416">
        <f t="shared" si="73"/>
        <v>162</v>
      </c>
      <c r="BF38" s="2417">
        <f t="shared" si="73"/>
        <v>377</v>
      </c>
      <c r="BG38" s="2415">
        <f t="shared" si="73"/>
        <v>120</v>
      </c>
      <c r="BH38" s="2416">
        <f t="shared" si="73"/>
        <v>110</v>
      </c>
      <c r="BI38" s="2416">
        <f t="shared" si="73"/>
        <v>111</v>
      </c>
      <c r="BJ38" s="2417">
        <f t="shared" si="73"/>
        <v>341</v>
      </c>
      <c r="BK38" s="2415">
        <f t="shared" ref="BK38:BR38" si="74">SUM(BK35:BK37)</f>
        <v>95</v>
      </c>
      <c r="BL38" s="2416">
        <f t="shared" si="74"/>
        <v>163</v>
      </c>
      <c r="BM38" s="2416">
        <f t="shared" si="74"/>
        <v>179</v>
      </c>
      <c r="BN38" s="2417">
        <f t="shared" si="74"/>
        <v>437</v>
      </c>
      <c r="BO38" s="2415">
        <f t="shared" si="74"/>
        <v>81</v>
      </c>
      <c r="BP38" s="2416">
        <f t="shared" si="74"/>
        <v>110</v>
      </c>
      <c r="BQ38" s="2416">
        <f t="shared" si="74"/>
        <v>91</v>
      </c>
      <c r="BR38" s="2417">
        <f t="shared" si="74"/>
        <v>282</v>
      </c>
      <c r="BS38" s="2415">
        <f t="shared" ref="BS38:BZ38" si="75">SUM(BS35:BS37)</f>
        <v>112</v>
      </c>
      <c r="BT38" s="2416">
        <f t="shared" si="75"/>
        <v>134</v>
      </c>
      <c r="BU38" s="2416">
        <f t="shared" si="75"/>
        <v>178</v>
      </c>
      <c r="BV38" s="2417">
        <f t="shared" si="75"/>
        <v>424</v>
      </c>
      <c r="BW38" s="2415">
        <f t="shared" si="75"/>
        <v>113</v>
      </c>
      <c r="BX38" s="2416">
        <f t="shared" si="75"/>
        <v>103</v>
      </c>
      <c r="BY38" s="2416">
        <f t="shared" si="75"/>
        <v>114</v>
      </c>
      <c r="BZ38" s="2417">
        <f t="shared" si="75"/>
        <v>330</v>
      </c>
    </row>
    <row r="39" spans="1:78" ht="15" x14ac:dyDescent="0.2">
      <c r="A39" s="262"/>
      <c r="B39" s="262"/>
      <c r="C39" s="765"/>
      <c r="D39" s="765"/>
      <c r="E39" s="765"/>
      <c r="F39" s="765"/>
      <c r="G39" s="765"/>
      <c r="H39" s="765"/>
      <c r="I39" s="765"/>
      <c r="J39" s="765"/>
      <c r="K39" s="765"/>
      <c r="L39" s="765"/>
      <c r="M39" s="765"/>
      <c r="N39" s="765"/>
      <c r="O39" s="765"/>
      <c r="P39" s="765"/>
      <c r="Q39" s="765"/>
      <c r="R39" s="765"/>
      <c r="S39" s="765"/>
      <c r="T39" s="765"/>
      <c r="U39" s="765"/>
      <c r="V39" s="765"/>
      <c r="W39" s="765"/>
      <c r="X39" s="765"/>
      <c r="Y39" s="765"/>
      <c r="Z39" s="765"/>
      <c r="AA39" s="765"/>
      <c r="AB39" s="765"/>
      <c r="AC39" s="765"/>
      <c r="AD39" s="765"/>
      <c r="AE39" s="765"/>
      <c r="AF39" s="765"/>
      <c r="AG39" s="765"/>
      <c r="AH39" s="765"/>
      <c r="AI39" s="765"/>
      <c r="AJ39" s="765"/>
      <c r="AK39" s="765"/>
      <c r="AL39" s="765"/>
      <c r="AM39" s="765"/>
      <c r="AN39" s="765"/>
      <c r="AO39" s="765"/>
      <c r="AP39" s="765"/>
      <c r="AQ39" s="765"/>
      <c r="AR39" s="765"/>
      <c r="AS39" s="765"/>
      <c r="AT39" s="765"/>
      <c r="AU39" s="765"/>
      <c r="AV39" s="765"/>
      <c r="AW39" s="765"/>
      <c r="AX39" s="765"/>
      <c r="AY39" s="765"/>
      <c r="AZ39" s="765"/>
      <c r="BA39" s="765"/>
      <c r="BB39" s="765"/>
      <c r="BC39" s="765"/>
      <c r="BD39" s="765"/>
      <c r="BE39" s="765"/>
      <c r="BF39" s="765"/>
      <c r="BG39" s="765"/>
      <c r="BH39" s="765"/>
      <c r="BI39" s="765"/>
      <c r="BJ39" s="765"/>
      <c r="BK39" s="765"/>
      <c r="BL39" s="765"/>
      <c r="BM39" s="765"/>
      <c r="BN39" s="765"/>
      <c r="BO39" s="765"/>
      <c r="BP39" s="765"/>
      <c r="BQ39" s="765"/>
      <c r="BR39" s="765"/>
      <c r="BS39" s="765"/>
      <c r="BT39" s="765"/>
      <c r="BU39" s="765"/>
      <c r="BV39" s="765"/>
      <c r="BW39" s="765"/>
      <c r="BX39" s="765"/>
      <c r="BY39" s="765"/>
      <c r="BZ39" s="765"/>
    </row>
    <row r="40" spans="1:78" ht="15" x14ac:dyDescent="0.2">
      <c r="A40" s="6223" t="s">
        <v>6</v>
      </c>
      <c r="B40" s="1029" t="s">
        <v>615</v>
      </c>
      <c r="C40" s="1274">
        <f>+'EGRESO-POS plan'!E90+'EGRESO-POS plan'!E91</f>
        <v>0</v>
      </c>
      <c r="D40" s="1275">
        <f>+'EGRESO-POS plan'!F90+'EGRESO-POS plan'!F91</f>
        <v>0</v>
      </c>
      <c r="E40" s="1275">
        <f>+'EGRESO-POS plan'!G90+'EGRESO-POS plan'!G91</f>
        <v>0</v>
      </c>
      <c r="F40" s="1276">
        <f t="shared" ref="F40:F76" si="76">SUM(C40:E40)</f>
        <v>0</v>
      </c>
      <c r="G40" s="1274">
        <f>+'EGRESO-POS plan'!I90+'EGRESO-POS plan'!I91</f>
        <v>1</v>
      </c>
      <c r="H40" s="1275">
        <f>+'EGRESO-POS plan'!J90+'EGRESO-POS plan'!J91</f>
        <v>0</v>
      </c>
      <c r="I40" s="1275">
        <f>+'EGRESO-POS plan'!K90+'EGRESO-POS plan'!K91</f>
        <v>4</v>
      </c>
      <c r="J40" s="1276">
        <f t="shared" ref="J40:J55" si="77">SUM(G40:I40)</f>
        <v>5</v>
      </c>
      <c r="K40" s="1274">
        <f>+'EGRESO-POS plan'!M90+'EGRESO-POS plan'!M91</f>
        <v>9</v>
      </c>
      <c r="L40" s="1275">
        <f>+'EGRESO-POS plan'!N90+'EGRESO-POS plan'!N91</f>
        <v>0</v>
      </c>
      <c r="M40" s="1275">
        <f>+'EGRESO-POS plan'!O90+'EGRESO-POS plan'!O91</f>
        <v>27</v>
      </c>
      <c r="N40" s="1276">
        <f t="shared" ref="N40:N77" si="78">SUM(K40:M40)</f>
        <v>36</v>
      </c>
      <c r="O40" s="1274">
        <f>+'EGRESO-POS plan'!Q90+'EGRESO-POS plan'!Q91</f>
        <v>3</v>
      </c>
      <c r="P40" s="1275">
        <f>+'EGRESO-POS plan'!R90+'EGRESO-POS plan'!R91</f>
        <v>12</v>
      </c>
      <c r="Q40" s="1275">
        <f>+'EGRESO-POS plan'!S90+'EGRESO-POS plan'!S91</f>
        <v>0</v>
      </c>
      <c r="R40" s="1276">
        <f t="shared" ref="R40:R77" si="79">SUM(O40:Q40)</f>
        <v>15</v>
      </c>
      <c r="S40" s="1274">
        <v>0</v>
      </c>
      <c r="T40" s="1275">
        <v>1</v>
      </c>
      <c r="U40" s="1275">
        <v>12</v>
      </c>
      <c r="V40" s="1276">
        <v>13</v>
      </c>
      <c r="W40" s="1274">
        <v>1</v>
      </c>
      <c r="X40" s="1275">
        <v>1</v>
      </c>
      <c r="Y40" s="1275">
        <v>27</v>
      </c>
      <c r="Z40" s="1277">
        <v>29</v>
      </c>
      <c r="AA40" s="1274">
        <v>0</v>
      </c>
      <c r="AB40" s="1275">
        <v>16</v>
      </c>
      <c r="AC40" s="1275">
        <v>3</v>
      </c>
      <c r="AD40" s="1276">
        <v>19</v>
      </c>
      <c r="AE40" s="1275">
        <v>0</v>
      </c>
      <c r="AF40" s="1275">
        <v>2</v>
      </c>
      <c r="AG40" s="1275">
        <v>0</v>
      </c>
      <c r="AH40" s="1276">
        <v>2</v>
      </c>
      <c r="AI40" s="1275">
        <v>31</v>
      </c>
      <c r="AJ40" s="1275">
        <v>0</v>
      </c>
      <c r="AK40" s="1275">
        <v>15</v>
      </c>
      <c r="AL40" s="1277">
        <v>46</v>
      </c>
      <c r="AM40" s="1030">
        <v>0</v>
      </c>
      <c r="AN40" s="1031">
        <v>0</v>
      </c>
      <c r="AO40" s="1031">
        <v>42</v>
      </c>
      <c r="AP40" s="1048">
        <v>42</v>
      </c>
      <c r="AQ40" s="1030">
        <v>1</v>
      </c>
      <c r="AR40" s="1031">
        <v>0</v>
      </c>
      <c r="AS40" s="1031">
        <v>18</v>
      </c>
      <c r="AT40" s="1048">
        <v>19</v>
      </c>
      <c r="AU40" s="1030"/>
      <c r="AV40" s="1031"/>
      <c r="AW40" s="1031">
        <v>40</v>
      </c>
      <c r="AX40" s="1048">
        <f t="shared" ref="AX40:AX55" si="80">AU40+AV40+AW40</f>
        <v>40</v>
      </c>
      <c r="AY40" s="1030">
        <v>1</v>
      </c>
      <c r="AZ40" s="1031">
        <v>1</v>
      </c>
      <c r="BA40" s="1031">
        <v>17</v>
      </c>
      <c r="BB40" s="1048">
        <f t="shared" ref="BB40:BB55" si="81">AY40+AZ40+BA40</f>
        <v>19</v>
      </c>
      <c r="BC40" s="1030">
        <f>SUM('EGRESO-POS plan'!BE90,'EGRESO-POS plan'!BE91)</f>
        <v>0</v>
      </c>
      <c r="BD40" s="1031">
        <f>SUM('EGRESO-POS plan'!BF90,'EGRESO-POS plan'!BF91)</f>
        <v>1</v>
      </c>
      <c r="BE40" s="1031">
        <f>SUM('EGRESO-POS plan'!BG90,'EGRESO-POS plan'!BG91)</f>
        <v>0</v>
      </c>
      <c r="BF40" s="1048">
        <f>SUM(BC40:BE40)</f>
        <v>1</v>
      </c>
      <c r="BG40" s="1030">
        <f>SUM('EGRESO-POS plan'!BI90,'EGRESO-POS plan'!BI91)</f>
        <v>0</v>
      </c>
      <c r="BH40" s="1031">
        <f>SUM('EGRESO-POS plan'!BJ90,'EGRESO-POS plan'!BJ91)</f>
        <v>1</v>
      </c>
      <c r="BI40" s="1031">
        <f>SUM('EGRESO-POS plan'!BK90,'EGRESO-POS plan'!BK91)</f>
        <v>0</v>
      </c>
      <c r="BJ40" s="1048">
        <f>SUM(BG40:BI40)</f>
        <v>1</v>
      </c>
      <c r="BK40" s="1030">
        <f>SUM('EGRESO-POS plan'!BM90:BM91)</f>
        <v>0</v>
      </c>
      <c r="BL40" s="1031">
        <f>SUM('EGRESO-POS plan'!BN90,'EGRESO-POS plan'!BN91)</f>
        <v>0</v>
      </c>
      <c r="BM40" s="1031">
        <f>SUM('EGRESO-POS plan'!BO90:BO91)</f>
        <v>28</v>
      </c>
      <c r="BN40" s="1048">
        <f>SUM(BK40:BM40)</f>
        <v>28</v>
      </c>
      <c r="BO40" s="1030">
        <f>SUM('EGRESO-POS plan'!BQ90:BQ91)</f>
        <v>0</v>
      </c>
      <c r="BP40" s="1031">
        <f>SUM('EGRESO-POS plan'!BR90,'EGRESO-POS plan'!BR91)</f>
        <v>1</v>
      </c>
      <c r="BQ40" s="1031">
        <f>SUM('EGRESO-POS plan'!BS90:BS91)</f>
        <v>0</v>
      </c>
      <c r="BR40" s="1048">
        <f>SUM(BO40:BQ40)</f>
        <v>1</v>
      </c>
      <c r="BS40" s="1030">
        <f>SUM('EGRESO-POS plan'!BU90:BU91)</f>
        <v>0</v>
      </c>
      <c r="BT40" s="1031">
        <f>SUM('EGRESO-POS plan'!BV90,'EGRESO-POS plan'!BV91)</f>
        <v>0</v>
      </c>
      <c r="BU40" s="1031">
        <f>SUM('EGRESO-POS plan'!BW90:BW91)</f>
        <v>1</v>
      </c>
      <c r="BV40" s="1048">
        <f>SUM(BS40:BU40)</f>
        <v>1</v>
      </c>
      <c r="BW40" s="1030">
        <f>SUM('EGRESO-POS plan'!BY90:BY91)</f>
        <v>1</v>
      </c>
      <c r="BX40" s="1031">
        <f>SUM('EGRESO-POS plan'!BZ90,'EGRESO-POS plan'!BZ91)</f>
        <v>0</v>
      </c>
      <c r="BY40" s="1031">
        <f>SUM('EGRESO-POS plan'!CA90:CA91)</f>
        <v>0</v>
      </c>
      <c r="BZ40" s="1048">
        <f>SUM(BW40:BY40)</f>
        <v>1</v>
      </c>
    </row>
    <row r="41" spans="1:78" ht="15" x14ac:dyDescent="0.2">
      <c r="A41" s="6224"/>
      <c r="B41" s="1034" t="s">
        <v>616</v>
      </c>
      <c r="C41" s="1278">
        <f>+'EGRESO-POS plan'!E92+'EGRESO-POS plan'!E93+'EGRESO-POS plan'!E94+'EGRESO-POS plan'!E95+'EGRESO-POS plan'!E96+'EGRESO-POS plan'!E97+'EGRESO-POS plan'!E98+'EGRESO-POS plan'!E99+'EGRESO-POS plan'!E100+'EGRESO-POS plan'!E102</f>
        <v>4</v>
      </c>
      <c r="D41" s="1279">
        <f>+'EGRESO-POS plan'!F92+'EGRESO-POS plan'!F93+'EGRESO-POS plan'!F94+'EGRESO-POS plan'!F95+'EGRESO-POS plan'!F96+'EGRESO-POS plan'!F97+'EGRESO-POS plan'!F98+'EGRESO-POS plan'!F99+'EGRESO-POS plan'!F100+'EGRESO-POS plan'!F102</f>
        <v>12</v>
      </c>
      <c r="E41" s="1279">
        <f>+'EGRESO-POS plan'!G92+'EGRESO-POS plan'!G93+'EGRESO-POS plan'!G94+'EGRESO-POS plan'!G95+'EGRESO-POS plan'!G96+'EGRESO-POS plan'!G97+'EGRESO-POS plan'!G98+'EGRESO-POS plan'!G99+'EGRESO-POS plan'!G100+'EGRESO-POS plan'!G102</f>
        <v>18</v>
      </c>
      <c r="F41" s="1280">
        <f t="shared" si="76"/>
        <v>34</v>
      </c>
      <c r="G41" s="1278">
        <f>+'EGRESO-POS plan'!I92+'EGRESO-POS plan'!I93+'EGRESO-POS plan'!I94+'EGRESO-POS plan'!I95+'EGRESO-POS plan'!I96+'EGRESO-POS plan'!I97+'EGRESO-POS plan'!I98+'EGRESO-POS plan'!I99+'EGRESO-POS plan'!I100+'EGRESO-POS plan'!I102</f>
        <v>7</v>
      </c>
      <c r="H41" s="1279">
        <f>+'EGRESO-POS plan'!J92+'EGRESO-POS plan'!J93+'EGRESO-POS plan'!J94+'EGRESO-POS plan'!J95+'EGRESO-POS plan'!J96+'EGRESO-POS plan'!J97+'EGRESO-POS plan'!J98+'EGRESO-POS plan'!J99+'EGRESO-POS plan'!J100+'EGRESO-POS plan'!J102</f>
        <v>7</v>
      </c>
      <c r="I41" s="1279">
        <f>+'EGRESO-POS plan'!K92+'EGRESO-POS plan'!K93+'EGRESO-POS plan'!K94+'EGRESO-POS plan'!K95+'EGRESO-POS plan'!K96+'EGRESO-POS plan'!K97+'EGRESO-POS plan'!K98+'EGRESO-POS plan'!K99+'EGRESO-POS plan'!K100+'EGRESO-POS plan'!K102</f>
        <v>7</v>
      </c>
      <c r="J41" s="1280">
        <f t="shared" si="77"/>
        <v>21</v>
      </c>
      <c r="K41" s="1278">
        <f>+'EGRESO-POS plan'!M92+'EGRESO-POS plan'!M93+'EGRESO-POS plan'!M94+'EGRESO-POS plan'!M95+'EGRESO-POS plan'!M96+'EGRESO-POS plan'!M97+'EGRESO-POS plan'!M98+'EGRESO-POS plan'!M99+'EGRESO-POS plan'!M100+'EGRESO-POS plan'!M102</f>
        <v>4</v>
      </c>
      <c r="L41" s="1279">
        <f>+'EGRESO-POS plan'!N92+'EGRESO-POS plan'!N93+'EGRESO-POS plan'!N94+'EGRESO-POS plan'!N95+'EGRESO-POS plan'!N96+'EGRESO-POS plan'!N97+'EGRESO-POS plan'!N98+'EGRESO-POS plan'!N99+'EGRESO-POS plan'!N100+'EGRESO-POS plan'!N102</f>
        <v>8</v>
      </c>
      <c r="M41" s="1279">
        <f>+'EGRESO-POS plan'!O92+'EGRESO-POS plan'!O93+'EGRESO-POS plan'!O94+'EGRESO-POS plan'!O95+'EGRESO-POS plan'!O96+'EGRESO-POS plan'!O97+'EGRESO-POS plan'!O98+'EGRESO-POS plan'!O99+'EGRESO-POS plan'!O100+'EGRESO-POS plan'!O102</f>
        <v>9</v>
      </c>
      <c r="N41" s="1280">
        <f t="shared" si="78"/>
        <v>21</v>
      </c>
      <c r="O41" s="1278">
        <f>+'EGRESO-POS plan'!Q92+'EGRESO-POS plan'!Q93+'EGRESO-POS plan'!Q94+'EGRESO-POS plan'!Q95+'EGRESO-POS plan'!Q96+'EGRESO-POS plan'!Q97+'EGRESO-POS plan'!Q98+'EGRESO-POS plan'!Q99+'EGRESO-POS plan'!Q100+'EGRESO-POS plan'!Q102</f>
        <v>10</v>
      </c>
      <c r="P41" s="1279">
        <f>+'EGRESO-POS plan'!R92+'EGRESO-POS plan'!R93+'EGRESO-POS plan'!R94+'EGRESO-POS plan'!R95+'EGRESO-POS plan'!R96+'EGRESO-POS plan'!R97+'EGRESO-POS plan'!R98+'EGRESO-POS plan'!R99+'EGRESO-POS plan'!R100+'EGRESO-POS plan'!R102</f>
        <v>41</v>
      </c>
      <c r="Q41" s="1279">
        <f>+'EGRESO-POS plan'!S92+'EGRESO-POS plan'!S93+'EGRESO-POS plan'!S94+'EGRESO-POS plan'!S95+'EGRESO-POS plan'!S96+'EGRESO-POS plan'!S97+'EGRESO-POS plan'!S98+'EGRESO-POS plan'!S99+'EGRESO-POS plan'!S100+'EGRESO-POS plan'!S102</f>
        <v>18</v>
      </c>
      <c r="R41" s="1280">
        <f t="shared" si="79"/>
        <v>69</v>
      </c>
      <c r="S41" s="1278">
        <v>24</v>
      </c>
      <c r="T41" s="1279">
        <v>14</v>
      </c>
      <c r="U41" s="1279">
        <v>15</v>
      </c>
      <c r="V41" s="1280">
        <v>53</v>
      </c>
      <c r="W41" s="1278">
        <v>14</v>
      </c>
      <c r="X41" s="1279">
        <v>13</v>
      </c>
      <c r="Y41" s="1279">
        <v>11</v>
      </c>
      <c r="Z41" s="1281">
        <v>38</v>
      </c>
      <c r="AA41" s="1278">
        <v>20</v>
      </c>
      <c r="AB41" s="1279">
        <v>14</v>
      </c>
      <c r="AC41" s="1279">
        <v>23</v>
      </c>
      <c r="AD41" s="1280">
        <v>57</v>
      </c>
      <c r="AE41" s="1279">
        <v>5</v>
      </c>
      <c r="AF41" s="1279">
        <v>11</v>
      </c>
      <c r="AG41" s="1279">
        <v>24</v>
      </c>
      <c r="AH41" s="1280">
        <v>40</v>
      </c>
      <c r="AI41" s="1279">
        <v>26</v>
      </c>
      <c r="AJ41" s="1279">
        <v>18</v>
      </c>
      <c r="AK41" s="1279">
        <v>20</v>
      </c>
      <c r="AL41" s="1281">
        <v>64</v>
      </c>
      <c r="AM41" s="1035">
        <v>18</v>
      </c>
      <c r="AN41" s="1036">
        <v>11</v>
      </c>
      <c r="AO41" s="1036">
        <v>29</v>
      </c>
      <c r="AP41" s="1039">
        <v>58</v>
      </c>
      <c r="AQ41" s="1035">
        <v>18</v>
      </c>
      <c r="AR41" s="1036">
        <v>14</v>
      </c>
      <c r="AS41" s="1036">
        <v>25</v>
      </c>
      <c r="AT41" s="1039">
        <v>57</v>
      </c>
      <c r="AU41" s="1035">
        <v>38</v>
      </c>
      <c r="AV41" s="1036">
        <v>24</v>
      </c>
      <c r="AW41" s="1036">
        <v>53</v>
      </c>
      <c r="AX41" s="1039">
        <f t="shared" si="80"/>
        <v>115</v>
      </c>
      <c r="AY41" s="1035">
        <v>44</v>
      </c>
      <c r="AZ41" s="1036">
        <v>37</v>
      </c>
      <c r="BA41" s="1036">
        <v>17</v>
      </c>
      <c r="BB41" s="1039">
        <f t="shared" si="81"/>
        <v>98</v>
      </c>
      <c r="BC41" s="1035">
        <f>SUM('EGRESO-POS plan'!BE92,'EGRESO-POS plan'!BE93,'EGRESO-POS plan'!BE94,'EGRESO-POS plan'!BE95,'EGRESO-POS plan'!BE96,'EGRESO-POS plan'!BE97,'EGRESO-POS plan'!BE98,'EGRESO-POS plan'!BE99,'EGRESO-POS plan'!BE100)</f>
        <v>17</v>
      </c>
      <c r="BD41" s="1036">
        <f>SUM('EGRESO-POS plan'!BF92,'EGRESO-POS plan'!BF93,'EGRESO-POS plan'!BF94,'EGRESO-POS plan'!BF95,'EGRESO-POS plan'!BF96,'EGRESO-POS plan'!BF97,'EGRESO-POS plan'!BF98,'EGRESO-POS plan'!BF99,'EGRESO-POS plan'!BF100)</f>
        <v>15</v>
      </c>
      <c r="BE41" s="1036">
        <f>SUM('EGRESO-POS plan'!BG92,'EGRESO-POS plan'!BG93,'EGRESO-POS plan'!BG94,'EGRESO-POS plan'!BG95,'EGRESO-POS plan'!BG96,'EGRESO-POS plan'!BG97,'EGRESO-POS plan'!BG98,'EGRESO-POS plan'!BG99,'EGRESO-POS plan'!BG100)</f>
        <v>33</v>
      </c>
      <c r="BF41" s="1039">
        <f>SUM(BC41:BE41)</f>
        <v>65</v>
      </c>
      <c r="BG41" s="1035">
        <f>SUM('EGRESO-POS plan'!BI92,'EGRESO-POS plan'!BI93,'EGRESO-POS plan'!BI94,'EGRESO-POS plan'!BI95,'EGRESO-POS plan'!BI96,'EGRESO-POS plan'!BI97,'EGRESO-POS plan'!BI98,'EGRESO-POS plan'!BI99,'EGRESO-POS plan'!BI100)</f>
        <v>45</v>
      </c>
      <c r="BH41" s="1036">
        <f>SUM('EGRESO-POS plan'!BJ92,'EGRESO-POS plan'!BJ93,'EGRESO-POS plan'!BJ94,'EGRESO-POS plan'!BJ95,'EGRESO-POS plan'!BJ96,'EGRESO-POS plan'!BJ97,'EGRESO-POS plan'!BJ98,'EGRESO-POS plan'!BJ99,'EGRESO-POS plan'!BJ100)</f>
        <v>11</v>
      </c>
      <c r="BI41" s="1036">
        <f>SUM('EGRESO-POS plan'!BK92,'EGRESO-POS plan'!BK93,'EGRESO-POS plan'!BK94,'EGRESO-POS plan'!BK95,'EGRESO-POS plan'!BK96,'EGRESO-POS plan'!BK97,'EGRESO-POS plan'!BK98,'EGRESO-POS plan'!BK99,'EGRESO-POS plan'!BK100)</f>
        <v>12</v>
      </c>
      <c r="BJ41" s="1039">
        <f>SUM(BG41:BI41)</f>
        <v>68</v>
      </c>
      <c r="BK41" s="1035">
        <f>SUM('EGRESO-POS plan'!BM92:BM102)</f>
        <v>14</v>
      </c>
      <c r="BL41" s="1036">
        <f>SUM('EGRESO-POS plan'!BN92:BN102)</f>
        <v>19</v>
      </c>
      <c r="BM41" s="1036">
        <f>SUM('EGRESO-POS plan'!BO92:BO102)</f>
        <v>31</v>
      </c>
      <c r="BN41" s="1039">
        <f>SUM('EGRESO-POS plan'!BP92:BP102)</f>
        <v>64</v>
      </c>
      <c r="BO41" s="1035">
        <f>SUM('EGRESO-POS plan'!BQ92:BQ102)</f>
        <v>32</v>
      </c>
      <c r="BP41" s="1036">
        <f>SUM('EGRESO-POS plan'!BR92:BR102)</f>
        <v>18</v>
      </c>
      <c r="BQ41" s="1036">
        <f>SUM('EGRESO-POS plan'!BS92:BS102)</f>
        <v>21</v>
      </c>
      <c r="BR41" s="1039">
        <f>SUM('EGRESO-POS plan'!BT92:BT102)</f>
        <v>71</v>
      </c>
      <c r="BS41" s="1035">
        <f>SUM('EGRESO-POS plan'!BU92:BU102)</f>
        <v>20</v>
      </c>
      <c r="BT41" s="1036">
        <f>SUM('EGRESO-POS plan'!BV92:BV102)</f>
        <v>30</v>
      </c>
      <c r="BU41" s="1036">
        <f>SUM('EGRESO-POS plan'!BW92:BW102)</f>
        <v>27</v>
      </c>
      <c r="BV41" s="1039">
        <f>SUM('EGRESO-POS plan'!BX92:BX102)</f>
        <v>77</v>
      </c>
      <c r="BW41" s="1035">
        <f>SUM('EGRESO-POS plan'!BY92:BY102)</f>
        <v>34</v>
      </c>
      <c r="BX41" s="1036">
        <f>SUM('EGRESO-POS plan'!BZ92:BZ102)</f>
        <v>10</v>
      </c>
      <c r="BY41" s="1036">
        <f>SUM('EGRESO-POS plan'!CA92:CA102)</f>
        <v>27</v>
      </c>
      <c r="BZ41" s="1039">
        <f>SUM('EGRESO-POS plan'!CB92:CB102)</f>
        <v>71</v>
      </c>
    </row>
    <row r="42" spans="1:78" ht="15" x14ac:dyDescent="0.2">
      <c r="A42" s="6224"/>
      <c r="B42" s="1040" t="s">
        <v>617</v>
      </c>
      <c r="C42" s="1278">
        <f>+'EGRESO-POS plan'!E104+'EGRESO-POS plan'!E105</f>
        <v>4</v>
      </c>
      <c r="D42" s="1279">
        <f>+'EGRESO-POS plan'!F104+'EGRESO-POS plan'!F105</f>
        <v>1</v>
      </c>
      <c r="E42" s="1279">
        <f>+'EGRESO-POS plan'!G104+'EGRESO-POS plan'!G105</f>
        <v>2</v>
      </c>
      <c r="F42" s="1280">
        <f t="shared" si="76"/>
        <v>7</v>
      </c>
      <c r="G42" s="1278">
        <f>+'EGRESO-POS plan'!I104+'EGRESO-POS plan'!I105</f>
        <v>1</v>
      </c>
      <c r="H42" s="1279">
        <f>+'EGRESO-POS plan'!J104+'EGRESO-POS plan'!J105</f>
        <v>5</v>
      </c>
      <c r="I42" s="1279">
        <f>+'EGRESO-POS plan'!K104+'EGRESO-POS plan'!K105</f>
        <v>4</v>
      </c>
      <c r="J42" s="1280">
        <f t="shared" si="77"/>
        <v>10</v>
      </c>
      <c r="K42" s="1278">
        <f>+'EGRESO-POS plan'!M104+'EGRESO-POS plan'!M105</f>
        <v>1</v>
      </c>
      <c r="L42" s="1279">
        <f>+'EGRESO-POS plan'!N104+'EGRESO-POS plan'!N105</f>
        <v>1</v>
      </c>
      <c r="M42" s="1279">
        <f>+'EGRESO-POS plan'!O104+'EGRESO-POS plan'!O105</f>
        <v>3</v>
      </c>
      <c r="N42" s="1280">
        <f t="shared" si="78"/>
        <v>5</v>
      </c>
      <c r="O42" s="1278">
        <f>+'EGRESO-POS plan'!Q104+'EGRESO-POS plan'!Q105</f>
        <v>5</v>
      </c>
      <c r="P42" s="1279">
        <f>+'EGRESO-POS plan'!R104+'EGRESO-POS plan'!R105</f>
        <v>5</v>
      </c>
      <c r="Q42" s="1279">
        <f>+'EGRESO-POS plan'!S104+'EGRESO-POS plan'!S105</f>
        <v>7</v>
      </c>
      <c r="R42" s="1280">
        <f t="shared" si="79"/>
        <v>17</v>
      </c>
      <c r="S42" s="1278">
        <v>3</v>
      </c>
      <c r="T42" s="1279">
        <v>4</v>
      </c>
      <c r="U42" s="1279">
        <v>5</v>
      </c>
      <c r="V42" s="1280">
        <v>12</v>
      </c>
      <c r="W42" s="1278">
        <v>4</v>
      </c>
      <c r="X42" s="1279">
        <v>4</v>
      </c>
      <c r="Y42" s="1279">
        <v>8</v>
      </c>
      <c r="Z42" s="1281">
        <v>16</v>
      </c>
      <c r="AA42" s="1278">
        <v>6</v>
      </c>
      <c r="AB42" s="1279">
        <v>10</v>
      </c>
      <c r="AC42" s="1279">
        <v>3</v>
      </c>
      <c r="AD42" s="1280">
        <v>19</v>
      </c>
      <c r="AE42" s="1279">
        <v>1</v>
      </c>
      <c r="AF42" s="1279">
        <v>9</v>
      </c>
      <c r="AG42" s="1279">
        <v>9</v>
      </c>
      <c r="AH42" s="1280">
        <v>19</v>
      </c>
      <c r="AI42" s="1279">
        <v>4</v>
      </c>
      <c r="AJ42" s="1279">
        <v>8</v>
      </c>
      <c r="AK42" s="1279">
        <v>7</v>
      </c>
      <c r="AL42" s="1281">
        <v>19</v>
      </c>
      <c r="AM42" s="1035">
        <v>3</v>
      </c>
      <c r="AN42" s="1036">
        <v>8</v>
      </c>
      <c r="AO42" s="1036">
        <v>6</v>
      </c>
      <c r="AP42" s="1039">
        <v>17</v>
      </c>
      <c r="AQ42" s="1035">
        <v>3</v>
      </c>
      <c r="AR42" s="1036">
        <v>11</v>
      </c>
      <c r="AS42" s="1036">
        <v>12</v>
      </c>
      <c r="AT42" s="1039">
        <v>26</v>
      </c>
      <c r="AU42" s="1035">
        <v>10</v>
      </c>
      <c r="AV42" s="1036">
        <v>14</v>
      </c>
      <c r="AW42" s="1036">
        <v>23</v>
      </c>
      <c r="AX42" s="1039">
        <f t="shared" si="80"/>
        <v>47</v>
      </c>
      <c r="AY42" s="1035">
        <v>16</v>
      </c>
      <c r="AZ42" s="1036">
        <v>12</v>
      </c>
      <c r="BA42" s="1036">
        <v>5</v>
      </c>
      <c r="BB42" s="1039">
        <f t="shared" si="81"/>
        <v>33</v>
      </c>
      <c r="BC42" s="1035">
        <f>SUM('EGRESO-POS plan'!BE103,'EGRESO-POS plan'!BE104,'EGRESO-POS plan'!BE105)</f>
        <v>5</v>
      </c>
      <c r="BD42" s="1036">
        <f>SUM('EGRESO-POS plan'!BF103,'EGRESO-POS plan'!BF104,'EGRESO-POS plan'!BF105)</f>
        <v>8</v>
      </c>
      <c r="BE42" s="1036">
        <f>SUM('EGRESO-POS plan'!BG103,'EGRESO-POS plan'!BG104,'EGRESO-POS plan'!BG105)</f>
        <v>9</v>
      </c>
      <c r="BF42" s="1039">
        <f>SUM(BC42:BE42)</f>
        <v>22</v>
      </c>
      <c r="BG42" s="1035">
        <f>SUM('EGRESO-POS plan'!BI103,'EGRESO-POS plan'!BI104,'EGRESO-POS plan'!BI105)</f>
        <v>7</v>
      </c>
      <c r="BH42" s="1036">
        <f>SUM('EGRESO-POS plan'!BJ103,'EGRESO-POS plan'!BJ104,'EGRESO-POS plan'!BJ105)</f>
        <v>10</v>
      </c>
      <c r="BI42" s="1036">
        <f>SUM('EGRESO-POS plan'!BK103,'EGRESO-POS plan'!BK104,'EGRESO-POS plan'!BK105)</f>
        <v>13</v>
      </c>
      <c r="BJ42" s="1039">
        <f>SUM(BG42:BI42)</f>
        <v>30</v>
      </c>
      <c r="BK42" s="1035">
        <f>SUM('EGRESO-POS plan'!BM103:BM105)</f>
        <v>5</v>
      </c>
      <c r="BL42" s="1036">
        <f>SUM('EGRESO-POS plan'!BN103,'EGRESO-POS plan'!BN104,'EGRESO-POS plan'!BN105)</f>
        <v>4</v>
      </c>
      <c r="BM42" s="1036">
        <f>SUM('EGRESO-POS plan'!BO103:BO105)</f>
        <v>17</v>
      </c>
      <c r="BN42" s="1039">
        <f>SUM(BK42:BM42)</f>
        <v>26</v>
      </c>
      <c r="BO42" s="1035">
        <f>SUM('EGRESO-POS plan'!BQ103:BQ105)</f>
        <v>9</v>
      </c>
      <c r="BP42" s="1036">
        <f>SUM('EGRESO-POS plan'!BR103,'EGRESO-POS plan'!BR104,'EGRESO-POS plan'!BR105)</f>
        <v>13</v>
      </c>
      <c r="BQ42" s="1036">
        <f>SUM('EGRESO-POS plan'!BS103:BS105)</f>
        <v>9</v>
      </c>
      <c r="BR42" s="1039">
        <f>SUM(BO42:BQ42)</f>
        <v>31</v>
      </c>
      <c r="BS42" s="1035">
        <f>SUM('EGRESO-POS plan'!BU103:BU105)</f>
        <v>4</v>
      </c>
      <c r="BT42" s="1036">
        <f>SUM('EGRESO-POS plan'!BV103,'EGRESO-POS plan'!BV104,'EGRESO-POS plan'!BV105)</f>
        <v>5</v>
      </c>
      <c r="BU42" s="1036">
        <f>SUM('EGRESO-POS plan'!BW103:BW105)</f>
        <v>9</v>
      </c>
      <c r="BV42" s="1039">
        <f>SUM(BS42:BU42)</f>
        <v>18</v>
      </c>
      <c r="BW42" s="1035">
        <f>SUM('EGRESO-POS plan'!BY103:BY105)</f>
        <v>9</v>
      </c>
      <c r="BX42" s="1036">
        <f>SUM('EGRESO-POS plan'!BZ103,'EGRESO-POS plan'!BZ104,'EGRESO-POS plan'!BZ105)</f>
        <v>13</v>
      </c>
      <c r="BY42" s="1036">
        <f>SUM('EGRESO-POS plan'!CA103:CA105)</f>
        <v>9</v>
      </c>
      <c r="BZ42" s="1039">
        <f>SUM(BW42:BY42)</f>
        <v>31</v>
      </c>
    </row>
    <row r="43" spans="1:78" s="222" customFormat="1" ht="15" x14ac:dyDescent="0.2">
      <c r="A43" s="6224"/>
      <c r="B43" s="574" t="s">
        <v>13</v>
      </c>
      <c r="C43" s="1147">
        <f>SUM(C40:C42)</f>
        <v>8</v>
      </c>
      <c r="D43" s="1148">
        <f>SUM(D40:D42)</f>
        <v>13</v>
      </c>
      <c r="E43" s="1148">
        <f>SUM(E40:E42)</f>
        <v>20</v>
      </c>
      <c r="F43" s="1139">
        <f t="shared" si="76"/>
        <v>41</v>
      </c>
      <c r="G43" s="1147">
        <f>SUM(G40:G42)</f>
        <v>9</v>
      </c>
      <c r="H43" s="1148">
        <f>SUM(H40:H42)</f>
        <v>12</v>
      </c>
      <c r="I43" s="1148">
        <f>SUM(I40:I42)</f>
        <v>15</v>
      </c>
      <c r="J43" s="1139">
        <f t="shared" si="77"/>
        <v>36</v>
      </c>
      <c r="K43" s="1147">
        <f>SUM(K40:K42)</f>
        <v>14</v>
      </c>
      <c r="L43" s="1148">
        <f>SUM(L40:L42)</f>
        <v>9</v>
      </c>
      <c r="M43" s="1148">
        <f>SUM(M40:M42)</f>
        <v>39</v>
      </c>
      <c r="N43" s="1139">
        <f t="shared" si="78"/>
        <v>62</v>
      </c>
      <c r="O43" s="1147">
        <f>SUM(O40:O42)</f>
        <v>18</v>
      </c>
      <c r="P43" s="1148">
        <f>SUM(P40:P42)</f>
        <v>58</v>
      </c>
      <c r="Q43" s="1148">
        <f>SUM(Q40:Q42)</f>
        <v>25</v>
      </c>
      <c r="R43" s="1139">
        <f t="shared" si="79"/>
        <v>101</v>
      </c>
      <c r="S43" s="1147">
        <v>27</v>
      </c>
      <c r="T43" s="1148">
        <v>19</v>
      </c>
      <c r="U43" s="1148">
        <v>32</v>
      </c>
      <c r="V43" s="1139">
        <v>78</v>
      </c>
      <c r="W43" s="1147">
        <v>19</v>
      </c>
      <c r="X43" s="1148">
        <v>18</v>
      </c>
      <c r="Y43" s="1148">
        <v>46</v>
      </c>
      <c r="Z43" s="1148">
        <v>83</v>
      </c>
      <c r="AA43" s="1147">
        <v>26</v>
      </c>
      <c r="AB43" s="1148">
        <v>40</v>
      </c>
      <c r="AC43" s="1148">
        <v>29</v>
      </c>
      <c r="AD43" s="1139">
        <v>95</v>
      </c>
      <c r="AE43" s="1148">
        <v>6</v>
      </c>
      <c r="AF43" s="1148">
        <v>22</v>
      </c>
      <c r="AG43" s="1148">
        <v>33</v>
      </c>
      <c r="AH43" s="1139">
        <v>61</v>
      </c>
      <c r="AI43" s="1148">
        <v>61</v>
      </c>
      <c r="AJ43" s="1148">
        <v>26</v>
      </c>
      <c r="AK43" s="1148">
        <v>42</v>
      </c>
      <c r="AL43" s="1148">
        <v>129</v>
      </c>
      <c r="AM43" s="569">
        <v>21</v>
      </c>
      <c r="AN43" s="570">
        <v>19</v>
      </c>
      <c r="AO43" s="570">
        <v>77</v>
      </c>
      <c r="AP43" s="570">
        <v>117</v>
      </c>
      <c r="AQ43" s="569">
        <v>22</v>
      </c>
      <c r="AR43" s="570">
        <v>25</v>
      </c>
      <c r="AS43" s="570">
        <v>55</v>
      </c>
      <c r="AT43" s="571">
        <v>102</v>
      </c>
      <c r="AU43" s="569">
        <f>SUM(AU40:AU42)</f>
        <v>48</v>
      </c>
      <c r="AV43" s="570">
        <f>SUM(AV40:AV42)</f>
        <v>38</v>
      </c>
      <c r="AW43" s="570">
        <f>SUM(AW40:AW42)</f>
        <v>116</v>
      </c>
      <c r="AX43" s="571">
        <f t="shared" si="80"/>
        <v>202</v>
      </c>
      <c r="AY43" s="569">
        <f>SUM(AY40:AY42)</f>
        <v>61</v>
      </c>
      <c r="AZ43" s="570">
        <f>SUM(AZ40:AZ42)</f>
        <v>50</v>
      </c>
      <c r="BA43" s="570">
        <f>SUM(BA40:BA42)</f>
        <v>39</v>
      </c>
      <c r="BB43" s="571">
        <f t="shared" si="81"/>
        <v>150</v>
      </c>
      <c r="BC43" s="569">
        <f t="shared" ref="BC43:BJ43" si="82">SUM(BC40:BC42)</f>
        <v>22</v>
      </c>
      <c r="BD43" s="570">
        <f t="shared" si="82"/>
        <v>24</v>
      </c>
      <c r="BE43" s="570">
        <f t="shared" si="82"/>
        <v>42</v>
      </c>
      <c r="BF43" s="571">
        <f t="shared" si="82"/>
        <v>88</v>
      </c>
      <c r="BG43" s="569">
        <f t="shared" si="82"/>
        <v>52</v>
      </c>
      <c r="BH43" s="570">
        <f t="shared" si="82"/>
        <v>22</v>
      </c>
      <c r="BI43" s="570">
        <f t="shared" si="82"/>
        <v>25</v>
      </c>
      <c r="BJ43" s="571">
        <f t="shared" si="82"/>
        <v>99</v>
      </c>
      <c r="BK43" s="569">
        <f t="shared" ref="BK43:BR43" si="83">SUM(BK40:BK42)</f>
        <v>19</v>
      </c>
      <c r="BL43" s="570">
        <f t="shared" si="83"/>
        <v>23</v>
      </c>
      <c r="BM43" s="570">
        <f t="shared" si="83"/>
        <v>76</v>
      </c>
      <c r="BN43" s="571">
        <f t="shared" si="83"/>
        <v>118</v>
      </c>
      <c r="BO43" s="569">
        <f t="shared" si="83"/>
        <v>41</v>
      </c>
      <c r="BP43" s="570">
        <f t="shared" si="83"/>
        <v>32</v>
      </c>
      <c r="BQ43" s="570">
        <f t="shared" si="83"/>
        <v>30</v>
      </c>
      <c r="BR43" s="571">
        <f t="shared" si="83"/>
        <v>103</v>
      </c>
      <c r="BS43" s="569">
        <f t="shared" ref="BS43:BZ43" si="84">SUM(BS40:BS42)</f>
        <v>24</v>
      </c>
      <c r="BT43" s="570">
        <f t="shared" si="84"/>
        <v>35</v>
      </c>
      <c r="BU43" s="570">
        <f t="shared" si="84"/>
        <v>37</v>
      </c>
      <c r="BV43" s="571">
        <f t="shared" si="84"/>
        <v>96</v>
      </c>
      <c r="BW43" s="569">
        <f t="shared" si="84"/>
        <v>44</v>
      </c>
      <c r="BX43" s="570">
        <f t="shared" si="84"/>
        <v>23</v>
      </c>
      <c r="BY43" s="570">
        <f t="shared" si="84"/>
        <v>36</v>
      </c>
      <c r="BZ43" s="571">
        <f t="shared" si="84"/>
        <v>103</v>
      </c>
    </row>
    <row r="44" spans="1:78" ht="15" x14ac:dyDescent="0.2">
      <c r="A44" s="6223" t="s">
        <v>11</v>
      </c>
      <c r="B44" s="1029" t="s">
        <v>615</v>
      </c>
      <c r="C44" s="1282">
        <f>+'EGRESO-POS plan'!E107+'EGRESO-POS plan'!E108+'EGRESO-POS plan'!E109</f>
        <v>1</v>
      </c>
      <c r="D44" s="1283">
        <f>+'EGRESO-POS plan'!F107+'EGRESO-POS plan'!F108+'EGRESO-POS plan'!F109</f>
        <v>0</v>
      </c>
      <c r="E44" s="1283">
        <f>+'EGRESO-POS plan'!G107+'EGRESO-POS plan'!G108+'EGRESO-POS plan'!G109</f>
        <v>0</v>
      </c>
      <c r="F44" s="1284">
        <f t="shared" si="76"/>
        <v>1</v>
      </c>
      <c r="G44" s="1282">
        <f>+'EGRESO-POS plan'!I107+'EGRESO-POS plan'!I108+'EGRESO-POS plan'!I109</f>
        <v>7</v>
      </c>
      <c r="H44" s="1283">
        <f>+'EGRESO-POS plan'!J107+'EGRESO-POS plan'!J108+'EGRESO-POS plan'!J109</f>
        <v>0</v>
      </c>
      <c r="I44" s="1283">
        <f>+'EGRESO-POS plan'!K107+'EGRESO-POS plan'!K108+'EGRESO-POS plan'!K109</f>
        <v>2</v>
      </c>
      <c r="J44" s="1284">
        <f t="shared" si="77"/>
        <v>9</v>
      </c>
      <c r="K44" s="1282">
        <f>+'EGRESO-POS plan'!M107+'EGRESO-POS plan'!M108+'EGRESO-POS plan'!M109</f>
        <v>1</v>
      </c>
      <c r="L44" s="1283">
        <f>+'EGRESO-POS plan'!N107+'EGRESO-POS plan'!N108+'EGRESO-POS plan'!N109</f>
        <v>2</v>
      </c>
      <c r="M44" s="1283">
        <f>+'EGRESO-POS plan'!O107+'EGRESO-POS plan'!O108+'EGRESO-POS plan'!O109</f>
        <v>1</v>
      </c>
      <c r="N44" s="1284">
        <f t="shared" si="78"/>
        <v>4</v>
      </c>
      <c r="O44" s="1282">
        <f>+'EGRESO-POS plan'!Q107+'EGRESO-POS plan'!Q108+'EGRESO-POS plan'!Q109</f>
        <v>1</v>
      </c>
      <c r="P44" s="1283">
        <f>+'EGRESO-POS plan'!R107+'EGRESO-POS plan'!R108+'EGRESO-POS plan'!R109</f>
        <v>59</v>
      </c>
      <c r="Q44" s="1283">
        <f>+'EGRESO-POS plan'!S107+'EGRESO-POS plan'!S108+'EGRESO-POS plan'!S109</f>
        <v>8</v>
      </c>
      <c r="R44" s="1284">
        <f t="shared" si="79"/>
        <v>68</v>
      </c>
      <c r="S44" s="1282">
        <v>1</v>
      </c>
      <c r="T44" s="1283">
        <v>8</v>
      </c>
      <c r="U44" s="1283">
        <v>8</v>
      </c>
      <c r="V44" s="1284">
        <v>17</v>
      </c>
      <c r="W44" s="1282">
        <v>6</v>
      </c>
      <c r="X44" s="1283">
        <v>1</v>
      </c>
      <c r="Y44" s="1283">
        <v>2</v>
      </c>
      <c r="Z44" s="1285">
        <v>9</v>
      </c>
      <c r="AA44" s="1282">
        <v>3</v>
      </c>
      <c r="AB44" s="1283">
        <v>8</v>
      </c>
      <c r="AC44" s="1283">
        <v>1</v>
      </c>
      <c r="AD44" s="1284">
        <v>12</v>
      </c>
      <c r="AE44" s="1283">
        <v>0</v>
      </c>
      <c r="AF44" s="1283">
        <v>0</v>
      </c>
      <c r="AG44" s="1283">
        <v>1</v>
      </c>
      <c r="AH44" s="1284">
        <v>1</v>
      </c>
      <c r="AI44" s="1283">
        <v>3</v>
      </c>
      <c r="AJ44" s="1283">
        <v>9</v>
      </c>
      <c r="AK44" s="1283">
        <v>0</v>
      </c>
      <c r="AL44" s="1285">
        <v>12</v>
      </c>
      <c r="AM44" s="1286">
        <v>0</v>
      </c>
      <c r="AN44" s="1287">
        <v>3</v>
      </c>
      <c r="AO44" s="1287">
        <v>6</v>
      </c>
      <c r="AP44" s="1288">
        <v>9</v>
      </c>
      <c r="AQ44" s="1286">
        <v>1</v>
      </c>
      <c r="AR44" s="1287">
        <v>10</v>
      </c>
      <c r="AS44" s="1287">
        <v>6</v>
      </c>
      <c r="AT44" s="1288">
        <v>17</v>
      </c>
      <c r="AU44" s="1286">
        <v>4</v>
      </c>
      <c r="AV44" s="1287">
        <v>2</v>
      </c>
      <c r="AW44" s="1287"/>
      <c r="AX44" s="1288">
        <f t="shared" si="80"/>
        <v>6</v>
      </c>
      <c r="AY44" s="1286"/>
      <c r="AZ44" s="1287">
        <v>1</v>
      </c>
      <c r="BA44" s="1287">
        <v>2</v>
      </c>
      <c r="BB44" s="1288">
        <f t="shared" si="81"/>
        <v>3</v>
      </c>
      <c r="BC44" s="1030">
        <f>SUM('EGRESO-POS plan'!BE107,'EGRESO-POS plan'!BE108,'EGRESO-POS plan'!BE109)</f>
        <v>6</v>
      </c>
      <c r="BD44" s="1031">
        <f>SUM('EGRESO-POS plan'!BF107,'EGRESO-POS plan'!BF108,'EGRESO-POS plan'!BF109)</f>
        <v>1</v>
      </c>
      <c r="BE44" s="1031">
        <f>SUM('EGRESO-POS plan'!BG107,'EGRESO-POS plan'!BG108,'EGRESO-POS plan'!BG109)</f>
        <v>0</v>
      </c>
      <c r="BF44" s="1048">
        <f>SUM(BC44:BE44)</f>
        <v>7</v>
      </c>
      <c r="BG44" s="1030">
        <f>SUM('EGRESO-POS plan'!BI107,'EGRESO-POS plan'!BI108,'EGRESO-POS plan'!BI109)</f>
        <v>0</v>
      </c>
      <c r="BH44" s="1031">
        <f>SUM('EGRESO-POS plan'!BJ107,'EGRESO-POS plan'!BJ108,'EGRESO-POS plan'!BJ109)</f>
        <v>0</v>
      </c>
      <c r="BI44" s="1031">
        <f>SUM('EGRESO-POS plan'!BK107,'EGRESO-POS plan'!BK108,'EGRESO-POS plan'!BK109)</f>
        <v>0</v>
      </c>
      <c r="BJ44" s="1048">
        <f>SUM(BG44:BI44)</f>
        <v>0</v>
      </c>
      <c r="BK44" s="1030">
        <f>SUM('EGRESO-POS plan'!BM107,'EGRESO-POS plan'!BM108,'EGRESO-POS plan'!BM109)</f>
        <v>9</v>
      </c>
      <c r="BL44" s="1031">
        <f>SUM('EGRESO-POS plan'!BN107,'EGRESO-POS plan'!BN108,'EGRESO-POS plan'!BN109)</f>
        <v>1</v>
      </c>
      <c r="BM44" s="1031">
        <f>SUM('EGRESO-POS plan'!BO107,'EGRESO-POS plan'!BO108,'EGRESO-POS plan'!BO109)</f>
        <v>0</v>
      </c>
      <c r="BN44" s="1048">
        <f>SUM(BK44:BM44)</f>
        <v>10</v>
      </c>
      <c r="BO44" s="1030">
        <f>SUM('EGRESO-POS plan'!BQ107,'EGRESO-POS plan'!BQ108,'EGRESO-POS plan'!BQ109)</f>
        <v>5</v>
      </c>
      <c r="BP44" s="1031">
        <f>SUM('EGRESO-POS plan'!BR107,'EGRESO-POS plan'!BR108,'EGRESO-POS plan'!BR109)</f>
        <v>1</v>
      </c>
      <c r="BQ44" s="1031">
        <f>SUM('EGRESO-POS plan'!BS107,'EGRESO-POS plan'!BS108,'EGRESO-POS plan'!BS109)</f>
        <v>0</v>
      </c>
      <c r="BR44" s="1048">
        <f>SUM(BO44:BQ44)</f>
        <v>6</v>
      </c>
      <c r="BS44" s="1030">
        <f>SUM('EGRESO-POS plan'!BU107,'EGRESO-POS plan'!BU108,'EGRESO-POS plan'!BU109)</f>
        <v>0</v>
      </c>
      <c r="BT44" s="1031">
        <f>SUM('EGRESO-POS plan'!BV107,'EGRESO-POS plan'!BV108,'EGRESO-POS plan'!BV109)</f>
        <v>0</v>
      </c>
      <c r="BU44" s="1031">
        <f>SUM('EGRESO-POS plan'!BW107,'EGRESO-POS plan'!BW108,'EGRESO-POS plan'!BW109)</f>
        <v>3</v>
      </c>
      <c r="BV44" s="1048">
        <f>SUM(BS44:BU44)</f>
        <v>3</v>
      </c>
      <c r="BW44" s="1030">
        <f>SUM('EGRESO-POS plan'!BY107,'EGRESO-POS plan'!BY108,'EGRESO-POS plan'!BY109)</f>
        <v>2</v>
      </c>
      <c r="BX44" s="1031">
        <f>SUM('EGRESO-POS plan'!BZ107,'EGRESO-POS plan'!BZ108,'EGRESO-POS plan'!BZ109)</f>
        <v>2</v>
      </c>
      <c r="BY44" s="1031">
        <f>SUM('EGRESO-POS plan'!CA107,'EGRESO-POS plan'!CA108,'EGRESO-POS plan'!CA109)</f>
        <v>0</v>
      </c>
      <c r="BZ44" s="1048">
        <f>SUM(BW44:BY44)</f>
        <v>4</v>
      </c>
    </row>
    <row r="45" spans="1:78" ht="15" x14ac:dyDescent="0.2">
      <c r="A45" s="6224"/>
      <c r="B45" s="1034" t="s">
        <v>616</v>
      </c>
      <c r="C45" s="1278">
        <f>+'EGRESO-POS plan'!E110+'EGRESO-POS plan'!E111+'EGRESO-POS plan'!E112+'EGRESO-POS plan'!E113+'EGRESO-POS plan'!E114+'EGRESO-POS plan'!E115+'EGRESO-POS plan'!E116</f>
        <v>2</v>
      </c>
      <c r="D45" s="1279">
        <f>+'EGRESO-POS plan'!F110+'EGRESO-POS plan'!F111+'EGRESO-POS plan'!F112+'EGRESO-POS plan'!F113+'EGRESO-POS plan'!F114+'EGRESO-POS plan'!F115+'EGRESO-POS plan'!F116</f>
        <v>1</v>
      </c>
      <c r="E45" s="1279">
        <f>+'EGRESO-POS plan'!G110+'EGRESO-POS plan'!G111+'EGRESO-POS plan'!G112+'EGRESO-POS plan'!G113+'EGRESO-POS plan'!G114+'EGRESO-POS plan'!G115+'EGRESO-POS plan'!G116</f>
        <v>7</v>
      </c>
      <c r="F45" s="1280">
        <f t="shared" si="76"/>
        <v>10</v>
      </c>
      <c r="G45" s="1278">
        <f>+'EGRESO-POS plan'!I110+'EGRESO-POS plan'!I111+'EGRESO-POS plan'!I112+'EGRESO-POS plan'!I113+'EGRESO-POS plan'!I114+'EGRESO-POS plan'!I115+'EGRESO-POS plan'!I116</f>
        <v>1</v>
      </c>
      <c r="H45" s="1279">
        <f>+'EGRESO-POS plan'!J110+'EGRESO-POS plan'!J111+'EGRESO-POS plan'!J112+'EGRESO-POS plan'!J113+'EGRESO-POS plan'!J114+'EGRESO-POS plan'!J115+'EGRESO-POS plan'!J116</f>
        <v>4</v>
      </c>
      <c r="I45" s="1279">
        <f>+'EGRESO-POS plan'!K110+'EGRESO-POS plan'!K111+'EGRESO-POS plan'!K112+'EGRESO-POS plan'!K113+'EGRESO-POS plan'!K114+'EGRESO-POS plan'!K115+'EGRESO-POS plan'!K116</f>
        <v>9</v>
      </c>
      <c r="J45" s="1280">
        <f t="shared" si="77"/>
        <v>14</v>
      </c>
      <c r="K45" s="1278">
        <f>+'EGRESO-POS plan'!M110+'EGRESO-POS plan'!M111+'EGRESO-POS plan'!M112+'EGRESO-POS plan'!M113+'EGRESO-POS plan'!M114+'EGRESO-POS plan'!M115+'EGRESO-POS plan'!M116</f>
        <v>7</v>
      </c>
      <c r="L45" s="1279">
        <f>+'EGRESO-POS plan'!N110+'EGRESO-POS plan'!N111+'EGRESO-POS plan'!N112+'EGRESO-POS plan'!N113+'EGRESO-POS plan'!N114+'EGRESO-POS plan'!N115+'EGRESO-POS plan'!N116</f>
        <v>1</v>
      </c>
      <c r="M45" s="1279">
        <f>+'EGRESO-POS plan'!O110+'EGRESO-POS plan'!O111+'EGRESO-POS plan'!O112+'EGRESO-POS plan'!O113+'EGRESO-POS plan'!O114+'EGRESO-POS plan'!O115+'EGRESO-POS plan'!O116</f>
        <v>5</v>
      </c>
      <c r="N45" s="1280">
        <f t="shared" si="78"/>
        <v>13</v>
      </c>
      <c r="O45" s="1278">
        <f>+'EGRESO-POS plan'!Q110+'EGRESO-POS plan'!Q111+'EGRESO-POS plan'!Q112+'EGRESO-POS plan'!Q113+'EGRESO-POS plan'!Q114+'EGRESO-POS plan'!Q115+'EGRESO-POS plan'!Q116</f>
        <v>2</v>
      </c>
      <c r="P45" s="1279">
        <f>+'EGRESO-POS plan'!R110+'EGRESO-POS plan'!R111+'EGRESO-POS plan'!R112+'EGRESO-POS plan'!R113+'EGRESO-POS plan'!R114+'EGRESO-POS plan'!R115+'EGRESO-POS plan'!R116</f>
        <v>2</v>
      </c>
      <c r="Q45" s="1279">
        <f>+'EGRESO-POS plan'!S110+'EGRESO-POS plan'!S111+'EGRESO-POS plan'!S112+'EGRESO-POS plan'!S113+'EGRESO-POS plan'!S114+'EGRESO-POS plan'!S115+'EGRESO-POS plan'!S116</f>
        <v>1</v>
      </c>
      <c r="R45" s="1280">
        <f t="shared" si="79"/>
        <v>5</v>
      </c>
      <c r="S45" s="1278">
        <v>4</v>
      </c>
      <c r="T45" s="1279">
        <v>9</v>
      </c>
      <c r="U45" s="1279">
        <v>7</v>
      </c>
      <c r="V45" s="1280">
        <v>20</v>
      </c>
      <c r="W45" s="1278">
        <v>4</v>
      </c>
      <c r="X45" s="1279">
        <v>16</v>
      </c>
      <c r="Y45" s="1279">
        <v>6</v>
      </c>
      <c r="Z45" s="1281">
        <v>26</v>
      </c>
      <c r="AA45" s="1278">
        <v>7</v>
      </c>
      <c r="AB45" s="1279">
        <v>7</v>
      </c>
      <c r="AC45" s="1279">
        <v>14</v>
      </c>
      <c r="AD45" s="1280">
        <v>28</v>
      </c>
      <c r="AE45" s="1279">
        <v>9</v>
      </c>
      <c r="AF45" s="1279">
        <v>11</v>
      </c>
      <c r="AG45" s="1279">
        <v>17</v>
      </c>
      <c r="AH45" s="1280">
        <v>37</v>
      </c>
      <c r="AI45" s="1279">
        <v>6</v>
      </c>
      <c r="AJ45" s="1279">
        <v>12</v>
      </c>
      <c r="AK45" s="1279">
        <v>15</v>
      </c>
      <c r="AL45" s="1281">
        <v>33</v>
      </c>
      <c r="AM45" s="1035">
        <v>12</v>
      </c>
      <c r="AN45" s="1036">
        <v>14</v>
      </c>
      <c r="AO45" s="1036">
        <v>10</v>
      </c>
      <c r="AP45" s="1039">
        <v>36</v>
      </c>
      <c r="AQ45" s="1035">
        <v>16</v>
      </c>
      <c r="AR45" s="1036">
        <v>23</v>
      </c>
      <c r="AS45" s="1036">
        <v>19</v>
      </c>
      <c r="AT45" s="1039">
        <v>58</v>
      </c>
      <c r="AU45" s="1035">
        <v>11</v>
      </c>
      <c r="AV45" s="1036">
        <v>21</v>
      </c>
      <c r="AW45" s="1036">
        <v>25</v>
      </c>
      <c r="AX45" s="1039">
        <f t="shared" si="80"/>
        <v>57</v>
      </c>
      <c r="AY45" s="1035">
        <v>22</v>
      </c>
      <c r="AZ45" s="1036">
        <v>17</v>
      </c>
      <c r="BA45" s="1036">
        <v>23</v>
      </c>
      <c r="BB45" s="1039">
        <f t="shared" si="81"/>
        <v>62</v>
      </c>
      <c r="BC45" s="1035">
        <f>SUM('EGRESO-POS plan'!BE110,'EGRESO-POS plan'!BE111,'EGRESO-POS plan'!BE112,'EGRESO-POS plan'!BE113,'EGRESO-POS plan'!BE114,'EGRESO-POS plan'!BE115,'EGRESO-POS plan'!BE116)</f>
        <v>11</v>
      </c>
      <c r="BD45" s="1036">
        <f>SUM('EGRESO-POS plan'!BF110,'EGRESO-POS plan'!BF111,'EGRESO-POS plan'!BF112,'EGRESO-POS plan'!BF113,'EGRESO-POS plan'!BF114,'EGRESO-POS plan'!BF115,'EGRESO-POS plan'!BF116)</f>
        <v>9</v>
      </c>
      <c r="BE45" s="1036">
        <f>SUM('EGRESO-POS plan'!BG110,'EGRESO-POS plan'!BG111,'EGRESO-POS plan'!BG112,'EGRESO-POS plan'!BG113,'EGRESO-POS plan'!BG114,'EGRESO-POS plan'!BG115,'EGRESO-POS plan'!BG116)</f>
        <v>13</v>
      </c>
      <c r="BF45" s="1039">
        <f>SUM(BC45:BE45)</f>
        <v>33</v>
      </c>
      <c r="BG45" s="1035">
        <f>SUM('EGRESO-POS plan'!BI110,'EGRESO-POS plan'!BI111,'EGRESO-POS plan'!BI112,'EGRESO-POS plan'!BI113,'EGRESO-POS plan'!BI114,'EGRESO-POS plan'!BI115,'EGRESO-POS plan'!BI116)</f>
        <v>15</v>
      </c>
      <c r="BH45" s="1036">
        <f>SUM('EGRESO-POS plan'!BJ110,'EGRESO-POS plan'!BJ111,'EGRESO-POS plan'!BJ112,'EGRESO-POS plan'!BJ113,'EGRESO-POS plan'!BJ114,'EGRESO-POS plan'!BJ115,'EGRESO-POS plan'!BJ116)</f>
        <v>18</v>
      </c>
      <c r="BI45" s="1036">
        <f>SUM('EGRESO-POS plan'!BK110,'EGRESO-POS plan'!BK111,'EGRESO-POS plan'!BK112,'EGRESO-POS plan'!BK113,'EGRESO-POS plan'!BK114,'EGRESO-POS plan'!BK115,'EGRESO-POS plan'!BK116)</f>
        <v>28</v>
      </c>
      <c r="BJ45" s="1039">
        <f>SUM(BG45:BI45)</f>
        <v>61</v>
      </c>
      <c r="BK45" s="1035">
        <f>SUM('EGRESO-POS plan'!BM110,'EGRESO-POS plan'!BM111,'EGRESO-POS plan'!BM112,'EGRESO-POS plan'!BM113,'EGRESO-POS plan'!BM114,'EGRESO-POS plan'!BM115,'EGRESO-POS plan'!BM116)</f>
        <v>7</v>
      </c>
      <c r="BL45" s="1036">
        <f>SUM('EGRESO-POS plan'!BN110,'EGRESO-POS plan'!BN111,'EGRESO-POS plan'!BN112,'EGRESO-POS plan'!BN113,'EGRESO-POS plan'!BN114,'EGRESO-POS plan'!BN115,'EGRESO-POS plan'!BN116)</f>
        <v>24</v>
      </c>
      <c r="BM45" s="1036">
        <f>SUM('EGRESO-POS plan'!BO110,'EGRESO-POS plan'!BO111,'EGRESO-POS plan'!BO112,'EGRESO-POS plan'!BO113,'EGRESO-POS plan'!BO114,'EGRESO-POS plan'!BO115,'EGRESO-POS plan'!BO116)</f>
        <v>20</v>
      </c>
      <c r="BN45" s="1039">
        <f>SUM(BK45:BM45)</f>
        <v>51</v>
      </c>
      <c r="BO45" s="1035">
        <f>SUM('EGRESO-POS plan'!BQ110,'EGRESO-POS plan'!BQ111,'EGRESO-POS plan'!BQ112,'EGRESO-POS plan'!BQ113,'EGRESO-POS plan'!BQ114,'EGRESO-POS plan'!BQ115,'EGRESO-POS plan'!BQ116)</f>
        <v>18</v>
      </c>
      <c r="BP45" s="1036">
        <f>SUM('EGRESO-POS plan'!BR110,'EGRESO-POS plan'!BR111,'EGRESO-POS plan'!BR112,'EGRESO-POS plan'!BR113,'EGRESO-POS plan'!BR114,'EGRESO-POS plan'!BR115,'EGRESO-POS plan'!BR116)</f>
        <v>21</v>
      </c>
      <c r="BQ45" s="1036">
        <f>SUM('EGRESO-POS plan'!BS110,'EGRESO-POS plan'!BS111,'EGRESO-POS plan'!BS112,'EGRESO-POS plan'!BS113,'EGRESO-POS plan'!BS114,'EGRESO-POS plan'!BS115,'EGRESO-POS plan'!BS116)</f>
        <v>23</v>
      </c>
      <c r="BR45" s="1039">
        <f>SUM(BO45:BQ45)</f>
        <v>62</v>
      </c>
      <c r="BS45" s="1035">
        <f>SUM('EGRESO-POS plan'!BU110:BU117)</f>
        <v>16</v>
      </c>
      <c r="BT45" s="1036">
        <f>SUM('EGRESO-POS plan'!BV110:BV117)</f>
        <v>17</v>
      </c>
      <c r="BU45" s="1036">
        <f>SUM('EGRESO-POS plan'!BW110:BW117)</f>
        <v>21</v>
      </c>
      <c r="BV45" s="1039">
        <f>SUM(BS45:BU45)</f>
        <v>54</v>
      </c>
      <c r="BW45" s="1035">
        <f>SUM('EGRESO-POS plan'!BY110:BY117)</f>
        <v>21</v>
      </c>
      <c r="BX45" s="1036">
        <f>SUM('EGRESO-POS plan'!BZ110:BZ117)</f>
        <v>37</v>
      </c>
      <c r="BY45" s="1036">
        <f>SUM('EGRESO-POS plan'!CA110:CA117)</f>
        <v>15</v>
      </c>
      <c r="BZ45" s="1039">
        <f>SUM(BW45:BY45)</f>
        <v>73</v>
      </c>
    </row>
    <row r="46" spans="1:78" ht="15" x14ac:dyDescent="0.2">
      <c r="A46" s="6224"/>
      <c r="B46" s="1040" t="s">
        <v>617</v>
      </c>
      <c r="C46" s="1278">
        <f>+'EGRESO-POS plan'!E118+'EGRESO-POS plan'!E119</f>
        <v>0</v>
      </c>
      <c r="D46" s="1279">
        <f>+'EGRESO-POS plan'!F118+'EGRESO-POS plan'!F119</f>
        <v>2</v>
      </c>
      <c r="E46" s="1279">
        <f>+'EGRESO-POS plan'!G118+'EGRESO-POS plan'!G119</f>
        <v>3</v>
      </c>
      <c r="F46" s="1280">
        <f t="shared" si="76"/>
        <v>5</v>
      </c>
      <c r="G46" s="1278">
        <f>+'EGRESO-POS plan'!I118+'EGRESO-POS plan'!I119</f>
        <v>1</v>
      </c>
      <c r="H46" s="1279">
        <f>+'EGRESO-POS plan'!J118+'EGRESO-POS plan'!J119</f>
        <v>2</v>
      </c>
      <c r="I46" s="1279">
        <f>+'EGRESO-POS plan'!K118+'EGRESO-POS plan'!K119</f>
        <v>1</v>
      </c>
      <c r="J46" s="1280">
        <f t="shared" si="77"/>
        <v>4</v>
      </c>
      <c r="K46" s="1278">
        <f>+'EGRESO-POS plan'!M118+'EGRESO-POS plan'!M119</f>
        <v>1</v>
      </c>
      <c r="L46" s="1279">
        <f>+'EGRESO-POS plan'!N118+'EGRESO-POS plan'!N119</f>
        <v>1</v>
      </c>
      <c r="M46" s="1279">
        <f>+'EGRESO-POS plan'!O118+'EGRESO-POS plan'!O119</f>
        <v>1</v>
      </c>
      <c r="N46" s="1280">
        <f t="shared" si="78"/>
        <v>3</v>
      </c>
      <c r="O46" s="1278">
        <f>+'EGRESO-POS plan'!Q118+'EGRESO-POS plan'!Q119</f>
        <v>1</v>
      </c>
      <c r="P46" s="1279">
        <f>+'EGRESO-POS plan'!R118+'EGRESO-POS plan'!R119</f>
        <v>1</v>
      </c>
      <c r="Q46" s="1279">
        <f>+'EGRESO-POS plan'!S118+'EGRESO-POS plan'!S119</f>
        <v>0</v>
      </c>
      <c r="R46" s="1280">
        <f t="shared" si="79"/>
        <v>2</v>
      </c>
      <c r="S46" s="1278">
        <v>3</v>
      </c>
      <c r="T46" s="1279">
        <v>1</v>
      </c>
      <c r="U46" s="1279">
        <v>5</v>
      </c>
      <c r="V46" s="1280">
        <v>9</v>
      </c>
      <c r="W46" s="1278">
        <v>2</v>
      </c>
      <c r="X46" s="1279">
        <v>0</v>
      </c>
      <c r="Y46" s="1279">
        <v>1</v>
      </c>
      <c r="Z46" s="1281">
        <v>3</v>
      </c>
      <c r="AA46" s="1278">
        <v>2</v>
      </c>
      <c r="AB46" s="1279">
        <v>6</v>
      </c>
      <c r="AC46" s="1279">
        <v>4</v>
      </c>
      <c r="AD46" s="1280">
        <v>12</v>
      </c>
      <c r="AE46" s="1279">
        <v>6</v>
      </c>
      <c r="AF46" s="1279">
        <v>4</v>
      </c>
      <c r="AG46" s="1279">
        <v>2</v>
      </c>
      <c r="AH46" s="1280">
        <v>12</v>
      </c>
      <c r="AI46" s="1279">
        <v>2</v>
      </c>
      <c r="AJ46" s="1279">
        <v>4</v>
      </c>
      <c r="AK46" s="1279">
        <v>5</v>
      </c>
      <c r="AL46" s="1281">
        <v>11</v>
      </c>
      <c r="AM46" s="1035">
        <v>4</v>
      </c>
      <c r="AN46" s="1036">
        <v>7</v>
      </c>
      <c r="AO46" s="1036">
        <v>2</v>
      </c>
      <c r="AP46" s="1039">
        <v>13</v>
      </c>
      <c r="AQ46" s="1035">
        <v>1</v>
      </c>
      <c r="AR46" s="1036">
        <v>3</v>
      </c>
      <c r="AS46" s="1036">
        <v>2</v>
      </c>
      <c r="AT46" s="1039">
        <v>6</v>
      </c>
      <c r="AU46" s="1035">
        <v>1</v>
      </c>
      <c r="AV46" s="1036">
        <v>8</v>
      </c>
      <c r="AW46" s="1036">
        <v>6</v>
      </c>
      <c r="AX46" s="1039">
        <f t="shared" si="80"/>
        <v>15</v>
      </c>
      <c r="AY46" s="1035">
        <v>5</v>
      </c>
      <c r="AZ46" s="1036">
        <v>5</v>
      </c>
      <c r="BA46" s="1036">
        <v>8</v>
      </c>
      <c r="BB46" s="1039">
        <f t="shared" si="81"/>
        <v>18</v>
      </c>
      <c r="BC46" s="1035">
        <f>SUM('EGRESO-POS plan'!BE118,'EGRESO-POS plan'!BE119)</f>
        <v>7</v>
      </c>
      <c r="BD46" s="1036">
        <f>SUM('EGRESO-POS plan'!BF118,'EGRESO-POS plan'!BF119)</f>
        <v>2</v>
      </c>
      <c r="BE46" s="1036">
        <f>SUM('EGRESO-POS plan'!BG118,'EGRESO-POS plan'!BG119)</f>
        <v>8</v>
      </c>
      <c r="BF46" s="1039">
        <f>SUM(BC46:BE46)</f>
        <v>17</v>
      </c>
      <c r="BG46" s="1035">
        <f>SUM('EGRESO-POS plan'!BI118,'EGRESO-POS plan'!BI119)</f>
        <v>4</v>
      </c>
      <c r="BH46" s="1036">
        <f>SUM('EGRESO-POS plan'!BJ118,'EGRESO-POS plan'!BJ119)</f>
        <v>2</v>
      </c>
      <c r="BI46" s="1036">
        <f>SUM('EGRESO-POS plan'!BK118,'EGRESO-POS plan'!BK119)</f>
        <v>6</v>
      </c>
      <c r="BJ46" s="1039">
        <f>SUM(BG46:BI46)</f>
        <v>12</v>
      </c>
      <c r="BK46" s="1035">
        <f>SUM('EGRESO-POS plan'!BM118,'EGRESO-POS plan'!BM119)</f>
        <v>6</v>
      </c>
      <c r="BL46" s="1036">
        <f>SUM('EGRESO-POS plan'!BN118,'EGRESO-POS plan'!BN119)</f>
        <v>5</v>
      </c>
      <c r="BM46" s="1036">
        <f>SUM('EGRESO-POS plan'!BO118,'EGRESO-POS plan'!BO119)</f>
        <v>2</v>
      </c>
      <c r="BN46" s="1039">
        <f>SUM(BK46:BM46)</f>
        <v>13</v>
      </c>
      <c r="BO46" s="1035">
        <f>SUM('EGRESO-POS plan'!BQ118,'EGRESO-POS plan'!BQ119)</f>
        <v>6</v>
      </c>
      <c r="BP46" s="1036">
        <f>SUM('EGRESO-POS plan'!BR118,'EGRESO-POS plan'!BR119)</f>
        <v>2</v>
      </c>
      <c r="BQ46" s="1036">
        <f>SUM('EGRESO-POS plan'!BS118,'EGRESO-POS plan'!BS119)</f>
        <v>5</v>
      </c>
      <c r="BR46" s="1039">
        <f>SUM(BO46:BQ46)</f>
        <v>13</v>
      </c>
      <c r="BS46" s="1035">
        <f>SUM('EGRESO-POS plan'!BU118:BU120)</f>
        <v>6</v>
      </c>
      <c r="BT46" s="1036">
        <f>SUM('EGRESO-POS plan'!BV118:BV120)</f>
        <v>3</v>
      </c>
      <c r="BU46" s="1036">
        <f>SUM('EGRESO-POS plan'!BW118:BW120)</f>
        <v>7</v>
      </c>
      <c r="BV46" s="1039">
        <f>SUM(BS46:BU46)</f>
        <v>16</v>
      </c>
      <c r="BW46" s="1035">
        <f>SUM('EGRESO-POS plan'!BY118:BY120)</f>
        <v>2</v>
      </c>
      <c r="BX46" s="1036">
        <f>SUM('EGRESO-POS plan'!BZ118:BZ120)</f>
        <v>10</v>
      </c>
      <c r="BY46" s="1036">
        <f>SUM('EGRESO-POS plan'!CA118:CA120)</f>
        <v>5</v>
      </c>
      <c r="BZ46" s="1039">
        <f>SUM(BW46:BY46)</f>
        <v>17</v>
      </c>
    </row>
    <row r="47" spans="1:78" s="222" customFormat="1" ht="15" x14ac:dyDescent="0.2">
      <c r="A47" s="6224"/>
      <c r="B47" s="574" t="s">
        <v>14</v>
      </c>
      <c r="C47" s="1147">
        <f>SUM(C44:C46)</f>
        <v>3</v>
      </c>
      <c r="D47" s="1148">
        <f>SUM(D44:D46)</f>
        <v>3</v>
      </c>
      <c r="E47" s="1148">
        <f>SUM(E44:E46)</f>
        <v>10</v>
      </c>
      <c r="F47" s="1139">
        <f t="shared" si="76"/>
        <v>16</v>
      </c>
      <c r="G47" s="1147">
        <f>SUM(G44:G46)</f>
        <v>9</v>
      </c>
      <c r="H47" s="1148">
        <f>SUM(H44:H46)</f>
        <v>6</v>
      </c>
      <c r="I47" s="1148">
        <f>SUM(I44:I46)</f>
        <v>12</v>
      </c>
      <c r="J47" s="1139">
        <f t="shared" si="77"/>
        <v>27</v>
      </c>
      <c r="K47" s="1147">
        <f>SUM(K44:K46)</f>
        <v>9</v>
      </c>
      <c r="L47" s="1148">
        <f>SUM(L44:L46)</f>
        <v>4</v>
      </c>
      <c r="M47" s="1148">
        <f>SUM(M44:M46)</f>
        <v>7</v>
      </c>
      <c r="N47" s="1139">
        <f t="shared" si="78"/>
        <v>20</v>
      </c>
      <c r="O47" s="1147">
        <f>SUM(O44:O46)</f>
        <v>4</v>
      </c>
      <c r="P47" s="1148">
        <f>SUM(P44:P46)</f>
        <v>62</v>
      </c>
      <c r="Q47" s="1148">
        <f>SUM(Q44:Q46)</f>
        <v>9</v>
      </c>
      <c r="R47" s="1139">
        <f t="shared" si="79"/>
        <v>75</v>
      </c>
      <c r="S47" s="1147">
        <v>8</v>
      </c>
      <c r="T47" s="1148">
        <v>18</v>
      </c>
      <c r="U47" s="1148">
        <v>20</v>
      </c>
      <c r="V47" s="1139">
        <v>46</v>
      </c>
      <c r="W47" s="1147">
        <v>12</v>
      </c>
      <c r="X47" s="1148">
        <v>17</v>
      </c>
      <c r="Y47" s="1148">
        <v>9</v>
      </c>
      <c r="Z47" s="1148">
        <v>38</v>
      </c>
      <c r="AA47" s="1147">
        <v>12</v>
      </c>
      <c r="AB47" s="1148">
        <v>21</v>
      </c>
      <c r="AC47" s="1148">
        <v>19</v>
      </c>
      <c r="AD47" s="1139">
        <v>52</v>
      </c>
      <c r="AE47" s="1148">
        <v>15</v>
      </c>
      <c r="AF47" s="1148">
        <v>15</v>
      </c>
      <c r="AG47" s="1148">
        <v>20</v>
      </c>
      <c r="AH47" s="1139">
        <v>50</v>
      </c>
      <c r="AI47" s="1148">
        <v>11</v>
      </c>
      <c r="AJ47" s="1148">
        <v>25</v>
      </c>
      <c r="AK47" s="1148">
        <v>20</v>
      </c>
      <c r="AL47" s="1148">
        <v>56</v>
      </c>
      <c r="AM47" s="569">
        <v>16</v>
      </c>
      <c r="AN47" s="570">
        <v>24</v>
      </c>
      <c r="AO47" s="570">
        <v>18</v>
      </c>
      <c r="AP47" s="570">
        <v>58</v>
      </c>
      <c r="AQ47" s="569">
        <v>18</v>
      </c>
      <c r="AR47" s="570">
        <v>36</v>
      </c>
      <c r="AS47" s="570">
        <v>27</v>
      </c>
      <c r="AT47" s="571">
        <v>81</v>
      </c>
      <c r="AU47" s="569">
        <f>SUM(AU44:AU46)</f>
        <v>16</v>
      </c>
      <c r="AV47" s="570">
        <f>SUM(AV44:AV46)</f>
        <v>31</v>
      </c>
      <c r="AW47" s="570">
        <f>SUM(AW44:AW46)</f>
        <v>31</v>
      </c>
      <c r="AX47" s="571">
        <f t="shared" si="80"/>
        <v>78</v>
      </c>
      <c r="AY47" s="569">
        <f>SUM(AY44:AY46)</f>
        <v>27</v>
      </c>
      <c r="AZ47" s="570">
        <f>SUM(AZ44:AZ46)</f>
        <v>23</v>
      </c>
      <c r="BA47" s="570">
        <f>SUM(BA44:BA46)</f>
        <v>33</v>
      </c>
      <c r="BB47" s="571">
        <f t="shared" si="81"/>
        <v>83</v>
      </c>
      <c r="BC47" s="569">
        <f t="shared" ref="BC47:BJ47" si="85">SUM(BC44:BC46)</f>
        <v>24</v>
      </c>
      <c r="BD47" s="570">
        <f t="shared" si="85"/>
        <v>12</v>
      </c>
      <c r="BE47" s="570">
        <f t="shared" si="85"/>
        <v>21</v>
      </c>
      <c r="BF47" s="571">
        <f t="shared" si="85"/>
        <v>57</v>
      </c>
      <c r="BG47" s="569">
        <f t="shared" si="85"/>
        <v>19</v>
      </c>
      <c r="BH47" s="570">
        <f t="shared" si="85"/>
        <v>20</v>
      </c>
      <c r="BI47" s="570">
        <f t="shared" si="85"/>
        <v>34</v>
      </c>
      <c r="BJ47" s="571">
        <f t="shared" si="85"/>
        <v>73</v>
      </c>
      <c r="BK47" s="569">
        <f t="shared" ref="BK47:BR47" si="86">SUM(BK44:BK46)</f>
        <v>22</v>
      </c>
      <c r="BL47" s="570">
        <f t="shared" si="86"/>
        <v>30</v>
      </c>
      <c r="BM47" s="570">
        <f t="shared" si="86"/>
        <v>22</v>
      </c>
      <c r="BN47" s="571">
        <f t="shared" si="86"/>
        <v>74</v>
      </c>
      <c r="BO47" s="569">
        <f t="shared" si="86"/>
        <v>29</v>
      </c>
      <c r="BP47" s="570">
        <f t="shared" si="86"/>
        <v>24</v>
      </c>
      <c r="BQ47" s="570">
        <f t="shared" si="86"/>
        <v>28</v>
      </c>
      <c r="BR47" s="571">
        <f t="shared" si="86"/>
        <v>81</v>
      </c>
      <c r="BS47" s="569">
        <f t="shared" ref="BS47:BZ47" si="87">SUM(BS44:BS46)</f>
        <v>22</v>
      </c>
      <c r="BT47" s="570">
        <f t="shared" si="87"/>
        <v>20</v>
      </c>
      <c r="BU47" s="570">
        <f t="shared" si="87"/>
        <v>31</v>
      </c>
      <c r="BV47" s="571">
        <f t="shared" si="87"/>
        <v>73</v>
      </c>
      <c r="BW47" s="569">
        <f t="shared" si="87"/>
        <v>25</v>
      </c>
      <c r="BX47" s="570">
        <f t="shared" si="87"/>
        <v>49</v>
      </c>
      <c r="BY47" s="570">
        <f t="shared" si="87"/>
        <v>20</v>
      </c>
      <c r="BZ47" s="571">
        <f t="shared" si="87"/>
        <v>94</v>
      </c>
    </row>
    <row r="48" spans="1:78" ht="15" x14ac:dyDescent="0.2">
      <c r="A48" s="6223" t="s">
        <v>7</v>
      </c>
      <c r="B48" s="1029" t="s">
        <v>615</v>
      </c>
      <c r="C48" s="1274"/>
      <c r="D48" s="1275"/>
      <c r="E48" s="1275"/>
      <c r="F48" s="1276"/>
      <c r="G48" s="1274"/>
      <c r="H48" s="1275"/>
      <c r="I48" s="1275"/>
      <c r="J48" s="1276"/>
      <c r="K48" s="1274"/>
      <c r="L48" s="1275"/>
      <c r="M48" s="1275"/>
      <c r="N48" s="1276"/>
      <c r="O48" s="1274"/>
      <c r="P48" s="1275"/>
      <c r="Q48" s="1275"/>
      <c r="R48" s="1276"/>
      <c r="S48" s="1274"/>
      <c r="T48" s="1275"/>
      <c r="U48" s="1275"/>
      <c r="V48" s="1276"/>
      <c r="W48" s="1274"/>
      <c r="X48" s="1275"/>
      <c r="Y48" s="1275"/>
      <c r="Z48" s="1277"/>
      <c r="AA48" s="1274"/>
      <c r="AB48" s="1275"/>
      <c r="AC48" s="1275"/>
      <c r="AD48" s="1276"/>
      <c r="AE48" s="1275"/>
      <c r="AF48" s="1275"/>
      <c r="AG48" s="1275"/>
      <c r="AH48" s="1276"/>
      <c r="AI48" s="1275"/>
      <c r="AJ48" s="1275"/>
      <c r="AK48" s="1275"/>
      <c r="AL48" s="1277"/>
      <c r="AM48" s="1030"/>
      <c r="AN48" s="1031"/>
      <c r="AO48" s="1031"/>
      <c r="AP48" s="1048"/>
      <c r="AQ48" s="1030"/>
      <c r="AR48" s="1031"/>
      <c r="AS48" s="1031"/>
      <c r="AT48" s="1048"/>
      <c r="AU48" s="1030"/>
      <c r="AV48" s="1031"/>
      <c r="AW48" s="1031"/>
      <c r="AX48" s="1048"/>
      <c r="AY48" s="1030"/>
      <c r="AZ48" s="1031"/>
      <c r="BA48" s="1031"/>
      <c r="BB48" s="1048"/>
      <c r="BC48" s="1030"/>
      <c r="BD48" s="1031"/>
      <c r="BE48" s="1031"/>
      <c r="BF48" s="1048"/>
      <c r="BG48" s="1030"/>
      <c r="BH48" s="1031"/>
      <c r="BI48" s="1031"/>
      <c r="BJ48" s="1048"/>
      <c r="BK48" s="1030"/>
      <c r="BL48" s="1031"/>
      <c r="BM48" s="1031"/>
      <c r="BN48" s="1048"/>
      <c r="BO48" s="1030"/>
      <c r="BP48" s="1031"/>
      <c r="BQ48" s="1031"/>
      <c r="BR48" s="1048"/>
      <c r="BS48" s="1030"/>
      <c r="BT48" s="1031"/>
      <c r="BU48" s="1031"/>
      <c r="BV48" s="1048"/>
      <c r="BW48" s="1030"/>
      <c r="BX48" s="1031"/>
      <c r="BY48" s="1031"/>
      <c r="BZ48" s="1048"/>
    </row>
    <row r="49" spans="1:78" ht="15" x14ac:dyDescent="0.2">
      <c r="A49" s="6224"/>
      <c r="B49" s="1034" t="s">
        <v>616</v>
      </c>
      <c r="C49" s="1278"/>
      <c r="D49" s="1279"/>
      <c r="E49" s="1279"/>
      <c r="F49" s="1280">
        <f t="shared" si="76"/>
        <v>0</v>
      </c>
      <c r="G49" s="1278"/>
      <c r="H49" s="1279"/>
      <c r="I49" s="1279"/>
      <c r="J49" s="1280">
        <f t="shared" si="77"/>
        <v>0</v>
      </c>
      <c r="K49" s="1278"/>
      <c r="L49" s="1279"/>
      <c r="M49" s="1279"/>
      <c r="N49" s="1280">
        <f t="shared" si="78"/>
        <v>0</v>
      </c>
      <c r="O49" s="1278"/>
      <c r="P49" s="1279">
        <f>+'EGRESO-POS plan'!R122</f>
        <v>10</v>
      </c>
      <c r="Q49" s="1279">
        <f>+'EGRESO-POS plan'!S122</f>
        <v>9</v>
      </c>
      <c r="R49" s="1280">
        <f t="shared" si="79"/>
        <v>19</v>
      </c>
      <c r="S49" s="1278">
        <v>0</v>
      </c>
      <c r="T49" s="1279">
        <v>0</v>
      </c>
      <c r="U49" s="1279">
        <v>0</v>
      </c>
      <c r="V49" s="1280">
        <v>0</v>
      </c>
      <c r="W49" s="1278">
        <v>0</v>
      </c>
      <c r="X49" s="1279">
        <v>15</v>
      </c>
      <c r="Y49" s="1279">
        <v>0</v>
      </c>
      <c r="Z49" s="1281">
        <v>15</v>
      </c>
      <c r="AA49" s="1278">
        <v>1</v>
      </c>
      <c r="AB49" s="1279">
        <v>12</v>
      </c>
      <c r="AC49" s="1279">
        <v>4</v>
      </c>
      <c r="AD49" s="1280">
        <v>17</v>
      </c>
      <c r="AE49" s="1279">
        <v>1</v>
      </c>
      <c r="AF49" s="1279">
        <v>25</v>
      </c>
      <c r="AG49" s="1279">
        <v>0</v>
      </c>
      <c r="AH49" s="1280">
        <v>26</v>
      </c>
      <c r="AI49" s="1279">
        <v>0</v>
      </c>
      <c r="AJ49" s="1279">
        <v>20</v>
      </c>
      <c r="AK49" s="1279">
        <v>0</v>
      </c>
      <c r="AL49" s="1281">
        <v>20</v>
      </c>
      <c r="AM49" s="1035">
        <v>0</v>
      </c>
      <c r="AN49" s="1036">
        <v>17</v>
      </c>
      <c r="AO49" s="1036">
        <v>1</v>
      </c>
      <c r="AP49" s="1039">
        <v>18</v>
      </c>
      <c r="AQ49" s="1035">
        <v>1</v>
      </c>
      <c r="AR49" s="1036">
        <v>8</v>
      </c>
      <c r="AS49" s="1036">
        <v>8</v>
      </c>
      <c r="AT49" s="1039">
        <v>17</v>
      </c>
      <c r="AU49" s="1035"/>
      <c r="AV49" s="1036">
        <v>2</v>
      </c>
      <c r="AW49" s="1036">
        <v>13</v>
      </c>
      <c r="AX49" s="1039">
        <f t="shared" si="80"/>
        <v>15</v>
      </c>
      <c r="AY49" s="1035">
        <v>4</v>
      </c>
      <c r="AZ49" s="1036">
        <v>9</v>
      </c>
      <c r="BA49" s="1036">
        <v>17</v>
      </c>
      <c r="BB49" s="1039">
        <f t="shared" si="81"/>
        <v>30</v>
      </c>
      <c r="BC49" s="1035">
        <f>SUM('EGRESO-POS plan'!BE122,'EGRESO-POS plan'!BE123,'EGRESO-POS plan'!BE124)</f>
        <v>0</v>
      </c>
      <c r="BD49" s="1036">
        <f>SUM('EGRESO-POS plan'!BF122,'EGRESO-POS plan'!BF123,'EGRESO-POS plan'!BF124)</f>
        <v>1</v>
      </c>
      <c r="BE49" s="1036">
        <f>SUM('EGRESO-POS plan'!BG122,'EGRESO-POS plan'!BG123,'EGRESO-POS plan'!BG124)</f>
        <v>13</v>
      </c>
      <c r="BF49" s="1039">
        <f>SUM(BC49:BE49)</f>
        <v>14</v>
      </c>
      <c r="BG49" s="1035">
        <f>SUM('EGRESO-POS plan'!BI122,'EGRESO-POS plan'!BI123,'EGRESO-POS plan'!BI124)</f>
        <v>3</v>
      </c>
      <c r="BH49" s="1036">
        <f>SUM('EGRESO-POS plan'!BJ122,'EGRESO-POS plan'!BJ123,'EGRESO-POS plan'!BJ124)</f>
        <v>28</v>
      </c>
      <c r="BI49" s="1036">
        <f>SUM('EGRESO-POS plan'!BK122,'EGRESO-POS plan'!BK123,'EGRESO-POS plan'!BK124)</f>
        <v>20</v>
      </c>
      <c r="BJ49" s="1039">
        <f>SUM(BG49:BI49)</f>
        <v>51</v>
      </c>
      <c r="BK49" s="1035">
        <f>SUM('EGRESO-POS plan'!BM122,'EGRESO-POS plan'!BM123,'EGRESO-POS plan'!BM124)</f>
        <v>5</v>
      </c>
      <c r="BL49" s="1036">
        <f>SUM('EGRESO-POS plan'!BN122,'EGRESO-POS plan'!BN123,'EGRESO-POS plan'!BN124)</f>
        <v>12</v>
      </c>
      <c r="BM49" s="1036">
        <f>SUM('EGRESO-POS plan'!BO122,'EGRESO-POS plan'!BO123,'EGRESO-POS plan'!BO124)</f>
        <v>6</v>
      </c>
      <c r="BN49" s="1039">
        <f>SUM(BK49:BM49)</f>
        <v>23</v>
      </c>
      <c r="BO49" s="1035">
        <f>SUM('EGRESO-POS plan'!BQ122,'EGRESO-POS plan'!BQ123,'EGRESO-POS plan'!BQ124)</f>
        <v>17</v>
      </c>
      <c r="BP49" s="1036">
        <f>SUM('EGRESO-POS plan'!BR122,'EGRESO-POS plan'!BR123,'EGRESO-POS plan'!BR124)</f>
        <v>13</v>
      </c>
      <c r="BQ49" s="1036">
        <f>SUM('EGRESO-POS plan'!BS122,'EGRESO-POS plan'!BS123,'EGRESO-POS plan'!BS124)</f>
        <v>21</v>
      </c>
      <c r="BR49" s="1039">
        <f>SUM(BO49:BQ49)</f>
        <v>51</v>
      </c>
      <c r="BS49" s="1035">
        <f>SUM('EGRESO-POS plan'!BU122,'EGRESO-POS plan'!BU123,'EGRESO-POS plan'!BU124)</f>
        <v>2</v>
      </c>
      <c r="BT49" s="1036">
        <f>SUM('EGRESO-POS plan'!BV122,'EGRESO-POS plan'!BV123,'EGRESO-POS plan'!BV124)</f>
        <v>2</v>
      </c>
      <c r="BU49" s="1036">
        <f>SUM('EGRESO-POS plan'!BW122,'EGRESO-POS plan'!BW123,'EGRESO-POS plan'!BW124)</f>
        <v>23</v>
      </c>
      <c r="BV49" s="1039">
        <f>SUM(BS49:BU49)</f>
        <v>27</v>
      </c>
      <c r="BW49" s="1035">
        <f>SUM('EGRESO-POS plan'!BY122,'EGRESO-POS plan'!BY123,'EGRESO-POS plan'!BY124)</f>
        <v>9</v>
      </c>
      <c r="BX49" s="1036">
        <f>SUM('EGRESO-POS plan'!BZ122,'EGRESO-POS plan'!BZ123,'EGRESO-POS plan'!BZ124)</f>
        <v>2</v>
      </c>
      <c r="BY49" s="1036">
        <f>SUM('EGRESO-POS plan'!CA122,'EGRESO-POS plan'!CA123,'EGRESO-POS plan'!CA124)</f>
        <v>27</v>
      </c>
      <c r="BZ49" s="1039">
        <f>SUM(BW49:BY49)</f>
        <v>38</v>
      </c>
    </row>
    <row r="50" spans="1:78" ht="15" x14ac:dyDescent="0.2">
      <c r="A50" s="6224"/>
      <c r="B50" s="1040" t="s">
        <v>617</v>
      </c>
      <c r="C50" s="1278"/>
      <c r="D50" s="1279"/>
      <c r="E50" s="1279"/>
      <c r="F50" s="1280">
        <f t="shared" si="76"/>
        <v>0</v>
      </c>
      <c r="G50" s="1278"/>
      <c r="H50" s="1279"/>
      <c r="I50" s="1279"/>
      <c r="J50" s="1280">
        <f t="shared" si="77"/>
        <v>0</v>
      </c>
      <c r="K50" s="1278"/>
      <c r="L50" s="1279"/>
      <c r="M50" s="1279"/>
      <c r="N50" s="1280">
        <f t="shared" si="78"/>
        <v>0</v>
      </c>
      <c r="O50" s="1278"/>
      <c r="P50" s="1279"/>
      <c r="Q50" s="1279"/>
      <c r="R50" s="1280">
        <f t="shared" si="79"/>
        <v>0</v>
      </c>
      <c r="S50" s="1278">
        <v>0</v>
      </c>
      <c r="T50" s="1279">
        <v>0</v>
      </c>
      <c r="U50" s="1279">
        <v>0</v>
      </c>
      <c r="V50" s="1280">
        <v>0</v>
      </c>
      <c r="W50" s="1278">
        <v>0</v>
      </c>
      <c r="X50" s="1279">
        <v>0</v>
      </c>
      <c r="Y50" s="1279">
        <v>0</v>
      </c>
      <c r="Z50" s="1281">
        <v>0</v>
      </c>
      <c r="AA50" s="1278">
        <v>0</v>
      </c>
      <c r="AB50" s="1279">
        <v>0</v>
      </c>
      <c r="AC50" s="1279">
        <v>0</v>
      </c>
      <c r="AD50" s="1280">
        <v>0</v>
      </c>
      <c r="AE50" s="1279">
        <v>0</v>
      </c>
      <c r="AF50" s="1279">
        <v>0</v>
      </c>
      <c r="AG50" s="1279">
        <v>0</v>
      </c>
      <c r="AH50" s="1280">
        <v>0</v>
      </c>
      <c r="AI50" s="1279">
        <v>0</v>
      </c>
      <c r="AJ50" s="1279">
        <v>0</v>
      </c>
      <c r="AK50" s="1279">
        <v>0</v>
      </c>
      <c r="AL50" s="1281">
        <v>0</v>
      </c>
      <c r="AM50" s="1035">
        <v>0</v>
      </c>
      <c r="AN50" s="1036">
        <v>1</v>
      </c>
      <c r="AO50" s="1036">
        <v>1</v>
      </c>
      <c r="AP50" s="1039">
        <v>2</v>
      </c>
      <c r="AQ50" s="1035">
        <v>0</v>
      </c>
      <c r="AR50" s="1036">
        <v>0</v>
      </c>
      <c r="AS50" s="1036">
        <v>2</v>
      </c>
      <c r="AT50" s="1039">
        <v>2</v>
      </c>
      <c r="AU50" s="1035"/>
      <c r="AV50" s="1036"/>
      <c r="AW50" s="1036">
        <v>3</v>
      </c>
      <c r="AX50" s="1039">
        <f t="shared" si="80"/>
        <v>3</v>
      </c>
      <c r="AY50" s="1035"/>
      <c r="AZ50" s="1036">
        <v>2</v>
      </c>
      <c r="BA50" s="1036">
        <v>1</v>
      </c>
      <c r="BB50" s="1039">
        <f t="shared" si="81"/>
        <v>3</v>
      </c>
      <c r="BC50" s="1035">
        <f>SUM('EGRESO-POS plan'!BE125)</f>
        <v>1</v>
      </c>
      <c r="BD50" s="1036">
        <f>SUM('EGRESO-POS plan'!BF125)</f>
        <v>1</v>
      </c>
      <c r="BE50" s="1036">
        <f>SUM('EGRESO-POS plan'!BG125)</f>
        <v>4</v>
      </c>
      <c r="BF50" s="1039">
        <f>SUM(BC50:BE50)</f>
        <v>6</v>
      </c>
      <c r="BG50" s="1035">
        <f>SUM('EGRESO-POS plan'!BI125)</f>
        <v>0</v>
      </c>
      <c r="BH50" s="1036">
        <f>SUM('EGRESO-POS plan'!BJ125)</f>
        <v>0</v>
      </c>
      <c r="BI50" s="1036">
        <f>SUM('EGRESO-POS plan'!BK125)</f>
        <v>2</v>
      </c>
      <c r="BJ50" s="1039">
        <f>SUM(BG50:BI50)</f>
        <v>2</v>
      </c>
      <c r="BK50" s="1035">
        <f>SUM('EGRESO-POS plan'!BM125)</f>
        <v>2</v>
      </c>
      <c r="BL50" s="1036">
        <f>SUM('EGRESO-POS plan'!BN125)</f>
        <v>2</v>
      </c>
      <c r="BM50" s="1036">
        <f>SUM('EGRESO-POS plan'!BO125)</f>
        <v>2</v>
      </c>
      <c r="BN50" s="1039">
        <f>SUM(BK50:BM50)</f>
        <v>6</v>
      </c>
      <c r="BO50" s="1035">
        <f>SUM('EGRESO-POS plan'!BQ125)</f>
        <v>3</v>
      </c>
      <c r="BP50" s="1036">
        <f>SUM('EGRESO-POS plan'!BR125)</f>
        <v>3</v>
      </c>
      <c r="BQ50" s="1036">
        <f>SUM('EGRESO-POS plan'!BS125)</f>
        <v>0</v>
      </c>
      <c r="BR50" s="1039">
        <f>SUM(BO50:BQ50)</f>
        <v>6</v>
      </c>
      <c r="BS50" s="1035">
        <f>SUM('EGRESO-POS plan'!BU125)</f>
        <v>0</v>
      </c>
      <c r="BT50" s="1036">
        <f>SUM('EGRESO-POS plan'!BV125)</f>
        <v>4</v>
      </c>
      <c r="BU50" s="1036">
        <f>SUM('EGRESO-POS plan'!BW125)</f>
        <v>1</v>
      </c>
      <c r="BV50" s="1039">
        <f>SUM(BS50:BU50)</f>
        <v>5</v>
      </c>
      <c r="BW50" s="1035">
        <f>SUM('EGRESO-POS plan'!BY125)</f>
        <v>5</v>
      </c>
      <c r="BX50" s="1036">
        <f>SUM('EGRESO-POS plan'!BZ125)</f>
        <v>5</v>
      </c>
      <c r="BY50" s="1036">
        <f>SUM('EGRESO-POS plan'!CA125)</f>
        <v>2</v>
      </c>
      <c r="BZ50" s="1039">
        <f>SUM(BW50:BY50)</f>
        <v>12</v>
      </c>
    </row>
    <row r="51" spans="1:78" s="222" customFormat="1" ht="15" x14ac:dyDescent="0.2">
      <c r="A51" s="6224"/>
      <c r="B51" s="574" t="s">
        <v>30</v>
      </c>
      <c r="C51" s="1147">
        <f>SUM(C48:C50)</f>
        <v>0</v>
      </c>
      <c r="D51" s="1148">
        <f>SUM(D48:D50)</f>
        <v>0</v>
      </c>
      <c r="E51" s="1148">
        <f>SUM(E48:E50)</f>
        <v>0</v>
      </c>
      <c r="F51" s="1139">
        <f t="shared" si="76"/>
        <v>0</v>
      </c>
      <c r="G51" s="1147">
        <f>SUM(G48:G50)</f>
        <v>0</v>
      </c>
      <c r="H51" s="1148">
        <f>SUM(H48:H50)</f>
        <v>0</v>
      </c>
      <c r="I51" s="1148">
        <f>SUM(I48:I50)</f>
        <v>0</v>
      </c>
      <c r="J51" s="1139">
        <f t="shared" si="77"/>
        <v>0</v>
      </c>
      <c r="K51" s="1147">
        <f>SUM(K48:K50)</f>
        <v>0</v>
      </c>
      <c r="L51" s="1148">
        <f>SUM(L48:L50)</f>
        <v>0</v>
      </c>
      <c r="M51" s="1148">
        <f>SUM(M48:M50)</f>
        <v>0</v>
      </c>
      <c r="N51" s="1139">
        <f t="shared" si="78"/>
        <v>0</v>
      </c>
      <c r="O51" s="1147">
        <f>SUM(O48:O50)</f>
        <v>0</v>
      </c>
      <c r="P51" s="1148">
        <f>SUM(P48:P50)</f>
        <v>10</v>
      </c>
      <c r="Q51" s="1148">
        <f>SUM(Q48:Q50)</f>
        <v>9</v>
      </c>
      <c r="R51" s="1139">
        <f t="shared" si="79"/>
        <v>19</v>
      </c>
      <c r="S51" s="1147">
        <v>0</v>
      </c>
      <c r="T51" s="1148">
        <v>0</v>
      </c>
      <c r="U51" s="1148">
        <v>0</v>
      </c>
      <c r="V51" s="1139">
        <v>0</v>
      </c>
      <c r="W51" s="1147">
        <v>0</v>
      </c>
      <c r="X51" s="1148">
        <v>15</v>
      </c>
      <c r="Y51" s="1148">
        <v>0</v>
      </c>
      <c r="Z51" s="1148">
        <v>15</v>
      </c>
      <c r="AA51" s="1147">
        <v>1</v>
      </c>
      <c r="AB51" s="1148">
        <v>12</v>
      </c>
      <c r="AC51" s="1148">
        <v>4</v>
      </c>
      <c r="AD51" s="1139">
        <v>17</v>
      </c>
      <c r="AE51" s="1148">
        <v>1</v>
      </c>
      <c r="AF51" s="1148">
        <v>25</v>
      </c>
      <c r="AG51" s="1148">
        <v>0</v>
      </c>
      <c r="AH51" s="1139">
        <v>26</v>
      </c>
      <c r="AI51" s="1148">
        <v>0</v>
      </c>
      <c r="AJ51" s="1148">
        <v>20</v>
      </c>
      <c r="AK51" s="1148">
        <v>0</v>
      </c>
      <c r="AL51" s="1148">
        <v>20</v>
      </c>
      <c r="AM51" s="569">
        <v>0</v>
      </c>
      <c r="AN51" s="570">
        <v>18</v>
      </c>
      <c r="AO51" s="570">
        <v>2</v>
      </c>
      <c r="AP51" s="570">
        <v>20</v>
      </c>
      <c r="AQ51" s="569">
        <v>1</v>
      </c>
      <c r="AR51" s="570">
        <v>8</v>
      </c>
      <c r="AS51" s="570">
        <v>10</v>
      </c>
      <c r="AT51" s="571">
        <v>19</v>
      </c>
      <c r="AU51" s="569">
        <f>SUM(AU48:AU50)</f>
        <v>0</v>
      </c>
      <c r="AV51" s="570">
        <f>SUM(AV48:AV50)</f>
        <v>2</v>
      </c>
      <c r="AW51" s="570">
        <f>SUM(AW48:AW50)</f>
        <v>16</v>
      </c>
      <c r="AX51" s="571">
        <f t="shared" si="80"/>
        <v>18</v>
      </c>
      <c r="AY51" s="569">
        <f>SUM(AY48:AY50)</f>
        <v>4</v>
      </c>
      <c r="AZ51" s="570">
        <f>SUM(AZ48:AZ50)</f>
        <v>11</v>
      </c>
      <c r="BA51" s="570">
        <f>SUM(BA48:BA50)</f>
        <v>18</v>
      </c>
      <c r="BB51" s="571">
        <f t="shared" si="81"/>
        <v>33</v>
      </c>
      <c r="BC51" s="569">
        <f t="shared" ref="BC51:BJ51" si="88">SUM(BC48:BC50)</f>
        <v>1</v>
      </c>
      <c r="BD51" s="570">
        <f t="shared" si="88"/>
        <v>2</v>
      </c>
      <c r="BE51" s="570">
        <f t="shared" si="88"/>
        <v>17</v>
      </c>
      <c r="BF51" s="571">
        <f t="shared" si="88"/>
        <v>20</v>
      </c>
      <c r="BG51" s="569">
        <f t="shared" si="88"/>
        <v>3</v>
      </c>
      <c r="BH51" s="570">
        <f t="shared" si="88"/>
        <v>28</v>
      </c>
      <c r="BI51" s="570">
        <f t="shared" si="88"/>
        <v>22</v>
      </c>
      <c r="BJ51" s="571">
        <f t="shared" si="88"/>
        <v>53</v>
      </c>
      <c r="BK51" s="569">
        <f t="shared" ref="BK51:BR51" si="89">SUM(BK48:BK50)</f>
        <v>7</v>
      </c>
      <c r="BL51" s="570">
        <f t="shared" si="89"/>
        <v>14</v>
      </c>
      <c r="BM51" s="570">
        <f t="shared" si="89"/>
        <v>8</v>
      </c>
      <c r="BN51" s="571">
        <f t="shared" si="89"/>
        <v>29</v>
      </c>
      <c r="BO51" s="569">
        <f t="shared" si="89"/>
        <v>20</v>
      </c>
      <c r="BP51" s="570">
        <f t="shared" si="89"/>
        <v>16</v>
      </c>
      <c r="BQ51" s="570">
        <f t="shared" si="89"/>
        <v>21</v>
      </c>
      <c r="BR51" s="571">
        <f t="shared" si="89"/>
        <v>57</v>
      </c>
      <c r="BS51" s="569">
        <f t="shared" ref="BS51:BZ51" si="90">SUM(BS48:BS50)</f>
        <v>2</v>
      </c>
      <c r="BT51" s="570">
        <f t="shared" si="90"/>
        <v>6</v>
      </c>
      <c r="BU51" s="570">
        <f t="shared" si="90"/>
        <v>24</v>
      </c>
      <c r="BV51" s="571">
        <f t="shared" si="90"/>
        <v>32</v>
      </c>
      <c r="BW51" s="569">
        <f t="shared" si="90"/>
        <v>14</v>
      </c>
      <c r="BX51" s="570">
        <f t="shared" si="90"/>
        <v>7</v>
      </c>
      <c r="BY51" s="570">
        <f t="shared" si="90"/>
        <v>29</v>
      </c>
      <c r="BZ51" s="571">
        <f t="shared" si="90"/>
        <v>50</v>
      </c>
    </row>
    <row r="52" spans="1:78" ht="15" customHeight="1" x14ac:dyDescent="0.2">
      <c r="A52" s="6345" t="s">
        <v>680</v>
      </c>
      <c r="B52" s="1029" t="s">
        <v>615</v>
      </c>
      <c r="C52" s="1274">
        <f>+C40+C44+C48</f>
        <v>1</v>
      </c>
      <c r="D52" s="1275">
        <f t="shared" ref="D52:E54" si="91">+D40+D44+D48</f>
        <v>0</v>
      </c>
      <c r="E52" s="1275">
        <f t="shared" si="91"/>
        <v>0</v>
      </c>
      <c r="F52" s="1276">
        <f t="shared" si="76"/>
        <v>1</v>
      </c>
      <c r="G52" s="1274">
        <f t="shared" ref="G52:I54" si="92">+G40+G44+G48</f>
        <v>8</v>
      </c>
      <c r="H52" s="1275">
        <f t="shared" si="92"/>
        <v>0</v>
      </c>
      <c r="I52" s="1275">
        <f t="shared" si="92"/>
        <v>6</v>
      </c>
      <c r="J52" s="1276">
        <f t="shared" si="77"/>
        <v>14</v>
      </c>
      <c r="K52" s="1274">
        <f t="shared" ref="K52:M54" si="93">+K40+K44+K48</f>
        <v>10</v>
      </c>
      <c r="L52" s="1275">
        <f t="shared" si="93"/>
        <v>2</v>
      </c>
      <c r="M52" s="1275">
        <f t="shared" si="93"/>
        <v>28</v>
      </c>
      <c r="N52" s="1276">
        <f t="shared" si="78"/>
        <v>40</v>
      </c>
      <c r="O52" s="1274">
        <f t="shared" ref="O52:Q54" si="94">+O40+O44+O48</f>
        <v>4</v>
      </c>
      <c r="P52" s="1275">
        <f t="shared" si="94"/>
        <v>71</v>
      </c>
      <c r="Q52" s="1275">
        <f t="shared" si="94"/>
        <v>8</v>
      </c>
      <c r="R52" s="1276">
        <f t="shared" si="79"/>
        <v>83</v>
      </c>
      <c r="S52" s="1274">
        <f t="shared" ref="S52:AL54" si="95">S40+S44+S48</f>
        <v>1</v>
      </c>
      <c r="T52" s="1275">
        <f t="shared" si="95"/>
        <v>9</v>
      </c>
      <c r="U52" s="1275">
        <f t="shared" si="95"/>
        <v>20</v>
      </c>
      <c r="V52" s="1276">
        <f t="shared" si="95"/>
        <v>30</v>
      </c>
      <c r="W52" s="1274">
        <f t="shared" si="95"/>
        <v>7</v>
      </c>
      <c r="X52" s="1275">
        <f t="shared" si="95"/>
        <v>2</v>
      </c>
      <c r="Y52" s="1275">
        <f t="shared" si="95"/>
        <v>29</v>
      </c>
      <c r="Z52" s="1277">
        <f t="shared" si="95"/>
        <v>38</v>
      </c>
      <c r="AA52" s="1274">
        <f t="shared" si="95"/>
        <v>3</v>
      </c>
      <c r="AB52" s="1275">
        <f t="shared" si="95"/>
        <v>24</v>
      </c>
      <c r="AC52" s="1275">
        <f t="shared" si="95"/>
        <v>4</v>
      </c>
      <c r="AD52" s="1276">
        <f t="shared" si="95"/>
        <v>31</v>
      </c>
      <c r="AE52" s="1275">
        <f t="shared" si="95"/>
        <v>0</v>
      </c>
      <c r="AF52" s="1275">
        <f t="shared" si="95"/>
        <v>2</v>
      </c>
      <c r="AG52" s="1275">
        <f t="shared" si="95"/>
        <v>1</v>
      </c>
      <c r="AH52" s="1276">
        <f t="shared" si="95"/>
        <v>3</v>
      </c>
      <c r="AI52" s="1275">
        <f t="shared" si="95"/>
        <v>34</v>
      </c>
      <c r="AJ52" s="1275">
        <f t="shared" si="95"/>
        <v>9</v>
      </c>
      <c r="AK52" s="1275">
        <f t="shared" si="95"/>
        <v>15</v>
      </c>
      <c r="AL52" s="1277">
        <f t="shared" si="95"/>
        <v>58</v>
      </c>
      <c r="AM52" s="1030">
        <v>0</v>
      </c>
      <c r="AN52" s="1031">
        <v>3</v>
      </c>
      <c r="AO52" s="1031">
        <v>48</v>
      </c>
      <c r="AP52" s="1031">
        <v>51</v>
      </c>
      <c r="AQ52" s="1030">
        <f t="shared" ref="AQ52:AW54" si="96">SUM(AQ40,AQ44,AQ48)</f>
        <v>2</v>
      </c>
      <c r="AR52" s="1031">
        <f t="shared" si="96"/>
        <v>10</v>
      </c>
      <c r="AS52" s="1031">
        <f t="shared" si="96"/>
        <v>24</v>
      </c>
      <c r="AT52" s="1048">
        <f t="shared" si="96"/>
        <v>36</v>
      </c>
      <c r="AU52" s="1030">
        <f t="shared" si="96"/>
        <v>4</v>
      </c>
      <c r="AV52" s="1031">
        <f t="shared" si="96"/>
        <v>2</v>
      </c>
      <c r="AW52" s="1031">
        <f t="shared" si="96"/>
        <v>40</v>
      </c>
      <c r="AX52" s="1048">
        <f t="shared" si="80"/>
        <v>46</v>
      </c>
      <c r="AY52" s="1030">
        <f t="shared" ref="AY52:BA54" si="97">SUM(AY40,AY44,AY48)</f>
        <v>1</v>
      </c>
      <c r="AZ52" s="1031">
        <f t="shared" si="97"/>
        <v>2</v>
      </c>
      <c r="BA52" s="1031">
        <f t="shared" si="97"/>
        <v>19</v>
      </c>
      <c r="BB52" s="1048">
        <f t="shared" si="81"/>
        <v>22</v>
      </c>
      <c r="BC52" s="1030">
        <f>SUM(BC40,BC44,BC48)</f>
        <v>6</v>
      </c>
      <c r="BD52" s="1031">
        <f>SUM(BD40,BD44,BD48)</f>
        <v>2</v>
      </c>
      <c r="BE52" s="1031">
        <f>SUM(BE40,BE44,BE48)</f>
        <v>0</v>
      </c>
      <c r="BF52" s="1048">
        <f>SUM(BC52:BE52)</f>
        <v>8</v>
      </c>
      <c r="BG52" s="1030">
        <f t="shared" ref="BG52:BI54" si="98">SUM(BG40,BG44,BG48)</f>
        <v>0</v>
      </c>
      <c r="BH52" s="1031">
        <f t="shared" si="98"/>
        <v>1</v>
      </c>
      <c r="BI52" s="1031">
        <f t="shared" si="98"/>
        <v>0</v>
      </c>
      <c r="BJ52" s="1048">
        <f>SUM(BG52:BI52)</f>
        <v>1</v>
      </c>
      <c r="BK52" s="1030">
        <f t="shared" ref="BK52:BM54" si="99">SUM(BK40,BK44,BK48)</f>
        <v>9</v>
      </c>
      <c r="BL52" s="1031">
        <f t="shared" si="99"/>
        <v>1</v>
      </c>
      <c r="BM52" s="1031">
        <f t="shared" si="99"/>
        <v>28</v>
      </c>
      <c r="BN52" s="1048">
        <f>SUM(BK52:BM52)</f>
        <v>38</v>
      </c>
      <c r="BO52" s="1030">
        <f t="shared" ref="BO52:BQ54" si="100">SUM(BO40,BO44,BO48)</f>
        <v>5</v>
      </c>
      <c r="BP52" s="1031">
        <f t="shared" si="100"/>
        <v>2</v>
      </c>
      <c r="BQ52" s="1031">
        <f t="shared" si="100"/>
        <v>0</v>
      </c>
      <c r="BR52" s="1048">
        <f>SUM(BO52:BQ52)</f>
        <v>7</v>
      </c>
      <c r="BS52" s="1030">
        <f t="shared" ref="BS52:BU54" si="101">SUM(BS40,BS44,BS48)</f>
        <v>0</v>
      </c>
      <c r="BT52" s="1031">
        <f t="shared" si="101"/>
        <v>0</v>
      </c>
      <c r="BU52" s="1031">
        <f t="shared" si="101"/>
        <v>4</v>
      </c>
      <c r="BV52" s="1048">
        <f>SUM(BS52:BU52)</f>
        <v>4</v>
      </c>
      <c r="BW52" s="1030">
        <f t="shared" ref="BW52:BY52" si="102">SUM(BW40,BW44,BW48)</f>
        <v>3</v>
      </c>
      <c r="BX52" s="1031">
        <f t="shared" si="102"/>
        <v>2</v>
      </c>
      <c r="BY52" s="1031">
        <f t="shared" si="102"/>
        <v>0</v>
      </c>
      <c r="BZ52" s="1048">
        <f>SUM(BW52:BY52)</f>
        <v>5</v>
      </c>
    </row>
    <row r="53" spans="1:78" ht="15" x14ac:dyDescent="0.2">
      <c r="A53" s="6346"/>
      <c r="B53" s="1034" t="s">
        <v>616</v>
      </c>
      <c r="C53" s="1278">
        <f>+C41+C45+C49</f>
        <v>6</v>
      </c>
      <c r="D53" s="1279">
        <f t="shared" si="91"/>
        <v>13</v>
      </c>
      <c r="E53" s="1279">
        <f t="shared" si="91"/>
        <v>25</v>
      </c>
      <c r="F53" s="1280">
        <f t="shared" si="76"/>
        <v>44</v>
      </c>
      <c r="G53" s="1278">
        <f t="shared" si="92"/>
        <v>8</v>
      </c>
      <c r="H53" s="1279">
        <f t="shared" si="92"/>
        <v>11</v>
      </c>
      <c r="I53" s="1279">
        <f t="shared" si="92"/>
        <v>16</v>
      </c>
      <c r="J53" s="1280">
        <f t="shared" si="77"/>
        <v>35</v>
      </c>
      <c r="K53" s="1278">
        <f t="shared" si="93"/>
        <v>11</v>
      </c>
      <c r="L53" s="1279">
        <f t="shared" si="93"/>
        <v>9</v>
      </c>
      <c r="M53" s="1279">
        <f t="shared" si="93"/>
        <v>14</v>
      </c>
      <c r="N53" s="1280">
        <f t="shared" si="78"/>
        <v>34</v>
      </c>
      <c r="O53" s="1278">
        <f t="shared" si="94"/>
        <v>12</v>
      </c>
      <c r="P53" s="1279">
        <f t="shared" si="94"/>
        <v>53</v>
      </c>
      <c r="Q53" s="1279">
        <f t="shared" si="94"/>
        <v>28</v>
      </c>
      <c r="R53" s="1280">
        <f t="shared" si="79"/>
        <v>93</v>
      </c>
      <c r="S53" s="1278">
        <f t="shared" si="95"/>
        <v>28</v>
      </c>
      <c r="T53" s="1279">
        <f t="shared" si="95"/>
        <v>23</v>
      </c>
      <c r="U53" s="1279">
        <f t="shared" si="95"/>
        <v>22</v>
      </c>
      <c r="V53" s="1280">
        <f t="shared" si="95"/>
        <v>73</v>
      </c>
      <c r="W53" s="1278">
        <f t="shared" si="95"/>
        <v>18</v>
      </c>
      <c r="X53" s="1279">
        <f t="shared" si="95"/>
        <v>44</v>
      </c>
      <c r="Y53" s="1279">
        <f t="shared" si="95"/>
        <v>17</v>
      </c>
      <c r="Z53" s="1281">
        <f t="shared" si="95"/>
        <v>79</v>
      </c>
      <c r="AA53" s="1278">
        <f t="shared" si="95"/>
        <v>28</v>
      </c>
      <c r="AB53" s="1279">
        <f t="shared" si="95"/>
        <v>33</v>
      </c>
      <c r="AC53" s="1279">
        <f t="shared" si="95"/>
        <v>41</v>
      </c>
      <c r="AD53" s="1280">
        <f t="shared" si="95"/>
        <v>102</v>
      </c>
      <c r="AE53" s="1279">
        <f t="shared" si="95"/>
        <v>15</v>
      </c>
      <c r="AF53" s="1279">
        <f t="shared" si="95"/>
        <v>47</v>
      </c>
      <c r="AG53" s="1279">
        <f t="shared" si="95"/>
        <v>41</v>
      </c>
      <c r="AH53" s="1280">
        <f t="shared" si="95"/>
        <v>103</v>
      </c>
      <c r="AI53" s="1279">
        <f t="shared" si="95"/>
        <v>32</v>
      </c>
      <c r="AJ53" s="1279">
        <f t="shared" si="95"/>
        <v>50</v>
      </c>
      <c r="AK53" s="1279">
        <f t="shared" si="95"/>
        <v>35</v>
      </c>
      <c r="AL53" s="1281">
        <f t="shared" si="95"/>
        <v>117</v>
      </c>
      <c r="AM53" s="1035">
        <v>30</v>
      </c>
      <c r="AN53" s="1036">
        <v>42</v>
      </c>
      <c r="AO53" s="1036">
        <v>40</v>
      </c>
      <c r="AP53" s="1036">
        <v>112</v>
      </c>
      <c r="AQ53" s="1035">
        <f t="shared" si="96"/>
        <v>35</v>
      </c>
      <c r="AR53" s="1036">
        <f t="shared" si="96"/>
        <v>45</v>
      </c>
      <c r="AS53" s="1036">
        <f t="shared" si="96"/>
        <v>52</v>
      </c>
      <c r="AT53" s="1039">
        <f t="shared" si="96"/>
        <v>132</v>
      </c>
      <c r="AU53" s="1035">
        <f t="shared" si="96"/>
        <v>49</v>
      </c>
      <c r="AV53" s="1036">
        <f t="shared" si="96"/>
        <v>47</v>
      </c>
      <c r="AW53" s="1036">
        <f t="shared" si="96"/>
        <v>91</v>
      </c>
      <c r="AX53" s="1039">
        <f t="shared" si="80"/>
        <v>187</v>
      </c>
      <c r="AY53" s="1035">
        <f t="shared" si="97"/>
        <v>70</v>
      </c>
      <c r="AZ53" s="1036">
        <f t="shared" si="97"/>
        <v>63</v>
      </c>
      <c r="BA53" s="1036">
        <f t="shared" si="97"/>
        <v>57</v>
      </c>
      <c r="BB53" s="1039">
        <f t="shared" si="81"/>
        <v>190</v>
      </c>
      <c r="BC53" s="1035">
        <f t="shared" ref="BC53:BE54" si="103">SUM(BC41,BC45,BC49)</f>
        <v>28</v>
      </c>
      <c r="BD53" s="1036">
        <f t="shared" si="103"/>
        <v>25</v>
      </c>
      <c r="BE53" s="1036">
        <f t="shared" si="103"/>
        <v>59</v>
      </c>
      <c r="BF53" s="1039">
        <f>SUM(BC53:BE53)</f>
        <v>112</v>
      </c>
      <c r="BG53" s="1035">
        <f t="shared" si="98"/>
        <v>63</v>
      </c>
      <c r="BH53" s="1036">
        <f t="shared" si="98"/>
        <v>57</v>
      </c>
      <c r="BI53" s="1036">
        <f t="shared" si="98"/>
        <v>60</v>
      </c>
      <c r="BJ53" s="1039">
        <f>SUM(BG53:BI53)</f>
        <v>180</v>
      </c>
      <c r="BK53" s="1035">
        <f t="shared" si="99"/>
        <v>26</v>
      </c>
      <c r="BL53" s="1036">
        <f t="shared" si="99"/>
        <v>55</v>
      </c>
      <c r="BM53" s="1036">
        <f t="shared" si="99"/>
        <v>57</v>
      </c>
      <c r="BN53" s="1039">
        <f>SUM(BK53:BM53)</f>
        <v>138</v>
      </c>
      <c r="BO53" s="1035">
        <f t="shared" si="100"/>
        <v>67</v>
      </c>
      <c r="BP53" s="1036">
        <f t="shared" si="100"/>
        <v>52</v>
      </c>
      <c r="BQ53" s="1036">
        <f t="shared" si="100"/>
        <v>65</v>
      </c>
      <c r="BR53" s="1039">
        <f>SUM(BO53:BQ53)</f>
        <v>184</v>
      </c>
      <c r="BS53" s="1035">
        <f t="shared" si="101"/>
        <v>38</v>
      </c>
      <c r="BT53" s="1036">
        <f t="shared" si="101"/>
        <v>49</v>
      </c>
      <c r="BU53" s="1036">
        <f t="shared" si="101"/>
        <v>71</v>
      </c>
      <c r="BV53" s="1039">
        <f>SUM(BS53:BU53)</f>
        <v>158</v>
      </c>
      <c r="BW53" s="1035">
        <f t="shared" ref="BW53:BY53" si="104">SUM(BW41,BW45,BW49)</f>
        <v>64</v>
      </c>
      <c r="BX53" s="1036">
        <f t="shared" si="104"/>
        <v>49</v>
      </c>
      <c r="BY53" s="1036">
        <f t="shared" si="104"/>
        <v>69</v>
      </c>
      <c r="BZ53" s="1039">
        <f>SUM(BW53:BY53)</f>
        <v>182</v>
      </c>
    </row>
    <row r="54" spans="1:78" ht="15" x14ac:dyDescent="0.2">
      <c r="A54" s="6346"/>
      <c r="B54" s="1040" t="s">
        <v>617</v>
      </c>
      <c r="C54" s="1278">
        <f>+C42+C46+C50</f>
        <v>4</v>
      </c>
      <c r="D54" s="1279">
        <f t="shared" si="91"/>
        <v>3</v>
      </c>
      <c r="E54" s="1279">
        <f t="shared" si="91"/>
        <v>5</v>
      </c>
      <c r="F54" s="1280">
        <f t="shared" si="76"/>
        <v>12</v>
      </c>
      <c r="G54" s="1278">
        <f t="shared" si="92"/>
        <v>2</v>
      </c>
      <c r="H54" s="1279">
        <f t="shared" si="92"/>
        <v>7</v>
      </c>
      <c r="I54" s="1279">
        <f t="shared" si="92"/>
        <v>5</v>
      </c>
      <c r="J54" s="1280">
        <f t="shared" si="77"/>
        <v>14</v>
      </c>
      <c r="K54" s="1278">
        <f t="shared" si="93"/>
        <v>2</v>
      </c>
      <c r="L54" s="1279">
        <f t="shared" si="93"/>
        <v>2</v>
      </c>
      <c r="M54" s="1279">
        <f t="shared" si="93"/>
        <v>4</v>
      </c>
      <c r="N54" s="1280">
        <f t="shared" si="78"/>
        <v>8</v>
      </c>
      <c r="O54" s="1278">
        <f t="shared" si="94"/>
        <v>6</v>
      </c>
      <c r="P54" s="1279">
        <f t="shared" si="94"/>
        <v>6</v>
      </c>
      <c r="Q54" s="1279">
        <f t="shared" si="94"/>
        <v>7</v>
      </c>
      <c r="R54" s="1280">
        <f t="shared" si="79"/>
        <v>19</v>
      </c>
      <c r="S54" s="1278">
        <f t="shared" si="95"/>
        <v>6</v>
      </c>
      <c r="T54" s="1279">
        <f t="shared" si="95"/>
        <v>5</v>
      </c>
      <c r="U54" s="1279">
        <f t="shared" si="95"/>
        <v>10</v>
      </c>
      <c r="V54" s="1280">
        <f t="shared" si="95"/>
        <v>21</v>
      </c>
      <c r="W54" s="1278">
        <f t="shared" si="95"/>
        <v>6</v>
      </c>
      <c r="X54" s="1279">
        <f t="shared" si="95"/>
        <v>4</v>
      </c>
      <c r="Y54" s="1279">
        <f t="shared" si="95"/>
        <v>9</v>
      </c>
      <c r="Z54" s="1281">
        <f t="shared" si="95"/>
        <v>19</v>
      </c>
      <c r="AA54" s="1278">
        <f t="shared" si="95"/>
        <v>8</v>
      </c>
      <c r="AB54" s="1279">
        <f t="shared" si="95"/>
        <v>16</v>
      </c>
      <c r="AC54" s="1279">
        <f t="shared" si="95"/>
        <v>7</v>
      </c>
      <c r="AD54" s="1280">
        <f t="shared" si="95"/>
        <v>31</v>
      </c>
      <c r="AE54" s="1279">
        <f t="shared" si="95"/>
        <v>7</v>
      </c>
      <c r="AF54" s="1279">
        <f t="shared" si="95"/>
        <v>13</v>
      </c>
      <c r="AG54" s="1279">
        <f t="shared" si="95"/>
        <v>11</v>
      </c>
      <c r="AH54" s="1280">
        <f t="shared" si="95"/>
        <v>31</v>
      </c>
      <c r="AI54" s="1279">
        <f t="shared" si="95"/>
        <v>6</v>
      </c>
      <c r="AJ54" s="1279">
        <f t="shared" si="95"/>
        <v>12</v>
      </c>
      <c r="AK54" s="1279">
        <f t="shared" si="95"/>
        <v>12</v>
      </c>
      <c r="AL54" s="1281">
        <f t="shared" si="95"/>
        <v>30</v>
      </c>
      <c r="AM54" s="1035">
        <v>7</v>
      </c>
      <c r="AN54" s="1036">
        <v>16</v>
      </c>
      <c r="AO54" s="1036">
        <v>9</v>
      </c>
      <c r="AP54" s="1036">
        <v>32</v>
      </c>
      <c r="AQ54" s="1035">
        <f t="shared" si="96"/>
        <v>4</v>
      </c>
      <c r="AR54" s="1036">
        <f t="shared" si="96"/>
        <v>14</v>
      </c>
      <c r="AS54" s="1036">
        <f t="shared" si="96"/>
        <v>16</v>
      </c>
      <c r="AT54" s="1039">
        <f t="shared" si="96"/>
        <v>34</v>
      </c>
      <c r="AU54" s="1035">
        <f t="shared" si="96"/>
        <v>11</v>
      </c>
      <c r="AV54" s="1036">
        <f t="shared" si="96"/>
        <v>22</v>
      </c>
      <c r="AW54" s="1036">
        <f t="shared" si="96"/>
        <v>32</v>
      </c>
      <c r="AX54" s="1039">
        <f t="shared" si="80"/>
        <v>65</v>
      </c>
      <c r="AY54" s="1035">
        <f t="shared" si="97"/>
        <v>21</v>
      </c>
      <c r="AZ54" s="1036">
        <f t="shared" si="97"/>
        <v>19</v>
      </c>
      <c r="BA54" s="1036">
        <f t="shared" si="97"/>
        <v>14</v>
      </c>
      <c r="BB54" s="1039">
        <f t="shared" si="81"/>
        <v>54</v>
      </c>
      <c r="BC54" s="1035">
        <f t="shared" si="103"/>
        <v>13</v>
      </c>
      <c r="BD54" s="1036">
        <f t="shared" si="103"/>
        <v>11</v>
      </c>
      <c r="BE54" s="1036">
        <f t="shared" si="103"/>
        <v>21</v>
      </c>
      <c r="BF54" s="1039">
        <f>SUM(BC54:BE54)</f>
        <v>45</v>
      </c>
      <c r="BG54" s="1035">
        <f t="shared" si="98"/>
        <v>11</v>
      </c>
      <c r="BH54" s="1036">
        <f t="shared" si="98"/>
        <v>12</v>
      </c>
      <c r="BI54" s="1036">
        <f t="shared" si="98"/>
        <v>21</v>
      </c>
      <c r="BJ54" s="1039">
        <f>SUM(BG54:BI54)</f>
        <v>44</v>
      </c>
      <c r="BK54" s="1035">
        <f t="shared" si="99"/>
        <v>13</v>
      </c>
      <c r="BL54" s="1036">
        <f t="shared" si="99"/>
        <v>11</v>
      </c>
      <c r="BM54" s="1036">
        <f t="shared" si="99"/>
        <v>21</v>
      </c>
      <c r="BN54" s="1039">
        <f>SUM(BK54:BM54)</f>
        <v>45</v>
      </c>
      <c r="BO54" s="1035">
        <f t="shared" si="100"/>
        <v>18</v>
      </c>
      <c r="BP54" s="1036">
        <f t="shared" si="100"/>
        <v>18</v>
      </c>
      <c r="BQ54" s="1036">
        <f t="shared" si="100"/>
        <v>14</v>
      </c>
      <c r="BR54" s="1039">
        <f>SUM(BO54:BQ54)</f>
        <v>50</v>
      </c>
      <c r="BS54" s="1035">
        <f t="shared" si="101"/>
        <v>10</v>
      </c>
      <c r="BT54" s="1036">
        <f t="shared" si="101"/>
        <v>12</v>
      </c>
      <c r="BU54" s="1036">
        <f t="shared" si="101"/>
        <v>17</v>
      </c>
      <c r="BV54" s="1039">
        <f>SUM(BS54:BU54)</f>
        <v>39</v>
      </c>
      <c r="BW54" s="1035">
        <f t="shared" ref="BW54:BY54" si="105">SUM(BW42,BW46,BW50)</f>
        <v>16</v>
      </c>
      <c r="BX54" s="1036">
        <f t="shared" si="105"/>
        <v>28</v>
      </c>
      <c r="BY54" s="1036">
        <f t="shared" si="105"/>
        <v>16</v>
      </c>
      <c r="BZ54" s="1039">
        <f>SUM(BW54:BY54)</f>
        <v>60</v>
      </c>
    </row>
    <row r="55" spans="1:78" s="222" customFormat="1" ht="15" x14ac:dyDescent="0.2">
      <c r="A55" s="6347"/>
      <c r="B55" s="2431" t="s">
        <v>12</v>
      </c>
      <c r="C55" s="2422">
        <f>SUM(C52:C54)</f>
        <v>11</v>
      </c>
      <c r="D55" s="2423">
        <f>SUM(D52:D54)</f>
        <v>16</v>
      </c>
      <c r="E55" s="2423">
        <f>SUM(E52:E54)</f>
        <v>30</v>
      </c>
      <c r="F55" s="2424">
        <f t="shared" si="76"/>
        <v>57</v>
      </c>
      <c r="G55" s="2422">
        <f>SUM(G52:G54)</f>
        <v>18</v>
      </c>
      <c r="H55" s="2423">
        <f>SUM(H52:H54)</f>
        <v>18</v>
      </c>
      <c r="I55" s="2423">
        <f>SUM(I52:I54)</f>
        <v>27</v>
      </c>
      <c r="J55" s="2424">
        <f t="shared" si="77"/>
        <v>63</v>
      </c>
      <c r="K55" s="2422">
        <f>SUM(K52:K54)</f>
        <v>23</v>
      </c>
      <c r="L55" s="2423">
        <f>SUM(L52:L54)</f>
        <v>13</v>
      </c>
      <c r="M55" s="2423">
        <f>SUM(M52:M54)</f>
        <v>46</v>
      </c>
      <c r="N55" s="2424">
        <f t="shared" si="78"/>
        <v>82</v>
      </c>
      <c r="O55" s="2422">
        <f>SUM(O52:O54)</f>
        <v>22</v>
      </c>
      <c r="P55" s="2423">
        <f>SUM(P52:P54)</f>
        <v>130</v>
      </c>
      <c r="Q55" s="2423">
        <f>SUM(Q52:Q54)</f>
        <v>43</v>
      </c>
      <c r="R55" s="2424">
        <f t="shared" si="79"/>
        <v>195</v>
      </c>
      <c r="S55" s="2422">
        <f>SUM(S52:S54)</f>
        <v>35</v>
      </c>
      <c r="T55" s="2423">
        <f>SUM(T52:T54)</f>
        <v>37</v>
      </c>
      <c r="U55" s="2423">
        <f>SUM(U52:U54)</f>
        <v>52</v>
      </c>
      <c r="V55" s="2424">
        <f>SUM(V52:V54)</f>
        <v>124</v>
      </c>
      <c r="W55" s="2422">
        <f t="shared" ref="W55:AL55" si="106">SUM(W52:W54)</f>
        <v>31</v>
      </c>
      <c r="X55" s="2423">
        <f t="shared" si="106"/>
        <v>50</v>
      </c>
      <c r="Y55" s="2423">
        <f t="shared" si="106"/>
        <v>55</v>
      </c>
      <c r="Z55" s="2423">
        <f t="shared" si="106"/>
        <v>136</v>
      </c>
      <c r="AA55" s="2422">
        <f t="shared" si="106"/>
        <v>39</v>
      </c>
      <c r="AB55" s="2423">
        <f t="shared" si="106"/>
        <v>73</v>
      </c>
      <c r="AC55" s="2423">
        <f t="shared" si="106"/>
        <v>52</v>
      </c>
      <c r="AD55" s="2424">
        <f t="shared" si="106"/>
        <v>164</v>
      </c>
      <c r="AE55" s="2423">
        <f t="shared" si="106"/>
        <v>22</v>
      </c>
      <c r="AF55" s="2423">
        <f t="shared" si="106"/>
        <v>62</v>
      </c>
      <c r="AG55" s="2423">
        <f t="shared" si="106"/>
        <v>53</v>
      </c>
      <c r="AH55" s="2424">
        <f t="shared" si="106"/>
        <v>137</v>
      </c>
      <c r="AI55" s="2423">
        <f t="shared" si="106"/>
        <v>72</v>
      </c>
      <c r="AJ55" s="2423">
        <f t="shared" si="106"/>
        <v>71</v>
      </c>
      <c r="AK55" s="2423">
        <f t="shared" si="106"/>
        <v>62</v>
      </c>
      <c r="AL55" s="2423">
        <f t="shared" si="106"/>
        <v>205</v>
      </c>
      <c r="AM55" s="2419">
        <v>37</v>
      </c>
      <c r="AN55" s="2420">
        <v>61</v>
      </c>
      <c r="AO55" s="2420">
        <v>97</v>
      </c>
      <c r="AP55" s="2420">
        <v>195</v>
      </c>
      <c r="AQ55" s="2419">
        <f t="shared" ref="AQ55:AW55" si="107">SUM(AQ52:AQ54)</f>
        <v>41</v>
      </c>
      <c r="AR55" s="2420">
        <f t="shared" si="107"/>
        <v>69</v>
      </c>
      <c r="AS55" s="2420">
        <f t="shared" si="107"/>
        <v>92</v>
      </c>
      <c r="AT55" s="2421">
        <f t="shared" si="107"/>
        <v>202</v>
      </c>
      <c r="AU55" s="2419">
        <f t="shared" si="107"/>
        <v>64</v>
      </c>
      <c r="AV55" s="2420">
        <f t="shared" si="107"/>
        <v>71</v>
      </c>
      <c r="AW55" s="2420">
        <f t="shared" si="107"/>
        <v>163</v>
      </c>
      <c r="AX55" s="2421">
        <f t="shared" si="80"/>
        <v>298</v>
      </c>
      <c r="AY55" s="2419">
        <f>SUM(AY52:AY54)</f>
        <v>92</v>
      </c>
      <c r="AZ55" s="2420">
        <f>SUM(AZ52:AZ54)</f>
        <v>84</v>
      </c>
      <c r="BA55" s="2420">
        <f>SUM(BA52:BA54)</f>
        <v>90</v>
      </c>
      <c r="BB55" s="2421">
        <f t="shared" si="81"/>
        <v>266</v>
      </c>
      <c r="BC55" s="2419">
        <f t="shared" ref="BC55:BJ55" si="108">SUM(BC52:BC54)</f>
        <v>47</v>
      </c>
      <c r="BD55" s="2420">
        <f t="shared" si="108"/>
        <v>38</v>
      </c>
      <c r="BE55" s="2420">
        <f t="shared" si="108"/>
        <v>80</v>
      </c>
      <c r="BF55" s="2421">
        <f t="shared" si="108"/>
        <v>165</v>
      </c>
      <c r="BG55" s="2419">
        <f t="shared" si="108"/>
        <v>74</v>
      </c>
      <c r="BH55" s="2420">
        <f t="shared" si="108"/>
        <v>70</v>
      </c>
      <c r="BI55" s="2420">
        <f t="shared" si="108"/>
        <v>81</v>
      </c>
      <c r="BJ55" s="2421">
        <f t="shared" si="108"/>
        <v>225</v>
      </c>
      <c r="BK55" s="2419">
        <f t="shared" ref="BK55:BR55" si="109">SUM(BK52:BK54)</f>
        <v>48</v>
      </c>
      <c r="BL55" s="2420">
        <f t="shared" si="109"/>
        <v>67</v>
      </c>
      <c r="BM55" s="2420">
        <f t="shared" si="109"/>
        <v>106</v>
      </c>
      <c r="BN55" s="2421">
        <f t="shared" si="109"/>
        <v>221</v>
      </c>
      <c r="BO55" s="2419">
        <f t="shared" si="109"/>
        <v>90</v>
      </c>
      <c r="BP55" s="2420">
        <f t="shared" si="109"/>
        <v>72</v>
      </c>
      <c r="BQ55" s="2420">
        <f t="shared" si="109"/>
        <v>79</v>
      </c>
      <c r="BR55" s="2421">
        <f t="shared" si="109"/>
        <v>241</v>
      </c>
      <c r="BS55" s="2419">
        <f t="shared" ref="BS55:BZ55" si="110">SUM(BS52:BS54)</f>
        <v>48</v>
      </c>
      <c r="BT55" s="2420">
        <f t="shared" si="110"/>
        <v>61</v>
      </c>
      <c r="BU55" s="2420">
        <f t="shared" si="110"/>
        <v>92</v>
      </c>
      <c r="BV55" s="2421">
        <f t="shared" si="110"/>
        <v>201</v>
      </c>
      <c r="BW55" s="2419">
        <f t="shared" si="110"/>
        <v>83</v>
      </c>
      <c r="BX55" s="2420">
        <f t="shared" si="110"/>
        <v>79</v>
      </c>
      <c r="BY55" s="2420">
        <f t="shared" si="110"/>
        <v>85</v>
      </c>
      <c r="BZ55" s="2421">
        <f t="shared" si="110"/>
        <v>247</v>
      </c>
    </row>
    <row r="56" spans="1:78" s="222" customFormat="1" ht="15" x14ac:dyDescent="0.2">
      <c r="A56" s="262"/>
      <c r="B56" s="262"/>
    </row>
    <row r="57" spans="1:78" s="222" customFormat="1" ht="15" x14ac:dyDescent="0.2">
      <c r="A57" s="6228" t="s">
        <v>6</v>
      </c>
      <c r="B57" s="1029" t="s">
        <v>615</v>
      </c>
      <c r="C57" s="1274"/>
      <c r="D57" s="1275"/>
      <c r="E57" s="1275"/>
      <c r="F57" s="1276"/>
      <c r="G57" s="1274"/>
      <c r="H57" s="1275"/>
      <c r="I57" s="1275"/>
      <c r="J57" s="1276"/>
      <c r="K57" s="1274"/>
      <c r="L57" s="1275"/>
      <c r="M57" s="1275"/>
      <c r="N57" s="1276"/>
      <c r="O57" s="1274"/>
      <c r="P57" s="1275"/>
      <c r="Q57" s="1275"/>
      <c r="R57" s="1276"/>
      <c r="S57" s="1274"/>
      <c r="T57" s="1275"/>
      <c r="U57" s="1275"/>
      <c r="V57" s="1276"/>
      <c r="W57" s="1274"/>
      <c r="X57" s="1275"/>
      <c r="Y57" s="1275"/>
      <c r="Z57" s="1277"/>
      <c r="AA57" s="1274"/>
      <c r="AB57" s="1275"/>
      <c r="AC57" s="1275"/>
      <c r="AD57" s="1276"/>
      <c r="AE57" s="1275"/>
      <c r="AF57" s="1275"/>
      <c r="AG57" s="1275"/>
      <c r="AH57" s="1276"/>
      <c r="AI57" s="1275"/>
      <c r="AJ57" s="1275"/>
      <c r="AK57" s="1275"/>
      <c r="AL57" s="1277"/>
      <c r="AM57" s="1030"/>
      <c r="AN57" s="1031"/>
      <c r="AO57" s="1031"/>
      <c r="AP57" s="1048"/>
      <c r="AQ57" s="1030"/>
      <c r="AR57" s="1031"/>
      <c r="AS57" s="1031"/>
      <c r="AT57" s="1048"/>
      <c r="AU57" s="1030"/>
      <c r="AV57" s="1031"/>
      <c r="AW57" s="1031"/>
      <c r="AX57" s="1048"/>
      <c r="AY57" s="1030"/>
      <c r="AZ57" s="1031"/>
      <c r="BA57" s="1031"/>
      <c r="BB57" s="1048"/>
      <c r="BC57" s="1030"/>
      <c r="BD57" s="1031"/>
      <c r="BE57" s="1031"/>
      <c r="BF57" s="1048"/>
      <c r="BG57" s="1030"/>
      <c r="BH57" s="1031"/>
      <c r="BI57" s="1031"/>
      <c r="BJ57" s="1048">
        <f>SUM(BG57:BI57)</f>
        <v>0</v>
      </c>
      <c r="BK57" s="1030"/>
      <c r="BL57" s="1031"/>
      <c r="BM57" s="1031"/>
      <c r="BN57" s="1048">
        <f>SUM(BK57:BM57)</f>
        <v>0</v>
      </c>
      <c r="BO57" s="1030"/>
      <c r="BP57" s="1031"/>
      <c r="BQ57" s="1031"/>
      <c r="BR57" s="1048">
        <f>SUM(BO57:BQ57)</f>
        <v>0</v>
      </c>
      <c r="BS57" s="1030"/>
      <c r="BT57" s="1031"/>
      <c r="BU57" s="1031"/>
      <c r="BV57" s="1048">
        <f>SUM(BS57:BU57)</f>
        <v>0</v>
      </c>
      <c r="BW57" s="1030"/>
      <c r="BX57" s="1031"/>
      <c r="BY57" s="1031"/>
      <c r="BZ57" s="1048">
        <f>SUM(BW57:BY57)</f>
        <v>0</v>
      </c>
    </row>
    <row r="58" spans="1:78" s="222" customFormat="1" ht="15" x14ac:dyDescent="0.2">
      <c r="A58" s="6229"/>
      <c r="B58" s="1034" t="s">
        <v>616</v>
      </c>
      <c r="C58" s="1278"/>
      <c r="D58" s="1279"/>
      <c r="E58" s="1279"/>
      <c r="F58" s="1280"/>
      <c r="G58" s="1278"/>
      <c r="H58" s="1279"/>
      <c r="I58" s="1279"/>
      <c r="J58" s="1280"/>
      <c r="K58" s="1278"/>
      <c r="L58" s="1279"/>
      <c r="M58" s="1279"/>
      <c r="N58" s="1280"/>
      <c r="O58" s="1278"/>
      <c r="P58" s="1279"/>
      <c r="Q58" s="1279"/>
      <c r="R58" s="1280"/>
      <c r="S58" s="1278"/>
      <c r="T58" s="1279"/>
      <c r="U58" s="1279"/>
      <c r="V58" s="1280"/>
      <c r="W58" s="1278"/>
      <c r="X58" s="1279"/>
      <c r="Y58" s="1279"/>
      <c r="Z58" s="1281"/>
      <c r="AA58" s="1278"/>
      <c r="AB58" s="1279"/>
      <c r="AC58" s="1279"/>
      <c r="AD58" s="1280"/>
      <c r="AE58" s="1279"/>
      <c r="AF58" s="1279"/>
      <c r="AG58" s="1279"/>
      <c r="AH58" s="1280"/>
      <c r="AI58" s="1279"/>
      <c r="AJ58" s="1279"/>
      <c r="AK58" s="1279"/>
      <c r="AL58" s="1281"/>
      <c r="AM58" s="1035"/>
      <c r="AN58" s="1036"/>
      <c r="AO58" s="1036"/>
      <c r="AP58" s="1039"/>
      <c r="AQ58" s="1035"/>
      <c r="AR58" s="1036"/>
      <c r="AS58" s="1036"/>
      <c r="AT58" s="1039"/>
      <c r="AU58" s="1035"/>
      <c r="AV58" s="1036"/>
      <c r="AW58" s="1036"/>
      <c r="AX58" s="1039"/>
      <c r="AY58" s="1035"/>
      <c r="AZ58" s="1036"/>
      <c r="BA58" s="1036"/>
      <c r="BB58" s="1039"/>
      <c r="BC58" s="1035"/>
      <c r="BD58" s="1036"/>
      <c r="BE58" s="1036"/>
      <c r="BF58" s="1039"/>
      <c r="BG58" s="1035">
        <f>SUM('EGRESO-POS plan'!BI128:BI129)</f>
        <v>5</v>
      </c>
      <c r="BH58" s="1036">
        <f>SUM('EGRESO-POS plan'!BJ128:BJ129)</f>
        <v>3</v>
      </c>
      <c r="BI58" s="1036">
        <f>SUM('EGRESO-POS plan'!BK128:BK129)</f>
        <v>2</v>
      </c>
      <c r="BJ58" s="1039">
        <f>SUM(BG58:BI58)</f>
        <v>10</v>
      </c>
      <c r="BK58" s="1035">
        <f>SUM('EGRESO-POS plan'!BM128)</f>
        <v>3</v>
      </c>
      <c r="BL58" s="1036">
        <f>SUM('EGRESO-POS plan'!BN128)</f>
        <v>1</v>
      </c>
      <c r="BM58" s="1036">
        <f>SUM('EGRESO-POS plan'!BO128)</f>
        <v>2</v>
      </c>
      <c r="BN58" s="1039">
        <f>SUM(BK58:BM58)</f>
        <v>6</v>
      </c>
      <c r="BO58" s="1035">
        <f>SUM('EGRESO-POS plan'!BQ128)</f>
        <v>3</v>
      </c>
      <c r="BP58" s="1036">
        <f>SUM('EGRESO-POS plan'!BR128)</f>
        <v>1</v>
      </c>
      <c r="BQ58" s="1036">
        <f>SUM('EGRESO-POS plan'!BS128)</f>
        <v>5</v>
      </c>
      <c r="BR58" s="1039">
        <f>SUM(BO58:BQ58)</f>
        <v>9</v>
      </c>
      <c r="BS58" s="1035">
        <f>SUM('EGRESO-POS plan'!BU128)</f>
        <v>1</v>
      </c>
      <c r="BT58" s="1036">
        <f>SUM('EGRESO-POS plan'!BV128)</f>
        <v>2</v>
      </c>
      <c r="BU58" s="1036">
        <f>SUM('EGRESO-POS plan'!BW128)</f>
        <v>4</v>
      </c>
      <c r="BV58" s="1039">
        <f>SUM(BS58:BU58)</f>
        <v>7</v>
      </c>
      <c r="BW58" s="1035">
        <f>SUM('EGRESO-POS plan'!BY128)</f>
        <v>8</v>
      </c>
      <c r="BX58" s="1036">
        <f>SUM('EGRESO-POS plan'!BZ128)</f>
        <v>0</v>
      </c>
      <c r="BY58" s="1036">
        <f>SUM('EGRESO-POS plan'!CA128)</f>
        <v>4</v>
      </c>
      <c r="BZ58" s="1039">
        <f>SUM(BW58:BY58)</f>
        <v>12</v>
      </c>
    </row>
    <row r="59" spans="1:78" s="222" customFormat="1" ht="15" x14ac:dyDescent="0.2">
      <c r="A59" s="6229"/>
      <c r="B59" s="1040" t="s">
        <v>617</v>
      </c>
      <c r="C59" s="1278"/>
      <c r="D59" s="1279"/>
      <c r="E59" s="1279"/>
      <c r="F59" s="1280"/>
      <c r="G59" s="1278"/>
      <c r="H59" s="1279"/>
      <c r="I59" s="1279"/>
      <c r="J59" s="1280"/>
      <c r="K59" s="1278"/>
      <c r="L59" s="1279"/>
      <c r="M59" s="1279"/>
      <c r="N59" s="1280"/>
      <c r="O59" s="1278"/>
      <c r="P59" s="1279"/>
      <c r="Q59" s="1279"/>
      <c r="R59" s="1280"/>
      <c r="S59" s="1278"/>
      <c r="T59" s="1279"/>
      <c r="U59" s="1279"/>
      <c r="V59" s="1280"/>
      <c r="W59" s="1278"/>
      <c r="X59" s="1279"/>
      <c r="Y59" s="1279"/>
      <c r="Z59" s="1281"/>
      <c r="AA59" s="1278"/>
      <c r="AB59" s="1279"/>
      <c r="AC59" s="1279"/>
      <c r="AD59" s="1280"/>
      <c r="AE59" s="1279"/>
      <c r="AF59" s="1279"/>
      <c r="AG59" s="1279"/>
      <c r="AH59" s="1280"/>
      <c r="AI59" s="1279"/>
      <c r="AJ59" s="1279"/>
      <c r="AK59" s="1279"/>
      <c r="AL59" s="1281"/>
      <c r="AM59" s="1035"/>
      <c r="AN59" s="1036"/>
      <c r="AO59" s="1036"/>
      <c r="AP59" s="1039"/>
      <c r="AQ59" s="1035"/>
      <c r="AR59" s="1036"/>
      <c r="AS59" s="1036"/>
      <c r="AT59" s="1039"/>
      <c r="AU59" s="1035"/>
      <c r="AV59" s="1036"/>
      <c r="AW59" s="1036"/>
      <c r="AX59" s="1039"/>
      <c r="AY59" s="1035"/>
      <c r="AZ59" s="1036"/>
      <c r="BA59" s="1036"/>
      <c r="BB59" s="1039"/>
      <c r="BC59" s="1035"/>
      <c r="BD59" s="1036"/>
      <c r="BE59" s="1036"/>
      <c r="BF59" s="1039"/>
      <c r="BG59" s="1035"/>
      <c r="BH59" s="1036"/>
      <c r="BI59" s="1036"/>
      <c r="BJ59" s="1039">
        <f>SUM(BG59:BI59)</f>
        <v>0</v>
      </c>
      <c r="BK59" s="1035">
        <f>SUM('EGRESO-POS plan'!BM129)</f>
        <v>0</v>
      </c>
      <c r="BL59" s="1036">
        <f>SUM('EGRESO-POS plan'!BN129)</f>
        <v>1</v>
      </c>
      <c r="BM59" s="1036">
        <f>SUM('EGRESO-POS plan'!BO129)</f>
        <v>1</v>
      </c>
      <c r="BN59" s="1039">
        <f>SUM(BK59:BM59)</f>
        <v>2</v>
      </c>
      <c r="BO59" s="1035">
        <f>SUM('EGRESO-POS plan'!BQ129)</f>
        <v>0</v>
      </c>
      <c r="BP59" s="1036">
        <f>SUM('EGRESO-POS plan'!BR129)</f>
        <v>1</v>
      </c>
      <c r="BQ59" s="1036">
        <f>SUM('EGRESO-POS plan'!BS129)</f>
        <v>0</v>
      </c>
      <c r="BR59" s="1039">
        <f>SUM(BO59:BQ59)</f>
        <v>1</v>
      </c>
      <c r="BS59" s="1035">
        <f>SUM('EGRESO-POS plan'!BU129)</f>
        <v>2</v>
      </c>
      <c r="BT59" s="1036">
        <f>SUM('EGRESO-POS plan'!BV129)</f>
        <v>1</v>
      </c>
      <c r="BU59" s="1036">
        <f>SUM('EGRESO-POS plan'!BW129)</f>
        <v>2</v>
      </c>
      <c r="BV59" s="1039">
        <f>SUM(BS59:BU59)</f>
        <v>5</v>
      </c>
      <c r="BW59" s="1035">
        <f>SUM('EGRESO-POS plan'!BY129)</f>
        <v>5</v>
      </c>
      <c r="BX59" s="1036">
        <f>SUM('EGRESO-POS plan'!BZ129)</f>
        <v>1</v>
      </c>
      <c r="BY59" s="1036">
        <f>SUM('EGRESO-POS plan'!CA129)</f>
        <v>3</v>
      </c>
      <c r="BZ59" s="1039">
        <f>SUM(BW59:BY59)</f>
        <v>9</v>
      </c>
    </row>
    <row r="60" spans="1:78" s="222" customFormat="1" ht="15" x14ac:dyDescent="0.2">
      <c r="A60" s="6230"/>
      <c r="B60" s="574" t="s">
        <v>14</v>
      </c>
      <c r="C60" s="1147"/>
      <c r="D60" s="1148"/>
      <c r="E60" s="1148"/>
      <c r="F60" s="1139"/>
      <c r="G60" s="1147"/>
      <c r="H60" s="1148"/>
      <c r="I60" s="1148"/>
      <c r="J60" s="1139"/>
      <c r="K60" s="1147"/>
      <c r="L60" s="1148"/>
      <c r="M60" s="1148"/>
      <c r="N60" s="1139"/>
      <c r="O60" s="1147"/>
      <c r="P60" s="1148"/>
      <c r="Q60" s="1148"/>
      <c r="R60" s="1139"/>
      <c r="S60" s="1147"/>
      <c r="T60" s="1148"/>
      <c r="U60" s="1148"/>
      <c r="V60" s="1139"/>
      <c r="W60" s="1147"/>
      <c r="X60" s="1148"/>
      <c r="Y60" s="1148"/>
      <c r="Z60" s="1148"/>
      <c r="AA60" s="1147"/>
      <c r="AB60" s="1148"/>
      <c r="AC60" s="1148"/>
      <c r="AD60" s="1139"/>
      <c r="AE60" s="1148"/>
      <c r="AF60" s="1148"/>
      <c r="AG60" s="1148"/>
      <c r="AH60" s="1139"/>
      <c r="AI60" s="1148"/>
      <c r="AJ60" s="1148"/>
      <c r="AK60" s="1148"/>
      <c r="AL60" s="1148"/>
      <c r="AM60" s="569"/>
      <c r="AN60" s="570"/>
      <c r="AO60" s="570"/>
      <c r="AP60" s="570"/>
      <c r="AQ60" s="569"/>
      <c r="AR60" s="570"/>
      <c r="AS60" s="570"/>
      <c r="AT60" s="571"/>
      <c r="AU60" s="569"/>
      <c r="AV60" s="570"/>
      <c r="AW60" s="570"/>
      <c r="AX60" s="571"/>
      <c r="AY60" s="569"/>
      <c r="AZ60" s="570"/>
      <c r="BA60" s="570"/>
      <c r="BB60" s="571"/>
      <c r="BC60" s="569"/>
      <c r="BD60" s="570"/>
      <c r="BE60" s="570"/>
      <c r="BF60" s="571"/>
      <c r="BG60" s="569">
        <f t="shared" ref="BG60:BN60" si="111">SUM(BG57:BG59)</f>
        <v>5</v>
      </c>
      <c r="BH60" s="570">
        <f t="shared" si="111"/>
        <v>3</v>
      </c>
      <c r="BI60" s="570">
        <f t="shared" si="111"/>
        <v>2</v>
      </c>
      <c r="BJ60" s="571">
        <f t="shared" si="111"/>
        <v>10</v>
      </c>
      <c r="BK60" s="569">
        <f t="shared" si="111"/>
        <v>3</v>
      </c>
      <c r="BL60" s="570">
        <f t="shared" si="111"/>
        <v>2</v>
      </c>
      <c r="BM60" s="570">
        <f t="shared" si="111"/>
        <v>3</v>
      </c>
      <c r="BN60" s="571">
        <f t="shared" si="111"/>
        <v>8</v>
      </c>
      <c r="BO60" s="569">
        <f t="shared" ref="BO60:BV60" si="112">SUM(BO57:BO59)</f>
        <v>3</v>
      </c>
      <c r="BP60" s="570">
        <f t="shared" si="112"/>
        <v>2</v>
      </c>
      <c r="BQ60" s="570">
        <f t="shared" si="112"/>
        <v>5</v>
      </c>
      <c r="BR60" s="571">
        <f t="shared" si="112"/>
        <v>10</v>
      </c>
      <c r="BS60" s="569">
        <f t="shared" si="112"/>
        <v>3</v>
      </c>
      <c r="BT60" s="570">
        <f t="shared" si="112"/>
        <v>3</v>
      </c>
      <c r="BU60" s="570">
        <f t="shared" si="112"/>
        <v>6</v>
      </c>
      <c r="BV60" s="571">
        <f t="shared" si="112"/>
        <v>12</v>
      </c>
      <c r="BW60" s="569">
        <f t="shared" ref="BW60:BZ60" si="113">SUM(BW57:BW59)</f>
        <v>13</v>
      </c>
      <c r="BX60" s="570">
        <f t="shared" si="113"/>
        <v>1</v>
      </c>
      <c r="BY60" s="570">
        <f t="shared" si="113"/>
        <v>7</v>
      </c>
      <c r="BZ60" s="571">
        <f t="shared" si="113"/>
        <v>21</v>
      </c>
    </row>
    <row r="61" spans="1:78" s="222" customFormat="1" ht="15" x14ac:dyDescent="0.2">
      <c r="A61" s="6228" t="s">
        <v>9</v>
      </c>
      <c r="B61" s="1029" t="s">
        <v>615</v>
      </c>
      <c r="C61" s="1282"/>
      <c r="D61" s="1283"/>
      <c r="E61" s="1283"/>
      <c r="F61" s="1284"/>
      <c r="G61" s="1282"/>
      <c r="H61" s="1283"/>
      <c r="I61" s="1283"/>
      <c r="J61" s="1284"/>
      <c r="K61" s="1282"/>
      <c r="L61" s="1283"/>
      <c r="M61" s="1283"/>
      <c r="N61" s="1284"/>
      <c r="O61" s="1282"/>
      <c r="P61" s="1283"/>
      <c r="Q61" s="1283"/>
      <c r="R61" s="1284"/>
      <c r="S61" s="1282"/>
      <c r="T61" s="1283"/>
      <c r="U61" s="1283"/>
      <c r="V61" s="1284"/>
      <c r="W61" s="1282"/>
      <c r="X61" s="1283"/>
      <c r="Y61" s="1283"/>
      <c r="Z61" s="1285"/>
      <c r="AA61" s="1282"/>
      <c r="AB61" s="1283"/>
      <c r="AC61" s="1283"/>
      <c r="AD61" s="1284"/>
      <c r="AE61" s="1283"/>
      <c r="AF61" s="1283"/>
      <c r="AG61" s="1283"/>
      <c r="AH61" s="1284"/>
      <c r="AI61" s="1283"/>
      <c r="AJ61" s="1283"/>
      <c r="AK61" s="1283"/>
      <c r="AL61" s="1285"/>
      <c r="AM61" s="1286"/>
      <c r="AN61" s="1287"/>
      <c r="AO61" s="1287"/>
      <c r="AP61" s="1288"/>
      <c r="AQ61" s="1286"/>
      <c r="AR61" s="1287"/>
      <c r="AS61" s="1287"/>
      <c r="AT61" s="1288"/>
      <c r="AU61" s="1286"/>
      <c r="AV61" s="1287"/>
      <c r="AW61" s="1287"/>
      <c r="AX61" s="1288"/>
      <c r="AY61" s="1286"/>
      <c r="AZ61" s="1287"/>
      <c r="BA61" s="1287"/>
      <c r="BB61" s="1288"/>
      <c r="BC61" s="1030"/>
      <c r="BD61" s="1031"/>
      <c r="BE61" s="1031"/>
      <c r="BF61" s="1048"/>
      <c r="BG61" s="1030"/>
      <c r="BH61" s="1031"/>
      <c r="BI61" s="1031"/>
      <c r="BJ61" s="1048">
        <f>SUM(BG61:BI61)</f>
        <v>0</v>
      </c>
      <c r="BK61" s="1030"/>
      <c r="BL61" s="1031"/>
      <c r="BM61" s="1031"/>
      <c r="BN61" s="1048">
        <f>SUM(BK61:BM61)</f>
        <v>0</v>
      </c>
      <c r="BO61" s="1030"/>
      <c r="BP61" s="1031"/>
      <c r="BQ61" s="1031"/>
      <c r="BR61" s="1048">
        <f>SUM(BO61:BQ61)</f>
        <v>0</v>
      </c>
      <c r="BS61" s="1030"/>
      <c r="BT61" s="1031"/>
      <c r="BU61" s="1031"/>
      <c r="BV61" s="1048">
        <f>SUM(BS61:BU61)</f>
        <v>0</v>
      </c>
      <c r="BW61" s="1030"/>
      <c r="BX61" s="1031"/>
      <c r="BY61" s="1031"/>
      <c r="BZ61" s="1048">
        <f>SUM(BW61:BY61)</f>
        <v>0</v>
      </c>
    </row>
    <row r="62" spans="1:78" s="222" customFormat="1" ht="15" x14ac:dyDescent="0.2">
      <c r="A62" s="6229"/>
      <c r="B62" s="1034" t="s">
        <v>616</v>
      </c>
      <c r="C62" s="1278"/>
      <c r="D62" s="1279"/>
      <c r="E62" s="1279"/>
      <c r="F62" s="1280"/>
      <c r="G62" s="1278"/>
      <c r="H62" s="1279"/>
      <c r="I62" s="1279"/>
      <c r="J62" s="1280"/>
      <c r="K62" s="1278"/>
      <c r="L62" s="1279"/>
      <c r="M62" s="1279"/>
      <c r="N62" s="1280"/>
      <c r="O62" s="1278"/>
      <c r="P62" s="1279"/>
      <c r="Q62" s="1279"/>
      <c r="R62" s="1280"/>
      <c r="S62" s="1278"/>
      <c r="T62" s="1279"/>
      <c r="U62" s="1279"/>
      <c r="V62" s="1280"/>
      <c r="W62" s="1278"/>
      <c r="X62" s="1279"/>
      <c r="Y62" s="1279"/>
      <c r="Z62" s="1281"/>
      <c r="AA62" s="1278"/>
      <c r="AB62" s="1279"/>
      <c r="AC62" s="1279"/>
      <c r="AD62" s="1280"/>
      <c r="AE62" s="1279"/>
      <c r="AF62" s="1279"/>
      <c r="AG62" s="1279"/>
      <c r="AH62" s="1280"/>
      <c r="AI62" s="1279"/>
      <c r="AJ62" s="1279"/>
      <c r="AK62" s="1279"/>
      <c r="AL62" s="1281"/>
      <c r="AM62" s="1035"/>
      <c r="AN62" s="1036"/>
      <c r="AO62" s="1036"/>
      <c r="AP62" s="1039"/>
      <c r="AQ62" s="1035"/>
      <c r="AR62" s="1036"/>
      <c r="AS62" s="1036"/>
      <c r="AT62" s="1039"/>
      <c r="AU62" s="1035"/>
      <c r="AV62" s="1036"/>
      <c r="AW62" s="1036"/>
      <c r="AX62" s="1039"/>
      <c r="AY62" s="1035"/>
      <c r="AZ62" s="1036"/>
      <c r="BA62" s="1036"/>
      <c r="BB62" s="1039"/>
      <c r="BC62" s="1035"/>
      <c r="BD62" s="1036"/>
      <c r="BE62" s="1036"/>
      <c r="BF62" s="1039"/>
      <c r="BG62" s="1035"/>
      <c r="BH62" s="1036"/>
      <c r="BI62" s="1036"/>
      <c r="BJ62" s="1039">
        <f>SUM(BG62:BI62)</f>
        <v>0</v>
      </c>
      <c r="BK62" s="1035"/>
      <c r="BL62" s="1036"/>
      <c r="BM62" s="1036">
        <f>SUM('EGRESO-POS plan'!BO131)</f>
        <v>8</v>
      </c>
      <c r="BN62" s="1039">
        <f>SUM(BK62:BM62)</f>
        <v>8</v>
      </c>
      <c r="BO62" s="1035"/>
      <c r="BP62" s="1036"/>
      <c r="BQ62" s="1036">
        <f>SUM('EGRESO-POS plan'!BS131)</f>
        <v>11</v>
      </c>
      <c r="BR62" s="1039">
        <f>SUM(BO62:BQ62)</f>
        <v>11</v>
      </c>
      <c r="BS62" s="1036">
        <f>SUM('EGRESO-POS plan'!BU131)</f>
        <v>0</v>
      </c>
      <c r="BT62" s="1036">
        <f>SUM('EGRESO-POS plan'!BV131)</f>
        <v>3</v>
      </c>
      <c r="BU62" s="1036">
        <f>SUM('EGRESO-POS plan'!BW131)</f>
        <v>15</v>
      </c>
      <c r="BV62" s="1039">
        <f>SUM(BS62:BU62)</f>
        <v>18</v>
      </c>
      <c r="BW62" s="1036">
        <f>SUM('EGRESO-POS plan'!BY131)</f>
        <v>0</v>
      </c>
      <c r="BX62" s="1036">
        <f>SUM('EGRESO-POS plan'!BZ131)</f>
        <v>0</v>
      </c>
      <c r="BY62" s="1036">
        <f>SUM('EGRESO-POS plan'!CA131)</f>
        <v>7</v>
      </c>
      <c r="BZ62" s="1039">
        <f>SUM(BW62:BY62)</f>
        <v>7</v>
      </c>
    </row>
    <row r="63" spans="1:78" s="222" customFormat="1" ht="15" x14ac:dyDescent="0.2">
      <c r="A63" s="6229"/>
      <c r="B63" s="1040" t="s">
        <v>617</v>
      </c>
      <c r="C63" s="1278"/>
      <c r="D63" s="1279"/>
      <c r="E63" s="1279"/>
      <c r="F63" s="1280"/>
      <c r="G63" s="1278"/>
      <c r="H63" s="1279"/>
      <c r="I63" s="1279"/>
      <c r="J63" s="1280"/>
      <c r="K63" s="1278"/>
      <c r="L63" s="1279"/>
      <c r="M63" s="1279"/>
      <c r="N63" s="1280"/>
      <c r="O63" s="1278"/>
      <c r="P63" s="1279"/>
      <c r="Q63" s="1279"/>
      <c r="R63" s="1280"/>
      <c r="S63" s="1278"/>
      <c r="T63" s="1279"/>
      <c r="U63" s="1279"/>
      <c r="V63" s="1280"/>
      <c r="W63" s="1278"/>
      <c r="X63" s="1279"/>
      <c r="Y63" s="1279"/>
      <c r="Z63" s="1281"/>
      <c r="AA63" s="1278"/>
      <c r="AB63" s="1279"/>
      <c r="AC63" s="1279"/>
      <c r="AD63" s="1280"/>
      <c r="AE63" s="1279"/>
      <c r="AF63" s="1279"/>
      <c r="AG63" s="1279"/>
      <c r="AH63" s="1280"/>
      <c r="AI63" s="1279"/>
      <c r="AJ63" s="1279"/>
      <c r="AK63" s="1279"/>
      <c r="AL63" s="1281"/>
      <c r="AM63" s="1035"/>
      <c r="AN63" s="1036"/>
      <c r="AO63" s="1036"/>
      <c r="AP63" s="1039"/>
      <c r="AQ63" s="1035"/>
      <c r="AR63" s="1036"/>
      <c r="AS63" s="1036"/>
      <c r="AT63" s="1039"/>
      <c r="AU63" s="1035"/>
      <c r="AV63" s="1036"/>
      <c r="AW63" s="1036"/>
      <c r="AX63" s="1039"/>
      <c r="AY63" s="1035"/>
      <c r="AZ63" s="1036"/>
      <c r="BA63" s="1036"/>
      <c r="BB63" s="1039"/>
      <c r="BC63" s="1035"/>
      <c r="BD63" s="1036"/>
      <c r="BE63" s="1036"/>
      <c r="BF63" s="1039"/>
      <c r="BG63" s="1035"/>
      <c r="BH63" s="1036"/>
      <c r="BI63" s="1036"/>
      <c r="BJ63" s="1039">
        <f>SUM(BG63:BI63)</f>
        <v>0</v>
      </c>
      <c r="BK63" s="1035"/>
      <c r="BL63" s="1036"/>
      <c r="BM63" s="1036"/>
      <c r="BN63" s="1039">
        <f>SUM(BK63:BM63)</f>
        <v>0</v>
      </c>
      <c r="BO63" s="1035"/>
      <c r="BP63" s="1036"/>
      <c r="BQ63" s="1036"/>
      <c r="BR63" s="1039">
        <f>SUM(BO63:BQ63)</f>
        <v>0</v>
      </c>
      <c r="BS63" s="1035"/>
      <c r="BT63" s="1036"/>
      <c r="BU63" s="1036"/>
      <c r="BV63" s="1039">
        <f>SUM(BS63:BU63)</f>
        <v>0</v>
      </c>
      <c r="BW63" s="1035"/>
      <c r="BX63" s="1036"/>
      <c r="BY63" s="1036"/>
      <c r="BZ63" s="1039">
        <f>SUM(BW63:BY63)</f>
        <v>0</v>
      </c>
    </row>
    <row r="64" spans="1:78" s="222" customFormat="1" ht="15" x14ac:dyDescent="0.2">
      <c r="A64" s="6230"/>
      <c r="B64" s="574" t="s">
        <v>30</v>
      </c>
      <c r="C64" s="1147"/>
      <c r="D64" s="1148"/>
      <c r="E64" s="1148"/>
      <c r="F64" s="1139"/>
      <c r="G64" s="1147"/>
      <c r="H64" s="1148"/>
      <c r="I64" s="1148"/>
      <c r="J64" s="1139"/>
      <c r="K64" s="1147"/>
      <c r="L64" s="1148"/>
      <c r="M64" s="1148"/>
      <c r="N64" s="1139"/>
      <c r="O64" s="1147"/>
      <c r="P64" s="1148"/>
      <c r="Q64" s="1148"/>
      <c r="R64" s="1139"/>
      <c r="S64" s="1147"/>
      <c r="T64" s="1148"/>
      <c r="U64" s="1148"/>
      <c r="V64" s="1139"/>
      <c r="W64" s="1147"/>
      <c r="X64" s="1148"/>
      <c r="Y64" s="1148"/>
      <c r="Z64" s="1148"/>
      <c r="AA64" s="1147"/>
      <c r="AB64" s="1148"/>
      <c r="AC64" s="1148"/>
      <c r="AD64" s="1139"/>
      <c r="AE64" s="1148"/>
      <c r="AF64" s="1148"/>
      <c r="AG64" s="1148"/>
      <c r="AH64" s="1139"/>
      <c r="AI64" s="1148"/>
      <c r="AJ64" s="1148"/>
      <c r="AK64" s="1148"/>
      <c r="AL64" s="1148"/>
      <c r="AM64" s="569"/>
      <c r="AN64" s="570"/>
      <c r="AO64" s="570"/>
      <c r="AP64" s="570"/>
      <c r="AQ64" s="569"/>
      <c r="AR64" s="570"/>
      <c r="AS64" s="570"/>
      <c r="AT64" s="571"/>
      <c r="AU64" s="569"/>
      <c r="AV64" s="570"/>
      <c r="AW64" s="570"/>
      <c r="AX64" s="571"/>
      <c r="AY64" s="569"/>
      <c r="AZ64" s="570"/>
      <c r="BA64" s="570"/>
      <c r="BB64" s="571"/>
      <c r="BC64" s="569"/>
      <c r="BD64" s="570"/>
      <c r="BE64" s="570"/>
      <c r="BF64" s="571"/>
      <c r="BG64" s="569">
        <f t="shared" ref="BG64:BN64" si="114">SUM(BG61:BG63)</f>
        <v>0</v>
      </c>
      <c r="BH64" s="570">
        <f t="shared" si="114"/>
        <v>0</v>
      </c>
      <c r="BI64" s="570">
        <f t="shared" si="114"/>
        <v>0</v>
      </c>
      <c r="BJ64" s="571">
        <f t="shared" si="114"/>
        <v>0</v>
      </c>
      <c r="BK64" s="569">
        <f t="shared" si="114"/>
        <v>0</v>
      </c>
      <c r="BL64" s="570">
        <f t="shared" si="114"/>
        <v>0</v>
      </c>
      <c r="BM64" s="570">
        <f t="shared" si="114"/>
        <v>8</v>
      </c>
      <c r="BN64" s="571">
        <f t="shared" si="114"/>
        <v>8</v>
      </c>
      <c r="BO64" s="569">
        <f t="shared" ref="BO64:BV64" si="115">SUM(BO61:BO63)</f>
        <v>0</v>
      </c>
      <c r="BP64" s="570">
        <f t="shared" si="115"/>
        <v>0</v>
      </c>
      <c r="BQ64" s="570">
        <f t="shared" si="115"/>
        <v>11</v>
      </c>
      <c r="BR64" s="571">
        <f t="shared" si="115"/>
        <v>11</v>
      </c>
      <c r="BS64" s="569">
        <f t="shared" si="115"/>
        <v>0</v>
      </c>
      <c r="BT64" s="570">
        <f t="shared" si="115"/>
        <v>3</v>
      </c>
      <c r="BU64" s="570">
        <f t="shared" si="115"/>
        <v>15</v>
      </c>
      <c r="BV64" s="571">
        <f t="shared" si="115"/>
        <v>18</v>
      </c>
      <c r="BW64" s="569">
        <f t="shared" ref="BW64:BZ64" si="116">SUM(BW61:BW63)</f>
        <v>0</v>
      </c>
      <c r="BX64" s="570">
        <f t="shared" si="116"/>
        <v>0</v>
      </c>
      <c r="BY64" s="570">
        <f t="shared" si="116"/>
        <v>7</v>
      </c>
      <c r="BZ64" s="571">
        <f t="shared" si="116"/>
        <v>7</v>
      </c>
    </row>
    <row r="65" spans="1:78" s="222" customFormat="1" ht="15" x14ac:dyDescent="0.2">
      <c r="A65" s="6228" t="s">
        <v>74</v>
      </c>
      <c r="B65" s="1029" t="s">
        <v>615</v>
      </c>
      <c r="C65" s="1274"/>
      <c r="D65" s="1275"/>
      <c r="E65" s="1275"/>
      <c r="F65" s="1276"/>
      <c r="G65" s="1274"/>
      <c r="H65" s="1275"/>
      <c r="I65" s="1275"/>
      <c r="J65" s="1276"/>
      <c r="K65" s="1274"/>
      <c r="L65" s="1275"/>
      <c r="M65" s="1275"/>
      <c r="N65" s="1276"/>
      <c r="O65" s="1274"/>
      <c r="P65" s="1275"/>
      <c r="Q65" s="1275"/>
      <c r="R65" s="1276"/>
      <c r="S65" s="1274"/>
      <c r="T65" s="1275"/>
      <c r="U65" s="1275"/>
      <c r="V65" s="1276"/>
      <c r="W65" s="1274"/>
      <c r="X65" s="1275"/>
      <c r="Y65" s="1275"/>
      <c r="Z65" s="1277"/>
      <c r="AA65" s="1274"/>
      <c r="AB65" s="1275"/>
      <c r="AC65" s="1275"/>
      <c r="AD65" s="1276"/>
      <c r="AE65" s="1275"/>
      <c r="AF65" s="1275"/>
      <c r="AG65" s="1275"/>
      <c r="AH65" s="1276"/>
      <c r="AI65" s="1275"/>
      <c r="AJ65" s="1275"/>
      <c r="AK65" s="1275"/>
      <c r="AL65" s="1277"/>
      <c r="AM65" s="1030"/>
      <c r="AN65" s="1031"/>
      <c r="AO65" s="1031"/>
      <c r="AP65" s="1048"/>
      <c r="AQ65" s="1030"/>
      <c r="AR65" s="1031"/>
      <c r="AS65" s="1031"/>
      <c r="AT65" s="1048"/>
      <c r="AU65" s="1030"/>
      <c r="AV65" s="1031"/>
      <c r="AW65" s="1031"/>
      <c r="AX65" s="1048"/>
      <c r="AY65" s="1030"/>
      <c r="AZ65" s="1031"/>
      <c r="BA65" s="1031"/>
      <c r="BB65" s="1048"/>
      <c r="BC65" s="1030"/>
      <c r="BD65" s="1031"/>
      <c r="BE65" s="1031"/>
      <c r="BF65" s="1048"/>
      <c r="BG65" s="1030"/>
      <c r="BH65" s="1031">
        <f>SUM('EGRESO-POS plan'!BJ133)</f>
        <v>2</v>
      </c>
      <c r="BI65" s="1031"/>
      <c r="BJ65" s="1039">
        <f>SUM(BG65:BI65)</f>
        <v>2</v>
      </c>
      <c r="BK65" s="1030"/>
      <c r="BL65" s="1031">
        <f>SUM('EGRESO-POS plan'!BN133)</f>
        <v>2</v>
      </c>
      <c r="BM65" s="1031"/>
      <c r="BN65" s="1039">
        <f>SUM(BK65:BM65)</f>
        <v>2</v>
      </c>
      <c r="BO65" s="1030"/>
      <c r="BP65" s="1031">
        <f>SUM('EGRESO-POS plan'!BR133)</f>
        <v>2</v>
      </c>
      <c r="BQ65" s="1031"/>
      <c r="BR65" s="1039">
        <f>SUM(BO65:BQ65)</f>
        <v>2</v>
      </c>
      <c r="BS65" s="1030">
        <f>SUM('EGRESO-POS plan'!BU133)</f>
        <v>1</v>
      </c>
      <c r="BT65" s="1031">
        <f>SUM('EGRESO-POS plan'!BV133)</f>
        <v>1</v>
      </c>
      <c r="BU65" s="1031">
        <f>SUM('EGRESO-POS plan'!BW133)</f>
        <v>0</v>
      </c>
      <c r="BV65" s="1039">
        <f>SUM(BS65:BU65)</f>
        <v>2</v>
      </c>
      <c r="BW65" s="1030">
        <f>SUM('EGRESO-POS plan'!BY133)</f>
        <v>0</v>
      </c>
      <c r="BX65" s="1031">
        <f>SUM('EGRESO-POS plan'!BZ133)</f>
        <v>1</v>
      </c>
      <c r="BY65" s="1031">
        <f>SUM('EGRESO-POS plan'!CA133)</f>
        <v>0</v>
      </c>
      <c r="BZ65" s="1039">
        <f>SUM(BW65:BY65)</f>
        <v>1</v>
      </c>
    </row>
    <row r="66" spans="1:78" s="222" customFormat="1" ht="15" x14ac:dyDescent="0.2">
      <c r="A66" s="6229"/>
      <c r="B66" s="1034" t="s">
        <v>616</v>
      </c>
      <c r="C66" s="1278"/>
      <c r="D66" s="1279"/>
      <c r="E66" s="1279"/>
      <c r="F66" s="1280"/>
      <c r="G66" s="1278"/>
      <c r="H66" s="1279"/>
      <c r="I66" s="1279"/>
      <c r="J66" s="1280"/>
      <c r="K66" s="1278"/>
      <c r="L66" s="1279"/>
      <c r="M66" s="1279"/>
      <c r="N66" s="1280"/>
      <c r="O66" s="1278"/>
      <c r="P66" s="1279"/>
      <c r="Q66" s="1279"/>
      <c r="R66" s="1280"/>
      <c r="S66" s="1278"/>
      <c r="T66" s="1279"/>
      <c r="U66" s="1279"/>
      <c r="V66" s="1280"/>
      <c r="W66" s="1278"/>
      <c r="X66" s="1279"/>
      <c r="Y66" s="1279"/>
      <c r="Z66" s="1281"/>
      <c r="AA66" s="1278"/>
      <c r="AB66" s="1279"/>
      <c r="AC66" s="1279"/>
      <c r="AD66" s="1280"/>
      <c r="AE66" s="1279"/>
      <c r="AF66" s="1279"/>
      <c r="AG66" s="1279"/>
      <c r="AH66" s="1280"/>
      <c r="AI66" s="1279"/>
      <c r="AJ66" s="1279"/>
      <c r="AK66" s="1279"/>
      <c r="AL66" s="1281"/>
      <c r="AM66" s="1035"/>
      <c r="AN66" s="1036"/>
      <c r="AO66" s="1036"/>
      <c r="AP66" s="1039"/>
      <c r="AQ66" s="1035"/>
      <c r="AR66" s="1036"/>
      <c r="AS66" s="1036"/>
      <c r="AT66" s="1039"/>
      <c r="AU66" s="1035"/>
      <c r="AV66" s="1036"/>
      <c r="AW66" s="1036"/>
      <c r="AX66" s="1039"/>
      <c r="AY66" s="1035"/>
      <c r="AZ66" s="1036"/>
      <c r="BA66" s="1036"/>
      <c r="BB66" s="1039"/>
      <c r="BC66" s="1035"/>
      <c r="BD66" s="1036"/>
      <c r="BE66" s="1036"/>
      <c r="BF66" s="1039"/>
      <c r="BG66" s="1035"/>
      <c r="BH66" s="1036"/>
      <c r="BI66" s="1036"/>
      <c r="BJ66" s="1039">
        <f>SUM(BG66:BI66)</f>
        <v>0</v>
      </c>
      <c r="BK66" s="1035"/>
      <c r="BL66" s="1036"/>
      <c r="BM66" s="1036">
        <f>SUM('EGRESO-POS plan'!BO134)</f>
        <v>1</v>
      </c>
      <c r="BN66" s="1039">
        <f>SUM(BK66:BM66)</f>
        <v>1</v>
      </c>
      <c r="BO66" s="1035"/>
      <c r="BP66" s="1036">
        <v>5</v>
      </c>
      <c r="BQ66" s="1036">
        <f>SUM('EGRESO-POS plan'!BS134)</f>
        <v>1</v>
      </c>
      <c r="BR66" s="1039">
        <f>SUM(BO66:BQ66)</f>
        <v>6</v>
      </c>
      <c r="BS66" s="1036">
        <f>SUM('EGRESO-POS plan'!BU134)</f>
        <v>4</v>
      </c>
      <c r="BT66" s="1036">
        <f>SUM('EGRESO-POS plan'!BV134)</f>
        <v>1</v>
      </c>
      <c r="BU66" s="1036">
        <f>SUM('EGRESO-POS plan'!BW134)</f>
        <v>4</v>
      </c>
      <c r="BV66" s="1039">
        <f>SUM(BS66:BU66)</f>
        <v>9</v>
      </c>
      <c r="BW66" s="1036">
        <f>SUM('EGRESO-POS plan'!BY134)</f>
        <v>1</v>
      </c>
      <c r="BX66" s="1036">
        <f>SUM('EGRESO-POS plan'!BZ134)</f>
        <v>4</v>
      </c>
      <c r="BY66" s="1036">
        <f>SUM('EGRESO-POS plan'!CA134)</f>
        <v>2</v>
      </c>
      <c r="BZ66" s="1039">
        <f>SUM(BW66:BY66)</f>
        <v>7</v>
      </c>
    </row>
    <row r="67" spans="1:78" s="222" customFormat="1" ht="15" x14ac:dyDescent="0.2">
      <c r="A67" s="6229"/>
      <c r="B67" s="1040" t="s">
        <v>617</v>
      </c>
      <c r="C67" s="1278"/>
      <c r="D67" s="1279"/>
      <c r="E67" s="1279"/>
      <c r="F67" s="1280"/>
      <c r="G67" s="1278"/>
      <c r="H67" s="1279"/>
      <c r="I67" s="1279"/>
      <c r="J67" s="1280"/>
      <c r="K67" s="1278"/>
      <c r="L67" s="1279"/>
      <c r="M67" s="1279"/>
      <c r="N67" s="1280"/>
      <c r="O67" s="1278"/>
      <c r="P67" s="1279"/>
      <c r="Q67" s="1279"/>
      <c r="R67" s="1280"/>
      <c r="S67" s="1278"/>
      <c r="T67" s="1279"/>
      <c r="U67" s="1279"/>
      <c r="V67" s="1280"/>
      <c r="W67" s="1278"/>
      <c r="X67" s="1279"/>
      <c r="Y67" s="1279"/>
      <c r="Z67" s="1281"/>
      <c r="AA67" s="1278"/>
      <c r="AB67" s="1279"/>
      <c r="AC67" s="1279"/>
      <c r="AD67" s="1280"/>
      <c r="AE67" s="1279"/>
      <c r="AF67" s="1279"/>
      <c r="AG67" s="1279"/>
      <c r="AH67" s="1280"/>
      <c r="AI67" s="1279"/>
      <c r="AJ67" s="1279"/>
      <c r="AK67" s="1279"/>
      <c r="AL67" s="1281"/>
      <c r="AM67" s="1035"/>
      <c r="AN67" s="1036"/>
      <c r="AO67" s="1036"/>
      <c r="AP67" s="1039"/>
      <c r="AQ67" s="1035"/>
      <c r="AR67" s="1036"/>
      <c r="AS67" s="1036"/>
      <c r="AT67" s="1039"/>
      <c r="AU67" s="1035"/>
      <c r="AV67" s="1036"/>
      <c r="AW67" s="1036"/>
      <c r="AX67" s="1039"/>
      <c r="AY67" s="1035"/>
      <c r="AZ67" s="1036"/>
      <c r="BA67" s="1036"/>
      <c r="BB67" s="1039"/>
      <c r="BC67" s="1035"/>
      <c r="BD67" s="1036"/>
      <c r="BE67" s="1036"/>
      <c r="BF67" s="1039"/>
      <c r="BG67" s="1035"/>
      <c r="BH67" s="1036"/>
      <c r="BI67" s="1036"/>
      <c r="BJ67" s="1039">
        <f>SUM(BG67:BI67)</f>
        <v>0</v>
      </c>
      <c r="BK67" s="1035"/>
      <c r="BL67" s="1036"/>
      <c r="BM67" s="1036"/>
      <c r="BN67" s="1039">
        <f>SUM(BK67:BM67)</f>
        <v>0</v>
      </c>
      <c r="BO67" s="1035">
        <f>SUM('EGRESO-POS plan'!BQ135:BQ136)</f>
        <v>0</v>
      </c>
      <c r="BP67" s="1036">
        <f>SUM('EGRESO-POS plan'!BR135:BR136)</f>
        <v>1</v>
      </c>
      <c r="BQ67" s="1036">
        <f>SUM('EGRESO-POS plan'!BS135:BS136)</f>
        <v>1</v>
      </c>
      <c r="BR67" s="1039">
        <f>SUM(BO67:BQ67)</f>
        <v>2</v>
      </c>
      <c r="BS67" s="1035">
        <f>SUM('EGRESO-POS plan'!BU135:BU136)</f>
        <v>0</v>
      </c>
      <c r="BT67" s="1036">
        <f>SUM('EGRESO-POS plan'!BV135:BV136)</f>
        <v>0</v>
      </c>
      <c r="BU67" s="1036">
        <f>SUM('EGRESO-POS plan'!BW135:BW136)</f>
        <v>0</v>
      </c>
      <c r="BV67" s="1039">
        <f>SUM(BS67:BU67)</f>
        <v>0</v>
      </c>
      <c r="BW67" s="1035">
        <f>SUM('EGRESO-POS plan'!BY135:BY136)</f>
        <v>0</v>
      </c>
      <c r="BX67" s="1036">
        <f>SUM('EGRESO-POS plan'!BZ135:BZ136)</f>
        <v>0</v>
      </c>
      <c r="BY67" s="1036">
        <f>SUM('EGRESO-POS plan'!CA135:CA136)</f>
        <v>2</v>
      </c>
      <c r="BZ67" s="1039">
        <f>SUM(BW67:BY67)</f>
        <v>2</v>
      </c>
    </row>
    <row r="68" spans="1:78" s="222" customFormat="1" ht="15" x14ac:dyDescent="0.2">
      <c r="A68" s="6230"/>
      <c r="B68" s="574" t="s">
        <v>15</v>
      </c>
      <c r="C68" s="1147"/>
      <c r="D68" s="1148"/>
      <c r="E68" s="1148"/>
      <c r="F68" s="1139"/>
      <c r="G68" s="1147"/>
      <c r="H68" s="1148"/>
      <c r="I68" s="1148"/>
      <c r="J68" s="1139"/>
      <c r="K68" s="1147"/>
      <c r="L68" s="1148"/>
      <c r="M68" s="1148"/>
      <c r="N68" s="1139"/>
      <c r="O68" s="1147"/>
      <c r="P68" s="1148"/>
      <c r="Q68" s="1148"/>
      <c r="R68" s="1139"/>
      <c r="S68" s="1147"/>
      <c r="T68" s="1148"/>
      <c r="U68" s="1148"/>
      <c r="V68" s="1139"/>
      <c r="W68" s="1147"/>
      <c r="X68" s="1148"/>
      <c r="Y68" s="1148"/>
      <c r="Z68" s="1148"/>
      <c r="AA68" s="1147"/>
      <c r="AB68" s="1148"/>
      <c r="AC68" s="1148"/>
      <c r="AD68" s="1139"/>
      <c r="AE68" s="1148"/>
      <c r="AF68" s="1148"/>
      <c r="AG68" s="1148"/>
      <c r="AH68" s="1139"/>
      <c r="AI68" s="1148"/>
      <c r="AJ68" s="1148"/>
      <c r="AK68" s="1148"/>
      <c r="AL68" s="1148"/>
      <c r="AM68" s="569"/>
      <c r="AN68" s="570"/>
      <c r="AO68" s="570"/>
      <c r="AP68" s="570"/>
      <c r="AQ68" s="569"/>
      <c r="AR68" s="570"/>
      <c r="AS68" s="570"/>
      <c r="AT68" s="571"/>
      <c r="AU68" s="569"/>
      <c r="AV68" s="570"/>
      <c r="AW68" s="570"/>
      <c r="AX68" s="571"/>
      <c r="AY68" s="569"/>
      <c r="AZ68" s="570"/>
      <c r="BA68" s="570"/>
      <c r="BB68" s="571"/>
      <c r="BC68" s="569"/>
      <c r="BD68" s="570"/>
      <c r="BE68" s="570"/>
      <c r="BF68" s="571"/>
      <c r="BG68" s="569">
        <f t="shared" ref="BG68:BN68" si="117">SUM(BG65:BG67)</f>
        <v>0</v>
      </c>
      <c r="BH68" s="570">
        <f t="shared" si="117"/>
        <v>2</v>
      </c>
      <c r="BI68" s="570">
        <f t="shared" si="117"/>
        <v>0</v>
      </c>
      <c r="BJ68" s="571">
        <f t="shared" si="117"/>
        <v>2</v>
      </c>
      <c r="BK68" s="569">
        <f t="shared" si="117"/>
        <v>0</v>
      </c>
      <c r="BL68" s="570">
        <f t="shared" si="117"/>
        <v>2</v>
      </c>
      <c r="BM68" s="570">
        <f t="shared" si="117"/>
        <v>1</v>
      </c>
      <c r="BN68" s="571">
        <f t="shared" si="117"/>
        <v>3</v>
      </c>
      <c r="BO68" s="569">
        <f t="shared" ref="BO68:BV68" si="118">SUM(BO65:BO67)</f>
        <v>0</v>
      </c>
      <c r="BP68" s="570">
        <f t="shared" si="118"/>
        <v>8</v>
      </c>
      <c r="BQ68" s="570">
        <f t="shared" si="118"/>
        <v>2</v>
      </c>
      <c r="BR68" s="571">
        <f t="shared" si="118"/>
        <v>10</v>
      </c>
      <c r="BS68" s="569">
        <f t="shared" si="118"/>
        <v>5</v>
      </c>
      <c r="BT68" s="570">
        <f t="shared" si="118"/>
        <v>2</v>
      </c>
      <c r="BU68" s="570">
        <f t="shared" si="118"/>
        <v>4</v>
      </c>
      <c r="BV68" s="571">
        <f t="shared" si="118"/>
        <v>11</v>
      </c>
      <c r="BW68" s="569">
        <f t="shared" ref="BW68:BZ68" si="119">SUM(BW65:BW67)</f>
        <v>1</v>
      </c>
      <c r="BX68" s="570">
        <f t="shared" si="119"/>
        <v>5</v>
      </c>
      <c r="BY68" s="570">
        <f t="shared" si="119"/>
        <v>4</v>
      </c>
      <c r="BZ68" s="571">
        <f t="shared" si="119"/>
        <v>10</v>
      </c>
    </row>
    <row r="69" spans="1:78" s="222" customFormat="1" ht="15" customHeight="1" x14ac:dyDescent="0.2">
      <c r="A69" s="6348" t="s">
        <v>678</v>
      </c>
      <c r="B69" s="1029" t="s">
        <v>615</v>
      </c>
      <c r="C69" s="1274"/>
      <c r="D69" s="1275"/>
      <c r="E69" s="1275"/>
      <c r="F69" s="1276"/>
      <c r="G69" s="1274"/>
      <c r="H69" s="1275"/>
      <c r="I69" s="1275"/>
      <c r="J69" s="1276"/>
      <c r="K69" s="1274"/>
      <c r="L69" s="1275"/>
      <c r="M69" s="1275"/>
      <c r="N69" s="1276"/>
      <c r="O69" s="1274"/>
      <c r="P69" s="1275"/>
      <c r="Q69" s="1275"/>
      <c r="R69" s="1276"/>
      <c r="S69" s="1274"/>
      <c r="T69" s="1275"/>
      <c r="U69" s="1275"/>
      <c r="V69" s="1276"/>
      <c r="W69" s="1274"/>
      <c r="X69" s="1275"/>
      <c r="Y69" s="1275"/>
      <c r="Z69" s="1277"/>
      <c r="AA69" s="1274"/>
      <c r="AB69" s="1275"/>
      <c r="AC69" s="1275"/>
      <c r="AD69" s="1276"/>
      <c r="AE69" s="1275"/>
      <c r="AF69" s="1275"/>
      <c r="AG69" s="1275"/>
      <c r="AH69" s="1276"/>
      <c r="AI69" s="1275"/>
      <c r="AJ69" s="1275"/>
      <c r="AK69" s="1275"/>
      <c r="AL69" s="1277"/>
      <c r="AM69" s="1030"/>
      <c r="AN69" s="1031"/>
      <c r="AO69" s="1031"/>
      <c r="AP69" s="1031"/>
      <c r="AQ69" s="1030"/>
      <c r="AR69" s="1031"/>
      <c r="AS69" s="1031"/>
      <c r="AT69" s="1048"/>
      <c r="AU69" s="1030"/>
      <c r="AV69" s="1031"/>
      <c r="AW69" s="1031"/>
      <c r="AX69" s="1048"/>
      <c r="AY69" s="1030"/>
      <c r="AZ69" s="1031"/>
      <c r="BA69" s="1031"/>
      <c r="BB69" s="1048"/>
      <c r="BC69" s="1030"/>
      <c r="BD69" s="1031"/>
      <c r="BE69" s="1031"/>
      <c r="BF69" s="1048"/>
      <c r="BG69" s="1030">
        <f t="shared" ref="BG69:BI71" si="120">SUM(BG57,BG61,BG65)</f>
        <v>0</v>
      </c>
      <c r="BH69" s="1031">
        <f t="shared" si="120"/>
        <v>2</v>
      </c>
      <c r="BI69" s="1031">
        <f t="shared" si="120"/>
        <v>0</v>
      </c>
      <c r="BJ69" s="1048">
        <f>SUM(BG69:BI69)</f>
        <v>2</v>
      </c>
      <c r="BK69" s="1030">
        <f t="shared" ref="BK69:BM71" si="121">SUM(BK57,BK61,BK65)</f>
        <v>0</v>
      </c>
      <c r="BL69" s="1031">
        <f t="shared" si="121"/>
        <v>2</v>
      </c>
      <c r="BM69" s="1031">
        <f t="shared" si="121"/>
        <v>0</v>
      </c>
      <c r="BN69" s="1048">
        <f>SUM(BK69:BM69)</f>
        <v>2</v>
      </c>
      <c r="BO69" s="1030">
        <f t="shared" ref="BO69:BQ71" si="122">SUM(BO57,BO61,BO65)</f>
        <v>0</v>
      </c>
      <c r="BP69" s="1031">
        <f t="shared" si="122"/>
        <v>2</v>
      </c>
      <c r="BQ69" s="1031">
        <f t="shared" si="122"/>
        <v>0</v>
      </c>
      <c r="BR69" s="1048">
        <f>SUM(BO69:BQ69)</f>
        <v>2</v>
      </c>
      <c r="BS69" s="1030">
        <f t="shared" ref="BS69:BU71" si="123">SUM(BS57,BS61,BS65)</f>
        <v>1</v>
      </c>
      <c r="BT69" s="1031">
        <f t="shared" si="123"/>
        <v>1</v>
      </c>
      <c r="BU69" s="1031">
        <f t="shared" si="123"/>
        <v>0</v>
      </c>
      <c r="BV69" s="1048">
        <f>SUM(BS69:BU69)</f>
        <v>2</v>
      </c>
      <c r="BW69" s="1030">
        <f t="shared" ref="BW69:BY69" si="124">SUM(BW57,BW61,BW65)</f>
        <v>0</v>
      </c>
      <c r="BX69" s="1031">
        <f t="shared" si="124"/>
        <v>1</v>
      </c>
      <c r="BY69" s="1031">
        <f t="shared" si="124"/>
        <v>0</v>
      </c>
      <c r="BZ69" s="1048">
        <f>SUM(BW69:BY69)</f>
        <v>1</v>
      </c>
    </row>
    <row r="70" spans="1:78" s="222" customFormat="1" ht="15" x14ac:dyDescent="0.2">
      <c r="A70" s="6349"/>
      <c r="B70" s="1034" t="s">
        <v>616</v>
      </c>
      <c r="C70" s="1278"/>
      <c r="D70" s="1279"/>
      <c r="E70" s="1279"/>
      <c r="F70" s="1280"/>
      <c r="G70" s="1278"/>
      <c r="H70" s="1279"/>
      <c r="I70" s="1279"/>
      <c r="J70" s="1280"/>
      <c r="K70" s="1278"/>
      <c r="L70" s="1279"/>
      <c r="M70" s="1279"/>
      <c r="N70" s="1280"/>
      <c r="O70" s="1278"/>
      <c r="P70" s="1279"/>
      <c r="Q70" s="1279"/>
      <c r="R70" s="1280"/>
      <c r="S70" s="1278"/>
      <c r="T70" s="1279"/>
      <c r="U70" s="1279"/>
      <c r="V70" s="1280"/>
      <c r="W70" s="1278"/>
      <c r="X70" s="1279"/>
      <c r="Y70" s="1279"/>
      <c r="Z70" s="1281"/>
      <c r="AA70" s="1278"/>
      <c r="AB70" s="1279"/>
      <c r="AC70" s="1279"/>
      <c r="AD70" s="1280"/>
      <c r="AE70" s="1279"/>
      <c r="AF70" s="1279"/>
      <c r="AG70" s="1279"/>
      <c r="AH70" s="1280"/>
      <c r="AI70" s="1279"/>
      <c r="AJ70" s="1279"/>
      <c r="AK70" s="1279"/>
      <c r="AL70" s="1281"/>
      <c r="AM70" s="1035"/>
      <c r="AN70" s="1036"/>
      <c r="AO70" s="1036"/>
      <c r="AP70" s="1036"/>
      <c r="AQ70" s="1035"/>
      <c r="AR70" s="1036"/>
      <c r="AS70" s="1036"/>
      <c r="AT70" s="1039"/>
      <c r="AU70" s="1035"/>
      <c r="AV70" s="1036"/>
      <c r="AW70" s="1036"/>
      <c r="AX70" s="1039"/>
      <c r="AY70" s="1035"/>
      <c r="AZ70" s="1036"/>
      <c r="BA70" s="1036"/>
      <c r="BB70" s="1039"/>
      <c r="BC70" s="1035"/>
      <c r="BD70" s="1036"/>
      <c r="BE70" s="1036"/>
      <c r="BF70" s="1039"/>
      <c r="BG70" s="1035">
        <f t="shared" si="120"/>
        <v>5</v>
      </c>
      <c r="BH70" s="1036">
        <f t="shared" si="120"/>
        <v>3</v>
      </c>
      <c r="BI70" s="1036">
        <f t="shared" si="120"/>
        <v>2</v>
      </c>
      <c r="BJ70" s="1039">
        <f>SUM(BG70:BI70)</f>
        <v>10</v>
      </c>
      <c r="BK70" s="1035">
        <f t="shared" si="121"/>
        <v>3</v>
      </c>
      <c r="BL70" s="1036">
        <f t="shared" si="121"/>
        <v>1</v>
      </c>
      <c r="BM70" s="1036">
        <f t="shared" si="121"/>
        <v>11</v>
      </c>
      <c r="BN70" s="1039">
        <f>SUM(BK70:BM70)</f>
        <v>15</v>
      </c>
      <c r="BO70" s="1035">
        <f t="shared" si="122"/>
        <v>3</v>
      </c>
      <c r="BP70" s="1036">
        <f t="shared" si="122"/>
        <v>6</v>
      </c>
      <c r="BQ70" s="1036">
        <f t="shared" si="122"/>
        <v>17</v>
      </c>
      <c r="BR70" s="1039">
        <f>SUM(BO70:BQ70)</f>
        <v>26</v>
      </c>
      <c r="BS70" s="1035">
        <f t="shared" si="123"/>
        <v>5</v>
      </c>
      <c r="BT70" s="1036">
        <f t="shared" si="123"/>
        <v>6</v>
      </c>
      <c r="BU70" s="1036">
        <f t="shared" si="123"/>
        <v>23</v>
      </c>
      <c r="BV70" s="1039">
        <f>SUM(BS70:BU70)</f>
        <v>34</v>
      </c>
      <c r="BW70" s="1035">
        <f t="shared" ref="BW70:BY70" si="125">SUM(BW58,BW62,BW66)</f>
        <v>9</v>
      </c>
      <c r="BX70" s="1036">
        <f t="shared" si="125"/>
        <v>4</v>
      </c>
      <c r="BY70" s="1036">
        <f t="shared" si="125"/>
        <v>13</v>
      </c>
      <c r="BZ70" s="1039">
        <f>SUM(BW70:BY70)</f>
        <v>26</v>
      </c>
    </row>
    <row r="71" spans="1:78" s="222" customFormat="1" ht="15" x14ac:dyDescent="0.2">
      <c r="A71" s="6349"/>
      <c r="B71" s="1040" t="s">
        <v>617</v>
      </c>
      <c r="C71" s="1278"/>
      <c r="D71" s="1279"/>
      <c r="E71" s="1279"/>
      <c r="F71" s="1280"/>
      <c r="G71" s="1278"/>
      <c r="H71" s="1279"/>
      <c r="I71" s="1279"/>
      <c r="J71" s="1280"/>
      <c r="K71" s="1278"/>
      <c r="L71" s="1279"/>
      <c r="M71" s="1279"/>
      <c r="N71" s="1280"/>
      <c r="O71" s="1278"/>
      <c r="P71" s="1279"/>
      <c r="Q71" s="1279"/>
      <c r="R71" s="1280"/>
      <c r="S71" s="1278"/>
      <c r="T71" s="1279"/>
      <c r="U71" s="1279"/>
      <c r="V71" s="1280"/>
      <c r="W71" s="1278"/>
      <c r="X71" s="1279"/>
      <c r="Y71" s="1279"/>
      <c r="Z71" s="1281"/>
      <c r="AA71" s="1278"/>
      <c r="AB71" s="1279"/>
      <c r="AC71" s="1279"/>
      <c r="AD71" s="1280"/>
      <c r="AE71" s="1279"/>
      <c r="AF71" s="1279"/>
      <c r="AG71" s="1279"/>
      <c r="AH71" s="1280"/>
      <c r="AI71" s="1279"/>
      <c r="AJ71" s="1279"/>
      <c r="AK71" s="1279"/>
      <c r="AL71" s="1281"/>
      <c r="AM71" s="1035"/>
      <c r="AN71" s="1036"/>
      <c r="AO71" s="1036"/>
      <c r="AP71" s="1036"/>
      <c r="AQ71" s="1035"/>
      <c r="AR71" s="1036"/>
      <c r="AS71" s="1036"/>
      <c r="AT71" s="1039"/>
      <c r="AU71" s="1035"/>
      <c r="AV71" s="1036"/>
      <c r="AW71" s="1036"/>
      <c r="AX71" s="1039"/>
      <c r="AY71" s="1035"/>
      <c r="AZ71" s="1036"/>
      <c r="BA71" s="1036"/>
      <c r="BB71" s="1039"/>
      <c r="BC71" s="1035"/>
      <c r="BD71" s="1036"/>
      <c r="BE71" s="1036"/>
      <c r="BF71" s="1039"/>
      <c r="BG71" s="1035">
        <f t="shared" si="120"/>
        <v>0</v>
      </c>
      <c r="BH71" s="1036">
        <f t="shared" si="120"/>
        <v>0</v>
      </c>
      <c r="BI71" s="1036">
        <f t="shared" si="120"/>
        <v>0</v>
      </c>
      <c r="BJ71" s="1039">
        <f>SUM(BG71:BI71)</f>
        <v>0</v>
      </c>
      <c r="BK71" s="1035">
        <f t="shared" si="121"/>
        <v>0</v>
      </c>
      <c r="BL71" s="1036">
        <f t="shared" si="121"/>
        <v>1</v>
      </c>
      <c r="BM71" s="1036">
        <f t="shared" si="121"/>
        <v>1</v>
      </c>
      <c r="BN71" s="1039">
        <f>SUM(BK71:BM71)</f>
        <v>2</v>
      </c>
      <c r="BO71" s="1035">
        <f t="shared" si="122"/>
        <v>0</v>
      </c>
      <c r="BP71" s="1036">
        <f t="shared" si="122"/>
        <v>2</v>
      </c>
      <c r="BQ71" s="1036">
        <f t="shared" si="122"/>
        <v>1</v>
      </c>
      <c r="BR71" s="1039">
        <f>SUM(BO71:BQ71)</f>
        <v>3</v>
      </c>
      <c r="BS71" s="1035">
        <f t="shared" si="123"/>
        <v>2</v>
      </c>
      <c r="BT71" s="1036">
        <f t="shared" si="123"/>
        <v>1</v>
      </c>
      <c r="BU71" s="1036">
        <f t="shared" si="123"/>
        <v>2</v>
      </c>
      <c r="BV71" s="1039">
        <f>SUM(BS71:BU71)</f>
        <v>5</v>
      </c>
      <c r="BW71" s="1035">
        <f t="shared" ref="BW71:BY71" si="126">SUM(BW59,BW63,BW67)</f>
        <v>5</v>
      </c>
      <c r="BX71" s="1036">
        <f t="shared" si="126"/>
        <v>1</v>
      </c>
      <c r="BY71" s="1036">
        <f t="shared" si="126"/>
        <v>5</v>
      </c>
      <c r="BZ71" s="1039">
        <f>SUM(BW71:BY71)</f>
        <v>11</v>
      </c>
    </row>
    <row r="72" spans="1:78" s="222" customFormat="1" ht="15" x14ac:dyDescent="0.2">
      <c r="A72" s="6350"/>
      <c r="B72" s="2432" t="s">
        <v>12</v>
      </c>
      <c r="C72" s="2439"/>
      <c r="D72" s="2440"/>
      <c r="E72" s="2440"/>
      <c r="F72" s="2441"/>
      <c r="G72" s="2439"/>
      <c r="H72" s="2440"/>
      <c r="I72" s="2440"/>
      <c r="J72" s="2441"/>
      <c r="K72" s="2439"/>
      <c r="L72" s="2440"/>
      <c r="M72" s="2440"/>
      <c r="N72" s="2441"/>
      <c r="O72" s="2439"/>
      <c r="P72" s="2440"/>
      <c r="Q72" s="2440"/>
      <c r="R72" s="2441"/>
      <c r="S72" s="2439"/>
      <c r="T72" s="2440"/>
      <c r="U72" s="2440"/>
      <c r="V72" s="2441"/>
      <c r="W72" s="2439"/>
      <c r="X72" s="2440"/>
      <c r="Y72" s="2440"/>
      <c r="Z72" s="2440"/>
      <c r="AA72" s="2439"/>
      <c r="AB72" s="2440"/>
      <c r="AC72" s="2440"/>
      <c r="AD72" s="2441"/>
      <c r="AE72" s="2440"/>
      <c r="AF72" s="2440"/>
      <c r="AG72" s="2440"/>
      <c r="AH72" s="2441"/>
      <c r="AI72" s="2440"/>
      <c r="AJ72" s="2440"/>
      <c r="AK72" s="2440"/>
      <c r="AL72" s="2440"/>
      <c r="AM72" s="2411"/>
      <c r="AN72" s="2412"/>
      <c r="AO72" s="2412"/>
      <c r="AP72" s="2412"/>
      <c r="AQ72" s="2411"/>
      <c r="AR72" s="2412"/>
      <c r="AS72" s="2412"/>
      <c r="AT72" s="2413"/>
      <c r="AU72" s="2411"/>
      <c r="AV72" s="2412"/>
      <c r="AW72" s="2412"/>
      <c r="AX72" s="2413"/>
      <c r="AY72" s="2411"/>
      <c r="AZ72" s="2412"/>
      <c r="BA72" s="2412"/>
      <c r="BB72" s="2413"/>
      <c r="BC72" s="2411"/>
      <c r="BD72" s="2412"/>
      <c r="BE72" s="2412"/>
      <c r="BF72" s="2413"/>
      <c r="BG72" s="2411">
        <f t="shared" ref="BG72:BN72" si="127">SUM(BG69:BG71)</f>
        <v>5</v>
      </c>
      <c r="BH72" s="2412">
        <f t="shared" si="127"/>
        <v>5</v>
      </c>
      <c r="BI72" s="2412">
        <f t="shared" si="127"/>
        <v>2</v>
      </c>
      <c r="BJ72" s="2413">
        <f t="shared" si="127"/>
        <v>12</v>
      </c>
      <c r="BK72" s="2411">
        <f t="shared" si="127"/>
        <v>3</v>
      </c>
      <c r="BL72" s="2412">
        <f t="shared" si="127"/>
        <v>4</v>
      </c>
      <c r="BM72" s="2412">
        <f t="shared" si="127"/>
        <v>12</v>
      </c>
      <c r="BN72" s="2413">
        <f t="shared" si="127"/>
        <v>19</v>
      </c>
      <c r="BO72" s="2411">
        <f t="shared" ref="BO72:BV72" si="128">SUM(BO69:BO71)</f>
        <v>3</v>
      </c>
      <c r="BP72" s="2412">
        <f t="shared" si="128"/>
        <v>10</v>
      </c>
      <c r="BQ72" s="2412">
        <f t="shared" si="128"/>
        <v>18</v>
      </c>
      <c r="BR72" s="2413">
        <f t="shared" si="128"/>
        <v>31</v>
      </c>
      <c r="BS72" s="2411">
        <f t="shared" si="128"/>
        <v>8</v>
      </c>
      <c r="BT72" s="2412">
        <f t="shared" si="128"/>
        <v>8</v>
      </c>
      <c r="BU72" s="2412">
        <f t="shared" si="128"/>
        <v>25</v>
      </c>
      <c r="BV72" s="2413">
        <f t="shared" si="128"/>
        <v>41</v>
      </c>
      <c r="BW72" s="2411">
        <f t="shared" ref="BW72:BZ72" si="129">SUM(BW69:BW71)</f>
        <v>14</v>
      </c>
      <c r="BX72" s="2412">
        <f t="shared" si="129"/>
        <v>6</v>
      </c>
      <c r="BY72" s="2412">
        <f t="shared" si="129"/>
        <v>18</v>
      </c>
      <c r="BZ72" s="2413">
        <f t="shared" si="129"/>
        <v>38</v>
      </c>
    </row>
    <row r="73" spans="1:78" s="222" customFormat="1" ht="15" x14ac:dyDescent="0.2">
      <c r="A73" s="262"/>
      <c r="B73" s="262"/>
    </row>
    <row r="74" spans="1:78" ht="15" x14ac:dyDescent="0.2">
      <c r="A74" s="6341" t="s">
        <v>60</v>
      </c>
      <c r="B74" s="1029" t="s">
        <v>615</v>
      </c>
      <c r="C74" s="1274">
        <f>+C35+C52+C18</f>
        <v>1</v>
      </c>
      <c r="D74" s="1275">
        <f>+D35+D52+D18</f>
        <v>0</v>
      </c>
      <c r="E74" s="1275">
        <f>+E35+E52+E18</f>
        <v>45</v>
      </c>
      <c r="F74" s="1276">
        <f t="shared" si="76"/>
        <v>46</v>
      </c>
      <c r="G74" s="1274">
        <f>+G35+G52+G18</f>
        <v>10</v>
      </c>
      <c r="H74" s="1275">
        <f>+H35+H52+H18</f>
        <v>7</v>
      </c>
      <c r="I74" s="1275">
        <f>+I35+I52+I18</f>
        <v>15</v>
      </c>
      <c r="J74" s="1276">
        <f>SUM(G74:I74)</f>
        <v>32</v>
      </c>
      <c r="K74" s="1274">
        <f>+K35+K52+K18</f>
        <v>11</v>
      </c>
      <c r="L74" s="1275">
        <f>+L35+L52+L18</f>
        <v>22</v>
      </c>
      <c r="M74" s="1275">
        <f>+M35+M52+M18</f>
        <v>36</v>
      </c>
      <c r="N74" s="1276">
        <f t="shared" si="78"/>
        <v>69</v>
      </c>
      <c r="O74" s="1274">
        <f>+O35+O52+O18</f>
        <v>9</v>
      </c>
      <c r="P74" s="1275">
        <f>+P35+P52+P18</f>
        <v>196</v>
      </c>
      <c r="Q74" s="1275">
        <f>+Q35+Q52+Q18</f>
        <v>44</v>
      </c>
      <c r="R74" s="1276">
        <f t="shared" si="79"/>
        <v>249</v>
      </c>
      <c r="S74" s="1274">
        <f t="shared" ref="S74:AL74" si="130">S18+S35+S52</f>
        <v>17</v>
      </c>
      <c r="T74" s="1275">
        <f t="shared" si="130"/>
        <v>29</v>
      </c>
      <c r="U74" s="1275">
        <f t="shared" si="130"/>
        <v>29</v>
      </c>
      <c r="V74" s="1276">
        <f t="shared" si="130"/>
        <v>75</v>
      </c>
      <c r="W74" s="1274">
        <f t="shared" si="130"/>
        <v>12</v>
      </c>
      <c r="X74" s="1275">
        <f t="shared" si="130"/>
        <v>64</v>
      </c>
      <c r="Y74" s="1275">
        <f t="shared" si="130"/>
        <v>49</v>
      </c>
      <c r="Z74" s="1277">
        <f t="shared" si="130"/>
        <v>125</v>
      </c>
      <c r="AA74" s="1274">
        <f t="shared" si="130"/>
        <v>13</v>
      </c>
      <c r="AB74" s="1275">
        <f t="shared" si="130"/>
        <v>124</v>
      </c>
      <c r="AC74" s="1275">
        <f t="shared" si="130"/>
        <v>22</v>
      </c>
      <c r="AD74" s="1276">
        <f t="shared" si="130"/>
        <v>159</v>
      </c>
      <c r="AE74" s="1275">
        <f t="shared" si="130"/>
        <v>0</v>
      </c>
      <c r="AF74" s="1275">
        <f t="shared" si="130"/>
        <v>54</v>
      </c>
      <c r="AG74" s="1275">
        <f t="shared" si="130"/>
        <v>70</v>
      </c>
      <c r="AH74" s="1276">
        <f t="shared" si="130"/>
        <v>124</v>
      </c>
      <c r="AI74" s="1275">
        <f t="shared" si="130"/>
        <v>39</v>
      </c>
      <c r="AJ74" s="1275">
        <f t="shared" si="130"/>
        <v>50</v>
      </c>
      <c r="AK74" s="1275">
        <f t="shared" si="130"/>
        <v>35</v>
      </c>
      <c r="AL74" s="1277">
        <f t="shared" si="130"/>
        <v>124</v>
      </c>
      <c r="AM74" s="1030">
        <v>69</v>
      </c>
      <c r="AN74" s="1031">
        <v>32</v>
      </c>
      <c r="AO74" s="1031">
        <v>65</v>
      </c>
      <c r="AP74" s="1032">
        <v>166</v>
      </c>
      <c r="AQ74" s="1030">
        <f t="shared" ref="AQ74:BE74" si="131">SUM(AQ18,AQ35,AQ52)</f>
        <v>20</v>
      </c>
      <c r="AR74" s="1031">
        <f t="shared" si="131"/>
        <v>38</v>
      </c>
      <c r="AS74" s="1031">
        <f t="shared" si="131"/>
        <v>75</v>
      </c>
      <c r="AT74" s="1033">
        <f t="shared" si="131"/>
        <v>133</v>
      </c>
      <c r="AU74" s="1030">
        <f t="shared" si="131"/>
        <v>8</v>
      </c>
      <c r="AV74" s="1031">
        <f t="shared" si="131"/>
        <v>36</v>
      </c>
      <c r="AW74" s="1031">
        <f t="shared" si="131"/>
        <v>72</v>
      </c>
      <c r="AX74" s="1033">
        <f t="shared" si="131"/>
        <v>116</v>
      </c>
      <c r="AY74" s="1030">
        <f t="shared" si="131"/>
        <v>70</v>
      </c>
      <c r="AZ74" s="1031">
        <f t="shared" si="131"/>
        <v>30</v>
      </c>
      <c r="BA74" s="1031">
        <f t="shared" si="131"/>
        <v>105</v>
      </c>
      <c r="BB74" s="1033">
        <f t="shared" si="131"/>
        <v>205</v>
      </c>
      <c r="BC74" s="1030">
        <f t="shared" si="131"/>
        <v>14</v>
      </c>
      <c r="BD74" s="1031">
        <f t="shared" si="131"/>
        <v>82</v>
      </c>
      <c r="BE74" s="1031">
        <f t="shared" si="131"/>
        <v>59</v>
      </c>
      <c r="BF74" s="1033">
        <f>SUM(BC74:BE74)</f>
        <v>155</v>
      </c>
      <c r="BG74" s="1030">
        <f t="shared" ref="BG74:BI76" si="132">SUM(BG18,BG35,BG52,BG69)</f>
        <v>8</v>
      </c>
      <c r="BH74" s="1031">
        <f t="shared" si="132"/>
        <v>39</v>
      </c>
      <c r="BI74" s="1031">
        <f t="shared" si="132"/>
        <v>45</v>
      </c>
      <c r="BJ74" s="1033">
        <f>SUM(BG74:BI74)</f>
        <v>92</v>
      </c>
      <c r="BK74" s="1030">
        <f t="shared" ref="BK74:BM76" si="133">SUM(BK18,BK35,BK52,BK69)</f>
        <v>10</v>
      </c>
      <c r="BL74" s="1031">
        <f t="shared" si="133"/>
        <v>33</v>
      </c>
      <c r="BM74" s="1031">
        <f t="shared" si="133"/>
        <v>56</v>
      </c>
      <c r="BN74" s="1033">
        <f>SUM(BK74:BM74)</f>
        <v>99</v>
      </c>
      <c r="BO74" s="1030">
        <f t="shared" ref="BO74:BQ76" si="134">SUM(BO18,BO35,BO52,BO69)</f>
        <v>11</v>
      </c>
      <c r="BP74" s="1031">
        <f t="shared" si="134"/>
        <v>35</v>
      </c>
      <c r="BQ74" s="1031">
        <f t="shared" si="134"/>
        <v>13</v>
      </c>
      <c r="BR74" s="1033">
        <f>SUM(BO74:BQ74)</f>
        <v>59</v>
      </c>
      <c r="BS74" s="1030">
        <f t="shared" ref="BS74:BU76" si="135">SUM(BS18,BS35,BS52,BS69)</f>
        <v>35</v>
      </c>
      <c r="BT74" s="1031">
        <f t="shared" si="135"/>
        <v>30</v>
      </c>
      <c r="BU74" s="1031">
        <f t="shared" si="135"/>
        <v>34</v>
      </c>
      <c r="BV74" s="1033">
        <f>SUM(BS74:BU74)</f>
        <v>99</v>
      </c>
      <c r="BW74" s="1030">
        <f t="shared" ref="BW74:BY74" si="136">SUM(BW18,BW35,BW52,BW69)</f>
        <v>10</v>
      </c>
      <c r="BX74" s="1031">
        <f t="shared" si="136"/>
        <v>32</v>
      </c>
      <c r="BY74" s="1031">
        <f t="shared" si="136"/>
        <v>23</v>
      </c>
      <c r="BZ74" s="1033">
        <f>SUM(BW74:BY74)</f>
        <v>65</v>
      </c>
    </row>
    <row r="75" spans="1:78" ht="15" x14ac:dyDescent="0.2">
      <c r="A75" s="6309"/>
      <c r="B75" s="1034" t="s">
        <v>616</v>
      </c>
      <c r="C75" s="1278">
        <f t="shared" ref="C75:E76" si="137">+C19+C36+C53</f>
        <v>20</v>
      </c>
      <c r="D75" s="1279">
        <f t="shared" si="137"/>
        <v>57</v>
      </c>
      <c r="E75" s="1279">
        <f t="shared" si="137"/>
        <v>68</v>
      </c>
      <c r="F75" s="1280">
        <f t="shared" si="76"/>
        <v>145</v>
      </c>
      <c r="G75" s="1278">
        <f t="shared" ref="G75:I76" si="138">+G19+G36+G53</f>
        <v>25</v>
      </c>
      <c r="H75" s="1279">
        <f t="shared" si="138"/>
        <v>58</v>
      </c>
      <c r="I75" s="1279">
        <f t="shared" si="138"/>
        <v>49</v>
      </c>
      <c r="J75" s="1280">
        <f>SUM(G75:I75)</f>
        <v>132</v>
      </c>
      <c r="K75" s="1278">
        <f t="shared" ref="K75:M76" si="139">+K19+K36+K53</f>
        <v>31</v>
      </c>
      <c r="L75" s="1279">
        <f t="shared" si="139"/>
        <v>95</v>
      </c>
      <c r="M75" s="1279">
        <f t="shared" si="139"/>
        <v>73</v>
      </c>
      <c r="N75" s="1280">
        <f t="shared" si="78"/>
        <v>199</v>
      </c>
      <c r="O75" s="1278">
        <f t="shared" ref="O75:Q76" si="140">+O19+O36+O53</f>
        <v>46</v>
      </c>
      <c r="P75" s="1279">
        <f t="shared" si="140"/>
        <v>171</v>
      </c>
      <c r="Q75" s="1279">
        <f t="shared" si="140"/>
        <v>65</v>
      </c>
      <c r="R75" s="1280">
        <f t="shared" si="79"/>
        <v>282</v>
      </c>
      <c r="S75" s="1278">
        <f t="shared" ref="S75:AL75" si="141">S19+S36+S53</f>
        <v>69</v>
      </c>
      <c r="T75" s="1279">
        <f t="shared" si="141"/>
        <v>71</v>
      </c>
      <c r="U75" s="1279">
        <f t="shared" si="141"/>
        <v>73</v>
      </c>
      <c r="V75" s="1280">
        <f t="shared" si="141"/>
        <v>213</v>
      </c>
      <c r="W75" s="1278">
        <f t="shared" si="141"/>
        <v>54</v>
      </c>
      <c r="X75" s="1279">
        <f t="shared" si="141"/>
        <v>111</v>
      </c>
      <c r="Y75" s="1279">
        <f t="shared" si="141"/>
        <v>57</v>
      </c>
      <c r="Z75" s="1281">
        <f t="shared" si="141"/>
        <v>222</v>
      </c>
      <c r="AA75" s="1278">
        <f t="shared" si="141"/>
        <v>70</v>
      </c>
      <c r="AB75" s="1279">
        <f t="shared" si="141"/>
        <v>78</v>
      </c>
      <c r="AC75" s="1279">
        <f t="shared" si="141"/>
        <v>77</v>
      </c>
      <c r="AD75" s="1280">
        <f t="shared" si="141"/>
        <v>225</v>
      </c>
      <c r="AE75" s="1279">
        <f t="shared" si="141"/>
        <v>51</v>
      </c>
      <c r="AF75" s="1279">
        <f t="shared" si="141"/>
        <v>109</v>
      </c>
      <c r="AG75" s="1279">
        <f t="shared" si="141"/>
        <v>106</v>
      </c>
      <c r="AH75" s="1280">
        <f t="shared" si="141"/>
        <v>266</v>
      </c>
      <c r="AI75" s="1279">
        <f t="shared" si="141"/>
        <v>84</v>
      </c>
      <c r="AJ75" s="1279">
        <f t="shared" si="141"/>
        <v>120</v>
      </c>
      <c r="AK75" s="1279">
        <f t="shared" si="141"/>
        <v>75</v>
      </c>
      <c r="AL75" s="1281">
        <f t="shared" si="141"/>
        <v>279</v>
      </c>
      <c r="AM75" s="1035">
        <v>74</v>
      </c>
      <c r="AN75" s="1036">
        <v>100</v>
      </c>
      <c r="AO75" s="1036">
        <v>94</v>
      </c>
      <c r="AP75" s="1037">
        <v>268</v>
      </c>
      <c r="AQ75" s="1035">
        <f t="shared" ref="AQ75:BE75" si="142">SUM(AQ19,AQ36,AQ53)</f>
        <v>86</v>
      </c>
      <c r="AR75" s="1036">
        <f t="shared" si="142"/>
        <v>139</v>
      </c>
      <c r="AS75" s="1036">
        <f t="shared" si="142"/>
        <v>110</v>
      </c>
      <c r="AT75" s="1038">
        <f t="shared" si="142"/>
        <v>335</v>
      </c>
      <c r="AU75" s="1035">
        <f t="shared" si="142"/>
        <v>128</v>
      </c>
      <c r="AV75" s="1036">
        <f t="shared" si="142"/>
        <v>162</v>
      </c>
      <c r="AW75" s="1036">
        <f t="shared" si="142"/>
        <v>142</v>
      </c>
      <c r="AX75" s="1038">
        <f t="shared" si="142"/>
        <v>432</v>
      </c>
      <c r="AY75" s="1035">
        <f t="shared" si="142"/>
        <v>162</v>
      </c>
      <c r="AZ75" s="1036">
        <f t="shared" si="142"/>
        <v>166</v>
      </c>
      <c r="BA75" s="1036">
        <f t="shared" si="142"/>
        <v>137</v>
      </c>
      <c r="BB75" s="1038">
        <f t="shared" si="142"/>
        <v>465</v>
      </c>
      <c r="BC75" s="1035">
        <f t="shared" si="142"/>
        <v>100</v>
      </c>
      <c r="BD75" s="1036">
        <f t="shared" si="142"/>
        <v>99</v>
      </c>
      <c r="BE75" s="1036">
        <f t="shared" si="142"/>
        <v>147</v>
      </c>
      <c r="BF75" s="1038">
        <f>SUM(BC75:BE75)</f>
        <v>346</v>
      </c>
      <c r="BG75" s="1035">
        <f t="shared" si="132"/>
        <v>158</v>
      </c>
      <c r="BH75" s="1036">
        <f t="shared" si="132"/>
        <v>147</v>
      </c>
      <c r="BI75" s="1036">
        <f t="shared" si="132"/>
        <v>146</v>
      </c>
      <c r="BJ75" s="1038">
        <f>SUM(BG75:BI75)</f>
        <v>451</v>
      </c>
      <c r="BK75" s="1035">
        <f t="shared" si="133"/>
        <v>111</v>
      </c>
      <c r="BL75" s="1036">
        <f t="shared" si="133"/>
        <v>179</v>
      </c>
      <c r="BM75" s="1036">
        <f t="shared" si="133"/>
        <v>201</v>
      </c>
      <c r="BN75" s="1038">
        <f>SUM(BK75:BM75)</f>
        <v>491</v>
      </c>
      <c r="BO75" s="1035">
        <f t="shared" si="134"/>
        <v>137</v>
      </c>
      <c r="BP75" s="1036">
        <f t="shared" si="134"/>
        <v>142</v>
      </c>
      <c r="BQ75" s="1036">
        <f t="shared" si="134"/>
        <v>149</v>
      </c>
      <c r="BR75" s="1038">
        <f>SUM(BO75:BQ75)</f>
        <v>428</v>
      </c>
      <c r="BS75" s="1035">
        <f t="shared" si="135"/>
        <v>133</v>
      </c>
      <c r="BT75" s="1036">
        <f t="shared" si="135"/>
        <v>170</v>
      </c>
      <c r="BU75" s="1036">
        <f t="shared" si="135"/>
        <v>217</v>
      </c>
      <c r="BV75" s="1038">
        <f>SUM(BS75:BU75)</f>
        <v>520</v>
      </c>
      <c r="BW75" s="1035">
        <f t="shared" ref="BW75:BY75" si="143">SUM(BW19,BW36,BW53,BW70)</f>
        <v>165</v>
      </c>
      <c r="BX75" s="1036">
        <f t="shared" si="143"/>
        <v>158</v>
      </c>
      <c r="BY75" s="1036">
        <f t="shared" si="143"/>
        <v>179</v>
      </c>
      <c r="BZ75" s="1038">
        <f>SUM(BW75:BY75)</f>
        <v>502</v>
      </c>
    </row>
    <row r="76" spans="1:78" ht="15" x14ac:dyDescent="0.2">
      <c r="A76" s="6309"/>
      <c r="B76" s="1040" t="s">
        <v>617</v>
      </c>
      <c r="C76" s="1296">
        <f t="shared" si="137"/>
        <v>11</v>
      </c>
      <c r="D76" s="1297">
        <f t="shared" si="137"/>
        <v>12</v>
      </c>
      <c r="E76" s="1297">
        <f t="shared" si="137"/>
        <v>19</v>
      </c>
      <c r="F76" s="1298">
        <f t="shared" si="76"/>
        <v>42</v>
      </c>
      <c r="G76" s="1296">
        <f t="shared" si="138"/>
        <v>10</v>
      </c>
      <c r="H76" s="1297">
        <f t="shared" si="138"/>
        <v>17</v>
      </c>
      <c r="I76" s="1297">
        <f t="shared" si="138"/>
        <v>22</v>
      </c>
      <c r="J76" s="1298">
        <f>SUM(G76:I76)</f>
        <v>49</v>
      </c>
      <c r="K76" s="1296">
        <f t="shared" si="139"/>
        <v>18</v>
      </c>
      <c r="L76" s="1297">
        <f t="shared" si="139"/>
        <v>34</v>
      </c>
      <c r="M76" s="1297">
        <f t="shared" si="139"/>
        <v>19</v>
      </c>
      <c r="N76" s="1298">
        <f t="shared" si="78"/>
        <v>71</v>
      </c>
      <c r="O76" s="1296">
        <f t="shared" si="140"/>
        <v>25</v>
      </c>
      <c r="P76" s="1297">
        <f t="shared" si="140"/>
        <v>30</v>
      </c>
      <c r="Q76" s="1297">
        <f t="shared" si="140"/>
        <v>29</v>
      </c>
      <c r="R76" s="1298">
        <f t="shared" si="79"/>
        <v>84</v>
      </c>
      <c r="S76" s="1296">
        <f t="shared" ref="S76:AL76" si="144">S20+S37+S54</f>
        <v>22</v>
      </c>
      <c r="T76" s="1297">
        <f t="shared" si="144"/>
        <v>34</v>
      </c>
      <c r="U76" s="1297">
        <f t="shared" si="144"/>
        <v>45</v>
      </c>
      <c r="V76" s="1298">
        <f t="shared" si="144"/>
        <v>101</v>
      </c>
      <c r="W76" s="1296">
        <f t="shared" si="144"/>
        <v>36</v>
      </c>
      <c r="X76" s="1297">
        <f t="shared" si="144"/>
        <v>44</v>
      </c>
      <c r="Y76" s="1297">
        <f t="shared" si="144"/>
        <v>48</v>
      </c>
      <c r="Z76" s="1299">
        <f t="shared" si="144"/>
        <v>128</v>
      </c>
      <c r="AA76" s="1296">
        <f t="shared" si="144"/>
        <v>33</v>
      </c>
      <c r="AB76" s="1297">
        <f t="shared" si="144"/>
        <v>56</v>
      </c>
      <c r="AC76" s="1297">
        <f t="shared" si="144"/>
        <v>28</v>
      </c>
      <c r="AD76" s="1298">
        <f t="shared" si="144"/>
        <v>117</v>
      </c>
      <c r="AE76" s="1297">
        <f t="shared" si="144"/>
        <v>26</v>
      </c>
      <c r="AF76" s="1297">
        <f t="shared" si="144"/>
        <v>38</v>
      </c>
      <c r="AG76" s="1297">
        <f t="shared" si="144"/>
        <v>67</v>
      </c>
      <c r="AH76" s="1298">
        <f t="shared" si="144"/>
        <v>131</v>
      </c>
      <c r="AI76" s="1297">
        <f t="shared" si="144"/>
        <v>28</v>
      </c>
      <c r="AJ76" s="1297">
        <f t="shared" si="144"/>
        <v>57</v>
      </c>
      <c r="AK76" s="1297">
        <f t="shared" si="144"/>
        <v>52</v>
      </c>
      <c r="AL76" s="1299">
        <f t="shared" si="144"/>
        <v>137</v>
      </c>
      <c r="AM76" s="1049">
        <v>42</v>
      </c>
      <c r="AN76" s="1050">
        <v>46</v>
      </c>
      <c r="AO76" s="1050">
        <v>40</v>
      </c>
      <c r="AP76" s="1621">
        <v>128</v>
      </c>
      <c r="AQ76" s="1049">
        <f t="shared" ref="AQ76:BE76" si="145">SUM(AQ20,AQ37,AQ54)</f>
        <v>39</v>
      </c>
      <c r="AR76" s="1050">
        <f t="shared" si="145"/>
        <v>59</v>
      </c>
      <c r="AS76" s="1050">
        <f t="shared" si="145"/>
        <v>61</v>
      </c>
      <c r="AT76" s="1051">
        <f t="shared" si="145"/>
        <v>159</v>
      </c>
      <c r="AU76" s="1049">
        <f t="shared" si="145"/>
        <v>45</v>
      </c>
      <c r="AV76" s="1050">
        <f t="shared" si="145"/>
        <v>73</v>
      </c>
      <c r="AW76" s="1050">
        <f t="shared" si="145"/>
        <v>71</v>
      </c>
      <c r="AX76" s="1051">
        <f t="shared" si="145"/>
        <v>189</v>
      </c>
      <c r="AY76" s="1049">
        <f t="shared" si="145"/>
        <v>78</v>
      </c>
      <c r="AZ76" s="1050">
        <f t="shared" si="145"/>
        <v>65</v>
      </c>
      <c r="BA76" s="1050">
        <f t="shared" si="145"/>
        <v>48</v>
      </c>
      <c r="BB76" s="1051">
        <f t="shared" si="145"/>
        <v>191</v>
      </c>
      <c r="BC76" s="1049">
        <f t="shared" si="145"/>
        <v>45</v>
      </c>
      <c r="BD76" s="1050">
        <f t="shared" si="145"/>
        <v>46</v>
      </c>
      <c r="BE76" s="1050">
        <f t="shared" si="145"/>
        <v>71</v>
      </c>
      <c r="BF76" s="1051">
        <f>SUM(BC76:BE76)</f>
        <v>162</v>
      </c>
      <c r="BG76" s="1049">
        <f t="shared" si="132"/>
        <v>54</v>
      </c>
      <c r="BH76" s="1050">
        <f t="shared" si="132"/>
        <v>61</v>
      </c>
      <c r="BI76" s="1050">
        <f t="shared" si="132"/>
        <v>74</v>
      </c>
      <c r="BJ76" s="1051">
        <f>SUM(BG76:BI76)</f>
        <v>189</v>
      </c>
      <c r="BK76" s="1049">
        <f t="shared" si="133"/>
        <v>59</v>
      </c>
      <c r="BL76" s="1050">
        <f t="shared" si="133"/>
        <v>80</v>
      </c>
      <c r="BM76" s="1050">
        <f t="shared" si="133"/>
        <v>86</v>
      </c>
      <c r="BN76" s="1051">
        <f>SUM(BK76:BM76)</f>
        <v>225</v>
      </c>
      <c r="BO76" s="1049">
        <f t="shared" si="134"/>
        <v>61</v>
      </c>
      <c r="BP76" s="1050">
        <f t="shared" si="134"/>
        <v>59</v>
      </c>
      <c r="BQ76" s="1050">
        <f t="shared" si="134"/>
        <v>52</v>
      </c>
      <c r="BR76" s="1051">
        <f>SUM(BO76:BQ76)</f>
        <v>172</v>
      </c>
      <c r="BS76" s="1049">
        <f t="shared" si="135"/>
        <v>56</v>
      </c>
      <c r="BT76" s="1050">
        <f t="shared" si="135"/>
        <v>69</v>
      </c>
      <c r="BU76" s="1050">
        <f t="shared" si="135"/>
        <v>80</v>
      </c>
      <c r="BV76" s="1051">
        <f>SUM(BS76:BU76)</f>
        <v>205</v>
      </c>
      <c r="BW76" s="1049">
        <f t="shared" ref="BW76:BY76" si="146">SUM(BW20,BW37,BW54,BW71)</f>
        <v>75</v>
      </c>
      <c r="BX76" s="1050">
        <f t="shared" si="146"/>
        <v>69</v>
      </c>
      <c r="BY76" s="1050">
        <f t="shared" si="146"/>
        <v>60</v>
      </c>
      <c r="BZ76" s="1051">
        <f>SUM(BW76:BY76)</f>
        <v>204</v>
      </c>
    </row>
    <row r="77" spans="1:78" s="224" customFormat="1" ht="15" x14ac:dyDescent="0.2">
      <c r="A77" s="6310"/>
      <c r="B77" s="564" t="s">
        <v>12</v>
      </c>
      <c r="C77" s="1143">
        <f t="shared" ref="C77:I77" si="147">SUM(C74:C76)</f>
        <v>32</v>
      </c>
      <c r="D77" s="1144">
        <f t="shared" si="147"/>
        <v>69</v>
      </c>
      <c r="E77" s="1144">
        <f t="shared" si="147"/>
        <v>132</v>
      </c>
      <c r="F77" s="1145">
        <f t="shared" si="147"/>
        <v>233</v>
      </c>
      <c r="G77" s="1143">
        <f t="shared" si="147"/>
        <v>45</v>
      </c>
      <c r="H77" s="1144">
        <f t="shared" si="147"/>
        <v>82</v>
      </c>
      <c r="I77" s="1144">
        <f t="shared" si="147"/>
        <v>86</v>
      </c>
      <c r="J77" s="1145">
        <f>SUM(G77:I77)</f>
        <v>213</v>
      </c>
      <c r="K77" s="1143">
        <f>SUM(K74:K76)</f>
        <v>60</v>
      </c>
      <c r="L77" s="1144">
        <f>SUM(L74:L76)</f>
        <v>151</v>
      </c>
      <c r="M77" s="1144">
        <f>SUM(M74:M76)</f>
        <v>128</v>
      </c>
      <c r="N77" s="1145">
        <f t="shared" si="78"/>
        <v>339</v>
      </c>
      <c r="O77" s="1143">
        <f>SUM(O74:O76)</f>
        <v>80</v>
      </c>
      <c r="P77" s="1144">
        <f>SUM(P74:P76)</f>
        <v>397</v>
      </c>
      <c r="Q77" s="1144">
        <f>SUM(Q74:Q76)</f>
        <v>138</v>
      </c>
      <c r="R77" s="1145">
        <f t="shared" si="79"/>
        <v>615</v>
      </c>
      <c r="S77" s="1143">
        <f>SUM(S74:S76)</f>
        <v>108</v>
      </c>
      <c r="T77" s="1144">
        <f>SUM(T74:T76)</f>
        <v>134</v>
      </c>
      <c r="U77" s="1144">
        <f>SUM(U74:U76)</f>
        <v>147</v>
      </c>
      <c r="V77" s="1145">
        <f>SUM(V74:V76)</f>
        <v>389</v>
      </c>
      <c r="W77" s="1143">
        <f t="shared" ref="W77:AL77" si="148">SUM(W74:W76)</f>
        <v>102</v>
      </c>
      <c r="X77" s="1144">
        <f t="shared" si="148"/>
        <v>219</v>
      </c>
      <c r="Y77" s="1144">
        <f t="shared" si="148"/>
        <v>154</v>
      </c>
      <c r="Z77" s="1144">
        <f t="shared" si="148"/>
        <v>475</v>
      </c>
      <c r="AA77" s="1143">
        <f t="shared" si="148"/>
        <v>116</v>
      </c>
      <c r="AB77" s="1144">
        <f t="shared" si="148"/>
        <v>258</v>
      </c>
      <c r="AC77" s="1144">
        <f t="shared" si="148"/>
        <v>127</v>
      </c>
      <c r="AD77" s="1145">
        <f t="shared" si="148"/>
        <v>501</v>
      </c>
      <c r="AE77" s="1144">
        <f t="shared" si="148"/>
        <v>77</v>
      </c>
      <c r="AF77" s="1144">
        <f t="shared" si="148"/>
        <v>201</v>
      </c>
      <c r="AG77" s="1144">
        <f t="shared" si="148"/>
        <v>243</v>
      </c>
      <c r="AH77" s="1145">
        <f t="shared" si="148"/>
        <v>521</v>
      </c>
      <c r="AI77" s="1144">
        <f t="shared" si="148"/>
        <v>151</v>
      </c>
      <c r="AJ77" s="1144">
        <f t="shared" si="148"/>
        <v>227</v>
      </c>
      <c r="AK77" s="1144">
        <f t="shared" si="148"/>
        <v>162</v>
      </c>
      <c r="AL77" s="1144">
        <f t="shared" si="148"/>
        <v>540</v>
      </c>
      <c r="AM77" s="565">
        <v>185</v>
      </c>
      <c r="AN77" s="566">
        <v>178</v>
      </c>
      <c r="AO77" s="566">
        <v>199</v>
      </c>
      <c r="AP77" s="566">
        <v>562</v>
      </c>
      <c r="AQ77" s="565">
        <f t="shared" ref="AQ77:BB77" si="149">SUM(AQ74:AQ76)</f>
        <v>145</v>
      </c>
      <c r="AR77" s="566">
        <f t="shared" si="149"/>
        <v>236</v>
      </c>
      <c r="AS77" s="566">
        <f t="shared" si="149"/>
        <v>246</v>
      </c>
      <c r="AT77" s="567">
        <f t="shared" si="149"/>
        <v>627</v>
      </c>
      <c r="AU77" s="565">
        <f t="shared" si="149"/>
        <v>181</v>
      </c>
      <c r="AV77" s="566">
        <f t="shared" si="149"/>
        <v>271</v>
      </c>
      <c r="AW77" s="566">
        <f t="shared" si="149"/>
        <v>285</v>
      </c>
      <c r="AX77" s="567">
        <f t="shared" si="149"/>
        <v>737</v>
      </c>
      <c r="AY77" s="565">
        <f t="shared" si="149"/>
        <v>310</v>
      </c>
      <c r="AZ77" s="566">
        <f t="shared" si="149"/>
        <v>261</v>
      </c>
      <c r="BA77" s="566">
        <f t="shared" si="149"/>
        <v>290</v>
      </c>
      <c r="BB77" s="567">
        <f t="shared" si="149"/>
        <v>861</v>
      </c>
      <c r="BC77" s="565">
        <f t="shared" ref="BC77:BJ77" si="150">SUM(BC74:BC76)</f>
        <v>159</v>
      </c>
      <c r="BD77" s="566">
        <f t="shared" si="150"/>
        <v>227</v>
      </c>
      <c r="BE77" s="566">
        <f t="shared" si="150"/>
        <v>277</v>
      </c>
      <c r="BF77" s="567">
        <f t="shared" si="150"/>
        <v>663</v>
      </c>
      <c r="BG77" s="565">
        <f t="shared" si="150"/>
        <v>220</v>
      </c>
      <c r="BH77" s="566">
        <f t="shared" si="150"/>
        <v>247</v>
      </c>
      <c r="BI77" s="566">
        <f t="shared" si="150"/>
        <v>265</v>
      </c>
      <c r="BJ77" s="567">
        <f t="shared" si="150"/>
        <v>732</v>
      </c>
      <c r="BK77" s="565">
        <f t="shared" ref="BK77:BR77" si="151">SUM(BK74:BK76)</f>
        <v>180</v>
      </c>
      <c r="BL77" s="566">
        <f t="shared" si="151"/>
        <v>292</v>
      </c>
      <c r="BM77" s="566">
        <f t="shared" si="151"/>
        <v>343</v>
      </c>
      <c r="BN77" s="567">
        <f t="shared" si="151"/>
        <v>815</v>
      </c>
      <c r="BO77" s="565">
        <f t="shared" si="151"/>
        <v>209</v>
      </c>
      <c r="BP77" s="566">
        <f t="shared" si="151"/>
        <v>236</v>
      </c>
      <c r="BQ77" s="566">
        <f t="shared" si="151"/>
        <v>214</v>
      </c>
      <c r="BR77" s="567">
        <f t="shared" si="151"/>
        <v>659</v>
      </c>
      <c r="BS77" s="565">
        <f t="shared" ref="BS77:BZ77" si="152">SUM(BS74:BS76)</f>
        <v>224</v>
      </c>
      <c r="BT77" s="566">
        <f t="shared" si="152"/>
        <v>269</v>
      </c>
      <c r="BU77" s="566">
        <f t="shared" si="152"/>
        <v>331</v>
      </c>
      <c r="BV77" s="567">
        <f t="shared" si="152"/>
        <v>824</v>
      </c>
      <c r="BW77" s="565">
        <f t="shared" si="152"/>
        <v>250</v>
      </c>
      <c r="BX77" s="566">
        <f t="shared" si="152"/>
        <v>259</v>
      </c>
      <c r="BY77" s="566">
        <f t="shared" si="152"/>
        <v>262</v>
      </c>
      <c r="BZ77" s="567">
        <f t="shared" si="152"/>
        <v>771</v>
      </c>
    </row>
    <row r="78" spans="1:78" x14ac:dyDescent="0.2">
      <c r="A78" s="1021" t="s">
        <v>1243</v>
      </c>
      <c r="B78" s="632"/>
      <c r="C78" s="543"/>
      <c r="D78" s="543"/>
      <c r="E78" s="543"/>
      <c r="F78" s="543"/>
      <c r="G78" s="543"/>
      <c r="H78" s="543"/>
      <c r="I78" s="543"/>
      <c r="J78" s="543"/>
      <c r="K78" s="543"/>
      <c r="L78" s="543"/>
      <c r="M78" s="543"/>
      <c r="N78" s="543"/>
      <c r="O78" s="543"/>
      <c r="P78" s="543"/>
      <c r="Q78" s="543"/>
      <c r="R78" s="543"/>
      <c r="S78" s="543"/>
      <c r="T78" s="543"/>
      <c r="U78" s="543"/>
      <c r="V78" s="543"/>
      <c r="W78" s="216"/>
      <c r="X78" s="216"/>
      <c r="Y78" s="216"/>
      <c r="Z78" s="223"/>
      <c r="AA78" s="216"/>
      <c r="AB78" s="216"/>
      <c r="AC78" s="216"/>
      <c r="AD78" s="223"/>
      <c r="AE78" s="216"/>
      <c r="AF78" s="216"/>
      <c r="AG78" s="216"/>
      <c r="AH78" s="223"/>
      <c r="AI78" s="216"/>
      <c r="AJ78" s="216"/>
      <c r="AK78" s="216"/>
      <c r="AL78" s="223"/>
    </row>
    <row r="79" spans="1:78" s="212" customFormat="1" x14ac:dyDescent="0.2">
      <c r="A79" s="240" t="s">
        <v>1571</v>
      </c>
      <c r="B79" s="240"/>
      <c r="C79" s="240"/>
      <c r="D79" s="240"/>
      <c r="E79" s="240"/>
      <c r="F79" s="240"/>
      <c r="G79" s="240"/>
      <c r="H79" s="240"/>
      <c r="I79" s="240"/>
      <c r="J79" s="240"/>
      <c r="K79" s="240"/>
      <c r="L79" s="240"/>
      <c r="M79" s="240"/>
      <c r="N79" s="240"/>
      <c r="O79" s="240"/>
      <c r="P79" s="240"/>
      <c r="Q79" s="240"/>
      <c r="R79" s="240"/>
      <c r="S79" s="1011"/>
      <c r="T79" s="1011"/>
      <c r="U79" s="1011"/>
      <c r="V79" s="1011"/>
      <c r="W79" s="225"/>
      <c r="X79" s="225"/>
      <c r="Y79" s="225"/>
      <c r="Z79" s="226"/>
      <c r="AA79" s="225"/>
      <c r="AB79" s="225"/>
      <c r="AC79" s="225"/>
      <c r="AD79" s="226"/>
      <c r="AE79" s="225"/>
      <c r="AF79" s="225"/>
      <c r="AG79" s="225"/>
      <c r="AH79" s="226"/>
      <c r="AI79" s="225"/>
      <c r="AJ79" s="225"/>
      <c r="AK79" s="225"/>
      <c r="AL79" s="226"/>
    </row>
    <row r="83" spans="31:31" x14ac:dyDescent="0.2">
      <c r="AE83" s="3691">
        <v>1999</v>
      </c>
    </row>
    <row r="84" spans="31:31" x14ac:dyDescent="0.2">
      <c r="AE84" s="3691">
        <v>2000</v>
      </c>
    </row>
    <row r="85" spans="31:31" x14ac:dyDescent="0.2">
      <c r="AE85" s="3691">
        <v>2001</v>
      </c>
    </row>
    <row r="86" spans="31:31" x14ac:dyDescent="0.2">
      <c r="AE86" s="3691">
        <v>2002</v>
      </c>
    </row>
    <row r="87" spans="31:31" x14ac:dyDescent="0.2">
      <c r="AE87" s="3691">
        <v>2003</v>
      </c>
    </row>
    <row r="88" spans="31:31" x14ac:dyDescent="0.2">
      <c r="AE88" s="3691">
        <v>2004</v>
      </c>
    </row>
    <row r="89" spans="31:31" x14ac:dyDescent="0.2">
      <c r="AE89" s="3691">
        <v>2005</v>
      </c>
    </row>
    <row r="90" spans="31:31" x14ac:dyDescent="0.2">
      <c r="AE90" s="3691">
        <v>2006</v>
      </c>
    </row>
    <row r="91" spans="31:31" x14ac:dyDescent="0.2">
      <c r="AE91" s="3691">
        <v>2007</v>
      </c>
    </row>
    <row r="92" spans="31:31" x14ac:dyDescent="0.2">
      <c r="AE92" s="3691">
        <v>2008</v>
      </c>
    </row>
    <row r="93" spans="31:31" x14ac:dyDescent="0.2">
      <c r="AE93" s="3691">
        <v>2009</v>
      </c>
    </row>
    <row r="94" spans="31:31" x14ac:dyDescent="0.2">
      <c r="AE94" s="3691">
        <v>2010</v>
      </c>
    </row>
    <row r="95" spans="31:31" x14ac:dyDescent="0.2">
      <c r="AE95" s="3691">
        <v>2011</v>
      </c>
    </row>
    <row r="96" spans="31:31" x14ac:dyDescent="0.2">
      <c r="AE96" s="3691">
        <v>2012</v>
      </c>
    </row>
    <row r="97" spans="3:31" x14ac:dyDescent="0.2">
      <c r="AE97" s="3691">
        <v>2013</v>
      </c>
    </row>
    <row r="98" spans="3:31" x14ac:dyDescent="0.2">
      <c r="AE98" s="3691">
        <v>2014</v>
      </c>
    </row>
    <row r="99" spans="3:31" x14ac:dyDescent="0.2">
      <c r="AE99" s="3691">
        <v>2015</v>
      </c>
    </row>
    <row r="100" spans="3:31" x14ac:dyDescent="0.2">
      <c r="AE100" s="3691">
        <v>2016</v>
      </c>
    </row>
    <row r="101" spans="3:31" x14ac:dyDescent="0.2">
      <c r="AE101" s="3691">
        <v>2017</v>
      </c>
    </row>
    <row r="104" spans="3:31" x14ac:dyDescent="0.2">
      <c r="C104" s="3544"/>
    </row>
    <row r="105" spans="3:31" x14ac:dyDescent="0.2">
      <c r="C105" s="3544"/>
    </row>
    <row r="106" spans="3:31" x14ac:dyDescent="0.2">
      <c r="C106" s="3544"/>
    </row>
    <row r="107" spans="3:31" x14ac:dyDescent="0.2">
      <c r="C107" s="3544"/>
    </row>
    <row r="108" spans="3:31" x14ac:dyDescent="0.2">
      <c r="C108" s="3544"/>
    </row>
    <row r="109" spans="3:31" x14ac:dyDescent="0.2">
      <c r="C109" s="3544"/>
    </row>
    <row r="110" spans="3:31" x14ac:dyDescent="0.2">
      <c r="C110" s="3544"/>
    </row>
    <row r="111" spans="3:31" x14ac:dyDescent="0.2">
      <c r="C111" s="3544"/>
    </row>
    <row r="112" spans="3:31" x14ac:dyDescent="0.2">
      <c r="C112" s="3544"/>
    </row>
    <row r="113" spans="3:3" x14ac:dyDescent="0.2">
      <c r="C113" s="3544"/>
    </row>
    <row r="114" spans="3:3" x14ac:dyDescent="0.2">
      <c r="C114" s="3544"/>
    </row>
  </sheetData>
  <sheetProtection algorithmName="SHA-512" hashValue="8TmfyP7JskYRuS7npvr73YIOEPUVAj41uhmnUcFg/n416HgilcuWXVwX2u4+5HuHunXN2smBBb0FBJpSDdUUPQ==" saltValue="mvUMWXUUok2n1S8J9vZkdg==" spinCount="100000" sheet="1" objects="1" scenarios="1"/>
  <mergeCells count="39">
    <mergeCell ref="A6:A9"/>
    <mergeCell ref="A10:A13"/>
    <mergeCell ref="S3:V3"/>
    <mergeCell ref="A23:A26"/>
    <mergeCell ref="C3:F3"/>
    <mergeCell ref="G3:J3"/>
    <mergeCell ref="K3:N3"/>
    <mergeCell ref="A1:B1"/>
    <mergeCell ref="BK3:BN3"/>
    <mergeCell ref="A40:A43"/>
    <mergeCell ref="A74:A77"/>
    <mergeCell ref="A57:A60"/>
    <mergeCell ref="A61:A64"/>
    <mergeCell ref="A65:A68"/>
    <mergeCell ref="A69:A72"/>
    <mergeCell ref="A52:A55"/>
    <mergeCell ref="AA3:AD3"/>
    <mergeCell ref="AE3:AH3"/>
    <mergeCell ref="AI3:AL3"/>
    <mergeCell ref="AM3:AP3"/>
    <mergeCell ref="A3:A4"/>
    <mergeCell ref="B3:B4"/>
    <mergeCell ref="BG3:BJ3"/>
    <mergeCell ref="BW3:BZ3"/>
    <mergeCell ref="A48:A51"/>
    <mergeCell ref="A35:A38"/>
    <mergeCell ref="W3:Z3"/>
    <mergeCell ref="O3:R3"/>
    <mergeCell ref="A14:A17"/>
    <mergeCell ref="A18:A21"/>
    <mergeCell ref="A44:A47"/>
    <mergeCell ref="A27:A30"/>
    <mergeCell ref="BS3:BV3"/>
    <mergeCell ref="BO3:BR3"/>
    <mergeCell ref="AQ3:AT3"/>
    <mergeCell ref="A31:A34"/>
    <mergeCell ref="AU3:AX3"/>
    <mergeCell ref="AY3:BB3"/>
    <mergeCell ref="BC3:BF3"/>
  </mergeCells>
  <printOptions horizontalCentered="1" verticalCentered="1"/>
  <pageMargins left="0.39370078740157483" right="0.39370078740157483" top="0.27559055118110237" bottom="0.19685039370078741" header="0" footer="0.31496062992125984"/>
  <pageSetup scale="50" pageOrder="overThenDown" orientation="landscape" horizontalDpi="1200" verticalDpi="1200" r:id="rId1"/>
  <headerFooter alignWithMargins="0"/>
  <rowBreaks count="1" manualBreakCount="1">
    <brk id="79" max="65" man="1"/>
  </rowBreaks>
  <colBreaks count="1" manualBreakCount="1">
    <brk id="30" max="124" man="1"/>
  </colBreaks>
  <ignoredErrors>
    <ignoredError sqref="F9:R38 F74:N76 J77:R77 R55 AX74:BF77 AX9:BF55 F43:N55 BJ60:BJ64 BJ43:BJ51 BJ26:BJ30 BJ9:BJ17 BJ66:BJ68 BN9:BN17 BJ18:BJ20 BJ69:BJ76 BJ52:BJ54 BN43:BN51 BN60:BN68 BN41 BN26 BN18:BN20 BN52:BN54 BN69:BN76 BR60:BR68 BN30 BR18:BR20 BV9:BV17 BR69:BR76 BR52:BR54 BV51 BV18:BV20 BZ27:BZ30 BV52:BV54 BV60:BV66 BU69:BZ76 BU60:BU66 BW60:BZ66 BW68:BZ68 BZ67" formula="1"/>
    <ignoredError sqref="BL7 BK40:BK41 BM7:BM12 BM40:BM41 BO40:BR40 BO41:BQ51 BO7:BR8 BO9:BQ17 BQ24:BR25 BQ26:BQ30 BP67:BQ67 BS40:BV40 BS41:BU43 BS67:BT68 BU12:BU14 BS7:BU11 BS15:BU15 BS12:BT14 BU16 BT24:BV25 BT26:BU30 BV45 BU46 BS45:BU45 BZ7:BZ8 BX9:BY9 BX13:BY13 BX17:BY17 BW17 BW13 BW9 BW7:BY8 BW10:BY12 BW14:BY16 BW25:BZ25 BW26:BY26 BW40:BZ40 BW41:BY51" formulaRange="1"/>
    <ignoredError sqref="BR41:BR51 BR9:BR17 BR26:BR30 BV41:BV43 BV26:BV30 BZ9 BZ13 BZ10:BZ12 BZ17 BZ14:BZ16 BZ26 BZ41:BZ51 BU67:BU68 BV67:BV68 BW67:BY67" formula="1" formulaRange="1"/>
  </ignoredError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M159"/>
  <sheetViews>
    <sheetView showGridLines="0" zoomScaleNormal="100" workbookViewId="0">
      <pane xSplit="4" ySplit="3" topLeftCell="E4" activePane="bottomRight" state="frozen"/>
      <selection sqref="A1:E1"/>
      <selection pane="topRight" sqref="A1:E1"/>
      <selection pane="bottomLeft" sqref="A1:E1"/>
      <selection pane="bottomRight" activeCell="D76" sqref="D76:D78"/>
    </sheetView>
  </sheetViews>
  <sheetFormatPr baseColWidth="10" defaultRowHeight="12.75" x14ac:dyDescent="0.2"/>
  <cols>
    <col min="1" max="1" width="8" bestFit="1" customWidth="1"/>
    <col min="2" max="2" width="9.28515625" style="217" bestFit="1" customWidth="1"/>
    <col min="3" max="3" width="13.7109375" style="228" bestFit="1" customWidth="1"/>
    <col min="4" max="4" width="65.42578125" style="209" customWidth="1"/>
    <col min="5" max="5" width="11.42578125" style="209" customWidth="1"/>
    <col min="6" max="6" width="11.42578125" style="209"/>
    <col min="258" max="258" width="10.140625" customWidth="1"/>
    <col min="259" max="259" width="16.5703125" bestFit="1" customWidth="1"/>
    <col min="260" max="260" width="103" customWidth="1"/>
    <col min="261" max="261" width="11.42578125" customWidth="1"/>
    <col min="514" max="514" width="10.140625" customWidth="1"/>
    <col min="515" max="515" width="16.5703125" bestFit="1" customWidth="1"/>
    <col min="516" max="516" width="103" customWidth="1"/>
    <col min="517" max="517" width="11.42578125" customWidth="1"/>
    <col min="770" max="770" width="10.140625" customWidth="1"/>
    <col min="771" max="771" width="16.5703125" bestFit="1" customWidth="1"/>
    <col min="772" max="772" width="103" customWidth="1"/>
    <col min="773" max="773" width="11.42578125" customWidth="1"/>
    <col min="1026" max="1026" width="10.140625" customWidth="1"/>
    <col min="1027" max="1027" width="16.5703125" bestFit="1" customWidth="1"/>
    <col min="1028" max="1028" width="103" customWidth="1"/>
    <col min="1029" max="1029" width="11.42578125" customWidth="1"/>
    <col min="1282" max="1282" width="10.140625" customWidth="1"/>
    <col min="1283" max="1283" width="16.5703125" bestFit="1" customWidth="1"/>
    <col min="1284" max="1284" width="103" customWidth="1"/>
    <col min="1285" max="1285" width="11.42578125" customWidth="1"/>
    <col min="1538" max="1538" width="10.140625" customWidth="1"/>
    <col min="1539" max="1539" width="16.5703125" bestFit="1" customWidth="1"/>
    <col min="1540" max="1540" width="103" customWidth="1"/>
    <col min="1541" max="1541" width="11.42578125" customWidth="1"/>
    <col min="1794" max="1794" width="10.140625" customWidth="1"/>
    <col min="1795" max="1795" width="16.5703125" bestFit="1" customWidth="1"/>
    <col min="1796" max="1796" width="103" customWidth="1"/>
    <col min="1797" max="1797" width="11.42578125" customWidth="1"/>
    <col min="2050" max="2050" width="10.140625" customWidth="1"/>
    <col min="2051" max="2051" width="16.5703125" bestFit="1" customWidth="1"/>
    <col min="2052" max="2052" width="103" customWidth="1"/>
    <col min="2053" max="2053" width="11.42578125" customWidth="1"/>
    <col min="2306" max="2306" width="10.140625" customWidth="1"/>
    <col min="2307" max="2307" width="16.5703125" bestFit="1" customWidth="1"/>
    <col min="2308" max="2308" width="103" customWidth="1"/>
    <col min="2309" max="2309" width="11.42578125" customWidth="1"/>
    <col min="2562" max="2562" width="10.140625" customWidth="1"/>
    <col min="2563" max="2563" width="16.5703125" bestFit="1" customWidth="1"/>
    <col min="2564" max="2564" width="103" customWidth="1"/>
    <col min="2565" max="2565" width="11.42578125" customWidth="1"/>
    <col min="2818" max="2818" width="10.140625" customWidth="1"/>
    <col min="2819" max="2819" width="16.5703125" bestFit="1" customWidth="1"/>
    <col min="2820" max="2820" width="103" customWidth="1"/>
    <col min="2821" max="2821" width="11.42578125" customWidth="1"/>
    <col min="3074" max="3074" width="10.140625" customWidth="1"/>
    <col min="3075" max="3075" width="16.5703125" bestFit="1" customWidth="1"/>
    <col min="3076" max="3076" width="103" customWidth="1"/>
    <col min="3077" max="3077" width="11.42578125" customWidth="1"/>
    <col min="3330" max="3330" width="10.140625" customWidth="1"/>
    <col min="3331" max="3331" width="16.5703125" bestFit="1" customWidth="1"/>
    <col min="3332" max="3332" width="103" customWidth="1"/>
    <col min="3333" max="3333" width="11.42578125" customWidth="1"/>
    <col min="3586" max="3586" width="10.140625" customWidth="1"/>
    <col min="3587" max="3587" width="16.5703125" bestFit="1" customWidth="1"/>
    <col min="3588" max="3588" width="103" customWidth="1"/>
    <col min="3589" max="3589" width="11.42578125" customWidth="1"/>
    <col min="3842" max="3842" width="10.140625" customWidth="1"/>
    <col min="3843" max="3843" width="16.5703125" bestFit="1" customWidth="1"/>
    <col min="3844" max="3844" width="103" customWidth="1"/>
    <col min="3845" max="3845" width="11.42578125" customWidth="1"/>
    <col min="4098" max="4098" width="10.140625" customWidth="1"/>
    <col min="4099" max="4099" width="16.5703125" bestFit="1" customWidth="1"/>
    <col min="4100" max="4100" width="103" customWidth="1"/>
    <col min="4101" max="4101" width="11.42578125" customWidth="1"/>
    <col min="4354" max="4354" width="10.140625" customWidth="1"/>
    <col min="4355" max="4355" width="16.5703125" bestFit="1" customWidth="1"/>
    <col min="4356" max="4356" width="103" customWidth="1"/>
    <col min="4357" max="4357" width="11.42578125" customWidth="1"/>
    <col min="4610" max="4610" width="10.140625" customWidth="1"/>
    <col min="4611" max="4611" width="16.5703125" bestFit="1" customWidth="1"/>
    <col min="4612" max="4612" width="103" customWidth="1"/>
    <col min="4613" max="4613" width="11.42578125" customWidth="1"/>
    <col min="4866" max="4866" width="10.140625" customWidth="1"/>
    <col min="4867" max="4867" width="16.5703125" bestFit="1" customWidth="1"/>
    <col min="4868" max="4868" width="103" customWidth="1"/>
    <col min="4869" max="4869" width="11.42578125" customWidth="1"/>
    <col min="5122" max="5122" width="10.140625" customWidth="1"/>
    <col min="5123" max="5123" width="16.5703125" bestFit="1" customWidth="1"/>
    <col min="5124" max="5124" width="103" customWidth="1"/>
    <col min="5125" max="5125" width="11.42578125" customWidth="1"/>
    <col min="5378" max="5378" width="10.140625" customWidth="1"/>
    <col min="5379" max="5379" width="16.5703125" bestFit="1" customWidth="1"/>
    <col min="5380" max="5380" width="103" customWidth="1"/>
    <col min="5381" max="5381" width="11.42578125" customWidth="1"/>
    <col min="5634" max="5634" width="10.140625" customWidth="1"/>
    <col min="5635" max="5635" width="16.5703125" bestFit="1" customWidth="1"/>
    <col min="5636" max="5636" width="103" customWidth="1"/>
    <col min="5637" max="5637" width="11.42578125" customWidth="1"/>
    <col min="5890" max="5890" width="10.140625" customWidth="1"/>
    <col min="5891" max="5891" width="16.5703125" bestFit="1" customWidth="1"/>
    <col min="5892" max="5892" width="103" customWidth="1"/>
    <col min="5893" max="5893" width="11.42578125" customWidth="1"/>
    <col min="6146" max="6146" width="10.140625" customWidth="1"/>
    <col min="6147" max="6147" width="16.5703125" bestFit="1" customWidth="1"/>
    <col min="6148" max="6148" width="103" customWidth="1"/>
    <col min="6149" max="6149" width="11.42578125" customWidth="1"/>
    <col min="6402" max="6402" width="10.140625" customWidth="1"/>
    <col min="6403" max="6403" width="16.5703125" bestFit="1" customWidth="1"/>
    <col min="6404" max="6404" width="103" customWidth="1"/>
    <col min="6405" max="6405" width="11.42578125" customWidth="1"/>
    <col min="6658" max="6658" width="10.140625" customWidth="1"/>
    <col min="6659" max="6659" width="16.5703125" bestFit="1" customWidth="1"/>
    <col min="6660" max="6660" width="103" customWidth="1"/>
    <col min="6661" max="6661" width="11.42578125" customWidth="1"/>
    <col min="6914" max="6914" width="10.140625" customWidth="1"/>
    <col min="6915" max="6915" width="16.5703125" bestFit="1" customWidth="1"/>
    <col min="6916" max="6916" width="103" customWidth="1"/>
    <col min="6917" max="6917" width="11.42578125" customWidth="1"/>
    <col min="7170" max="7170" width="10.140625" customWidth="1"/>
    <col min="7171" max="7171" width="16.5703125" bestFit="1" customWidth="1"/>
    <col min="7172" max="7172" width="103" customWidth="1"/>
    <col min="7173" max="7173" width="11.42578125" customWidth="1"/>
    <col min="7426" max="7426" width="10.140625" customWidth="1"/>
    <col min="7427" max="7427" width="16.5703125" bestFit="1" customWidth="1"/>
    <col min="7428" max="7428" width="103" customWidth="1"/>
    <col min="7429" max="7429" width="11.42578125" customWidth="1"/>
    <col min="7682" max="7682" width="10.140625" customWidth="1"/>
    <col min="7683" max="7683" width="16.5703125" bestFit="1" customWidth="1"/>
    <col min="7684" max="7684" width="103" customWidth="1"/>
    <col min="7685" max="7685" width="11.42578125" customWidth="1"/>
    <col min="7938" max="7938" width="10.140625" customWidth="1"/>
    <col min="7939" max="7939" width="16.5703125" bestFit="1" customWidth="1"/>
    <col min="7940" max="7940" width="103" customWidth="1"/>
    <col min="7941" max="7941" width="11.42578125" customWidth="1"/>
    <col min="8194" max="8194" width="10.140625" customWidth="1"/>
    <col min="8195" max="8195" width="16.5703125" bestFit="1" customWidth="1"/>
    <col min="8196" max="8196" width="103" customWidth="1"/>
    <col min="8197" max="8197" width="11.42578125" customWidth="1"/>
    <col min="8450" max="8450" width="10.140625" customWidth="1"/>
    <col min="8451" max="8451" width="16.5703125" bestFit="1" customWidth="1"/>
    <col min="8452" max="8452" width="103" customWidth="1"/>
    <col min="8453" max="8453" width="11.42578125" customWidth="1"/>
    <col min="8706" max="8706" width="10.140625" customWidth="1"/>
    <col min="8707" max="8707" width="16.5703125" bestFit="1" customWidth="1"/>
    <col min="8708" max="8708" width="103" customWidth="1"/>
    <col min="8709" max="8709" width="11.42578125" customWidth="1"/>
    <col min="8962" max="8962" width="10.140625" customWidth="1"/>
    <col min="8963" max="8963" width="16.5703125" bestFit="1" customWidth="1"/>
    <col min="8964" max="8964" width="103" customWidth="1"/>
    <col min="8965" max="8965" width="11.42578125" customWidth="1"/>
    <col min="9218" max="9218" width="10.140625" customWidth="1"/>
    <col min="9219" max="9219" width="16.5703125" bestFit="1" customWidth="1"/>
    <col min="9220" max="9220" width="103" customWidth="1"/>
    <col min="9221" max="9221" width="11.42578125" customWidth="1"/>
    <col min="9474" max="9474" width="10.140625" customWidth="1"/>
    <col min="9475" max="9475" width="16.5703125" bestFit="1" customWidth="1"/>
    <col min="9476" max="9476" width="103" customWidth="1"/>
    <col min="9477" max="9477" width="11.42578125" customWidth="1"/>
    <col min="9730" max="9730" width="10.140625" customWidth="1"/>
    <col min="9731" max="9731" width="16.5703125" bestFit="1" customWidth="1"/>
    <col min="9732" max="9732" width="103" customWidth="1"/>
    <col min="9733" max="9733" width="11.42578125" customWidth="1"/>
    <col min="9986" max="9986" width="10.140625" customWidth="1"/>
    <col min="9987" max="9987" width="16.5703125" bestFit="1" customWidth="1"/>
    <col min="9988" max="9988" width="103" customWidth="1"/>
    <col min="9989" max="9989" width="11.42578125" customWidth="1"/>
    <col min="10242" max="10242" width="10.140625" customWidth="1"/>
    <col min="10243" max="10243" width="16.5703125" bestFit="1" customWidth="1"/>
    <col min="10244" max="10244" width="103" customWidth="1"/>
    <col min="10245" max="10245" width="11.42578125" customWidth="1"/>
    <col min="10498" max="10498" width="10.140625" customWidth="1"/>
    <col min="10499" max="10499" width="16.5703125" bestFit="1" customWidth="1"/>
    <col min="10500" max="10500" width="103" customWidth="1"/>
    <col min="10501" max="10501" width="11.42578125" customWidth="1"/>
    <col min="10754" max="10754" width="10.140625" customWidth="1"/>
    <col min="10755" max="10755" width="16.5703125" bestFit="1" customWidth="1"/>
    <col min="10756" max="10756" width="103" customWidth="1"/>
    <col min="10757" max="10757" width="11.42578125" customWidth="1"/>
    <col min="11010" max="11010" width="10.140625" customWidth="1"/>
    <col min="11011" max="11011" width="16.5703125" bestFit="1" customWidth="1"/>
    <col min="11012" max="11012" width="103" customWidth="1"/>
    <col min="11013" max="11013" width="11.42578125" customWidth="1"/>
    <col min="11266" max="11266" width="10.140625" customWidth="1"/>
    <col min="11267" max="11267" width="16.5703125" bestFit="1" customWidth="1"/>
    <col min="11268" max="11268" width="103" customWidth="1"/>
    <col min="11269" max="11269" width="11.42578125" customWidth="1"/>
    <col min="11522" max="11522" width="10.140625" customWidth="1"/>
    <col min="11523" max="11523" width="16.5703125" bestFit="1" customWidth="1"/>
    <col min="11524" max="11524" width="103" customWidth="1"/>
    <col min="11525" max="11525" width="11.42578125" customWidth="1"/>
    <col min="11778" max="11778" width="10.140625" customWidth="1"/>
    <col min="11779" max="11779" width="16.5703125" bestFit="1" customWidth="1"/>
    <col min="11780" max="11780" width="103" customWidth="1"/>
    <col min="11781" max="11781" width="11.42578125" customWidth="1"/>
    <col min="12034" max="12034" width="10.140625" customWidth="1"/>
    <col min="12035" max="12035" width="16.5703125" bestFit="1" customWidth="1"/>
    <col min="12036" max="12036" width="103" customWidth="1"/>
    <col min="12037" max="12037" width="11.42578125" customWidth="1"/>
    <col min="12290" max="12290" width="10.140625" customWidth="1"/>
    <col min="12291" max="12291" width="16.5703125" bestFit="1" customWidth="1"/>
    <col min="12292" max="12292" width="103" customWidth="1"/>
    <col min="12293" max="12293" width="11.42578125" customWidth="1"/>
    <col min="12546" max="12546" width="10.140625" customWidth="1"/>
    <col min="12547" max="12547" width="16.5703125" bestFit="1" customWidth="1"/>
    <col min="12548" max="12548" width="103" customWidth="1"/>
    <col min="12549" max="12549" width="11.42578125" customWidth="1"/>
    <col min="12802" max="12802" width="10.140625" customWidth="1"/>
    <col min="12803" max="12803" width="16.5703125" bestFit="1" customWidth="1"/>
    <col min="12804" max="12804" width="103" customWidth="1"/>
    <col min="12805" max="12805" width="11.42578125" customWidth="1"/>
    <col min="13058" max="13058" width="10.140625" customWidth="1"/>
    <col min="13059" max="13059" width="16.5703125" bestFit="1" customWidth="1"/>
    <col min="13060" max="13060" width="103" customWidth="1"/>
    <col min="13061" max="13061" width="11.42578125" customWidth="1"/>
    <col min="13314" max="13314" width="10.140625" customWidth="1"/>
    <col min="13315" max="13315" width="16.5703125" bestFit="1" customWidth="1"/>
    <col min="13316" max="13316" width="103" customWidth="1"/>
    <col min="13317" max="13317" width="11.42578125" customWidth="1"/>
    <col min="13570" max="13570" width="10.140625" customWidth="1"/>
    <col min="13571" max="13571" width="16.5703125" bestFit="1" customWidth="1"/>
    <col min="13572" max="13572" width="103" customWidth="1"/>
    <col min="13573" max="13573" width="11.42578125" customWidth="1"/>
    <col min="13826" max="13826" width="10.140625" customWidth="1"/>
    <col min="13827" max="13827" width="16.5703125" bestFit="1" customWidth="1"/>
    <col min="13828" max="13828" width="103" customWidth="1"/>
    <col min="13829" max="13829" width="11.42578125" customWidth="1"/>
    <col min="14082" max="14082" width="10.140625" customWidth="1"/>
    <col min="14083" max="14083" width="16.5703125" bestFit="1" customWidth="1"/>
    <col min="14084" max="14084" width="103" customWidth="1"/>
    <col min="14085" max="14085" width="11.42578125" customWidth="1"/>
    <col min="14338" max="14338" width="10.140625" customWidth="1"/>
    <col min="14339" max="14339" width="16.5703125" bestFit="1" customWidth="1"/>
    <col min="14340" max="14340" width="103" customWidth="1"/>
    <col min="14341" max="14341" width="11.42578125" customWidth="1"/>
    <col min="14594" max="14594" width="10.140625" customWidth="1"/>
    <col min="14595" max="14595" width="16.5703125" bestFit="1" customWidth="1"/>
    <col min="14596" max="14596" width="103" customWidth="1"/>
    <col min="14597" max="14597" width="11.42578125" customWidth="1"/>
    <col min="14850" max="14850" width="10.140625" customWidth="1"/>
    <col min="14851" max="14851" width="16.5703125" bestFit="1" customWidth="1"/>
    <col min="14852" max="14852" width="103" customWidth="1"/>
    <col min="14853" max="14853" width="11.42578125" customWidth="1"/>
    <col min="15106" max="15106" width="10.140625" customWidth="1"/>
    <col min="15107" max="15107" width="16.5703125" bestFit="1" customWidth="1"/>
    <col min="15108" max="15108" width="103" customWidth="1"/>
    <col min="15109" max="15109" width="11.42578125" customWidth="1"/>
    <col min="15362" max="15362" width="10.140625" customWidth="1"/>
    <col min="15363" max="15363" width="16.5703125" bestFit="1" customWidth="1"/>
    <col min="15364" max="15364" width="103" customWidth="1"/>
    <col min="15365" max="15365" width="11.42578125" customWidth="1"/>
    <col min="15618" max="15618" width="10.140625" customWidth="1"/>
    <col min="15619" max="15619" width="16.5703125" bestFit="1" customWidth="1"/>
    <col min="15620" max="15620" width="103" customWidth="1"/>
    <col min="15621" max="15621" width="11.42578125" customWidth="1"/>
    <col min="15874" max="15874" width="10.140625" customWidth="1"/>
    <col min="15875" max="15875" width="16.5703125" bestFit="1" customWidth="1"/>
    <col min="15876" max="15876" width="103" customWidth="1"/>
    <col min="15877" max="15877" width="11.42578125" customWidth="1"/>
    <col min="16130" max="16130" width="10.140625" customWidth="1"/>
    <col min="16131" max="16131" width="16.5703125" bestFit="1" customWidth="1"/>
    <col min="16132" max="16132" width="103" customWidth="1"/>
    <col min="16133" max="16133" width="11.42578125" customWidth="1"/>
  </cols>
  <sheetData>
    <row r="1" spans="1:13" ht="51" customHeight="1" x14ac:dyDescent="0.2">
      <c r="A1" s="5682" t="s">
        <v>1458</v>
      </c>
      <c r="B1" s="5682"/>
      <c r="C1" s="5682"/>
      <c r="D1" s="923"/>
      <c r="E1" s="923"/>
      <c r="F1" s="923"/>
    </row>
    <row r="2" spans="1:13" ht="16.5" x14ac:dyDescent="0.2">
      <c r="B2" s="209"/>
      <c r="C2" s="549"/>
      <c r="D2" s="549"/>
      <c r="E2" s="549"/>
      <c r="F2" s="549"/>
    </row>
    <row r="3" spans="1:13" ht="21" customHeight="1" x14ac:dyDescent="0.2">
      <c r="A3" s="1323" t="s">
        <v>16</v>
      </c>
      <c r="B3" s="1323" t="s">
        <v>4</v>
      </c>
      <c r="C3" s="1323" t="s">
        <v>144</v>
      </c>
      <c r="D3" s="1059" t="s">
        <v>77</v>
      </c>
      <c r="E3" s="1324">
        <v>2009</v>
      </c>
      <c r="F3" s="1324">
        <v>2010</v>
      </c>
      <c r="G3" s="1324">
        <v>2011</v>
      </c>
      <c r="H3" s="1324">
        <v>2012</v>
      </c>
      <c r="I3" s="1324">
        <v>2013</v>
      </c>
      <c r="J3" s="1324">
        <v>2014</v>
      </c>
      <c r="K3" s="1324">
        <v>2015</v>
      </c>
      <c r="L3" s="1324">
        <v>2016</v>
      </c>
      <c r="M3" s="1324">
        <v>2017</v>
      </c>
    </row>
    <row r="4" spans="1:13" ht="15" x14ac:dyDescent="0.2">
      <c r="A4" s="6492" t="s">
        <v>3</v>
      </c>
      <c r="B4" s="6489" t="s">
        <v>5</v>
      </c>
      <c r="C4" s="5055" t="s">
        <v>26</v>
      </c>
      <c r="D4" s="1313" t="s">
        <v>557</v>
      </c>
      <c r="E4" s="1316">
        <v>4</v>
      </c>
      <c r="F4" s="1316">
        <v>4</v>
      </c>
      <c r="G4" s="1316">
        <v>4</v>
      </c>
      <c r="H4" s="1316">
        <v>4</v>
      </c>
      <c r="I4" s="1316">
        <v>4</v>
      </c>
      <c r="J4" s="1316">
        <v>4</v>
      </c>
      <c r="K4" s="1316">
        <v>4</v>
      </c>
      <c r="L4" s="1316">
        <v>4</v>
      </c>
      <c r="M4" s="1316">
        <v>4</v>
      </c>
    </row>
    <row r="5" spans="1:13" ht="15" x14ac:dyDescent="0.2">
      <c r="A5" s="6493"/>
      <c r="B5" s="6490"/>
      <c r="C5" s="6468" t="s">
        <v>27</v>
      </c>
      <c r="D5" s="1314" t="s">
        <v>135</v>
      </c>
      <c r="E5" s="1317">
        <v>83</v>
      </c>
      <c r="F5" s="1317">
        <v>84</v>
      </c>
      <c r="G5" s="1317">
        <f>+F5+4</f>
        <v>88</v>
      </c>
      <c r="H5" s="1317">
        <v>89</v>
      </c>
      <c r="I5" s="1317">
        <v>90</v>
      </c>
      <c r="J5" s="1317">
        <v>93</v>
      </c>
      <c r="K5" s="1317">
        <v>93</v>
      </c>
      <c r="L5" s="1317">
        <v>93</v>
      </c>
      <c r="M5" s="1317">
        <v>97</v>
      </c>
    </row>
    <row r="6" spans="1:13" ht="15" x14ac:dyDescent="0.2">
      <c r="A6" s="6493"/>
      <c r="B6" s="6490"/>
      <c r="C6" s="6460"/>
      <c r="D6" s="1314" t="s">
        <v>558</v>
      </c>
      <c r="E6" s="1317">
        <v>141</v>
      </c>
      <c r="F6" s="1317">
        <v>151</v>
      </c>
      <c r="G6" s="1317">
        <f>+F6+18</f>
        <v>169</v>
      </c>
      <c r="H6" s="1317">
        <v>195</v>
      </c>
      <c r="I6" s="1317">
        <v>210</v>
      </c>
      <c r="J6" s="1317">
        <v>225</v>
      </c>
      <c r="K6" s="1317">
        <v>242</v>
      </c>
      <c r="L6" s="1317">
        <v>275</v>
      </c>
      <c r="M6" s="1317">
        <v>280</v>
      </c>
    </row>
    <row r="7" spans="1:13" ht="15" x14ac:dyDescent="0.2">
      <c r="A7" s="6493"/>
      <c r="B7" s="6490"/>
      <c r="C7" s="6460"/>
      <c r="D7" s="1314" t="s">
        <v>136</v>
      </c>
      <c r="E7" s="1317">
        <v>23</v>
      </c>
      <c r="F7" s="1317">
        <v>29</v>
      </c>
      <c r="G7" s="1317">
        <v>39</v>
      </c>
      <c r="H7" s="1317">
        <v>49</v>
      </c>
      <c r="I7" s="1317">
        <v>57</v>
      </c>
      <c r="J7" s="1317">
        <v>69</v>
      </c>
      <c r="K7" s="1317">
        <v>78</v>
      </c>
      <c r="L7" s="1317">
        <v>87</v>
      </c>
      <c r="M7" s="1317">
        <v>102</v>
      </c>
    </row>
    <row r="8" spans="1:13" ht="15" x14ac:dyDescent="0.2">
      <c r="A8" s="6493"/>
      <c r="B8" s="6490"/>
      <c r="C8" s="6460"/>
      <c r="D8" s="5488" t="s">
        <v>1680</v>
      </c>
      <c r="E8" s="1317"/>
      <c r="F8" s="1317"/>
      <c r="G8" s="1317"/>
      <c r="H8" s="1317"/>
      <c r="I8" s="1317"/>
      <c r="J8" s="1317"/>
      <c r="K8" s="1317"/>
      <c r="L8" s="1317"/>
      <c r="M8" s="1317">
        <v>26</v>
      </c>
    </row>
    <row r="9" spans="1:13" ht="15" x14ac:dyDescent="0.2">
      <c r="A9" s="6493"/>
      <c r="B9" s="6490"/>
      <c r="C9" s="6460"/>
      <c r="D9" s="2729" t="s">
        <v>618</v>
      </c>
      <c r="E9" s="1317"/>
      <c r="F9" s="1317"/>
      <c r="G9" s="1317"/>
      <c r="H9" s="1317"/>
      <c r="I9" s="1317"/>
      <c r="J9" s="1317">
        <v>5</v>
      </c>
      <c r="K9" s="1317">
        <v>12</v>
      </c>
      <c r="L9" s="1317">
        <v>21</v>
      </c>
      <c r="M9" s="1317">
        <v>33</v>
      </c>
    </row>
    <row r="10" spans="1:13" ht="15" x14ac:dyDescent="0.2">
      <c r="A10" s="6493"/>
      <c r="B10" s="6490"/>
      <c r="C10" s="6461"/>
      <c r="D10" s="2729" t="s">
        <v>619</v>
      </c>
      <c r="E10" s="1317"/>
      <c r="F10" s="1317"/>
      <c r="G10" s="1317"/>
      <c r="H10" s="1317"/>
      <c r="I10" s="1317"/>
      <c r="J10" s="1317">
        <v>1</v>
      </c>
      <c r="K10" s="1317">
        <v>4</v>
      </c>
      <c r="L10" s="1317">
        <v>7</v>
      </c>
      <c r="M10" s="1317">
        <v>11</v>
      </c>
    </row>
    <row r="11" spans="1:13" ht="15" x14ac:dyDescent="0.2">
      <c r="A11" s="6493"/>
      <c r="B11" s="6490"/>
      <c r="C11" s="6495" t="s">
        <v>28</v>
      </c>
      <c r="D11" s="1314" t="s">
        <v>559</v>
      </c>
      <c r="E11" s="1317">
        <v>31</v>
      </c>
      <c r="F11" s="1317">
        <v>35</v>
      </c>
      <c r="G11" s="1317">
        <f>+F11+10</f>
        <v>45</v>
      </c>
      <c r="H11" s="1317">
        <v>50</v>
      </c>
      <c r="I11" s="1317">
        <v>61</v>
      </c>
      <c r="J11" s="1317">
        <v>66</v>
      </c>
      <c r="K11" s="1317">
        <v>69</v>
      </c>
      <c r="L11" s="1317">
        <v>76</v>
      </c>
      <c r="M11" s="1317">
        <v>77</v>
      </c>
    </row>
    <row r="12" spans="1:13" ht="15" x14ac:dyDescent="0.2">
      <c r="A12" s="6493"/>
      <c r="B12" s="6490"/>
      <c r="C12" s="6460"/>
      <c r="D12" s="1314" t="s">
        <v>137</v>
      </c>
      <c r="E12" s="1317"/>
      <c r="F12" s="1317">
        <v>2</v>
      </c>
      <c r="G12" s="1317">
        <v>3</v>
      </c>
      <c r="H12" s="1317">
        <v>4</v>
      </c>
      <c r="I12" s="1317">
        <v>6</v>
      </c>
      <c r="J12" s="1317">
        <v>7</v>
      </c>
      <c r="K12" s="1317">
        <v>8</v>
      </c>
      <c r="L12" s="1317">
        <v>8</v>
      </c>
      <c r="M12" s="1317">
        <v>9</v>
      </c>
    </row>
    <row r="13" spans="1:13" ht="15" x14ac:dyDescent="0.2">
      <c r="A13" s="6493"/>
      <c r="B13" s="6490"/>
      <c r="C13" s="6460"/>
      <c r="D13" s="5488" t="s">
        <v>1680</v>
      </c>
      <c r="E13" s="4247"/>
      <c r="F13" s="4247"/>
      <c r="G13" s="4247"/>
      <c r="H13" s="4247"/>
      <c r="I13" s="4247"/>
      <c r="J13" s="4247"/>
      <c r="K13" s="4247"/>
      <c r="L13" s="4247"/>
      <c r="M13" s="4247">
        <v>5</v>
      </c>
    </row>
    <row r="14" spans="1:13" ht="15" x14ac:dyDescent="0.2">
      <c r="A14" s="6493"/>
      <c r="B14" s="6490"/>
      <c r="C14" s="6460"/>
      <c r="D14" s="2729" t="s">
        <v>618</v>
      </c>
      <c r="E14" s="4247"/>
      <c r="F14" s="4247"/>
      <c r="G14" s="4247"/>
      <c r="H14" s="4247"/>
      <c r="I14" s="4247"/>
      <c r="J14" s="4247"/>
      <c r="K14" s="4247"/>
      <c r="L14" s="4247"/>
      <c r="M14" s="4247">
        <v>1</v>
      </c>
    </row>
    <row r="15" spans="1:13" ht="15" x14ac:dyDescent="0.2">
      <c r="A15" s="6493"/>
      <c r="B15" s="6490"/>
      <c r="C15" s="6469"/>
      <c r="D15" s="2729" t="s">
        <v>619</v>
      </c>
      <c r="E15" s="4247"/>
      <c r="F15" s="4247"/>
      <c r="G15" s="4247"/>
      <c r="H15" s="4247"/>
      <c r="I15" s="4247"/>
      <c r="J15" s="4247"/>
      <c r="K15" s="4247"/>
      <c r="L15" s="4247"/>
      <c r="M15" s="4247">
        <v>2</v>
      </c>
    </row>
    <row r="16" spans="1:13" ht="15" x14ac:dyDescent="0.2">
      <c r="A16" s="6493"/>
      <c r="B16" s="6491"/>
      <c r="C16" s="5056"/>
      <c r="D16" s="1318" t="s">
        <v>160</v>
      </c>
      <c r="E16" s="1319">
        <f t="shared" ref="E16:J16" si="0">SUM(E4:E12)</f>
        <v>282</v>
      </c>
      <c r="F16" s="1319">
        <f t="shared" si="0"/>
        <v>305</v>
      </c>
      <c r="G16" s="1319">
        <f t="shared" si="0"/>
        <v>348</v>
      </c>
      <c r="H16" s="1319">
        <f t="shared" si="0"/>
        <v>391</v>
      </c>
      <c r="I16" s="1319">
        <f t="shared" si="0"/>
        <v>428</v>
      </c>
      <c r="J16" s="1319">
        <f t="shared" si="0"/>
        <v>470</v>
      </c>
      <c r="K16" s="1319">
        <f>SUM(K4:K12)</f>
        <v>510</v>
      </c>
      <c r="L16" s="1319">
        <f>SUM(L4:L12)</f>
        <v>571</v>
      </c>
      <c r="M16" s="1319">
        <f>SUM(M4:M15)</f>
        <v>647</v>
      </c>
    </row>
    <row r="17" spans="1:13" ht="15" x14ac:dyDescent="0.2">
      <c r="A17" s="6493"/>
      <c r="B17" s="6489" t="s">
        <v>6</v>
      </c>
      <c r="C17" s="6468" t="s">
        <v>26</v>
      </c>
      <c r="D17" s="1315" t="s">
        <v>138</v>
      </c>
      <c r="E17" s="1320">
        <v>180</v>
      </c>
      <c r="F17" s="1320">
        <v>190</v>
      </c>
      <c r="G17" s="1320">
        <v>204</v>
      </c>
      <c r="H17" s="1320">
        <v>220</v>
      </c>
      <c r="I17" s="1320">
        <v>232</v>
      </c>
      <c r="J17" s="1320">
        <v>251</v>
      </c>
      <c r="K17" s="1320">
        <v>266</v>
      </c>
      <c r="L17" s="1320">
        <v>285</v>
      </c>
      <c r="M17" s="1320">
        <v>308</v>
      </c>
    </row>
    <row r="18" spans="1:13" ht="15" x14ac:dyDescent="0.2">
      <c r="A18" s="6493"/>
      <c r="B18" s="6490"/>
      <c r="C18" s="6460"/>
      <c r="D18" s="1314" t="s">
        <v>358</v>
      </c>
      <c r="E18" s="1317">
        <v>37</v>
      </c>
      <c r="F18" s="1317">
        <v>45</v>
      </c>
      <c r="G18" s="1317">
        <v>54</v>
      </c>
      <c r="H18" s="1317">
        <v>65</v>
      </c>
      <c r="I18" s="1317">
        <v>65</v>
      </c>
      <c r="J18" s="1317">
        <v>70</v>
      </c>
      <c r="K18" s="1317">
        <v>71</v>
      </c>
      <c r="L18" s="1317">
        <v>76</v>
      </c>
      <c r="M18" s="1317">
        <v>76</v>
      </c>
    </row>
    <row r="19" spans="1:13" ht="15" x14ac:dyDescent="0.2">
      <c r="A19" s="6493"/>
      <c r="B19" s="6490"/>
      <c r="C19" s="6461"/>
      <c r="D19" s="1314" t="s">
        <v>533</v>
      </c>
      <c r="E19" s="1317">
        <v>1</v>
      </c>
      <c r="F19" s="1317">
        <v>1</v>
      </c>
      <c r="G19" s="1317">
        <v>1</v>
      </c>
      <c r="H19" s="1317">
        <v>1</v>
      </c>
      <c r="I19" s="1317">
        <v>1</v>
      </c>
      <c r="J19" s="1317">
        <v>1</v>
      </c>
      <c r="K19" s="1317">
        <v>1</v>
      </c>
      <c r="L19" s="1317">
        <v>1</v>
      </c>
      <c r="M19" s="1317">
        <v>1</v>
      </c>
    </row>
    <row r="20" spans="1:13" ht="15" x14ac:dyDescent="0.2">
      <c r="A20" s="6493"/>
      <c r="B20" s="6490"/>
      <c r="C20" s="6468" t="s">
        <v>27</v>
      </c>
      <c r="D20" s="1314" t="s">
        <v>141</v>
      </c>
      <c r="E20" s="1317">
        <v>100</v>
      </c>
      <c r="F20" s="1317">
        <v>108</v>
      </c>
      <c r="G20" s="1317">
        <v>114</v>
      </c>
      <c r="H20" s="1317">
        <v>124</v>
      </c>
      <c r="I20" s="1317">
        <v>135</v>
      </c>
      <c r="J20" s="1317">
        <v>143</v>
      </c>
      <c r="K20" s="1317">
        <v>154</v>
      </c>
      <c r="L20" s="1317">
        <v>167</v>
      </c>
      <c r="M20" s="1317">
        <v>176</v>
      </c>
    </row>
    <row r="21" spans="1:13" ht="15" x14ac:dyDescent="0.2">
      <c r="A21" s="6493"/>
      <c r="B21" s="6490"/>
      <c r="C21" s="6460"/>
      <c r="D21" s="5489" t="s">
        <v>1682</v>
      </c>
      <c r="E21" s="1317">
        <v>82</v>
      </c>
      <c r="F21" s="1317">
        <v>93</v>
      </c>
      <c r="G21" s="1317">
        <v>105</v>
      </c>
      <c r="H21" s="1317">
        <v>109</v>
      </c>
      <c r="I21" s="1317">
        <v>125</v>
      </c>
      <c r="J21" s="1317">
        <v>133</v>
      </c>
      <c r="K21" s="1317">
        <v>139</v>
      </c>
      <c r="L21" s="1317">
        <v>146</v>
      </c>
      <c r="M21" s="1317">
        <v>148</v>
      </c>
    </row>
    <row r="22" spans="1:13" ht="15" x14ac:dyDescent="0.2">
      <c r="A22" s="6493"/>
      <c r="B22" s="6490"/>
      <c r="C22" s="6460"/>
      <c r="D22" s="1314" t="s">
        <v>366</v>
      </c>
      <c r="E22" s="1317">
        <v>54</v>
      </c>
      <c r="F22" s="1317">
        <v>56</v>
      </c>
      <c r="G22" s="1317">
        <v>59</v>
      </c>
      <c r="H22" s="1317">
        <v>59</v>
      </c>
      <c r="I22" s="1317">
        <v>59</v>
      </c>
      <c r="J22" s="1317">
        <v>59</v>
      </c>
      <c r="K22" s="1317">
        <v>59</v>
      </c>
      <c r="L22" s="1317">
        <v>59</v>
      </c>
      <c r="M22" s="1317">
        <v>59</v>
      </c>
    </row>
    <row r="23" spans="1:13" ht="15" x14ac:dyDescent="0.2">
      <c r="A23" s="6493"/>
      <c r="B23" s="6490"/>
      <c r="C23" s="6460"/>
      <c r="D23" s="1314" t="s">
        <v>139</v>
      </c>
      <c r="E23" s="1317">
        <v>7</v>
      </c>
      <c r="F23" s="1317">
        <v>7</v>
      </c>
      <c r="G23" s="1317">
        <v>7</v>
      </c>
      <c r="H23" s="1317">
        <v>7</v>
      </c>
      <c r="I23" s="1317">
        <v>7</v>
      </c>
      <c r="J23" s="1317">
        <v>7</v>
      </c>
      <c r="K23" s="1317">
        <v>7</v>
      </c>
      <c r="L23" s="1317">
        <v>7</v>
      </c>
      <c r="M23" s="1317">
        <v>7</v>
      </c>
    </row>
    <row r="24" spans="1:13" ht="15" x14ac:dyDescent="0.2">
      <c r="A24" s="6493"/>
      <c r="B24" s="6490"/>
      <c r="C24" s="6460"/>
      <c r="D24" s="1314" t="s">
        <v>367</v>
      </c>
      <c r="E24" s="1317">
        <v>17</v>
      </c>
      <c r="F24" s="1317">
        <v>29</v>
      </c>
      <c r="G24" s="1317">
        <v>36</v>
      </c>
      <c r="H24" s="1317">
        <v>45</v>
      </c>
      <c r="I24" s="1317">
        <v>45</v>
      </c>
      <c r="J24" s="1317">
        <v>55</v>
      </c>
      <c r="K24" s="1317">
        <v>58</v>
      </c>
      <c r="L24" s="1317">
        <v>73</v>
      </c>
      <c r="M24" s="1317">
        <v>76</v>
      </c>
    </row>
    <row r="25" spans="1:13" ht="15" x14ac:dyDescent="0.2">
      <c r="A25" s="6493"/>
      <c r="B25" s="6490"/>
      <c r="C25" s="6460"/>
      <c r="D25" s="1314" t="s">
        <v>533</v>
      </c>
      <c r="E25" s="1317"/>
      <c r="F25" s="1317">
        <v>3</v>
      </c>
      <c r="G25" s="1317">
        <v>7</v>
      </c>
      <c r="H25" s="1317">
        <v>10</v>
      </c>
      <c r="I25" s="1317">
        <v>11</v>
      </c>
      <c r="J25" s="1317">
        <v>14</v>
      </c>
      <c r="K25" s="1317">
        <v>15</v>
      </c>
      <c r="L25" s="1317">
        <v>20</v>
      </c>
      <c r="M25" s="1317">
        <v>26</v>
      </c>
    </row>
    <row r="26" spans="1:13" ht="15" x14ac:dyDescent="0.2">
      <c r="A26" s="6493"/>
      <c r="B26" s="6490"/>
      <c r="C26" s="6461"/>
      <c r="D26" s="2729" t="s">
        <v>814</v>
      </c>
      <c r="E26" s="1317"/>
      <c r="F26" s="1317"/>
      <c r="G26" s="1317"/>
      <c r="H26" s="1317"/>
      <c r="I26" s="1317"/>
      <c r="J26" s="1317">
        <v>5</v>
      </c>
      <c r="K26" s="1317">
        <v>7</v>
      </c>
      <c r="L26" s="1317">
        <v>18</v>
      </c>
      <c r="M26" s="1317">
        <v>22</v>
      </c>
    </row>
    <row r="27" spans="1:13" ht="15" x14ac:dyDescent="0.2">
      <c r="A27" s="6493"/>
      <c r="B27" s="6490"/>
      <c r="C27" s="6468" t="s">
        <v>28</v>
      </c>
      <c r="D27" s="1314" t="s">
        <v>143</v>
      </c>
      <c r="E27" s="1317">
        <v>1</v>
      </c>
      <c r="F27" s="1317">
        <v>2</v>
      </c>
      <c r="G27" s="1317">
        <v>3</v>
      </c>
      <c r="H27" s="1317">
        <v>3</v>
      </c>
      <c r="I27" s="1317">
        <v>4</v>
      </c>
      <c r="J27" s="1317">
        <v>4</v>
      </c>
      <c r="K27" s="1317">
        <v>5</v>
      </c>
      <c r="L27" s="1317">
        <v>5</v>
      </c>
      <c r="M27" s="1317">
        <v>6</v>
      </c>
    </row>
    <row r="28" spans="1:13" ht="15" x14ac:dyDescent="0.2">
      <c r="A28" s="6493"/>
      <c r="B28" s="6490"/>
      <c r="C28" s="6460"/>
      <c r="D28" s="1314" t="s">
        <v>534</v>
      </c>
      <c r="E28" s="1317"/>
      <c r="F28" s="1317"/>
      <c r="G28" s="1317">
        <v>5</v>
      </c>
      <c r="H28" s="1317">
        <v>7</v>
      </c>
      <c r="I28" s="1317">
        <v>7</v>
      </c>
      <c r="J28" s="1317">
        <v>12</v>
      </c>
      <c r="K28" s="1317">
        <v>16</v>
      </c>
      <c r="L28" s="1317">
        <v>21</v>
      </c>
      <c r="M28" s="1317">
        <v>23</v>
      </c>
    </row>
    <row r="29" spans="1:13" ht="15" x14ac:dyDescent="0.2">
      <c r="A29" s="6493"/>
      <c r="B29" s="6490"/>
      <c r="C29" s="6469"/>
      <c r="D29" s="1314" t="s">
        <v>142</v>
      </c>
      <c r="E29" s="1317">
        <v>2</v>
      </c>
      <c r="F29" s="1317">
        <v>4</v>
      </c>
      <c r="G29" s="1317">
        <v>5</v>
      </c>
      <c r="H29" s="1317">
        <v>9</v>
      </c>
      <c r="I29" s="1317">
        <v>17</v>
      </c>
      <c r="J29" s="1317">
        <v>25</v>
      </c>
      <c r="K29" s="1317">
        <v>27</v>
      </c>
      <c r="L29" s="1317">
        <v>33</v>
      </c>
      <c r="M29" s="1317">
        <v>34</v>
      </c>
    </row>
    <row r="30" spans="1:13" ht="15" x14ac:dyDescent="0.2">
      <c r="A30" s="6493"/>
      <c r="B30" s="6491"/>
      <c r="C30" s="5056"/>
      <c r="D30" s="1318" t="s">
        <v>160</v>
      </c>
      <c r="E30" s="1319">
        <f t="shared" ref="E30:J30" si="1">SUM(E17:E29)</f>
        <v>481</v>
      </c>
      <c r="F30" s="1319">
        <f t="shared" si="1"/>
        <v>538</v>
      </c>
      <c r="G30" s="1319">
        <f t="shared" si="1"/>
        <v>600</v>
      </c>
      <c r="H30" s="1319">
        <f t="shared" si="1"/>
        <v>659</v>
      </c>
      <c r="I30" s="1319">
        <f t="shared" si="1"/>
        <v>708</v>
      </c>
      <c r="J30" s="1319">
        <f t="shared" si="1"/>
        <v>779</v>
      </c>
      <c r="K30" s="1319">
        <f>SUM(K17:K29)</f>
        <v>825</v>
      </c>
      <c r="L30" s="1319">
        <f>SUM(L17:L29)</f>
        <v>911</v>
      </c>
      <c r="M30" s="1319">
        <f>SUM(M17:M29)</f>
        <v>962</v>
      </c>
    </row>
    <row r="31" spans="1:13" ht="15" x14ac:dyDescent="0.2">
      <c r="A31" s="6493"/>
      <c r="B31" s="6489" t="s">
        <v>7</v>
      </c>
      <c r="C31" s="6459" t="s">
        <v>26</v>
      </c>
      <c r="D31" s="5588" t="s">
        <v>535</v>
      </c>
      <c r="E31" s="1320">
        <v>35</v>
      </c>
      <c r="F31" s="1320">
        <v>35</v>
      </c>
      <c r="G31" s="1320">
        <v>36</v>
      </c>
      <c r="H31" s="1320">
        <v>36</v>
      </c>
      <c r="I31" s="1320">
        <v>36</v>
      </c>
      <c r="J31" s="1320">
        <v>36</v>
      </c>
      <c r="K31" s="1320">
        <v>36</v>
      </c>
      <c r="L31" s="1320">
        <v>36</v>
      </c>
      <c r="M31" s="1320">
        <v>36</v>
      </c>
    </row>
    <row r="32" spans="1:13" ht="15" x14ac:dyDescent="0.2">
      <c r="A32" s="6493"/>
      <c r="B32" s="6490"/>
      <c r="C32" s="6460"/>
      <c r="D32" s="5500" t="s">
        <v>400</v>
      </c>
      <c r="E32" s="1317">
        <v>306</v>
      </c>
      <c r="F32" s="1317">
        <v>331</v>
      </c>
      <c r="G32" s="1317">
        <v>367</v>
      </c>
      <c r="H32" s="1317">
        <v>371</v>
      </c>
      <c r="I32" s="1317">
        <v>404</v>
      </c>
      <c r="J32" s="1317">
        <v>405</v>
      </c>
      <c r="K32" s="1317">
        <v>372</v>
      </c>
      <c r="L32" s="1317">
        <v>374</v>
      </c>
      <c r="M32" s="1317">
        <v>374</v>
      </c>
    </row>
    <row r="33" spans="1:13" ht="15" x14ac:dyDescent="0.2">
      <c r="A33" s="6493"/>
      <c r="B33" s="6490"/>
      <c r="C33" s="6460"/>
      <c r="D33" s="1314" t="s">
        <v>1300</v>
      </c>
      <c r="E33" s="1317"/>
      <c r="F33" s="1317"/>
      <c r="G33" s="1317"/>
      <c r="H33" s="1317"/>
      <c r="I33" s="1317"/>
      <c r="J33" s="1317"/>
      <c r="K33" s="1317">
        <v>7</v>
      </c>
      <c r="L33" s="1317">
        <v>11</v>
      </c>
      <c r="M33" s="1317">
        <v>13</v>
      </c>
    </row>
    <row r="34" spans="1:13" ht="15" x14ac:dyDescent="0.2">
      <c r="A34" s="6493"/>
      <c r="B34" s="6490"/>
      <c r="C34" s="6460"/>
      <c r="D34" s="1314" t="s">
        <v>1301</v>
      </c>
      <c r="E34" s="1317"/>
      <c r="F34" s="1317"/>
      <c r="G34" s="1317"/>
      <c r="H34" s="1317"/>
      <c r="I34" s="1317"/>
      <c r="J34" s="1317"/>
      <c r="K34" s="1317">
        <v>1</v>
      </c>
      <c r="L34" s="1317">
        <v>1</v>
      </c>
      <c r="M34" s="1317">
        <v>1</v>
      </c>
    </row>
    <row r="35" spans="1:13" ht="15" x14ac:dyDescent="0.2">
      <c r="A35" s="6493"/>
      <c r="B35" s="6490"/>
      <c r="C35" s="6460"/>
      <c r="D35" s="1314" t="s">
        <v>1302</v>
      </c>
      <c r="E35" s="1317"/>
      <c r="F35" s="1317"/>
      <c r="G35" s="1317"/>
      <c r="H35" s="1317"/>
      <c r="I35" s="1317"/>
      <c r="J35" s="1317"/>
      <c r="K35" s="1317"/>
      <c r="L35" s="1317">
        <v>4</v>
      </c>
      <c r="M35" s="1317">
        <v>4</v>
      </c>
    </row>
    <row r="36" spans="1:13" ht="15" x14ac:dyDescent="0.2">
      <c r="A36" s="6493"/>
      <c r="B36" s="6490"/>
      <c r="C36" s="6460"/>
      <c r="D36" s="1314" t="s">
        <v>1303</v>
      </c>
      <c r="E36" s="1317"/>
      <c r="F36" s="1317"/>
      <c r="G36" s="1317"/>
      <c r="H36" s="1317"/>
      <c r="I36" s="1317"/>
      <c r="J36" s="1317"/>
      <c r="K36" s="1317">
        <v>6</v>
      </c>
      <c r="L36" s="1317">
        <v>7</v>
      </c>
      <c r="M36" s="1317">
        <v>14</v>
      </c>
    </row>
    <row r="37" spans="1:13" ht="15" x14ac:dyDescent="0.2">
      <c r="A37" s="6493"/>
      <c r="B37" s="6490"/>
      <c r="C37" s="6461"/>
      <c r="D37" s="1314" t="s">
        <v>1304</v>
      </c>
      <c r="E37" s="1317"/>
      <c r="F37" s="1317"/>
      <c r="G37" s="1317"/>
      <c r="H37" s="1317"/>
      <c r="I37" s="1317"/>
      <c r="J37" s="1317"/>
      <c r="K37" s="1317">
        <v>1</v>
      </c>
      <c r="L37" s="1317">
        <v>2</v>
      </c>
      <c r="M37" s="1317">
        <v>2</v>
      </c>
    </row>
    <row r="38" spans="1:13" ht="15" x14ac:dyDescent="0.2">
      <c r="A38" s="6493"/>
      <c r="B38" s="6490"/>
      <c r="C38" s="6459" t="s">
        <v>27</v>
      </c>
      <c r="D38" s="1314" t="s">
        <v>536</v>
      </c>
      <c r="E38" s="1317">
        <v>3</v>
      </c>
      <c r="F38" s="1317">
        <v>3</v>
      </c>
      <c r="G38" s="1317">
        <v>3</v>
      </c>
      <c r="H38" s="1317">
        <v>3</v>
      </c>
      <c r="I38" s="1317">
        <v>3</v>
      </c>
      <c r="J38" s="1317">
        <v>3</v>
      </c>
      <c r="K38" s="1317">
        <v>3</v>
      </c>
      <c r="L38" s="1317">
        <v>3</v>
      </c>
      <c r="M38" s="1317">
        <v>3</v>
      </c>
    </row>
    <row r="39" spans="1:13" ht="15" x14ac:dyDescent="0.2">
      <c r="A39" s="6493"/>
      <c r="B39" s="6490"/>
      <c r="C39" s="6460"/>
      <c r="D39" s="5500" t="s">
        <v>401</v>
      </c>
      <c r="E39" s="1317">
        <v>81</v>
      </c>
      <c r="F39" s="1317">
        <v>96</v>
      </c>
      <c r="G39" s="1317">
        <v>125</v>
      </c>
      <c r="H39" s="1317">
        <v>148</v>
      </c>
      <c r="I39" s="1317">
        <v>186</v>
      </c>
      <c r="J39" s="1317">
        <v>212</v>
      </c>
      <c r="K39" s="1317">
        <v>205</v>
      </c>
      <c r="L39" s="1317">
        <v>201</v>
      </c>
      <c r="M39" s="1317">
        <v>200</v>
      </c>
    </row>
    <row r="40" spans="1:13" ht="15" x14ac:dyDescent="0.2">
      <c r="A40" s="6493"/>
      <c r="B40" s="6490"/>
      <c r="C40" s="6460"/>
      <c r="D40" s="1314" t="s">
        <v>1300</v>
      </c>
      <c r="E40" s="1317"/>
      <c r="F40" s="1317"/>
      <c r="G40" s="1317"/>
      <c r="H40" s="1317"/>
      <c r="I40" s="1317"/>
      <c r="J40" s="1317"/>
      <c r="K40" s="1317">
        <v>4</v>
      </c>
      <c r="L40" s="1317">
        <v>10</v>
      </c>
      <c r="M40" s="1317">
        <v>21</v>
      </c>
    </row>
    <row r="41" spans="1:13" ht="15" x14ac:dyDescent="0.2">
      <c r="A41" s="6493"/>
      <c r="B41" s="6490"/>
      <c r="C41" s="6460"/>
      <c r="D41" s="1314" t="s">
        <v>1301</v>
      </c>
      <c r="E41" s="1317"/>
      <c r="F41" s="1317"/>
      <c r="G41" s="1317"/>
      <c r="H41" s="1317"/>
      <c r="I41" s="1317"/>
      <c r="J41" s="1317"/>
      <c r="K41" s="1317">
        <v>8</v>
      </c>
      <c r="L41" s="1317">
        <v>10</v>
      </c>
      <c r="M41" s="1317">
        <v>12</v>
      </c>
    </row>
    <row r="42" spans="1:13" ht="15" x14ac:dyDescent="0.2">
      <c r="A42" s="6493"/>
      <c r="B42" s="6490"/>
      <c r="C42" s="6460"/>
      <c r="D42" s="1314" t="s">
        <v>1302</v>
      </c>
      <c r="E42" s="1317"/>
      <c r="F42" s="1317"/>
      <c r="G42" s="1317"/>
      <c r="H42" s="1317"/>
      <c r="I42" s="1317"/>
      <c r="J42" s="1317"/>
      <c r="K42" s="1317">
        <v>7</v>
      </c>
      <c r="L42" s="1317">
        <v>15</v>
      </c>
      <c r="M42" s="1317">
        <v>21</v>
      </c>
    </row>
    <row r="43" spans="1:13" ht="15" x14ac:dyDescent="0.2">
      <c r="A43" s="6493"/>
      <c r="B43" s="6490"/>
      <c r="C43" s="6460"/>
      <c r="D43" s="1314" t="s">
        <v>1303</v>
      </c>
      <c r="E43" s="1317"/>
      <c r="F43" s="1317"/>
      <c r="G43" s="1317"/>
      <c r="H43" s="1317"/>
      <c r="I43" s="1317"/>
      <c r="J43" s="1317"/>
      <c r="K43" s="1317">
        <v>4</v>
      </c>
      <c r="L43" s="1317">
        <v>8</v>
      </c>
      <c r="M43" s="1317">
        <v>9</v>
      </c>
    </row>
    <row r="44" spans="1:13" ht="15" x14ac:dyDescent="0.2">
      <c r="A44" s="6493"/>
      <c r="B44" s="6490"/>
      <c r="C44" s="6461"/>
      <c r="D44" s="1314" t="s">
        <v>1304</v>
      </c>
      <c r="E44" s="1317"/>
      <c r="F44" s="1317"/>
      <c r="G44" s="1317"/>
      <c r="H44" s="1317"/>
      <c r="I44" s="1317"/>
      <c r="J44" s="1317"/>
      <c r="K44" s="1317">
        <v>7</v>
      </c>
      <c r="L44" s="1317">
        <v>10</v>
      </c>
      <c r="M44" s="1317">
        <v>14</v>
      </c>
    </row>
    <row r="45" spans="1:13" ht="15" x14ac:dyDescent="0.2">
      <c r="A45" s="6493"/>
      <c r="B45" s="6490"/>
      <c r="C45" s="6470" t="s">
        <v>28</v>
      </c>
      <c r="D45" s="5500" t="s">
        <v>402</v>
      </c>
      <c r="E45" s="1317">
        <v>33</v>
      </c>
      <c r="F45" s="1317">
        <v>38</v>
      </c>
      <c r="G45" s="1317">
        <v>45</v>
      </c>
      <c r="H45" s="1317">
        <v>47</v>
      </c>
      <c r="I45" s="1317">
        <v>56</v>
      </c>
      <c r="J45" s="1317">
        <v>65</v>
      </c>
      <c r="K45" s="1317">
        <v>68</v>
      </c>
      <c r="L45" s="1317">
        <v>68</v>
      </c>
      <c r="M45" s="1317">
        <v>68</v>
      </c>
    </row>
    <row r="46" spans="1:13" ht="15" x14ac:dyDescent="0.2">
      <c r="A46" s="6493"/>
      <c r="B46" s="6490"/>
      <c r="C46" s="6460"/>
      <c r="D46" s="4246" t="s">
        <v>1300</v>
      </c>
      <c r="E46" s="4247"/>
      <c r="F46" s="4247"/>
      <c r="G46" s="4247"/>
      <c r="H46" s="4247"/>
      <c r="I46" s="4247"/>
      <c r="J46" s="4247"/>
      <c r="K46" s="4247">
        <v>1</v>
      </c>
      <c r="L46" s="4247">
        <v>1</v>
      </c>
      <c r="M46" s="4247">
        <v>1</v>
      </c>
    </row>
    <row r="47" spans="1:13" ht="15" x14ac:dyDescent="0.2">
      <c r="A47" s="6493"/>
      <c r="B47" s="6490"/>
      <c r="C47" s="6460"/>
      <c r="D47" s="4246" t="s">
        <v>1301</v>
      </c>
      <c r="E47" s="4247"/>
      <c r="F47" s="4247"/>
      <c r="G47" s="4247"/>
      <c r="H47" s="4247"/>
      <c r="I47" s="4247"/>
      <c r="J47" s="4247"/>
      <c r="K47" s="4247">
        <v>1</v>
      </c>
      <c r="L47" s="4247">
        <v>1</v>
      </c>
      <c r="M47" s="4247">
        <v>2</v>
      </c>
    </row>
    <row r="48" spans="1:13" ht="15" x14ac:dyDescent="0.2">
      <c r="A48" s="6493"/>
      <c r="B48" s="6490"/>
      <c r="C48" s="6460"/>
      <c r="D48" s="4246" t="s">
        <v>1302</v>
      </c>
      <c r="E48" s="4247"/>
      <c r="F48" s="4247"/>
      <c r="G48" s="4247"/>
      <c r="H48" s="4247"/>
      <c r="I48" s="4247"/>
      <c r="J48" s="4247"/>
      <c r="K48" s="4247">
        <v>1</v>
      </c>
      <c r="L48" s="4247">
        <v>7</v>
      </c>
      <c r="M48" s="4247">
        <v>8</v>
      </c>
    </row>
    <row r="49" spans="1:13" ht="15" x14ac:dyDescent="0.2">
      <c r="A49" s="6493"/>
      <c r="B49" s="6490"/>
      <c r="C49" s="6460"/>
      <c r="D49" s="1314" t="s">
        <v>1303</v>
      </c>
      <c r="E49" s="4247"/>
      <c r="F49" s="4247"/>
      <c r="G49" s="4247"/>
      <c r="H49" s="4247"/>
      <c r="I49" s="4247"/>
      <c r="J49" s="4247"/>
      <c r="K49" s="4247"/>
      <c r="L49" s="4247">
        <v>1</v>
      </c>
      <c r="M49" s="4247">
        <v>1</v>
      </c>
    </row>
    <row r="50" spans="1:13" ht="15" x14ac:dyDescent="0.2">
      <c r="A50" s="6493"/>
      <c r="B50" s="6490"/>
      <c r="C50" s="6469"/>
      <c r="D50" s="1314" t="s">
        <v>1304</v>
      </c>
      <c r="E50" s="4247"/>
      <c r="F50" s="4247"/>
      <c r="G50" s="4247"/>
      <c r="H50" s="4247"/>
      <c r="I50" s="4247"/>
      <c r="J50" s="4247"/>
      <c r="K50" s="4247"/>
      <c r="L50" s="4247">
        <v>2</v>
      </c>
      <c r="M50" s="4247">
        <v>6</v>
      </c>
    </row>
    <row r="51" spans="1:13" ht="15" x14ac:dyDescent="0.2">
      <c r="A51" s="6493"/>
      <c r="B51" s="6490"/>
      <c r="C51" s="5057"/>
      <c r="D51" s="1321" t="s">
        <v>160</v>
      </c>
      <c r="E51" s="1322">
        <f t="shared" ref="E51:J51" si="2">SUM(E31:E45)</f>
        <v>458</v>
      </c>
      <c r="F51" s="1322">
        <f t="shared" si="2"/>
        <v>503</v>
      </c>
      <c r="G51" s="1322">
        <f t="shared" si="2"/>
        <v>576</v>
      </c>
      <c r="H51" s="1322">
        <f t="shared" si="2"/>
        <v>605</v>
      </c>
      <c r="I51" s="1322">
        <f t="shared" si="2"/>
        <v>685</v>
      </c>
      <c r="J51" s="1322">
        <f t="shared" si="2"/>
        <v>721</v>
      </c>
      <c r="K51" s="1322">
        <f>SUM(K31:K48)</f>
        <v>732</v>
      </c>
      <c r="L51" s="1322">
        <f>SUM(L31:L50)</f>
        <v>772</v>
      </c>
      <c r="M51" s="1322">
        <f>SUM(M31:M50)</f>
        <v>810</v>
      </c>
    </row>
    <row r="52" spans="1:13" ht="15" x14ac:dyDescent="0.2">
      <c r="A52" s="6494"/>
      <c r="B52" s="4748"/>
      <c r="C52" s="5058"/>
      <c r="D52" s="4724" t="s">
        <v>523</v>
      </c>
      <c r="E52" s="4749">
        <f t="shared" ref="E52:J52" si="3">SUM(E16,E30,E51)</f>
        <v>1221</v>
      </c>
      <c r="F52" s="4749">
        <f t="shared" si="3"/>
        <v>1346</v>
      </c>
      <c r="G52" s="4749">
        <f t="shared" si="3"/>
        <v>1524</v>
      </c>
      <c r="H52" s="4749">
        <f t="shared" si="3"/>
        <v>1655</v>
      </c>
      <c r="I52" s="4749">
        <f t="shared" si="3"/>
        <v>1821</v>
      </c>
      <c r="J52" s="4749">
        <f t="shared" si="3"/>
        <v>1970</v>
      </c>
      <c r="K52" s="4749">
        <f>SUM(K16,K30,K51)</f>
        <v>2067</v>
      </c>
      <c r="L52" s="4749">
        <f>SUM(L16,L30,L51)</f>
        <v>2254</v>
      </c>
      <c r="M52" s="4749">
        <f>SUM(M16,M30,M51)</f>
        <v>2419</v>
      </c>
    </row>
    <row r="53" spans="1:13" ht="15" x14ac:dyDescent="0.2">
      <c r="A53" s="6462" t="s">
        <v>75</v>
      </c>
      <c r="B53" s="6465" t="s">
        <v>5</v>
      </c>
      <c r="C53" s="6459" t="s">
        <v>27</v>
      </c>
      <c r="D53" s="5588" t="s">
        <v>537</v>
      </c>
      <c r="E53" s="1320">
        <v>78</v>
      </c>
      <c r="F53" s="1320">
        <v>78</v>
      </c>
      <c r="G53" s="1320">
        <v>78</v>
      </c>
      <c r="H53" s="1320">
        <v>78</v>
      </c>
      <c r="I53" s="1320">
        <v>78</v>
      </c>
      <c r="J53" s="1320">
        <v>78</v>
      </c>
      <c r="K53" s="1320">
        <v>78</v>
      </c>
      <c r="L53" s="1320">
        <v>78</v>
      </c>
      <c r="M53" s="1320">
        <v>78</v>
      </c>
    </row>
    <row r="54" spans="1:13" ht="15" x14ac:dyDescent="0.2">
      <c r="A54" s="6463"/>
      <c r="B54" s="6465"/>
      <c r="C54" s="6460"/>
      <c r="D54" s="5500" t="s">
        <v>538</v>
      </c>
      <c r="E54" s="1317">
        <v>159</v>
      </c>
      <c r="F54" s="1317">
        <v>159</v>
      </c>
      <c r="G54" s="1317">
        <v>159</v>
      </c>
      <c r="H54" s="1317">
        <v>159</v>
      </c>
      <c r="I54" s="1317">
        <v>159</v>
      </c>
      <c r="J54" s="1317">
        <v>159</v>
      </c>
      <c r="K54" s="1317">
        <v>159</v>
      </c>
      <c r="L54" s="1317">
        <v>159</v>
      </c>
      <c r="M54" s="1317">
        <v>159</v>
      </c>
    </row>
    <row r="55" spans="1:13" ht="15" x14ac:dyDescent="0.2">
      <c r="A55" s="6463"/>
      <c r="B55" s="6465"/>
      <c r="C55" s="6460"/>
      <c r="D55" s="5500" t="s">
        <v>539</v>
      </c>
      <c r="E55" s="1317">
        <v>58</v>
      </c>
      <c r="F55" s="1317">
        <v>58</v>
      </c>
      <c r="G55" s="1317">
        <v>58</v>
      </c>
      <c r="H55" s="1317">
        <v>58</v>
      </c>
      <c r="I55" s="1317">
        <v>58</v>
      </c>
      <c r="J55" s="1317">
        <v>58</v>
      </c>
      <c r="K55" s="1317">
        <v>58</v>
      </c>
      <c r="L55" s="1317">
        <v>58</v>
      </c>
      <c r="M55" s="1317">
        <v>58</v>
      </c>
    </row>
    <row r="56" spans="1:13" ht="15" x14ac:dyDescent="0.2">
      <c r="A56" s="6463"/>
      <c r="B56" s="6465"/>
      <c r="C56" s="6460"/>
      <c r="D56" s="5500" t="s">
        <v>540</v>
      </c>
      <c r="E56" s="1317">
        <v>112</v>
      </c>
      <c r="F56" s="1317">
        <v>112</v>
      </c>
      <c r="G56" s="1317">
        <v>112</v>
      </c>
      <c r="H56" s="1317">
        <v>112</v>
      </c>
      <c r="I56" s="1317">
        <v>112</v>
      </c>
      <c r="J56" s="1317">
        <v>112</v>
      </c>
      <c r="K56" s="1317">
        <v>112</v>
      </c>
      <c r="L56" s="1317">
        <v>112</v>
      </c>
      <c r="M56" s="1317">
        <v>112</v>
      </c>
    </row>
    <row r="57" spans="1:13" ht="15" x14ac:dyDescent="0.2">
      <c r="A57" s="6463"/>
      <c r="B57" s="6465"/>
      <c r="C57" s="6460"/>
      <c r="D57" s="5500" t="s">
        <v>541</v>
      </c>
      <c r="E57" s="1317">
        <v>36</v>
      </c>
      <c r="F57" s="1317">
        <v>36</v>
      </c>
      <c r="G57" s="1317">
        <v>36</v>
      </c>
      <c r="H57" s="1317">
        <v>36</v>
      </c>
      <c r="I57" s="1317">
        <v>36</v>
      </c>
      <c r="J57" s="1317">
        <v>36</v>
      </c>
      <c r="K57" s="1317">
        <v>36</v>
      </c>
      <c r="L57" s="1317">
        <v>36</v>
      </c>
      <c r="M57" s="1317">
        <v>36</v>
      </c>
    </row>
    <row r="58" spans="1:13" ht="15" hidden="1" customHeight="1" x14ac:dyDescent="0.2">
      <c r="A58" s="6463"/>
      <c r="B58" s="6465"/>
      <c r="C58" s="6460"/>
      <c r="D58" s="1314" t="s">
        <v>404</v>
      </c>
      <c r="E58" s="1317"/>
      <c r="F58" s="1317"/>
      <c r="G58" s="1317"/>
      <c r="H58" s="1317"/>
      <c r="I58" s="1317"/>
      <c r="J58" s="1317"/>
      <c r="K58" s="1317">
        <v>0</v>
      </c>
      <c r="L58" s="1317"/>
      <c r="M58" s="1317"/>
    </row>
    <row r="59" spans="1:13" ht="15" x14ac:dyDescent="0.2">
      <c r="A59" s="6463"/>
      <c r="B59" s="6465"/>
      <c r="C59" s="6460"/>
      <c r="D59" s="1314" t="s">
        <v>542</v>
      </c>
      <c r="E59" s="1317">
        <v>21</v>
      </c>
      <c r="F59" s="1317">
        <v>24</v>
      </c>
      <c r="G59" s="1317">
        <v>25</v>
      </c>
      <c r="H59" s="1317">
        <v>25</v>
      </c>
      <c r="I59" s="1317">
        <v>34</v>
      </c>
      <c r="J59" s="1317">
        <v>42</v>
      </c>
      <c r="K59" s="1317">
        <v>49</v>
      </c>
      <c r="L59" s="1317">
        <v>52</v>
      </c>
      <c r="M59" s="1317">
        <v>64</v>
      </c>
    </row>
    <row r="60" spans="1:13" ht="15" x14ac:dyDescent="0.2">
      <c r="A60" s="6463"/>
      <c r="B60" s="6465"/>
      <c r="C60" s="6460"/>
      <c r="D60" s="1314" t="s">
        <v>543</v>
      </c>
      <c r="E60" s="1317">
        <v>53</v>
      </c>
      <c r="F60" s="1317">
        <v>70</v>
      </c>
      <c r="G60" s="1317">
        <v>82</v>
      </c>
      <c r="H60" s="1317">
        <v>98</v>
      </c>
      <c r="I60" s="1317">
        <v>111</v>
      </c>
      <c r="J60" s="1317">
        <v>128</v>
      </c>
      <c r="K60" s="1317">
        <v>142</v>
      </c>
      <c r="L60" s="1317">
        <v>164</v>
      </c>
      <c r="M60" s="1317">
        <v>185</v>
      </c>
    </row>
    <row r="61" spans="1:13" ht="15" x14ac:dyDescent="0.2">
      <c r="A61" s="6463"/>
      <c r="B61" s="6465"/>
      <c r="C61" s="6460"/>
      <c r="D61" s="1314" t="s">
        <v>544</v>
      </c>
      <c r="E61" s="1317">
        <v>66</v>
      </c>
      <c r="F61" s="1317">
        <v>70</v>
      </c>
      <c r="G61" s="1317">
        <v>72</v>
      </c>
      <c r="H61" s="1317">
        <v>75</v>
      </c>
      <c r="I61" s="1317">
        <v>78</v>
      </c>
      <c r="J61" s="1317">
        <v>87</v>
      </c>
      <c r="K61" s="1317">
        <v>90</v>
      </c>
      <c r="L61" s="1317">
        <v>98</v>
      </c>
      <c r="M61" s="1317">
        <v>112</v>
      </c>
    </row>
    <row r="62" spans="1:13" ht="15" x14ac:dyDescent="0.2">
      <c r="A62" s="6463"/>
      <c r="B62" s="6465"/>
      <c r="C62" s="6460"/>
      <c r="D62" s="1314" t="s">
        <v>545</v>
      </c>
      <c r="E62" s="1317">
        <v>100</v>
      </c>
      <c r="F62" s="1317">
        <v>109</v>
      </c>
      <c r="G62" s="1317">
        <v>117</v>
      </c>
      <c r="H62" s="1317">
        <v>132</v>
      </c>
      <c r="I62" s="1317">
        <v>141</v>
      </c>
      <c r="J62" s="1317">
        <v>147</v>
      </c>
      <c r="K62" s="1317">
        <v>153</v>
      </c>
      <c r="L62" s="1317">
        <v>163</v>
      </c>
      <c r="M62" s="1317">
        <v>171</v>
      </c>
    </row>
    <row r="63" spans="1:13" ht="15" x14ac:dyDescent="0.2">
      <c r="A63" s="6463"/>
      <c r="B63" s="6465"/>
      <c r="C63" s="6460"/>
      <c r="D63" s="1314" t="s">
        <v>546</v>
      </c>
      <c r="E63" s="1317">
        <v>67</v>
      </c>
      <c r="F63" s="1317">
        <v>83</v>
      </c>
      <c r="G63" s="1317">
        <v>91</v>
      </c>
      <c r="H63" s="1317">
        <v>96</v>
      </c>
      <c r="I63" s="1317">
        <v>112</v>
      </c>
      <c r="J63" s="1317">
        <v>121</v>
      </c>
      <c r="K63" s="1317">
        <v>130</v>
      </c>
      <c r="L63" s="1317">
        <v>136</v>
      </c>
      <c r="M63" s="1317">
        <v>140</v>
      </c>
    </row>
    <row r="64" spans="1:13" ht="15" x14ac:dyDescent="0.2">
      <c r="A64" s="6463"/>
      <c r="B64" s="6465"/>
      <c r="C64" s="6460"/>
      <c r="D64" s="1314" t="s">
        <v>547</v>
      </c>
      <c r="E64" s="1317"/>
      <c r="F64" s="1317"/>
      <c r="G64" s="1317">
        <v>14</v>
      </c>
      <c r="H64" s="1317">
        <v>21</v>
      </c>
      <c r="I64" s="1317">
        <v>35</v>
      </c>
      <c r="J64" s="1317">
        <v>44</v>
      </c>
      <c r="K64" s="1317">
        <v>50</v>
      </c>
      <c r="L64" s="1317">
        <v>57</v>
      </c>
      <c r="M64" s="1317">
        <v>68</v>
      </c>
    </row>
    <row r="65" spans="1:13" ht="15" x14ac:dyDescent="0.2">
      <c r="A65" s="6463"/>
      <c r="B65" s="6465"/>
      <c r="C65" s="6460"/>
      <c r="D65" s="1314" t="s">
        <v>68</v>
      </c>
      <c r="E65" s="1317">
        <v>13</v>
      </c>
      <c r="F65" s="1317">
        <v>17</v>
      </c>
      <c r="G65" s="1317">
        <v>17</v>
      </c>
      <c r="H65" s="1317">
        <v>17</v>
      </c>
      <c r="I65" s="1317">
        <v>17</v>
      </c>
      <c r="J65" s="1317">
        <v>17</v>
      </c>
      <c r="K65" s="1317">
        <v>17</v>
      </c>
      <c r="L65" s="1317">
        <v>17</v>
      </c>
      <c r="M65" s="1317">
        <v>17</v>
      </c>
    </row>
    <row r="66" spans="1:13" ht="15" x14ac:dyDescent="0.2">
      <c r="A66" s="6463"/>
      <c r="B66" s="6465"/>
      <c r="C66" s="6461"/>
      <c r="D66" s="1314" t="s">
        <v>761</v>
      </c>
      <c r="E66" s="1317"/>
      <c r="F66" s="1317"/>
      <c r="G66" s="1317"/>
      <c r="H66" s="1317"/>
      <c r="I66" s="1317"/>
      <c r="J66" s="1317"/>
      <c r="K66" s="1317">
        <v>7</v>
      </c>
      <c r="L66" s="1317">
        <v>13</v>
      </c>
      <c r="M66" s="1317">
        <v>24</v>
      </c>
    </row>
    <row r="67" spans="1:13" ht="15" x14ac:dyDescent="0.2">
      <c r="A67" s="6463"/>
      <c r="B67" s="6465"/>
      <c r="C67" s="6470" t="s">
        <v>28</v>
      </c>
      <c r="D67" s="5500" t="s">
        <v>404</v>
      </c>
      <c r="E67" s="1317">
        <v>291</v>
      </c>
      <c r="F67" s="1317">
        <v>303</v>
      </c>
      <c r="G67" s="1317">
        <v>303</v>
      </c>
      <c r="H67" s="1317">
        <v>303</v>
      </c>
      <c r="I67" s="1317">
        <v>303</v>
      </c>
      <c r="J67" s="1317">
        <v>303</v>
      </c>
      <c r="K67" s="1317">
        <v>302</v>
      </c>
      <c r="L67" s="1317">
        <v>302</v>
      </c>
      <c r="M67" s="1317">
        <v>302</v>
      </c>
    </row>
    <row r="68" spans="1:13" ht="15" x14ac:dyDescent="0.2">
      <c r="A68" s="6463"/>
      <c r="B68" s="6465"/>
      <c r="C68" s="6460"/>
      <c r="D68" s="1314" t="s">
        <v>542</v>
      </c>
      <c r="E68" s="1317">
        <v>21</v>
      </c>
      <c r="F68" s="1317">
        <v>22</v>
      </c>
      <c r="G68" s="1317">
        <v>26</v>
      </c>
      <c r="H68" s="1317">
        <v>28</v>
      </c>
      <c r="I68" s="1317">
        <v>31</v>
      </c>
      <c r="J68" s="1317">
        <v>38</v>
      </c>
      <c r="K68" s="1317">
        <v>40</v>
      </c>
      <c r="L68" s="1317">
        <v>43</v>
      </c>
      <c r="M68" s="1317">
        <v>43</v>
      </c>
    </row>
    <row r="69" spans="1:13" ht="15" x14ac:dyDescent="0.2">
      <c r="A69" s="6463"/>
      <c r="B69" s="6465"/>
      <c r="C69" s="6460"/>
      <c r="D69" s="1314" t="s">
        <v>543</v>
      </c>
      <c r="E69" s="1317">
        <v>12</v>
      </c>
      <c r="F69" s="1317">
        <v>16</v>
      </c>
      <c r="G69" s="1317">
        <v>18</v>
      </c>
      <c r="H69" s="1317">
        <v>24</v>
      </c>
      <c r="I69" s="1317">
        <v>31</v>
      </c>
      <c r="J69" s="1317">
        <v>34</v>
      </c>
      <c r="K69" s="1317">
        <v>37</v>
      </c>
      <c r="L69" s="1317">
        <v>46</v>
      </c>
      <c r="M69" s="1317">
        <v>52</v>
      </c>
    </row>
    <row r="70" spans="1:13" ht="15" x14ac:dyDescent="0.2">
      <c r="A70" s="6463"/>
      <c r="B70" s="6465"/>
      <c r="C70" s="6460"/>
      <c r="D70" s="1314" t="s">
        <v>544</v>
      </c>
      <c r="E70" s="1317">
        <v>58</v>
      </c>
      <c r="F70" s="1317">
        <v>65</v>
      </c>
      <c r="G70" s="1317">
        <v>79</v>
      </c>
      <c r="H70" s="1317">
        <v>84</v>
      </c>
      <c r="I70" s="1317">
        <v>91</v>
      </c>
      <c r="J70" s="1317">
        <v>107</v>
      </c>
      <c r="K70" s="1317">
        <v>119</v>
      </c>
      <c r="L70" s="1317">
        <v>130</v>
      </c>
      <c r="M70" s="1317">
        <v>146</v>
      </c>
    </row>
    <row r="71" spans="1:13" ht="15" x14ac:dyDescent="0.2">
      <c r="A71" s="6463"/>
      <c r="B71" s="6465"/>
      <c r="C71" s="6460"/>
      <c r="D71" s="1314" t="s">
        <v>545</v>
      </c>
      <c r="E71" s="1317">
        <v>26</v>
      </c>
      <c r="F71" s="1317">
        <v>34</v>
      </c>
      <c r="G71" s="1317">
        <v>37</v>
      </c>
      <c r="H71" s="1317">
        <v>43</v>
      </c>
      <c r="I71" s="1317">
        <v>49</v>
      </c>
      <c r="J71" s="1317">
        <v>54</v>
      </c>
      <c r="K71" s="1317">
        <v>57</v>
      </c>
      <c r="L71" s="1317">
        <v>66</v>
      </c>
      <c r="M71" s="1317">
        <v>70</v>
      </c>
    </row>
    <row r="72" spans="1:13" ht="15" x14ac:dyDescent="0.2">
      <c r="A72" s="6463"/>
      <c r="B72" s="6465"/>
      <c r="C72" s="6460"/>
      <c r="D72" s="1314" t="s">
        <v>546</v>
      </c>
      <c r="E72" s="1317">
        <v>10</v>
      </c>
      <c r="F72" s="1317">
        <v>13</v>
      </c>
      <c r="G72" s="1317">
        <v>13</v>
      </c>
      <c r="H72" s="1317">
        <v>15</v>
      </c>
      <c r="I72" s="1317">
        <v>16</v>
      </c>
      <c r="J72" s="1317">
        <v>20</v>
      </c>
      <c r="K72" s="1317">
        <v>23</v>
      </c>
      <c r="L72" s="1317">
        <v>26</v>
      </c>
      <c r="M72" s="1317">
        <v>32</v>
      </c>
    </row>
    <row r="73" spans="1:13" ht="15" x14ac:dyDescent="0.2">
      <c r="A73" s="6463"/>
      <c r="B73" s="6465"/>
      <c r="C73" s="6469"/>
      <c r="D73" s="1314" t="s">
        <v>547</v>
      </c>
      <c r="E73" s="4247"/>
      <c r="F73" s="4247"/>
      <c r="G73" s="4247"/>
      <c r="H73" s="4247"/>
      <c r="I73" s="4247"/>
      <c r="J73" s="4247"/>
      <c r="K73" s="4247"/>
      <c r="L73" s="4247">
        <v>2</v>
      </c>
      <c r="M73" s="4247">
        <v>7</v>
      </c>
    </row>
    <row r="74" spans="1:13" ht="15" x14ac:dyDescent="0.2">
      <c r="A74" s="6463"/>
      <c r="B74" s="6466"/>
      <c r="C74" s="5056"/>
      <c r="D74" s="1318" t="s">
        <v>160</v>
      </c>
      <c r="E74" s="1319">
        <f t="shared" ref="E74:J74" si="4">SUM(E53:E72)</f>
        <v>1181</v>
      </c>
      <c r="F74" s="1319">
        <f t="shared" si="4"/>
        <v>1269</v>
      </c>
      <c r="G74" s="1319">
        <f t="shared" si="4"/>
        <v>1337</v>
      </c>
      <c r="H74" s="1319">
        <f t="shared" si="4"/>
        <v>1404</v>
      </c>
      <c r="I74" s="1319">
        <f t="shared" si="4"/>
        <v>1492</v>
      </c>
      <c r="J74" s="1319">
        <f t="shared" si="4"/>
        <v>1585</v>
      </c>
      <c r="K74" s="1319">
        <f>SUM(K53:K72)</f>
        <v>1659</v>
      </c>
      <c r="L74" s="1319">
        <f>SUM(L53:L73)</f>
        <v>1758</v>
      </c>
      <c r="M74" s="1319">
        <f>SUM(M53:M73)</f>
        <v>1876</v>
      </c>
    </row>
    <row r="75" spans="1:13" ht="15" x14ac:dyDescent="0.2">
      <c r="A75" s="6463"/>
      <c r="B75" s="6467" t="s">
        <v>6</v>
      </c>
      <c r="C75" s="5059" t="s">
        <v>26</v>
      </c>
      <c r="D75" s="1315" t="s">
        <v>78</v>
      </c>
      <c r="E75" s="1320">
        <v>350</v>
      </c>
      <c r="F75" s="1320">
        <v>374</v>
      </c>
      <c r="G75" s="1320">
        <v>487</v>
      </c>
      <c r="H75" s="1320">
        <v>595</v>
      </c>
      <c r="I75" s="1320">
        <v>612</v>
      </c>
      <c r="J75" s="1320">
        <v>635</v>
      </c>
      <c r="K75" s="1320">
        <v>651</v>
      </c>
      <c r="L75" s="1320">
        <v>701</v>
      </c>
      <c r="M75" s="1320">
        <v>717</v>
      </c>
    </row>
    <row r="76" spans="1:13" ht="15" x14ac:dyDescent="0.2">
      <c r="A76" s="6463"/>
      <c r="B76" s="6465"/>
      <c r="C76" s="6468" t="s">
        <v>27</v>
      </c>
      <c r="D76" s="5500" t="s">
        <v>548</v>
      </c>
      <c r="E76" s="1317">
        <v>80</v>
      </c>
      <c r="F76" s="1317">
        <v>80</v>
      </c>
      <c r="G76" s="1317">
        <v>80</v>
      </c>
      <c r="H76" s="1317">
        <v>80</v>
      </c>
      <c r="I76" s="1317">
        <v>80</v>
      </c>
      <c r="J76" s="1317">
        <v>80</v>
      </c>
      <c r="K76" s="1317">
        <v>80</v>
      </c>
      <c r="L76" s="1317">
        <v>80</v>
      </c>
      <c r="M76" s="1317">
        <v>80</v>
      </c>
    </row>
    <row r="77" spans="1:13" ht="15" x14ac:dyDescent="0.2">
      <c r="A77" s="6463"/>
      <c r="B77" s="6465"/>
      <c r="C77" s="6460"/>
      <c r="D77" s="5500" t="s">
        <v>381</v>
      </c>
      <c r="E77" s="1317">
        <v>52</v>
      </c>
      <c r="F77" s="1317">
        <v>52</v>
      </c>
      <c r="G77" s="1317">
        <v>53</v>
      </c>
      <c r="H77" s="1317">
        <v>53</v>
      </c>
      <c r="I77" s="1317">
        <v>53</v>
      </c>
      <c r="J77" s="1317">
        <v>53</v>
      </c>
      <c r="K77" s="1317">
        <v>53</v>
      </c>
      <c r="L77" s="1317">
        <v>53</v>
      </c>
      <c r="M77" s="1317">
        <v>53</v>
      </c>
    </row>
    <row r="78" spans="1:13" ht="15" x14ac:dyDescent="0.2">
      <c r="A78" s="6463"/>
      <c r="B78" s="6465"/>
      <c r="C78" s="6460"/>
      <c r="D78" s="5500" t="s">
        <v>405</v>
      </c>
      <c r="E78" s="1317">
        <v>35</v>
      </c>
      <c r="F78" s="1317">
        <v>38</v>
      </c>
      <c r="G78" s="1317">
        <v>38</v>
      </c>
      <c r="H78" s="1317">
        <v>38</v>
      </c>
      <c r="I78" s="1317">
        <v>38</v>
      </c>
      <c r="J78" s="1317">
        <v>38</v>
      </c>
      <c r="K78" s="1317">
        <v>38</v>
      </c>
      <c r="L78" s="1317">
        <v>38</v>
      </c>
      <c r="M78" s="1317">
        <v>38</v>
      </c>
    </row>
    <row r="79" spans="1:13" ht="15" x14ac:dyDescent="0.2">
      <c r="A79" s="6463"/>
      <c r="B79" s="6465"/>
      <c r="C79" s="6460"/>
      <c r="D79" s="1314" t="s">
        <v>80</v>
      </c>
      <c r="E79" s="1317">
        <v>215</v>
      </c>
      <c r="F79" s="1317">
        <v>217</v>
      </c>
      <c r="G79" s="1317">
        <v>232</v>
      </c>
      <c r="H79" s="1317">
        <v>225</v>
      </c>
      <c r="I79" s="1317">
        <v>225</v>
      </c>
      <c r="J79" s="1317">
        <v>241</v>
      </c>
      <c r="K79" s="1317">
        <v>241</v>
      </c>
      <c r="L79" s="1317">
        <v>259</v>
      </c>
      <c r="M79" s="1317">
        <v>263</v>
      </c>
    </row>
    <row r="80" spans="1:13" ht="15" x14ac:dyDescent="0.2">
      <c r="A80" s="6463"/>
      <c r="B80" s="6465"/>
      <c r="C80" s="6460"/>
      <c r="D80" s="1314" t="s">
        <v>81</v>
      </c>
      <c r="E80" s="1317">
        <v>74</v>
      </c>
      <c r="F80" s="1317">
        <v>91</v>
      </c>
      <c r="G80" s="1317">
        <v>100</v>
      </c>
      <c r="H80" s="1317">
        <v>109</v>
      </c>
      <c r="I80" s="1317">
        <v>115</v>
      </c>
      <c r="J80" s="1317">
        <v>128</v>
      </c>
      <c r="K80" s="1317">
        <v>130</v>
      </c>
      <c r="L80" s="1317">
        <v>138</v>
      </c>
      <c r="M80" s="1317">
        <v>166</v>
      </c>
    </row>
    <row r="81" spans="1:13" ht="15" x14ac:dyDescent="0.2">
      <c r="A81" s="6463"/>
      <c r="B81" s="6465"/>
      <c r="C81" s="6460"/>
      <c r="D81" s="1314" t="s">
        <v>79</v>
      </c>
      <c r="E81" s="1317">
        <v>129</v>
      </c>
      <c r="F81" s="1317">
        <v>154</v>
      </c>
      <c r="G81" s="1317">
        <v>211</v>
      </c>
      <c r="H81" s="1317">
        <v>229</v>
      </c>
      <c r="I81" s="1317">
        <v>270</v>
      </c>
      <c r="J81" s="1317">
        <v>314</v>
      </c>
      <c r="K81" s="1317">
        <v>328</v>
      </c>
      <c r="L81" s="1317">
        <v>373</v>
      </c>
      <c r="M81" s="1317">
        <v>389</v>
      </c>
    </row>
    <row r="82" spans="1:13" ht="15" x14ac:dyDescent="0.2">
      <c r="A82" s="6463"/>
      <c r="B82" s="6465"/>
      <c r="C82" s="6460"/>
      <c r="D82" s="1314" t="s">
        <v>82</v>
      </c>
      <c r="E82" s="1317">
        <v>101</v>
      </c>
      <c r="F82" s="1317">
        <v>125</v>
      </c>
      <c r="G82" s="1317">
        <v>137</v>
      </c>
      <c r="H82" s="1317">
        <v>163</v>
      </c>
      <c r="I82" s="1317">
        <v>169</v>
      </c>
      <c r="J82" s="1317">
        <v>192</v>
      </c>
      <c r="K82" s="1317">
        <v>196</v>
      </c>
      <c r="L82" s="1317">
        <v>213</v>
      </c>
      <c r="M82" s="1317">
        <v>219</v>
      </c>
    </row>
    <row r="83" spans="1:13" ht="15" x14ac:dyDescent="0.2">
      <c r="A83" s="6463"/>
      <c r="B83" s="6465"/>
      <c r="C83" s="6461"/>
      <c r="D83" s="1314" t="s">
        <v>139</v>
      </c>
      <c r="E83" s="1317">
        <v>23</v>
      </c>
      <c r="F83" s="1317">
        <v>25</v>
      </c>
      <c r="G83" s="1317">
        <v>41</v>
      </c>
      <c r="H83" s="1317">
        <v>44</v>
      </c>
      <c r="I83" s="1317">
        <v>61</v>
      </c>
      <c r="J83" s="1317">
        <v>83</v>
      </c>
      <c r="K83" s="1317">
        <v>92</v>
      </c>
      <c r="L83" s="1317">
        <v>102</v>
      </c>
      <c r="M83" s="1317">
        <v>103</v>
      </c>
    </row>
    <row r="84" spans="1:13" ht="15" x14ac:dyDescent="0.2">
      <c r="A84" s="6463"/>
      <c r="B84" s="6465"/>
      <c r="C84" s="6468" t="s">
        <v>28</v>
      </c>
      <c r="D84" s="4248" t="s">
        <v>143</v>
      </c>
      <c r="E84" s="1317">
        <v>19</v>
      </c>
      <c r="F84" s="1317">
        <v>19</v>
      </c>
      <c r="G84" s="1317">
        <v>19</v>
      </c>
      <c r="H84" s="1317">
        <v>19</v>
      </c>
      <c r="I84" s="1317">
        <v>19</v>
      </c>
      <c r="J84" s="1317">
        <v>19</v>
      </c>
      <c r="K84" s="1317">
        <v>19</v>
      </c>
      <c r="L84" s="1317">
        <v>19</v>
      </c>
      <c r="M84" s="1317">
        <v>19</v>
      </c>
    </row>
    <row r="85" spans="1:13" ht="15" x14ac:dyDescent="0.2">
      <c r="A85" s="6463"/>
      <c r="B85" s="6465"/>
      <c r="C85" s="6460"/>
      <c r="D85" s="1314" t="s">
        <v>84</v>
      </c>
      <c r="E85" s="1317">
        <v>102</v>
      </c>
      <c r="F85" s="1317">
        <v>114</v>
      </c>
      <c r="G85" s="1317">
        <v>127</v>
      </c>
      <c r="H85" s="1317">
        <v>140</v>
      </c>
      <c r="I85" s="1317">
        <v>150</v>
      </c>
      <c r="J85" s="1317">
        <v>161</v>
      </c>
      <c r="K85" s="1317">
        <v>170</v>
      </c>
      <c r="L85" s="1317">
        <v>183</v>
      </c>
      <c r="M85" s="1317">
        <v>189</v>
      </c>
    </row>
    <row r="86" spans="1:13" ht="15" x14ac:dyDescent="0.2">
      <c r="A86" s="6463"/>
      <c r="B86" s="6465"/>
      <c r="C86" s="6460"/>
      <c r="D86" s="1314" t="s">
        <v>85</v>
      </c>
      <c r="E86" s="1317">
        <v>123</v>
      </c>
      <c r="F86" s="1317">
        <v>131</v>
      </c>
      <c r="G86" s="1317">
        <v>147</v>
      </c>
      <c r="H86" s="1317">
        <v>150</v>
      </c>
      <c r="I86" s="1317">
        <v>161</v>
      </c>
      <c r="J86" s="1317">
        <v>187</v>
      </c>
      <c r="K86" s="1317">
        <v>196</v>
      </c>
      <c r="L86" s="1317">
        <v>209</v>
      </c>
      <c r="M86" s="1317">
        <v>214</v>
      </c>
    </row>
    <row r="87" spans="1:13" ht="15" x14ac:dyDescent="0.2">
      <c r="A87" s="6463"/>
      <c r="B87" s="6465"/>
      <c r="C87" s="6460"/>
      <c r="D87" s="1314" t="s">
        <v>83</v>
      </c>
      <c r="E87" s="1317">
        <v>61</v>
      </c>
      <c r="F87" s="1317">
        <v>73</v>
      </c>
      <c r="G87" s="1317">
        <v>90</v>
      </c>
      <c r="H87" s="1317">
        <v>108</v>
      </c>
      <c r="I87" s="1317">
        <v>135</v>
      </c>
      <c r="J87" s="1317">
        <v>160</v>
      </c>
      <c r="K87" s="1317">
        <v>177</v>
      </c>
      <c r="L87" s="1317">
        <v>202</v>
      </c>
      <c r="M87" s="1317">
        <v>218</v>
      </c>
    </row>
    <row r="88" spans="1:13" ht="15" x14ac:dyDescent="0.2">
      <c r="A88" s="6463"/>
      <c r="B88" s="6465"/>
      <c r="C88" s="6460"/>
      <c r="D88" s="1314" t="s">
        <v>86</v>
      </c>
      <c r="E88" s="1317">
        <v>57</v>
      </c>
      <c r="F88" s="1317">
        <v>68</v>
      </c>
      <c r="G88" s="1317">
        <v>80</v>
      </c>
      <c r="H88" s="1317">
        <v>94</v>
      </c>
      <c r="I88" s="1317">
        <v>101</v>
      </c>
      <c r="J88" s="1317">
        <v>112</v>
      </c>
      <c r="K88" s="1317">
        <v>115</v>
      </c>
      <c r="L88" s="1317">
        <v>130</v>
      </c>
      <c r="M88" s="1317">
        <v>138</v>
      </c>
    </row>
    <row r="89" spans="1:13" ht="15" x14ac:dyDescent="0.2">
      <c r="A89" s="6463"/>
      <c r="B89" s="6465"/>
      <c r="C89" s="6469"/>
      <c r="D89" s="5067" t="s">
        <v>1396</v>
      </c>
      <c r="E89" s="1317">
        <v>5</v>
      </c>
      <c r="F89" s="1317">
        <v>6</v>
      </c>
      <c r="G89" s="1317">
        <v>9</v>
      </c>
      <c r="H89" s="1317">
        <v>10</v>
      </c>
      <c r="I89" s="1317">
        <v>13</v>
      </c>
      <c r="J89" s="1317">
        <v>16</v>
      </c>
      <c r="K89" s="1317">
        <v>19</v>
      </c>
      <c r="L89" s="1317">
        <v>23</v>
      </c>
      <c r="M89" s="1317">
        <v>35</v>
      </c>
    </row>
    <row r="90" spans="1:13" ht="15" x14ac:dyDescent="0.2">
      <c r="A90" s="6463"/>
      <c r="B90" s="6466"/>
      <c r="C90" s="5056"/>
      <c r="D90" s="1318" t="s">
        <v>160</v>
      </c>
      <c r="E90" s="1319">
        <f t="shared" ref="E90:K90" si="5">SUM(E75:E89)</f>
        <v>1426</v>
      </c>
      <c r="F90" s="1319">
        <f t="shared" si="5"/>
        <v>1567</v>
      </c>
      <c r="G90" s="1319">
        <f t="shared" si="5"/>
        <v>1851</v>
      </c>
      <c r="H90" s="1319">
        <f t="shared" si="5"/>
        <v>2057</v>
      </c>
      <c r="I90" s="1319">
        <f t="shared" si="5"/>
        <v>2202</v>
      </c>
      <c r="J90" s="1319">
        <f t="shared" si="5"/>
        <v>2419</v>
      </c>
      <c r="K90" s="1319">
        <f t="shared" si="5"/>
        <v>2505</v>
      </c>
      <c r="L90" s="1319">
        <f>SUM(L75:L89)</f>
        <v>2723</v>
      </c>
      <c r="M90" s="1319">
        <f>SUM(M75:M89)</f>
        <v>2841</v>
      </c>
    </row>
    <row r="91" spans="1:13" ht="15" x14ac:dyDescent="0.2">
      <c r="A91" s="6463"/>
      <c r="B91" s="6467" t="s">
        <v>11</v>
      </c>
      <c r="C91" s="6468" t="s">
        <v>26</v>
      </c>
      <c r="D91" s="1315" t="s">
        <v>56</v>
      </c>
      <c r="E91" s="1320">
        <v>85</v>
      </c>
      <c r="F91" s="1320">
        <v>103</v>
      </c>
      <c r="G91" s="1320">
        <v>123</v>
      </c>
      <c r="H91" s="1320">
        <v>138</v>
      </c>
      <c r="I91" s="1320">
        <v>164</v>
      </c>
      <c r="J91" s="1320">
        <v>170</v>
      </c>
      <c r="K91" s="1320">
        <v>183</v>
      </c>
      <c r="L91" s="1320">
        <v>197</v>
      </c>
      <c r="M91" s="1320">
        <v>211</v>
      </c>
    </row>
    <row r="92" spans="1:13" ht="15" x14ac:dyDescent="0.2">
      <c r="A92" s="6463"/>
      <c r="B92" s="6465"/>
      <c r="C92" s="6460"/>
      <c r="D92" s="1314" t="s">
        <v>57</v>
      </c>
      <c r="E92" s="1317">
        <v>67</v>
      </c>
      <c r="F92" s="1317">
        <v>71</v>
      </c>
      <c r="G92" s="1317">
        <v>73</v>
      </c>
      <c r="H92" s="1317">
        <v>75</v>
      </c>
      <c r="I92" s="1317">
        <v>78</v>
      </c>
      <c r="J92" s="1317">
        <v>84</v>
      </c>
      <c r="K92" s="1317">
        <v>91</v>
      </c>
      <c r="L92" s="1317">
        <v>98</v>
      </c>
      <c r="M92" s="1317">
        <v>100</v>
      </c>
    </row>
    <row r="93" spans="1:13" ht="15" x14ac:dyDescent="0.2">
      <c r="A93" s="6463"/>
      <c r="B93" s="6465"/>
      <c r="C93" s="6468" t="s">
        <v>27</v>
      </c>
      <c r="D93" s="1314" t="s">
        <v>549</v>
      </c>
      <c r="E93" s="1317">
        <v>90</v>
      </c>
      <c r="F93" s="1317">
        <v>90</v>
      </c>
      <c r="G93" s="1317">
        <v>90</v>
      </c>
      <c r="H93" s="1317">
        <v>90</v>
      </c>
      <c r="I93" s="1317">
        <v>90</v>
      </c>
      <c r="J93" s="1317">
        <v>90</v>
      </c>
      <c r="K93" s="1317">
        <v>90</v>
      </c>
      <c r="L93" s="1317">
        <v>90</v>
      </c>
      <c r="M93" s="1317">
        <v>89</v>
      </c>
    </row>
    <row r="94" spans="1:13" ht="15" x14ac:dyDescent="0.2">
      <c r="A94" s="6463"/>
      <c r="B94" s="6465"/>
      <c r="C94" s="6460"/>
      <c r="D94" s="1314" t="s">
        <v>384</v>
      </c>
      <c r="E94" s="1317">
        <v>57</v>
      </c>
      <c r="F94" s="1317">
        <v>59</v>
      </c>
      <c r="G94" s="1317">
        <v>59</v>
      </c>
      <c r="H94" s="1317">
        <v>59</v>
      </c>
      <c r="I94" s="1317">
        <v>59</v>
      </c>
      <c r="J94" s="1317">
        <v>71</v>
      </c>
      <c r="K94" s="1317">
        <v>77</v>
      </c>
      <c r="L94" s="1317">
        <v>90</v>
      </c>
      <c r="M94" s="1317">
        <v>101</v>
      </c>
    </row>
    <row r="95" spans="1:13" ht="15" x14ac:dyDescent="0.2">
      <c r="A95" s="6463"/>
      <c r="B95" s="6465"/>
      <c r="C95" s="6460"/>
      <c r="D95" s="1314" t="s">
        <v>550</v>
      </c>
      <c r="E95" s="1317">
        <v>22</v>
      </c>
      <c r="F95" s="1317">
        <v>22</v>
      </c>
      <c r="G95" s="1317">
        <v>22</v>
      </c>
      <c r="H95" s="1317">
        <v>22</v>
      </c>
      <c r="I95" s="1317">
        <v>22</v>
      </c>
      <c r="J95" s="1317">
        <v>22</v>
      </c>
      <c r="K95" s="1317">
        <v>22</v>
      </c>
      <c r="L95" s="1317">
        <v>22</v>
      </c>
      <c r="M95" s="1317">
        <v>22</v>
      </c>
    </row>
    <row r="96" spans="1:13" ht="15" x14ac:dyDescent="0.2">
      <c r="A96" s="6463"/>
      <c r="B96" s="6465"/>
      <c r="C96" s="6460"/>
      <c r="D96" s="1314" t="s">
        <v>551</v>
      </c>
      <c r="E96" s="1317">
        <v>202</v>
      </c>
      <c r="F96" s="1317">
        <v>224</v>
      </c>
      <c r="G96" s="1317">
        <v>240</v>
      </c>
      <c r="H96" s="1317">
        <v>252</v>
      </c>
      <c r="I96" s="1317">
        <v>274</v>
      </c>
      <c r="J96" s="1317">
        <v>287</v>
      </c>
      <c r="K96" s="1317">
        <v>308</v>
      </c>
      <c r="L96" s="1317">
        <v>332</v>
      </c>
      <c r="M96" s="1317">
        <v>346</v>
      </c>
    </row>
    <row r="97" spans="1:13" ht="15" x14ac:dyDescent="0.2">
      <c r="A97" s="6463"/>
      <c r="B97" s="6465"/>
      <c r="C97" s="6460"/>
      <c r="D97" s="1314" t="s">
        <v>552</v>
      </c>
      <c r="E97" s="1317">
        <v>76</v>
      </c>
      <c r="F97" s="1317">
        <v>89</v>
      </c>
      <c r="G97" s="1317">
        <v>108</v>
      </c>
      <c r="H97" s="1317">
        <v>130</v>
      </c>
      <c r="I97" s="1317">
        <v>148</v>
      </c>
      <c r="J97" s="1317">
        <v>167</v>
      </c>
      <c r="K97" s="1317">
        <v>181</v>
      </c>
      <c r="L97" s="1317">
        <v>197</v>
      </c>
      <c r="M97" s="1317">
        <v>207</v>
      </c>
    </row>
    <row r="98" spans="1:13" ht="15" x14ac:dyDescent="0.2">
      <c r="A98" s="6463"/>
      <c r="B98" s="6465"/>
      <c r="C98" s="6461"/>
      <c r="D98" s="1314" t="s">
        <v>87</v>
      </c>
      <c r="E98" s="1317">
        <v>54</v>
      </c>
      <c r="F98" s="1317">
        <v>63</v>
      </c>
      <c r="G98" s="1317">
        <v>77</v>
      </c>
      <c r="H98" s="1317">
        <v>83</v>
      </c>
      <c r="I98" s="1317">
        <v>95</v>
      </c>
      <c r="J98" s="1317">
        <v>114</v>
      </c>
      <c r="K98" s="1317">
        <v>132</v>
      </c>
      <c r="L98" s="1317">
        <v>157</v>
      </c>
      <c r="M98" s="1317">
        <v>171</v>
      </c>
    </row>
    <row r="99" spans="1:13" ht="15" x14ac:dyDescent="0.2">
      <c r="A99" s="6463"/>
      <c r="B99" s="6465"/>
      <c r="C99" s="6468" t="s">
        <v>28</v>
      </c>
      <c r="D99" s="1314" t="s">
        <v>551</v>
      </c>
      <c r="E99" s="1317">
        <v>71</v>
      </c>
      <c r="F99" s="1317">
        <v>87</v>
      </c>
      <c r="G99" s="1317">
        <v>107</v>
      </c>
      <c r="H99" s="1317">
        <v>123</v>
      </c>
      <c r="I99" s="1317">
        <v>135</v>
      </c>
      <c r="J99" s="1317">
        <v>157</v>
      </c>
      <c r="K99" s="1317">
        <v>171</v>
      </c>
      <c r="L99" s="1317">
        <v>185</v>
      </c>
      <c r="M99" s="1317">
        <v>200</v>
      </c>
    </row>
    <row r="100" spans="1:13" ht="15" x14ac:dyDescent="0.2">
      <c r="A100" s="6463"/>
      <c r="B100" s="6465"/>
      <c r="C100" s="6460"/>
      <c r="D100" s="1314" t="s">
        <v>387</v>
      </c>
      <c r="E100" s="1317">
        <v>133</v>
      </c>
      <c r="F100" s="1317">
        <v>141</v>
      </c>
      <c r="G100" s="1317">
        <v>141</v>
      </c>
      <c r="H100" s="1317">
        <v>141</v>
      </c>
      <c r="I100" s="1317">
        <v>141</v>
      </c>
      <c r="J100" s="1317">
        <v>141</v>
      </c>
      <c r="K100" s="1317">
        <v>141</v>
      </c>
      <c r="L100" s="1317">
        <v>141</v>
      </c>
      <c r="M100" s="1317">
        <v>141</v>
      </c>
    </row>
    <row r="101" spans="1:13" ht="15" x14ac:dyDescent="0.2">
      <c r="A101" s="6463"/>
      <c r="B101" s="6465"/>
      <c r="C101" s="6460"/>
      <c r="D101" s="1314" t="s">
        <v>359</v>
      </c>
      <c r="E101" s="1317"/>
      <c r="F101" s="1317"/>
      <c r="G101" s="1317">
        <v>9</v>
      </c>
      <c r="H101" s="1317">
        <v>17</v>
      </c>
      <c r="I101" s="1317">
        <v>28</v>
      </c>
      <c r="J101" s="1317">
        <v>36</v>
      </c>
      <c r="K101" s="1317">
        <v>47</v>
      </c>
      <c r="L101" s="1317">
        <v>54</v>
      </c>
      <c r="M101" s="1317">
        <v>58</v>
      </c>
    </row>
    <row r="102" spans="1:13" ht="15" x14ac:dyDescent="0.2">
      <c r="A102" s="6463"/>
      <c r="B102" s="6465"/>
      <c r="C102" s="6469"/>
      <c r="D102" s="1314" t="s">
        <v>552</v>
      </c>
      <c r="E102" s="1317">
        <v>23</v>
      </c>
      <c r="F102" s="1317">
        <v>27</v>
      </c>
      <c r="G102" s="1317">
        <v>31</v>
      </c>
      <c r="H102" s="1317">
        <v>40</v>
      </c>
      <c r="I102" s="1317">
        <v>48</v>
      </c>
      <c r="J102" s="1317">
        <v>56</v>
      </c>
      <c r="K102" s="1317">
        <v>70</v>
      </c>
      <c r="L102" s="1317">
        <v>82</v>
      </c>
      <c r="M102" s="1317">
        <v>97</v>
      </c>
    </row>
    <row r="103" spans="1:13" ht="15" x14ac:dyDescent="0.2">
      <c r="A103" s="6463"/>
      <c r="B103" s="6466"/>
      <c r="C103" s="5060"/>
      <c r="D103" s="1318" t="s">
        <v>160</v>
      </c>
      <c r="E103" s="1319">
        <f t="shared" ref="E103:J103" si="6">SUM(E91:E102)</f>
        <v>880</v>
      </c>
      <c r="F103" s="1319">
        <f t="shared" si="6"/>
        <v>976</v>
      </c>
      <c r="G103" s="1319">
        <f t="shared" si="6"/>
        <v>1080</v>
      </c>
      <c r="H103" s="1319">
        <f t="shared" si="6"/>
        <v>1170</v>
      </c>
      <c r="I103" s="1319">
        <f t="shared" si="6"/>
        <v>1282</v>
      </c>
      <c r="J103" s="1319">
        <f t="shared" si="6"/>
        <v>1395</v>
      </c>
      <c r="K103" s="1319">
        <f>SUM(K91:K102)</f>
        <v>1513</v>
      </c>
      <c r="L103" s="1319">
        <f>SUM(L91:L102)</f>
        <v>1645</v>
      </c>
      <c r="M103" s="1319">
        <f>SUM(M91:M102)</f>
        <v>1743</v>
      </c>
    </row>
    <row r="104" spans="1:13" ht="15" x14ac:dyDescent="0.2">
      <c r="A104" s="6464"/>
      <c r="B104" s="4750"/>
      <c r="C104" s="5061"/>
      <c r="D104" s="4725" t="s">
        <v>524</v>
      </c>
      <c r="E104" s="4751">
        <f t="shared" ref="E104:K104" si="7">SUM(E103,E90,E74)</f>
        <v>3487</v>
      </c>
      <c r="F104" s="4751">
        <f t="shared" si="7"/>
        <v>3812</v>
      </c>
      <c r="G104" s="4751">
        <f t="shared" si="7"/>
        <v>4268</v>
      </c>
      <c r="H104" s="4751">
        <f t="shared" si="7"/>
        <v>4631</v>
      </c>
      <c r="I104" s="4751">
        <f t="shared" si="7"/>
        <v>4976</v>
      </c>
      <c r="J104" s="4751">
        <f t="shared" si="7"/>
        <v>5399</v>
      </c>
      <c r="K104" s="4751">
        <f t="shared" si="7"/>
        <v>5677</v>
      </c>
      <c r="L104" s="4751">
        <f>SUM(L103,L90,L74)</f>
        <v>6126</v>
      </c>
      <c r="M104" s="4751">
        <f>SUM(M103,M90,M74)</f>
        <v>6460</v>
      </c>
    </row>
    <row r="105" spans="1:13" ht="15" x14ac:dyDescent="0.2">
      <c r="A105" s="6472" t="s">
        <v>10</v>
      </c>
      <c r="B105" s="6475" t="s">
        <v>6</v>
      </c>
      <c r="C105" s="6460" t="s">
        <v>26</v>
      </c>
      <c r="D105" s="1315" t="s">
        <v>58</v>
      </c>
      <c r="E105" s="1320">
        <v>151</v>
      </c>
      <c r="F105" s="1320">
        <v>152</v>
      </c>
      <c r="G105" s="1320">
        <v>169</v>
      </c>
      <c r="H105" s="1320">
        <v>170</v>
      </c>
      <c r="I105" s="1320">
        <v>170</v>
      </c>
      <c r="J105" s="1320">
        <v>170</v>
      </c>
      <c r="K105" s="1320">
        <v>170</v>
      </c>
      <c r="L105" s="1320">
        <v>170</v>
      </c>
      <c r="M105" s="1320">
        <v>170</v>
      </c>
    </row>
    <row r="106" spans="1:13" ht="15" x14ac:dyDescent="0.2">
      <c r="A106" s="6473"/>
      <c r="B106" s="6475"/>
      <c r="C106" s="6460"/>
      <c r="D106" s="1314" t="s">
        <v>388</v>
      </c>
      <c r="E106" s="1317">
        <v>101</v>
      </c>
      <c r="F106" s="1317">
        <v>141</v>
      </c>
      <c r="G106" s="1317">
        <v>143</v>
      </c>
      <c r="H106" s="1317">
        <v>142</v>
      </c>
      <c r="I106" s="1317">
        <v>180</v>
      </c>
      <c r="J106" s="1317">
        <v>209</v>
      </c>
      <c r="K106" s="1317">
        <v>210</v>
      </c>
      <c r="L106" s="1317">
        <v>211</v>
      </c>
      <c r="M106" s="1317">
        <v>245</v>
      </c>
    </row>
    <row r="107" spans="1:13" ht="15" x14ac:dyDescent="0.2">
      <c r="A107" s="6473"/>
      <c r="B107" s="6475"/>
      <c r="C107" s="6468" t="s">
        <v>27</v>
      </c>
      <c r="D107" s="5500" t="s">
        <v>553</v>
      </c>
      <c r="E107" s="1317">
        <v>84</v>
      </c>
      <c r="F107" s="1317">
        <v>84</v>
      </c>
      <c r="G107" s="1317">
        <v>85</v>
      </c>
      <c r="H107" s="1317">
        <v>85</v>
      </c>
      <c r="I107" s="1317">
        <v>85</v>
      </c>
      <c r="J107" s="1317">
        <v>85</v>
      </c>
      <c r="K107" s="1317">
        <v>85</v>
      </c>
      <c r="L107" s="1317">
        <v>85</v>
      </c>
      <c r="M107" s="1317">
        <v>86</v>
      </c>
    </row>
    <row r="108" spans="1:13" ht="15" x14ac:dyDescent="0.2">
      <c r="A108" s="6473"/>
      <c r="B108" s="6475"/>
      <c r="C108" s="6460"/>
      <c r="D108" s="1314" t="s">
        <v>389</v>
      </c>
      <c r="E108" s="1317">
        <v>115</v>
      </c>
      <c r="F108" s="1317">
        <v>115</v>
      </c>
      <c r="G108" s="1317">
        <v>115</v>
      </c>
      <c r="H108" s="1317">
        <v>115</v>
      </c>
      <c r="I108" s="1317">
        <v>115</v>
      </c>
      <c r="J108" s="1317">
        <v>115</v>
      </c>
      <c r="K108" s="1317">
        <v>115</v>
      </c>
      <c r="L108" s="1317">
        <v>115</v>
      </c>
      <c r="M108" s="1317">
        <v>283</v>
      </c>
    </row>
    <row r="109" spans="1:13" ht="15" x14ac:dyDescent="0.2">
      <c r="A109" s="6473"/>
      <c r="B109" s="6475"/>
      <c r="C109" s="6460"/>
      <c r="D109" s="1314" t="s">
        <v>390</v>
      </c>
      <c r="E109" s="1317">
        <v>55</v>
      </c>
      <c r="F109" s="1317">
        <v>67</v>
      </c>
      <c r="G109" s="1317">
        <v>76</v>
      </c>
      <c r="H109" s="1317">
        <v>90</v>
      </c>
      <c r="I109" s="1317">
        <v>108</v>
      </c>
      <c r="J109" s="1317">
        <v>113</v>
      </c>
      <c r="K109" s="1317">
        <v>121</v>
      </c>
      <c r="L109" s="1317">
        <v>137</v>
      </c>
      <c r="M109" s="1317">
        <v>143</v>
      </c>
    </row>
    <row r="110" spans="1:13" ht="15" x14ac:dyDescent="0.2">
      <c r="A110" s="6473"/>
      <c r="B110" s="6475"/>
      <c r="C110" s="6460"/>
      <c r="D110" s="4688" t="s">
        <v>1484</v>
      </c>
      <c r="E110" s="1317">
        <v>84</v>
      </c>
      <c r="F110" s="1317">
        <v>96</v>
      </c>
      <c r="G110" s="1317">
        <v>108</v>
      </c>
      <c r="H110" s="1317">
        <v>117</v>
      </c>
      <c r="I110" s="1317">
        <v>123</v>
      </c>
      <c r="J110" s="1317">
        <v>131</v>
      </c>
      <c r="K110" s="1317">
        <v>141</v>
      </c>
      <c r="L110" s="1317">
        <v>151</v>
      </c>
      <c r="M110" s="1317">
        <v>157</v>
      </c>
    </row>
    <row r="111" spans="1:13" ht="15" x14ac:dyDescent="0.2">
      <c r="A111" s="6473"/>
      <c r="B111" s="6475"/>
      <c r="C111" s="6460"/>
      <c r="D111" s="1314" t="s">
        <v>89</v>
      </c>
      <c r="E111" s="1317">
        <v>67</v>
      </c>
      <c r="F111" s="1317">
        <v>87</v>
      </c>
      <c r="G111" s="1317">
        <v>100</v>
      </c>
      <c r="H111" s="1317">
        <v>105</v>
      </c>
      <c r="I111" s="1317">
        <v>114</v>
      </c>
      <c r="J111" s="1317">
        <v>124</v>
      </c>
      <c r="K111" s="1317">
        <v>133</v>
      </c>
      <c r="L111" s="1317">
        <v>143</v>
      </c>
      <c r="M111" s="1317">
        <v>154</v>
      </c>
    </row>
    <row r="112" spans="1:13" ht="15" x14ac:dyDescent="0.2">
      <c r="A112" s="6473"/>
      <c r="B112" s="6475"/>
      <c r="C112" s="6460"/>
      <c r="D112" s="1314" t="s">
        <v>19</v>
      </c>
      <c r="E112" s="1317">
        <v>58</v>
      </c>
      <c r="F112" s="1317">
        <v>75</v>
      </c>
      <c r="G112" s="1317">
        <v>83</v>
      </c>
      <c r="H112" s="1317">
        <v>94</v>
      </c>
      <c r="I112" s="1317">
        <v>105</v>
      </c>
      <c r="J112" s="1317">
        <v>117</v>
      </c>
      <c r="K112" s="1317">
        <v>125</v>
      </c>
      <c r="L112" s="1317">
        <v>132</v>
      </c>
      <c r="M112" s="1317">
        <v>141</v>
      </c>
    </row>
    <row r="113" spans="1:13" ht="15" x14ac:dyDescent="0.2">
      <c r="A113" s="6473"/>
      <c r="B113" s="6475"/>
      <c r="C113" s="6460"/>
      <c r="D113" s="5500" t="s">
        <v>554</v>
      </c>
      <c r="E113" s="1317">
        <v>18</v>
      </c>
      <c r="F113" s="1317">
        <v>18</v>
      </c>
      <c r="G113" s="1317">
        <v>18</v>
      </c>
      <c r="H113" s="1317">
        <v>18</v>
      </c>
      <c r="I113" s="1317">
        <v>18</v>
      </c>
      <c r="J113" s="1317">
        <v>18</v>
      </c>
      <c r="K113" s="1317">
        <v>18</v>
      </c>
      <c r="L113" s="1317">
        <v>18</v>
      </c>
      <c r="M113" s="1317">
        <v>21</v>
      </c>
    </row>
    <row r="114" spans="1:13" ht="15" x14ac:dyDescent="0.2">
      <c r="A114" s="6473"/>
      <c r="B114" s="6475"/>
      <c r="C114" s="6460"/>
      <c r="D114" s="1314" t="s">
        <v>88</v>
      </c>
      <c r="E114" s="1317">
        <v>62</v>
      </c>
      <c r="F114" s="1317">
        <v>76</v>
      </c>
      <c r="G114" s="1317">
        <v>87</v>
      </c>
      <c r="H114" s="1317">
        <v>95</v>
      </c>
      <c r="I114" s="1317">
        <v>103</v>
      </c>
      <c r="J114" s="1317">
        <v>104</v>
      </c>
      <c r="K114" s="1317">
        <v>110</v>
      </c>
      <c r="L114" s="1317">
        <v>113</v>
      </c>
      <c r="M114" s="1317">
        <v>123</v>
      </c>
    </row>
    <row r="115" spans="1:13" ht="15" x14ac:dyDescent="0.2">
      <c r="A115" s="6473"/>
      <c r="B115" s="6475"/>
      <c r="C115" s="6460"/>
      <c r="D115" s="1314" t="s">
        <v>391</v>
      </c>
      <c r="E115" s="1317">
        <v>37</v>
      </c>
      <c r="F115" s="1317">
        <v>48</v>
      </c>
      <c r="G115" s="1317">
        <v>57</v>
      </c>
      <c r="H115" s="1317">
        <v>64</v>
      </c>
      <c r="I115" s="1317">
        <v>71</v>
      </c>
      <c r="J115" s="1317">
        <v>75</v>
      </c>
      <c r="K115" s="1317">
        <v>81</v>
      </c>
      <c r="L115" s="1317">
        <v>87</v>
      </c>
      <c r="M115" s="1317">
        <v>95</v>
      </c>
    </row>
    <row r="116" spans="1:13" ht="15" x14ac:dyDescent="0.2">
      <c r="A116" s="6473"/>
      <c r="B116" s="6475"/>
      <c r="C116" s="6460"/>
      <c r="D116" s="5489" t="s">
        <v>139</v>
      </c>
      <c r="E116" s="1317">
        <v>11</v>
      </c>
      <c r="F116" s="1317">
        <v>11</v>
      </c>
      <c r="G116" s="1317">
        <v>11</v>
      </c>
      <c r="H116" s="1317">
        <v>13</v>
      </c>
      <c r="I116" s="1317">
        <v>12</v>
      </c>
      <c r="J116" s="1317">
        <v>11</v>
      </c>
      <c r="K116" s="1317">
        <v>11</v>
      </c>
      <c r="L116" s="1317">
        <v>12</v>
      </c>
      <c r="M116" s="1317">
        <v>18</v>
      </c>
    </row>
    <row r="117" spans="1:13" ht="15" x14ac:dyDescent="0.2">
      <c r="A117" s="6473"/>
      <c r="B117" s="6475"/>
      <c r="C117" s="6460"/>
      <c r="D117" s="5489" t="s">
        <v>389</v>
      </c>
      <c r="E117" s="1317">
        <v>120</v>
      </c>
      <c r="F117" s="1317">
        <v>147</v>
      </c>
      <c r="G117" s="1317">
        <v>184</v>
      </c>
      <c r="H117" s="1317">
        <v>194</v>
      </c>
      <c r="I117" s="1317">
        <v>205</v>
      </c>
      <c r="J117" s="1317">
        <v>220</v>
      </c>
      <c r="K117" s="1317">
        <v>244</v>
      </c>
      <c r="L117" s="1317">
        <v>258</v>
      </c>
      <c r="M117" s="1317">
        <v>115</v>
      </c>
    </row>
    <row r="118" spans="1:13" ht="15" x14ac:dyDescent="0.2">
      <c r="A118" s="6473"/>
      <c r="B118" s="6475"/>
      <c r="C118" s="6461"/>
      <c r="D118" s="2729" t="s">
        <v>416</v>
      </c>
      <c r="E118" s="1317"/>
      <c r="F118" s="1317"/>
      <c r="G118" s="1317"/>
      <c r="H118" s="1317"/>
      <c r="I118" s="1317"/>
      <c r="J118" s="1317">
        <v>8</v>
      </c>
      <c r="K118" s="1317">
        <v>10</v>
      </c>
      <c r="L118" s="1317">
        <v>23</v>
      </c>
      <c r="M118" s="1317">
        <v>23</v>
      </c>
    </row>
    <row r="119" spans="1:13" ht="15" x14ac:dyDescent="0.2">
      <c r="A119" s="6473"/>
      <c r="B119" s="6475"/>
      <c r="C119" s="6468" t="s">
        <v>28</v>
      </c>
      <c r="D119" s="1314" t="s">
        <v>20</v>
      </c>
      <c r="E119" s="1317">
        <v>164</v>
      </c>
      <c r="F119" s="1317">
        <v>202</v>
      </c>
      <c r="G119" s="1317">
        <v>227</v>
      </c>
      <c r="H119" s="1317">
        <v>244</v>
      </c>
      <c r="I119" s="1317">
        <v>267</v>
      </c>
      <c r="J119" s="1317">
        <v>285</v>
      </c>
      <c r="K119" s="1317">
        <v>308</v>
      </c>
      <c r="L119" s="1317">
        <v>322</v>
      </c>
      <c r="M119" s="1317">
        <v>345</v>
      </c>
    </row>
    <row r="120" spans="1:13" ht="15" x14ac:dyDescent="0.2">
      <c r="A120" s="6473"/>
      <c r="B120" s="6475"/>
      <c r="C120" s="6460"/>
      <c r="D120" s="1314" t="s">
        <v>143</v>
      </c>
      <c r="E120" s="1317">
        <v>7</v>
      </c>
      <c r="F120" s="1317">
        <v>7</v>
      </c>
      <c r="G120" s="1317">
        <v>8</v>
      </c>
      <c r="H120" s="1317">
        <v>10</v>
      </c>
      <c r="I120" s="1317">
        <v>15</v>
      </c>
      <c r="J120" s="1317">
        <v>18</v>
      </c>
      <c r="K120" s="1317">
        <v>18</v>
      </c>
      <c r="L120" s="1317">
        <v>18</v>
      </c>
      <c r="M120" s="1317">
        <v>18</v>
      </c>
    </row>
    <row r="121" spans="1:13" ht="15" x14ac:dyDescent="0.2">
      <c r="A121" s="6473"/>
      <c r="B121" s="6475"/>
      <c r="C121" s="6460"/>
      <c r="D121" s="1314" t="s">
        <v>90</v>
      </c>
      <c r="E121" s="1317">
        <v>12</v>
      </c>
      <c r="F121" s="1317">
        <v>19</v>
      </c>
      <c r="G121" s="1317">
        <v>26</v>
      </c>
      <c r="H121" s="1317">
        <v>32</v>
      </c>
      <c r="I121" s="1317">
        <v>36</v>
      </c>
      <c r="J121" s="1317">
        <v>42</v>
      </c>
      <c r="K121" s="1317">
        <v>52</v>
      </c>
      <c r="L121" s="1317">
        <v>56</v>
      </c>
      <c r="M121" s="1317">
        <v>64</v>
      </c>
    </row>
    <row r="122" spans="1:13" ht="15" x14ac:dyDescent="0.2">
      <c r="A122" s="6473"/>
      <c r="B122" s="6476"/>
      <c r="C122" s="5062"/>
      <c r="D122" s="1318" t="s">
        <v>160</v>
      </c>
      <c r="E122" s="1319">
        <f t="shared" ref="E122:J122" si="8">SUM(E105:E121)</f>
        <v>1146</v>
      </c>
      <c r="F122" s="1319">
        <f t="shared" si="8"/>
        <v>1345</v>
      </c>
      <c r="G122" s="1319">
        <f t="shared" si="8"/>
        <v>1497</v>
      </c>
      <c r="H122" s="1319">
        <f t="shared" si="8"/>
        <v>1588</v>
      </c>
      <c r="I122" s="1319">
        <f t="shared" si="8"/>
        <v>1727</v>
      </c>
      <c r="J122" s="1319">
        <f t="shared" si="8"/>
        <v>1845</v>
      </c>
      <c r="K122" s="1319">
        <f>SUM(K105:K121)</f>
        <v>1952</v>
      </c>
      <c r="L122" s="1319">
        <f>SUM(L105:L121)</f>
        <v>2051</v>
      </c>
      <c r="M122" s="1319">
        <f>SUM(M105:M121)</f>
        <v>2201</v>
      </c>
    </row>
    <row r="123" spans="1:13" ht="15" x14ac:dyDescent="0.2">
      <c r="A123" s="6473"/>
      <c r="B123" s="6477" t="s">
        <v>11</v>
      </c>
      <c r="C123" s="6484" t="s">
        <v>26</v>
      </c>
      <c r="D123" s="1315" t="s">
        <v>91</v>
      </c>
      <c r="E123" s="1320">
        <v>84</v>
      </c>
      <c r="F123" s="1320">
        <v>84</v>
      </c>
      <c r="G123" s="1320">
        <v>87</v>
      </c>
      <c r="H123" s="1320">
        <v>87</v>
      </c>
      <c r="I123" s="1320">
        <v>87</v>
      </c>
      <c r="J123" s="1320">
        <v>88</v>
      </c>
      <c r="K123" s="1320">
        <v>94</v>
      </c>
      <c r="L123" s="1320">
        <v>97</v>
      </c>
      <c r="M123" s="1320">
        <v>99</v>
      </c>
    </row>
    <row r="124" spans="1:13" ht="15" x14ac:dyDescent="0.2">
      <c r="A124" s="6473"/>
      <c r="B124" s="6475"/>
      <c r="C124" s="6485"/>
      <c r="D124" s="5500" t="s">
        <v>394</v>
      </c>
      <c r="E124" s="1317">
        <v>76</v>
      </c>
      <c r="F124" s="1317">
        <v>76</v>
      </c>
      <c r="G124" s="1317">
        <v>76</v>
      </c>
      <c r="H124" s="1317">
        <v>76</v>
      </c>
      <c r="I124" s="1317">
        <v>76</v>
      </c>
      <c r="J124" s="1317">
        <v>76</v>
      </c>
      <c r="K124" s="1317">
        <v>76</v>
      </c>
      <c r="L124" s="1317">
        <v>76</v>
      </c>
      <c r="M124" s="1317">
        <v>76</v>
      </c>
    </row>
    <row r="125" spans="1:13" ht="15" x14ac:dyDescent="0.2">
      <c r="A125" s="6473"/>
      <c r="B125" s="6475"/>
      <c r="C125" s="6485"/>
      <c r="D125" s="1314" t="s">
        <v>392</v>
      </c>
      <c r="E125" s="1317">
        <v>45</v>
      </c>
      <c r="F125" s="1317">
        <v>45</v>
      </c>
      <c r="G125" s="1317">
        <v>45</v>
      </c>
      <c r="H125" s="1317">
        <v>45</v>
      </c>
      <c r="I125" s="1317">
        <v>45</v>
      </c>
      <c r="J125" s="1317">
        <v>55</v>
      </c>
      <c r="K125" s="1317">
        <v>45</v>
      </c>
      <c r="L125" s="1317">
        <v>40</v>
      </c>
      <c r="M125" s="1317">
        <v>45</v>
      </c>
    </row>
    <row r="126" spans="1:13" ht="15" x14ac:dyDescent="0.2">
      <c r="A126" s="6473"/>
      <c r="B126" s="6475"/>
      <c r="C126" s="6486"/>
      <c r="D126" s="5500" t="s">
        <v>555</v>
      </c>
      <c r="E126" s="1317">
        <v>15</v>
      </c>
      <c r="F126" s="1317">
        <v>20</v>
      </c>
      <c r="G126" s="1317">
        <v>22</v>
      </c>
      <c r="H126" s="1317">
        <v>30</v>
      </c>
      <c r="I126" s="1317">
        <v>30</v>
      </c>
      <c r="J126" s="1317">
        <v>30</v>
      </c>
      <c r="K126" s="1317">
        <v>40</v>
      </c>
      <c r="L126" s="1317">
        <v>45</v>
      </c>
      <c r="M126" s="1317">
        <v>40</v>
      </c>
    </row>
    <row r="127" spans="1:13" ht="15" x14ac:dyDescent="0.2">
      <c r="A127" s="6473"/>
      <c r="B127" s="6475"/>
      <c r="C127" s="6470" t="s">
        <v>27</v>
      </c>
      <c r="D127" s="1314" t="s">
        <v>94</v>
      </c>
      <c r="E127" s="1317">
        <v>158</v>
      </c>
      <c r="F127" s="1317">
        <v>168</v>
      </c>
      <c r="G127" s="1317">
        <v>168</v>
      </c>
      <c r="H127" s="1317">
        <v>169</v>
      </c>
      <c r="I127" s="1317">
        <v>172</v>
      </c>
      <c r="J127" s="1317">
        <v>174</v>
      </c>
      <c r="K127" s="1317">
        <v>181</v>
      </c>
      <c r="L127" s="1317">
        <v>190</v>
      </c>
      <c r="M127" s="1317">
        <v>201</v>
      </c>
    </row>
    <row r="128" spans="1:13" ht="15" x14ac:dyDescent="0.2">
      <c r="A128" s="6473"/>
      <c r="B128" s="6475"/>
      <c r="C128" s="6460"/>
      <c r="D128" s="1314" t="s">
        <v>93</v>
      </c>
      <c r="E128" s="1317">
        <v>105</v>
      </c>
      <c r="F128" s="1317">
        <v>117</v>
      </c>
      <c r="G128" s="1317">
        <v>138</v>
      </c>
      <c r="H128" s="1317">
        <v>148</v>
      </c>
      <c r="I128" s="1317">
        <v>167</v>
      </c>
      <c r="J128" s="1317">
        <v>171</v>
      </c>
      <c r="K128" s="1317">
        <v>181</v>
      </c>
      <c r="L128" s="1317">
        <v>191</v>
      </c>
      <c r="M128" s="1317">
        <v>205</v>
      </c>
    </row>
    <row r="129" spans="1:13" ht="15" x14ac:dyDescent="0.2">
      <c r="A129" s="6473"/>
      <c r="B129" s="6475"/>
      <c r="C129" s="6460"/>
      <c r="D129" s="1314" t="s">
        <v>395</v>
      </c>
      <c r="E129" s="1317">
        <v>64</v>
      </c>
      <c r="F129" s="1317">
        <v>75</v>
      </c>
      <c r="G129" s="1317">
        <v>79</v>
      </c>
      <c r="H129" s="1317">
        <v>84</v>
      </c>
      <c r="I129" s="1317">
        <v>93</v>
      </c>
      <c r="J129" s="1317">
        <v>96</v>
      </c>
      <c r="K129" s="1317">
        <v>104</v>
      </c>
      <c r="L129" s="1317">
        <v>104</v>
      </c>
      <c r="M129" s="1317">
        <v>117</v>
      </c>
    </row>
    <row r="130" spans="1:13" ht="15" x14ac:dyDescent="0.2">
      <c r="A130" s="6473"/>
      <c r="B130" s="6475"/>
      <c r="C130" s="6460"/>
      <c r="D130" s="1314" t="s">
        <v>556</v>
      </c>
      <c r="E130" s="1317">
        <v>11</v>
      </c>
      <c r="F130" s="1317">
        <v>13</v>
      </c>
      <c r="G130" s="1317">
        <v>13</v>
      </c>
      <c r="H130" s="1317">
        <v>14</v>
      </c>
      <c r="I130" s="1317">
        <v>14</v>
      </c>
      <c r="J130" s="1317">
        <v>19</v>
      </c>
      <c r="K130" s="1317">
        <v>19</v>
      </c>
      <c r="L130" s="1317">
        <v>20</v>
      </c>
      <c r="M130" s="1317">
        <v>24</v>
      </c>
    </row>
    <row r="131" spans="1:13" ht="15" x14ac:dyDescent="0.2">
      <c r="A131" s="6473"/>
      <c r="B131" s="6475"/>
      <c r="C131" s="6460"/>
      <c r="D131" s="1314" t="s">
        <v>95</v>
      </c>
      <c r="E131" s="1317">
        <v>60</v>
      </c>
      <c r="F131" s="1317">
        <v>69</v>
      </c>
      <c r="G131" s="1317">
        <v>89</v>
      </c>
      <c r="H131" s="1317">
        <v>98</v>
      </c>
      <c r="I131" s="1317">
        <v>110</v>
      </c>
      <c r="J131" s="1317">
        <v>123</v>
      </c>
      <c r="K131" s="1317">
        <v>136</v>
      </c>
      <c r="L131" s="1317">
        <v>148</v>
      </c>
      <c r="M131" s="1317">
        <v>157</v>
      </c>
    </row>
    <row r="132" spans="1:13" ht="15" x14ac:dyDescent="0.2">
      <c r="A132" s="6473"/>
      <c r="B132" s="6475"/>
      <c r="C132" s="6460"/>
      <c r="D132" s="1314" t="s">
        <v>529</v>
      </c>
      <c r="E132" s="1317"/>
      <c r="F132" s="1317"/>
      <c r="G132" s="1317">
        <v>4</v>
      </c>
      <c r="H132" s="1317">
        <v>4</v>
      </c>
      <c r="I132" s="1317">
        <v>10</v>
      </c>
      <c r="J132" s="1317">
        <v>10</v>
      </c>
      <c r="K132" s="1317">
        <v>15</v>
      </c>
      <c r="L132" s="1317">
        <v>17</v>
      </c>
      <c r="M132" s="1317">
        <v>23</v>
      </c>
    </row>
    <row r="133" spans="1:13" ht="15" x14ac:dyDescent="0.2">
      <c r="A133" s="6473"/>
      <c r="B133" s="6475"/>
      <c r="C133" s="6460"/>
      <c r="D133" s="1314" t="s">
        <v>92</v>
      </c>
      <c r="E133" s="1317">
        <v>56</v>
      </c>
      <c r="F133" s="1317">
        <v>69</v>
      </c>
      <c r="G133" s="1317">
        <v>84</v>
      </c>
      <c r="H133" s="1317">
        <v>90</v>
      </c>
      <c r="I133" s="1317">
        <v>104</v>
      </c>
      <c r="J133" s="1317">
        <v>126</v>
      </c>
      <c r="K133" s="1317">
        <v>147</v>
      </c>
      <c r="L133" s="1317">
        <v>165</v>
      </c>
      <c r="M133" s="1317">
        <v>182</v>
      </c>
    </row>
    <row r="134" spans="1:13" ht="15" x14ac:dyDescent="0.2">
      <c r="A134" s="6473"/>
      <c r="B134" s="6475"/>
      <c r="C134" s="6461"/>
      <c r="D134" s="1314" t="s">
        <v>1564</v>
      </c>
      <c r="E134" s="1317"/>
      <c r="F134" s="1317"/>
      <c r="G134" s="1317"/>
      <c r="H134" s="1317"/>
      <c r="I134" s="1317"/>
      <c r="J134" s="1317"/>
      <c r="K134" s="1317"/>
      <c r="L134" s="1317">
        <v>3</v>
      </c>
      <c r="M134" s="1317">
        <v>9</v>
      </c>
    </row>
    <row r="135" spans="1:13" ht="15" x14ac:dyDescent="0.2">
      <c r="A135" s="6473"/>
      <c r="B135" s="6475"/>
      <c r="C135" s="6468" t="s">
        <v>28</v>
      </c>
      <c r="D135" s="1314" t="s">
        <v>387</v>
      </c>
      <c r="E135" s="1317">
        <v>75</v>
      </c>
      <c r="F135" s="1317">
        <v>86</v>
      </c>
      <c r="G135" s="1317">
        <v>86</v>
      </c>
      <c r="H135" s="1317">
        <v>86</v>
      </c>
      <c r="I135" s="1317">
        <v>86</v>
      </c>
      <c r="J135" s="1317">
        <v>86</v>
      </c>
      <c r="K135" s="1317">
        <v>86</v>
      </c>
      <c r="L135" s="1317">
        <v>86</v>
      </c>
      <c r="M135" s="1317">
        <v>86</v>
      </c>
    </row>
    <row r="136" spans="1:13" ht="15" x14ac:dyDescent="0.2">
      <c r="A136" s="6473"/>
      <c r="B136" s="6475"/>
      <c r="C136" s="6460"/>
      <c r="D136" s="1314" t="s">
        <v>359</v>
      </c>
      <c r="E136" s="1317"/>
      <c r="F136" s="1317"/>
      <c r="G136" s="1317">
        <v>16</v>
      </c>
      <c r="H136" s="1317">
        <v>30</v>
      </c>
      <c r="I136" s="1317">
        <v>37</v>
      </c>
      <c r="J136" s="1317">
        <v>44</v>
      </c>
      <c r="K136" s="1317">
        <v>57</v>
      </c>
      <c r="L136" s="1317">
        <v>68</v>
      </c>
      <c r="M136" s="1317">
        <v>77</v>
      </c>
    </row>
    <row r="137" spans="1:13" ht="15" x14ac:dyDescent="0.2">
      <c r="A137" s="6473"/>
      <c r="B137" s="6475"/>
      <c r="C137" s="6460"/>
      <c r="D137" s="1314" t="s">
        <v>1565</v>
      </c>
      <c r="E137" s="1317"/>
      <c r="F137" s="1317"/>
      <c r="G137" s="1317"/>
      <c r="H137" s="1317"/>
      <c r="I137" s="1317"/>
      <c r="J137" s="1317"/>
      <c r="K137" s="1317"/>
      <c r="L137" s="1317">
        <v>1</v>
      </c>
      <c r="M137" s="1317">
        <v>5</v>
      </c>
    </row>
    <row r="138" spans="1:13" ht="15" x14ac:dyDescent="0.2">
      <c r="A138" s="6473"/>
      <c r="B138" s="6475"/>
      <c r="C138" s="6460"/>
      <c r="D138" s="1314" t="s">
        <v>96</v>
      </c>
      <c r="E138" s="1317">
        <v>10</v>
      </c>
      <c r="F138" s="1317">
        <v>14</v>
      </c>
      <c r="G138" s="1317">
        <v>20</v>
      </c>
      <c r="H138" s="1317">
        <v>23</v>
      </c>
      <c r="I138" s="1317">
        <v>31</v>
      </c>
      <c r="J138" s="1317">
        <v>37</v>
      </c>
      <c r="K138" s="1317">
        <v>40</v>
      </c>
      <c r="L138" s="1317">
        <v>48</v>
      </c>
      <c r="M138" s="1317">
        <v>53</v>
      </c>
    </row>
    <row r="139" spans="1:13" ht="15" x14ac:dyDescent="0.2">
      <c r="A139" s="6473"/>
      <c r="B139" s="6476"/>
      <c r="C139" s="5062"/>
      <c r="D139" s="1318" t="s">
        <v>160</v>
      </c>
      <c r="E139" s="1319">
        <f t="shared" ref="E139:L139" si="9">SUM(E123:E138)</f>
        <v>759</v>
      </c>
      <c r="F139" s="1319">
        <f t="shared" si="9"/>
        <v>836</v>
      </c>
      <c r="G139" s="1319">
        <f t="shared" si="9"/>
        <v>927</v>
      </c>
      <c r="H139" s="1319">
        <f t="shared" si="9"/>
        <v>984</v>
      </c>
      <c r="I139" s="1319">
        <f t="shared" si="9"/>
        <v>1062</v>
      </c>
      <c r="J139" s="1319">
        <f t="shared" si="9"/>
        <v>1135</v>
      </c>
      <c r="K139" s="1319">
        <f t="shared" si="9"/>
        <v>1221</v>
      </c>
      <c r="L139" s="1319">
        <f t="shared" si="9"/>
        <v>1299</v>
      </c>
      <c r="M139" s="1319">
        <f t="shared" ref="M139" si="10">SUM(M123:M138)</f>
        <v>1399</v>
      </c>
    </row>
    <row r="140" spans="1:13" ht="15" x14ac:dyDescent="0.2">
      <c r="A140" s="6473"/>
      <c r="B140" s="6477" t="s">
        <v>7</v>
      </c>
      <c r="C140" s="6487" t="s">
        <v>27</v>
      </c>
      <c r="D140" s="1315" t="s">
        <v>1</v>
      </c>
      <c r="E140" s="1320">
        <v>132</v>
      </c>
      <c r="F140" s="1320">
        <v>147</v>
      </c>
      <c r="G140" s="1320">
        <v>168</v>
      </c>
      <c r="H140" s="1320">
        <v>180</v>
      </c>
      <c r="I140" s="1320">
        <v>195</v>
      </c>
      <c r="J140" s="1320">
        <v>214</v>
      </c>
      <c r="K140" s="1320">
        <v>233</v>
      </c>
      <c r="L140" s="1320">
        <v>257</v>
      </c>
      <c r="M140" s="1320">
        <v>271</v>
      </c>
    </row>
    <row r="141" spans="1:13" ht="15" x14ac:dyDescent="0.2">
      <c r="A141" s="6473"/>
      <c r="B141" s="6475"/>
      <c r="C141" s="6487"/>
      <c r="D141" s="1314" t="s">
        <v>531</v>
      </c>
      <c r="E141" s="1317"/>
      <c r="F141" s="1317"/>
      <c r="G141" s="1317">
        <v>13</v>
      </c>
      <c r="H141" s="1317">
        <v>13</v>
      </c>
      <c r="I141" s="1317">
        <v>22</v>
      </c>
      <c r="J141" s="1317">
        <v>23</v>
      </c>
      <c r="K141" s="1317">
        <v>38</v>
      </c>
      <c r="L141" s="1317">
        <v>38</v>
      </c>
      <c r="M141" s="1317">
        <v>53</v>
      </c>
    </row>
    <row r="142" spans="1:13" ht="15" x14ac:dyDescent="0.2">
      <c r="A142" s="6473"/>
      <c r="B142" s="6475"/>
      <c r="C142" s="6488"/>
      <c r="D142" s="1314" t="s">
        <v>532</v>
      </c>
      <c r="E142" s="1317"/>
      <c r="F142" s="1317"/>
      <c r="G142" s="1317"/>
      <c r="H142" s="1317">
        <v>2</v>
      </c>
      <c r="I142" s="1317">
        <v>29</v>
      </c>
      <c r="J142" s="1317">
        <v>32</v>
      </c>
      <c r="K142" s="1317">
        <v>49</v>
      </c>
      <c r="L142" s="1317">
        <v>52</v>
      </c>
      <c r="M142" s="1317">
        <v>61</v>
      </c>
    </row>
    <row r="143" spans="1:13" ht="15" x14ac:dyDescent="0.2">
      <c r="A143" s="6473"/>
      <c r="B143" s="6475"/>
      <c r="C143" s="5055" t="s">
        <v>28</v>
      </c>
      <c r="D143" s="1314" t="s">
        <v>2</v>
      </c>
      <c r="E143" s="1317">
        <v>4</v>
      </c>
      <c r="F143" s="1317">
        <v>7</v>
      </c>
      <c r="G143" s="1317">
        <v>11</v>
      </c>
      <c r="H143" s="1317">
        <v>16</v>
      </c>
      <c r="I143" s="1317">
        <v>18</v>
      </c>
      <c r="J143" s="1317">
        <v>24</v>
      </c>
      <c r="K143" s="1317">
        <v>30</v>
      </c>
      <c r="L143" s="1317">
        <v>35</v>
      </c>
      <c r="M143" s="1317">
        <v>42</v>
      </c>
    </row>
    <row r="144" spans="1:13" ht="15" x14ac:dyDescent="0.2">
      <c r="A144" s="6473"/>
      <c r="B144" s="6476"/>
      <c r="C144" s="5062"/>
      <c r="D144" s="1318" t="s">
        <v>160</v>
      </c>
      <c r="E144" s="1319">
        <f t="shared" ref="E144:J144" si="11">SUM(E140:E143)</f>
        <v>136</v>
      </c>
      <c r="F144" s="1319">
        <f t="shared" si="11"/>
        <v>154</v>
      </c>
      <c r="G144" s="1319">
        <f t="shared" si="11"/>
        <v>192</v>
      </c>
      <c r="H144" s="1319">
        <f t="shared" si="11"/>
        <v>211</v>
      </c>
      <c r="I144" s="1319">
        <f t="shared" si="11"/>
        <v>264</v>
      </c>
      <c r="J144" s="1319">
        <f t="shared" si="11"/>
        <v>293</v>
      </c>
      <c r="K144" s="1319">
        <f>SUM(K140:K143)</f>
        <v>350</v>
      </c>
      <c r="L144" s="1319">
        <f>SUM(L140:L143)</f>
        <v>382</v>
      </c>
      <c r="M144" s="1319">
        <f>SUM(M140:M143)</f>
        <v>427</v>
      </c>
    </row>
    <row r="145" spans="1:13" ht="15" x14ac:dyDescent="0.2">
      <c r="A145" s="6474"/>
      <c r="B145" s="4752"/>
      <c r="C145" s="5063"/>
      <c r="D145" s="4726" t="s">
        <v>525</v>
      </c>
      <c r="E145" s="4753">
        <f t="shared" ref="E145:L145" si="12">SUM(E144,E139,E122)</f>
        <v>2041</v>
      </c>
      <c r="F145" s="4753">
        <f t="shared" si="12"/>
        <v>2335</v>
      </c>
      <c r="G145" s="4753">
        <f t="shared" si="12"/>
        <v>2616</v>
      </c>
      <c r="H145" s="4753">
        <f t="shared" si="12"/>
        <v>2783</v>
      </c>
      <c r="I145" s="4753">
        <f t="shared" si="12"/>
        <v>3053</v>
      </c>
      <c r="J145" s="4753">
        <f t="shared" si="12"/>
        <v>3273</v>
      </c>
      <c r="K145" s="4753">
        <f t="shared" si="12"/>
        <v>3523</v>
      </c>
      <c r="L145" s="4753">
        <f t="shared" si="12"/>
        <v>3732</v>
      </c>
      <c r="M145" s="4753">
        <f t="shared" ref="M145" si="13">SUM(M144,M139,M122)</f>
        <v>4027</v>
      </c>
    </row>
    <row r="146" spans="1:13" ht="15" customHeight="1" x14ac:dyDescent="0.2">
      <c r="A146" s="6481" t="s">
        <v>8</v>
      </c>
      <c r="B146" s="6478" t="s">
        <v>6</v>
      </c>
      <c r="C146" s="5064" t="s">
        <v>27</v>
      </c>
      <c r="D146" s="1314" t="s">
        <v>650</v>
      </c>
      <c r="E146" s="1317"/>
      <c r="F146" s="1317"/>
      <c r="G146" s="1317"/>
      <c r="H146" s="1317"/>
      <c r="I146" s="1317">
        <v>10</v>
      </c>
      <c r="J146" s="1317">
        <v>16</v>
      </c>
      <c r="K146" s="1317">
        <v>25</v>
      </c>
      <c r="L146" s="1317">
        <v>32</v>
      </c>
      <c r="M146" s="1317">
        <v>45</v>
      </c>
    </row>
    <row r="147" spans="1:13" ht="15" customHeight="1" x14ac:dyDescent="0.2">
      <c r="A147" s="6482"/>
      <c r="B147" s="6479"/>
      <c r="C147" s="5055" t="s">
        <v>28</v>
      </c>
      <c r="D147" s="1314" t="s">
        <v>650</v>
      </c>
      <c r="E147" s="1317"/>
      <c r="F147" s="1317"/>
      <c r="G147" s="1317"/>
      <c r="H147" s="1317"/>
      <c r="I147" s="1317"/>
      <c r="J147" s="1317">
        <v>2</v>
      </c>
      <c r="K147" s="1317">
        <v>3</v>
      </c>
      <c r="L147" s="1317">
        <v>8</v>
      </c>
      <c r="M147" s="1317">
        <v>17</v>
      </c>
    </row>
    <row r="148" spans="1:13" ht="15" customHeight="1" x14ac:dyDescent="0.2">
      <c r="A148" s="6482"/>
      <c r="B148" s="6479"/>
      <c r="C148" s="5065"/>
      <c r="D148" s="1318" t="s">
        <v>160</v>
      </c>
      <c r="E148" s="1319"/>
      <c r="F148" s="1668"/>
      <c r="G148" s="1319"/>
      <c r="H148" s="1668"/>
      <c r="I148" s="1319">
        <f>SUM(I146)</f>
        <v>10</v>
      </c>
      <c r="J148" s="1319">
        <f>SUM(J146:J147)</f>
        <v>18</v>
      </c>
      <c r="K148" s="1319">
        <f>SUM(K146:K147)</f>
        <v>28</v>
      </c>
      <c r="L148" s="1319">
        <f>SUM(L146:L147)</f>
        <v>40</v>
      </c>
      <c r="M148" s="1319">
        <f>SUM(M146:M147)</f>
        <v>62</v>
      </c>
    </row>
    <row r="149" spans="1:13" ht="15" customHeight="1" x14ac:dyDescent="0.2">
      <c r="A149" s="6482"/>
      <c r="B149" s="6478" t="s">
        <v>9</v>
      </c>
      <c r="C149" s="5064" t="s">
        <v>27</v>
      </c>
      <c r="D149" s="2733" t="s">
        <v>412</v>
      </c>
      <c r="E149" s="1667"/>
      <c r="F149"/>
      <c r="G149" s="1667"/>
      <c r="I149" s="1320"/>
      <c r="J149" s="1320">
        <v>8</v>
      </c>
      <c r="K149" s="1320">
        <v>21</v>
      </c>
      <c r="L149" s="1320">
        <v>39</v>
      </c>
      <c r="M149" s="1320">
        <v>49</v>
      </c>
    </row>
    <row r="150" spans="1:13" ht="15" customHeight="1" x14ac:dyDescent="0.2">
      <c r="A150" s="6482"/>
      <c r="B150" s="6480"/>
      <c r="C150" s="5065"/>
      <c r="D150" s="2730"/>
      <c r="E150" s="2731"/>
      <c r="F150" s="2732"/>
      <c r="G150" s="2731"/>
      <c r="H150" s="2732"/>
      <c r="I150" s="2731"/>
      <c r="J150" s="2731">
        <f>SUM(J149)</f>
        <v>8</v>
      </c>
      <c r="K150" s="2731">
        <f>SUM(K149)</f>
        <v>21</v>
      </c>
      <c r="L150" s="2731">
        <f>SUM(L149)</f>
        <v>39</v>
      </c>
      <c r="M150" s="2731">
        <f>SUM(M149)</f>
        <v>49</v>
      </c>
    </row>
    <row r="151" spans="1:13" ht="15" customHeight="1" x14ac:dyDescent="0.2">
      <c r="A151" s="6482"/>
      <c r="B151" s="6478" t="s">
        <v>74</v>
      </c>
      <c r="C151" s="5066" t="s">
        <v>26</v>
      </c>
      <c r="D151" s="1315" t="s">
        <v>623</v>
      </c>
      <c r="E151" s="1320"/>
      <c r="F151" s="1320"/>
      <c r="G151" s="1320"/>
      <c r="H151" s="1320"/>
      <c r="I151" s="1320">
        <v>2</v>
      </c>
      <c r="J151" s="1320">
        <v>4</v>
      </c>
      <c r="K151" s="1320">
        <v>6</v>
      </c>
      <c r="L151" s="1320">
        <v>8</v>
      </c>
      <c r="M151" s="1320">
        <v>9</v>
      </c>
    </row>
    <row r="152" spans="1:13" ht="15" customHeight="1" x14ac:dyDescent="0.2">
      <c r="A152" s="6482"/>
      <c r="B152" s="6479"/>
      <c r="C152" s="5064" t="s">
        <v>27</v>
      </c>
      <c r="D152" s="1314" t="s">
        <v>623</v>
      </c>
      <c r="E152" s="1317"/>
      <c r="F152" s="1317"/>
      <c r="G152" s="1317"/>
      <c r="H152" s="1317"/>
      <c r="I152" s="1317"/>
      <c r="J152" s="1317">
        <v>1</v>
      </c>
      <c r="K152" s="1317">
        <v>8</v>
      </c>
      <c r="L152" s="1317">
        <v>17</v>
      </c>
      <c r="M152" s="1317">
        <v>24</v>
      </c>
    </row>
    <row r="153" spans="1:13" ht="15" customHeight="1" x14ac:dyDescent="0.2">
      <c r="A153" s="6482"/>
      <c r="B153" s="6479"/>
      <c r="C153" s="6459" t="s">
        <v>28</v>
      </c>
      <c r="D153" s="1314" t="s">
        <v>623</v>
      </c>
      <c r="E153" s="1317"/>
      <c r="F153" s="1317"/>
      <c r="G153" s="1317"/>
      <c r="H153" s="1317"/>
      <c r="I153" s="1317"/>
      <c r="J153" s="1317"/>
      <c r="K153" s="1317">
        <v>1</v>
      </c>
      <c r="L153" s="1317">
        <v>1</v>
      </c>
      <c r="M153" s="1317">
        <v>3</v>
      </c>
    </row>
    <row r="154" spans="1:13" ht="15" customHeight="1" x14ac:dyDescent="0.2">
      <c r="A154" s="6482"/>
      <c r="B154" s="6479"/>
      <c r="C154" s="6460"/>
      <c r="D154" s="1314" t="s">
        <v>359</v>
      </c>
      <c r="E154" s="1317"/>
      <c r="F154" s="1317"/>
      <c r="G154" s="1317"/>
      <c r="H154" s="1317"/>
      <c r="I154" s="1317"/>
      <c r="J154" s="1317"/>
      <c r="K154" s="1317">
        <v>1</v>
      </c>
      <c r="L154" s="1317">
        <v>1</v>
      </c>
      <c r="M154" s="1317">
        <v>1</v>
      </c>
    </row>
    <row r="155" spans="1:13" ht="15" customHeight="1" x14ac:dyDescent="0.2">
      <c r="A155" s="6482"/>
      <c r="B155" s="6480"/>
      <c r="C155" s="5065"/>
      <c r="D155" s="1318" t="s">
        <v>160</v>
      </c>
      <c r="E155" s="1319"/>
      <c r="F155" s="1668"/>
      <c r="G155" s="1319"/>
      <c r="H155" s="1668"/>
      <c r="I155" s="1319">
        <f>SUM(I151)</f>
        <v>2</v>
      </c>
      <c r="J155" s="1319">
        <f>SUM(J151:J152)</f>
        <v>5</v>
      </c>
      <c r="K155" s="1319">
        <f>SUM(K151:K154)</f>
        <v>16</v>
      </c>
      <c r="L155" s="1319">
        <f>SUM(L151:L154)</f>
        <v>27</v>
      </c>
      <c r="M155" s="1319">
        <f>SUM(M151:M154)</f>
        <v>37</v>
      </c>
    </row>
    <row r="156" spans="1:13" ht="15" customHeight="1" x14ac:dyDescent="0.2">
      <c r="A156" s="6483"/>
      <c r="B156" s="4754"/>
      <c r="C156" s="4754"/>
      <c r="D156" s="4755" t="s">
        <v>526</v>
      </c>
      <c r="E156" s="4756"/>
      <c r="F156" s="4757"/>
      <c r="G156" s="4756"/>
      <c r="H156" s="4757"/>
      <c r="I156" s="4756">
        <f>SUM(I155,I148)</f>
        <v>12</v>
      </c>
      <c r="J156" s="4756">
        <f>SUM(J155,J150,J148)</f>
        <v>31</v>
      </c>
      <c r="K156" s="4756">
        <f>SUM(K155,K150,K148)</f>
        <v>65</v>
      </c>
      <c r="L156" s="4756">
        <f>SUM(L155,L150,L148)</f>
        <v>106</v>
      </c>
      <c r="M156" s="4756">
        <f>SUM(M155,M150,M148)</f>
        <v>148</v>
      </c>
    </row>
    <row r="157" spans="1:13" ht="15" customHeight="1" x14ac:dyDescent="0.25">
      <c r="A157" s="250"/>
      <c r="B157" s="262"/>
      <c r="C157" s="262"/>
      <c r="D157" s="262"/>
      <c r="E157" s="262"/>
      <c r="F157" s="262"/>
      <c r="G157" s="262"/>
      <c r="H157" s="262"/>
      <c r="I157" s="262"/>
      <c r="J157" s="262"/>
      <c r="K157" s="262"/>
      <c r="L157" s="262"/>
      <c r="M157" s="262"/>
    </row>
    <row r="158" spans="1:13" ht="15" customHeight="1" x14ac:dyDescent="0.2">
      <c r="A158" s="6369" t="s">
        <v>76</v>
      </c>
      <c r="B158" s="6471"/>
      <c r="C158" s="6471"/>
      <c r="D158" s="6370"/>
      <c r="E158" s="550">
        <f>SUM(E52,E104,E145)</f>
        <v>6749</v>
      </c>
      <c r="F158" s="550">
        <f>SUM(F52,F104,F145)</f>
        <v>7493</v>
      </c>
      <c r="G158" s="550">
        <f>SUM(G52,G104,G145)</f>
        <v>8408</v>
      </c>
      <c r="H158" s="550">
        <f>SUM(H52,H104,H145)</f>
        <v>9069</v>
      </c>
      <c r="I158" s="550">
        <f>SUM(I52,I104,I145,I156)</f>
        <v>9862</v>
      </c>
      <c r="J158" s="550">
        <f>SUM(J52,J104,J145,J156)</f>
        <v>10673</v>
      </c>
      <c r="K158" s="550">
        <f>SUM(K52,K104,K145,K156)</f>
        <v>11332</v>
      </c>
      <c r="L158" s="550">
        <f>SUM(L52,L104,L145,L156)</f>
        <v>12218</v>
      </c>
      <c r="M158" s="550">
        <f>SUM(M52,M104,M145,M156)</f>
        <v>13054</v>
      </c>
    </row>
    <row r="159" spans="1:13" x14ac:dyDescent="0.2">
      <c r="A159" s="240" t="s">
        <v>1571</v>
      </c>
    </row>
  </sheetData>
  <sheetProtection algorithmName="SHA-512" hashValue="Y5/rKUKmzh19YYYHcGFOWhj3/XFFRxFMWKN9eOo58rut/r5NKUw4C1u2y4OorNwGoH0uPr9Ks/LNwMgn/+2c5Q==" saltValue="wP6QTgys1OXpNhyGwHKDYg==" spinCount="100000" sheet="1" objects="1" scenarios="1"/>
  <mergeCells count="41">
    <mergeCell ref="A1:C1"/>
    <mergeCell ref="C27:C29"/>
    <mergeCell ref="C17:C19"/>
    <mergeCell ref="B4:B16"/>
    <mergeCell ref="B17:B30"/>
    <mergeCell ref="C5:C10"/>
    <mergeCell ref="C20:C26"/>
    <mergeCell ref="A4:A52"/>
    <mergeCell ref="B31:B51"/>
    <mergeCell ref="C31:C37"/>
    <mergeCell ref="C38:C44"/>
    <mergeCell ref="C45:C50"/>
    <mergeCell ref="C11:C15"/>
    <mergeCell ref="A158:D158"/>
    <mergeCell ref="A105:A145"/>
    <mergeCell ref="B105:B122"/>
    <mergeCell ref="B123:B139"/>
    <mergeCell ref="B146:B148"/>
    <mergeCell ref="B151:B155"/>
    <mergeCell ref="A146:A156"/>
    <mergeCell ref="C107:C118"/>
    <mergeCell ref="B149:B150"/>
    <mergeCell ref="C123:C126"/>
    <mergeCell ref="B140:B144"/>
    <mergeCell ref="C105:C106"/>
    <mergeCell ref="C140:C142"/>
    <mergeCell ref="C119:C121"/>
    <mergeCell ref="C135:C138"/>
    <mergeCell ref="C53:C66"/>
    <mergeCell ref="C153:C154"/>
    <mergeCell ref="A53:A104"/>
    <mergeCell ref="B53:B74"/>
    <mergeCell ref="B75:B90"/>
    <mergeCell ref="B91:B103"/>
    <mergeCell ref="C76:C83"/>
    <mergeCell ref="C84:C89"/>
    <mergeCell ref="C91:C92"/>
    <mergeCell ref="C93:C98"/>
    <mergeCell ref="C99:C102"/>
    <mergeCell ref="C67:C73"/>
    <mergeCell ref="C127:C134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orientation="landscape" r:id="rId1"/>
  <rowBreaks count="2" manualBreakCount="2">
    <brk id="52" max="16383" man="1"/>
    <brk id="104" max="16383" man="1"/>
  </rowBreaks>
  <ignoredErrors>
    <ignoredError sqref="E16:H16 I16:K16 L16" formulaRange="1"/>
  </ignoredError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AL76"/>
  <sheetViews>
    <sheetView showGridLines="0" zoomScaleNormal="100" zoomScaleSheetLayoutView="40" workbookViewId="0">
      <pane xSplit="2" ySplit="5" topLeftCell="O6" activePane="bottomRight" state="frozen"/>
      <selection sqref="A1:E1"/>
      <selection pane="topRight" sqref="A1:E1"/>
      <selection pane="bottomLeft" sqref="A1:E1"/>
      <selection pane="bottomRight" activeCell="AN105" sqref="AN105"/>
    </sheetView>
  </sheetViews>
  <sheetFormatPr baseColWidth="10" defaultRowHeight="12.75" x14ac:dyDescent="0.2"/>
  <cols>
    <col min="1" max="1" width="19.42578125" style="209" customWidth="1"/>
    <col min="2" max="2" width="10.85546875" style="209" customWidth="1"/>
    <col min="3" max="25" width="8.7109375" style="209" customWidth="1"/>
    <col min="26" max="26" width="9.85546875" style="209" customWidth="1"/>
    <col min="27" max="29" width="8.7109375" style="209" customWidth="1"/>
    <col min="30" max="30" width="9.85546875" style="209" customWidth="1"/>
    <col min="31" max="38" width="8.7109375" style="209" customWidth="1"/>
    <col min="39" max="249" width="11.42578125" style="209"/>
    <col min="250" max="250" width="1.28515625" style="209" customWidth="1"/>
    <col min="251" max="251" width="17.7109375" style="209" bestFit="1" customWidth="1"/>
    <col min="252" max="252" width="11.28515625" style="209" bestFit="1" customWidth="1"/>
    <col min="253" max="253" width="37.7109375" style="209" customWidth="1"/>
    <col min="254" max="254" width="15.42578125" style="209" customWidth="1"/>
    <col min="255" max="255" width="3" style="209" customWidth="1"/>
    <col min="256" max="505" width="11.42578125" style="209"/>
    <col min="506" max="506" width="1.28515625" style="209" customWidth="1"/>
    <col min="507" max="507" width="17.7109375" style="209" bestFit="1" customWidth="1"/>
    <col min="508" max="508" width="11.28515625" style="209" bestFit="1" customWidth="1"/>
    <col min="509" max="509" width="37.7109375" style="209" customWidth="1"/>
    <col min="510" max="510" width="15.42578125" style="209" customWidth="1"/>
    <col min="511" max="511" width="3" style="209" customWidth="1"/>
    <col min="512" max="761" width="11.42578125" style="209"/>
    <col min="762" max="762" width="1.28515625" style="209" customWidth="1"/>
    <col min="763" max="763" width="17.7109375" style="209" bestFit="1" customWidth="1"/>
    <col min="764" max="764" width="11.28515625" style="209" bestFit="1" customWidth="1"/>
    <col min="765" max="765" width="37.7109375" style="209" customWidth="1"/>
    <col min="766" max="766" width="15.42578125" style="209" customWidth="1"/>
    <col min="767" max="767" width="3" style="209" customWidth="1"/>
    <col min="768" max="1017" width="11.42578125" style="209"/>
    <col min="1018" max="1018" width="1.28515625" style="209" customWidth="1"/>
    <col min="1019" max="1019" width="17.7109375" style="209" bestFit="1" customWidth="1"/>
    <col min="1020" max="1020" width="11.28515625" style="209" bestFit="1" customWidth="1"/>
    <col min="1021" max="1021" width="37.7109375" style="209" customWidth="1"/>
    <col min="1022" max="1022" width="15.42578125" style="209" customWidth="1"/>
    <col min="1023" max="1023" width="3" style="209" customWidth="1"/>
    <col min="1024" max="1273" width="11.42578125" style="209"/>
    <col min="1274" max="1274" width="1.28515625" style="209" customWidth="1"/>
    <col min="1275" max="1275" width="17.7109375" style="209" bestFit="1" customWidth="1"/>
    <col min="1276" max="1276" width="11.28515625" style="209" bestFit="1" customWidth="1"/>
    <col min="1277" max="1277" width="37.7109375" style="209" customWidth="1"/>
    <col min="1278" max="1278" width="15.42578125" style="209" customWidth="1"/>
    <col min="1279" max="1279" width="3" style="209" customWidth="1"/>
    <col min="1280" max="1529" width="11.42578125" style="209"/>
    <col min="1530" max="1530" width="1.28515625" style="209" customWidth="1"/>
    <col min="1531" max="1531" width="17.7109375" style="209" bestFit="1" customWidth="1"/>
    <col min="1532" max="1532" width="11.28515625" style="209" bestFit="1" customWidth="1"/>
    <col min="1533" max="1533" width="37.7109375" style="209" customWidth="1"/>
    <col min="1534" max="1534" width="15.42578125" style="209" customWidth="1"/>
    <col min="1535" max="1535" width="3" style="209" customWidth="1"/>
    <col min="1536" max="1785" width="11.42578125" style="209"/>
    <col min="1786" max="1786" width="1.28515625" style="209" customWidth="1"/>
    <col min="1787" max="1787" width="17.7109375" style="209" bestFit="1" customWidth="1"/>
    <col min="1788" max="1788" width="11.28515625" style="209" bestFit="1" customWidth="1"/>
    <col min="1789" max="1789" width="37.7109375" style="209" customWidth="1"/>
    <col min="1790" max="1790" width="15.42578125" style="209" customWidth="1"/>
    <col min="1791" max="1791" width="3" style="209" customWidth="1"/>
    <col min="1792" max="2041" width="11.42578125" style="209"/>
    <col min="2042" max="2042" width="1.28515625" style="209" customWidth="1"/>
    <col min="2043" max="2043" width="17.7109375" style="209" bestFit="1" customWidth="1"/>
    <col min="2044" max="2044" width="11.28515625" style="209" bestFit="1" customWidth="1"/>
    <col min="2045" max="2045" width="37.7109375" style="209" customWidth="1"/>
    <col min="2046" max="2046" width="15.42578125" style="209" customWidth="1"/>
    <col min="2047" max="2047" width="3" style="209" customWidth="1"/>
    <col min="2048" max="2297" width="11.42578125" style="209"/>
    <col min="2298" max="2298" width="1.28515625" style="209" customWidth="1"/>
    <col min="2299" max="2299" width="17.7109375" style="209" bestFit="1" customWidth="1"/>
    <col min="2300" max="2300" width="11.28515625" style="209" bestFit="1" customWidth="1"/>
    <col min="2301" max="2301" width="37.7109375" style="209" customWidth="1"/>
    <col min="2302" max="2302" width="15.42578125" style="209" customWidth="1"/>
    <col min="2303" max="2303" width="3" style="209" customWidth="1"/>
    <col min="2304" max="2553" width="11.42578125" style="209"/>
    <col min="2554" max="2554" width="1.28515625" style="209" customWidth="1"/>
    <col min="2555" max="2555" width="17.7109375" style="209" bestFit="1" customWidth="1"/>
    <col min="2556" max="2556" width="11.28515625" style="209" bestFit="1" customWidth="1"/>
    <col min="2557" max="2557" width="37.7109375" style="209" customWidth="1"/>
    <col min="2558" max="2558" width="15.42578125" style="209" customWidth="1"/>
    <col min="2559" max="2559" width="3" style="209" customWidth="1"/>
    <col min="2560" max="2809" width="11.42578125" style="209"/>
    <col min="2810" max="2810" width="1.28515625" style="209" customWidth="1"/>
    <col min="2811" max="2811" width="17.7109375" style="209" bestFit="1" customWidth="1"/>
    <col min="2812" max="2812" width="11.28515625" style="209" bestFit="1" customWidth="1"/>
    <col min="2813" max="2813" width="37.7109375" style="209" customWidth="1"/>
    <col min="2814" max="2814" width="15.42578125" style="209" customWidth="1"/>
    <col min="2815" max="2815" width="3" style="209" customWidth="1"/>
    <col min="2816" max="3065" width="11.42578125" style="209"/>
    <col min="3066" max="3066" width="1.28515625" style="209" customWidth="1"/>
    <col min="3067" max="3067" width="17.7109375" style="209" bestFit="1" customWidth="1"/>
    <col min="3068" max="3068" width="11.28515625" style="209" bestFit="1" customWidth="1"/>
    <col min="3069" max="3069" width="37.7109375" style="209" customWidth="1"/>
    <col min="3070" max="3070" width="15.42578125" style="209" customWidth="1"/>
    <col min="3071" max="3071" width="3" style="209" customWidth="1"/>
    <col min="3072" max="3321" width="11.42578125" style="209"/>
    <col min="3322" max="3322" width="1.28515625" style="209" customWidth="1"/>
    <col min="3323" max="3323" width="17.7109375" style="209" bestFit="1" customWidth="1"/>
    <col min="3324" max="3324" width="11.28515625" style="209" bestFit="1" customWidth="1"/>
    <col min="3325" max="3325" width="37.7109375" style="209" customWidth="1"/>
    <col min="3326" max="3326" width="15.42578125" style="209" customWidth="1"/>
    <col min="3327" max="3327" width="3" style="209" customWidth="1"/>
    <col min="3328" max="3577" width="11.42578125" style="209"/>
    <col min="3578" max="3578" width="1.28515625" style="209" customWidth="1"/>
    <col min="3579" max="3579" width="17.7109375" style="209" bestFit="1" customWidth="1"/>
    <col min="3580" max="3580" width="11.28515625" style="209" bestFit="1" customWidth="1"/>
    <col min="3581" max="3581" width="37.7109375" style="209" customWidth="1"/>
    <col min="3582" max="3582" width="15.42578125" style="209" customWidth="1"/>
    <col min="3583" max="3583" width="3" style="209" customWidth="1"/>
    <col min="3584" max="3833" width="11.42578125" style="209"/>
    <col min="3834" max="3834" width="1.28515625" style="209" customWidth="1"/>
    <col min="3835" max="3835" width="17.7109375" style="209" bestFit="1" customWidth="1"/>
    <col min="3836" max="3836" width="11.28515625" style="209" bestFit="1" customWidth="1"/>
    <col min="3837" max="3837" width="37.7109375" style="209" customWidth="1"/>
    <col min="3838" max="3838" width="15.42578125" style="209" customWidth="1"/>
    <col min="3839" max="3839" width="3" style="209" customWidth="1"/>
    <col min="3840" max="4089" width="11.42578125" style="209"/>
    <col min="4090" max="4090" width="1.28515625" style="209" customWidth="1"/>
    <col min="4091" max="4091" width="17.7109375" style="209" bestFit="1" customWidth="1"/>
    <col min="4092" max="4092" width="11.28515625" style="209" bestFit="1" customWidth="1"/>
    <col min="4093" max="4093" width="37.7109375" style="209" customWidth="1"/>
    <col min="4094" max="4094" width="15.42578125" style="209" customWidth="1"/>
    <col min="4095" max="4095" width="3" style="209" customWidth="1"/>
    <col min="4096" max="4345" width="11.42578125" style="209"/>
    <col min="4346" max="4346" width="1.28515625" style="209" customWidth="1"/>
    <col min="4347" max="4347" width="17.7109375" style="209" bestFit="1" customWidth="1"/>
    <col min="4348" max="4348" width="11.28515625" style="209" bestFit="1" customWidth="1"/>
    <col min="4349" max="4349" width="37.7109375" style="209" customWidth="1"/>
    <col min="4350" max="4350" width="15.42578125" style="209" customWidth="1"/>
    <col min="4351" max="4351" width="3" style="209" customWidth="1"/>
    <col min="4352" max="4601" width="11.42578125" style="209"/>
    <col min="4602" max="4602" width="1.28515625" style="209" customWidth="1"/>
    <col min="4603" max="4603" width="17.7109375" style="209" bestFit="1" customWidth="1"/>
    <col min="4604" max="4604" width="11.28515625" style="209" bestFit="1" customWidth="1"/>
    <col min="4605" max="4605" width="37.7109375" style="209" customWidth="1"/>
    <col min="4606" max="4606" width="15.42578125" style="209" customWidth="1"/>
    <col min="4607" max="4607" width="3" style="209" customWidth="1"/>
    <col min="4608" max="4857" width="11.42578125" style="209"/>
    <col min="4858" max="4858" width="1.28515625" style="209" customWidth="1"/>
    <col min="4859" max="4859" width="17.7109375" style="209" bestFit="1" customWidth="1"/>
    <col min="4860" max="4860" width="11.28515625" style="209" bestFit="1" customWidth="1"/>
    <col min="4861" max="4861" width="37.7109375" style="209" customWidth="1"/>
    <col min="4862" max="4862" width="15.42578125" style="209" customWidth="1"/>
    <col min="4863" max="4863" width="3" style="209" customWidth="1"/>
    <col min="4864" max="5113" width="11.42578125" style="209"/>
    <col min="5114" max="5114" width="1.28515625" style="209" customWidth="1"/>
    <col min="5115" max="5115" width="17.7109375" style="209" bestFit="1" customWidth="1"/>
    <col min="5116" max="5116" width="11.28515625" style="209" bestFit="1" customWidth="1"/>
    <col min="5117" max="5117" width="37.7109375" style="209" customWidth="1"/>
    <col min="5118" max="5118" width="15.42578125" style="209" customWidth="1"/>
    <col min="5119" max="5119" width="3" style="209" customWidth="1"/>
    <col min="5120" max="5369" width="11.42578125" style="209"/>
    <col min="5370" max="5370" width="1.28515625" style="209" customWidth="1"/>
    <col min="5371" max="5371" width="17.7109375" style="209" bestFit="1" customWidth="1"/>
    <col min="5372" max="5372" width="11.28515625" style="209" bestFit="1" customWidth="1"/>
    <col min="5373" max="5373" width="37.7109375" style="209" customWidth="1"/>
    <col min="5374" max="5374" width="15.42578125" style="209" customWidth="1"/>
    <col min="5375" max="5375" width="3" style="209" customWidth="1"/>
    <col min="5376" max="5625" width="11.42578125" style="209"/>
    <col min="5626" max="5626" width="1.28515625" style="209" customWidth="1"/>
    <col min="5627" max="5627" width="17.7109375" style="209" bestFit="1" customWidth="1"/>
    <col min="5628" max="5628" width="11.28515625" style="209" bestFit="1" customWidth="1"/>
    <col min="5629" max="5629" width="37.7109375" style="209" customWidth="1"/>
    <col min="5630" max="5630" width="15.42578125" style="209" customWidth="1"/>
    <col min="5631" max="5631" width="3" style="209" customWidth="1"/>
    <col min="5632" max="5881" width="11.42578125" style="209"/>
    <col min="5882" max="5882" width="1.28515625" style="209" customWidth="1"/>
    <col min="5883" max="5883" width="17.7109375" style="209" bestFit="1" customWidth="1"/>
    <col min="5884" max="5884" width="11.28515625" style="209" bestFit="1" customWidth="1"/>
    <col min="5885" max="5885" width="37.7109375" style="209" customWidth="1"/>
    <col min="5886" max="5886" width="15.42578125" style="209" customWidth="1"/>
    <col min="5887" max="5887" width="3" style="209" customWidth="1"/>
    <col min="5888" max="6137" width="11.42578125" style="209"/>
    <col min="6138" max="6138" width="1.28515625" style="209" customWidth="1"/>
    <col min="6139" max="6139" width="17.7109375" style="209" bestFit="1" customWidth="1"/>
    <col min="6140" max="6140" width="11.28515625" style="209" bestFit="1" customWidth="1"/>
    <col min="6141" max="6141" width="37.7109375" style="209" customWidth="1"/>
    <col min="6142" max="6142" width="15.42578125" style="209" customWidth="1"/>
    <col min="6143" max="6143" width="3" style="209" customWidth="1"/>
    <col min="6144" max="6393" width="11.42578125" style="209"/>
    <col min="6394" max="6394" width="1.28515625" style="209" customWidth="1"/>
    <col min="6395" max="6395" width="17.7109375" style="209" bestFit="1" customWidth="1"/>
    <col min="6396" max="6396" width="11.28515625" style="209" bestFit="1" customWidth="1"/>
    <col min="6397" max="6397" width="37.7109375" style="209" customWidth="1"/>
    <col min="6398" max="6398" width="15.42578125" style="209" customWidth="1"/>
    <col min="6399" max="6399" width="3" style="209" customWidth="1"/>
    <col min="6400" max="6649" width="11.42578125" style="209"/>
    <col min="6650" max="6650" width="1.28515625" style="209" customWidth="1"/>
    <col min="6651" max="6651" width="17.7109375" style="209" bestFit="1" customWidth="1"/>
    <col min="6652" max="6652" width="11.28515625" style="209" bestFit="1" customWidth="1"/>
    <col min="6653" max="6653" width="37.7109375" style="209" customWidth="1"/>
    <col min="6654" max="6654" width="15.42578125" style="209" customWidth="1"/>
    <col min="6655" max="6655" width="3" style="209" customWidth="1"/>
    <col min="6656" max="6905" width="11.42578125" style="209"/>
    <col min="6906" max="6906" width="1.28515625" style="209" customWidth="1"/>
    <col min="6907" max="6907" width="17.7109375" style="209" bestFit="1" customWidth="1"/>
    <col min="6908" max="6908" width="11.28515625" style="209" bestFit="1" customWidth="1"/>
    <col min="6909" max="6909" width="37.7109375" style="209" customWidth="1"/>
    <col min="6910" max="6910" width="15.42578125" style="209" customWidth="1"/>
    <col min="6911" max="6911" width="3" style="209" customWidth="1"/>
    <col min="6912" max="7161" width="11.42578125" style="209"/>
    <col min="7162" max="7162" width="1.28515625" style="209" customWidth="1"/>
    <col min="7163" max="7163" width="17.7109375" style="209" bestFit="1" customWidth="1"/>
    <col min="7164" max="7164" width="11.28515625" style="209" bestFit="1" customWidth="1"/>
    <col min="7165" max="7165" width="37.7109375" style="209" customWidth="1"/>
    <col min="7166" max="7166" width="15.42578125" style="209" customWidth="1"/>
    <col min="7167" max="7167" width="3" style="209" customWidth="1"/>
    <col min="7168" max="7417" width="11.42578125" style="209"/>
    <col min="7418" max="7418" width="1.28515625" style="209" customWidth="1"/>
    <col min="7419" max="7419" width="17.7109375" style="209" bestFit="1" customWidth="1"/>
    <col min="7420" max="7420" width="11.28515625" style="209" bestFit="1" customWidth="1"/>
    <col min="7421" max="7421" width="37.7109375" style="209" customWidth="1"/>
    <col min="7422" max="7422" width="15.42578125" style="209" customWidth="1"/>
    <col min="7423" max="7423" width="3" style="209" customWidth="1"/>
    <col min="7424" max="7673" width="11.42578125" style="209"/>
    <col min="7674" max="7674" width="1.28515625" style="209" customWidth="1"/>
    <col min="7675" max="7675" width="17.7109375" style="209" bestFit="1" customWidth="1"/>
    <col min="7676" max="7676" width="11.28515625" style="209" bestFit="1" customWidth="1"/>
    <col min="7677" max="7677" width="37.7109375" style="209" customWidth="1"/>
    <col min="7678" max="7678" width="15.42578125" style="209" customWidth="1"/>
    <col min="7679" max="7679" width="3" style="209" customWidth="1"/>
    <col min="7680" max="7929" width="11.42578125" style="209"/>
    <col min="7930" max="7930" width="1.28515625" style="209" customWidth="1"/>
    <col min="7931" max="7931" width="17.7109375" style="209" bestFit="1" customWidth="1"/>
    <col min="7932" max="7932" width="11.28515625" style="209" bestFit="1" customWidth="1"/>
    <col min="7933" max="7933" width="37.7109375" style="209" customWidth="1"/>
    <col min="7934" max="7934" width="15.42578125" style="209" customWidth="1"/>
    <col min="7935" max="7935" width="3" style="209" customWidth="1"/>
    <col min="7936" max="8185" width="11.42578125" style="209"/>
    <col min="8186" max="8186" width="1.28515625" style="209" customWidth="1"/>
    <col min="8187" max="8187" width="17.7109375" style="209" bestFit="1" customWidth="1"/>
    <col min="8188" max="8188" width="11.28515625" style="209" bestFit="1" customWidth="1"/>
    <col min="8189" max="8189" width="37.7109375" style="209" customWidth="1"/>
    <col min="8190" max="8190" width="15.42578125" style="209" customWidth="1"/>
    <col min="8191" max="8191" width="3" style="209" customWidth="1"/>
    <col min="8192" max="8441" width="11.42578125" style="209"/>
    <col min="8442" max="8442" width="1.28515625" style="209" customWidth="1"/>
    <col min="8443" max="8443" width="17.7109375" style="209" bestFit="1" customWidth="1"/>
    <col min="8444" max="8444" width="11.28515625" style="209" bestFit="1" customWidth="1"/>
    <col min="8445" max="8445" width="37.7109375" style="209" customWidth="1"/>
    <col min="8446" max="8446" width="15.42578125" style="209" customWidth="1"/>
    <col min="8447" max="8447" width="3" style="209" customWidth="1"/>
    <col min="8448" max="8697" width="11.42578125" style="209"/>
    <col min="8698" max="8698" width="1.28515625" style="209" customWidth="1"/>
    <col min="8699" max="8699" width="17.7109375" style="209" bestFit="1" customWidth="1"/>
    <col min="8700" max="8700" width="11.28515625" style="209" bestFit="1" customWidth="1"/>
    <col min="8701" max="8701" width="37.7109375" style="209" customWidth="1"/>
    <col min="8702" max="8702" width="15.42578125" style="209" customWidth="1"/>
    <col min="8703" max="8703" width="3" style="209" customWidth="1"/>
    <col min="8704" max="8953" width="11.42578125" style="209"/>
    <col min="8954" max="8954" width="1.28515625" style="209" customWidth="1"/>
    <col min="8955" max="8955" width="17.7109375" style="209" bestFit="1" customWidth="1"/>
    <col min="8956" max="8956" width="11.28515625" style="209" bestFit="1" customWidth="1"/>
    <col min="8957" max="8957" width="37.7109375" style="209" customWidth="1"/>
    <col min="8958" max="8958" width="15.42578125" style="209" customWidth="1"/>
    <col min="8959" max="8959" width="3" style="209" customWidth="1"/>
    <col min="8960" max="9209" width="11.42578125" style="209"/>
    <col min="9210" max="9210" width="1.28515625" style="209" customWidth="1"/>
    <col min="9211" max="9211" width="17.7109375" style="209" bestFit="1" customWidth="1"/>
    <col min="9212" max="9212" width="11.28515625" style="209" bestFit="1" customWidth="1"/>
    <col min="9213" max="9213" width="37.7109375" style="209" customWidth="1"/>
    <col min="9214" max="9214" width="15.42578125" style="209" customWidth="1"/>
    <col min="9215" max="9215" width="3" style="209" customWidth="1"/>
    <col min="9216" max="9465" width="11.42578125" style="209"/>
    <col min="9466" max="9466" width="1.28515625" style="209" customWidth="1"/>
    <col min="9467" max="9467" width="17.7109375" style="209" bestFit="1" customWidth="1"/>
    <col min="9468" max="9468" width="11.28515625" style="209" bestFit="1" customWidth="1"/>
    <col min="9469" max="9469" width="37.7109375" style="209" customWidth="1"/>
    <col min="9470" max="9470" width="15.42578125" style="209" customWidth="1"/>
    <col min="9471" max="9471" width="3" style="209" customWidth="1"/>
    <col min="9472" max="9721" width="11.42578125" style="209"/>
    <col min="9722" max="9722" width="1.28515625" style="209" customWidth="1"/>
    <col min="9723" max="9723" width="17.7109375" style="209" bestFit="1" customWidth="1"/>
    <col min="9724" max="9724" width="11.28515625" style="209" bestFit="1" customWidth="1"/>
    <col min="9725" max="9725" width="37.7109375" style="209" customWidth="1"/>
    <col min="9726" max="9726" width="15.42578125" style="209" customWidth="1"/>
    <col min="9727" max="9727" width="3" style="209" customWidth="1"/>
    <col min="9728" max="9977" width="11.42578125" style="209"/>
    <col min="9978" max="9978" width="1.28515625" style="209" customWidth="1"/>
    <col min="9979" max="9979" width="17.7109375" style="209" bestFit="1" customWidth="1"/>
    <col min="9980" max="9980" width="11.28515625" style="209" bestFit="1" customWidth="1"/>
    <col min="9981" max="9981" width="37.7109375" style="209" customWidth="1"/>
    <col min="9982" max="9982" width="15.42578125" style="209" customWidth="1"/>
    <col min="9983" max="9983" width="3" style="209" customWidth="1"/>
    <col min="9984" max="10233" width="11.42578125" style="209"/>
    <col min="10234" max="10234" width="1.28515625" style="209" customWidth="1"/>
    <col min="10235" max="10235" width="17.7109375" style="209" bestFit="1" customWidth="1"/>
    <col min="10236" max="10236" width="11.28515625" style="209" bestFit="1" customWidth="1"/>
    <col min="10237" max="10237" width="37.7109375" style="209" customWidth="1"/>
    <col min="10238" max="10238" width="15.42578125" style="209" customWidth="1"/>
    <col min="10239" max="10239" width="3" style="209" customWidth="1"/>
    <col min="10240" max="10489" width="11.42578125" style="209"/>
    <col min="10490" max="10490" width="1.28515625" style="209" customWidth="1"/>
    <col min="10491" max="10491" width="17.7109375" style="209" bestFit="1" customWidth="1"/>
    <col min="10492" max="10492" width="11.28515625" style="209" bestFit="1" customWidth="1"/>
    <col min="10493" max="10493" width="37.7109375" style="209" customWidth="1"/>
    <col min="10494" max="10494" width="15.42578125" style="209" customWidth="1"/>
    <col min="10495" max="10495" width="3" style="209" customWidth="1"/>
    <col min="10496" max="10745" width="11.42578125" style="209"/>
    <col min="10746" max="10746" width="1.28515625" style="209" customWidth="1"/>
    <col min="10747" max="10747" width="17.7109375" style="209" bestFit="1" customWidth="1"/>
    <col min="10748" max="10748" width="11.28515625" style="209" bestFit="1" customWidth="1"/>
    <col min="10749" max="10749" width="37.7109375" style="209" customWidth="1"/>
    <col min="10750" max="10750" width="15.42578125" style="209" customWidth="1"/>
    <col min="10751" max="10751" width="3" style="209" customWidth="1"/>
    <col min="10752" max="11001" width="11.42578125" style="209"/>
    <col min="11002" max="11002" width="1.28515625" style="209" customWidth="1"/>
    <col min="11003" max="11003" width="17.7109375" style="209" bestFit="1" customWidth="1"/>
    <col min="11004" max="11004" width="11.28515625" style="209" bestFit="1" customWidth="1"/>
    <col min="11005" max="11005" width="37.7109375" style="209" customWidth="1"/>
    <col min="11006" max="11006" width="15.42578125" style="209" customWidth="1"/>
    <col min="11007" max="11007" width="3" style="209" customWidth="1"/>
    <col min="11008" max="11257" width="11.42578125" style="209"/>
    <col min="11258" max="11258" width="1.28515625" style="209" customWidth="1"/>
    <col min="11259" max="11259" width="17.7109375" style="209" bestFit="1" customWidth="1"/>
    <col min="11260" max="11260" width="11.28515625" style="209" bestFit="1" customWidth="1"/>
    <col min="11261" max="11261" width="37.7109375" style="209" customWidth="1"/>
    <col min="11262" max="11262" width="15.42578125" style="209" customWidth="1"/>
    <col min="11263" max="11263" width="3" style="209" customWidth="1"/>
    <col min="11264" max="11513" width="11.42578125" style="209"/>
    <col min="11514" max="11514" width="1.28515625" style="209" customWidth="1"/>
    <col min="11515" max="11515" width="17.7109375" style="209" bestFit="1" customWidth="1"/>
    <col min="11516" max="11516" width="11.28515625" style="209" bestFit="1" customWidth="1"/>
    <col min="11517" max="11517" width="37.7109375" style="209" customWidth="1"/>
    <col min="11518" max="11518" width="15.42578125" style="209" customWidth="1"/>
    <col min="11519" max="11519" width="3" style="209" customWidth="1"/>
    <col min="11520" max="11769" width="11.42578125" style="209"/>
    <col min="11770" max="11770" width="1.28515625" style="209" customWidth="1"/>
    <col min="11771" max="11771" width="17.7109375" style="209" bestFit="1" customWidth="1"/>
    <col min="11772" max="11772" width="11.28515625" style="209" bestFit="1" customWidth="1"/>
    <col min="11773" max="11773" width="37.7109375" style="209" customWidth="1"/>
    <col min="11774" max="11774" width="15.42578125" style="209" customWidth="1"/>
    <col min="11775" max="11775" width="3" style="209" customWidth="1"/>
    <col min="11776" max="12025" width="11.42578125" style="209"/>
    <col min="12026" max="12026" width="1.28515625" style="209" customWidth="1"/>
    <col min="12027" max="12027" width="17.7109375" style="209" bestFit="1" customWidth="1"/>
    <col min="12028" max="12028" width="11.28515625" style="209" bestFit="1" customWidth="1"/>
    <col min="12029" max="12029" width="37.7109375" style="209" customWidth="1"/>
    <col min="12030" max="12030" width="15.42578125" style="209" customWidth="1"/>
    <col min="12031" max="12031" width="3" style="209" customWidth="1"/>
    <col min="12032" max="12281" width="11.42578125" style="209"/>
    <col min="12282" max="12282" width="1.28515625" style="209" customWidth="1"/>
    <col min="12283" max="12283" width="17.7109375" style="209" bestFit="1" customWidth="1"/>
    <col min="12284" max="12284" width="11.28515625" style="209" bestFit="1" customWidth="1"/>
    <col min="12285" max="12285" width="37.7109375" style="209" customWidth="1"/>
    <col min="12286" max="12286" width="15.42578125" style="209" customWidth="1"/>
    <col min="12287" max="12287" width="3" style="209" customWidth="1"/>
    <col min="12288" max="12537" width="11.42578125" style="209"/>
    <col min="12538" max="12538" width="1.28515625" style="209" customWidth="1"/>
    <col min="12539" max="12539" width="17.7109375" style="209" bestFit="1" customWidth="1"/>
    <col min="12540" max="12540" width="11.28515625" style="209" bestFit="1" customWidth="1"/>
    <col min="12541" max="12541" width="37.7109375" style="209" customWidth="1"/>
    <col min="12542" max="12542" width="15.42578125" style="209" customWidth="1"/>
    <col min="12543" max="12543" width="3" style="209" customWidth="1"/>
    <col min="12544" max="12793" width="11.42578125" style="209"/>
    <col min="12794" max="12794" width="1.28515625" style="209" customWidth="1"/>
    <col min="12795" max="12795" width="17.7109375" style="209" bestFit="1" customWidth="1"/>
    <col min="12796" max="12796" width="11.28515625" style="209" bestFit="1" customWidth="1"/>
    <col min="12797" max="12797" width="37.7109375" style="209" customWidth="1"/>
    <col min="12798" max="12798" width="15.42578125" style="209" customWidth="1"/>
    <col min="12799" max="12799" width="3" style="209" customWidth="1"/>
    <col min="12800" max="13049" width="11.42578125" style="209"/>
    <col min="13050" max="13050" width="1.28515625" style="209" customWidth="1"/>
    <col min="13051" max="13051" width="17.7109375" style="209" bestFit="1" customWidth="1"/>
    <col min="13052" max="13052" width="11.28515625" style="209" bestFit="1" customWidth="1"/>
    <col min="13053" max="13053" width="37.7109375" style="209" customWidth="1"/>
    <col min="13054" max="13054" width="15.42578125" style="209" customWidth="1"/>
    <col min="13055" max="13055" width="3" style="209" customWidth="1"/>
    <col min="13056" max="13305" width="11.42578125" style="209"/>
    <col min="13306" max="13306" width="1.28515625" style="209" customWidth="1"/>
    <col min="13307" max="13307" width="17.7109375" style="209" bestFit="1" customWidth="1"/>
    <col min="13308" max="13308" width="11.28515625" style="209" bestFit="1" customWidth="1"/>
    <col min="13309" max="13309" width="37.7109375" style="209" customWidth="1"/>
    <col min="13310" max="13310" width="15.42578125" style="209" customWidth="1"/>
    <col min="13311" max="13311" width="3" style="209" customWidth="1"/>
    <col min="13312" max="13561" width="11.42578125" style="209"/>
    <col min="13562" max="13562" width="1.28515625" style="209" customWidth="1"/>
    <col min="13563" max="13563" width="17.7109375" style="209" bestFit="1" customWidth="1"/>
    <col min="13564" max="13564" width="11.28515625" style="209" bestFit="1" customWidth="1"/>
    <col min="13565" max="13565" width="37.7109375" style="209" customWidth="1"/>
    <col min="13566" max="13566" width="15.42578125" style="209" customWidth="1"/>
    <col min="13567" max="13567" width="3" style="209" customWidth="1"/>
    <col min="13568" max="13817" width="11.42578125" style="209"/>
    <col min="13818" max="13818" width="1.28515625" style="209" customWidth="1"/>
    <col min="13819" max="13819" width="17.7109375" style="209" bestFit="1" customWidth="1"/>
    <col min="13820" max="13820" width="11.28515625" style="209" bestFit="1" customWidth="1"/>
    <col min="13821" max="13821" width="37.7109375" style="209" customWidth="1"/>
    <col min="13822" max="13822" width="15.42578125" style="209" customWidth="1"/>
    <col min="13823" max="13823" width="3" style="209" customWidth="1"/>
    <col min="13824" max="14073" width="11.42578125" style="209"/>
    <col min="14074" max="14074" width="1.28515625" style="209" customWidth="1"/>
    <col min="14075" max="14075" width="17.7109375" style="209" bestFit="1" customWidth="1"/>
    <col min="14076" max="14076" width="11.28515625" style="209" bestFit="1" customWidth="1"/>
    <col min="14077" max="14077" width="37.7109375" style="209" customWidth="1"/>
    <col min="14078" max="14078" width="15.42578125" style="209" customWidth="1"/>
    <col min="14079" max="14079" width="3" style="209" customWidth="1"/>
    <col min="14080" max="14329" width="11.42578125" style="209"/>
    <col min="14330" max="14330" width="1.28515625" style="209" customWidth="1"/>
    <col min="14331" max="14331" width="17.7109375" style="209" bestFit="1" customWidth="1"/>
    <col min="14332" max="14332" width="11.28515625" style="209" bestFit="1" customWidth="1"/>
    <col min="14333" max="14333" width="37.7109375" style="209" customWidth="1"/>
    <col min="14334" max="14334" width="15.42578125" style="209" customWidth="1"/>
    <col min="14335" max="14335" width="3" style="209" customWidth="1"/>
    <col min="14336" max="14585" width="11.42578125" style="209"/>
    <col min="14586" max="14586" width="1.28515625" style="209" customWidth="1"/>
    <col min="14587" max="14587" width="17.7109375" style="209" bestFit="1" customWidth="1"/>
    <col min="14588" max="14588" width="11.28515625" style="209" bestFit="1" customWidth="1"/>
    <col min="14589" max="14589" width="37.7109375" style="209" customWidth="1"/>
    <col min="14590" max="14590" width="15.42578125" style="209" customWidth="1"/>
    <col min="14591" max="14591" width="3" style="209" customWidth="1"/>
    <col min="14592" max="14841" width="11.42578125" style="209"/>
    <col min="14842" max="14842" width="1.28515625" style="209" customWidth="1"/>
    <col min="14843" max="14843" width="17.7109375" style="209" bestFit="1" customWidth="1"/>
    <col min="14844" max="14844" width="11.28515625" style="209" bestFit="1" customWidth="1"/>
    <col min="14845" max="14845" width="37.7109375" style="209" customWidth="1"/>
    <col min="14846" max="14846" width="15.42578125" style="209" customWidth="1"/>
    <col min="14847" max="14847" width="3" style="209" customWidth="1"/>
    <col min="14848" max="15097" width="11.42578125" style="209"/>
    <col min="15098" max="15098" width="1.28515625" style="209" customWidth="1"/>
    <col min="15099" max="15099" width="17.7109375" style="209" bestFit="1" customWidth="1"/>
    <col min="15100" max="15100" width="11.28515625" style="209" bestFit="1" customWidth="1"/>
    <col min="15101" max="15101" width="37.7109375" style="209" customWidth="1"/>
    <col min="15102" max="15102" width="15.42578125" style="209" customWidth="1"/>
    <col min="15103" max="15103" width="3" style="209" customWidth="1"/>
    <col min="15104" max="15353" width="11.42578125" style="209"/>
    <col min="15354" max="15354" width="1.28515625" style="209" customWidth="1"/>
    <col min="15355" max="15355" width="17.7109375" style="209" bestFit="1" customWidth="1"/>
    <col min="15356" max="15356" width="11.28515625" style="209" bestFit="1" customWidth="1"/>
    <col min="15357" max="15357" width="37.7109375" style="209" customWidth="1"/>
    <col min="15358" max="15358" width="15.42578125" style="209" customWidth="1"/>
    <col min="15359" max="15359" width="3" style="209" customWidth="1"/>
    <col min="15360" max="15609" width="11.42578125" style="209"/>
    <col min="15610" max="15610" width="1.28515625" style="209" customWidth="1"/>
    <col min="15611" max="15611" width="17.7109375" style="209" bestFit="1" customWidth="1"/>
    <col min="15612" max="15612" width="11.28515625" style="209" bestFit="1" customWidth="1"/>
    <col min="15613" max="15613" width="37.7109375" style="209" customWidth="1"/>
    <col min="15614" max="15614" width="15.42578125" style="209" customWidth="1"/>
    <col min="15615" max="15615" width="3" style="209" customWidth="1"/>
    <col min="15616" max="15865" width="11.42578125" style="209"/>
    <col min="15866" max="15866" width="1.28515625" style="209" customWidth="1"/>
    <col min="15867" max="15867" width="17.7109375" style="209" bestFit="1" customWidth="1"/>
    <col min="15868" max="15868" width="11.28515625" style="209" bestFit="1" customWidth="1"/>
    <col min="15869" max="15869" width="37.7109375" style="209" customWidth="1"/>
    <col min="15870" max="15870" width="15.42578125" style="209" customWidth="1"/>
    <col min="15871" max="15871" width="3" style="209" customWidth="1"/>
    <col min="15872" max="16121" width="11.42578125" style="209"/>
    <col min="16122" max="16122" width="1.28515625" style="209" customWidth="1"/>
    <col min="16123" max="16123" width="17.7109375" style="209" bestFit="1" customWidth="1"/>
    <col min="16124" max="16124" width="11.28515625" style="209" bestFit="1" customWidth="1"/>
    <col min="16125" max="16125" width="37.7109375" style="209" customWidth="1"/>
    <col min="16126" max="16126" width="15.42578125" style="209" customWidth="1"/>
    <col min="16127" max="16127" width="3" style="209" customWidth="1"/>
    <col min="16128" max="16384" width="11.42578125" style="209"/>
  </cols>
  <sheetData>
    <row r="1" spans="1:38" ht="60" customHeight="1" x14ac:dyDescent="0.2">
      <c r="A1" s="5682" t="s">
        <v>1459</v>
      </c>
      <c r="B1" s="5682"/>
      <c r="C1" s="191"/>
      <c r="D1" s="191"/>
      <c r="E1" s="191"/>
      <c r="F1" s="191"/>
    </row>
    <row r="2" spans="1:38" ht="15.75" x14ac:dyDescent="0.2">
      <c r="A2" s="909"/>
      <c r="B2" s="909"/>
      <c r="C2" s="909"/>
      <c r="D2" s="909"/>
      <c r="E2" s="909"/>
      <c r="F2" s="909"/>
    </row>
    <row r="3" spans="1:38" ht="15" x14ac:dyDescent="0.2">
      <c r="A3" s="6498" t="s">
        <v>16</v>
      </c>
      <c r="B3" s="6498" t="s">
        <v>4</v>
      </c>
      <c r="C3" s="6496">
        <v>2009</v>
      </c>
      <c r="D3" s="6496"/>
      <c r="E3" s="6496"/>
      <c r="F3" s="6497"/>
      <c r="G3" s="6496">
        <v>2010</v>
      </c>
      <c r="H3" s="6496"/>
      <c r="I3" s="6496"/>
      <c r="J3" s="6497"/>
      <c r="K3" s="6496">
        <v>2011</v>
      </c>
      <c r="L3" s="6496"/>
      <c r="M3" s="6496"/>
      <c r="N3" s="6497"/>
      <c r="O3" s="6496">
        <v>2012</v>
      </c>
      <c r="P3" s="6496"/>
      <c r="Q3" s="6496"/>
      <c r="R3" s="6497"/>
      <c r="S3" s="6496">
        <v>2013</v>
      </c>
      <c r="T3" s="6496"/>
      <c r="U3" s="6496"/>
      <c r="V3" s="6497"/>
      <c r="W3" s="6496">
        <v>2014</v>
      </c>
      <c r="X3" s="6496"/>
      <c r="Y3" s="6496"/>
      <c r="Z3" s="6497"/>
      <c r="AA3" s="6496">
        <v>2015</v>
      </c>
      <c r="AB3" s="6496"/>
      <c r="AC3" s="6496"/>
      <c r="AD3" s="6497"/>
      <c r="AE3" s="6496">
        <v>2016</v>
      </c>
      <c r="AF3" s="6496"/>
      <c r="AG3" s="6496"/>
      <c r="AH3" s="6497"/>
      <c r="AI3" s="6496">
        <v>2017</v>
      </c>
      <c r="AJ3" s="6496"/>
      <c r="AK3" s="6496"/>
      <c r="AL3" s="6497"/>
    </row>
    <row r="4" spans="1:38" ht="30" customHeight="1" x14ac:dyDescent="0.2">
      <c r="A4" s="6498"/>
      <c r="B4" s="6498"/>
      <c r="C4" s="1024" t="s">
        <v>522</v>
      </c>
      <c r="D4" s="1025" t="s">
        <v>521</v>
      </c>
      <c r="E4" s="1025" t="s">
        <v>520</v>
      </c>
      <c r="F4" s="5468" t="s">
        <v>12</v>
      </c>
      <c r="G4" s="1024" t="s">
        <v>522</v>
      </c>
      <c r="H4" s="1025" t="s">
        <v>521</v>
      </c>
      <c r="I4" s="1025" t="s">
        <v>520</v>
      </c>
      <c r="J4" s="5468" t="s">
        <v>12</v>
      </c>
      <c r="K4" s="1024" t="s">
        <v>522</v>
      </c>
      <c r="L4" s="1025" t="s">
        <v>521</v>
      </c>
      <c r="M4" s="1025" t="s">
        <v>520</v>
      </c>
      <c r="N4" s="5468" t="s">
        <v>12</v>
      </c>
      <c r="O4" s="1024" t="s">
        <v>522</v>
      </c>
      <c r="P4" s="1025" t="s">
        <v>521</v>
      </c>
      <c r="Q4" s="1025" t="s">
        <v>520</v>
      </c>
      <c r="R4" s="5468" t="s">
        <v>12</v>
      </c>
      <c r="S4" s="1024" t="s">
        <v>522</v>
      </c>
      <c r="T4" s="1025" t="s">
        <v>521</v>
      </c>
      <c r="U4" s="1025" t="s">
        <v>520</v>
      </c>
      <c r="V4" s="5468" t="s">
        <v>12</v>
      </c>
      <c r="W4" s="1024" t="s">
        <v>522</v>
      </c>
      <c r="X4" s="1025" t="s">
        <v>521</v>
      </c>
      <c r="Y4" s="1025" t="s">
        <v>520</v>
      </c>
      <c r="Z4" s="5468" t="s">
        <v>12</v>
      </c>
      <c r="AA4" s="1024" t="s">
        <v>522</v>
      </c>
      <c r="AB4" s="1025" t="s">
        <v>521</v>
      </c>
      <c r="AC4" s="1025" t="s">
        <v>520</v>
      </c>
      <c r="AD4" s="5468" t="s">
        <v>12</v>
      </c>
      <c r="AE4" s="1024" t="s">
        <v>522</v>
      </c>
      <c r="AF4" s="1025" t="s">
        <v>521</v>
      </c>
      <c r="AG4" s="1025" t="s">
        <v>520</v>
      </c>
      <c r="AH4" s="5052" t="s">
        <v>12</v>
      </c>
      <c r="AI4" s="1024" t="s">
        <v>522</v>
      </c>
      <c r="AJ4" s="1025" t="s">
        <v>521</v>
      </c>
      <c r="AK4" s="1025" t="s">
        <v>520</v>
      </c>
      <c r="AL4" s="5468" t="s">
        <v>12</v>
      </c>
    </row>
    <row r="5" spans="1:38" ht="15" x14ac:dyDescent="0.2">
      <c r="A5" s="378"/>
      <c r="B5" s="378"/>
      <c r="C5" s="378"/>
      <c r="D5" s="378"/>
      <c r="E5" s="378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  <c r="S5" s="378"/>
      <c r="T5" s="378"/>
      <c r="U5" s="378"/>
      <c r="V5" s="378"/>
      <c r="W5" s="378"/>
      <c r="X5" s="378"/>
      <c r="Y5" s="378"/>
      <c r="Z5" s="378"/>
      <c r="AA5" s="378"/>
      <c r="AB5" s="378"/>
      <c r="AC5" s="378"/>
      <c r="AD5" s="378"/>
      <c r="AE5" s="378"/>
      <c r="AF5" s="378"/>
      <c r="AG5" s="378"/>
      <c r="AH5" s="378"/>
      <c r="AI5" s="378"/>
      <c r="AJ5" s="378"/>
      <c r="AK5" s="378"/>
      <c r="AL5" s="378"/>
    </row>
    <row r="6" spans="1:38" ht="15" x14ac:dyDescent="0.2">
      <c r="A6" s="6503" t="s">
        <v>125</v>
      </c>
      <c r="B6" s="379" t="s">
        <v>5</v>
      </c>
      <c r="C6" s="5490">
        <f>SUM('EGRESO POS ACUM plan'!E4)</f>
        <v>4</v>
      </c>
      <c r="D6" s="5491">
        <f>SUM('EGRESO POS ACUM plan'!E5:E7)</f>
        <v>247</v>
      </c>
      <c r="E6" s="5491">
        <f>SUM('EGRESO POS ACUM plan'!E11:E12)</f>
        <v>31</v>
      </c>
      <c r="F6" s="5492">
        <f>SUM(C6:E6)</f>
        <v>282</v>
      </c>
      <c r="G6" s="5490">
        <f>SUM('EGRESO POS ACUM plan'!E4)</f>
        <v>4</v>
      </c>
      <c r="H6" s="5491">
        <f>SUM('EGRESO POS ACUM plan'!F5:F7)</f>
        <v>264</v>
      </c>
      <c r="I6" s="5491">
        <f>SUM('EGRESO POS ACUM plan'!F11:F12)</f>
        <v>37</v>
      </c>
      <c r="J6" s="5492">
        <f>SUM(G6:I6)</f>
        <v>305</v>
      </c>
      <c r="K6" s="5490">
        <f>SUM('EGRESO POS ACUM plan'!G4)</f>
        <v>4</v>
      </c>
      <c r="L6" s="5491">
        <f>SUM('EGRESO POS ACUM plan'!G5:G7)</f>
        <v>296</v>
      </c>
      <c r="M6" s="5491">
        <f>SUM('EGRESO POS ACUM plan'!G11:G12)</f>
        <v>48</v>
      </c>
      <c r="N6" s="5492">
        <f>SUM(K6:M6)</f>
        <v>348</v>
      </c>
      <c r="O6" s="5490">
        <f>SUM('EGRESO POS ACUM plan'!H4)</f>
        <v>4</v>
      </c>
      <c r="P6" s="5491">
        <f>SUM('EGRESO POS ACUM plan'!H5:H7)</f>
        <v>333</v>
      </c>
      <c r="Q6" s="5491">
        <f>SUM('EGRESO POS ACUM plan'!H11:H12)</f>
        <v>54</v>
      </c>
      <c r="R6" s="5492">
        <f>SUM(O6:Q6)</f>
        <v>391</v>
      </c>
      <c r="S6" s="5490">
        <f>SUM('EGRESO POS ACUM plan'!I4)</f>
        <v>4</v>
      </c>
      <c r="T6" s="5491">
        <f>SUM('EGRESO POS ACUM plan'!I5:I7)</f>
        <v>357</v>
      </c>
      <c r="U6" s="5491">
        <f>SUM('EGRESO POS ACUM plan'!I11:I12)</f>
        <v>67</v>
      </c>
      <c r="V6" s="5492">
        <f>SUM(S6:U6)</f>
        <v>428</v>
      </c>
      <c r="W6" s="5490">
        <f>SUM('EGRESO POS ACUM plan'!J4)</f>
        <v>4</v>
      </c>
      <c r="X6" s="5491">
        <f>SUM('EGRESO POS ACUM plan'!J5:J10)</f>
        <v>393</v>
      </c>
      <c r="Y6" s="5491">
        <f>SUM('EGRESO POS ACUM plan'!J11:J12)</f>
        <v>73</v>
      </c>
      <c r="Z6" s="5492">
        <f>SUM(W6:Y6)</f>
        <v>470</v>
      </c>
      <c r="AA6" s="5490">
        <f>SUM('EGRESO POS ACUM plan'!K4)</f>
        <v>4</v>
      </c>
      <c r="AB6" s="5491">
        <f>SUM('EGRESO POS ACUM plan'!K5:K10)</f>
        <v>429</v>
      </c>
      <c r="AC6" s="5491">
        <f>SUM('EGRESO POS ACUM plan'!K11:K12)</f>
        <v>77</v>
      </c>
      <c r="AD6" s="5492">
        <f>SUM(AA6:AC6)</f>
        <v>510</v>
      </c>
      <c r="AE6" s="5490">
        <f>SUM('EGRESO POS ACUM plan'!L4)</f>
        <v>4</v>
      </c>
      <c r="AF6" s="5491">
        <f>SUM('EGRESO POS ACUM plan'!L5:L10)</f>
        <v>483</v>
      </c>
      <c r="AG6" s="5491">
        <f>SUM('EGRESO POS ACUM plan'!L11:L12)</f>
        <v>84</v>
      </c>
      <c r="AH6" s="5492">
        <f>SUM(AE6:AG6)</f>
        <v>571</v>
      </c>
      <c r="AI6" s="5490">
        <f>SUM('EGRESO POS ACUM plan'!M4)</f>
        <v>4</v>
      </c>
      <c r="AJ6" s="5491">
        <f>SUM('EGRESO POS ACUM plan'!M5:M10)</f>
        <v>549</v>
      </c>
      <c r="AK6" s="5491">
        <f>SUM('EGRESO POS ACUM plan'!M11:M15)</f>
        <v>94</v>
      </c>
      <c r="AL6" s="5492">
        <f>SUM(AI6:AK6)</f>
        <v>647</v>
      </c>
    </row>
    <row r="7" spans="1:38" ht="15" x14ac:dyDescent="0.2">
      <c r="A7" s="6504"/>
      <c r="B7" s="380" t="s">
        <v>6</v>
      </c>
      <c r="C7" s="5493">
        <f>SUM('EGRESO POS ACUM plan'!E17:E19)</f>
        <v>218</v>
      </c>
      <c r="D7" s="5494">
        <f>SUM('EGRESO POS ACUM plan'!E20:E25)</f>
        <v>260</v>
      </c>
      <c r="E7" s="5494">
        <f>SUM('EGRESO POS ACUM plan'!E27:E29)</f>
        <v>3</v>
      </c>
      <c r="F7" s="5495">
        <f>SUM(C7:E7)</f>
        <v>481</v>
      </c>
      <c r="G7" s="5493">
        <f>SUM('EGRESO POS ACUM plan'!F17:F19)</f>
        <v>236</v>
      </c>
      <c r="H7" s="5494">
        <f>SUM('EGRESO POS ACUM plan'!F20:F25)</f>
        <v>296</v>
      </c>
      <c r="I7" s="5494">
        <f>SUM('EGRESO POS ACUM plan'!F27:F29)</f>
        <v>6</v>
      </c>
      <c r="J7" s="5495">
        <f>SUM(G7:I7)</f>
        <v>538</v>
      </c>
      <c r="K7" s="5493">
        <f>SUM('EGRESO POS ACUM plan'!G17:G19)</f>
        <v>259</v>
      </c>
      <c r="L7" s="5494">
        <f>SUM('EGRESO POS ACUM plan'!G20:G25)</f>
        <v>328</v>
      </c>
      <c r="M7" s="5494">
        <f>SUM('EGRESO POS ACUM plan'!G27:G29)</f>
        <v>13</v>
      </c>
      <c r="N7" s="5495">
        <f>SUM(K7:M7)</f>
        <v>600</v>
      </c>
      <c r="O7" s="5493">
        <f>SUM('EGRESO POS ACUM plan'!H17:H19)</f>
        <v>286</v>
      </c>
      <c r="P7" s="5494">
        <f>SUM('EGRESO POS ACUM plan'!H20:H25)</f>
        <v>354</v>
      </c>
      <c r="Q7" s="5494">
        <f>SUM('EGRESO POS ACUM plan'!H27:H29)</f>
        <v>19</v>
      </c>
      <c r="R7" s="5495">
        <f>SUM(O7:Q7)</f>
        <v>659</v>
      </c>
      <c r="S7" s="5493">
        <f>SUM('EGRESO POS ACUM plan'!I17:I19)</f>
        <v>298</v>
      </c>
      <c r="T7" s="5494">
        <f>SUM('EGRESO POS ACUM plan'!I20:I25)</f>
        <v>382</v>
      </c>
      <c r="U7" s="5494">
        <f>SUM('EGRESO POS ACUM plan'!I27:I29)</f>
        <v>28</v>
      </c>
      <c r="V7" s="5495">
        <f>SUM(S7:U7)</f>
        <v>708</v>
      </c>
      <c r="W7" s="5493">
        <f>SUM('EGRESO POS ACUM plan'!J17:J19)</f>
        <v>322</v>
      </c>
      <c r="X7" s="5494">
        <f>SUM('EGRESO POS ACUM plan'!J20:J26)</f>
        <v>416</v>
      </c>
      <c r="Y7" s="5494">
        <f>SUM('EGRESO POS ACUM plan'!J27:J29)</f>
        <v>41</v>
      </c>
      <c r="Z7" s="5495">
        <f>SUM(W7:Y7)</f>
        <v>779</v>
      </c>
      <c r="AA7" s="5493">
        <f>SUM('EGRESO POS ACUM plan'!K17:K19)</f>
        <v>338</v>
      </c>
      <c r="AB7" s="5494">
        <f>SUM('EGRESO POS ACUM plan'!K20:K26)</f>
        <v>439</v>
      </c>
      <c r="AC7" s="5494">
        <f>SUM('EGRESO POS ACUM plan'!K27:K29)</f>
        <v>48</v>
      </c>
      <c r="AD7" s="5495">
        <f>SUM(AA7:AC7)</f>
        <v>825</v>
      </c>
      <c r="AE7" s="5493">
        <f>SUM('EGRESO POS ACUM plan'!L17:L19)</f>
        <v>362</v>
      </c>
      <c r="AF7" s="5494">
        <f>SUM('EGRESO POS ACUM plan'!L20:L26)</f>
        <v>490</v>
      </c>
      <c r="AG7" s="5494">
        <f>SUM('EGRESO POS ACUM plan'!L27:L29)</f>
        <v>59</v>
      </c>
      <c r="AH7" s="5495">
        <f>SUM(AE7:AG7)</f>
        <v>911</v>
      </c>
      <c r="AI7" s="5493">
        <f>SUM('EGRESO POS ACUM plan'!M17:M19)</f>
        <v>385</v>
      </c>
      <c r="AJ7" s="5494">
        <f>SUM('EGRESO POS ACUM plan'!M20:M26)</f>
        <v>514</v>
      </c>
      <c r="AK7" s="5494">
        <f>SUM('EGRESO POS ACUM plan'!M27:M29)</f>
        <v>63</v>
      </c>
      <c r="AL7" s="5495">
        <f>SUM(AI7:AK7)</f>
        <v>962</v>
      </c>
    </row>
    <row r="8" spans="1:38" ht="15" x14ac:dyDescent="0.2">
      <c r="A8" s="6504"/>
      <c r="B8" s="380" t="s">
        <v>7</v>
      </c>
      <c r="C8" s="5493">
        <f>SUM('EGRESO POS ACUM plan'!E31:E32)</f>
        <v>341</v>
      </c>
      <c r="D8" s="5494">
        <f>SUM('EGRESO POS ACUM plan'!E38:E39)</f>
        <v>84</v>
      </c>
      <c r="E8" s="5494">
        <f>SUM('EGRESO POS ACUM plan'!E45)</f>
        <v>33</v>
      </c>
      <c r="F8" s="5495">
        <f>SUM(C8:E8)</f>
        <v>458</v>
      </c>
      <c r="G8" s="5493">
        <f>SUM('EGRESO POS ACUM plan'!F31:F32)</f>
        <v>366</v>
      </c>
      <c r="H8" s="5494">
        <f>SUM('EGRESO POS ACUM plan'!F38:F39)</f>
        <v>99</v>
      </c>
      <c r="I8" s="5494">
        <f>SUM('EGRESO POS ACUM plan'!F45)</f>
        <v>38</v>
      </c>
      <c r="J8" s="5495">
        <f>SUM(G8:I8)</f>
        <v>503</v>
      </c>
      <c r="K8" s="5493">
        <f>SUM('EGRESO POS ACUM plan'!G31:G32)</f>
        <v>403</v>
      </c>
      <c r="L8" s="5494">
        <f>SUM('EGRESO POS ACUM plan'!G38:G39)</f>
        <v>128</v>
      </c>
      <c r="M8" s="5494">
        <f>SUM('EGRESO POS ACUM plan'!G45)</f>
        <v>45</v>
      </c>
      <c r="N8" s="5495">
        <f>SUM(K8:M8)</f>
        <v>576</v>
      </c>
      <c r="O8" s="5493">
        <f>SUM('EGRESO POS ACUM plan'!H31:H32)</f>
        <v>407</v>
      </c>
      <c r="P8" s="5494">
        <f>SUM('EGRESO POS ACUM plan'!H38:H39)</f>
        <v>151</v>
      </c>
      <c r="Q8" s="5494">
        <f>SUM('EGRESO POS ACUM plan'!H45)</f>
        <v>47</v>
      </c>
      <c r="R8" s="5495">
        <f>SUM(O8:Q8)</f>
        <v>605</v>
      </c>
      <c r="S8" s="5493">
        <f>SUM('EGRESO POS ACUM plan'!I31:I32)</f>
        <v>440</v>
      </c>
      <c r="T8" s="5494">
        <f>SUM('EGRESO POS ACUM plan'!I38:I39)</f>
        <v>189</v>
      </c>
      <c r="U8" s="5494">
        <f>SUM('EGRESO POS ACUM plan'!I45)</f>
        <v>56</v>
      </c>
      <c r="V8" s="5495">
        <f>SUM(S8:U8)</f>
        <v>685</v>
      </c>
      <c r="W8" s="5493">
        <f>SUM('EGRESO POS ACUM plan'!J31:J37)</f>
        <v>441</v>
      </c>
      <c r="X8" s="5494">
        <f>SUM('EGRESO POS ACUM plan'!J38:J44)</f>
        <v>215</v>
      </c>
      <c r="Y8" s="5494">
        <f>SUM('EGRESO POS ACUM plan'!J45:J48)</f>
        <v>65</v>
      </c>
      <c r="Z8" s="5495">
        <f>SUM(W8:Y8)</f>
        <v>721</v>
      </c>
      <c r="AA8" s="5493">
        <f>SUM('EGRESO POS ACUM plan'!K31:K37)</f>
        <v>423</v>
      </c>
      <c r="AB8" s="5494">
        <f>SUM('EGRESO POS ACUM plan'!K38:K44)</f>
        <v>238</v>
      </c>
      <c r="AC8" s="5494">
        <f>SUM('EGRESO POS ACUM plan'!K45:K48)</f>
        <v>71</v>
      </c>
      <c r="AD8" s="5495">
        <f>SUM(AA8:AC8)</f>
        <v>732</v>
      </c>
      <c r="AE8" s="5493">
        <f>SUM('EGRESO POS ACUM plan'!L31:L37)</f>
        <v>435</v>
      </c>
      <c r="AF8" s="5494">
        <f>SUM('EGRESO POS ACUM plan'!L38:L44)</f>
        <v>257</v>
      </c>
      <c r="AG8" s="5494">
        <f>SUM('EGRESO POS ACUM plan'!L45:L50)</f>
        <v>80</v>
      </c>
      <c r="AH8" s="5495">
        <f>SUM(AE8:AG8)</f>
        <v>772</v>
      </c>
      <c r="AI8" s="5493">
        <f>SUM('EGRESO POS ACUM plan'!M31:M37)</f>
        <v>444</v>
      </c>
      <c r="AJ8" s="5494">
        <f>SUM('EGRESO POS ACUM plan'!M38:M44)</f>
        <v>280</v>
      </c>
      <c r="AK8" s="5494">
        <f>SUM('EGRESO POS ACUM plan'!M45:M50)</f>
        <v>86</v>
      </c>
      <c r="AL8" s="5495">
        <f>SUM(AI8:AK8)</f>
        <v>810</v>
      </c>
    </row>
    <row r="9" spans="1:38" ht="15" x14ac:dyDescent="0.2">
      <c r="A9" s="6505"/>
      <c r="B9" s="2446" t="s">
        <v>160</v>
      </c>
      <c r="C9" s="2447">
        <f t="shared" ref="C9:R9" si="0">SUM(C6:C8)</f>
        <v>563</v>
      </c>
      <c r="D9" s="2448">
        <f t="shared" si="0"/>
        <v>591</v>
      </c>
      <c r="E9" s="2448">
        <f t="shared" si="0"/>
        <v>67</v>
      </c>
      <c r="F9" s="2449">
        <f t="shared" si="0"/>
        <v>1221</v>
      </c>
      <c r="G9" s="2447">
        <f t="shared" si="0"/>
        <v>606</v>
      </c>
      <c r="H9" s="2448">
        <f t="shared" si="0"/>
        <v>659</v>
      </c>
      <c r="I9" s="2448">
        <f t="shared" si="0"/>
        <v>81</v>
      </c>
      <c r="J9" s="2449">
        <f t="shared" si="0"/>
        <v>1346</v>
      </c>
      <c r="K9" s="2447">
        <f t="shared" si="0"/>
        <v>666</v>
      </c>
      <c r="L9" s="2448">
        <f t="shared" si="0"/>
        <v>752</v>
      </c>
      <c r="M9" s="2448">
        <f t="shared" si="0"/>
        <v>106</v>
      </c>
      <c r="N9" s="2449">
        <f t="shared" si="0"/>
        <v>1524</v>
      </c>
      <c r="O9" s="2447">
        <f t="shared" si="0"/>
        <v>697</v>
      </c>
      <c r="P9" s="2448">
        <f t="shared" si="0"/>
        <v>838</v>
      </c>
      <c r="Q9" s="2448">
        <f t="shared" si="0"/>
        <v>120</v>
      </c>
      <c r="R9" s="2449">
        <f t="shared" si="0"/>
        <v>1655</v>
      </c>
      <c r="S9" s="2447">
        <f t="shared" ref="S9:Z9" si="1">SUM(S6:S8)</f>
        <v>742</v>
      </c>
      <c r="T9" s="2448">
        <f t="shared" si="1"/>
        <v>928</v>
      </c>
      <c r="U9" s="2448">
        <f t="shared" si="1"/>
        <v>151</v>
      </c>
      <c r="V9" s="2449">
        <f t="shared" si="1"/>
        <v>1821</v>
      </c>
      <c r="W9" s="2447">
        <f t="shared" si="1"/>
        <v>767</v>
      </c>
      <c r="X9" s="2448">
        <f t="shared" si="1"/>
        <v>1024</v>
      </c>
      <c r="Y9" s="2448">
        <f t="shared" si="1"/>
        <v>179</v>
      </c>
      <c r="Z9" s="2449">
        <f t="shared" si="1"/>
        <v>1970</v>
      </c>
      <c r="AA9" s="2447">
        <f t="shared" ref="AA9:AH9" si="2">SUM(AA6:AA8)</f>
        <v>765</v>
      </c>
      <c r="AB9" s="2448">
        <f t="shared" si="2"/>
        <v>1106</v>
      </c>
      <c r="AC9" s="2448">
        <f t="shared" si="2"/>
        <v>196</v>
      </c>
      <c r="AD9" s="2449">
        <f t="shared" si="2"/>
        <v>2067</v>
      </c>
      <c r="AE9" s="2447">
        <f t="shared" si="2"/>
        <v>801</v>
      </c>
      <c r="AF9" s="2448">
        <f t="shared" si="2"/>
        <v>1230</v>
      </c>
      <c r="AG9" s="2448">
        <f t="shared" si="2"/>
        <v>223</v>
      </c>
      <c r="AH9" s="2449">
        <f t="shared" si="2"/>
        <v>2254</v>
      </c>
      <c r="AI9" s="2447">
        <f t="shared" ref="AI9:AL9" si="3">SUM(AI6:AI8)</f>
        <v>833</v>
      </c>
      <c r="AJ9" s="2448">
        <f t="shared" si="3"/>
        <v>1343</v>
      </c>
      <c r="AK9" s="2448">
        <f t="shared" si="3"/>
        <v>243</v>
      </c>
      <c r="AL9" s="2449">
        <f t="shared" si="3"/>
        <v>2419</v>
      </c>
    </row>
    <row r="10" spans="1:38" ht="15" x14ac:dyDescent="0.2">
      <c r="A10" s="1669"/>
      <c r="B10" s="1669"/>
      <c r="C10" s="1669"/>
      <c r="D10" s="1669"/>
      <c r="E10" s="1669"/>
      <c r="F10" s="1669"/>
      <c r="G10" s="1669"/>
      <c r="H10" s="1669"/>
      <c r="I10" s="1669"/>
      <c r="J10" s="1669"/>
      <c r="K10" s="1669"/>
      <c r="L10" s="1669"/>
      <c r="M10" s="1669"/>
      <c r="N10" s="1669"/>
      <c r="O10" s="1669"/>
      <c r="P10" s="1669"/>
      <c r="Q10" s="1669"/>
      <c r="R10" s="1669"/>
      <c r="S10" s="1669"/>
      <c r="T10" s="1669"/>
      <c r="U10" s="1669"/>
      <c r="V10" s="1669"/>
      <c r="W10" s="1669"/>
      <c r="X10" s="1669"/>
      <c r="Y10" s="1669"/>
      <c r="Z10" s="1669"/>
      <c r="AA10" s="1669"/>
      <c r="AB10" s="1669"/>
      <c r="AC10" s="1669"/>
      <c r="AD10" s="1669"/>
      <c r="AE10" s="1669"/>
      <c r="AF10" s="1669"/>
      <c r="AG10" s="1669"/>
      <c r="AH10" s="1669"/>
      <c r="AI10" s="1669"/>
      <c r="AJ10" s="1669"/>
      <c r="AK10" s="1669"/>
      <c r="AL10" s="1669"/>
    </row>
    <row r="11" spans="1:38" ht="15" x14ac:dyDescent="0.2">
      <c r="A11" s="6512" t="s">
        <v>8</v>
      </c>
      <c r="B11" s="379" t="s">
        <v>6</v>
      </c>
      <c r="C11" s="5490"/>
      <c r="D11" s="5491"/>
      <c r="E11" s="5491"/>
      <c r="F11" s="5492"/>
      <c r="G11" s="5490"/>
      <c r="H11" s="5491"/>
      <c r="I11" s="5491"/>
      <c r="J11" s="5492"/>
      <c r="K11" s="5490"/>
      <c r="L11" s="5491"/>
      <c r="M11" s="5491"/>
      <c r="N11" s="5492"/>
      <c r="O11" s="5490"/>
      <c r="P11" s="5491"/>
      <c r="Q11" s="5491"/>
      <c r="R11" s="5492"/>
      <c r="S11" s="5490"/>
      <c r="T11" s="5491">
        <f>SUM('EGRESO POS ACUM plan'!I146)</f>
        <v>10</v>
      </c>
      <c r="U11" s="5491"/>
      <c r="V11" s="5492">
        <f>SUM(S11:U11)</f>
        <v>10</v>
      </c>
      <c r="W11" s="5490"/>
      <c r="X11" s="5491">
        <f>SUM('EGRESO POS ACUM plan'!J146)</f>
        <v>16</v>
      </c>
      <c r="Y11" s="5491">
        <f>SUM('EGRESO POS ACUM plan'!J147)</f>
        <v>2</v>
      </c>
      <c r="Z11" s="5492">
        <f>SUM(W11:Y11)</f>
        <v>18</v>
      </c>
      <c r="AA11" s="5490"/>
      <c r="AB11" s="5491">
        <f>SUM('EGRESO POS ACUM plan'!K146)</f>
        <v>25</v>
      </c>
      <c r="AC11" s="5491">
        <f>SUM('EGRESO POS ACUM plan'!K147)</f>
        <v>3</v>
      </c>
      <c r="AD11" s="5492">
        <f>SUM(AA11:AC11)</f>
        <v>28</v>
      </c>
      <c r="AE11" s="5490"/>
      <c r="AF11" s="5491">
        <f>SUM('EGRESO POS ACUM plan'!L146)</f>
        <v>32</v>
      </c>
      <c r="AG11" s="5491">
        <f>SUM('EGRESO POS ACUM plan'!L147)</f>
        <v>8</v>
      </c>
      <c r="AH11" s="5492">
        <f>SUM(AE11:AG11)</f>
        <v>40</v>
      </c>
      <c r="AI11" s="5490"/>
      <c r="AJ11" s="5491">
        <f>SUM('EGRESO POS ACUM plan'!M146)</f>
        <v>45</v>
      </c>
      <c r="AK11" s="5491">
        <f>SUM('EGRESO POS ACUM plan'!M147)</f>
        <v>17</v>
      </c>
      <c r="AL11" s="5492">
        <f>SUM(AI11:AK11)</f>
        <v>62</v>
      </c>
    </row>
    <row r="12" spans="1:38" ht="15" x14ac:dyDescent="0.2">
      <c r="A12" s="6513"/>
      <c r="B12" s="380" t="s">
        <v>9</v>
      </c>
      <c r="C12" s="5493"/>
      <c r="D12" s="5494"/>
      <c r="E12" s="5494"/>
      <c r="F12" s="5495"/>
      <c r="G12" s="5493"/>
      <c r="H12" s="5494"/>
      <c r="I12" s="5494"/>
      <c r="J12" s="5495"/>
      <c r="K12" s="5493"/>
      <c r="L12" s="5494"/>
      <c r="M12" s="5494"/>
      <c r="N12" s="5495"/>
      <c r="O12" s="5493"/>
      <c r="P12" s="5494"/>
      <c r="Q12" s="5494"/>
      <c r="R12" s="5495"/>
      <c r="S12" s="5493"/>
      <c r="T12" s="5494"/>
      <c r="U12" s="5494"/>
      <c r="V12" s="5495">
        <f>SUM(S12:U12)</f>
        <v>0</v>
      </c>
      <c r="W12" s="5493"/>
      <c r="X12" s="5494">
        <f>SUM('EGRESO POS ACUM plan'!J149)</f>
        <v>8</v>
      </c>
      <c r="Y12" s="5494"/>
      <c r="Z12" s="5495">
        <f>SUM(W12:Y12)</f>
        <v>8</v>
      </c>
      <c r="AA12" s="5493"/>
      <c r="AB12" s="5494">
        <f>SUM('EGRESO POS ACUM plan'!K149)</f>
        <v>21</v>
      </c>
      <c r="AC12" s="5494"/>
      <c r="AD12" s="5495">
        <f>SUM(AA12:AC12)</f>
        <v>21</v>
      </c>
      <c r="AE12" s="5493"/>
      <c r="AF12" s="5494">
        <f>SUM('EGRESO POS ACUM plan'!L149)</f>
        <v>39</v>
      </c>
      <c r="AG12" s="5494"/>
      <c r="AH12" s="5495">
        <f>SUM(AE12:AG12)</f>
        <v>39</v>
      </c>
      <c r="AI12" s="5493"/>
      <c r="AJ12" s="5494">
        <f>SUM('EGRESO POS ACUM plan'!M149)</f>
        <v>49</v>
      </c>
      <c r="AK12" s="5494"/>
      <c r="AL12" s="5495">
        <f>SUM(AI12:AK12)</f>
        <v>49</v>
      </c>
    </row>
    <row r="13" spans="1:38" ht="15" x14ac:dyDescent="0.2">
      <c r="A13" s="6513"/>
      <c r="B13" s="380" t="s">
        <v>74</v>
      </c>
      <c r="C13" s="5493"/>
      <c r="D13" s="5494"/>
      <c r="E13" s="5494"/>
      <c r="F13" s="5495"/>
      <c r="G13" s="5493"/>
      <c r="H13" s="5494"/>
      <c r="I13" s="5494"/>
      <c r="J13" s="5495"/>
      <c r="K13" s="5493"/>
      <c r="L13" s="5494"/>
      <c r="M13" s="5494"/>
      <c r="N13" s="5495"/>
      <c r="O13" s="5493"/>
      <c r="P13" s="5494"/>
      <c r="Q13" s="5494"/>
      <c r="R13" s="5495"/>
      <c r="S13" s="5493">
        <f>SUM('EGRESO POS ACUM plan'!I151)</f>
        <v>2</v>
      </c>
      <c r="T13" s="5494"/>
      <c r="U13" s="5494"/>
      <c r="V13" s="5495">
        <f>SUM(S13:U13)</f>
        <v>2</v>
      </c>
      <c r="W13" s="5493">
        <f>SUM('EGRESO POS ACUM plan'!J151)</f>
        <v>4</v>
      </c>
      <c r="X13" s="5494">
        <f>SUM('EGRESO POS ACUM plan'!J152)</f>
        <v>1</v>
      </c>
      <c r="Y13" s="5494"/>
      <c r="Z13" s="5495">
        <f>SUM(W13:Y13)</f>
        <v>5</v>
      </c>
      <c r="AA13" s="5493">
        <f>SUM('EGRESO POS ACUM plan'!K151)</f>
        <v>6</v>
      </c>
      <c r="AB13" s="5494">
        <f>SUM('EGRESO POS ACUM plan'!K152)</f>
        <v>8</v>
      </c>
      <c r="AC13" s="5494">
        <f>SUM('EGRESO POS ACUM plan'!K153:K154)</f>
        <v>2</v>
      </c>
      <c r="AD13" s="5495">
        <f>SUM(AA13:AC13)</f>
        <v>16</v>
      </c>
      <c r="AE13" s="5493">
        <f>SUM('EGRESO POS ACUM plan'!L151)</f>
        <v>8</v>
      </c>
      <c r="AF13" s="5494">
        <f>SUM('EGRESO POS ACUM plan'!L152)</f>
        <v>17</v>
      </c>
      <c r="AG13" s="5494">
        <f>SUM('EGRESO POS ACUM plan'!L153:L154)</f>
        <v>2</v>
      </c>
      <c r="AH13" s="5495">
        <f>SUM(AE13:AG13)</f>
        <v>27</v>
      </c>
      <c r="AI13" s="5493">
        <f>SUM('EGRESO POS ACUM plan'!M151)</f>
        <v>9</v>
      </c>
      <c r="AJ13" s="5494">
        <f>SUM('EGRESO POS ACUM plan'!M152)</f>
        <v>24</v>
      </c>
      <c r="AK13" s="5494">
        <f>SUM('EGRESO POS ACUM plan'!M153:M154)</f>
        <v>4</v>
      </c>
      <c r="AL13" s="5495">
        <f>SUM(AI13:AK13)</f>
        <v>37</v>
      </c>
    </row>
    <row r="14" spans="1:38" ht="15" x14ac:dyDescent="0.2">
      <c r="A14" s="6514"/>
      <c r="B14" s="2450" t="s">
        <v>160</v>
      </c>
      <c r="C14" s="2451"/>
      <c r="D14" s="2452"/>
      <c r="E14" s="2452"/>
      <c r="F14" s="2453"/>
      <c r="G14" s="2451"/>
      <c r="H14" s="2452"/>
      <c r="I14" s="2452"/>
      <c r="J14" s="2453"/>
      <c r="K14" s="2451"/>
      <c r="L14" s="2452"/>
      <c r="M14" s="2452"/>
      <c r="N14" s="2453"/>
      <c r="O14" s="2451"/>
      <c r="P14" s="2452"/>
      <c r="Q14" s="2452"/>
      <c r="R14" s="2453"/>
      <c r="S14" s="2451">
        <f t="shared" ref="S14:Z14" si="4">SUM(S11:S13)</f>
        <v>2</v>
      </c>
      <c r="T14" s="2452">
        <f t="shared" si="4"/>
        <v>10</v>
      </c>
      <c r="U14" s="2452">
        <f t="shared" si="4"/>
        <v>0</v>
      </c>
      <c r="V14" s="2453">
        <f t="shared" si="4"/>
        <v>12</v>
      </c>
      <c r="W14" s="2451">
        <f t="shared" si="4"/>
        <v>4</v>
      </c>
      <c r="X14" s="2452">
        <f t="shared" si="4"/>
        <v>25</v>
      </c>
      <c r="Y14" s="2452">
        <f t="shared" si="4"/>
        <v>2</v>
      </c>
      <c r="Z14" s="2453">
        <f t="shared" si="4"/>
        <v>31</v>
      </c>
      <c r="AA14" s="2451">
        <f t="shared" ref="AA14:AH14" si="5">SUM(AA11:AA13)</f>
        <v>6</v>
      </c>
      <c r="AB14" s="2452">
        <f t="shared" si="5"/>
        <v>54</v>
      </c>
      <c r="AC14" s="2452">
        <f t="shared" si="5"/>
        <v>5</v>
      </c>
      <c r="AD14" s="2453">
        <f t="shared" si="5"/>
        <v>65</v>
      </c>
      <c r="AE14" s="2451">
        <f t="shared" si="5"/>
        <v>8</v>
      </c>
      <c r="AF14" s="2452">
        <f t="shared" si="5"/>
        <v>88</v>
      </c>
      <c r="AG14" s="2452">
        <f t="shared" si="5"/>
        <v>10</v>
      </c>
      <c r="AH14" s="2453">
        <f t="shared" si="5"/>
        <v>106</v>
      </c>
      <c r="AI14" s="2451">
        <f t="shared" ref="AI14:AL14" si="6">SUM(AI11:AI13)</f>
        <v>9</v>
      </c>
      <c r="AJ14" s="2452">
        <f t="shared" si="6"/>
        <v>118</v>
      </c>
      <c r="AK14" s="2452">
        <f t="shared" si="6"/>
        <v>21</v>
      </c>
      <c r="AL14" s="2453">
        <f t="shared" si="6"/>
        <v>148</v>
      </c>
    </row>
    <row r="15" spans="1:38" ht="15" customHeight="1" x14ac:dyDescent="0.25">
      <c r="A15" s="137"/>
      <c r="B15" s="137"/>
      <c r="C15" s="1677"/>
      <c r="D15" s="1677"/>
      <c r="E15" s="1677"/>
      <c r="F15" s="5496"/>
      <c r="G15" s="1677"/>
      <c r="H15" s="1677"/>
      <c r="I15" s="1677"/>
      <c r="J15" s="5496"/>
      <c r="K15" s="1677"/>
      <c r="L15" s="1677"/>
      <c r="M15" s="1677"/>
      <c r="N15" s="5496"/>
      <c r="O15" s="1677"/>
      <c r="P15" s="1677"/>
      <c r="Q15" s="1677"/>
      <c r="R15" s="5496"/>
      <c r="S15" s="1677"/>
      <c r="T15" s="1677"/>
      <c r="U15" s="1677"/>
      <c r="V15" s="5496"/>
      <c r="W15" s="1677"/>
      <c r="X15" s="1677"/>
      <c r="Y15" s="1677"/>
      <c r="Z15" s="5496"/>
      <c r="AA15" s="1677"/>
      <c r="AB15" s="1677"/>
      <c r="AC15" s="1677"/>
      <c r="AD15" s="5496"/>
      <c r="AE15" s="1677"/>
      <c r="AF15" s="1677"/>
      <c r="AG15" s="1677"/>
      <c r="AH15" s="5496"/>
      <c r="AI15" s="1677"/>
      <c r="AJ15" s="1677"/>
      <c r="AK15" s="1677"/>
      <c r="AL15" s="5496"/>
    </row>
    <row r="16" spans="1:38" ht="15" x14ac:dyDescent="0.2">
      <c r="A16" s="6506" t="s">
        <v>126</v>
      </c>
      <c r="B16" s="379" t="s">
        <v>5</v>
      </c>
      <c r="C16" s="5490"/>
      <c r="D16" s="5491">
        <f>SUM('EGRESO POS ACUM plan'!E53:E65)</f>
        <v>763</v>
      </c>
      <c r="E16" s="5491">
        <f>SUM('EGRESO POS ACUM plan'!E67:E72)</f>
        <v>418</v>
      </c>
      <c r="F16" s="5492">
        <f>SUM(C16:E16)</f>
        <v>1181</v>
      </c>
      <c r="G16" s="5490"/>
      <c r="H16" s="5491">
        <f>SUM('EGRESO POS ACUM plan'!F53:F65)</f>
        <v>816</v>
      </c>
      <c r="I16" s="5491">
        <f>SUM('EGRESO POS ACUM plan'!F67:F72)</f>
        <v>453</v>
      </c>
      <c r="J16" s="5492">
        <f>SUM(G16:I16)</f>
        <v>1269</v>
      </c>
      <c r="K16" s="5490"/>
      <c r="L16" s="5491">
        <f>SUM('EGRESO POS ACUM plan'!G53:G65)</f>
        <v>861</v>
      </c>
      <c r="M16" s="5491">
        <f>SUM('EGRESO POS ACUM plan'!G67:G72)</f>
        <v>476</v>
      </c>
      <c r="N16" s="5492">
        <f>SUM(K16:M16)</f>
        <v>1337</v>
      </c>
      <c r="O16" s="5490"/>
      <c r="P16" s="5491">
        <f>SUM('EGRESO POS ACUM plan'!H53:H65)</f>
        <v>907</v>
      </c>
      <c r="Q16" s="5491">
        <f>SUM('EGRESO POS ACUM plan'!H67:H72)</f>
        <v>497</v>
      </c>
      <c r="R16" s="5492">
        <f>SUM(O16:Q16)</f>
        <v>1404</v>
      </c>
      <c r="S16" s="5490"/>
      <c r="T16" s="5491">
        <f>SUM('EGRESO POS ACUM plan'!I53:I65)</f>
        <v>971</v>
      </c>
      <c r="U16" s="5491">
        <f>SUM('EGRESO POS ACUM plan'!I67:I72)</f>
        <v>521</v>
      </c>
      <c r="V16" s="5492">
        <f>SUM(S16:U16)</f>
        <v>1492</v>
      </c>
      <c r="W16" s="5490"/>
      <c r="X16" s="5491">
        <f>SUM('EGRESO POS ACUM plan'!J53:J65)</f>
        <v>1029</v>
      </c>
      <c r="Y16" s="5491">
        <f>SUM('EGRESO POS ACUM plan'!J67:J72)</f>
        <v>556</v>
      </c>
      <c r="Z16" s="5492">
        <f>SUM(W16:Y16)</f>
        <v>1585</v>
      </c>
      <c r="AA16" s="5490"/>
      <c r="AB16" s="5491">
        <f>SUM('EGRESO POS ACUM plan'!K53:K66)</f>
        <v>1081</v>
      </c>
      <c r="AC16" s="5491">
        <f>SUM('EGRESO POS ACUM plan'!K67:K72)</f>
        <v>578</v>
      </c>
      <c r="AD16" s="5492">
        <f>SUM(AA16:AC16)</f>
        <v>1659</v>
      </c>
      <c r="AE16" s="5490"/>
      <c r="AF16" s="5491">
        <f>SUM('EGRESO POS ACUM plan'!L53:L66)</f>
        <v>1143</v>
      </c>
      <c r="AG16" s="5491">
        <f>SUM('EGRESO POS ACUM plan'!L67:L73)</f>
        <v>615</v>
      </c>
      <c r="AH16" s="5492">
        <f>SUM(AE16:AG16)</f>
        <v>1758</v>
      </c>
      <c r="AI16" s="5490"/>
      <c r="AJ16" s="5491">
        <f>SUM('EGRESO POS ACUM plan'!M53:M66)</f>
        <v>1224</v>
      </c>
      <c r="AK16" s="5491">
        <f>SUM('EGRESO POS ACUM plan'!M67:M73)</f>
        <v>652</v>
      </c>
      <c r="AL16" s="5492">
        <f>SUM(AI16:AK16)</f>
        <v>1876</v>
      </c>
    </row>
    <row r="17" spans="1:38" ht="15" x14ac:dyDescent="0.2">
      <c r="A17" s="6507"/>
      <c r="B17" s="380" t="s">
        <v>6</v>
      </c>
      <c r="C17" s="5493">
        <f>SUM('EGRESO POS ACUM plan'!E75:E75)</f>
        <v>350</v>
      </c>
      <c r="D17" s="5494">
        <f>SUM('EGRESO POS ACUM plan'!E76:E83)</f>
        <v>709</v>
      </c>
      <c r="E17" s="5494">
        <f>SUM('EGRESO POS ACUM plan'!E84:E89)</f>
        <v>367</v>
      </c>
      <c r="F17" s="5495">
        <f>SUM(C17:E17)</f>
        <v>1426</v>
      </c>
      <c r="G17" s="5493">
        <f>SUM('EGRESO POS ACUM plan'!F75:F75)</f>
        <v>374</v>
      </c>
      <c r="H17" s="5494">
        <f>SUM('EGRESO POS ACUM plan'!F76:F83)</f>
        <v>782</v>
      </c>
      <c r="I17" s="5494">
        <f>SUM('EGRESO POS ACUM plan'!F84:F89)</f>
        <v>411</v>
      </c>
      <c r="J17" s="5495">
        <f>SUM(G17:I17)</f>
        <v>1567</v>
      </c>
      <c r="K17" s="5493">
        <f>SUM('EGRESO POS ACUM plan'!G75:G75)</f>
        <v>487</v>
      </c>
      <c r="L17" s="5494">
        <f>SUM('EGRESO POS ACUM plan'!G76:G83)</f>
        <v>892</v>
      </c>
      <c r="M17" s="5494">
        <f>SUM('EGRESO POS ACUM plan'!G84:G89)</f>
        <v>472</v>
      </c>
      <c r="N17" s="5495">
        <f>SUM(K17:M17)</f>
        <v>1851</v>
      </c>
      <c r="O17" s="5493">
        <f>SUM('EGRESO POS ACUM plan'!H75:H75)</f>
        <v>595</v>
      </c>
      <c r="P17" s="5494">
        <f>SUM('EGRESO POS ACUM plan'!H76:H83)</f>
        <v>941</v>
      </c>
      <c r="Q17" s="5494">
        <f>SUM('EGRESO POS ACUM plan'!H84:H89)</f>
        <v>521</v>
      </c>
      <c r="R17" s="5495">
        <f>SUM(O17:Q17)</f>
        <v>2057</v>
      </c>
      <c r="S17" s="5493">
        <f>SUM('EGRESO POS ACUM plan'!I75:I75)</f>
        <v>612</v>
      </c>
      <c r="T17" s="5494">
        <f>SUM('EGRESO POS ACUM plan'!I76:I83)</f>
        <v>1011</v>
      </c>
      <c r="U17" s="5494">
        <f>SUM('EGRESO POS ACUM plan'!I84:I89)</f>
        <v>579</v>
      </c>
      <c r="V17" s="5495">
        <f>SUM(S17:U17)</f>
        <v>2202</v>
      </c>
      <c r="W17" s="5493">
        <f>SUM('EGRESO POS ACUM plan'!J75:J75)</f>
        <v>635</v>
      </c>
      <c r="X17" s="5494">
        <f>SUM('EGRESO POS ACUM plan'!J76:J83)</f>
        <v>1129</v>
      </c>
      <c r="Y17" s="5494">
        <f>SUM('EGRESO POS ACUM plan'!J84:J89)</f>
        <v>655</v>
      </c>
      <c r="Z17" s="5495">
        <f>SUM(W17:Y17)</f>
        <v>2419</v>
      </c>
      <c r="AA17" s="5493">
        <f>SUM('EGRESO POS ACUM plan'!K75)</f>
        <v>651</v>
      </c>
      <c r="AB17" s="5494">
        <f>SUM('EGRESO POS ACUM plan'!K76:K83)</f>
        <v>1158</v>
      </c>
      <c r="AC17" s="5494">
        <f>SUM('EGRESO POS ACUM plan'!K84:K89)</f>
        <v>696</v>
      </c>
      <c r="AD17" s="5495">
        <f>SUM(AA17:AC17)</f>
        <v>2505</v>
      </c>
      <c r="AE17" s="5493">
        <f>SUM('EGRESO POS ACUM plan'!L75)</f>
        <v>701</v>
      </c>
      <c r="AF17" s="5494">
        <f>SUM('EGRESO POS ACUM plan'!L76:L83)</f>
        <v>1256</v>
      </c>
      <c r="AG17" s="5494">
        <f>SUM('EGRESO POS ACUM plan'!L84:L89)</f>
        <v>766</v>
      </c>
      <c r="AH17" s="5495">
        <f>SUM(AE17:AG17)</f>
        <v>2723</v>
      </c>
      <c r="AI17" s="5493">
        <f>SUM('EGRESO POS ACUM plan'!M75)</f>
        <v>717</v>
      </c>
      <c r="AJ17" s="5494">
        <f>SUM('EGRESO POS ACUM plan'!M76:M83)</f>
        <v>1311</v>
      </c>
      <c r="AK17" s="5494">
        <f>SUM('EGRESO POS ACUM plan'!M84:M89)</f>
        <v>813</v>
      </c>
      <c r="AL17" s="5495">
        <f>SUM(AI17:AK17)</f>
        <v>2841</v>
      </c>
    </row>
    <row r="18" spans="1:38" ht="15" x14ac:dyDescent="0.2">
      <c r="A18" s="6507"/>
      <c r="B18" s="380" t="s">
        <v>11</v>
      </c>
      <c r="C18" s="5493">
        <f>SUM('EGRESO POS ACUM plan'!E91:E92)</f>
        <v>152</v>
      </c>
      <c r="D18" s="5494">
        <f>SUM('EGRESO POS ACUM plan'!E93:E98)</f>
        <v>501</v>
      </c>
      <c r="E18" s="5494">
        <f>SUM('EGRESO POS ACUM plan'!E99:E102)</f>
        <v>227</v>
      </c>
      <c r="F18" s="5495">
        <f>SUM(C18:E18)</f>
        <v>880</v>
      </c>
      <c r="G18" s="5493">
        <f>SUM('EGRESO POS ACUM plan'!F91:F92)</f>
        <v>174</v>
      </c>
      <c r="H18" s="5494">
        <f>SUM('EGRESO POS ACUM plan'!F93:F98)</f>
        <v>547</v>
      </c>
      <c r="I18" s="5494">
        <f>SUM('EGRESO POS ACUM plan'!F99:F102)</f>
        <v>255</v>
      </c>
      <c r="J18" s="5495">
        <f>SUM(G18:I18)</f>
        <v>976</v>
      </c>
      <c r="K18" s="5493">
        <f>SUM('EGRESO POS ACUM plan'!G91:G92)</f>
        <v>196</v>
      </c>
      <c r="L18" s="5494">
        <f>SUM('EGRESO POS ACUM plan'!G93:G98)</f>
        <v>596</v>
      </c>
      <c r="M18" s="5494">
        <f>SUM('EGRESO POS ACUM plan'!G99:G102)</f>
        <v>288</v>
      </c>
      <c r="N18" s="5495">
        <f>SUM(K18:M18)</f>
        <v>1080</v>
      </c>
      <c r="O18" s="5493">
        <f>SUM('EGRESO POS ACUM plan'!H91:H92)</f>
        <v>213</v>
      </c>
      <c r="P18" s="5494">
        <f>SUM('EGRESO POS ACUM plan'!H93:H98)</f>
        <v>636</v>
      </c>
      <c r="Q18" s="5494">
        <f>SUM('EGRESO POS ACUM plan'!H99:H102)</f>
        <v>321</v>
      </c>
      <c r="R18" s="5495">
        <f>SUM(O18:Q18)</f>
        <v>1170</v>
      </c>
      <c r="S18" s="5493">
        <f>SUM('EGRESO POS ACUM plan'!I91:I92)</f>
        <v>242</v>
      </c>
      <c r="T18" s="5494">
        <f>SUM('EGRESO POS ACUM plan'!I93:I98)</f>
        <v>688</v>
      </c>
      <c r="U18" s="5494">
        <f>SUM('EGRESO POS ACUM plan'!I99:I102)</f>
        <v>352</v>
      </c>
      <c r="V18" s="5495">
        <f>SUM(S18:U18)</f>
        <v>1282</v>
      </c>
      <c r="W18" s="5493">
        <f>SUM('EGRESO POS ACUM plan'!J91:J92)</f>
        <v>254</v>
      </c>
      <c r="X18" s="5494">
        <f>SUM('EGRESO POS ACUM plan'!J93:J98)</f>
        <v>751</v>
      </c>
      <c r="Y18" s="5494">
        <f>SUM('EGRESO POS ACUM plan'!J99:J102)</f>
        <v>390</v>
      </c>
      <c r="Z18" s="5495">
        <f>SUM(W18:Y18)</f>
        <v>1395</v>
      </c>
      <c r="AA18" s="5493">
        <f>SUM('EGRESO POS ACUM plan'!K91:K92)</f>
        <v>274</v>
      </c>
      <c r="AB18" s="5494">
        <f>SUM('EGRESO POS ACUM plan'!K93:K98)</f>
        <v>810</v>
      </c>
      <c r="AC18" s="5494">
        <f>SUM('EGRESO POS ACUM plan'!K99:K102)</f>
        <v>429</v>
      </c>
      <c r="AD18" s="5495">
        <f>SUM(AA18:AC18)</f>
        <v>1513</v>
      </c>
      <c r="AE18" s="5493">
        <f>SUM('EGRESO POS ACUM plan'!L91:L92)</f>
        <v>295</v>
      </c>
      <c r="AF18" s="5494">
        <f>SUM('EGRESO POS ACUM plan'!L93:L98)</f>
        <v>888</v>
      </c>
      <c r="AG18" s="5494">
        <f>SUM('EGRESO POS ACUM plan'!L99:L102)</f>
        <v>462</v>
      </c>
      <c r="AH18" s="5495">
        <f>SUM(AE18:AG18)</f>
        <v>1645</v>
      </c>
      <c r="AI18" s="5493">
        <f>SUM('EGRESO POS ACUM plan'!M91:M92)</f>
        <v>311</v>
      </c>
      <c r="AJ18" s="5494">
        <f>SUM('EGRESO POS ACUM plan'!M93:M98)</f>
        <v>936</v>
      </c>
      <c r="AK18" s="5494">
        <f>SUM('EGRESO POS ACUM plan'!M99:M102)</f>
        <v>496</v>
      </c>
      <c r="AL18" s="5495">
        <f>SUM(AI18:AK18)</f>
        <v>1743</v>
      </c>
    </row>
    <row r="19" spans="1:38" ht="15" x14ac:dyDescent="0.2">
      <c r="A19" s="6508"/>
      <c r="B19" s="2442" t="s">
        <v>160</v>
      </c>
      <c r="C19" s="2443">
        <f t="shared" ref="C19:R19" si="7">SUM(C16:C18)</f>
        <v>502</v>
      </c>
      <c r="D19" s="2444">
        <f t="shared" si="7"/>
        <v>1973</v>
      </c>
      <c r="E19" s="2444">
        <f t="shared" si="7"/>
        <v>1012</v>
      </c>
      <c r="F19" s="2445">
        <f t="shared" si="7"/>
        <v>3487</v>
      </c>
      <c r="G19" s="2443">
        <f t="shared" si="7"/>
        <v>548</v>
      </c>
      <c r="H19" s="2444">
        <f t="shared" si="7"/>
        <v>2145</v>
      </c>
      <c r="I19" s="2444">
        <f t="shared" si="7"/>
        <v>1119</v>
      </c>
      <c r="J19" s="2445">
        <f t="shared" si="7"/>
        <v>3812</v>
      </c>
      <c r="K19" s="2443">
        <f t="shared" si="7"/>
        <v>683</v>
      </c>
      <c r="L19" s="2444">
        <f t="shared" si="7"/>
        <v>2349</v>
      </c>
      <c r="M19" s="2444">
        <f t="shared" si="7"/>
        <v>1236</v>
      </c>
      <c r="N19" s="2445">
        <f t="shared" si="7"/>
        <v>4268</v>
      </c>
      <c r="O19" s="2443">
        <f t="shared" si="7"/>
        <v>808</v>
      </c>
      <c r="P19" s="2444">
        <f t="shared" si="7"/>
        <v>2484</v>
      </c>
      <c r="Q19" s="2444">
        <f t="shared" si="7"/>
        <v>1339</v>
      </c>
      <c r="R19" s="2445">
        <f t="shared" si="7"/>
        <v>4631</v>
      </c>
      <c r="S19" s="2443">
        <f t="shared" ref="S19:Z19" si="8">SUM(S16:S18)</f>
        <v>854</v>
      </c>
      <c r="T19" s="2444">
        <f t="shared" si="8"/>
        <v>2670</v>
      </c>
      <c r="U19" s="2444">
        <f t="shared" si="8"/>
        <v>1452</v>
      </c>
      <c r="V19" s="2445">
        <f t="shared" si="8"/>
        <v>4976</v>
      </c>
      <c r="W19" s="2443">
        <f t="shared" si="8"/>
        <v>889</v>
      </c>
      <c r="X19" s="2444">
        <f t="shared" si="8"/>
        <v>2909</v>
      </c>
      <c r="Y19" s="2444">
        <f t="shared" si="8"/>
        <v>1601</v>
      </c>
      <c r="Z19" s="2445">
        <f t="shared" si="8"/>
        <v>5399</v>
      </c>
      <c r="AA19" s="2443">
        <f t="shared" ref="AA19:AH19" si="9">SUM(AA16:AA18)</f>
        <v>925</v>
      </c>
      <c r="AB19" s="2444">
        <f t="shared" si="9"/>
        <v>3049</v>
      </c>
      <c r="AC19" s="2444">
        <f t="shared" si="9"/>
        <v>1703</v>
      </c>
      <c r="AD19" s="2445">
        <f t="shared" si="9"/>
        <v>5677</v>
      </c>
      <c r="AE19" s="2443">
        <f t="shared" si="9"/>
        <v>996</v>
      </c>
      <c r="AF19" s="2444">
        <f t="shared" si="9"/>
        <v>3287</v>
      </c>
      <c r="AG19" s="2444">
        <f t="shared" si="9"/>
        <v>1843</v>
      </c>
      <c r="AH19" s="2445">
        <f t="shared" si="9"/>
        <v>6126</v>
      </c>
      <c r="AI19" s="2443">
        <f t="shared" ref="AI19:AL19" si="10">SUM(AI16:AI18)</f>
        <v>1028</v>
      </c>
      <c r="AJ19" s="2444">
        <f t="shared" si="10"/>
        <v>3471</v>
      </c>
      <c r="AK19" s="2444">
        <f t="shared" si="10"/>
        <v>1961</v>
      </c>
      <c r="AL19" s="2445">
        <f t="shared" si="10"/>
        <v>6460</v>
      </c>
    </row>
    <row r="20" spans="1:38" ht="15" customHeight="1" x14ac:dyDescent="0.25">
      <c r="A20" s="137"/>
      <c r="B20" s="137"/>
      <c r="C20" s="1677"/>
      <c r="D20" s="1677"/>
      <c r="E20" s="1677"/>
      <c r="F20" s="5496"/>
      <c r="G20" s="1677"/>
      <c r="H20" s="1677"/>
      <c r="I20" s="1677"/>
      <c r="J20" s="5496"/>
      <c r="K20" s="1677"/>
      <c r="L20" s="1677"/>
      <c r="M20" s="1677"/>
      <c r="N20" s="5496"/>
      <c r="O20" s="1677"/>
      <c r="P20" s="1677"/>
      <c r="Q20" s="1677"/>
      <c r="R20" s="5496"/>
      <c r="S20" s="1677"/>
      <c r="T20" s="1677"/>
      <c r="U20" s="1677"/>
      <c r="V20" s="5496"/>
      <c r="W20" s="1677"/>
      <c r="X20" s="1677"/>
      <c r="Y20" s="1677"/>
      <c r="Z20" s="5496"/>
      <c r="AA20" s="1677"/>
      <c r="AB20" s="1677"/>
      <c r="AC20" s="1677"/>
      <c r="AD20" s="5496"/>
      <c r="AE20" s="1677"/>
      <c r="AF20" s="1677"/>
      <c r="AG20" s="1677"/>
      <c r="AH20" s="5496"/>
      <c r="AI20" s="1677"/>
      <c r="AJ20" s="1677"/>
      <c r="AK20" s="1677"/>
      <c r="AL20" s="5496"/>
    </row>
    <row r="21" spans="1:38" ht="15" x14ac:dyDescent="0.2">
      <c r="A21" s="6509" t="s">
        <v>127</v>
      </c>
      <c r="B21" s="379" t="s">
        <v>6</v>
      </c>
      <c r="C21" s="5490">
        <f>SUM('EGRESO POS ACUM plan'!E105:E106)</f>
        <v>252</v>
      </c>
      <c r="D21" s="5491">
        <f>SUM('EGRESO POS ACUM plan'!E107:E117)</f>
        <v>711</v>
      </c>
      <c r="E21" s="5491">
        <f>SUM('EGRESO POS ACUM plan'!E119:E121)</f>
        <v>183</v>
      </c>
      <c r="F21" s="5492">
        <f>SUM(C21:E21)</f>
        <v>1146</v>
      </c>
      <c r="G21" s="5490">
        <f>SUM('EGRESO POS ACUM plan'!F105:F106)</f>
        <v>293</v>
      </c>
      <c r="H21" s="5491">
        <f>SUM('EGRESO POS ACUM plan'!F107:F117)</f>
        <v>824</v>
      </c>
      <c r="I21" s="5491">
        <f>SUM('EGRESO POS ACUM plan'!F119:F121)</f>
        <v>228</v>
      </c>
      <c r="J21" s="5492">
        <f>SUM(G21:I21)</f>
        <v>1345</v>
      </c>
      <c r="K21" s="5490">
        <f>SUM('EGRESO POS ACUM plan'!G105:G106)</f>
        <v>312</v>
      </c>
      <c r="L21" s="5491">
        <f>SUM('EGRESO POS ACUM plan'!G107:G117)</f>
        <v>924</v>
      </c>
      <c r="M21" s="5491">
        <f>SUM('EGRESO POS ACUM plan'!G119:G121)</f>
        <v>261</v>
      </c>
      <c r="N21" s="5492">
        <f>SUM(K21:M21)</f>
        <v>1497</v>
      </c>
      <c r="O21" s="5490">
        <f>SUM('EGRESO POS ACUM plan'!H105:H106)</f>
        <v>312</v>
      </c>
      <c r="P21" s="5491">
        <f>SUM('EGRESO POS ACUM plan'!H107:H117)</f>
        <v>990</v>
      </c>
      <c r="Q21" s="5491">
        <f>SUM('EGRESO POS ACUM plan'!H119:H121)</f>
        <v>286</v>
      </c>
      <c r="R21" s="5492">
        <f>SUM(O21:Q21)</f>
        <v>1588</v>
      </c>
      <c r="S21" s="5490">
        <f>SUM('EGRESO POS ACUM plan'!I105:I106)</f>
        <v>350</v>
      </c>
      <c r="T21" s="5491">
        <f>SUM('EGRESO POS ACUM plan'!I107:I117)</f>
        <v>1059</v>
      </c>
      <c r="U21" s="5491">
        <f>SUM('EGRESO POS ACUM plan'!I119:I121)</f>
        <v>318</v>
      </c>
      <c r="V21" s="5492">
        <f>SUM(S21:U21)</f>
        <v>1727</v>
      </c>
      <c r="W21" s="5490">
        <f>SUM('EGRESO POS ACUM plan'!J105:J106)</f>
        <v>379</v>
      </c>
      <c r="X21" s="5491">
        <f>SUM('EGRESO POS ACUM plan'!J107:J118)</f>
        <v>1121</v>
      </c>
      <c r="Y21" s="5491">
        <f>SUM('EGRESO POS ACUM plan'!J119:J121)</f>
        <v>345</v>
      </c>
      <c r="Z21" s="5492">
        <f>SUM(W21:Y21)</f>
        <v>1845</v>
      </c>
      <c r="AA21" s="5490">
        <f>SUM('EGRESO POS ACUM plan'!K105:K106)</f>
        <v>380</v>
      </c>
      <c r="AB21" s="5491">
        <f>SUM('EGRESO POS ACUM plan'!K107:K118)</f>
        <v>1194</v>
      </c>
      <c r="AC21" s="5491">
        <f>SUM('EGRESO POS ACUM plan'!K119:K121)</f>
        <v>378</v>
      </c>
      <c r="AD21" s="5492">
        <f>SUM(AA21:AC21)</f>
        <v>1952</v>
      </c>
      <c r="AE21" s="5490">
        <f>SUM('EGRESO POS ACUM plan'!L105:L106)</f>
        <v>381</v>
      </c>
      <c r="AF21" s="5491">
        <f>SUM('EGRESO POS ACUM plan'!L107:L118)</f>
        <v>1274</v>
      </c>
      <c r="AG21" s="5491">
        <f>SUM('EGRESO POS ACUM plan'!L119:L121)</f>
        <v>396</v>
      </c>
      <c r="AH21" s="5492">
        <f>SUM(AE21:AG21)</f>
        <v>2051</v>
      </c>
      <c r="AI21" s="5490">
        <f>SUM('EGRESO POS ACUM plan'!M105:M106)</f>
        <v>415</v>
      </c>
      <c r="AJ21" s="5491">
        <f>SUM('EGRESO POS ACUM plan'!M107:M118)</f>
        <v>1359</v>
      </c>
      <c r="AK21" s="5491">
        <f>SUM('EGRESO POS ACUM plan'!M119:M121)</f>
        <v>427</v>
      </c>
      <c r="AL21" s="5492">
        <f>SUM(AI21:AK21)</f>
        <v>2201</v>
      </c>
    </row>
    <row r="22" spans="1:38" ht="15" x14ac:dyDescent="0.2">
      <c r="A22" s="6510"/>
      <c r="B22" s="380" t="s">
        <v>11</v>
      </c>
      <c r="C22" s="5493">
        <f>SUM('EGRESO POS ACUM plan'!E123:E126)</f>
        <v>220</v>
      </c>
      <c r="D22" s="5494">
        <f>SUM('EGRESO POS ACUM plan'!E127:E133)</f>
        <v>454</v>
      </c>
      <c r="E22" s="5494">
        <f>SUM('EGRESO POS ACUM plan'!E135:E138)</f>
        <v>85</v>
      </c>
      <c r="F22" s="5495">
        <f>SUM(C22:E22)</f>
        <v>759</v>
      </c>
      <c r="G22" s="5493">
        <f>SUM('EGRESO POS ACUM plan'!F123:F126)</f>
        <v>225</v>
      </c>
      <c r="H22" s="5494">
        <f>SUM('EGRESO POS ACUM plan'!F127:F133)</f>
        <v>511</v>
      </c>
      <c r="I22" s="5494">
        <f>SUM('EGRESO POS ACUM plan'!F135:F138)</f>
        <v>100</v>
      </c>
      <c r="J22" s="5495">
        <f>SUM(G22:I22)</f>
        <v>836</v>
      </c>
      <c r="K22" s="5493">
        <f>SUM('EGRESO POS ACUM plan'!G123:G126)</f>
        <v>230</v>
      </c>
      <c r="L22" s="5494">
        <f>SUM('EGRESO POS ACUM plan'!G127:G133)</f>
        <v>575</v>
      </c>
      <c r="M22" s="5494">
        <f>SUM('EGRESO POS ACUM plan'!G135:G138)</f>
        <v>122</v>
      </c>
      <c r="N22" s="5495">
        <f>SUM(K22:M22)</f>
        <v>927</v>
      </c>
      <c r="O22" s="5493">
        <f>SUM('EGRESO POS ACUM plan'!H123:H126)</f>
        <v>238</v>
      </c>
      <c r="P22" s="5494">
        <f>SUM('EGRESO POS ACUM plan'!H127:H133)</f>
        <v>607</v>
      </c>
      <c r="Q22" s="5494">
        <f>SUM('EGRESO POS ACUM plan'!H135:H138)</f>
        <v>139</v>
      </c>
      <c r="R22" s="5495">
        <f>SUM(O22:Q22)</f>
        <v>984</v>
      </c>
      <c r="S22" s="5493">
        <f>SUM('EGRESO POS ACUM plan'!I123:I126)</f>
        <v>238</v>
      </c>
      <c r="T22" s="5494">
        <f>SUM('EGRESO POS ACUM plan'!I127:I133)</f>
        <v>670</v>
      </c>
      <c r="U22" s="5494">
        <f>SUM('EGRESO POS ACUM plan'!I135:I138)</f>
        <v>154</v>
      </c>
      <c r="V22" s="5495">
        <f>SUM(S22:U22)</f>
        <v>1062</v>
      </c>
      <c r="W22" s="5493">
        <f>SUM('EGRESO POS ACUM plan'!J123:J125)</f>
        <v>219</v>
      </c>
      <c r="X22" s="5494">
        <f>SUM('EGRESO POS ACUM plan'!J126:J133)</f>
        <v>749</v>
      </c>
      <c r="Y22" s="5494">
        <f>SUM('EGRESO POS ACUM plan'!J135:J138)</f>
        <v>167</v>
      </c>
      <c r="Z22" s="5495">
        <f>SUM(W22:Y22)</f>
        <v>1135</v>
      </c>
      <c r="AA22" s="5493">
        <f>SUM('EGRESO POS ACUM plan'!K123:K126)</f>
        <v>255</v>
      </c>
      <c r="AB22" s="5494">
        <f>SUM('EGRESO POS ACUM plan'!K127:K133)</f>
        <v>783</v>
      </c>
      <c r="AC22" s="5494">
        <f>SUM('EGRESO POS ACUM plan'!K135:K138)</f>
        <v>183</v>
      </c>
      <c r="AD22" s="5495">
        <f>SUM(AA22:AC22)</f>
        <v>1221</v>
      </c>
      <c r="AE22" s="5493">
        <f>SUM('EGRESO POS ACUM plan'!L123:L126)</f>
        <v>258</v>
      </c>
      <c r="AF22" s="5494">
        <f>SUM('EGRESO POS ACUM plan'!L127:L134)</f>
        <v>838</v>
      </c>
      <c r="AG22" s="5494">
        <f>SUM('EGRESO POS ACUM plan'!L135:L138)</f>
        <v>203</v>
      </c>
      <c r="AH22" s="5495">
        <f>SUM(AE22:AG22)</f>
        <v>1299</v>
      </c>
      <c r="AI22" s="5493">
        <f>SUM('EGRESO POS ACUM plan'!M123:M126)</f>
        <v>260</v>
      </c>
      <c r="AJ22" s="5494">
        <f>SUM('EGRESO POS ACUM plan'!M127:M134)</f>
        <v>918</v>
      </c>
      <c r="AK22" s="5494">
        <f>SUM('EGRESO POS ACUM plan'!M135:M138)</f>
        <v>221</v>
      </c>
      <c r="AL22" s="5495">
        <f>SUM(AI22:AK22)</f>
        <v>1399</v>
      </c>
    </row>
    <row r="23" spans="1:38" ht="15" x14ac:dyDescent="0.2">
      <c r="A23" s="6510"/>
      <c r="B23" s="380" t="s">
        <v>7</v>
      </c>
      <c r="C23" s="5493"/>
      <c r="D23" s="5494">
        <f>SUM('EGRESO POS ACUM plan'!E140:E142)</f>
        <v>132</v>
      </c>
      <c r="E23" s="5494">
        <f>SUM('EGRESO POS ACUM plan'!E143)</f>
        <v>4</v>
      </c>
      <c r="F23" s="5495">
        <f>SUM(C23:E23)</f>
        <v>136</v>
      </c>
      <c r="G23" s="5493"/>
      <c r="H23" s="5494">
        <f>SUM('EGRESO POS ACUM plan'!F140:F142)</f>
        <v>147</v>
      </c>
      <c r="I23" s="5494">
        <f>SUM('EGRESO POS ACUM plan'!F143)</f>
        <v>7</v>
      </c>
      <c r="J23" s="5495">
        <f>SUM(G23:I23)</f>
        <v>154</v>
      </c>
      <c r="K23" s="5493"/>
      <c r="L23" s="5494">
        <f>SUM('EGRESO POS ACUM plan'!G140:G142)</f>
        <v>181</v>
      </c>
      <c r="M23" s="5494">
        <f>SUM('EGRESO POS ACUM plan'!G143)</f>
        <v>11</v>
      </c>
      <c r="N23" s="5495">
        <f>SUM(K23:M23)</f>
        <v>192</v>
      </c>
      <c r="O23" s="5493"/>
      <c r="P23" s="5494">
        <f>SUM('EGRESO POS ACUM plan'!H140:H142)</f>
        <v>195</v>
      </c>
      <c r="Q23" s="5494">
        <f>SUM('EGRESO POS ACUM plan'!H143)</f>
        <v>16</v>
      </c>
      <c r="R23" s="5495">
        <f>SUM(O23:Q23)</f>
        <v>211</v>
      </c>
      <c r="S23" s="5493"/>
      <c r="T23" s="5494">
        <f>SUM('EGRESO POS ACUM plan'!I140:I142)</f>
        <v>246</v>
      </c>
      <c r="U23" s="5494">
        <f>SUM('EGRESO POS ACUM plan'!I143)</f>
        <v>18</v>
      </c>
      <c r="V23" s="5495">
        <f>SUM(S23:U23)</f>
        <v>264</v>
      </c>
      <c r="W23" s="5493"/>
      <c r="X23" s="5494">
        <f>SUM('EGRESO POS ACUM plan'!J140:J142)</f>
        <v>269</v>
      </c>
      <c r="Y23" s="5494">
        <f>SUM('EGRESO POS ACUM plan'!J143)</f>
        <v>24</v>
      </c>
      <c r="Z23" s="5495">
        <f>SUM(W23:Y23)</f>
        <v>293</v>
      </c>
      <c r="AA23" s="5493"/>
      <c r="AB23" s="5494">
        <f>SUM('EGRESO POS ACUM plan'!K140:K142)</f>
        <v>320</v>
      </c>
      <c r="AC23" s="5494">
        <f>SUM('EGRESO POS ACUM plan'!K143)</f>
        <v>30</v>
      </c>
      <c r="AD23" s="5495">
        <f>SUM(AA23:AC23)</f>
        <v>350</v>
      </c>
      <c r="AE23" s="5493"/>
      <c r="AF23" s="5494">
        <f>SUM('EGRESO POS ACUM plan'!L140:L142)</f>
        <v>347</v>
      </c>
      <c r="AG23" s="5494">
        <f>SUM('EGRESO POS ACUM plan'!L143)</f>
        <v>35</v>
      </c>
      <c r="AH23" s="5495">
        <f>SUM(AE23:AG23)</f>
        <v>382</v>
      </c>
      <c r="AI23" s="5493"/>
      <c r="AJ23" s="5494">
        <f>SUM('EGRESO POS ACUM plan'!M140:M142)</f>
        <v>385</v>
      </c>
      <c r="AK23" s="5494">
        <f>SUM('EGRESO POS ACUM plan'!M143)</f>
        <v>42</v>
      </c>
      <c r="AL23" s="5495">
        <f>SUM(AI23:AK23)</f>
        <v>427</v>
      </c>
    </row>
    <row r="24" spans="1:38" ht="15" x14ac:dyDescent="0.2">
      <c r="A24" s="6511"/>
      <c r="B24" s="2454" t="s">
        <v>160</v>
      </c>
      <c r="C24" s="2455">
        <f t="shared" ref="C24:R24" si="11">SUM(C21:C23)</f>
        <v>472</v>
      </c>
      <c r="D24" s="2456">
        <f t="shared" si="11"/>
        <v>1297</v>
      </c>
      <c r="E24" s="2456">
        <f t="shared" si="11"/>
        <v>272</v>
      </c>
      <c r="F24" s="2457">
        <f t="shared" si="11"/>
        <v>2041</v>
      </c>
      <c r="G24" s="2455">
        <f t="shared" si="11"/>
        <v>518</v>
      </c>
      <c r="H24" s="2456">
        <f t="shared" si="11"/>
        <v>1482</v>
      </c>
      <c r="I24" s="2456">
        <f t="shared" si="11"/>
        <v>335</v>
      </c>
      <c r="J24" s="2457">
        <f t="shared" si="11"/>
        <v>2335</v>
      </c>
      <c r="K24" s="2455">
        <f t="shared" si="11"/>
        <v>542</v>
      </c>
      <c r="L24" s="2456">
        <f t="shared" si="11"/>
        <v>1680</v>
      </c>
      <c r="M24" s="2456">
        <f t="shared" si="11"/>
        <v>394</v>
      </c>
      <c r="N24" s="2457">
        <f t="shared" si="11"/>
        <v>2616</v>
      </c>
      <c r="O24" s="2455">
        <f t="shared" si="11"/>
        <v>550</v>
      </c>
      <c r="P24" s="2456">
        <f t="shared" si="11"/>
        <v>1792</v>
      </c>
      <c r="Q24" s="2456">
        <f t="shared" si="11"/>
        <v>441</v>
      </c>
      <c r="R24" s="2457">
        <f t="shared" si="11"/>
        <v>2783</v>
      </c>
      <c r="S24" s="2455">
        <f t="shared" ref="S24:Z24" si="12">SUM(S21:S23)</f>
        <v>588</v>
      </c>
      <c r="T24" s="2456">
        <f t="shared" si="12"/>
        <v>1975</v>
      </c>
      <c r="U24" s="2456">
        <f t="shared" si="12"/>
        <v>490</v>
      </c>
      <c r="V24" s="2457">
        <f t="shared" si="12"/>
        <v>3053</v>
      </c>
      <c r="W24" s="2455">
        <f t="shared" si="12"/>
        <v>598</v>
      </c>
      <c r="X24" s="2456">
        <f t="shared" si="12"/>
        <v>2139</v>
      </c>
      <c r="Y24" s="2456">
        <f t="shared" si="12"/>
        <v>536</v>
      </c>
      <c r="Z24" s="2457">
        <f t="shared" si="12"/>
        <v>3273</v>
      </c>
      <c r="AA24" s="2455">
        <f t="shared" ref="AA24:AH24" si="13">SUM(AA21:AA23)</f>
        <v>635</v>
      </c>
      <c r="AB24" s="2456">
        <f t="shared" si="13"/>
        <v>2297</v>
      </c>
      <c r="AC24" s="2456">
        <f t="shared" si="13"/>
        <v>591</v>
      </c>
      <c r="AD24" s="2457">
        <f t="shared" si="13"/>
        <v>3523</v>
      </c>
      <c r="AE24" s="2455">
        <f t="shared" si="13"/>
        <v>639</v>
      </c>
      <c r="AF24" s="2456">
        <f t="shared" si="13"/>
        <v>2459</v>
      </c>
      <c r="AG24" s="2456">
        <f t="shared" si="13"/>
        <v>634</v>
      </c>
      <c r="AH24" s="2457">
        <f t="shared" si="13"/>
        <v>3732</v>
      </c>
      <c r="AI24" s="2455">
        <f t="shared" ref="AI24:AL24" si="14">SUM(AI21:AI23)</f>
        <v>675</v>
      </c>
      <c r="AJ24" s="2456">
        <f t="shared" si="14"/>
        <v>2662</v>
      </c>
      <c r="AK24" s="2456">
        <f t="shared" si="14"/>
        <v>690</v>
      </c>
      <c r="AL24" s="2457">
        <f t="shared" si="14"/>
        <v>4027</v>
      </c>
    </row>
    <row r="25" spans="1:38" ht="15" customHeight="1" x14ac:dyDescent="0.25">
      <c r="A25" s="137"/>
      <c r="B25" s="137"/>
      <c r="C25" s="1677"/>
      <c r="D25" s="1677"/>
      <c r="E25" s="1677"/>
      <c r="F25" s="5496"/>
      <c r="G25" s="1677"/>
      <c r="H25" s="1677"/>
      <c r="I25" s="1677"/>
      <c r="J25" s="5496"/>
      <c r="K25" s="1677"/>
      <c r="L25" s="1677"/>
      <c r="M25" s="1677"/>
      <c r="N25" s="5496"/>
      <c r="O25" s="1677"/>
      <c r="P25" s="1677"/>
      <c r="Q25" s="1677"/>
      <c r="R25" s="5496"/>
      <c r="S25" s="1677"/>
      <c r="T25" s="1677"/>
      <c r="U25" s="1677"/>
      <c r="V25" s="5496"/>
      <c r="W25" s="1677"/>
      <c r="X25" s="1677"/>
      <c r="Y25" s="1677"/>
      <c r="Z25" s="5496"/>
      <c r="AA25" s="1677"/>
      <c r="AB25" s="1677"/>
      <c r="AC25" s="1677"/>
      <c r="AD25" s="5496"/>
      <c r="AE25" s="1677"/>
      <c r="AF25" s="1677"/>
      <c r="AG25" s="1677"/>
      <c r="AH25" s="5496"/>
      <c r="AI25" s="1677"/>
      <c r="AJ25" s="1677"/>
      <c r="AK25" s="1677"/>
      <c r="AL25" s="5496"/>
    </row>
    <row r="26" spans="1:38" ht="15" customHeight="1" x14ac:dyDescent="0.2">
      <c r="A26" s="6500" t="s">
        <v>60</v>
      </c>
      <c r="B26" s="379" t="s">
        <v>5</v>
      </c>
      <c r="C26" s="5490">
        <f t="shared" ref="C26:R26" si="15">SUM(C6,C16)</f>
        <v>4</v>
      </c>
      <c r="D26" s="5491">
        <f t="shared" si="15"/>
        <v>1010</v>
      </c>
      <c r="E26" s="5491">
        <f t="shared" si="15"/>
        <v>449</v>
      </c>
      <c r="F26" s="5492">
        <f t="shared" si="15"/>
        <v>1463</v>
      </c>
      <c r="G26" s="5490">
        <f t="shared" si="15"/>
        <v>4</v>
      </c>
      <c r="H26" s="5491">
        <f t="shared" si="15"/>
        <v>1080</v>
      </c>
      <c r="I26" s="5491">
        <f t="shared" si="15"/>
        <v>490</v>
      </c>
      <c r="J26" s="5492">
        <f t="shared" si="15"/>
        <v>1574</v>
      </c>
      <c r="K26" s="5490">
        <f t="shared" si="15"/>
        <v>4</v>
      </c>
      <c r="L26" s="5491">
        <f t="shared" si="15"/>
        <v>1157</v>
      </c>
      <c r="M26" s="5491">
        <f t="shared" si="15"/>
        <v>524</v>
      </c>
      <c r="N26" s="5492">
        <f t="shared" si="15"/>
        <v>1685</v>
      </c>
      <c r="O26" s="5490">
        <f t="shared" si="15"/>
        <v>4</v>
      </c>
      <c r="P26" s="5491">
        <f t="shared" si="15"/>
        <v>1240</v>
      </c>
      <c r="Q26" s="5491">
        <f t="shared" si="15"/>
        <v>551</v>
      </c>
      <c r="R26" s="5492">
        <f t="shared" si="15"/>
        <v>1795</v>
      </c>
      <c r="S26" s="5490">
        <f>SUM(S6,S16)</f>
        <v>4</v>
      </c>
      <c r="T26" s="5491">
        <f>SUM(T6,T16)</f>
        <v>1328</v>
      </c>
      <c r="U26" s="5491">
        <f>SUM(U6,U16)</f>
        <v>588</v>
      </c>
      <c r="V26" s="5492">
        <f t="shared" ref="V26:V31" si="16">SUM(S26:U26)</f>
        <v>1920</v>
      </c>
      <c r="W26" s="5490">
        <f>SUM(W6,W16)</f>
        <v>4</v>
      </c>
      <c r="X26" s="5491">
        <f>SUM(X6,X16)</f>
        <v>1422</v>
      </c>
      <c r="Y26" s="5491">
        <f>SUM(Y6,Y16)</f>
        <v>629</v>
      </c>
      <c r="Z26" s="5492">
        <f t="shared" ref="Z26:Z31" si="17">SUM(W26:Y26)</f>
        <v>2055</v>
      </c>
      <c r="AA26" s="5490">
        <f>SUM(AA6,AA16)</f>
        <v>4</v>
      </c>
      <c r="AB26" s="5491">
        <f>SUM(AB6,AB16)</f>
        <v>1510</v>
      </c>
      <c r="AC26" s="5491">
        <f>SUM(AC6,AC16)</f>
        <v>655</v>
      </c>
      <c r="AD26" s="5492">
        <f t="shared" ref="AD26:AD31" si="18">SUM(AA26:AC26)</f>
        <v>2169</v>
      </c>
      <c r="AE26" s="5490">
        <f>SUM(AE6,AE16)</f>
        <v>4</v>
      </c>
      <c r="AF26" s="5491">
        <f>SUM(AF6,AF16)</f>
        <v>1626</v>
      </c>
      <c r="AG26" s="5491">
        <f>SUM(AG6,AG16)</f>
        <v>699</v>
      </c>
      <c r="AH26" s="5492">
        <f t="shared" ref="AH26:AH31" si="19">SUM(AE26:AG26)</f>
        <v>2329</v>
      </c>
      <c r="AI26" s="5490">
        <f>SUM(AI6,AI16)</f>
        <v>4</v>
      </c>
      <c r="AJ26" s="5491">
        <f>SUM(AJ6,AJ16)</f>
        <v>1773</v>
      </c>
      <c r="AK26" s="5491">
        <f>SUM(AK6,AK16)</f>
        <v>746</v>
      </c>
      <c r="AL26" s="5492">
        <f t="shared" ref="AL26:AL31" si="20">SUM(AI26:AK26)</f>
        <v>2523</v>
      </c>
    </row>
    <row r="27" spans="1:38" ht="15" x14ac:dyDescent="0.2">
      <c r="A27" s="6501"/>
      <c r="B27" s="380" t="s">
        <v>6</v>
      </c>
      <c r="C27" s="5493">
        <f t="shared" ref="C27:R27" si="21">SUM(C7,C17,C21)</f>
        <v>820</v>
      </c>
      <c r="D27" s="5494">
        <f t="shared" si="21"/>
        <v>1680</v>
      </c>
      <c r="E27" s="5494">
        <f t="shared" si="21"/>
        <v>553</v>
      </c>
      <c r="F27" s="5495">
        <f t="shared" si="21"/>
        <v>3053</v>
      </c>
      <c r="G27" s="5493">
        <f t="shared" si="21"/>
        <v>903</v>
      </c>
      <c r="H27" s="5494">
        <f t="shared" si="21"/>
        <v>1902</v>
      </c>
      <c r="I27" s="5494">
        <f t="shared" si="21"/>
        <v>645</v>
      </c>
      <c r="J27" s="5495">
        <f t="shared" si="21"/>
        <v>3450</v>
      </c>
      <c r="K27" s="5493">
        <f t="shared" si="21"/>
        <v>1058</v>
      </c>
      <c r="L27" s="5494">
        <f t="shared" si="21"/>
        <v>2144</v>
      </c>
      <c r="M27" s="5494">
        <f t="shared" si="21"/>
        <v>746</v>
      </c>
      <c r="N27" s="5495">
        <f t="shared" si="21"/>
        <v>3948</v>
      </c>
      <c r="O27" s="5493">
        <f t="shared" si="21"/>
        <v>1193</v>
      </c>
      <c r="P27" s="5494">
        <f t="shared" si="21"/>
        <v>2285</v>
      </c>
      <c r="Q27" s="5494">
        <f t="shared" si="21"/>
        <v>826</v>
      </c>
      <c r="R27" s="5495">
        <f t="shared" si="21"/>
        <v>4304</v>
      </c>
      <c r="S27" s="5493">
        <f>SUM(S7,S11,S17,S21)</f>
        <v>1260</v>
      </c>
      <c r="T27" s="5494">
        <f>SUM(T7,T11,T17,T21)</f>
        <v>2462</v>
      </c>
      <c r="U27" s="5494">
        <f>SUM(U7,U11,U17,U21)</f>
        <v>925</v>
      </c>
      <c r="V27" s="5495">
        <f t="shared" si="16"/>
        <v>4647</v>
      </c>
      <c r="W27" s="5493">
        <f>SUM(W7,W11,W17,W21)</f>
        <v>1336</v>
      </c>
      <c r="X27" s="5494">
        <f>SUM(X7,X11,X17,X21)</f>
        <v>2682</v>
      </c>
      <c r="Y27" s="5494">
        <f>SUM(Y7,Y11,Y17,Y21)</f>
        <v>1043</v>
      </c>
      <c r="Z27" s="5495">
        <f t="shared" si="17"/>
        <v>5061</v>
      </c>
      <c r="AA27" s="5493">
        <f>SUM(AA7,AA11,AA17,AA21)</f>
        <v>1369</v>
      </c>
      <c r="AB27" s="5494">
        <f>SUM(AB7,AB11,AB17,AB21)</f>
        <v>2816</v>
      </c>
      <c r="AC27" s="5494">
        <f>SUM(AC7,AC11,AC17,AC21)</f>
        <v>1125</v>
      </c>
      <c r="AD27" s="5495">
        <f t="shared" si="18"/>
        <v>5310</v>
      </c>
      <c r="AE27" s="5493">
        <f>SUM(AE7,AE11,AE17,AE21)</f>
        <v>1444</v>
      </c>
      <c r="AF27" s="5494">
        <f>SUM(AF7,AF11,AF17,AF21)</f>
        <v>3052</v>
      </c>
      <c r="AG27" s="5494">
        <f>SUM(AG7,AG11,AG17,AG21)</f>
        <v>1229</v>
      </c>
      <c r="AH27" s="5495">
        <f t="shared" si="19"/>
        <v>5725</v>
      </c>
      <c r="AI27" s="5493">
        <f>SUM(AI7,AI11,AI17,AI21)</f>
        <v>1517</v>
      </c>
      <c r="AJ27" s="5494">
        <f>SUM(AJ7,AJ11,AJ17,AJ21)</f>
        <v>3229</v>
      </c>
      <c r="AK27" s="5494">
        <f>SUM(AK7,AK11,AK17,AK21)</f>
        <v>1320</v>
      </c>
      <c r="AL27" s="5495">
        <f t="shared" si="20"/>
        <v>6066</v>
      </c>
    </row>
    <row r="28" spans="1:38" ht="15" x14ac:dyDescent="0.2">
      <c r="A28" s="6501"/>
      <c r="B28" s="380" t="s">
        <v>11</v>
      </c>
      <c r="C28" s="5493">
        <f t="shared" ref="C28:R28" si="22">SUM(C18,C22)</f>
        <v>372</v>
      </c>
      <c r="D28" s="5494">
        <f t="shared" si="22"/>
        <v>955</v>
      </c>
      <c r="E28" s="5494">
        <f t="shared" si="22"/>
        <v>312</v>
      </c>
      <c r="F28" s="5495">
        <f t="shared" si="22"/>
        <v>1639</v>
      </c>
      <c r="G28" s="5493">
        <f t="shared" si="22"/>
        <v>399</v>
      </c>
      <c r="H28" s="5494">
        <f t="shared" si="22"/>
        <v>1058</v>
      </c>
      <c r="I28" s="5494">
        <f t="shared" si="22"/>
        <v>355</v>
      </c>
      <c r="J28" s="5495">
        <f t="shared" si="22"/>
        <v>1812</v>
      </c>
      <c r="K28" s="5493">
        <f t="shared" si="22"/>
        <v>426</v>
      </c>
      <c r="L28" s="5494">
        <f t="shared" si="22"/>
        <v>1171</v>
      </c>
      <c r="M28" s="5494">
        <f t="shared" si="22"/>
        <v>410</v>
      </c>
      <c r="N28" s="5495">
        <f t="shared" si="22"/>
        <v>2007</v>
      </c>
      <c r="O28" s="5493">
        <f t="shared" si="22"/>
        <v>451</v>
      </c>
      <c r="P28" s="5494">
        <f t="shared" si="22"/>
        <v>1243</v>
      </c>
      <c r="Q28" s="5494">
        <f t="shared" si="22"/>
        <v>460</v>
      </c>
      <c r="R28" s="5495">
        <f t="shared" si="22"/>
        <v>2154</v>
      </c>
      <c r="S28" s="5493">
        <f>SUM(S18,S22)</f>
        <v>480</v>
      </c>
      <c r="T28" s="5494">
        <f>SUM(T18,T22)</f>
        <v>1358</v>
      </c>
      <c r="U28" s="5494">
        <f>SUM(U18,U22)</f>
        <v>506</v>
      </c>
      <c r="V28" s="5495">
        <f t="shared" si="16"/>
        <v>2344</v>
      </c>
      <c r="W28" s="5493">
        <f>SUM(W18,W22)</f>
        <v>473</v>
      </c>
      <c r="X28" s="5494">
        <f>SUM(X18,X22)</f>
        <v>1500</v>
      </c>
      <c r="Y28" s="5494">
        <f>SUM(Y18,Y22)</f>
        <v>557</v>
      </c>
      <c r="Z28" s="5495">
        <f t="shared" si="17"/>
        <v>2530</v>
      </c>
      <c r="AA28" s="5493">
        <f>SUM(AA18,AA22)</f>
        <v>529</v>
      </c>
      <c r="AB28" s="5494">
        <f>SUM(AB18,AB22)</f>
        <v>1593</v>
      </c>
      <c r="AC28" s="5494">
        <f>SUM(AC18,AC22)</f>
        <v>612</v>
      </c>
      <c r="AD28" s="5495">
        <f t="shared" si="18"/>
        <v>2734</v>
      </c>
      <c r="AE28" s="5493">
        <f>SUM(AE18,AE22)</f>
        <v>553</v>
      </c>
      <c r="AF28" s="5494">
        <f>SUM(AF18,AF22)</f>
        <v>1726</v>
      </c>
      <c r="AG28" s="5494">
        <f>SUM(AG18,AG22)</f>
        <v>665</v>
      </c>
      <c r="AH28" s="5495">
        <f t="shared" si="19"/>
        <v>2944</v>
      </c>
      <c r="AI28" s="5493">
        <f>SUM(AI18,AI22)</f>
        <v>571</v>
      </c>
      <c r="AJ28" s="5494">
        <f>SUM(AJ18,AJ22)</f>
        <v>1854</v>
      </c>
      <c r="AK28" s="5494">
        <f>SUM(AK18,AK22)</f>
        <v>717</v>
      </c>
      <c r="AL28" s="5495">
        <f t="shared" si="20"/>
        <v>3142</v>
      </c>
    </row>
    <row r="29" spans="1:38" ht="15" x14ac:dyDescent="0.2">
      <c r="A29" s="6501"/>
      <c r="B29" s="381" t="s">
        <v>7</v>
      </c>
      <c r="C29" s="5497">
        <f t="shared" ref="C29:R29" si="23">SUM(C8,C23)</f>
        <v>341</v>
      </c>
      <c r="D29" s="5498">
        <f t="shared" si="23"/>
        <v>216</v>
      </c>
      <c r="E29" s="5498">
        <f t="shared" si="23"/>
        <v>37</v>
      </c>
      <c r="F29" s="5499">
        <f t="shared" si="23"/>
        <v>594</v>
      </c>
      <c r="G29" s="5497">
        <f t="shared" si="23"/>
        <v>366</v>
      </c>
      <c r="H29" s="5498">
        <f t="shared" si="23"/>
        <v>246</v>
      </c>
      <c r="I29" s="5498">
        <f t="shared" si="23"/>
        <v>45</v>
      </c>
      <c r="J29" s="5499">
        <f t="shared" si="23"/>
        <v>657</v>
      </c>
      <c r="K29" s="5497">
        <f t="shared" si="23"/>
        <v>403</v>
      </c>
      <c r="L29" s="5498">
        <f t="shared" si="23"/>
        <v>309</v>
      </c>
      <c r="M29" s="5498">
        <f t="shared" si="23"/>
        <v>56</v>
      </c>
      <c r="N29" s="5499">
        <f t="shared" si="23"/>
        <v>768</v>
      </c>
      <c r="O29" s="5497">
        <f t="shared" si="23"/>
        <v>407</v>
      </c>
      <c r="P29" s="5498">
        <f t="shared" si="23"/>
        <v>346</v>
      </c>
      <c r="Q29" s="5498">
        <f t="shared" si="23"/>
        <v>63</v>
      </c>
      <c r="R29" s="5499">
        <f t="shared" si="23"/>
        <v>816</v>
      </c>
      <c r="S29" s="5497">
        <f>SUM(S8,S23)</f>
        <v>440</v>
      </c>
      <c r="T29" s="5498">
        <f>SUM(T8,T23)</f>
        <v>435</v>
      </c>
      <c r="U29" s="5498">
        <f>SUM(U8,U23)</f>
        <v>74</v>
      </c>
      <c r="V29" s="5499">
        <f t="shared" si="16"/>
        <v>949</v>
      </c>
      <c r="W29" s="5497">
        <f>SUM(W8,W23)</f>
        <v>441</v>
      </c>
      <c r="X29" s="5498">
        <f>SUM(X8,X23)</f>
        <v>484</v>
      </c>
      <c r="Y29" s="5498">
        <f>SUM(Y8,Y23)</f>
        <v>89</v>
      </c>
      <c r="Z29" s="5499">
        <f t="shared" si="17"/>
        <v>1014</v>
      </c>
      <c r="AA29" s="5497">
        <f>SUM(AA8,AA23)</f>
        <v>423</v>
      </c>
      <c r="AB29" s="5498">
        <f>SUM(AB8,AB23)</f>
        <v>558</v>
      </c>
      <c r="AC29" s="5498">
        <f>SUM(AC8,AC23)</f>
        <v>101</v>
      </c>
      <c r="AD29" s="5499">
        <f t="shared" si="18"/>
        <v>1082</v>
      </c>
      <c r="AE29" s="5497">
        <f>SUM(AE8,AE23)</f>
        <v>435</v>
      </c>
      <c r="AF29" s="5498">
        <f>SUM(AF8,AF23)</f>
        <v>604</v>
      </c>
      <c r="AG29" s="5498">
        <f>SUM(AG8,AG23)</f>
        <v>115</v>
      </c>
      <c r="AH29" s="5499">
        <f t="shared" si="19"/>
        <v>1154</v>
      </c>
      <c r="AI29" s="5497">
        <f>SUM(AI8,AI23)</f>
        <v>444</v>
      </c>
      <c r="AJ29" s="5498">
        <f>SUM(AJ8,AJ23)</f>
        <v>665</v>
      </c>
      <c r="AK29" s="5498">
        <f>SUM(AK8,AK23)</f>
        <v>128</v>
      </c>
      <c r="AL29" s="5499">
        <f t="shared" si="20"/>
        <v>1237</v>
      </c>
    </row>
    <row r="30" spans="1:38" ht="15" x14ac:dyDescent="0.2">
      <c r="A30" s="6501"/>
      <c r="B30" s="381" t="s">
        <v>9</v>
      </c>
      <c r="C30" s="5497"/>
      <c r="D30" s="5498"/>
      <c r="E30" s="5498"/>
      <c r="F30" s="5499"/>
      <c r="G30" s="5497"/>
      <c r="H30" s="5498"/>
      <c r="I30" s="5498"/>
      <c r="J30" s="5499"/>
      <c r="K30" s="5497"/>
      <c r="L30" s="5498"/>
      <c r="M30" s="5498"/>
      <c r="N30" s="5499"/>
      <c r="O30" s="5497"/>
      <c r="P30" s="5498"/>
      <c r="Q30" s="5498"/>
      <c r="R30" s="5499"/>
      <c r="S30" s="5497"/>
      <c r="T30" s="5498"/>
      <c r="U30" s="5498"/>
      <c r="V30" s="5499">
        <f t="shared" si="16"/>
        <v>0</v>
      </c>
      <c r="W30" s="5497"/>
      <c r="X30" s="5498">
        <f>SUM(X12)</f>
        <v>8</v>
      </c>
      <c r="Y30" s="5498"/>
      <c r="Z30" s="5499">
        <f t="shared" si="17"/>
        <v>8</v>
      </c>
      <c r="AA30" s="5498"/>
      <c r="AB30" s="5498">
        <f>SUM(AB12)</f>
        <v>21</v>
      </c>
      <c r="AC30" s="5498"/>
      <c r="AD30" s="5499">
        <f t="shared" si="18"/>
        <v>21</v>
      </c>
      <c r="AE30" s="5498"/>
      <c r="AF30" s="5498">
        <f>SUM(AF12)</f>
        <v>39</v>
      </c>
      <c r="AG30" s="5498"/>
      <c r="AH30" s="5499">
        <f t="shared" si="19"/>
        <v>39</v>
      </c>
      <c r="AI30" s="5498"/>
      <c r="AJ30" s="5498">
        <f>SUM(AJ12)</f>
        <v>49</v>
      </c>
      <c r="AK30" s="5498"/>
      <c r="AL30" s="5499">
        <f t="shared" si="20"/>
        <v>49</v>
      </c>
    </row>
    <row r="31" spans="1:38" ht="15" x14ac:dyDescent="0.2">
      <c r="A31" s="6501"/>
      <c r="B31" s="381" t="s">
        <v>74</v>
      </c>
      <c r="C31" s="5497"/>
      <c r="D31" s="5498"/>
      <c r="E31" s="5498"/>
      <c r="F31" s="5499"/>
      <c r="G31" s="5497"/>
      <c r="H31" s="5498"/>
      <c r="I31" s="5498"/>
      <c r="J31" s="5499"/>
      <c r="K31" s="5497"/>
      <c r="L31" s="5498"/>
      <c r="M31" s="5498"/>
      <c r="N31" s="5499"/>
      <c r="O31" s="5497"/>
      <c r="P31" s="5498"/>
      <c r="Q31" s="5498"/>
      <c r="R31" s="5499"/>
      <c r="S31" s="5497">
        <f>SUM(S13)</f>
        <v>2</v>
      </c>
      <c r="T31" s="5498"/>
      <c r="U31" s="5498"/>
      <c r="V31" s="5499">
        <f t="shared" si="16"/>
        <v>2</v>
      </c>
      <c r="W31" s="5497">
        <f>SUM(W13)</f>
        <v>4</v>
      </c>
      <c r="X31" s="5498">
        <f>SUM(X13)</f>
        <v>1</v>
      </c>
      <c r="Y31" s="5498"/>
      <c r="Z31" s="5499">
        <f t="shared" si="17"/>
        <v>5</v>
      </c>
      <c r="AA31" s="5497">
        <f>SUM(AA13)</f>
        <v>6</v>
      </c>
      <c r="AB31" s="5498">
        <f>SUM(AB13)</f>
        <v>8</v>
      </c>
      <c r="AC31" s="5498">
        <f>SUM(AC13)</f>
        <v>2</v>
      </c>
      <c r="AD31" s="5499">
        <f t="shared" si="18"/>
        <v>16</v>
      </c>
      <c r="AE31" s="5497">
        <f>SUM(AE13)</f>
        <v>8</v>
      </c>
      <c r="AF31" s="5498">
        <f>SUM(AF13)</f>
        <v>17</v>
      </c>
      <c r="AG31" s="5498">
        <f>SUM(AG13)</f>
        <v>2</v>
      </c>
      <c r="AH31" s="5499">
        <f t="shared" si="19"/>
        <v>27</v>
      </c>
      <c r="AI31" s="5497">
        <f>SUM(AI13)</f>
        <v>9</v>
      </c>
      <c r="AJ31" s="5498">
        <f>SUM(AJ13)</f>
        <v>24</v>
      </c>
      <c r="AK31" s="5498">
        <f>SUM(AK13)</f>
        <v>4</v>
      </c>
      <c r="AL31" s="5499">
        <f t="shared" si="20"/>
        <v>37</v>
      </c>
    </row>
    <row r="32" spans="1:38" ht="15" x14ac:dyDescent="0.2">
      <c r="A32" s="6502"/>
      <c r="B32" s="686" t="s">
        <v>160</v>
      </c>
      <c r="C32" s="687">
        <f t="shared" ref="C32:R32" si="24">SUM(C26:C29)</f>
        <v>1537</v>
      </c>
      <c r="D32" s="688">
        <f t="shared" si="24"/>
        <v>3861</v>
      </c>
      <c r="E32" s="688">
        <f t="shared" si="24"/>
        <v>1351</v>
      </c>
      <c r="F32" s="1026">
        <f t="shared" si="24"/>
        <v>6749</v>
      </c>
      <c r="G32" s="687">
        <f t="shared" si="24"/>
        <v>1672</v>
      </c>
      <c r="H32" s="688">
        <f t="shared" si="24"/>
        <v>4286</v>
      </c>
      <c r="I32" s="688">
        <f t="shared" si="24"/>
        <v>1535</v>
      </c>
      <c r="J32" s="1026">
        <f>SUM(J26:J29)</f>
        <v>7493</v>
      </c>
      <c r="K32" s="687">
        <f t="shared" si="24"/>
        <v>1891</v>
      </c>
      <c r="L32" s="688">
        <f t="shared" si="24"/>
        <v>4781</v>
      </c>
      <c r="M32" s="688">
        <f t="shared" si="24"/>
        <v>1736</v>
      </c>
      <c r="N32" s="1026">
        <f t="shared" si="24"/>
        <v>8408</v>
      </c>
      <c r="O32" s="687">
        <f t="shared" si="24"/>
        <v>2055</v>
      </c>
      <c r="P32" s="688">
        <f t="shared" si="24"/>
        <v>5114</v>
      </c>
      <c r="Q32" s="688">
        <f t="shared" si="24"/>
        <v>1900</v>
      </c>
      <c r="R32" s="1026">
        <f t="shared" si="24"/>
        <v>9069</v>
      </c>
      <c r="S32" s="687">
        <f t="shared" ref="S32:Z32" si="25">SUM(S26:S31)</f>
        <v>2186</v>
      </c>
      <c r="T32" s="688">
        <f t="shared" si="25"/>
        <v>5583</v>
      </c>
      <c r="U32" s="688">
        <f t="shared" si="25"/>
        <v>2093</v>
      </c>
      <c r="V32" s="1026">
        <f t="shared" si="25"/>
        <v>9862</v>
      </c>
      <c r="W32" s="687">
        <f t="shared" si="25"/>
        <v>2258</v>
      </c>
      <c r="X32" s="688">
        <f t="shared" si="25"/>
        <v>6097</v>
      </c>
      <c r="Y32" s="688">
        <f t="shared" si="25"/>
        <v>2318</v>
      </c>
      <c r="Z32" s="1026">
        <f t="shared" si="25"/>
        <v>10673</v>
      </c>
      <c r="AA32" s="687">
        <f t="shared" ref="AA32:AH32" si="26">SUM(AA26:AA31)</f>
        <v>2331</v>
      </c>
      <c r="AB32" s="688">
        <f t="shared" si="26"/>
        <v>6506</v>
      </c>
      <c r="AC32" s="688">
        <f t="shared" si="26"/>
        <v>2495</v>
      </c>
      <c r="AD32" s="1026">
        <f t="shared" si="26"/>
        <v>11332</v>
      </c>
      <c r="AE32" s="687">
        <f t="shared" si="26"/>
        <v>2444</v>
      </c>
      <c r="AF32" s="688">
        <f t="shared" si="26"/>
        <v>7064</v>
      </c>
      <c r="AG32" s="688">
        <f t="shared" si="26"/>
        <v>2710</v>
      </c>
      <c r="AH32" s="1026">
        <f t="shared" si="26"/>
        <v>12218</v>
      </c>
      <c r="AI32" s="687">
        <f t="shared" ref="AI32:AL32" si="27">SUM(AI26:AI31)</f>
        <v>2545</v>
      </c>
      <c r="AJ32" s="688">
        <f t="shared" si="27"/>
        <v>7594</v>
      </c>
      <c r="AK32" s="688">
        <f t="shared" si="27"/>
        <v>2915</v>
      </c>
      <c r="AL32" s="1026">
        <f t="shared" si="27"/>
        <v>13054</v>
      </c>
    </row>
    <row r="33" spans="1:3" x14ac:dyDescent="0.2">
      <c r="A33" s="375" t="s">
        <v>439</v>
      </c>
      <c r="B33" s="376"/>
      <c r="C33" s="377"/>
    </row>
    <row r="34" spans="1:3" x14ac:dyDescent="0.2">
      <c r="A34" s="6499" t="s">
        <v>1571</v>
      </c>
      <c r="B34" s="6499"/>
      <c r="C34" s="6499"/>
    </row>
    <row r="42" spans="1:3" x14ac:dyDescent="0.2">
      <c r="B42" s="3544"/>
    </row>
    <row r="43" spans="1:3" x14ac:dyDescent="0.2">
      <c r="C43" s="3691">
        <v>2009</v>
      </c>
    </row>
    <row r="44" spans="1:3" x14ac:dyDescent="0.2">
      <c r="C44" s="3691">
        <v>2010</v>
      </c>
    </row>
    <row r="45" spans="1:3" x14ac:dyDescent="0.2">
      <c r="C45" s="3691">
        <v>2011</v>
      </c>
    </row>
    <row r="46" spans="1:3" x14ac:dyDescent="0.2">
      <c r="C46" s="3691">
        <v>2012</v>
      </c>
    </row>
    <row r="47" spans="1:3" x14ac:dyDescent="0.2">
      <c r="C47" s="3691">
        <v>2013</v>
      </c>
    </row>
    <row r="48" spans="1:3" ht="12.75" customHeight="1" x14ac:dyDescent="0.2">
      <c r="C48" s="3691">
        <v>2014</v>
      </c>
    </row>
    <row r="49" spans="2:3" ht="12.75" customHeight="1" x14ac:dyDescent="0.2">
      <c r="C49" s="3691">
        <v>2015</v>
      </c>
    </row>
    <row r="50" spans="2:3" ht="12.75" customHeight="1" x14ac:dyDescent="0.2">
      <c r="C50" s="3691">
        <v>2016</v>
      </c>
    </row>
    <row r="51" spans="2:3" x14ac:dyDescent="0.2">
      <c r="B51" s="3544"/>
      <c r="C51" s="3691">
        <v>2017</v>
      </c>
    </row>
    <row r="52" spans="2:3" x14ac:dyDescent="0.2">
      <c r="B52" s="3544"/>
    </row>
    <row r="53" spans="2:3" x14ac:dyDescent="0.2">
      <c r="B53" s="3544"/>
      <c r="C53" s="3544" t="s">
        <v>615</v>
      </c>
    </row>
    <row r="54" spans="2:3" x14ac:dyDescent="0.2">
      <c r="B54" s="3544"/>
      <c r="C54" s="3544" t="s">
        <v>616</v>
      </c>
    </row>
    <row r="55" spans="2:3" x14ac:dyDescent="0.2">
      <c r="B55" s="3544"/>
      <c r="C55" s="3544" t="s">
        <v>617</v>
      </c>
    </row>
    <row r="56" spans="2:3" x14ac:dyDescent="0.2">
      <c r="B56" s="3544"/>
    </row>
    <row r="57" spans="2:3" x14ac:dyDescent="0.2">
      <c r="B57" s="3544"/>
    </row>
    <row r="58" spans="2:3" x14ac:dyDescent="0.2">
      <c r="B58" s="3544"/>
    </row>
    <row r="59" spans="2:3" x14ac:dyDescent="0.2">
      <c r="B59" s="3544"/>
    </row>
    <row r="60" spans="2:3" x14ac:dyDescent="0.2">
      <c r="B60" s="3544"/>
    </row>
    <row r="61" spans="2:3" x14ac:dyDescent="0.2">
      <c r="B61" s="3544"/>
    </row>
    <row r="62" spans="2:3" x14ac:dyDescent="0.2">
      <c r="B62" s="3544"/>
    </row>
    <row r="63" spans="2:3" x14ac:dyDescent="0.2">
      <c r="B63" s="3544"/>
    </row>
    <row r="64" spans="2:3" x14ac:dyDescent="0.2">
      <c r="B64" s="3544"/>
    </row>
    <row r="65" spans="1:6" x14ac:dyDescent="0.2">
      <c r="B65" s="3544"/>
    </row>
    <row r="66" spans="1:6" x14ac:dyDescent="0.2">
      <c r="B66" s="3544"/>
    </row>
    <row r="67" spans="1:6" x14ac:dyDescent="0.2">
      <c r="B67" s="3544"/>
    </row>
    <row r="68" spans="1:6" ht="12.75" customHeight="1" x14ac:dyDescent="0.2">
      <c r="B68" s="3544"/>
    </row>
    <row r="69" spans="1:6" ht="12.75" customHeight="1" x14ac:dyDescent="0.2">
      <c r="B69" s="3696"/>
      <c r="C69" s="244"/>
      <c r="D69" s="244"/>
      <c r="E69" s="244"/>
      <c r="F69" s="244"/>
    </row>
    <row r="70" spans="1:6" ht="12.75" customHeight="1" x14ac:dyDescent="0.2"/>
    <row r="71" spans="1:6" ht="14.25" x14ac:dyDescent="0.2">
      <c r="A71" s="244"/>
    </row>
    <row r="73" spans="1:6" x14ac:dyDescent="0.2">
      <c r="B73" s="3544"/>
    </row>
    <row r="76" spans="1:6" s="244" customFormat="1" ht="14.25" x14ac:dyDescent="0.2">
      <c r="A76" s="209"/>
      <c r="B76" s="209"/>
      <c r="C76" s="209"/>
      <c r="D76" s="209"/>
      <c r="E76" s="209"/>
      <c r="F76" s="209"/>
    </row>
  </sheetData>
  <sheetProtection algorithmName="SHA-512" hashValue="AgeCxQKMyoyF0zPKZJcw+DRhi/Kz2EBsLiFOYaaxKQTTEqhMPaOVNmzcByFxtLOylTz7iiwzBPOwH+31Mh/mzA==" saltValue="806jYaRrNOw3SLcKgdCf2w==" spinCount="100000" sheet="1" objects="1" scenarios="1"/>
  <mergeCells count="18">
    <mergeCell ref="A34:C34"/>
    <mergeCell ref="A26:A32"/>
    <mergeCell ref="A6:A9"/>
    <mergeCell ref="A16:A19"/>
    <mergeCell ref="A21:A24"/>
    <mergeCell ref="A11:A14"/>
    <mergeCell ref="AI3:AL3"/>
    <mergeCell ref="B3:B4"/>
    <mergeCell ref="AE3:AH3"/>
    <mergeCell ref="AA3:AD3"/>
    <mergeCell ref="A1:B1"/>
    <mergeCell ref="W3:Z3"/>
    <mergeCell ref="C3:F3"/>
    <mergeCell ref="S3:V3"/>
    <mergeCell ref="G3:J3"/>
    <mergeCell ref="K3:N3"/>
    <mergeCell ref="O3:R3"/>
    <mergeCell ref="A3:A4"/>
  </mergeCells>
  <printOptions horizontalCentered="1" verticalCentered="1"/>
  <pageMargins left="0.39370078740157483" right="0.39370078740157483" top="0.19685039370078741" bottom="0.27559055118110237" header="3.937007874015748E-2" footer="0.31496062992125984"/>
  <pageSetup scale="48" pageOrder="overThenDown" orientation="landscape" r:id="rId1"/>
  <headerFooter alignWithMargins="0">
    <oddFooter xml:space="preserve">&amp;R55
</oddFooter>
  </headerFooter>
  <rowBreaks count="1" manualBreakCount="1">
    <brk id="34" max="16383" man="1"/>
  </rowBreaks>
  <ignoredErrors>
    <ignoredError sqref="C6:E8 C16:E23 G15:I23 K15:M23 O15:Q23 S6:U8 O6:Q9 K7:M9 G6:I9 S16:U17 S18:U18 S21:U23 X16:Y16 W17:Y17 W18:Y18 W21:Y21 Y22 W22:X22 X23 W6:Y8 AA6:AC8 AC13 AA16:AC18 AA21:AC23 AF6:AG6 AE7:AG7 AE8:AG8 AF16:AG16 AF17:AG17 AE18:AG18 AE21:AG21 AE22:AG22 AF23:AG23 AG13 AJ6:AK6 AI7:AK7 AI8:AK8 AI16:AK17 AI18:AK18 AI21:AK23 AK13" formulaRange="1"/>
    <ignoredError sqref="V26:V29 Z26:AD31 AH26:AH31" formula="1"/>
  </ignoredError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E158"/>
  <sheetViews>
    <sheetView showGridLines="0" zoomScaleNormal="100" workbookViewId="0">
      <selection activeCell="J99" sqref="J99"/>
    </sheetView>
  </sheetViews>
  <sheetFormatPr baseColWidth="10" defaultRowHeight="15" x14ac:dyDescent="0.25"/>
  <cols>
    <col min="1" max="1" width="15.7109375" style="3121" customWidth="1"/>
    <col min="2" max="2" width="63.7109375" style="3121" bestFit="1" customWidth="1"/>
    <col min="3" max="3" width="25.28515625" style="3121" customWidth="1"/>
    <col min="4" max="4" width="25.42578125" style="3121" bestFit="1" customWidth="1"/>
    <col min="5" max="5" width="24.5703125" style="3121" customWidth="1"/>
    <col min="6" max="225" width="11.42578125" style="3121"/>
    <col min="226" max="226" width="16.5703125" style="3121" customWidth="1"/>
    <col min="227" max="227" width="11.42578125" style="3121"/>
    <col min="228" max="228" width="15.140625" style="3121" customWidth="1"/>
    <col min="229" max="229" width="11.7109375" style="3121" bestFit="1" customWidth="1"/>
    <col min="230" max="234" width="10.7109375" style="3121" customWidth="1"/>
    <col min="235" max="235" width="1.7109375" style="3121" customWidth="1"/>
    <col min="236" max="236" width="11.7109375" style="3121" customWidth="1"/>
    <col min="237" max="239" width="9.7109375" style="3121" customWidth="1"/>
    <col min="240" max="481" width="11.42578125" style="3121"/>
    <col min="482" max="482" width="16.5703125" style="3121" customWidth="1"/>
    <col min="483" max="483" width="11.42578125" style="3121"/>
    <col min="484" max="484" width="15.140625" style="3121" customWidth="1"/>
    <col min="485" max="485" width="11.7109375" style="3121" bestFit="1" customWidth="1"/>
    <col min="486" max="490" width="10.7109375" style="3121" customWidth="1"/>
    <col min="491" max="491" width="1.7109375" style="3121" customWidth="1"/>
    <col min="492" max="492" width="11.7109375" style="3121" customWidth="1"/>
    <col min="493" max="495" width="9.7109375" style="3121" customWidth="1"/>
    <col min="496" max="737" width="11.42578125" style="3121"/>
    <col min="738" max="738" width="16.5703125" style="3121" customWidth="1"/>
    <col min="739" max="739" width="11.42578125" style="3121"/>
    <col min="740" max="740" width="15.140625" style="3121" customWidth="1"/>
    <col min="741" max="741" width="11.7109375" style="3121" bestFit="1" customWidth="1"/>
    <col min="742" max="746" width="10.7109375" style="3121" customWidth="1"/>
    <col min="747" max="747" width="1.7109375" style="3121" customWidth="1"/>
    <col min="748" max="748" width="11.7109375" style="3121" customWidth="1"/>
    <col min="749" max="751" width="9.7109375" style="3121" customWidth="1"/>
    <col min="752" max="993" width="11.42578125" style="3121"/>
    <col min="994" max="994" width="16.5703125" style="3121" customWidth="1"/>
    <col min="995" max="995" width="11.42578125" style="3121"/>
    <col min="996" max="996" width="15.140625" style="3121" customWidth="1"/>
    <col min="997" max="997" width="11.7109375" style="3121" bestFit="1" customWidth="1"/>
    <col min="998" max="1002" width="10.7109375" style="3121" customWidth="1"/>
    <col min="1003" max="1003" width="1.7109375" style="3121" customWidth="1"/>
    <col min="1004" max="1004" width="11.7109375" style="3121" customWidth="1"/>
    <col min="1005" max="1007" width="9.7109375" style="3121" customWidth="1"/>
    <col min="1008" max="1249" width="11.42578125" style="3121"/>
    <col min="1250" max="1250" width="16.5703125" style="3121" customWidth="1"/>
    <col min="1251" max="1251" width="11.42578125" style="3121"/>
    <col min="1252" max="1252" width="15.140625" style="3121" customWidth="1"/>
    <col min="1253" max="1253" width="11.7109375" style="3121" bestFit="1" customWidth="1"/>
    <col min="1254" max="1258" width="10.7109375" style="3121" customWidth="1"/>
    <col min="1259" max="1259" width="1.7109375" style="3121" customWidth="1"/>
    <col min="1260" max="1260" width="11.7109375" style="3121" customWidth="1"/>
    <col min="1261" max="1263" width="9.7109375" style="3121" customWidth="1"/>
    <col min="1264" max="1505" width="11.42578125" style="3121"/>
    <col min="1506" max="1506" width="16.5703125" style="3121" customWidth="1"/>
    <col min="1507" max="1507" width="11.42578125" style="3121"/>
    <col min="1508" max="1508" width="15.140625" style="3121" customWidth="1"/>
    <col min="1509" max="1509" width="11.7109375" style="3121" bestFit="1" customWidth="1"/>
    <col min="1510" max="1514" width="10.7109375" style="3121" customWidth="1"/>
    <col min="1515" max="1515" width="1.7109375" style="3121" customWidth="1"/>
    <col min="1516" max="1516" width="11.7109375" style="3121" customWidth="1"/>
    <col min="1517" max="1519" width="9.7109375" style="3121" customWidth="1"/>
    <col min="1520" max="1761" width="11.42578125" style="3121"/>
    <col min="1762" max="1762" width="16.5703125" style="3121" customWidth="1"/>
    <col min="1763" max="1763" width="11.42578125" style="3121"/>
    <col min="1764" max="1764" width="15.140625" style="3121" customWidth="1"/>
    <col min="1765" max="1765" width="11.7109375" style="3121" bestFit="1" customWidth="1"/>
    <col min="1766" max="1770" width="10.7109375" style="3121" customWidth="1"/>
    <col min="1771" max="1771" width="1.7109375" style="3121" customWidth="1"/>
    <col min="1772" max="1772" width="11.7109375" style="3121" customWidth="1"/>
    <col min="1773" max="1775" width="9.7109375" style="3121" customWidth="1"/>
    <col min="1776" max="2017" width="11.42578125" style="3121"/>
    <col min="2018" max="2018" width="16.5703125" style="3121" customWidth="1"/>
    <col min="2019" max="2019" width="11.42578125" style="3121"/>
    <col min="2020" max="2020" width="15.140625" style="3121" customWidth="1"/>
    <col min="2021" max="2021" width="11.7109375" style="3121" bestFit="1" customWidth="1"/>
    <col min="2022" max="2026" width="10.7109375" style="3121" customWidth="1"/>
    <col min="2027" max="2027" width="1.7109375" style="3121" customWidth="1"/>
    <col min="2028" max="2028" width="11.7109375" style="3121" customWidth="1"/>
    <col min="2029" max="2031" width="9.7109375" style="3121" customWidth="1"/>
    <col min="2032" max="2273" width="11.42578125" style="3121"/>
    <col min="2274" max="2274" width="16.5703125" style="3121" customWidth="1"/>
    <col min="2275" max="2275" width="11.42578125" style="3121"/>
    <col min="2276" max="2276" width="15.140625" style="3121" customWidth="1"/>
    <col min="2277" max="2277" width="11.7109375" style="3121" bestFit="1" customWidth="1"/>
    <col min="2278" max="2282" width="10.7109375" style="3121" customWidth="1"/>
    <col min="2283" max="2283" width="1.7109375" style="3121" customWidth="1"/>
    <col min="2284" max="2284" width="11.7109375" style="3121" customWidth="1"/>
    <col min="2285" max="2287" width="9.7109375" style="3121" customWidth="1"/>
    <col min="2288" max="2529" width="11.42578125" style="3121"/>
    <col min="2530" max="2530" width="16.5703125" style="3121" customWidth="1"/>
    <col min="2531" max="2531" width="11.42578125" style="3121"/>
    <col min="2532" max="2532" width="15.140625" style="3121" customWidth="1"/>
    <col min="2533" max="2533" width="11.7109375" style="3121" bestFit="1" customWidth="1"/>
    <col min="2534" max="2538" width="10.7109375" style="3121" customWidth="1"/>
    <col min="2539" max="2539" width="1.7109375" style="3121" customWidth="1"/>
    <col min="2540" max="2540" width="11.7109375" style="3121" customWidth="1"/>
    <col min="2541" max="2543" width="9.7109375" style="3121" customWidth="1"/>
    <col min="2544" max="2785" width="11.42578125" style="3121"/>
    <col min="2786" max="2786" width="16.5703125" style="3121" customWidth="1"/>
    <col min="2787" max="2787" width="11.42578125" style="3121"/>
    <col min="2788" max="2788" width="15.140625" style="3121" customWidth="1"/>
    <col min="2789" max="2789" width="11.7109375" style="3121" bestFit="1" customWidth="1"/>
    <col min="2790" max="2794" width="10.7109375" style="3121" customWidth="1"/>
    <col min="2795" max="2795" width="1.7109375" style="3121" customWidth="1"/>
    <col min="2796" max="2796" width="11.7109375" style="3121" customWidth="1"/>
    <col min="2797" max="2799" width="9.7109375" style="3121" customWidth="1"/>
    <col min="2800" max="3041" width="11.42578125" style="3121"/>
    <col min="3042" max="3042" width="16.5703125" style="3121" customWidth="1"/>
    <col min="3043" max="3043" width="11.42578125" style="3121"/>
    <col min="3044" max="3044" width="15.140625" style="3121" customWidth="1"/>
    <col min="3045" max="3045" width="11.7109375" style="3121" bestFit="1" customWidth="1"/>
    <col min="3046" max="3050" width="10.7109375" style="3121" customWidth="1"/>
    <col min="3051" max="3051" width="1.7109375" style="3121" customWidth="1"/>
    <col min="3052" max="3052" width="11.7109375" style="3121" customWidth="1"/>
    <col min="3053" max="3055" width="9.7109375" style="3121" customWidth="1"/>
    <col min="3056" max="3297" width="11.42578125" style="3121"/>
    <col min="3298" max="3298" width="16.5703125" style="3121" customWidth="1"/>
    <col min="3299" max="3299" width="11.42578125" style="3121"/>
    <col min="3300" max="3300" width="15.140625" style="3121" customWidth="1"/>
    <col min="3301" max="3301" width="11.7109375" style="3121" bestFit="1" customWidth="1"/>
    <col min="3302" max="3306" width="10.7109375" style="3121" customWidth="1"/>
    <col min="3307" max="3307" width="1.7109375" style="3121" customWidth="1"/>
    <col min="3308" max="3308" width="11.7109375" style="3121" customWidth="1"/>
    <col min="3309" max="3311" width="9.7109375" style="3121" customWidth="1"/>
    <col min="3312" max="3553" width="11.42578125" style="3121"/>
    <col min="3554" max="3554" width="16.5703125" style="3121" customWidth="1"/>
    <col min="3555" max="3555" width="11.42578125" style="3121"/>
    <col min="3556" max="3556" width="15.140625" style="3121" customWidth="1"/>
    <col min="3557" max="3557" width="11.7109375" style="3121" bestFit="1" customWidth="1"/>
    <col min="3558" max="3562" width="10.7109375" style="3121" customWidth="1"/>
    <col min="3563" max="3563" width="1.7109375" style="3121" customWidth="1"/>
    <col min="3564" max="3564" width="11.7109375" style="3121" customWidth="1"/>
    <col min="3565" max="3567" width="9.7109375" style="3121" customWidth="1"/>
    <col min="3568" max="3809" width="11.42578125" style="3121"/>
    <col min="3810" max="3810" width="16.5703125" style="3121" customWidth="1"/>
    <col min="3811" max="3811" width="11.42578125" style="3121"/>
    <col min="3812" max="3812" width="15.140625" style="3121" customWidth="1"/>
    <col min="3813" max="3813" width="11.7109375" style="3121" bestFit="1" customWidth="1"/>
    <col min="3814" max="3818" width="10.7109375" style="3121" customWidth="1"/>
    <col min="3819" max="3819" width="1.7109375" style="3121" customWidth="1"/>
    <col min="3820" max="3820" width="11.7109375" style="3121" customWidth="1"/>
    <col min="3821" max="3823" width="9.7109375" style="3121" customWidth="1"/>
    <col min="3824" max="4065" width="11.42578125" style="3121"/>
    <col min="4066" max="4066" width="16.5703125" style="3121" customWidth="1"/>
    <col min="4067" max="4067" width="11.42578125" style="3121"/>
    <col min="4068" max="4068" width="15.140625" style="3121" customWidth="1"/>
    <col min="4069" max="4069" width="11.7109375" style="3121" bestFit="1" customWidth="1"/>
    <col min="4070" max="4074" width="10.7109375" style="3121" customWidth="1"/>
    <col min="4075" max="4075" width="1.7109375" style="3121" customWidth="1"/>
    <col min="4076" max="4076" width="11.7109375" style="3121" customWidth="1"/>
    <col min="4077" max="4079" width="9.7109375" style="3121" customWidth="1"/>
    <col min="4080" max="4321" width="11.42578125" style="3121"/>
    <col min="4322" max="4322" width="16.5703125" style="3121" customWidth="1"/>
    <col min="4323" max="4323" width="11.42578125" style="3121"/>
    <col min="4324" max="4324" width="15.140625" style="3121" customWidth="1"/>
    <col min="4325" max="4325" width="11.7109375" style="3121" bestFit="1" customWidth="1"/>
    <col min="4326" max="4330" width="10.7109375" style="3121" customWidth="1"/>
    <col min="4331" max="4331" width="1.7109375" style="3121" customWidth="1"/>
    <col min="4332" max="4332" width="11.7109375" style="3121" customWidth="1"/>
    <col min="4333" max="4335" width="9.7109375" style="3121" customWidth="1"/>
    <col min="4336" max="4577" width="11.42578125" style="3121"/>
    <col min="4578" max="4578" width="16.5703125" style="3121" customWidth="1"/>
    <col min="4579" max="4579" width="11.42578125" style="3121"/>
    <col min="4580" max="4580" width="15.140625" style="3121" customWidth="1"/>
    <col min="4581" max="4581" width="11.7109375" style="3121" bestFit="1" customWidth="1"/>
    <col min="4582" max="4586" width="10.7109375" style="3121" customWidth="1"/>
    <col min="4587" max="4587" width="1.7109375" style="3121" customWidth="1"/>
    <col min="4588" max="4588" width="11.7109375" style="3121" customWidth="1"/>
    <col min="4589" max="4591" width="9.7109375" style="3121" customWidth="1"/>
    <col min="4592" max="4833" width="11.42578125" style="3121"/>
    <col min="4834" max="4834" width="16.5703125" style="3121" customWidth="1"/>
    <col min="4835" max="4835" width="11.42578125" style="3121"/>
    <col min="4836" max="4836" width="15.140625" style="3121" customWidth="1"/>
    <col min="4837" max="4837" width="11.7109375" style="3121" bestFit="1" customWidth="1"/>
    <col min="4838" max="4842" width="10.7109375" style="3121" customWidth="1"/>
    <col min="4843" max="4843" width="1.7109375" style="3121" customWidth="1"/>
    <col min="4844" max="4844" width="11.7109375" style="3121" customWidth="1"/>
    <col min="4845" max="4847" width="9.7109375" style="3121" customWidth="1"/>
    <col min="4848" max="5089" width="11.42578125" style="3121"/>
    <col min="5090" max="5090" width="16.5703125" style="3121" customWidth="1"/>
    <col min="5091" max="5091" width="11.42578125" style="3121"/>
    <col min="5092" max="5092" width="15.140625" style="3121" customWidth="1"/>
    <col min="5093" max="5093" width="11.7109375" style="3121" bestFit="1" customWidth="1"/>
    <col min="5094" max="5098" width="10.7109375" style="3121" customWidth="1"/>
    <col min="5099" max="5099" width="1.7109375" style="3121" customWidth="1"/>
    <col min="5100" max="5100" width="11.7109375" style="3121" customWidth="1"/>
    <col min="5101" max="5103" width="9.7109375" style="3121" customWidth="1"/>
    <col min="5104" max="5345" width="11.42578125" style="3121"/>
    <col min="5346" max="5346" width="16.5703125" style="3121" customWidth="1"/>
    <col min="5347" max="5347" width="11.42578125" style="3121"/>
    <col min="5348" max="5348" width="15.140625" style="3121" customWidth="1"/>
    <col min="5349" max="5349" width="11.7109375" style="3121" bestFit="1" customWidth="1"/>
    <col min="5350" max="5354" width="10.7109375" style="3121" customWidth="1"/>
    <col min="5355" max="5355" width="1.7109375" style="3121" customWidth="1"/>
    <col min="5356" max="5356" width="11.7109375" style="3121" customWidth="1"/>
    <col min="5357" max="5359" width="9.7109375" style="3121" customWidth="1"/>
    <col min="5360" max="5601" width="11.42578125" style="3121"/>
    <col min="5602" max="5602" width="16.5703125" style="3121" customWidth="1"/>
    <col min="5603" max="5603" width="11.42578125" style="3121"/>
    <col min="5604" max="5604" width="15.140625" style="3121" customWidth="1"/>
    <col min="5605" max="5605" width="11.7109375" style="3121" bestFit="1" customWidth="1"/>
    <col min="5606" max="5610" width="10.7109375" style="3121" customWidth="1"/>
    <col min="5611" max="5611" width="1.7109375" style="3121" customWidth="1"/>
    <col min="5612" max="5612" width="11.7109375" style="3121" customWidth="1"/>
    <col min="5613" max="5615" width="9.7109375" style="3121" customWidth="1"/>
    <col min="5616" max="5857" width="11.42578125" style="3121"/>
    <col min="5858" max="5858" width="16.5703125" style="3121" customWidth="1"/>
    <col min="5859" max="5859" width="11.42578125" style="3121"/>
    <col min="5860" max="5860" width="15.140625" style="3121" customWidth="1"/>
    <col min="5861" max="5861" width="11.7109375" style="3121" bestFit="1" customWidth="1"/>
    <col min="5862" max="5866" width="10.7109375" style="3121" customWidth="1"/>
    <col min="5867" max="5867" width="1.7109375" style="3121" customWidth="1"/>
    <col min="5868" max="5868" width="11.7109375" style="3121" customWidth="1"/>
    <col min="5869" max="5871" width="9.7109375" style="3121" customWidth="1"/>
    <col min="5872" max="6113" width="11.42578125" style="3121"/>
    <col min="6114" max="6114" width="16.5703125" style="3121" customWidth="1"/>
    <col min="6115" max="6115" width="11.42578125" style="3121"/>
    <col min="6116" max="6116" width="15.140625" style="3121" customWidth="1"/>
    <col min="6117" max="6117" width="11.7109375" style="3121" bestFit="1" customWidth="1"/>
    <col min="6118" max="6122" width="10.7109375" style="3121" customWidth="1"/>
    <col min="6123" max="6123" width="1.7109375" style="3121" customWidth="1"/>
    <col min="6124" max="6124" width="11.7109375" style="3121" customWidth="1"/>
    <col min="6125" max="6127" width="9.7109375" style="3121" customWidth="1"/>
    <col min="6128" max="6369" width="11.42578125" style="3121"/>
    <col min="6370" max="6370" width="16.5703125" style="3121" customWidth="1"/>
    <col min="6371" max="6371" width="11.42578125" style="3121"/>
    <col min="6372" max="6372" width="15.140625" style="3121" customWidth="1"/>
    <col min="6373" max="6373" width="11.7109375" style="3121" bestFit="1" customWidth="1"/>
    <col min="6374" max="6378" width="10.7109375" style="3121" customWidth="1"/>
    <col min="6379" max="6379" width="1.7109375" style="3121" customWidth="1"/>
    <col min="6380" max="6380" width="11.7109375" style="3121" customWidth="1"/>
    <col min="6381" max="6383" width="9.7109375" style="3121" customWidth="1"/>
    <col min="6384" max="6625" width="11.42578125" style="3121"/>
    <col min="6626" max="6626" width="16.5703125" style="3121" customWidth="1"/>
    <col min="6627" max="6627" width="11.42578125" style="3121"/>
    <col min="6628" max="6628" width="15.140625" style="3121" customWidth="1"/>
    <col min="6629" max="6629" width="11.7109375" style="3121" bestFit="1" customWidth="1"/>
    <col min="6630" max="6634" width="10.7109375" style="3121" customWidth="1"/>
    <col min="6635" max="6635" width="1.7109375" style="3121" customWidth="1"/>
    <col min="6636" max="6636" width="11.7109375" style="3121" customWidth="1"/>
    <col min="6637" max="6639" width="9.7109375" style="3121" customWidth="1"/>
    <col min="6640" max="6881" width="11.42578125" style="3121"/>
    <col min="6882" max="6882" width="16.5703125" style="3121" customWidth="1"/>
    <col min="6883" max="6883" width="11.42578125" style="3121"/>
    <col min="6884" max="6884" width="15.140625" style="3121" customWidth="1"/>
    <col min="6885" max="6885" width="11.7109375" style="3121" bestFit="1" customWidth="1"/>
    <col min="6886" max="6890" width="10.7109375" style="3121" customWidth="1"/>
    <col min="6891" max="6891" width="1.7109375" style="3121" customWidth="1"/>
    <col min="6892" max="6892" width="11.7109375" style="3121" customWidth="1"/>
    <col min="6893" max="6895" width="9.7109375" style="3121" customWidth="1"/>
    <col min="6896" max="7137" width="11.42578125" style="3121"/>
    <col min="7138" max="7138" width="16.5703125" style="3121" customWidth="1"/>
    <col min="7139" max="7139" width="11.42578125" style="3121"/>
    <col min="7140" max="7140" width="15.140625" style="3121" customWidth="1"/>
    <col min="7141" max="7141" width="11.7109375" style="3121" bestFit="1" customWidth="1"/>
    <col min="7142" max="7146" width="10.7109375" style="3121" customWidth="1"/>
    <col min="7147" max="7147" width="1.7109375" style="3121" customWidth="1"/>
    <col min="7148" max="7148" width="11.7109375" style="3121" customWidth="1"/>
    <col min="7149" max="7151" width="9.7109375" style="3121" customWidth="1"/>
    <col min="7152" max="7393" width="11.42578125" style="3121"/>
    <col min="7394" max="7394" width="16.5703125" style="3121" customWidth="1"/>
    <col min="7395" max="7395" width="11.42578125" style="3121"/>
    <col min="7396" max="7396" width="15.140625" style="3121" customWidth="1"/>
    <col min="7397" max="7397" width="11.7109375" style="3121" bestFit="1" customWidth="1"/>
    <col min="7398" max="7402" width="10.7109375" style="3121" customWidth="1"/>
    <col min="7403" max="7403" width="1.7109375" style="3121" customWidth="1"/>
    <col min="7404" max="7404" width="11.7109375" style="3121" customWidth="1"/>
    <col min="7405" max="7407" width="9.7109375" style="3121" customWidth="1"/>
    <col min="7408" max="7649" width="11.42578125" style="3121"/>
    <col min="7650" max="7650" width="16.5703125" style="3121" customWidth="1"/>
    <col min="7651" max="7651" width="11.42578125" style="3121"/>
    <col min="7652" max="7652" width="15.140625" style="3121" customWidth="1"/>
    <col min="7653" max="7653" width="11.7109375" style="3121" bestFit="1" customWidth="1"/>
    <col min="7654" max="7658" width="10.7109375" style="3121" customWidth="1"/>
    <col min="7659" max="7659" width="1.7109375" style="3121" customWidth="1"/>
    <col min="7660" max="7660" width="11.7109375" style="3121" customWidth="1"/>
    <col min="7661" max="7663" width="9.7109375" style="3121" customWidth="1"/>
    <col min="7664" max="7905" width="11.42578125" style="3121"/>
    <col min="7906" max="7906" width="16.5703125" style="3121" customWidth="1"/>
    <col min="7907" max="7907" width="11.42578125" style="3121"/>
    <col min="7908" max="7908" width="15.140625" style="3121" customWidth="1"/>
    <col min="7909" max="7909" width="11.7109375" style="3121" bestFit="1" customWidth="1"/>
    <col min="7910" max="7914" width="10.7109375" style="3121" customWidth="1"/>
    <col min="7915" max="7915" width="1.7109375" style="3121" customWidth="1"/>
    <col min="7916" max="7916" width="11.7109375" style="3121" customWidth="1"/>
    <col min="7917" max="7919" width="9.7109375" style="3121" customWidth="1"/>
    <col min="7920" max="8161" width="11.42578125" style="3121"/>
    <col min="8162" max="8162" width="16.5703125" style="3121" customWidth="1"/>
    <col min="8163" max="8163" width="11.42578125" style="3121"/>
    <col min="8164" max="8164" width="15.140625" style="3121" customWidth="1"/>
    <col min="8165" max="8165" width="11.7109375" style="3121" bestFit="1" customWidth="1"/>
    <col min="8166" max="8170" width="10.7109375" style="3121" customWidth="1"/>
    <col min="8171" max="8171" width="1.7109375" style="3121" customWidth="1"/>
    <col min="8172" max="8172" width="11.7109375" style="3121" customWidth="1"/>
    <col min="8173" max="8175" width="9.7109375" style="3121" customWidth="1"/>
    <col min="8176" max="8417" width="11.42578125" style="3121"/>
    <col min="8418" max="8418" width="16.5703125" style="3121" customWidth="1"/>
    <col min="8419" max="8419" width="11.42578125" style="3121"/>
    <col min="8420" max="8420" width="15.140625" style="3121" customWidth="1"/>
    <col min="8421" max="8421" width="11.7109375" style="3121" bestFit="1" customWidth="1"/>
    <col min="8422" max="8426" width="10.7109375" style="3121" customWidth="1"/>
    <col min="8427" max="8427" width="1.7109375" style="3121" customWidth="1"/>
    <col min="8428" max="8428" width="11.7109375" style="3121" customWidth="1"/>
    <col min="8429" max="8431" width="9.7109375" style="3121" customWidth="1"/>
    <col min="8432" max="8673" width="11.42578125" style="3121"/>
    <col min="8674" max="8674" width="16.5703125" style="3121" customWidth="1"/>
    <col min="8675" max="8675" width="11.42578125" style="3121"/>
    <col min="8676" max="8676" width="15.140625" style="3121" customWidth="1"/>
    <col min="8677" max="8677" width="11.7109375" style="3121" bestFit="1" customWidth="1"/>
    <col min="8678" max="8682" width="10.7109375" style="3121" customWidth="1"/>
    <col min="8683" max="8683" width="1.7109375" style="3121" customWidth="1"/>
    <col min="8684" max="8684" width="11.7109375" style="3121" customWidth="1"/>
    <col min="8685" max="8687" width="9.7109375" style="3121" customWidth="1"/>
    <col min="8688" max="8929" width="11.42578125" style="3121"/>
    <col min="8930" max="8930" width="16.5703125" style="3121" customWidth="1"/>
    <col min="8931" max="8931" width="11.42578125" style="3121"/>
    <col min="8932" max="8932" width="15.140625" style="3121" customWidth="1"/>
    <col min="8933" max="8933" width="11.7109375" style="3121" bestFit="1" customWidth="1"/>
    <col min="8934" max="8938" width="10.7109375" style="3121" customWidth="1"/>
    <col min="8939" max="8939" width="1.7109375" style="3121" customWidth="1"/>
    <col min="8940" max="8940" width="11.7109375" style="3121" customWidth="1"/>
    <col min="8941" max="8943" width="9.7109375" style="3121" customWidth="1"/>
    <col min="8944" max="9185" width="11.42578125" style="3121"/>
    <col min="9186" max="9186" width="16.5703125" style="3121" customWidth="1"/>
    <col min="9187" max="9187" width="11.42578125" style="3121"/>
    <col min="9188" max="9188" width="15.140625" style="3121" customWidth="1"/>
    <col min="9189" max="9189" width="11.7109375" style="3121" bestFit="1" customWidth="1"/>
    <col min="9190" max="9194" width="10.7109375" style="3121" customWidth="1"/>
    <col min="9195" max="9195" width="1.7109375" style="3121" customWidth="1"/>
    <col min="9196" max="9196" width="11.7109375" style="3121" customWidth="1"/>
    <col min="9197" max="9199" width="9.7109375" style="3121" customWidth="1"/>
    <col min="9200" max="9441" width="11.42578125" style="3121"/>
    <col min="9442" max="9442" width="16.5703125" style="3121" customWidth="1"/>
    <col min="9443" max="9443" width="11.42578125" style="3121"/>
    <col min="9444" max="9444" width="15.140625" style="3121" customWidth="1"/>
    <col min="9445" max="9445" width="11.7109375" style="3121" bestFit="1" customWidth="1"/>
    <col min="9446" max="9450" width="10.7109375" style="3121" customWidth="1"/>
    <col min="9451" max="9451" width="1.7109375" style="3121" customWidth="1"/>
    <col min="9452" max="9452" width="11.7109375" style="3121" customWidth="1"/>
    <col min="9453" max="9455" width="9.7109375" style="3121" customWidth="1"/>
    <col min="9456" max="9697" width="11.42578125" style="3121"/>
    <col min="9698" max="9698" width="16.5703125" style="3121" customWidth="1"/>
    <col min="9699" max="9699" width="11.42578125" style="3121"/>
    <col min="9700" max="9700" width="15.140625" style="3121" customWidth="1"/>
    <col min="9701" max="9701" width="11.7109375" style="3121" bestFit="1" customWidth="1"/>
    <col min="9702" max="9706" width="10.7109375" style="3121" customWidth="1"/>
    <col min="9707" max="9707" width="1.7109375" style="3121" customWidth="1"/>
    <col min="9708" max="9708" width="11.7109375" style="3121" customWidth="1"/>
    <col min="9709" max="9711" width="9.7109375" style="3121" customWidth="1"/>
    <col min="9712" max="9953" width="11.42578125" style="3121"/>
    <col min="9954" max="9954" width="16.5703125" style="3121" customWidth="1"/>
    <col min="9955" max="9955" width="11.42578125" style="3121"/>
    <col min="9956" max="9956" width="15.140625" style="3121" customWidth="1"/>
    <col min="9957" max="9957" width="11.7109375" style="3121" bestFit="1" customWidth="1"/>
    <col min="9958" max="9962" width="10.7109375" style="3121" customWidth="1"/>
    <col min="9963" max="9963" width="1.7109375" style="3121" customWidth="1"/>
    <col min="9964" max="9964" width="11.7109375" style="3121" customWidth="1"/>
    <col min="9965" max="9967" width="9.7109375" style="3121" customWidth="1"/>
    <col min="9968" max="10209" width="11.42578125" style="3121"/>
    <col min="10210" max="10210" width="16.5703125" style="3121" customWidth="1"/>
    <col min="10211" max="10211" width="11.42578125" style="3121"/>
    <col min="10212" max="10212" width="15.140625" style="3121" customWidth="1"/>
    <col min="10213" max="10213" width="11.7109375" style="3121" bestFit="1" customWidth="1"/>
    <col min="10214" max="10218" width="10.7109375" style="3121" customWidth="1"/>
    <col min="10219" max="10219" width="1.7109375" style="3121" customWidth="1"/>
    <col min="10220" max="10220" width="11.7109375" style="3121" customWidth="1"/>
    <col min="10221" max="10223" width="9.7109375" style="3121" customWidth="1"/>
    <col min="10224" max="10465" width="11.42578125" style="3121"/>
    <col min="10466" max="10466" width="16.5703125" style="3121" customWidth="1"/>
    <col min="10467" max="10467" width="11.42578125" style="3121"/>
    <col min="10468" max="10468" width="15.140625" style="3121" customWidth="1"/>
    <col min="10469" max="10469" width="11.7109375" style="3121" bestFit="1" customWidth="1"/>
    <col min="10470" max="10474" width="10.7109375" style="3121" customWidth="1"/>
    <col min="10475" max="10475" width="1.7109375" style="3121" customWidth="1"/>
    <col min="10476" max="10476" width="11.7109375" style="3121" customWidth="1"/>
    <col min="10477" max="10479" width="9.7109375" style="3121" customWidth="1"/>
    <col min="10480" max="10721" width="11.42578125" style="3121"/>
    <col min="10722" max="10722" width="16.5703125" style="3121" customWidth="1"/>
    <col min="10723" max="10723" width="11.42578125" style="3121"/>
    <col min="10724" max="10724" width="15.140625" style="3121" customWidth="1"/>
    <col min="10725" max="10725" width="11.7109375" style="3121" bestFit="1" customWidth="1"/>
    <col min="10726" max="10730" width="10.7109375" style="3121" customWidth="1"/>
    <col min="10731" max="10731" width="1.7109375" style="3121" customWidth="1"/>
    <col min="10732" max="10732" width="11.7109375" style="3121" customWidth="1"/>
    <col min="10733" max="10735" width="9.7109375" style="3121" customWidth="1"/>
    <col min="10736" max="10977" width="11.42578125" style="3121"/>
    <col min="10978" max="10978" width="16.5703125" style="3121" customWidth="1"/>
    <col min="10979" max="10979" width="11.42578125" style="3121"/>
    <col min="10980" max="10980" width="15.140625" style="3121" customWidth="1"/>
    <col min="10981" max="10981" width="11.7109375" style="3121" bestFit="1" customWidth="1"/>
    <col min="10982" max="10986" width="10.7109375" style="3121" customWidth="1"/>
    <col min="10987" max="10987" width="1.7109375" style="3121" customWidth="1"/>
    <col min="10988" max="10988" width="11.7109375" style="3121" customWidth="1"/>
    <col min="10989" max="10991" width="9.7109375" style="3121" customWidth="1"/>
    <col min="10992" max="11233" width="11.42578125" style="3121"/>
    <col min="11234" max="11234" width="16.5703125" style="3121" customWidth="1"/>
    <col min="11235" max="11235" width="11.42578125" style="3121"/>
    <col min="11236" max="11236" width="15.140625" style="3121" customWidth="1"/>
    <col min="11237" max="11237" width="11.7109375" style="3121" bestFit="1" customWidth="1"/>
    <col min="11238" max="11242" width="10.7109375" style="3121" customWidth="1"/>
    <col min="11243" max="11243" width="1.7109375" style="3121" customWidth="1"/>
    <col min="11244" max="11244" width="11.7109375" style="3121" customWidth="1"/>
    <col min="11245" max="11247" width="9.7109375" style="3121" customWidth="1"/>
    <col min="11248" max="11489" width="11.42578125" style="3121"/>
    <col min="11490" max="11490" width="16.5703125" style="3121" customWidth="1"/>
    <col min="11491" max="11491" width="11.42578125" style="3121"/>
    <col min="11492" max="11492" width="15.140625" style="3121" customWidth="1"/>
    <col min="11493" max="11493" width="11.7109375" style="3121" bestFit="1" customWidth="1"/>
    <col min="11494" max="11498" width="10.7109375" style="3121" customWidth="1"/>
    <col min="11499" max="11499" width="1.7109375" style="3121" customWidth="1"/>
    <col min="11500" max="11500" width="11.7109375" style="3121" customWidth="1"/>
    <col min="11501" max="11503" width="9.7109375" style="3121" customWidth="1"/>
    <col min="11504" max="11745" width="11.42578125" style="3121"/>
    <col min="11746" max="11746" width="16.5703125" style="3121" customWidth="1"/>
    <col min="11747" max="11747" width="11.42578125" style="3121"/>
    <col min="11748" max="11748" width="15.140625" style="3121" customWidth="1"/>
    <col min="11749" max="11749" width="11.7109375" style="3121" bestFit="1" customWidth="1"/>
    <col min="11750" max="11754" width="10.7109375" style="3121" customWidth="1"/>
    <col min="11755" max="11755" width="1.7109375" style="3121" customWidth="1"/>
    <col min="11756" max="11756" width="11.7109375" style="3121" customWidth="1"/>
    <col min="11757" max="11759" width="9.7109375" style="3121" customWidth="1"/>
    <col min="11760" max="12001" width="11.42578125" style="3121"/>
    <col min="12002" max="12002" width="16.5703125" style="3121" customWidth="1"/>
    <col min="12003" max="12003" width="11.42578125" style="3121"/>
    <col min="12004" max="12004" width="15.140625" style="3121" customWidth="1"/>
    <col min="12005" max="12005" width="11.7109375" style="3121" bestFit="1" customWidth="1"/>
    <col min="12006" max="12010" width="10.7109375" style="3121" customWidth="1"/>
    <col min="12011" max="12011" width="1.7109375" style="3121" customWidth="1"/>
    <col min="12012" max="12012" width="11.7109375" style="3121" customWidth="1"/>
    <col min="12013" max="12015" width="9.7109375" style="3121" customWidth="1"/>
    <col min="12016" max="12257" width="11.42578125" style="3121"/>
    <col min="12258" max="12258" width="16.5703125" style="3121" customWidth="1"/>
    <col min="12259" max="12259" width="11.42578125" style="3121"/>
    <col min="12260" max="12260" width="15.140625" style="3121" customWidth="1"/>
    <col min="12261" max="12261" width="11.7109375" style="3121" bestFit="1" customWidth="1"/>
    <col min="12262" max="12266" width="10.7109375" style="3121" customWidth="1"/>
    <col min="12267" max="12267" width="1.7109375" style="3121" customWidth="1"/>
    <col min="12268" max="12268" width="11.7109375" style="3121" customWidth="1"/>
    <col min="12269" max="12271" width="9.7109375" style="3121" customWidth="1"/>
    <col min="12272" max="12513" width="11.42578125" style="3121"/>
    <col min="12514" max="12514" width="16.5703125" style="3121" customWidth="1"/>
    <col min="12515" max="12515" width="11.42578125" style="3121"/>
    <col min="12516" max="12516" width="15.140625" style="3121" customWidth="1"/>
    <col min="12517" max="12517" width="11.7109375" style="3121" bestFit="1" customWidth="1"/>
    <col min="12518" max="12522" width="10.7109375" style="3121" customWidth="1"/>
    <col min="12523" max="12523" width="1.7109375" style="3121" customWidth="1"/>
    <col min="12524" max="12524" width="11.7109375" style="3121" customWidth="1"/>
    <col min="12525" max="12527" width="9.7109375" style="3121" customWidth="1"/>
    <col min="12528" max="12769" width="11.42578125" style="3121"/>
    <col min="12770" max="12770" width="16.5703125" style="3121" customWidth="1"/>
    <col min="12771" max="12771" width="11.42578125" style="3121"/>
    <col min="12772" max="12772" width="15.140625" style="3121" customWidth="1"/>
    <col min="12773" max="12773" width="11.7109375" style="3121" bestFit="1" customWidth="1"/>
    <col min="12774" max="12778" width="10.7109375" style="3121" customWidth="1"/>
    <col min="12779" max="12779" width="1.7109375" style="3121" customWidth="1"/>
    <col min="12780" max="12780" width="11.7109375" style="3121" customWidth="1"/>
    <col min="12781" max="12783" width="9.7109375" style="3121" customWidth="1"/>
    <col min="12784" max="13025" width="11.42578125" style="3121"/>
    <col min="13026" max="13026" width="16.5703125" style="3121" customWidth="1"/>
    <col min="13027" max="13027" width="11.42578125" style="3121"/>
    <col min="13028" max="13028" width="15.140625" style="3121" customWidth="1"/>
    <col min="13029" max="13029" width="11.7109375" style="3121" bestFit="1" customWidth="1"/>
    <col min="13030" max="13034" width="10.7109375" style="3121" customWidth="1"/>
    <col min="13035" max="13035" width="1.7109375" style="3121" customWidth="1"/>
    <col min="13036" max="13036" width="11.7109375" style="3121" customWidth="1"/>
    <col min="13037" max="13039" width="9.7109375" style="3121" customWidth="1"/>
    <col min="13040" max="13281" width="11.42578125" style="3121"/>
    <col min="13282" max="13282" width="16.5703125" style="3121" customWidth="1"/>
    <col min="13283" max="13283" width="11.42578125" style="3121"/>
    <col min="13284" max="13284" width="15.140625" style="3121" customWidth="1"/>
    <col min="13285" max="13285" width="11.7109375" style="3121" bestFit="1" customWidth="1"/>
    <col min="13286" max="13290" width="10.7109375" style="3121" customWidth="1"/>
    <col min="13291" max="13291" width="1.7109375" style="3121" customWidth="1"/>
    <col min="13292" max="13292" width="11.7109375" style="3121" customWidth="1"/>
    <col min="13293" max="13295" width="9.7109375" style="3121" customWidth="1"/>
    <col min="13296" max="13537" width="11.42578125" style="3121"/>
    <col min="13538" max="13538" width="16.5703125" style="3121" customWidth="1"/>
    <col min="13539" max="13539" width="11.42578125" style="3121"/>
    <col min="13540" max="13540" width="15.140625" style="3121" customWidth="1"/>
    <col min="13541" max="13541" width="11.7109375" style="3121" bestFit="1" customWidth="1"/>
    <col min="13542" max="13546" width="10.7109375" style="3121" customWidth="1"/>
    <col min="13547" max="13547" width="1.7109375" style="3121" customWidth="1"/>
    <col min="13548" max="13548" width="11.7109375" style="3121" customWidth="1"/>
    <col min="13549" max="13551" width="9.7109375" style="3121" customWidth="1"/>
    <col min="13552" max="13793" width="11.42578125" style="3121"/>
    <col min="13794" max="13794" width="16.5703125" style="3121" customWidth="1"/>
    <col min="13795" max="13795" width="11.42578125" style="3121"/>
    <col min="13796" max="13796" width="15.140625" style="3121" customWidth="1"/>
    <col min="13797" max="13797" width="11.7109375" style="3121" bestFit="1" customWidth="1"/>
    <col min="13798" max="13802" width="10.7109375" style="3121" customWidth="1"/>
    <col min="13803" max="13803" width="1.7109375" style="3121" customWidth="1"/>
    <col min="13804" max="13804" width="11.7109375" style="3121" customWidth="1"/>
    <col min="13805" max="13807" width="9.7109375" style="3121" customWidth="1"/>
    <col min="13808" max="14049" width="11.42578125" style="3121"/>
    <col min="14050" max="14050" width="16.5703125" style="3121" customWidth="1"/>
    <col min="14051" max="14051" width="11.42578125" style="3121"/>
    <col min="14052" max="14052" width="15.140625" style="3121" customWidth="1"/>
    <col min="14053" max="14053" width="11.7109375" style="3121" bestFit="1" customWidth="1"/>
    <col min="14054" max="14058" width="10.7109375" style="3121" customWidth="1"/>
    <col min="14059" max="14059" width="1.7109375" style="3121" customWidth="1"/>
    <col min="14060" max="14060" width="11.7109375" style="3121" customWidth="1"/>
    <col min="14061" max="14063" width="9.7109375" style="3121" customWidth="1"/>
    <col min="14064" max="14305" width="11.42578125" style="3121"/>
    <col min="14306" max="14306" width="16.5703125" style="3121" customWidth="1"/>
    <col min="14307" max="14307" width="11.42578125" style="3121"/>
    <col min="14308" max="14308" width="15.140625" style="3121" customWidth="1"/>
    <col min="14309" max="14309" width="11.7109375" style="3121" bestFit="1" customWidth="1"/>
    <col min="14310" max="14314" width="10.7109375" style="3121" customWidth="1"/>
    <col min="14315" max="14315" width="1.7109375" style="3121" customWidth="1"/>
    <col min="14316" max="14316" width="11.7109375" style="3121" customWidth="1"/>
    <col min="14317" max="14319" width="9.7109375" style="3121" customWidth="1"/>
    <col min="14320" max="14561" width="11.42578125" style="3121"/>
    <col min="14562" max="14562" width="16.5703125" style="3121" customWidth="1"/>
    <col min="14563" max="14563" width="11.42578125" style="3121"/>
    <col min="14564" max="14564" width="15.140625" style="3121" customWidth="1"/>
    <col min="14565" max="14565" width="11.7109375" style="3121" bestFit="1" customWidth="1"/>
    <col min="14566" max="14570" width="10.7109375" style="3121" customWidth="1"/>
    <col min="14571" max="14571" width="1.7109375" style="3121" customWidth="1"/>
    <col min="14572" max="14572" width="11.7109375" style="3121" customWidth="1"/>
    <col min="14573" max="14575" width="9.7109375" style="3121" customWidth="1"/>
    <col min="14576" max="14817" width="11.42578125" style="3121"/>
    <col min="14818" max="14818" width="16.5703125" style="3121" customWidth="1"/>
    <col min="14819" max="14819" width="11.42578125" style="3121"/>
    <col min="14820" max="14820" width="15.140625" style="3121" customWidth="1"/>
    <col min="14821" max="14821" width="11.7109375" style="3121" bestFit="1" customWidth="1"/>
    <col min="14822" max="14826" width="10.7109375" style="3121" customWidth="1"/>
    <col min="14827" max="14827" width="1.7109375" style="3121" customWidth="1"/>
    <col min="14828" max="14828" width="11.7109375" style="3121" customWidth="1"/>
    <col min="14829" max="14831" width="9.7109375" style="3121" customWidth="1"/>
    <col min="14832" max="15073" width="11.42578125" style="3121"/>
    <col min="15074" max="15074" width="16.5703125" style="3121" customWidth="1"/>
    <col min="15075" max="15075" width="11.42578125" style="3121"/>
    <col min="15076" max="15076" width="15.140625" style="3121" customWidth="1"/>
    <col min="15077" max="15077" width="11.7109375" style="3121" bestFit="1" customWidth="1"/>
    <col min="15078" max="15082" width="10.7109375" style="3121" customWidth="1"/>
    <col min="15083" max="15083" width="1.7109375" style="3121" customWidth="1"/>
    <col min="15084" max="15084" width="11.7109375" style="3121" customWidth="1"/>
    <col min="15085" max="15087" width="9.7109375" style="3121" customWidth="1"/>
    <col min="15088" max="15329" width="11.42578125" style="3121"/>
    <col min="15330" max="15330" width="16.5703125" style="3121" customWidth="1"/>
    <col min="15331" max="15331" width="11.42578125" style="3121"/>
    <col min="15332" max="15332" width="15.140625" style="3121" customWidth="1"/>
    <col min="15333" max="15333" width="11.7109375" style="3121" bestFit="1" customWidth="1"/>
    <col min="15334" max="15338" width="10.7109375" style="3121" customWidth="1"/>
    <col min="15339" max="15339" width="1.7109375" style="3121" customWidth="1"/>
    <col min="15340" max="15340" width="11.7109375" style="3121" customWidth="1"/>
    <col min="15341" max="15343" width="9.7109375" style="3121" customWidth="1"/>
    <col min="15344" max="15585" width="11.42578125" style="3121"/>
    <col min="15586" max="15586" width="16.5703125" style="3121" customWidth="1"/>
    <col min="15587" max="15587" width="11.42578125" style="3121"/>
    <col min="15588" max="15588" width="15.140625" style="3121" customWidth="1"/>
    <col min="15589" max="15589" width="11.7109375" style="3121" bestFit="1" customWidth="1"/>
    <col min="15590" max="15594" width="10.7109375" style="3121" customWidth="1"/>
    <col min="15595" max="15595" width="1.7109375" style="3121" customWidth="1"/>
    <col min="15596" max="15596" width="11.7109375" style="3121" customWidth="1"/>
    <col min="15597" max="15599" width="9.7109375" style="3121" customWidth="1"/>
    <col min="15600" max="15841" width="11.42578125" style="3121"/>
    <col min="15842" max="15842" width="16.5703125" style="3121" customWidth="1"/>
    <col min="15843" max="15843" width="11.42578125" style="3121"/>
    <col min="15844" max="15844" width="15.140625" style="3121" customWidth="1"/>
    <col min="15845" max="15845" width="11.7109375" style="3121" bestFit="1" customWidth="1"/>
    <col min="15846" max="15850" width="10.7109375" style="3121" customWidth="1"/>
    <col min="15851" max="15851" width="1.7109375" style="3121" customWidth="1"/>
    <col min="15852" max="15852" width="11.7109375" style="3121" customWidth="1"/>
    <col min="15853" max="15855" width="9.7109375" style="3121" customWidth="1"/>
    <col min="15856" max="16097" width="11.42578125" style="3121"/>
    <col min="16098" max="16098" width="16.5703125" style="3121" customWidth="1"/>
    <col min="16099" max="16099" width="11.42578125" style="3121"/>
    <col min="16100" max="16100" width="15.140625" style="3121" customWidth="1"/>
    <col min="16101" max="16101" width="11.7109375" style="3121" bestFit="1" customWidth="1"/>
    <col min="16102" max="16106" width="10.7109375" style="3121" customWidth="1"/>
    <col min="16107" max="16107" width="1.7109375" style="3121" customWidth="1"/>
    <col min="16108" max="16108" width="11.7109375" style="3121" customWidth="1"/>
    <col min="16109" max="16111" width="9.7109375" style="3121" customWidth="1"/>
    <col min="16112" max="16384" width="11.42578125" style="3121"/>
  </cols>
  <sheetData>
    <row r="1" spans="1:5" ht="18.75" x14ac:dyDescent="0.3">
      <c r="A1" s="6543" t="s">
        <v>1395</v>
      </c>
      <c r="B1" s="6543"/>
      <c r="C1" s="6543"/>
      <c r="D1" s="6543"/>
      <c r="E1" s="6543"/>
    </row>
    <row r="3" spans="1:5" ht="15.75" x14ac:dyDescent="0.25">
      <c r="A3" s="6515" t="s">
        <v>4</v>
      </c>
      <c r="B3" s="6546" t="s">
        <v>1621</v>
      </c>
      <c r="C3" s="6546"/>
      <c r="D3" s="6546"/>
      <c r="E3" s="6547"/>
    </row>
    <row r="4" spans="1:5" x14ac:dyDescent="0.25">
      <c r="A4" s="6515"/>
      <c r="B4" s="5205" t="s">
        <v>77</v>
      </c>
      <c r="C4" s="5205" t="s">
        <v>1640</v>
      </c>
      <c r="D4" s="3984" t="s">
        <v>1317</v>
      </c>
      <c r="E4" s="3984" t="s">
        <v>1098</v>
      </c>
    </row>
    <row r="5" spans="1:5" x14ac:dyDescent="0.25">
      <c r="A5" s="6540" t="s">
        <v>1099</v>
      </c>
      <c r="B5" s="4834" t="s">
        <v>135</v>
      </c>
      <c r="C5" s="5334"/>
      <c r="D5" s="3097"/>
      <c r="E5" s="3098"/>
    </row>
    <row r="6" spans="1:5" ht="15" customHeight="1" x14ac:dyDescent="0.25">
      <c r="A6" s="6541"/>
      <c r="B6" s="6548" t="s">
        <v>1510</v>
      </c>
      <c r="C6" s="5335" t="s">
        <v>1641</v>
      </c>
      <c r="D6" s="5199" t="s">
        <v>1163</v>
      </c>
      <c r="E6" s="3101"/>
    </row>
    <row r="7" spans="1:5" x14ac:dyDescent="0.25">
      <c r="A7" s="6541"/>
      <c r="B7" s="6549"/>
      <c r="C7" s="5335" t="s">
        <v>1642</v>
      </c>
      <c r="D7" s="3102" t="s">
        <v>1162</v>
      </c>
      <c r="E7" s="3101"/>
    </row>
    <row r="8" spans="1:5" x14ac:dyDescent="0.25">
      <c r="A8" s="6541"/>
      <c r="B8" s="3099" t="s">
        <v>136</v>
      </c>
      <c r="C8" s="5336"/>
      <c r="D8" s="3100" t="s">
        <v>1162</v>
      </c>
      <c r="E8" s="3101"/>
    </row>
    <row r="9" spans="1:5" x14ac:dyDescent="0.25">
      <c r="A9" s="6541"/>
      <c r="B9" s="5322" t="s">
        <v>410</v>
      </c>
      <c r="C9" s="5335"/>
      <c r="D9" s="3100" t="s">
        <v>1162</v>
      </c>
      <c r="E9" s="3103"/>
    </row>
    <row r="10" spans="1:5" x14ac:dyDescent="0.25">
      <c r="A10" s="6541"/>
      <c r="B10" s="5322" t="s">
        <v>409</v>
      </c>
      <c r="C10" s="5335"/>
      <c r="D10" s="3102" t="s">
        <v>1163</v>
      </c>
      <c r="E10" s="3103"/>
    </row>
    <row r="11" spans="1:5" x14ac:dyDescent="0.25">
      <c r="A11" s="6541"/>
      <c r="B11" s="3212" t="s">
        <v>1608</v>
      </c>
      <c r="C11" s="5337"/>
      <c r="D11" s="3107"/>
      <c r="E11" s="5200" t="s">
        <v>1496</v>
      </c>
    </row>
    <row r="12" spans="1:5" x14ac:dyDescent="0.25">
      <c r="A12" s="6541"/>
      <c r="B12" s="6550" t="s">
        <v>1609</v>
      </c>
      <c r="C12" s="5338" t="s">
        <v>1641</v>
      </c>
      <c r="D12" s="3110"/>
      <c r="E12" s="3985"/>
    </row>
    <row r="13" spans="1:5" x14ac:dyDescent="0.25">
      <c r="A13" s="6541"/>
      <c r="B13" s="6551"/>
      <c r="C13" s="5335" t="s">
        <v>1642</v>
      </c>
      <c r="D13" s="3100" t="s">
        <v>1162</v>
      </c>
      <c r="E13" s="3101"/>
    </row>
    <row r="14" spans="1:5" x14ac:dyDescent="0.25">
      <c r="A14" s="6541"/>
      <c r="B14" s="5322" t="s">
        <v>137</v>
      </c>
      <c r="C14" s="5339"/>
      <c r="D14" s="3102" t="s">
        <v>1163</v>
      </c>
      <c r="E14" s="3104"/>
    </row>
    <row r="15" spans="1:5" x14ac:dyDescent="0.25">
      <c r="A15" s="6541"/>
      <c r="B15" s="5322" t="s">
        <v>614</v>
      </c>
      <c r="C15" s="5339"/>
      <c r="D15" s="3102" t="s">
        <v>1164</v>
      </c>
      <c r="E15" s="3103"/>
    </row>
    <row r="16" spans="1:5" x14ac:dyDescent="0.25">
      <c r="A16" s="6541"/>
      <c r="B16" s="5322" t="s">
        <v>613</v>
      </c>
      <c r="C16" s="5335"/>
      <c r="D16" s="3100"/>
      <c r="E16" s="3103"/>
    </row>
    <row r="17" spans="1:5" ht="15" customHeight="1" x14ac:dyDescent="0.25">
      <c r="A17" s="6542"/>
      <c r="B17" s="3212" t="s">
        <v>1610</v>
      </c>
      <c r="C17" s="5337"/>
      <c r="D17" s="3107"/>
      <c r="E17" s="5200" t="s">
        <v>1496</v>
      </c>
    </row>
    <row r="18" spans="1:5" x14ac:dyDescent="0.25">
      <c r="A18" s="6552" t="s">
        <v>1110</v>
      </c>
      <c r="B18" s="4835" t="s">
        <v>1165</v>
      </c>
      <c r="C18" s="5340"/>
      <c r="D18" s="4836"/>
      <c r="E18" s="4837"/>
    </row>
    <row r="19" spans="1:5" ht="15" customHeight="1" x14ac:dyDescent="0.25">
      <c r="A19" s="6552"/>
      <c r="B19" s="4838" t="s">
        <v>138</v>
      </c>
      <c r="C19" s="5341"/>
      <c r="D19" s="4839" t="s">
        <v>1162</v>
      </c>
      <c r="E19" s="4840"/>
    </row>
    <row r="20" spans="1:5" x14ac:dyDescent="0.25">
      <c r="A20" s="6552"/>
      <c r="B20" s="4841" t="s">
        <v>358</v>
      </c>
      <c r="C20" s="5342"/>
      <c r="D20" s="4842"/>
      <c r="E20" s="4843"/>
    </row>
    <row r="21" spans="1:5" x14ac:dyDescent="0.25">
      <c r="A21" s="6552"/>
      <c r="B21" s="4844" t="s">
        <v>847</v>
      </c>
      <c r="C21" s="5343"/>
      <c r="D21" s="5344" t="s">
        <v>1163</v>
      </c>
      <c r="E21" s="5345" t="s">
        <v>1643</v>
      </c>
    </row>
    <row r="22" spans="1:5" x14ac:dyDescent="0.25">
      <c r="A22" s="6552"/>
      <c r="B22" s="4838" t="s">
        <v>1166</v>
      </c>
      <c r="C22" s="5341"/>
      <c r="D22" s="4839" t="s">
        <v>1162</v>
      </c>
      <c r="E22" s="5201"/>
    </row>
    <row r="23" spans="1:5" x14ac:dyDescent="0.25">
      <c r="A23" s="6552"/>
      <c r="B23" s="4838" t="s">
        <v>140</v>
      </c>
      <c r="C23" s="5341"/>
      <c r="D23" s="4839" t="s">
        <v>1163</v>
      </c>
      <c r="E23" s="4840"/>
    </row>
    <row r="24" spans="1:5" x14ac:dyDescent="0.25">
      <c r="A24" s="6552"/>
      <c r="B24" s="4838" t="s">
        <v>141</v>
      </c>
      <c r="C24" s="5341"/>
      <c r="D24" s="4839" t="s">
        <v>1162</v>
      </c>
      <c r="E24" s="4840"/>
    </row>
    <row r="25" spans="1:5" x14ac:dyDescent="0.25">
      <c r="A25" s="6552"/>
      <c r="B25" s="4838" t="s">
        <v>438</v>
      </c>
      <c r="C25" s="5341"/>
      <c r="D25" s="4839" t="s">
        <v>1163</v>
      </c>
      <c r="E25" s="5202"/>
    </row>
    <row r="26" spans="1:5" ht="45" x14ac:dyDescent="0.25">
      <c r="A26" s="6552"/>
      <c r="B26" s="4838" t="s">
        <v>139</v>
      </c>
      <c r="C26" s="5341"/>
      <c r="D26" s="4839" t="s">
        <v>1162</v>
      </c>
      <c r="E26" s="4846" t="s">
        <v>1492</v>
      </c>
    </row>
    <row r="27" spans="1:5" x14ac:dyDescent="0.25">
      <c r="A27" s="6552"/>
      <c r="B27" s="4841" t="s">
        <v>1594</v>
      </c>
      <c r="C27" s="5342"/>
      <c r="D27" s="4842"/>
      <c r="E27" s="5201" t="s">
        <v>1496</v>
      </c>
    </row>
    <row r="28" spans="1:5" x14ac:dyDescent="0.25">
      <c r="A28" s="6552"/>
      <c r="B28" s="4844" t="s">
        <v>534</v>
      </c>
      <c r="C28" s="5343"/>
      <c r="D28" s="4845" t="s">
        <v>1163</v>
      </c>
      <c r="E28" s="4848"/>
    </row>
    <row r="29" spans="1:5" x14ac:dyDescent="0.25">
      <c r="A29" s="6552"/>
      <c r="B29" s="4838" t="s">
        <v>142</v>
      </c>
      <c r="C29" s="5341"/>
      <c r="D29" s="4839" t="s">
        <v>1162</v>
      </c>
      <c r="E29" s="4840"/>
    </row>
    <row r="30" spans="1:5" ht="45" x14ac:dyDescent="0.25">
      <c r="A30" s="6552"/>
      <c r="B30" s="4838" t="s">
        <v>143</v>
      </c>
      <c r="C30" s="5341"/>
      <c r="D30" s="4839" t="s">
        <v>1163</v>
      </c>
      <c r="E30" s="4846" t="s">
        <v>1492</v>
      </c>
    </row>
    <row r="31" spans="1:5" ht="45" x14ac:dyDescent="0.25">
      <c r="A31" s="6552"/>
      <c r="B31" s="4841" t="s">
        <v>1611</v>
      </c>
      <c r="C31" s="5342"/>
      <c r="D31" s="4842"/>
      <c r="E31" s="4847" t="s">
        <v>1492</v>
      </c>
    </row>
    <row r="32" spans="1:5" ht="30" x14ac:dyDescent="0.25">
      <c r="A32" s="6541"/>
      <c r="B32" s="5231" t="s">
        <v>1318</v>
      </c>
      <c r="C32" s="3107"/>
      <c r="D32" s="3107" t="s">
        <v>1163</v>
      </c>
      <c r="E32" s="3108"/>
    </row>
    <row r="33" spans="1:5" x14ac:dyDescent="0.25">
      <c r="A33" s="6541"/>
      <c r="B33" s="5230" t="s">
        <v>1319</v>
      </c>
      <c r="C33" s="5203"/>
      <c r="D33" s="5203"/>
      <c r="E33" s="3987"/>
    </row>
    <row r="34" spans="1:5" x14ac:dyDescent="0.25">
      <c r="A34" s="6541"/>
      <c r="B34" s="5232" t="s">
        <v>1320</v>
      </c>
      <c r="C34" s="3100"/>
      <c r="D34" s="3100"/>
      <c r="E34" s="3101"/>
    </row>
    <row r="35" spans="1:5" ht="15" customHeight="1" x14ac:dyDescent="0.25">
      <c r="A35" s="6541"/>
      <c r="B35" s="5232" t="s">
        <v>1321</v>
      </c>
      <c r="C35" s="3100"/>
      <c r="D35" s="3100" t="s">
        <v>1163</v>
      </c>
      <c r="E35" s="3101"/>
    </row>
    <row r="36" spans="1:5" ht="30" x14ac:dyDescent="0.25">
      <c r="A36" s="6541"/>
      <c r="B36" s="5232" t="s">
        <v>1322</v>
      </c>
      <c r="C36" s="3100"/>
      <c r="D36" s="3100"/>
      <c r="E36" s="3101"/>
    </row>
    <row r="37" spans="1:5" x14ac:dyDescent="0.25">
      <c r="A37" s="6541"/>
      <c r="B37" s="5232" t="s">
        <v>1323</v>
      </c>
      <c r="C37" s="3100"/>
      <c r="D37" s="3100"/>
      <c r="E37" s="3104"/>
    </row>
    <row r="38" spans="1:5" ht="30" x14ac:dyDescent="0.25">
      <c r="A38" s="6541"/>
      <c r="B38" s="5231" t="s">
        <v>1324</v>
      </c>
      <c r="C38" s="3107"/>
      <c r="D38" s="3107"/>
      <c r="E38" s="3108"/>
    </row>
    <row r="39" spans="1:5" x14ac:dyDescent="0.25">
      <c r="A39" s="6541"/>
      <c r="B39" s="5230" t="s">
        <v>1325</v>
      </c>
      <c r="C39" s="3110"/>
      <c r="D39" s="3110"/>
      <c r="E39" s="3987"/>
    </row>
    <row r="40" spans="1:5" x14ac:dyDescent="0.25">
      <c r="A40" s="6541"/>
      <c r="B40" s="5232" t="s">
        <v>1326</v>
      </c>
      <c r="C40" s="3100"/>
      <c r="D40" s="3100"/>
      <c r="E40" s="3104"/>
    </row>
    <row r="41" spans="1:5" x14ac:dyDescent="0.25">
      <c r="A41" s="6541"/>
      <c r="B41" s="5232" t="s">
        <v>1327</v>
      </c>
      <c r="C41" s="3988"/>
      <c r="D41" s="3988" t="s">
        <v>1163</v>
      </c>
      <c r="E41" s="3104"/>
    </row>
    <row r="42" spans="1:5" ht="30" x14ac:dyDescent="0.25">
      <c r="A42" s="6541"/>
      <c r="B42" s="5232" t="s">
        <v>1328</v>
      </c>
      <c r="C42" s="3989"/>
      <c r="D42" s="3989"/>
      <c r="E42" s="3112"/>
    </row>
    <row r="43" spans="1:5" x14ac:dyDescent="0.25">
      <c r="A43" s="6541"/>
      <c r="B43" s="5232" t="s">
        <v>1329</v>
      </c>
      <c r="C43" s="3100"/>
      <c r="D43" s="3100"/>
      <c r="E43" s="3104"/>
    </row>
    <row r="44" spans="1:5" ht="30" x14ac:dyDescent="0.25">
      <c r="A44" s="6542"/>
      <c r="B44" s="5231" t="s">
        <v>1330</v>
      </c>
      <c r="C44" s="3107"/>
      <c r="D44" s="3107"/>
      <c r="E44" s="3108"/>
    </row>
    <row r="45" spans="1:5" x14ac:dyDescent="0.25">
      <c r="A45" s="3114" t="s">
        <v>1168</v>
      </c>
      <c r="B45" s="3114"/>
      <c r="C45" s="3114"/>
      <c r="D45" s="6521" t="s">
        <v>1167</v>
      </c>
      <c r="E45" s="6521"/>
    </row>
    <row r="46" spans="1:5" x14ac:dyDescent="0.25">
      <c r="A46" s="4849"/>
      <c r="B46" s="3113"/>
      <c r="C46" s="3113"/>
      <c r="D46" s="6522"/>
      <c r="E46" s="6522"/>
    </row>
    <row r="47" spans="1:5" x14ac:dyDescent="0.25">
      <c r="A47" s="4849"/>
      <c r="B47" s="3113"/>
      <c r="C47" s="5204"/>
      <c r="D47" s="5204"/>
    </row>
    <row r="48" spans="1:5" x14ac:dyDescent="0.25">
      <c r="A48" s="3114"/>
      <c r="B48" s="3114"/>
      <c r="C48" s="3114"/>
      <c r="D48" s="3113"/>
    </row>
    <row r="49" spans="1:4" ht="15.75" x14ac:dyDescent="0.25">
      <c r="A49" s="6544" t="s">
        <v>4</v>
      </c>
      <c r="B49" s="6553" t="s">
        <v>1612</v>
      </c>
      <c r="C49" s="6553"/>
      <c r="D49" s="6554"/>
    </row>
    <row r="50" spans="1:4" x14ac:dyDescent="0.25">
      <c r="A50" s="6544"/>
      <c r="B50" s="5205" t="s">
        <v>77</v>
      </c>
      <c r="C50" s="3984" t="s">
        <v>1317</v>
      </c>
      <c r="D50" s="3984" t="s">
        <v>1098</v>
      </c>
    </row>
    <row r="51" spans="1:4" ht="15" customHeight="1" x14ac:dyDescent="0.25">
      <c r="A51" s="6545" t="s">
        <v>1110</v>
      </c>
      <c r="B51" s="3990" t="s">
        <v>1176</v>
      </c>
      <c r="C51" s="3986" t="s">
        <v>1163</v>
      </c>
      <c r="D51" s="5206"/>
    </row>
    <row r="52" spans="1:4" x14ac:dyDescent="0.25">
      <c r="A52" s="6545"/>
      <c r="B52" s="5323" t="s">
        <v>1177</v>
      </c>
      <c r="C52" s="5346" t="s">
        <v>1163</v>
      </c>
      <c r="D52" s="5207"/>
    </row>
    <row r="53" spans="1:4" ht="45" x14ac:dyDescent="0.25">
      <c r="A53" s="5208" t="s">
        <v>1127</v>
      </c>
      <c r="B53" s="5209" t="s">
        <v>412</v>
      </c>
      <c r="C53" s="5347" t="s">
        <v>1163</v>
      </c>
      <c r="D53" s="5210"/>
    </row>
    <row r="54" spans="1:4" ht="15" customHeight="1" x14ac:dyDescent="0.25">
      <c r="A54" s="6545" t="s">
        <v>1129</v>
      </c>
      <c r="B54" s="3990" t="s">
        <v>413</v>
      </c>
      <c r="C54" s="3986"/>
      <c r="D54" s="5211"/>
    </row>
    <row r="55" spans="1:4" x14ac:dyDescent="0.25">
      <c r="A55" s="6545"/>
      <c r="B55" s="3990" t="s">
        <v>414</v>
      </c>
      <c r="C55" s="3986" t="s">
        <v>1163</v>
      </c>
      <c r="D55" s="5212"/>
    </row>
    <row r="56" spans="1:4" x14ac:dyDescent="0.25">
      <c r="A56" s="6545"/>
      <c r="B56" s="5323" t="s">
        <v>415</v>
      </c>
      <c r="C56" s="3110" t="s">
        <v>1163</v>
      </c>
      <c r="D56" s="3111"/>
    </row>
    <row r="57" spans="1:4" ht="30" x14ac:dyDescent="0.25">
      <c r="A57" s="6545"/>
      <c r="B57" s="3106" t="s">
        <v>359</v>
      </c>
      <c r="C57" s="3203" t="s">
        <v>1162</v>
      </c>
      <c r="D57" s="3204" t="s">
        <v>1493</v>
      </c>
    </row>
    <row r="58" spans="1:4" ht="15" customHeight="1" x14ac:dyDescent="0.25">
      <c r="A58" s="3113" t="s">
        <v>1168</v>
      </c>
      <c r="B58" s="3114"/>
      <c r="C58" s="6521" t="s">
        <v>1167</v>
      </c>
      <c r="D58" s="6521"/>
    </row>
    <row r="59" spans="1:4" x14ac:dyDescent="0.25">
      <c r="A59" s="4849"/>
      <c r="B59" s="3113"/>
      <c r="C59" s="6522"/>
      <c r="D59" s="6522"/>
    </row>
    <row r="61" spans="1:4" ht="15.75" x14ac:dyDescent="0.25">
      <c r="A61" s="6515" t="s">
        <v>4</v>
      </c>
      <c r="B61" s="6523" t="s">
        <v>1613</v>
      </c>
      <c r="C61" s="6523"/>
      <c r="D61" s="6524"/>
    </row>
    <row r="62" spans="1:4" x14ac:dyDescent="0.25">
      <c r="A62" s="6515"/>
      <c r="B62" s="5205" t="s">
        <v>77</v>
      </c>
      <c r="C62" s="3984" t="s">
        <v>1317</v>
      </c>
      <c r="D62" s="3984" t="s">
        <v>1098</v>
      </c>
    </row>
    <row r="63" spans="1:4" ht="15" customHeight="1" x14ac:dyDescent="0.25">
      <c r="A63" s="6516" t="s">
        <v>1099</v>
      </c>
      <c r="B63" s="3990" t="s">
        <v>1494</v>
      </c>
      <c r="C63" s="3990"/>
      <c r="D63" s="5213" t="s">
        <v>1182</v>
      </c>
    </row>
    <row r="64" spans="1:4" x14ac:dyDescent="0.25">
      <c r="A64" s="6517"/>
      <c r="B64" s="3099" t="s">
        <v>1178</v>
      </c>
      <c r="C64" s="3100" t="s">
        <v>1162</v>
      </c>
      <c r="D64" s="3101"/>
    </row>
    <row r="65" spans="1:4" x14ac:dyDescent="0.25">
      <c r="A65" s="6517"/>
      <c r="B65" s="3099" t="s">
        <v>1179</v>
      </c>
      <c r="C65" s="3100" t="s">
        <v>1163</v>
      </c>
      <c r="D65" s="3101"/>
    </row>
    <row r="66" spans="1:4" x14ac:dyDescent="0.25">
      <c r="A66" s="6517"/>
      <c r="B66" s="3099" t="s">
        <v>1180</v>
      </c>
      <c r="C66" s="3100" t="s">
        <v>1162</v>
      </c>
      <c r="D66" s="3101"/>
    </row>
    <row r="67" spans="1:4" x14ac:dyDescent="0.25">
      <c r="A67" s="6517"/>
      <c r="B67" s="3099" t="s">
        <v>839</v>
      </c>
      <c r="C67" s="3100" t="s">
        <v>1163</v>
      </c>
      <c r="D67" s="3214"/>
    </row>
    <row r="68" spans="1:4" x14ac:dyDescent="0.25">
      <c r="A68" s="6517"/>
      <c r="B68" s="3099" t="s">
        <v>1181</v>
      </c>
      <c r="C68" s="3100" t="s">
        <v>1162</v>
      </c>
      <c r="D68" s="3101"/>
    </row>
    <row r="69" spans="1:4" x14ac:dyDescent="0.25">
      <c r="A69" s="6517"/>
      <c r="B69" s="3099" t="s">
        <v>838</v>
      </c>
      <c r="C69" s="3100" t="s">
        <v>1162</v>
      </c>
      <c r="D69" s="3101"/>
    </row>
    <row r="70" spans="1:4" x14ac:dyDescent="0.25">
      <c r="A70" s="6517"/>
      <c r="B70" s="3099" t="s">
        <v>68</v>
      </c>
      <c r="C70" s="3100" t="s">
        <v>1163</v>
      </c>
      <c r="D70" s="3101"/>
    </row>
    <row r="71" spans="1:4" x14ac:dyDescent="0.25">
      <c r="A71" s="6517"/>
      <c r="B71" s="3991" t="s">
        <v>580</v>
      </c>
      <c r="C71" s="3107" t="s">
        <v>1163</v>
      </c>
      <c r="D71" s="5214" t="s">
        <v>1182</v>
      </c>
    </row>
    <row r="72" spans="1:4" x14ac:dyDescent="0.25">
      <c r="A72" s="6517"/>
      <c r="B72" s="5323" t="s">
        <v>849</v>
      </c>
      <c r="C72" s="3110"/>
      <c r="D72" s="3110"/>
    </row>
    <row r="73" spans="1:4" x14ac:dyDescent="0.25">
      <c r="A73" s="6517"/>
      <c r="B73" s="3099" t="s">
        <v>1183</v>
      </c>
      <c r="C73" s="3100" t="s">
        <v>1162</v>
      </c>
      <c r="D73" s="3207"/>
    </row>
    <row r="74" spans="1:4" x14ac:dyDescent="0.25">
      <c r="A74" s="6517"/>
      <c r="B74" s="3099" t="s">
        <v>837</v>
      </c>
      <c r="C74" s="3100" t="s">
        <v>1163</v>
      </c>
      <c r="D74" s="3214"/>
    </row>
    <row r="75" spans="1:4" x14ac:dyDescent="0.25">
      <c r="A75" s="6517"/>
      <c r="B75" s="3099" t="s">
        <v>1184</v>
      </c>
      <c r="C75" s="3100" t="s">
        <v>1162</v>
      </c>
      <c r="D75" s="3208"/>
    </row>
    <row r="76" spans="1:4" x14ac:dyDescent="0.25">
      <c r="A76" s="6517"/>
      <c r="B76" s="5322" t="s">
        <v>836</v>
      </c>
      <c r="C76" s="3102" t="s">
        <v>1162</v>
      </c>
      <c r="D76" s="3992"/>
    </row>
    <row r="77" spans="1:4" x14ac:dyDescent="0.25">
      <c r="A77" s="6517"/>
      <c r="B77" s="3099" t="s">
        <v>1185</v>
      </c>
      <c r="C77" s="3100" t="s">
        <v>1163</v>
      </c>
      <c r="D77" s="3214"/>
    </row>
    <row r="78" spans="1:4" ht="15" customHeight="1" x14ac:dyDescent="0.25">
      <c r="A78" s="6518"/>
      <c r="B78" s="3205" t="s">
        <v>649</v>
      </c>
      <c r="C78" s="3102" t="s">
        <v>1164</v>
      </c>
      <c r="D78" s="5215" t="s">
        <v>1614</v>
      </c>
    </row>
    <row r="79" spans="1:4" ht="15" customHeight="1" x14ac:dyDescent="0.25">
      <c r="A79" s="6519" t="s">
        <v>1110</v>
      </c>
      <c r="B79" s="4851" t="s">
        <v>78</v>
      </c>
      <c r="C79" s="4851"/>
      <c r="D79" s="5216"/>
    </row>
    <row r="80" spans="1:4" x14ac:dyDescent="0.25">
      <c r="A80" s="6519"/>
      <c r="B80" s="4852" t="s">
        <v>79</v>
      </c>
      <c r="C80" s="4853" t="s">
        <v>1162</v>
      </c>
      <c r="D80" s="5217"/>
    </row>
    <row r="81" spans="1:4" x14ac:dyDescent="0.25">
      <c r="A81" s="6519"/>
      <c r="B81" s="4854" t="s">
        <v>80</v>
      </c>
      <c r="C81" s="4855" t="s">
        <v>1172</v>
      </c>
      <c r="D81" s="4856"/>
    </row>
    <row r="82" spans="1:4" x14ac:dyDescent="0.25">
      <c r="A82" s="6519"/>
      <c r="B82" s="4854" t="s">
        <v>82</v>
      </c>
      <c r="C82" s="4855" t="s">
        <v>1172</v>
      </c>
      <c r="D82" s="4857"/>
    </row>
    <row r="83" spans="1:4" ht="30" x14ac:dyDescent="0.25">
      <c r="A83" s="6519"/>
      <c r="B83" s="4854" t="s">
        <v>139</v>
      </c>
      <c r="C83" s="4855" t="s">
        <v>1162</v>
      </c>
      <c r="D83" s="4861" t="s">
        <v>1492</v>
      </c>
    </row>
    <row r="84" spans="1:4" x14ac:dyDescent="0.25">
      <c r="A84" s="6519"/>
      <c r="B84" s="4854" t="s">
        <v>81</v>
      </c>
      <c r="C84" s="4855" t="s">
        <v>1162</v>
      </c>
      <c r="D84" s="4861"/>
    </row>
    <row r="85" spans="1:4" x14ac:dyDescent="0.25">
      <c r="A85" s="6519"/>
      <c r="B85" s="4858" t="s">
        <v>1615</v>
      </c>
      <c r="C85" s="4859"/>
      <c r="D85" s="4857"/>
    </row>
    <row r="86" spans="1:4" x14ac:dyDescent="0.25">
      <c r="A86" s="6519"/>
      <c r="B86" s="4852" t="s">
        <v>85</v>
      </c>
      <c r="C86" s="4853" t="s">
        <v>1162</v>
      </c>
      <c r="D86" s="4860"/>
    </row>
    <row r="87" spans="1:4" ht="30" x14ac:dyDescent="0.25">
      <c r="A87" s="6519"/>
      <c r="B87" s="4854" t="s">
        <v>143</v>
      </c>
      <c r="C87" s="4855" t="s">
        <v>1163</v>
      </c>
      <c r="D87" s="4861" t="s">
        <v>1492</v>
      </c>
    </row>
    <row r="88" spans="1:4" x14ac:dyDescent="0.25">
      <c r="A88" s="6519"/>
      <c r="B88" s="4854" t="s">
        <v>83</v>
      </c>
      <c r="C88" s="4855" t="s">
        <v>1162</v>
      </c>
      <c r="D88" s="5218"/>
    </row>
    <row r="89" spans="1:4" ht="15" customHeight="1" x14ac:dyDescent="0.25">
      <c r="A89" s="6519"/>
      <c r="B89" s="4854" t="s">
        <v>84</v>
      </c>
      <c r="C89" s="4855" t="s">
        <v>1162</v>
      </c>
      <c r="D89" s="4862"/>
    </row>
    <row r="90" spans="1:4" ht="15" customHeight="1" x14ac:dyDescent="0.25">
      <c r="A90" s="6519"/>
      <c r="B90" s="5219" t="s">
        <v>86</v>
      </c>
      <c r="C90" s="5220" t="s">
        <v>1172</v>
      </c>
      <c r="D90" s="5221"/>
    </row>
    <row r="91" spans="1:4" x14ac:dyDescent="0.25">
      <c r="A91" s="6519"/>
      <c r="B91" s="5219" t="s">
        <v>1615</v>
      </c>
      <c r="C91" s="5220"/>
      <c r="D91" s="5221"/>
    </row>
    <row r="92" spans="1:4" ht="30" x14ac:dyDescent="0.25">
      <c r="A92" s="6519"/>
      <c r="B92" s="4863" t="s">
        <v>1616</v>
      </c>
      <c r="C92" s="4864"/>
      <c r="D92" s="4861" t="s">
        <v>1492</v>
      </c>
    </row>
    <row r="93" spans="1:4" ht="15" customHeight="1" x14ac:dyDescent="0.25">
      <c r="A93" s="6520" t="s">
        <v>1140</v>
      </c>
      <c r="B93" s="3210" t="s">
        <v>56</v>
      </c>
      <c r="C93" s="3097"/>
      <c r="D93" s="3109"/>
    </row>
    <row r="94" spans="1:4" x14ac:dyDescent="0.25">
      <c r="A94" s="6520"/>
      <c r="B94" s="3099" t="s">
        <v>57</v>
      </c>
      <c r="C94" s="3100"/>
      <c r="D94" s="3100"/>
    </row>
    <row r="95" spans="1:4" x14ac:dyDescent="0.25">
      <c r="A95" s="6520"/>
      <c r="B95" s="3212" t="s">
        <v>1495</v>
      </c>
      <c r="C95" s="3107"/>
      <c r="D95" s="5222" t="s">
        <v>1186</v>
      </c>
    </row>
    <row r="96" spans="1:4" x14ac:dyDescent="0.25">
      <c r="A96" s="6520"/>
      <c r="B96" s="3210" t="s">
        <v>843</v>
      </c>
      <c r="C96" s="3110" t="s">
        <v>1162</v>
      </c>
      <c r="D96" s="5223"/>
    </row>
    <row r="97" spans="1:4" x14ac:dyDescent="0.25">
      <c r="A97" s="6520"/>
      <c r="B97" s="3211" t="s">
        <v>549</v>
      </c>
      <c r="C97" s="3100" t="s">
        <v>1162</v>
      </c>
      <c r="D97" s="5224"/>
    </row>
    <row r="98" spans="1:4" x14ac:dyDescent="0.25">
      <c r="A98" s="6520"/>
      <c r="B98" s="3211" t="s">
        <v>87</v>
      </c>
      <c r="C98" s="3100" t="s">
        <v>1162</v>
      </c>
      <c r="D98" s="5224"/>
    </row>
    <row r="99" spans="1:4" x14ac:dyDescent="0.25">
      <c r="A99" s="6517"/>
      <c r="B99" s="3211" t="s">
        <v>384</v>
      </c>
      <c r="C99" s="5348" t="s">
        <v>1163</v>
      </c>
      <c r="D99" s="5207" t="s">
        <v>1643</v>
      </c>
    </row>
    <row r="100" spans="1:4" ht="15" customHeight="1" x14ac:dyDescent="0.25">
      <c r="A100" s="6517"/>
      <c r="B100" s="3991" t="s">
        <v>580</v>
      </c>
      <c r="C100" s="3107" t="s">
        <v>1164</v>
      </c>
      <c r="D100" s="5222" t="s">
        <v>1186</v>
      </c>
    </row>
    <row r="101" spans="1:4" x14ac:dyDescent="0.25">
      <c r="A101" s="6517"/>
      <c r="B101" s="3210" t="s">
        <v>841</v>
      </c>
      <c r="C101" s="3110" t="s">
        <v>1172</v>
      </c>
      <c r="D101" s="5223"/>
    </row>
    <row r="102" spans="1:4" ht="24.75" customHeight="1" x14ac:dyDescent="0.25">
      <c r="A102" s="6517"/>
      <c r="B102" s="3211" t="s">
        <v>842</v>
      </c>
      <c r="C102" s="3100" t="s">
        <v>1162</v>
      </c>
      <c r="D102" s="5224"/>
    </row>
    <row r="103" spans="1:4" ht="24.75" customHeight="1" x14ac:dyDescent="0.25">
      <c r="A103" s="6517"/>
      <c r="B103" s="3205" t="s">
        <v>649</v>
      </c>
      <c r="C103" s="3100" t="s">
        <v>1164</v>
      </c>
      <c r="D103" s="5225" t="s">
        <v>1186</v>
      </c>
    </row>
    <row r="104" spans="1:4" ht="30" x14ac:dyDescent="0.25">
      <c r="A104" s="6518"/>
      <c r="B104" s="3212" t="s">
        <v>359</v>
      </c>
      <c r="C104" s="3203" t="s">
        <v>1162</v>
      </c>
      <c r="D104" s="3204" t="s">
        <v>1493</v>
      </c>
    </row>
    <row r="105" spans="1:4" ht="15" customHeight="1" x14ac:dyDescent="0.25">
      <c r="A105" s="3114" t="s">
        <v>1168</v>
      </c>
      <c r="B105" s="5226"/>
      <c r="C105" s="6521" t="s">
        <v>1167</v>
      </c>
      <c r="D105" s="6521"/>
    </row>
    <row r="106" spans="1:4" x14ac:dyDescent="0.25">
      <c r="A106" s="4849"/>
      <c r="B106" s="3114"/>
      <c r="C106" s="6522"/>
      <c r="D106" s="6522"/>
    </row>
    <row r="107" spans="1:4" x14ac:dyDescent="0.25">
      <c r="A107" s="4849"/>
      <c r="B107" s="3114"/>
      <c r="C107" s="4850"/>
      <c r="D107" s="4850"/>
    </row>
    <row r="109" spans="1:4" ht="15.75" x14ac:dyDescent="0.25">
      <c r="A109" s="6515" t="s">
        <v>4</v>
      </c>
      <c r="B109" s="6525" t="s">
        <v>1617</v>
      </c>
      <c r="C109" s="6525"/>
      <c r="D109" s="6526"/>
    </row>
    <row r="110" spans="1:4" x14ac:dyDescent="0.25">
      <c r="A110" s="6515"/>
      <c r="B110" s="5205" t="s">
        <v>77</v>
      </c>
      <c r="C110" s="3984" t="s">
        <v>1317</v>
      </c>
      <c r="D110" s="5321" t="s">
        <v>1098</v>
      </c>
    </row>
    <row r="111" spans="1:4" ht="15" customHeight="1" x14ac:dyDescent="0.25">
      <c r="A111" s="6530" t="s">
        <v>1110</v>
      </c>
      <c r="B111" s="3990" t="s">
        <v>1187</v>
      </c>
      <c r="C111" s="3990"/>
      <c r="D111" s="5211"/>
    </row>
    <row r="112" spans="1:4" x14ac:dyDescent="0.25">
      <c r="A112" s="6531"/>
      <c r="B112" s="5323" t="s">
        <v>19</v>
      </c>
      <c r="C112" s="3110" t="s">
        <v>1163</v>
      </c>
      <c r="D112" s="3111"/>
    </row>
    <row r="113" spans="1:4" x14ac:dyDescent="0.25">
      <c r="A113" s="6531"/>
      <c r="B113" s="3099" t="s">
        <v>1188</v>
      </c>
      <c r="C113" s="3100" t="s">
        <v>1162</v>
      </c>
      <c r="D113" s="3101"/>
    </row>
    <row r="114" spans="1:4" x14ac:dyDescent="0.25">
      <c r="A114" s="6531"/>
      <c r="B114" s="3099" t="s">
        <v>88</v>
      </c>
      <c r="C114" s="3100" t="s">
        <v>1162</v>
      </c>
      <c r="D114" s="3101"/>
    </row>
    <row r="115" spans="1:4" x14ac:dyDescent="0.25">
      <c r="A115" s="6531"/>
      <c r="B115" s="3099" t="s">
        <v>390</v>
      </c>
      <c r="C115" s="3100" t="s">
        <v>1163</v>
      </c>
      <c r="D115" s="3101"/>
    </row>
    <row r="116" spans="1:4" x14ac:dyDescent="0.25">
      <c r="A116" s="6531"/>
      <c r="B116" s="3099" t="s">
        <v>89</v>
      </c>
      <c r="C116" s="3100" t="s">
        <v>1450</v>
      </c>
      <c r="D116" s="3101"/>
    </row>
    <row r="117" spans="1:4" x14ac:dyDescent="0.25">
      <c r="A117" s="6531"/>
      <c r="B117" s="3099" t="s">
        <v>1189</v>
      </c>
      <c r="C117" s="3100" t="s">
        <v>1162</v>
      </c>
      <c r="D117" s="3101"/>
    </row>
    <row r="118" spans="1:4" x14ac:dyDescent="0.25">
      <c r="A118" s="6531"/>
      <c r="B118" s="3099" t="s">
        <v>348</v>
      </c>
      <c r="C118" s="3100" t="s">
        <v>1162</v>
      </c>
      <c r="D118" s="3101"/>
    </row>
    <row r="119" spans="1:4" x14ac:dyDescent="0.25">
      <c r="A119" s="6531"/>
      <c r="B119" s="5322" t="s">
        <v>416</v>
      </c>
      <c r="C119" s="3100" t="s">
        <v>1163</v>
      </c>
      <c r="D119" s="3213"/>
    </row>
    <row r="120" spans="1:4" x14ac:dyDescent="0.25">
      <c r="A120" s="6531"/>
      <c r="B120" s="5322" t="s">
        <v>1581</v>
      </c>
      <c r="C120" s="5227"/>
      <c r="D120" s="5228"/>
    </row>
    <row r="121" spans="1:4" ht="30" x14ac:dyDescent="0.25">
      <c r="A121" s="6531"/>
      <c r="B121" s="3212" t="s">
        <v>139</v>
      </c>
      <c r="C121" s="3107" t="s">
        <v>1162</v>
      </c>
      <c r="D121" s="5229" t="s">
        <v>1492</v>
      </c>
    </row>
    <row r="122" spans="1:4" ht="30" x14ac:dyDescent="0.25">
      <c r="A122" s="6531"/>
      <c r="B122" s="3993" t="s">
        <v>143</v>
      </c>
      <c r="C122" s="3110" t="s">
        <v>1163</v>
      </c>
      <c r="D122" s="3206" t="s">
        <v>1492</v>
      </c>
    </row>
    <row r="123" spans="1:4" x14ac:dyDescent="0.25">
      <c r="A123" s="6531"/>
      <c r="B123" s="3099" t="s">
        <v>90</v>
      </c>
      <c r="C123" s="3100" t="s">
        <v>1162</v>
      </c>
      <c r="D123" s="3101"/>
    </row>
    <row r="124" spans="1:4" ht="15" customHeight="1" x14ac:dyDescent="0.25">
      <c r="A124" s="6531"/>
      <c r="B124" s="3099" t="s">
        <v>20</v>
      </c>
      <c r="C124" s="3100" t="s">
        <v>1163</v>
      </c>
      <c r="D124" s="3105"/>
    </row>
    <row r="125" spans="1:4" x14ac:dyDescent="0.25">
      <c r="A125" s="6531"/>
      <c r="B125" s="5322" t="s">
        <v>1618</v>
      </c>
      <c r="C125" s="3102"/>
      <c r="D125" s="3103"/>
    </row>
    <row r="126" spans="1:4" ht="30" x14ac:dyDescent="0.25">
      <c r="A126" s="6532"/>
      <c r="B126" s="3212" t="s">
        <v>1611</v>
      </c>
      <c r="C126" s="3107"/>
      <c r="D126" s="3209" t="s">
        <v>1492</v>
      </c>
    </row>
    <row r="127" spans="1:4" ht="15" customHeight="1" x14ac:dyDescent="0.25">
      <c r="A127" s="6533" t="s">
        <v>1140</v>
      </c>
      <c r="B127" s="4865" t="s">
        <v>91</v>
      </c>
      <c r="C127" s="4866"/>
      <c r="D127" s="4867"/>
    </row>
    <row r="128" spans="1:4" x14ac:dyDescent="0.25">
      <c r="A128" s="6533"/>
      <c r="B128" s="4871" t="s">
        <v>1190</v>
      </c>
      <c r="C128" s="4872"/>
      <c r="D128" s="4873"/>
    </row>
    <row r="129" spans="1:4" x14ac:dyDescent="0.25">
      <c r="A129" s="6533"/>
      <c r="B129" s="4874" t="s">
        <v>567</v>
      </c>
      <c r="C129" s="4875" t="s">
        <v>1163</v>
      </c>
      <c r="D129" s="4876"/>
    </row>
    <row r="130" spans="1:4" x14ac:dyDescent="0.25">
      <c r="A130" s="6533"/>
      <c r="B130" s="4877" t="s">
        <v>437</v>
      </c>
      <c r="C130" s="4869"/>
      <c r="D130" s="4878"/>
    </row>
    <row r="131" spans="1:4" x14ac:dyDescent="0.25">
      <c r="A131" s="6533"/>
      <c r="B131" s="4868" t="s">
        <v>92</v>
      </c>
      <c r="C131" s="4869" t="s">
        <v>1163</v>
      </c>
      <c r="D131" s="4878"/>
    </row>
    <row r="132" spans="1:4" x14ac:dyDescent="0.25">
      <c r="A132" s="6533"/>
      <c r="B132" s="4868" t="s">
        <v>93</v>
      </c>
      <c r="C132" s="4869" t="s">
        <v>1162</v>
      </c>
      <c r="D132" s="4878"/>
    </row>
    <row r="133" spans="1:4" x14ac:dyDescent="0.25">
      <c r="A133" s="6533"/>
      <c r="B133" s="4868" t="s">
        <v>94</v>
      </c>
      <c r="C133" s="4869"/>
      <c r="D133" s="4879"/>
    </row>
    <row r="134" spans="1:4" x14ac:dyDescent="0.25">
      <c r="A134" s="6533"/>
      <c r="B134" s="4868" t="s">
        <v>95</v>
      </c>
      <c r="C134" s="4869" t="s">
        <v>1162</v>
      </c>
      <c r="D134" s="4878"/>
    </row>
    <row r="135" spans="1:4" x14ac:dyDescent="0.25">
      <c r="A135" s="6533"/>
      <c r="B135" s="4868" t="s">
        <v>1451</v>
      </c>
      <c r="C135" s="5349" t="s">
        <v>1162</v>
      </c>
      <c r="D135" s="5350" t="s">
        <v>1644</v>
      </c>
    </row>
    <row r="136" spans="1:4" x14ac:dyDescent="0.25">
      <c r="A136" s="6533"/>
      <c r="B136" s="5351" t="s">
        <v>759</v>
      </c>
      <c r="C136" s="4872"/>
      <c r="D136" s="4880"/>
    </row>
    <row r="137" spans="1:4" x14ac:dyDescent="0.25">
      <c r="A137" s="6533"/>
      <c r="B137" s="4874" t="s">
        <v>581</v>
      </c>
      <c r="C137" s="4875" t="s">
        <v>1164</v>
      </c>
      <c r="D137" s="4881"/>
    </row>
    <row r="138" spans="1:4" ht="15" customHeight="1" x14ac:dyDescent="0.25">
      <c r="A138" s="6533"/>
      <c r="B138" s="4868" t="s">
        <v>96</v>
      </c>
      <c r="C138" s="4869" t="s">
        <v>1162</v>
      </c>
      <c r="D138" s="4870"/>
    </row>
    <row r="139" spans="1:4" ht="30" x14ac:dyDescent="0.25">
      <c r="A139" s="6533"/>
      <c r="B139" s="4882" t="s">
        <v>359</v>
      </c>
      <c r="C139" s="4883" t="s">
        <v>1162</v>
      </c>
      <c r="D139" s="4884" t="s">
        <v>1493</v>
      </c>
    </row>
    <row r="140" spans="1:4" ht="15" customHeight="1" x14ac:dyDescent="0.25">
      <c r="A140" s="6534" t="s">
        <v>1113</v>
      </c>
      <c r="B140" s="5323" t="s">
        <v>1</v>
      </c>
      <c r="C140" s="3110" t="s">
        <v>1162</v>
      </c>
      <c r="D140" s="3111"/>
    </row>
    <row r="141" spans="1:4" x14ac:dyDescent="0.25">
      <c r="A141" s="6534"/>
      <c r="B141" s="3099" t="s">
        <v>531</v>
      </c>
      <c r="C141" s="3100" t="s">
        <v>1163</v>
      </c>
      <c r="D141" s="3214"/>
    </row>
    <row r="142" spans="1:4" ht="24" customHeight="1" x14ac:dyDescent="0.25">
      <c r="A142" s="6534"/>
      <c r="B142" s="3212" t="s">
        <v>532</v>
      </c>
      <c r="C142" s="3107"/>
      <c r="D142" s="3108"/>
    </row>
    <row r="143" spans="1:4" ht="24" customHeight="1" x14ac:dyDescent="0.25">
      <c r="A143" s="6534"/>
      <c r="B143" s="3994" t="s">
        <v>2</v>
      </c>
      <c r="C143" s="3203" t="s">
        <v>1163</v>
      </c>
      <c r="D143" s="4885"/>
    </row>
    <row r="144" spans="1:4" ht="15" customHeight="1" x14ac:dyDescent="0.25">
      <c r="A144" s="3114" t="s">
        <v>1168</v>
      </c>
      <c r="B144" s="5226"/>
      <c r="C144" s="6521" t="s">
        <v>1167</v>
      </c>
      <c r="D144" s="6521"/>
    </row>
    <row r="145" spans="1:4" x14ac:dyDescent="0.25">
      <c r="A145" s="4849"/>
      <c r="B145" s="3114"/>
      <c r="C145" s="6522"/>
      <c r="D145" s="6522"/>
    </row>
    <row r="146" spans="1:4" x14ac:dyDescent="0.25">
      <c r="A146" s="4849"/>
      <c r="B146" s="3114"/>
      <c r="C146" s="5204"/>
      <c r="D146" s="5204"/>
    </row>
    <row r="147" spans="1:4" x14ac:dyDescent="0.25">
      <c r="D147" s="4431"/>
    </row>
    <row r="148" spans="1:4" ht="15.75" x14ac:dyDescent="0.25">
      <c r="A148" s="6535" t="s">
        <v>4</v>
      </c>
      <c r="B148" s="6537" t="s">
        <v>1619</v>
      </c>
      <c r="C148" s="6538"/>
      <c r="D148" s="6539"/>
    </row>
    <row r="149" spans="1:4" x14ac:dyDescent="0.25">
      <c r="A149" s="6536"/>
      <c r="B149" s="5205" t="s">
        <v>77</v>
      </c>
      <c r="C149" s="3984" t="s">
        <v>1317</v>
      </c>
      <c r="D149" s="3984" t="s">
        <v>1098</v>
      </c>
    </row>
    <row r="150" spans="1:4" ht="30" customHeight="1" x14ac:dyDescent="0.25">
      <c r="A150" s="6527" t="s">
        <v>1110</v>
      </c>
      <c r="B150" s="3097" t="s">
        <v>139</v>
      </c>
      <c r="C150" s="3109" t="s">
        <v>1162</v>
      </c>
      <c r="D150" s="3105" t="s">
        <v>1492</v>
      </c>
    </row>
    <row r="151" spans="1:4" ht="30" x14ac:dyDescent="0.25">
      <c r="A151" s="6528"/>
      <c r="B151" s="3212" t="s">
        <v>1620</v>
      </c>
      <c r="C151" s="3203"/>
      <c r="D151" s="5229" t="s">
        <v>1492</v>
      </c>
    </row>
    <row r="152" spans="1:4" ht="30" x14ac:dyDescent="0.25">
      <c r="A152" s="6528"/>
      <c r="B152" s="3097" t="s">
        <v>143</v>
      </c>
      <c r="C152" s="3109" t="s">
        <v>1163</v>
      </c>
      <c r="D152" s="3105" t="s">
        <v>1492</v>
      </c>
    </row>
    <row r="153" spans="1:4" ht="30" x14ac:dyDescent="0.25">
      <c r="A153" s="6529"/>
      <c r="B153" s="3212" t="s">
        <v>1620</v>
      </c>
      <c r="C153" s="3203"/>
      <c r="D153" s="5229" t="s">
        <v>1492</v>
      </c>
    </row>
    <row r="154" spans="1:4" ht="30" x14ac:dyDescent="0.25">
      <c r="A154" s="4762" t="s">
        <v>1191</v>
      </c>
      <c r="B154" s="4886" t="s">
        <v>359</v>
      </c>
      <c r="C154" s="4887" t="s">
        <v>1162</v>
      </c>
      <c r="D154" s="4888" t="s">
        <v>1493</v>
      </c>
    </row>
    <row r="155" spans="1:4" x14ac:dyDescent="0.25">
      <c r="A155" s="3114" t="s">
        <v>1168</v>
      </c>
      <c r="B155" s="3114"/>
      <c r="C155" s="6521" t="s">
        <v>1167</v>
      </c>
      <c r="D155" s="6521"/>
    </row>
    <row r="156" spans="1:4" x14ac:dyDescent="0.25">
      <c r="A156" s="4849"/>
      <c r="B156" s="3113"/>
      <c r="C156" s="6522"/>
      <c r="D156" s="6522"/>
    </row>
    <row r="157" spans="1:4" x14ac:dyDescent="0.25">
      <c r="A157" s="3114"/>
      <c r="B157" s="3114"/>
      <c r="C157" s="4850"/>
      <c r="D157" s="4850"/>
    </row>
    <row r="158" spans="1:4" x14ac:dyDescent="0.25">
      <c r="A158" s="4849"/>
      <c r="B158" s="3113"/>
      <c r="C158" s="4850"/>
      <c r="D158" s="4850"/>
    </row>
  </sheetData>
  <sheetProtection algorithmName="SHA-512" hashValue="xICNqM+FUb2VtxjBA9Ub5gByR53nAvzCRfsGVScTKlzkMoq7j8+1gLm5hJFohNK5ne6ipuVWcbACBofwSUsaWA==" saltValue="vEpB9ogkwuDP3R3lMb3GVA==" spinCount="100000" sheet="1" objects="1" scenarios="1"/>
  <mergeCells count="30">
    <mergeCell ref="A5:A17"/>
    <mergeCell ref="A1:E1"/>
    <mergeCell ref="A49:A50"/>
    <mergeCell ref="A51:A52"/>
    <mergeCell ref="A54:A57"/>
    <mergeCell ref="A3:A4"/>
    <mergeCell ref="B3:E3"/>
    <mergeCell ref="B6:B7"/>
    <mergeCell ref="B12:B13"/>
    <mergeCell ref="A18:A31"/>
    <mergeCell ref="A32:A44"/>
    <mergeCell ref="B49:D49"/>
    <mergeCell ref="D45:E46"/>
    <mergeCell ref="A150:A153"/>
    <mergeCell ref="C155:D156"/>
    <mergeCell ref="A111:A126"/>
    <mergeCell ref="A127:A139"/>
    <mergeCell ref="A140:A143"/>
    <mergeCell ref="A148:A149"/>
    <mergeCell ref="C144:D145"/>
    <mergeCell ref="B148:D148"/>
    <mergeCell ref="A109:A110"/>
    <mergeCell ref="A63:A78"/>
    <mergeCell ref="A79:A92"/>
    <mergeCell ref="A93:A104"/>
    <mergeCell ref="C58:D59"/>
    <mergeCell ref="B61:D61"/>
    <mergeCell ref="C105:D106"/>
    <mergeCell ref="B109:D109"/>
    <mergeCell ref="A61:A62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7" orientation="landscape" r:id="rId1"/>
  <rowBreaks count="4" manualBreakCount="4">
    <brk id="47" max="16383" man="1"/>
    <brk id="59" max="16383" man="1"/>
    <brk id="107" max="16383" man="1"/>
    <brk id="146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7A519"/>
  </sheetPr>
  <dimension ref="A1:O244"/>
  <sheetViews>
    <sheetView showGridLines="0" zoomScaleNormal="100" workbookViewId="0">
      <selection activeCell="S50" sqref="S50"/>
    </sheetView>
  </sheetViews>
  <sheetFormatPr baseColWidth="10" defaultRowHeight="15" x14ac:dyDescent="0.25"/>
  <cols>
    <col min="1" max="1" width="16.5703125" style="3121" customWidth="1"/>
    <col min="2" max="2" width="11.42578125" style="3121"/>
    <col min="3" max="3" width="12" style="3121" bestFit="1" customWidth="1"/>
    <col min="4" max="6" width="10.7109375" style="3121" customWidth="1"/>
    <col min="7" max="7" width="1.7109375" style="3121" customWidth="1"/>
    <col min="8" max="8" width="13.42578125" style="3121" customWidth="1"/>
    <col min="9" max="9" width="12" style="3121" customWidth="1"/>
    <col min="10" max="12" width="10.7109375" style="3121" customWidth="1"/>
    <col min="13" max="14" width="9" style="3121" bestFit="1" customWidth="1"/>
    <col min="15" max="233" width="11.42578125" style="3121"/>
    <col min="234" max="234" width="16.5703125" style="3121" customWidth="1"/>
    <col min="235" max="235" width="11.42578125" style="3121"/>
    <col min="236" max="236" width="15.140625" style="3121" customWidth="1"/>
    <col min="237" max="237" width="11.7109375" style="3121" bestFit="1" customWidth="1"/>
    <col min="238" max="242" width="10.7109375" style="3121" customWidth="1"/>
    <col min="243" max="243" width="1.7109375" style="3121" customWidth="1"/>
    <col min="244" max="244" width="11.7109375" style="3121" customWidth="1"/>
    <col min="245" max="247" width="9.7109375" style="3121" customWidth="1"/>
    <col min="248" max="489" width="11.42578125" style="3121"/>
    <col min="490" max="490" width="16.5703125" style="3121" customWidth="1"/>
    <col min="491" max="491" width="11.42578125" style="3121"/>
    <col min="492" max="492" width="15.140625" style="3121" customWidth="1"/>
    <col min="493" max="493" width="11.7109375" style="3121" bestFit="1" customWidth="1"/>
    <col min="494" max="498" width="10.7109375" style="3121" customWidth="1"/>
    <col min="499" max="499" width="1.7109375" style="3121" customWidth="1"/>
    <col min="500" max="500" width="11.7109375" style="3121" customWidth="1"/>
    <col min="501" max="503" width="9.7109375" style="3121" customWidth="1"/>
    <col min="504" max="745" width="11.42578125" style="3121"/>
    <col min="746" max="746" width="16.5703125" style="3121" customWidth="1"/>
    <col min="747" max="747" width="11.42578125" style="3121"/>
    <col min="748" max="748" width="15.140625" style="3121" customWidth="1"/>
    <col min="749" max="749" width="11.7109375" style="3121" bestFit="1" customWidth="1"/>
    <col min="750" max="754" width="10.7109375" style="3121" customWidth="1"/>
    <col min="755" max="755" width="1.7109375" style="3121" customWidth="1"/>
    <col min="756" max="756" width="11.7109375" style="3121" customWidth="1"/>
    <col min="757" max="759" width="9.7109375" style="3121" customWidth="1"/>
    <col min="760" max="1001" width="11.42578125" style="3121"/>
    <col min="1002" max="1002" width="16.5703125" style="3121" customWidth="1"/>
    <col min="1003" max="1003" width="11.42578125" style="3121"/>
    <col min="1004" max="1004" width="15.140625" style="3121" customWidth="1"/>
    <col min="1005" max="1005" width="11.7109375" style="3121" bestFit="1" customWidth="1"/>
    <col min="1006" max="1010" width="10.7109375" style="3121" customWidth="1"/>
    <col min="1011" max="1011" width="1.7109375" style="3121" customWidth="1"/>
    <col min="1012" max="1012" width="11.7109375" style="3121" customWidth="1"/>
    <col min="1013" max="1015" width="9.7109375" style="3121" customWidth="1"/>
    <col min="1016" max="1257" width="11.42578125" style="3121"/>
    <col min="1258" max="1258" width="16.5703125" style="3121" customWidth="1"/>
    <col min="1259" max="1259" width="11.42578125" style="3121"/>
    <col min="1260" max="1260" width="15.140625" style="3121" customWidth="1"/>
    <col min="1261" max="1261" width="11.7109375" style="3121" bestFit="1" customWidth="1"/>
    <col min="1262" max="1266" width="10.7109375" style="3121" customWidth="1"/>
    <col min="1267" max="1267" width="1.7109375" style="3121" customWidth="1"/>
    <col min="1268" max="1268" width="11.7109375" style="3121" customWidth="1"/>
    <col min="1269" max="1271" width="9.7109375" style="3121" customWidth="1"/>
    <col min="1272" max="1513" width="11.42578125" style="3121"/>
    <col min="1514" max="1514" width="16.5703125" style="3121" customWidth="1"/>
    <col min="1515" max="1515" width="11.42578125" style="3121"/>
    <col min="1516" max="1516" width="15.140625" style="3121" customWidth="1"/>
    <col min="1517" max="1517" width="11.7109375" style="3121" bestFit="1" customWidth="1"/>
    <col min="1518" max="1522" width="10.7109375" style="3121" customWidth="1"/>
    <col min="1523" max="1523" width="1.7109375" style="3121" customWidth="1"/>
    <col min="1524" max="1524" width="11.7109375" style="3121" customWidth="1"/>
    <col min="1525" max="1527" width="9.7109375" style="3121" customWidth="1"/>
    <col min="1528" max="1769" width="11.42578125" style="3121"/>
    <col min="1770" max="1770" width="16.5703125" style="3121" customWidth="1"/>
    <col min="1771" max="1771" width="11.42578125" style="3121"/>
    <col min="1772" max="1772" width="15.140625" style="3121" customWidth="1"/>
    <col min="1773" max="1773" width="11.7109375" style="3121" bestFit="1" customWidth="1"/>
    <col min="1774" max="1778" width="10.7109375" style="3121" customWidth="1"/>
    <col min="1779" max="1779" width="1.7109375" style="3121" customWidth="1"/>
    <col min="1780" max="1780" width="11.7109375" style="3121" customWidth="1"/>
    <col min="1781" max="1783" width="9.7109375" style="3121" customWidth="1"/>
    <col min="1784" max="2025" width="11.42578125" style="3121"/>
    <col min="2026" max="2026" width="16.5703125" style="3121" customWidth="1"/>
    <col min="2027" max="2027" width="11.42578125" style="3121"/>
    <col min="2028" max="2028" width="15.140625" style="3121" customWidth="1"/>
    <col min="2029" max="2029" width="11.7109375" style="3121" bestFit="1" customWidth="1"/>
    <col min="2030" max="2034" width="10.7109375" style="3121" customWidth="1"/>
    <col min="2035" max="2035" width="1.7109375" style="3121" customWidth="1"/>
    <col min="2036" max="2036" width="11.7109375" style="3121" customWidth="1"/>
    <col min="2037" max="2039" width="9.7109375" style="3121" customWidth="1"/>
    <col min="2040" max="2281" width="11.42578125" style="3121"/>
    <col min="2282" max="2282" width="16.5703125" style="3121" customWidth="1"/>
    <col min="2283" max="2283" width="11.42578125" style="3121"/>
    <col min="2284" max="2284" width="15.140625" style="3121" customWidth="1"/>
    <col min="2285" max="2285" width="11.7109375" style="3121" bestFit="1" customWidth="1"/>
    <col min="2286" max="2290" width="10.7109375" style="3121" customWidth="1"/>
    <col min="2291" max="2291" width="1.7109375" style="3121" customWidth="1"/>
    <col min="2292" max="2292" width="11.7109375" style="3121" customWidth="1"/>
    <col min="2293" max="2295" width="9.7109375" style="3121" customWidth="1"/>
    <col min="2296" max="2537" width="11.42578125" style="3121"/>
    <col min="2538" max="2538" width="16.5703125" style="3121" customWidth="1"/>
    <col min="2539" max="2539" width="11.42578125" style="3121"/>
    <col min="2540" max="2540" width="15.140625" style="3121" customWidth="1"/>
    <col min="2541" max="2541" width="11.7109375" style="3121" bestFit="1" customWidth="1"/>
    <col min="2542" max="2546" width="10.7109375" style="3121" customWidth="1"/>
    <col min="2547" max="2547" width="1.7109375" style="3121" customWidth="1"/>
    <col min="2548" max="2548" width="11.7109375" style="3121" customWidth="1"/>
    <col min="2549" max="2551" width="9.7109375" style="3121" customWidth="1"/>
    <col min="2552" max="2793" width="11.42578125" style="3121"/>
    <col min="2794" max="2794" width="16.5703125" style="3121" customWidth="1"/>
    <col min="2795" max="2795" width="11.42578125" style="3121"/>
    <col min="2796" max="2796" width="15.140625" style="3121" customWidth="1"/>
    <col min="2797" max="2797" width="11.7109375" style="3121" bestFit="1" customWidth="1"/>
    <col min="2798" max="2802" width="10.7109375" style="3121" customWidth="1"/>
    <col min="2803" max="2803" width="1.7109375" style="3121" customWidth="1"/>
    <col min="2804" max="2804" width="11.7109375" style="3121" customWidth="1"/>
    <col min="2805" max="2807" width="9.7109375" style="3121" customWidth="1"/>
    <col min="2808" max="3049" width="11.42578125" style="3121"/>
    <col min="3050" max="3050" width="16.5703125" style="3121" customWidth="1"/>
    <col min="3051" max="3051" width="11.42578125" style="3121"/>
    <col min="3052" max="3052" width="15.140625" style="3121" customWidth="1"/>
    <col min="3053" max="3053" width="11.7109375" style="3121" bestFit="1" customWidth="1"/>
    <col min="3054" max="3058" width="10.7109375" style="3121" customWidth="1"/>
    <col min="3059" max="3059" width="1.7109375" style="3121" customWidth="1"/>
    <col min="3060" max="3060" width="11.7109375" style="3121" customWidth="1"/>
    <col min="3061" max="3063" width="9.7109375" style="3121" customWidth="1"/>
    <col min="3064" max="3305" width="11.42578125" style="3121"/>
    <col min="3306" max="3306" width="16.5703125" style="3121" customWidth="1"/>
    <col min="3307" max="3307" width="11.42578125" style="3121"/>
    <col min="3308" max="3308" width="15.140625" style="3121" customWidth="1"/>
    <col min="3309" max="3309" width="11.7109375" style="3121" bestFit="1" customWidth="1"/>
    <col min="3310" max="3314" width="10.7109375" style="3121" customWidth="1"/>
    <col min="3315" max="3315" width="1.7109375" style="3121" customWidth="1"/>
    <col min="3316" max="3316" width="11.7109375" style="3121" customWidth="1"/>
    <col min="3317" max="3319" width="9.7109375" style="3121" customWidth="1"/>
    <col min="3320" max="3561" width="11.42578125" style="3121"/>
    <col min="3562" max="3562" width="16.5703125" style="3121" customWidth="1"/>
    <col min="3563" max="3563" width="11.42578125" style="3121"/>
    <col min="3564" max="3564" width="15.140625" style="3121" customWidth="1"/>
    <col min="3565" max="3565" width="11.7109375" style="3121" bestFit="1" customWidth="1"/>
    <col min="3566" max="3570" width="10.7109375" style="3121" customWidth="1"/>
    <col min="3571" max="3571" width="1.7109375" style="3121" customWidth="1"/>
    <col min="3572" max="3572" width="11.7109375" style="3121" customWidth="1"/>
    <col min="3573" max="3575" width="9.7109375" style="3121" customWidth="1"/>
    <col min="3576" max="3817" width="11.42578125" style="3121"/>
    <col min="3818" max="3818" width="16.5703125" style="3121" customWidth="1"/>
    <col min="3819" max="3819" width="11.42578125" style="3121"/>
    <col min="3820" max="3820" width="15.140625" style="3121" customWidth="1"/>
    <col min="3821" max="3821" width="11.7109375" style="3121" bestFit="1" customWidth="1"/>
    <col min="3822" max="3826" width="10.7109375" style="3121" customWidth="1"/>
    <col min="3827" max="3827" width="1.7109375" style="3121" customWidth="1"/>
    <col min="3828" max="3828" width="11.7109375" style="3121" customWidth="1"/>
    <col min="3829" max="3831" width="9.7109375" style="3121" customWidth="1"/>
    <col min="3832" max="4073" width="11.42578125" style="3121"/>
    <col min="4074" max="4074" width="16.5703125" style="3121" customWidth="1"/>
    <col min="4075" max="4075" width="11.42578125" style="3121"/>
    <col min="4076" max="4076" width="15.140625" style="3121" customWidth="1"/>
    <col min="4077" max="4077" width="11.7109375" style="3121" bestFit="1" customWidth="1"/>
    <col min="4078" max="4082" width="10.7109375" style="3121" customWidth="1"/>
    <col min="4083" max="4083" width="1.7109375" style="3121" customWidth="1"/>
    <col min="4084" max="4084" width="11.7109375" style="3121" customWidth="1"/>
    <col min="4085" max="4087" width="9.7109375" style="3121" customWidth="1"/>
    <col min="4088" max="4329" width="11.42578125" style="3121"/>
    <col min="4330" max="4330" width="16.5703125" style="3121" customWidth="1"/>
    <col min="4331" max="4331" width="11.42578125" style="3121"/>
    <col min="4332" max="4332" width="15.140625" style="3121" customWidth="1"/>
    <col min="4333" max="4333" width="11.7109375" style="3121" bestFit="1" customWidth="1"/>
    <col min="4334" max="4338" width="10.7109375" style="3121" customWidth="1"/>
    <col min="4339" max="4339" width="1.7109375" style="3121" customWidth="1"/>
    <col min="4340" max="4340" width="11.7109375" style="3121" customWidth="1"/>
    <col min="4341" max="4343" width="9.7109375" style="3121" customWidth="1"/>
    <col min="4344" max="4585" width="11.42578125" style="3121"/>
    <col min="4586" max="4586" width="16.5703125" style="3121" customWidth="1"/>
    <col min="4587" max="4587" width="11.42578125" style="3121"/>
    <col min="4588" max="4588" width="15.140625" style="3121" customWidth="1"/>
    <col min="4589" max="4589" width="11.7109375" style="3121" bestFit="1" customWidth="1"/>
    <col min="4590" max="4594" width="10.7109375" style="3121" customWidth="1"/>
    <col min="4595" max="4595" width="1.7109375" style="3121" customWidth="1"/>
    <col min="4596" max="4596" width="11.7109375" style="3121" customWidth="1"/>
    <col min="4597" max="4599" width="9.7109375" style="3121" customWidth="1"/>
    <col min="4600" max="4841" width="11.42578125" style="3121"/>
    <col min="4842" max="4842" width="16.5703125" style="3121" customWidth="1"/>
    <col min="4843" max="4843" width="11.42578125" style="3121"/>
    <col min="4844" max="4844" width="15.140625" style="3121" customWidth="1"/>
    <col min="4845" max="4845" width="11.7109375" style="3121" bestFit="1" customWidth="1"/>
    <col min="4846" max="4850" width="10.7109375" style="3121" customWidth="1"/>
    <col min="4851" max="4851" width="1.7109375" style="3121" customWidth="1"/>
    <col min="4852" max="4852" width="11.7109375" style="3121" customWidth="1"/>
    <col min="4853" max="4855" width="9.7109375" style="3121" customWidth="1"/>
    <col min="4856" max="5097" width="11.42578125" style="3121"/>
    <col min="5098" max="5098" width="16.5703125" style="3121" customWidth="1"/>
    <col min="5099" max="5099" width="11.42578125" style="3121"/>
    <col min="5100" max="5100" width="15.140625" style="3121" customWidth="1"/>
    <col min="5101" max="5101" width="11.7109375" style="3121" bestFit="1" customWidth="1"/>
    <col min="5102" max="5106" width="10.7109375" style="3121" customWidth="1"/>
    <col min="5107" max="5107" width="1.7109375" style="3121" customWidth="1"/>
    <col min="5108" max="5108" width="11.7109375" style="3121" customWidth="1"/>
    <col min="5109" max="5111" width="9.7109375" style="3121" customWidth="1"/>
    <col min="5112" max="5353" width="11.42578125" style="3121"/>
    <col min="5354" max="5354" width="16.5703125" style="3121" customWidth="1"/>
    <col min="5355" max="5355" width="11.42578125" style="3121"/>
    <col min="5356" max="5356" width="15.140625" style="3121" customWidth="1"/>
    <col min="5357" max="5357" width="11.7109375" style="3121" bestFit="1" customWidth="1"/>
    <col min="5358" max="5362" width="10.7109375" style="3121" customWidth="1"/>
    <col min="5363" max="5363" width="1.7109375" style="3121" customWidth="1"/>
    <col min="5364" max="5364" width="11.7109375" style="3121" customWidth="1"/>
    <col min="5365" max="5367" width="9.7109375" style="3121" customWidth="1"/>
    <col min="5368" max="5609" width="11.42578125" style="3121"/>
    <col min="5610" max="5610" width="16.5703125" style="3121" customWidth="1"/>
    <col min="5611" max="5611" width="11.42578125" style="3121"/>
    <col min="5612" max="5612" width="15.140625" style="3121" customWidth="1"/>
    <col min="5613" max="5613" width="11.7109375" style="3121" bestFit="1" customWidth="1"/>
    <col min="5614" max="5618" width="10.7109375" style="3121" customWidth="1"/>
    <col min="5619" max="5619" width="1.7109375" style="3121" customWidth="1"/>
    <col min="5620" max="5620" width="11.7109375" style="3121" customWidth="1"/>
    <col min="5621" max="5623" width="9.7109375" style="3121" customWidth="1"/>
    <col min="5624" max="5865" width="11.42578125" style="3121"/>
    <col min="5866" max="5866" width="16.5703125" style="3121" customWidth="1"/>
    <col min="5867" max="5867" width="11.42578125" style="3121"/>
    <col min="5868" max="5868" width="15.140625" style="3121" customWidth="1"/>
    <col min="5869" max="5869" width="11.7109375" style="3121" bestFit="1" customWidth="1"/>
    <col min="5870" max="5874" width="10.7109375" style="3121" customWidth="1"/>
    <col min="5875" max="5875" width="1.7109375" style="3121" customWidth="1"/>
    <col min="5876" max="5876" width="11.7109375" style="3121" customWidth="1"/>
    <col min="5877" max="5879" width="9.7109375" style="3121" customWidth="1"/>
    <col min="5880" max="6121" width="11.42578125" style="3121"/>
    <col min="6122" max="6122" width="16.5703125" style="3121" customWidth="1"/>
    <col min="6123" max="6123" width="11.42578125" style="3121"/>
    <col min="6124" max="6124" width="15.140625" style="3121" customWidth="1"/>
    <col min="6125" max="6125" width="11.7109375" style="3121" bestFit="1" customWidth="1"/>
    <col min="6126" max="6130" width="10.7109375" style="3121" customWidth="1"/>
    <col min="6131" max="6131" width="1.7109375" style="3121" customWidth="1"/>
    <col min="6132" max="6132" width="11.7109375" style="3121" customWidth="1"/>
    <col min="6133" max="6135" width="9.7109375" style="3121" customWidth="1"/>
    <col min="6136" max="6377" width="11.42578125" style="3121"/>
    <col min="6378" max="6378" width="16.5703125" style="3121" customWidth="1"/>
    <col min="6379" max="6379" width="11.42578125" style="3121"/>
    <col min="6380" max="6380" width="15.140625" style="3121" customWidth="1"/>
    <col min="6381" max="6381" width="11.7109375" style="3121" bestFit="1" customWidth="1"/>
    <col min="6382" max="6386" width="10.7109375" style="3121" customWidth="1"/>
    <col min="6387" max="6387" width="1.7109375" style="3121" customWidth="1"/>
    <col min="6388" max="6388" width="11.7109375" style="3121" customWidth="1"/>
    <col min="6389" max="6391" width="9.7109375" style="3121" customWidth="1"/>
    <col min="6392" max="6633" width="11.42578125" style="3121"/>
    <col min="6634" max="6634" width="16.5703125" style="3121" customWidth="1"/>
    <col min="6635" max="6635" width="11.42578125" style="3121"/>
    <col min="6636" max="6636" width="15.140625" style="3121" customWidth="1"/>
    <col min="6637" max="6637" width="11.7109375" style="3121" bestFit="1" customWidth="1"/>
    <col min="6638" max="6642" width="10.7109375" style="3121" customWidth="1"/>
    <col min="6643" max="6643" width="1.7109375" style="3121" customWidth="1"/>
    <col min="6644" max="6644" width="11.7109375" style="3121" customWidth="1"/>
    <col min="6645" max="6647" width="9.7109375" style="3121" customWidth="1"/>
    <col min="6648" max="6889" width="11.42578125" style="3121"/>
    <col min="6890" max="6890" width="16.5703125" style="3121" customWidth="1"/>
    <col min="6891" max="6891" width="11.42578125" style="3121"/>
    <col min="6892" max="6892" width="15.140625" style="3121" customWidth="1"/>
    <col min="6893" max="6893" width="11.7109375" style="3121" bestFit="1" customWidth="1"/>
    <col min="6894" max="6898" width="10.7109375" style="3121" customWidth="1"/>
    <col min="6899" max="6899" width="1.7109375" style="3121" customWidth="1"/>
    <col min="6900" max="6900" width="11.7109375" style="3121" customWidth="1"/>
    <col min="6901" max="6903" width="9.7109375" style="3121" customWidth="1"/>
    <col min="6904" max="7145" width="11.42578125" style="3121"/>
    <col min="7146" max="7146" width="16.5703125" style="3121" customWidth="1"/>
    <col min="7147" max="7147" width="11.42578125" style="3121"/>
    <col min="7148" max="7148" width="15.140625" style="3121" customWidth="1"/>
    <col min="7149" max="7149" width="11.7109375" style="3121" bestFit="1" customWidth="1"/>
    <col min="7150" max="7154" width="10.7109375" style="3121" customWidth="1"/>
    <col min="7155" max="7155" width="1.7109375" style="3121" customWidth="1"/>
    <col min="7156" max="7156" width="11.7109375" style="3121" customWidth="1"/>
    <col min="7157" max="7159" width="9.7109375" style="3121" customWidth="1"/>
    <col min="7160" max="7401" width="11.42578125" style="3121"/>
    <col min="7402" max="7402" width="16.5703125" style="3121" customWidth="1"/>
    <col min="7403" max="7403" width="11.42578125" style="3121"/>
    <col min="7404" max="7404" width="15.140625" style="3121" customWidth="1"/>
    <col min="7405" max="7405" width="11.7109375" style="3121" bestFit="1" customWidth="1"/>
    <col min="7406" max="7410" width="10.7109375" style="3121" customWidth="1"/>
    <col min="7411" max="7411" width="1.7109375" style="3121" customWidth="1"/>
    <col min="7412" max="7412" width="11.7109375" style="3121" customWidth="1"/>
    <col min="7413" max="7415" width="9.7109375" style="3121" customWidth="1"/>
    <col min="7416" max="7657" width="11.42578125" style="3121"/>
    <col min="7658" max="7658" width="16.5703125" style="3121" customWidth="1"/>
    <col min="7659" max="7659" width="11.42578125" style="3121"/>
    <col min="7660" max="7660" width="15.140625" style="3121" customWidth="1"/>
    <col min="7661" max="7661" width="11.7109375" style="3121" bestFit="1" customWidth="1"/>
    <col min="7662" max="7666" width="10.7109375" style="3121" customWidth="1"/>
    <col min="7667" max="7667" width="1.7109375" style="3121" customWidth="1"/>
    <col min="7668" max="7668" width="11.7109375" style="3121" customWidth="1"/>
    <col min="7669" max="7671" width="9.7109375" style="3121" customWidth="1"/>
    <col min="7672" max="7913" width="11.42578125" style="3121"/>
    <col min="7914" max="7914" width="16.5703125" style="3121" customWidth="1"/>
    <col min="7915" max="7915" width="11.42578125" style="3121"/>
    <col min="7916" max="7916" width="15.140625" style="3121" customWidth="1"/>
    <col min="7917" max="7917" width="11.7109375" style="3121" bestFit="1" customWidth="1"/>
    <col min="7918" max="7922" width="10.7109375" style="3121" customWidth="1"/>
    <col min="7923" max="7923" width="1.7109375" style="3121" customWidth="1"/>
    <col min="7924" max="7924" width="11.7109375" style="3121" customWidth="1"/>
    <col min="7925" max="7927" width="9.7109375" style="3121" customWidth="1"/>
    <col min="7928" max="8169" width="11.42578125" style="3121"/>
    <col min="8170" max="8170" width="16.5703125" style="3121" customWidth="1"/>
    <col min="8171" max="8171" width="11.42578125" style="3121"/>
    <col min="8172" max="8172" width="15.140625" style="3121" customWidth="1"/>
    <col min="8173" max="8173" width="11.7109375" style="3121" bestFit="1" customWidth="1"/>
    <col min="8174" max="8178" width="10.7109375" style="3121" customWidth="1"/>
    <col min="8179" max="8179" width="1.7109375" style="3121" customWidth="1"/>
    <col min="8180" max="8180" width="11.7109375" style="3121" customWidth="1"/>
    <col min="8181" max="8183" width="9.7109375" style="3121" customWidth="1"/>
    <col min="8184" max="8425" width="11.42578125" style="3121"/>
    <col min="8426" max="8426" width="16.5703125" style="3121" customWidth="1"/>
    <col min="8427" max="8427" width="11.42578125" style="3121"/>
    <col min="8428" max="8428" width="15.140625" style="3121" customWidth="1"/>
    <col min="8429" max="8429" width="11.7109375" style="3121" bestFit="1" customWidth="1"/>
    <col min="8430" max="8434" width="10.7109375" style="3121" customWidth="1"/>
    <col min="8435" max="8435" width="1.7109375" style="3121" customWidth="1"/>
    <col min="8436" max="8436" width="11.7109375" style="3121" customWidth="1"/>
    <col min="8437" max="8439" width="9.7109375" style="3121" customWidth="1"/>
    <col min="8440" max="8681" width="11.42578125" style="3121"/>
    <col min="8682" max="8682" width="16.5703125" style="3121" customWidth="1"/>
    <col min="8683" max="8683" width="11.42578125" style="3121"/>
    <col min="8684" max="8684" width="15.140625" style="3121" customWidth="1"/>
    <col min="8685" max="8685" width="11.7109375" style="3121" bestFit="1" customWidth="1"/>
    <col min="8686" max="8690" width="10.7109375" style="3121" customWidth="1"/>
    <col min="8691" max="8691" width="1.7109375" style="3121" customWidth="1"/>
    <col min="8692" max="8692" width="11.7109375" style="3121" customWidth="1"/>
    <col min="8693" max="8695" width="9.7109375" style="3121" customWidth="1"/>
    <col min="8696" max="8937" width="11.42578125" style="3121"/>
    <col min="8938" max="8938" width="16.5703125" style="3121" customWidth="1"/>
    <col min="8939" max="8939" width="11.42578125" style="3121"/>
    <col min="8940" max="8940" width="15.140625" style="3121" customWidth="1"/>
    <col min="8941" max="8941" width="11.7109375" style="3121" bestFit="1" customWidth="1"/>
    <col min="8942" max="8946" width="10.7109375" style="3121" customWidth="1"/>
    <col min="8947" max="8947" width="1.7109375" style="3121" customWidth="1"/>
    <col min="8948" max="8948" width="11.7109375" style="3121" customWidth="1"/>
    <col min="8949" max="8951" width="9.7109375" style="3121" customWidth="1"/>
    <col min="8952" max="9193" width="11.42578125" style="3121"/>
    <col min="9194" max="9194" width="16.5703125" style="3121" customWidth="1"/>
    <col min="9195" max="9195" width="11.42578125" style="3121"/>
    <col min="9196" max="9196" width="15.140625" style="3121" customWidth="1"/>
    <col min="9197" max="9197" width="11.7109375" style="3121" bestFit="1" customWidth="1"/>
    <col min="9198" max="9202" width="10.7109375" style="3121" customWidth="1"/>
    <col min="9203" max="9203" width="1.7109375" style="3121" customWidth="1"/>
    <col min="9204" max="9204" width="11.7109375" style="3121" customWidth="1"/>
    <col min="9205" max="9207" width="9.7109375" style="3121" customWidth="1"/>
    <col min="9208" max="9449" width="11.42578125" style="3121"/>
    <col min="9450" max="9450" width="16.5703125" style="3121" customWidth="1"/>
    <col min="9451" max="9451" width="11.42578125" style="3121"/>
    <col min="9452" max="9452" width="15.140625" style="3121" customWidth="1"/>
    <col min="9453" max="9453" width="11.7109375" style="3121" bestFit="1" customWidth="1"/>
    <col min="9454" max="9458" width="10.7109375" style="3121" customWidth="1"/>
    <col min="9459" max="9459" width="1.7109375" style="3121" customWidth="1"/>
    <col min="9460" max="9460" width="11.7109375" style="3121" customWidth="1"/>
    <col min="9461" max="9463" width="9.7109375" style="3121" customWidth="1"/>
    <col min="9464" max="9705" width="11.42578125" style="3121"/>
    <col min="9706" max="9706" width="16.5703125" style="3121" customWidth="1"/>
    <col min="9707" max="9707" width="11.42578125" style="3121"/>
    <col min="9708" max="9708" width="15.140625" style="3121" customWidth="1"/>
    <col min="9709" max="9709" width="11.7109375" style="3121" bestFit="1" customWidth="1"/>
    <col min="9710" max="9714" width="10.7109375" style="3121" customWidth="1"/>
    <col min="9715" max="9715" width="1.7109375" style="3121" customWidth="1"/>
    <col min="9716" max="9716" width="11.7109375" style="3121" customWidth="1"/>
    <col min="9717" max="9719" width="9.7109375" style="3121" customWidth="1"/>
    <col min="9720" max="9961" width="11.42578125" style="3121"/>
    <col min="9962" max="9962" width="16.5703125" style="3121" customWidth="1"/>
    <col min="9963" max="9963" width="11.42578125" style="3121"/>
    <col min="9964" max="9964" width="15.140625" style="3121" customWidth="1"/>
    <col min="9965" max="9965" width="11.7109375" style="3121" bestFit="1" customWidth="1"/>
    <col min="9966" max="9970" width="10.7109375" style="3121" customWidth="1"/>
    <col min="9971" max="9971" width="1.7109375" style="3121" customWidth="1"/>
    <col min="9972" max="9972" width="11.7109375" style="3121" customWidth="1"/>
    <col min="9973" max="9975" width="9.7109375" style="3121" customWidth="1"/>
    <col min="9976" max="10217" width="11.42578125" style="3121"/>
    <col min="10218" max="10218" width="16.5703125" style="3121" customWidth="1"/>
    <col min="10219" max="10219" width="11.42578125" style="3121"/>
    <col min="10220" max="10220" width="15.140625" style="3121" customWidth="1"/>
    <col min="10221" max="10221" width="11.7109375" style="3121" bestFit="1" customWidth="1"/>
    <col min="10222" max="10226" width="10.7109375" style="3121" customWidth="1"/>
    <col min="10227" max="10227" width="1.7109375" style="3121" customWidth="1"/>
    <col min="10228" max="10228" width="11.7109375" style="3121" customWidth="1"/>
    <col min="10229" max="10231" width="9.7109375" style="3121" customWidth="1"/>
    <col min="10232" max="10473" width="11.42578125" style="3121"/>
    <col min="10474" max="10474" width="16.5703125" style="3121" customWidth="1"/>
    <col min="10475" max="10475" width="11.42578125" style="3121"/>
    <col min="10476" max="10476" width="15.140625" style="3121" customWidth="1"/>
    <col min="10477" max="10477" width="11.7109375" style="3121" bestFit="1" customWidth="1"/>
    <col min="10478" max="10482" width="10.7109375" style="3121" customWidth="1"/>
    <col min="10483" max="10483" width="1.7109375" style="3121" customWidth="1"/>
    <col min="10484" max="10484" width="11.7109375" style="3121" customWidth="1"/>
    <col min="10485" max="10487" width="9.7109375" style="3121" customWidth="1"/>
    <col min="10488" max="10729" width="11.42578125" style="3121"/>
    <col min="10730" max="10730" width="16.5703125" style="3121" customWidth="1"/>
    <col min="10731" max="10731" width="11.42578125" style="3121"/>
    <col min="10732" max="10732" width="15.140625" style="3121" customWidth="1"/>
    <col min="10733" max="10733" width="11.7109375" style="3121" bestFit="1" customWidth="1"/>
    <col min="10734" max="10738" width="10.7109375" style="3121" customWidth="1"/>
    <col min="10739" max="10739" width="1.7109375" style="3121" customWidth="1"/>
    <col min="10740" max="10740" width="11.7109375" style="3121" customWidth="1"/>
    <col min="10741" max="10743" width="9.7109375" style="3121" customWidth="1"/>
    <col min="10744" max="10985" width="11.42578125" style="3121"/>
    <col min="10986" max="10986" width="16.5703125" style="3121" customWidth="1"/>
    <col min="10987" max="10987" width="11.42578125" style="3121"/>
    <col min="10988" max="10988" width="15.140625" style="3121" customWidth="1"/>
    <col min="10989" max="10989" width="11.7109375" style="3121" bestFit="1" customWidth="1"/>
    <col min="10990" max="10994" width="10.7109375" style="3121" customWidth="1"/>
    <col min="10995" max="10995" width="1.7109375" style="3121" customWidth="1"/>
    <col min="10996" max="10996" width="11.7109375" style="3121" customWidth="1"/>
    <col min="10997" max="10999" width="9.7109375" style="3121" customWidth="1"/>
    <col min="11000" max="11241" width="11.42578125" style="3121"/>
    <col min="11242" max="11242" width="16.5703125" style="3121" customWidth="1"/>
    <col min="11243" max="11243" width="11.42578125" style="3121"/>
    <col min="11244" max="11244" width="15.140625" style="3121" customWidth="1"/>
    <col min="11245" max="11245" width="11.7109375" style="3121" bestFit="1" customWidth="1"/>
    <col min="11246" max="11250" width="10.7109375" style="3121" customWidth="1"/>
    <col min="11251" max="11251" width="1.7109375" style="3121" customWidth="1"/>
    <col min="11252" max="11252" width="11.7109375" style="3121" customWidth="1"/>
    <col min="11253" max="11255" width="9.7109375" style="3121" customWidth="1"/>
    <col min="11256" max="11497" width="11.42578125" style="3121"/>
    <col min="11498" max="11498" width="16.5703125" style="3121" customWidth="1"/>
    <col min="11499" max="11499" width="11.42578125" style="3121"/>
    <col min="11500" max="11500" width="15.140625" style="3121" customWidth="1"/>
    <col min="11501" max="11501" width="11.7109375" style="3121" bestFit="1" customWidth="1"/>
    <col min="11502" max="11506" width="10.7109375" style="3121" customWidth="1"/>
    <col min="11507" max="11507" width="1.7109375" style="3121" customWidth="1"/>
    <col min="11508" max="11508" width="11.7109375" style="3121" customWidth="1"/>
    <col min="11509" max="11511" width="9.7109375" style="3121" customWidth="1"/>
    <col min="11512" max="11753" width="11.42578125" style="3121"/>
    <col min="11754" max="11754" width="16.5703125" style="3121" customWidth="1"/>
    <col min="11755" max="11755" width="11.42578125" style="3121"/>
    <col min="11756" max="11756" width="15.140625" style="3121" customWidth="1"/>
    <col min="11757" max="11757" width="11.7109375" style="3121" bestFit="1" customWidth="1"/>
    <col min="11758" max="11762" width="10.7109375" style="3121" customWidth="1"/>
    <col min="11763" max="11763" width="1.7109375" style="3121" customWidth="1"/>
    <col min="11764" max="11764" width="11.7109375" style="3121" customWidth="1"/>
    <col min="11765" max="11767" width="9.7109375" style="3121" customWidth="1"/>
    <col min="11768" max="12009" width="11.42578125" style="3121"/>
    <col min="12010" max="12010" width="16.5703125" style="3121" customWidth="1"/>
    <col min="12011" max="12011" width="11.42578125" style="3121"/>
    <col min="12012" max="12012" width="15.140625" style="3121" customWidth="1"/>
    <col min="12013" max="12013" width="11.7109375" style="3121" bestFit="1" customWidth="1"/>
    <col min="12014" max="12018" width="10.7109375" style="3121" customWidth="1"/>
    <col min="12019" max="12019" width="1.7109375" style="3121" customWidth="1"/>
    <col min="12020" max="12020" width="11.7109375" style="3121" customWidth="1"/>
    <col min="12021" max="12023" width="9.7109375" style="3121" customWidth="1"/>
    <col min="12024" max="12265" width="11.42578125" style="3121"/>
    <col min="12266" max="12266" width="16.5703125" style="3121" customWidth="1"/>
    <col min="12267" max="12267" width="11.42578125" style="3121"/>
    <col min="12268" max="12268" width="15.140625" style="3121" customWidth="1"/>
    <col min="12269" max="12269" width="11.7109375" style="3121" bestFit="1" customWidth="1"/>
    <col min="12270" max="12274" width="10.7109375" style="3121" customWidth="1"/>
    <col min="12275" max="12275" width="1.7109375" style="3121" customWidth="1"/>
    <col min="12276" max="12276" width="11.7109375" style="3121" customWidth="1"/>
    <col min="12277" max="12279" width="9.7109375" style="3121" customWidth="1"/>
    <col min="12280" max="12521" width="11.42578125" style="3121"/>
    <col min="12522" max="12522" width="16.5703125" style="3121" customWidth="1"/>
    <col min="12523" max="12523" width="11.42578125" style="3121"/>
    <col min="12524" max="12524" width="15.140625" style="3121" customWidth="1"/>
    <col min="12525" max="12525" width="11.7109375" style="3121" bestFit="1" customWidth="1"/>
    <col min="12526" max="12530" width="10.7109375" style="3121" customWidth="1"/>
    <col min="12531" max="12531" width="1.7109375" style="3121" customWidth="1"/>
    <col min="12532" max="12532" width="11.7109375" style="3121" customWidth="1"/>
    <col min="12533" max="12535" width="9.7109375" style="3121" customWidth="1"/>
    <col min="12536" max="12777" width="11.42578125" style="3121"/>
    <col min="12778" max="12778" width="16.5703125" style="3121" customWidth="1"/>
    <col min="12779" max="12779" width="11.42578125" style="3121"/>
    <col min="12780" max="12780" width="15.140625" style="3121" customWidth="1"/>
    <col min="12781" max="12781" width="11.7109375" style="3121" bestFit="1" customWidth="1"/>
    <col min="12782" max="12786" width="10.7109375" style="3121" customWidth="1"/>
    <col min="12787" max="12787" width="1.7109375" style="3121" customWidth="1"/>
    <col min="12788" max="12788" width="11.7109375" style="3121" customWidth="1"/>
    <col min="12789" max="12791" width="9.7109375" style="3121" customWidth="1"/>
    <col min="12792" max="13033" width="11.42578125" style="3121"/>
    <col min="13034" max="13034" width="16.5703125" style="3121" customWidth="1"/>
    <col min="13035" max="13035" width="11.42578125" style="3121"/>
    <col min="13036" max="13036" width="15.140625" style="3121" customWidth="1"/>
    <col min="13037" max="13037" width="11.7109375" style="3121" bestFit="1" customWidth="1"/>
    <col min="13038" max="13042" width="10.7109375" style="3121" customWidth="1"/>
    <col min="13043" max="13043" width="1.7109375" style="3121" customWidth="1"/>
    <col min="13044" max="13044" width="11.7109375" style="3121" customWidth="1"/>
    <col min="13045" max="13047" width="9.7109375" style="3121" customWidth="1"/>
    <col min="13048" max="13289" width="11.42578125" style="3121"/>
    <col min="13290" max="13290" width="16.5703125" style="3121" customWidth="1"/>
    <col min="13291" max="13291" width="11.42578125" style="3121"/>
    <col min="13292" max="13292" width="15.140625" style="3121" customWidth="1"/>
    <col min="13293" max="13293" width="11.7109375" style="3121" bestFit="1" customWidth="1"/>
    <col min="13294" max="13298" width="10.7109375" style="3121" customWidth="1"/>
    <col min="13299" max="13299" width="1.7109375" style="3121" customWidth="1"/>
    <col min="13300" max="13300" width="11.7109375" style="3121" customWidth="1"/>
    <col min="13301" max="13303" width="9.7109375" style="3121" customWidth="1"/>
    <col min="13304" max="13545" width="11.42578125" style="3121"/>
    <col min="13546" max="13546" width="16.5703125" style="3121" customWidth="1"/>
    <col min="13547" max="13547" width="11.42578125" style="3121"/>
    <col min="13548" max="13548" width="15.140625" style="3121" customWidth="1"/>
    <col min="13549" max="13549" width="11.7109375" style="3121" bestFit="1" customWidth="1"/>
    <col min="13550" max="13554" width="10.7109375" style="3121" customWidth="1"/>
    <col min="13555" max="13555" width="1.7109375" style="3121" customWidth="1"/>
    <col min="13556" max="13556" width="11.7109375" style="3121" customWidth="1"/>
    <col min="13557" max="13559" width="9.7109375" style="3121" customWidth="1"/>
    <col min="13560" max="13801" width="11.42578125" style="3121"/>
    <col min="13802" max="13802" width="16.5703125" style="3121" customWidth="1"/>
    <col min="13803" max="13803" width="11.42578125" style="3121"/>
    <col min="13804" max="13804" width="15.140625" style="3121" customWidth="1"/>
    <col min="13805" max="13805" width="11.7109375" style="3121" bestFit="1" customWidth="1"/>
    <col min="13806" max="13810" width="10.7109375" style="3121" customWidth="1"/>
    <col min="13811" max="13811" width="1.7109375" style="3121" customWidth="1"/>
    <col min="13812" max="13812" width="11.7109375" style="3121" customWidth="1"/>
    <col min="13813" max="13815" width="9.7109375" style="3121" customWidth="1"/>
    <col min="13816" max="14057" width="11.42578125" style="3121"/>
    <col min="14058" max="14058" width="16.5703125" style="3121" customWidth="1"/>
    <col min="14059" max="14059" width="11.42578125" style="3121"/>
    <col min="14060" max="14060" width="15.140625" style="3121" customWidth="1"/>
    <col min="14061" max="14061" width="11.7109375" style="3121" bestFit="1" customWidth="1"/>
    <col min="14062" max="14066" width="10.7109375" style="3121" customWidth="1"/>
    <col min="14067" max="14067" width="1.7109375" style="3121" customWidth="1"/>
    <col min="14068" max="14068" width="11.7109375" style="3121" customWidth="1"/>
    <col min="14069" max="14071" width="9.7109375" style="3121" customWidth="1"/>
    <col min="14072" max="14313" width="11.42578125" style="3121"/>
    <col min="14314" max="14314" width="16.5703125" style="3121" customWidth="1"/>
    <col min="14315" max="14315" width="11.42578125" style="3121"/>
    <col min="14316" max="14316" width="15.140625" style="3121" customWidth="1"/>
    <col min="14317" max="14317" width="11.7109375" style="3121" bestFit="1" customWidth="1"/>
    <col min="14318" max="14322" width="10.7109375" style="3121" customWidth="1"/>
    <col min="14323" max="14323" width="1.7109375" style="3121" customWidth="1"/>
    <col min="14324" max="14324" width="11.7109375" style="3121" customWidth="1"/>
    <col min="14325" max="14327" width="9.7109375" style="3121" customWidth="1"/>
    <col min="14328" max="14569" width="11.42578125" style="3121"/>
    <col min="14570" max="14570" width="16.5703125" style="3121" customWidth="1"/>
    <col min="14571" max="14571" width="11.42578125" style="3121"/>
    <col min="14572" max="14572" width="15.140625" style="3121" customWidth="1"/>
    <col min="14573" max="14573" width="11.7109375" style="3121" bestFit="1" customWidth="1"/>
    <col min="14574" max="14578" width="10.7109375" style="3121" customWidth="1"/>
    <col min="14579" max="14579" width="1.7109375" style="3121" customWidth="1"/>
    <col min="14580" max="14580" width="11.7109375" style="3121" customWidth="1"/>
    <col min="14581" max="14583" width="9.7109375" style="3121" customWidth="1"/>
    <col min="14584" max="14825" width="11.42578125" style="3121"/>
    <col min="14826" max="14826" width="16.5703125" style="3121" customWidth="1"/>
    <col min="14827" max="14827" width="11.42578125" style="3121"/>
    <col min="14828" max="14828" width="15.140625" style="3121" customWidth="1"/>
    <col min="14829" max="14829" width="11.7109375" style="3121" bestFit="1" customWidth="1"/>
    <col min="14830" max="14834" width="10.7109375" style="3121" customWidth="1"/>
    <col min="14835" max="14835" width="1.7109375" style="3121" customWidth="1"/>
    <col min="14836" max="14836" width="11.7109375" style="3121" customWidth="1"/>
    <col min="14837" max="14839" width="9.7109375" style="3121" customWidth="1"/>
    <col min="14840" max="15081" width="11.42578125" style="3121"/>
    <col min="15082" max="15082" width="16.5703125" style="3121" customWidth="1"/>
    <col min="15083" max="15083" width="11.42578125" style="3121"/>
    <col min="15084" max="15084" width="15.140625" style="3121" customWidth="1"/>
    <col min="15085" max="15085" width="11.7109375" style="3121" bestFit="1" customWidth="1"/>
    <col min="15086" max="15090" width="10.7109375" style="3121" customWidth="1"/>
    <col min="15091" max="15091" width="1.7109375" style="3121" customWidth="1"/>
    <col min="15092" max="15092" width="11.7109375" style="3121" customWidth="1"/>
    <col min="15093" max="15095" width="9.7109375" style="3121" customWidth="1"/>
    <col min="15096" max="15337" width="11.42578125" style="3121"/>
    <col min="15338" max="15338" width="16.5703125" style="3121" customWidth="1"/>
    <col min="15339" max="15339" width="11.42578125" style="3121"/>
    <col min="15340" max="15340" width="15.140625" style="3121" customWidth="1"/>
    <col min="15341" max="15341" width="11.7109375" style="3121" bestFit="1" customWidth="1"/>
    <col min="15342" max="15346" width="10.7109375" style="3121" customWidth="1"/>
    <col min="15347" max="15347" width="1.7109375" style="3121" customWidth="1"/>
    <col min="15348" max="15348" width="11.7109375" style="3121" customWidth="1"/>
    <col min="15349" max="15351" width="9.7109375" style="3121" customWidth="1"/>
    <col min="15352" max="15593" width="11.42578125" style="3121"/>
    <col min="15594" max="15594" width="16.5703125" style="3121" customWidth="1"/>
    <col min="15595" max="15595" width="11.42578125" style="3121"/>
    <col min="15596" max="15596" width="15.140625" style="3121" customWidth="1"/>
    <col min="15597" max="15597" width="11.7109375" style="3121" bestFit="1" customWidth="1"/>
    <col min="15598" max="15602" width="10.7109375" style="3121" customWidth="1"/>
    <col min="15603" max="15603" width="1.7109375" style="3121" customWidth="1"/>
    <col min="15604" max="15604" width="11.7109375" style="3121" customWidth="1"/>
    <col min="15605" max="15607" width="9.7109375" style="3121" customWidth="1"/>
    <col min="15608" max="15849" width="11.42578125" style="3121"/>
    <col min="15850" max="15850" width="16.5703125" style="3121" customWidth="1"/>
    <col min="15851" max="15851" width="11.42578125" style="3121"/>
    <col min="15852" max="15852" width="15.140625" style="3121" customWidth="1"/>
    <col min="15853" max="15853" width="11.7109375" style="3121" bestFit="1" customWidth="1"/>
    <col min="15854" max="15858" width="10.7109375" style="3121" customWidth="1"/>
    <col min="15859" max="15859" width="1.7109375" style="3121" customWidth="1"/>
    <col min="15860" max="15860" width="11.7109375" style="3121" customWidth="1"/>
    <col min="15861" max="15863" width="9.7109375" style="3121" customWidth="1"/>
    <col min="15864" max="16105" width="11.42578125" style="3121"/>
    <col min="16106" max="16106" width="16.5703125" style="3121" customWidth="1"/>
    <col min="16107" max="16107" width="11.42578125" style="3121"/>
    <col min="16108" max="16108" width="15.140625" style="3121" customWidth="1"/>
    <col min="16109" max="16109" width="11.7109375" style="3121" bestFit="1" customWidth="1"/>
    <col min="16110" max="16114" width="10.7109375" style="3121" customWidth="1"/>
    <col min="16115" max="16115" width="1.7109375" style="3121" customWidth="1"/>
    <col min="16116" max="16116" width="11.7109375" style="3121" customWidth="1"/>
    <col min="16117" max="16119" width="9.7109375" style="3121" customWidth="1"/>
    <col min="16120" max="16384" width="11.42578125" style="3121"/>
  </cols>
  <sheetData>
    <row r="1" spans="1:14" ht="18.75" x14ac:dyDescent="0.3">
      <c r="A1" s="6631" t="s">
        <v>1331</v>
      </c>
      <c r="B1" s="6631"/>
      <c r="C1" s="6631"/>
      <c r="D1" s="6631"/>
      <c r="E1" s="6631"/>
      <c r="F1" s="6631"/>
      <c r="G1" s="6631"/>
      <c r="H1" s="6631"/>
      <c r="I1" s="6631"/>
      <c r="J1" s="6631"/>
      <c r="K1" s="6631"/>
      <c r="L1" s="6631"/>
      <c r="M1" s="6631"/>
      <c r="N1" s="3120"/>
    </row>
    <row r="2" spans="1:14" ht="18.75" x14ac:dyDescent="0.3">
      <c r="A2" s="5173"/>
      <c r="B2" s="5173"/>
      <c r="C2" s="5173"/>
      <c r="D2" s="5173"/>
      <c r="E2" s="5173"/>
      <c r="F2" s="5173"/>
      <c r="G2" s="5173"/>
      <c r="H2" s="5173"/>
      <c r="I2" s="5173"/>
      <c r="J2" s="5173"/>
      <c r="K2" s="5173"/>
      <c r="L2" s="5173"/>
      <c r="M2" s="5173"/>
      <c r="N2" s="3120"/>
    </row>
    <row r="3" spans="1:14" ht="15" customHeight="1" x14ac:dyDescent="0.25">
      <c r="A3" s="6153" t="s">
        <v>51</v>
      </c>
      <c r="B3" s="6153" t="s">
        <v>685</v>
      </c>
      <c r="C3" s="6572" t="s">
        <v>1637</v>
      </c>
      <c r="D3" s="6570"/>
      <c r="E3" s="6570"/>
      <c r="F3" s="5324"/>
      <c r="G3" s="5325"/>
      <c r="H3" s="6568" t="s">
        <v>1638</v>
      </c>
      <c r="I3" s="6569"/>
      <c r="J3" s="6569"/>
      <c r="K3" s="6569"/>
      <c r="L3" s="6570"/>
      <c r="M3" s="6571"/>
      <c r="N3" s="6573" t="s">
        <v>1084</v>
      </c>
    </row>
    <row r="4" spans="1:14" ht="30" x14ac:dyDescent="0.25">
      <c r="A4" s="6153"/>
      <c r="B4" s="6153"/>
      <c r="C4" s="5320" t="s">
        <v>801</v>
      </c>
      <c r="D4" s="5320" t="s">
        <v>616</v>
      </c>
      <c r="E4" s="5320" t="s">
        <v>617</v>
      </c>
      <c r="F4" s="3998" t="s">
        <v>12</v>
      </c>
      <c r="G4" s="5325"/>
      <c r="H4" s="5320" t="s">
        <v>1172</v>
      </c>
      <c r="I4" s="5320" t="s">
        <v>1162</v>
      </c>
      <c r="J4" s="5320" t="s">
        <v>1163</v>
      </c>
      <c r="K4" s="5320" t="s">
        <v>1164</v>
      </c>
      <c r="L4" s="4818" t="s">
        <v>12</v>
      </c>
      <c r="M4" s="4819" t="s">
        <v>1083</v>
      </c>
      <c r="N4" s="6574"/>
    </row>
    <row r="5" spans="1:14" x14ac:dyDescent="0.25">
      <c r="A5" s="2984"/>
      <c r="B5" s="2984"/>
      <c r="C5" s="5325"/>
      <c r="D5" s="5325"/>
      <c r="E5" s="5325"/>
      <c r="F5" s="2984"/>
      <c r="G5" s="5325"/>
      <c r="H5" s="2984"/>
      <c r="I5" s="5325"/>
      <c r="J5" s="5325"/>
      <c r="K5" s="5325"/>
      <c r="L5" s="4889"/>
      <c r="M5" s="4889"/>
      <c r="N5" s="4001"/>
    </row>
    <row r="6" spans="1:14" x14ac:dyDescent="0.25">
      <c r="A6" s="6558" t="s">
        <v>3</v>
      </c>
      <c r="B6" s="2986" t="s">
        <v>1639</v>
      </c>
      <c r="C6" s="5326"/>
      <c r="D6" s="5327">
        <v>5</v>
      </c>
      <c r="E6" s="5327">
        <v>4</v>
      </c>
      <c r="F6" s="4004">
        <f>SUM(C6:E6)</f>
        <v>9</v>
      </c>
      <c r="G6" s="5325"/>
      <c r="H6" s="4005"/>
      <c r="I6" s="4006">
        <v>4</v>
      </c>
      <c r="J6" s="4005">
        <v>2</v>
      </c>
      <c r="K6" s="4007">
        <v>1</v>
      </c>
      <c r="L6" s="4892">
        <f>SUM(H6:K6)</f>
        <v>7</v>
      </c>
      <c r="M6" s="3137">
        <f>L6/F6</f>
        <v>0.77777777777777779</v>
      </c>
      <c r="N6" s="3138">
        <f>1-M6</f>
        <v>0.22222222222222221</v>
      </c>
    </row>
    <row r="7" spans="1:14" x14ac:dyDescent="0.25">
      <c r="A7" s="6072"/>
      <c r="B7" s="2990" t="s">
        <v>6</v>
      </c>
      <c r="C7" s="5328">
        <v>3</v>
      </c>
      <c r="D7" s="5329">
        <v>6</v>
      </c>
      <c r="E7" s="5329">
        <v>2</v>
      </c>
      <c r="F7" s="4010">
        <f>SUM(C7:E7)</f>
        <v>11</v>
      </c>
      <c r="G7" s="5325"/>
      <c r="H7" s="4011"/>
      <c r="I7" s="4012">
        <v>4</v>
      </c>
      <c r="J7" s="4013">
        <v>4</v>
      </c>
      <c r="K7" s="4014"/>
      <c r="L7" s="4895">
        <f>SUM(H7:K7)</f>
        <v>8</v>
      </c>
      <c r="M7" s="3147">
        <f t="shared" ref="M7:M30" si="0">L7/F7</f>
        <v>0.72727272727272729</v>
      </c>
      <c r="N7" s="3148">
        <f t="shared" ref="N7:N30" si="1">1-M7</f>
        <v>0.27272727272727271</v>
      </c>
    </row>
    <row r="8" spans="1:14" x14ac:dyDescent="0.25">
      <c r="A8" s="6072"/>
      <c r="B8" s="2994" t="s">
        <v>7</v>
      </c>
      <c r="C8" s="5330">
        <v>1</v>
      </c>
      <c r="D8" s="5331">
        <v>6</v>
      </c>
      <c r="E8" s="5331">
        <v>6</v>
      </c>
      <c r="F8" s="4017">
        <f>SUM(C8:E8)</f>
        <v>13</v>
      </c>
      <c r="G8" s="5325"/>
      <c r="H8" s="4018"/>
      <c r="I8" s="4019"/>
      <c r="J8" s="4018">
        <v>3</v>
      </c>
      <c r="K8" s="4020"/>
      <c r="L8" s="4898">
        <f>SUM(H8:K8)</f>
        <v>3</v>
      </c>
      <c r="M8" s="3156">
        <f t="shared" si="0"/>
        <v>0.23076923076923078</v>
      </c>
      <c r="N8" s="3157">
        <f t="shared" si="1"/>
        <v>0.76923076923076916</v>
      </c>
    </row>
    <row r="9" spans="1:14" x14ac:dyDescent="0.25">
      <c r="A9" s="6073"/>
      <c r="B9" s="4021" t="s">
        <v>12</v>
      </c>
      <c r="C9" s="4021">
        <f>SUM(C6:C8)</f>
        <v>4</v>
      </c>
      <c r="D9" s="4021">
        <f>SUM(D6:D8)</f>
        <v>17</v>
      </c>
      <c r="E9" s="4021">
        <f>SUM(E6:E8)</f>
        <v>12</v>
      </c>
      <c r="F9" s="5319">
        <f>SUM(F6:F8)</f>
        <v>33</v>
      </c>
      <c r="G9" s="5325"/>
      <c r="H9" s="5319">
        <f>SUM(H6:H8)</f>
        <v>0</v>
      </c>
      <c r="I9" s="4899">
        <f>SUM(I6:I8)</f>
        <v>8</v>
      </c>
      <c r="J9" s="4899">
        <f>SUM(J6:J8)</f>
        <v>9</v>
      </c>
      <c r="K9" s="4899">
        <f>SUM(K6:K8)</f>
        <v>1</v>
      </c>
      <c r="L9" s="4899">
        <f>SUM(L6:L8)</f>
        <v>18</v>
      </c>
      <c r="M9" s="5196">
        <f t="shared" si="0"/>
        <v>0.54545454545454541</v>
      </c>
      <c r="N9" s="4025">
        <f t="shared" si="1"/>
        <v>0.45454545454545459</v>
      </c>
    </row>
    <row r="10" spans="1:14" x14ac:dyDescent="0.25">
      <c r="A10" s="4026"/>
      <c r="B10" s="4026"/>
      <c r="C10" s="4026"/>
      <c r="D10" s="4026"/>
      <c r="E10" s="4026"/>
      <c r="F10" s="4026"/>
      <c r="G10" s="4026"/>
      <c r="H10" s="4026"/>
      <c r="I10" s="4026"/>
      <c r="J10" s="4026"/>
      <c r="K10" s="4026"/>
      <c r="L10" s="4026"/>
      <c r="M10" s="4026"/>
      <c r="N10" s="4026"/>
    </row>
    <row r="11" spans="1:14" x14ac:dyDescent="0.25">
      <c r="A11" s="6559" t="s">
        <v>8</v>
      </c>
      <c r="B11" s="2986" t="s">
        <v>6</v>
      </c>
      <c r="C11" s="5326"/>
      <c r="D11" s="5327">
        <v>1</v>
      </c>
      <c r="E11" s="5327">
        <v>1</v>
      </c>
      <c r="F11" s="4004">
        <f>SUM(C11:E11)</f>
        <v>2</v>
      </c>
      <c r="G11" s="5325"/>
      <c r="H11" s="4005"/>
      <c r="I11" s="4006"/>
      <c r="J11" s="4005">
        <v>2</v>
      </c>
      <c r="K11" s="4027"/>
      <c r="L11" s="4892">
        <f>SUM(H11:K11)</f>
        <v>2</v>
      </c>
      <c r="M11" s="3137">
        <f>L11/F11</f>
        <v>1</v>
      </c>
      <c r="N11" s="3138">
        <f>1-M11</f>
        <v>0</v>
      </c>
    </row>
    <row r="12" spans="1:14" x14ac:dyDescent="0.25">
      <c r="A12" s="6560"/>
      <c r="B12" s="2990" t="s">
        <v>9</v>
      </c>
      <c r="C12" s="5328"/>
      <c r="D12" s="5329">
        <v>1</v>
      </c>
      <c r="E12" s="5329"/>
      <c r="F12" s="4010">
        <f>SUM(C12:E12)</f>
        <v>1</v>
      </c>
      <c r="G12" s="5325"/>
      <c r="H12" s="4011"/>
      <c r="I12" s="4012"/>
      <c r="J12" s="4011">
        <v>1</v>
      </c>
      <c r="K12" s="4014"/>
      <c r="L12" s="4895">
        <f>SUM(H12:K12)</f>
        <v>1</v>
      </c>
      <c r="M12" s="3147">
        <f>L12/F12</f>
        <v>1</v>
      </c>
      <c r="N12" s="3148">
        <f>1-M12</f>
        <v>0</v>
      </c>
    </row>
    <row r="13" spans="1:14" x14ac:dyDescent="0.25">
      <c r="A13" s="6560"/>
      <c r="B13" s="2994" t="s">
        <v>74</v>
      </c>
      <c r="C13" s="5330">
        <v>1</v>
      </c>
      <c r="D13" s="5331">
        <v>1</v>
      </c>
      <c r="E13" s="5331">
        <v>1</v>
      </c>
      <c r="F13" s="4017">
        <f>SUM(C13:E13)</f>
        <v>3</v>
      </c>
      <c r="G13" s="5325"/>
      <c r="H13" s="4018"/>
      <c r="I13" s="4019"/>
      <c r="J13" s="4018">
        <v>2</v>
      </c>
      <c r="K13" s="4020"/>
      <c r="L13" s="4898">
        <f>SUM(H13:K13)</f>
        <v>2</v>
      </c>
      <c r="M13" s="3156">
        <f>L13/F13</f>
        <v>0.66666666666666663</v>
      </c>
      <c r="N13" s="3157">
        <f>1-M13</f>
        <v>0.33333333333333337</v>
      </c>
    </row>
    <row r="14" spans="1:14" x14ac:dyDescent="0.25">
      <c r="A14" s="6561"/>
      <c r="B14" s="4021" t="s">
        <v>12</v>
      </c>
      <c r="C14" s="4021">
        <f>SUM(C11:C13)</f>
        <v>1</v>
      </c>
      <c r="D14" s="4021">
        <f>SUM(D11:D13)</f>
        <v>3</v>
      </c>
      <c r="E14" s="4021">
        <f>SUM(E11:E13)</f>
        <v>2</v>
      </c>
      <c r="F14" s="5319">
        <f>SUM(F11:F13)</f>
        <v>6</v>
      </c>
      <c r="G14" s="5325"/>
      <c r="H14" s="4899">
        <f>SUM(H11:H13)</f>
        <v>0</v>
      </c>
      <c r="I14" s="4899">
        <f>SUM(I11:I13)</f>
        <v>0</v>
      </c>
      <c r="J14" s="4899">
        <f>SUM(J11:J13)</f>
        <v>5</v>
      </c>
      <c r="K14" s="4899">
        <f>SUM(K11:K13)</f>
        <v>0</v>
      </c>
      <c r="L14" s="4899">
        <f>SUM(L11:L13)</f>
        <v>5</v>
      </c>
      <c r="M14" s="5196">
        <f>L14/F14</f>
        <v>0.83333333333333337</v>
      </c>
      <c r="N14" s="4025">
        <f>1-M14</f>
        <v>0.16666666666666663</v>
      </c>
    </row>
    <row r="15" spans="1:14" ht="18.75" customHeight="1" x14ac:dyDescent="0.25">
      <c r="A15" s="5325"/>
      <c r="B15" s="5325"/>
      <c r="C15" s="5325"/>
      <c r="D15" s="5325"/>
      <c r="E15" s="5325"/>
      <c r="F15" s="4028"/>
      <c r="G15" s="5325"/>
      <c r="H15" s="5325"/>
      <c r="I15" s="5325"/>
      <c r="J15" s="5325"/>
      <c r="K15" s="5325"/>
      <c r="L15" s="4901"/>
      <c r="M15" s="5332"/>
      <c r="N15" s="4029"/>
    </row>
    <row r="16" spans="1:14" x14ac:dyDescent="0.25">
      <c r="A16" s="6562" t="s">
        <v>75</v>
      </c>
      <c r="B16" s="2986" t="s">
        <v>5</v>
      </c>
      <c r="C16" s="5326">
        <v>1</v>
      </c>
      <c r="D16" s="5327">
        <v>8</v>
      </c>
      <c r="E16" s="5327">
        <v>7</v>
      </c>
      <c r="F16" s="4004">
        <f>SUM(C16:E16)</f>
        <v>16</v>
      </c>
      <c r="G16" s="5325"/>
      <c r="H16" s="4005"/>
      <c r="I16" s="4030">
        <v>7</v>
      </c>
      <c r="J16" s="4031">
        <v>6</v>
      </c>
      <c r="K16" s="4027">
        <v>1</v>
      </c>
      <c r="L16" s="4892">
        <f>SUM(I16:K16)</f>
        <v>14</v>
      </c>
      <c r="M16" s="3137">
        <f t="shared" si="0"/>
        <v>0.875</v>
      </c>
      <c r="N16" s="3138">
        <f t="shared" si="1"/>
        <v>0.125</v>
      </c>
    </row>
    <row r="17" spans="1:14" x14ac:dyDescent="0.25">
      <c r="A17" s="6078"/>
      <c r="B17" s="2990" t="s">
        <v>6</v>
      </c>
      <c r="C17" s="5328">
        <v>1</v>
      </c>
      <c r="D17" s="5329">
        <v>5</v>
      </c>
      <c r="E17" s="5329">
        <v>5</v>
      </c>
      <c r="F17" s="4010">
        <f>SUM(C17:E17)</f>
        <v>11</v>
      </c>
      <c r="G17" s="5325"/>
      <c r="H17" s="4011">
        <v>3</v>
      </c>
      <c r="I17" s="4012">
        <v>5</v>
      </c>
      <c r="J17" s="4011"/>
      <c r="K17" s="4014"/>
      <c r="L17" s="4895">
        <f>SUM(H17:K17)</f>
        <v>8</v>
      </c>
      <c r="M17" s="3147">
        <f t="shared" si="0"/>
        <v>0.72727272727272729</v>
      </c>
      <c r="N17" s="3148">
        <f t="shared" si="1"/>
        <v>0.27272727272727271</v>
      </c>
    </row>
    <row r="18" spans="1:14" x14ac:dyDescent="0.25">
      <c r="A18" s="6078"/>
      <c r="B18" s="2994" t="s">
        <v>11</v>
      </c>
      <c r="C18" s="5330">
        <v>2</v>
      </c>
      <c r="D18" s="5331">
        <v>4</v>
      </c>
      <c r="E18" s="5331">
        <v>2</v>
      </c>
      <c r="F18" s="4017">
        <f>SUM(C18:E18)</f>
        <v>8</v>
      </c>
      <c r="G18" s="5325"/>
      <c r="H18" s="4018">
        <v>1</v>
      </c>
      <c r="I18" s="4019">
        <v>4</v>
      </c>
      <c r="J18" s="4018">
        <v>1</v>
      </c>
      <c r="K18" s="4020"/>
      <c r="L18" s="4898">
        <f>SUM(H18:K18)</f>
        <v>6</v>
      </c>
      <c r="M18" s="3156">
        <f t="shared" si="0"/>
        <v>0.75</v>
      </c>
      <c r="N18" s="3157">
        <f t="shared" si="1"/>
        <v>0.25</v>
      </c>
    </row>
    <row r="19" spans="1:14" x14ac:dyDescent="0.25">
      <c r="A19" s="6079"/>
      <c r="B19" s="4021" t="s">
        <v>12</v>
      </c>
      <c r="C19" s="4021">
        <f>SUM(C16:C18)</f>
        <v>4</v>
      </c>
      <c r="D19" s="4021">
        <f>SUM(D16:D18)</f>
        <v>17</v>
      </c>
      <c r="E19" s="4021">
        <f>SUM(E16:E18)</f>
        <v>14</v>
      </c>
      <c r="F19" s="5319">
        <f>SUM(F16:F18)</f>
        <v>35</v>
      </c>
      <c r="G19" s="5325"/>
      <c r="H19" s="4899">
        <f>SUM(H16:H18)</f>
        <v>4</v>
      </c>
      <c r="I19" s="4899">
        <f>SUM(I16:I18)</f>
        <v>16</v>
      </c>
      <c r="J19" s="4899">
        <f>SUM(J16:J18)</f>
        <v>7</v>
      </c>
      <c r="K19" s="4899">
        <f>SUM(K16:K18)</f>
        <v>1</v>
      </c>
      <c r="L19" s="4899">
        <f>SUM(L16:L18)</f>
        <v>28</v>
      </c>
      <c r="M19" s="5196">
        <f t="shared" si="0"/>
        <v>0.8</v>
      </c>
      <c r="N19" s="4025">
        <f t="shared" si="1"/>
        <v>0.19999999999999996</v>
      </c>
    </row>
    <row r="20" spans="1:14" x14ac:dyDescent="0.25">
      <c r="A20" s="3004"/>
      <c r="B20" s="3005"/>
      <c r="C20" s="5333"/>
      <c r="D20" s="5333"/>
      <c r="E20" s="5333"/>
      <c r="F20" s="4033"/>
      <c r="G20" s="5325"/>
      <c r="H20" s="4034"/>
      <c r="I20" s="4034"/>
      <c r="J20" s="4034"/>
      <c r="K20" s="3175"/>
      <c r="L20" s="4902"/>
      <c r="M20" s="4903"/>
      <c r="N20" s="3178"/>
    </row>
    <row r="21" spans="1:14" x14ac:dyDescent="0.25">
      <c r="A21" s="6563" t="s">
        <v>10</v>
      </c>
      <c r="B21" s="2986" t="s">
        <v>6</v>
      </c>
      <c r="C21" s="5326">
        <v>1</v>
      </c>
      <c r="D21" s="5327">
        <v>9</v>
      </c>
      <c r="E21" s="5327">
        <v>3</v>
      </c>
      <c r="F21" s="4004">
        <f>SUM(C21:E21)</f>
        <v>13</v>
      </c>
      <c r="G21" s="5325"/>
      <c r="H21" s="4005">
        <v>1</v>
      </c>
      <c r="I21" s="4006">
        <v>5</v>
      </c>
      <c r="J21" s="4005">
        <v>4</v>
      </c>
      <c r="K21" s="4027"/>
      <c r="L21" s="4892">
        <f>SUM(H21:K21)</f>
        <v>10</v>
      </c>
      <c r="M21" s="3137">
        <f t="shared" si="0"/>
        <v>0.76923076923076927</v>
      </c>
      <c r="N21" s="3138">
        <f t="shared" si="1"/>
        <v>0.23076923076923073</v>
      </c>
    </row>
    <row r="22" spans="1:14" x14ac:dyDescent="0.25">
      <c r="A22" s="6067"/>
      <c r="B22" s="2990" t="s">
        <v>11</v>
      </c>
      <c r="C22" s="5328">
        <v>2</v>
      </c>
      <c r="D22" s="5329">
        <v>8</v>
      </c>
      <c r="E22" s="5329">
        <v>2</v>
      </c>
      <c r="F22" s="4010">
        <f>SUM(C22:E22)</f>
        <v>12</v>
      </c>
      <c r="G22" s="5325"/>
      <c r="H22" s="4011"/>
      <c r="I22" s="4012">
        <v>4</v>
      </c>
      <c r="J22" s="4011">
        <v>2</v>
      </c>
      <c r="K22" s="4014">
        <v>1</v>
      </c>
      <c r="L22" s="4895">
        <f>SUM(I22:K22)</f>
        <v>7</v>
      </c>
      <c r="M22" s="3147">
        <f t="shared" si="0"/>
        <v>0.58333333333333337</v>
      </c>
      <c r="N22" s="3148">
        <f t="shared" si="1"/>
        <v>0.41666666666666663</v>
      </c>
    </row>
    <row r="23" spans="1:14" x14ac:dyDescent="0.25">
      <c r="A23" s="6067"/>
      <c r="B23" s="2994" t="s">
        <v>7</v>
      </c>
      <c r="C23" s="5330"/>
      <c r="D23" s="5331">
        <v>3</v>
      </c>
      <c r="E23" s="5331">
        <v>1</v>
      </c>
      <c r="F23" s="4017">
        <f>SUM(C23:E23)</f>
        <v>4</v>
      </c>
      <c r="G23" s="5325"/>
      <c r="H23" s="4018"/>
      <c r="I23" s="4019">
        <v>1</v>
      </c>
      <c r="J23" s="4018">
        <v>2</v>
      </c>
      <c r="K23" s="4020"/>
      <c r="L23" s="4898">
        <f>SUM(I23:K23)</f>
        <v>3</v>
      </c>
      <c r="M23" s="3156">
        <f t="shared" si="0"/>
        <v>0.75</v>
      </c>
      <c r="N23" s="3157">
        <f t="shared" si="1"/>
        <v>0.25</v>
      </c>
    </row>
    <row r="24" spans="1:14" x14ac:dyDescent="0.25">
      <c r="A24" s="6068"/>
      <c r="B24" s="4021" t="s">
        <v>12</v>
      </c>
      <c r="C24" s="4021">
        <f>SUM(C21:C23)</f>
        <v>3</v>
      </c>
      <c r="D24" s="4021">
        <f>SUM(D21:D23)</f>
        <v>20</v>
      </c>
      <c r="E24" s="4021">
        <f>SUM(E21:E23)</f>
        <v>6</v>
      </c>
      <c r="F24" s="5319">
        <f>SUM(F21:F23)</f>
        <v>29</v>
      </c>
      <c r="G24" s="5325"/>
      <c r="H24" s="4899">
        <f>SUM(H21:H23)</f>
        <v>1</v>
      </c>
      <c r="I24" s="4899">
        <f>SUM(I21:I23)</f>
        <v>10</v>
      </c>
      <c r="J24" s="4899">
        <f>SUM(J21:J23)</f>
        <v>8</v>
      </c>
      <c r="K24" s="4899">
        <f>SUM(K21:K23)</f>
        <v>1</v>
      </c>
      <c r="L24" s="4899">
        <f>SUM(L21:L23)</f>
        <v>20</v>
      </c>
      <c r="M24" s="5196">
        <f t="shared" si="0"/>
        <v>0.68965517241379315</v>
      </c>
      <c r="N24" s="4025">
        <f t="shared" si="1"/>
        <v>0.31034482758620685</v>
      </c>
    </row>
    <row r="25" spans="1:14" x14ac:dyDescent="0.25">
      <c r="A25" s="4035"/>
      <c r="B25" s="4035"/>
      <c r="C25" s="4035"/>
      <c r="D25" s="4035"/>
      <c r="E25" s="4035"/>
      <c r="F25" s="4035"/>
      <c r="G25" s="4035"/>
      <c r="H25" s="4035"/>
      <c r="I25" s="4035"/>
      <c r="J25" s="4035"/>
      <c r="K25" s="4035"/>
      <c r="L25" s="4035"/>
      <c r="M25" s="4035"/>
      <c r="N25" s="4036"/>
    </row>
    <row r="26" spans="1:14" x14ac:dyDescent="0.25">
      <c r="A26" s="6564" t="s">
        <v>1169</v>
      </c>
      <c r="B26" s="2986" t="s">
        <v>6</v>
      </c>
      <c r="C26" s="5326"/>
      <c r="D26" s="5327">
        <v>2</v>
      </c>
      <c r="E26" s="5327">
        <v>2</v>
      </c>
      <c r="F26" s="4004">
        <f>SUM(C26:E26)</f>
        <v>4</v>
      </c>
      <c r="G26" s="5325"/>
      <c r="H26" s="4005"/>
      <c r="I26" s="4006">
        <v>1</v>
      </c>
      <c r="J26" s="4005">
        <v>1</v>
      </c>
      <c r="K26" s="4027"/>
      <c r="L26" s="4892">
        <f>SUM(H26:K26)</f>
        <v>2</v>
      </c>
      <c r="M26" s="3137">
        <f>L26/F26</f>
        <v>0.5</v>
      </c>
      <c r="N26" s="3138">
        <f>1-M26</f>
        <v>0.5</v>
      </c>
    </row>
    <row r="27" spans="1:14" x14ac:dyDescent="0.25">
      <c r="A27" s="6565"/>
      <c r="B27" s="2990" t="s">
        <v>1170</v>
      </c>
      <c r="C27" s="5328"/>
      <c r="D27" s="5329"/>
      <c r="E27" s="5329">
        <v>1</v>
      </c>
      <c r="F27" s="4010">
        <f>SUM(C27:E27)</f>
        <v>1</v>
      </c>
      <c r="G27" s="5325"/>
      <c r="H27" s="4011"/>
      <c r="I27" s="4012">
        <v>1</v>
      </c>
      <c r="J27" s="4011"/>
      <c r="K27" s="4014"/>
      <c r="L27" s="4895">
        <f>SUM(H27:K27)</f>
        <v>1</v>
      </c>
      <c r="M27" s="3147">
        <f>L27/F27</f>
        <v>1</v>
      </c>
      <c r="N27" s="3148">
        <f>1-M27</f>
        <v>0</v>
      </c>
    </row>
    <row r="28" spans="1:14" x14ac:dyDescent="0.25">
      <c r="A28" s="6566"/>
      <c r="B28" s="4021" t="s">
        <v>12</v>
      </c>
      <c r="C28" s="4021">
        <f>SUM(C26:C27)</f>
        <v>0</v>
      </c>
      <c r="D28" s="4021">
        <f>SUM(D26:D27)</f>
        <v>2</v>
      </c>
      <c r="E28" s="4021">
        <f>SUM(E26:E27)</f>
        <v>3</v>
      </c>
      <c r="F28" s="5319">
        <f>SUM(F26:F27)</f>
        <v>5</v>
      </c>
      <c r="G28" s="5325"/>
      <c r="H28" s="4899">
        <f>SUM(H26:H27)</f>
        <v>0</v>
      </c>
      <c r="I28" s="4899">
        <f>SUM(I26:I27)</f>
        <v>2</v>
      </c>
      <c r="J28" s="4899">
        <f>SUM(J26:J27)</f>
        <v>1</v>
      </c>
      <c r="K28" s="4899">
        <f>SUM(K26:K27)</f>
        <v>0</v>
      </c>
      <c r="L28" s="4899">
        <f>SUM(L26:L27)</f>
        <v>3</v>
      </c>
      <c r="M28" s="5196">
        <f>L28/F28</f>
        <v>0.6</v>
      </c>
      <c r="N28" s="4025">
        <f>1-M28</f>
        <v>0.4</v>
      </c>
    </row>
    <row r="29" spans="1:14" x14ac:dyDescent="0.25">
      <c r="A29" s="3005"/>
      <c r="B29" s="3005"/>
      <c r="C29" s="5333"/>
      <c r="D29" s="5333"/>
      <c r="E29" s="5333"/>
      <c r="F29" s="4033"/>
      <c r="G29" s="5325"/>
      <c r="H29" s="4034"/>
      <c r="I29" s="4034"/>
      <c r="J29" s="4034"/>
      <c r="K29" s="3175"/>
      <c r="L29" s="4902"/>
      <c r="M29" s="4903"/>
      <c r="N29" s="3178"/>
    </row>
    <row r="30" spans="1:14" x14ac:dyDescent="0.25">
      <c r="A30" s="6567" t="s">
        <v>60</v>
      </c>
      <c r="B30" s="6567"/>
      <c r="C30" s="4021">
        <f>SUM(C9,C14,C19,C24,C28)</f>
        <v>12</v>
      </c>
      <c r="D30" s="4021">
        <f>SUM(D9,D14,D19,D24,D28)</f>
        <v>59</v>
      </c>
      <c r="E30" s="4021">
        <f>SUM(E9,E14,E19,E24,E28)</f>
        <v>37</v>
      </c>
      <c r="F30" s="4021">
        <f>SUM(F9,F14,F19,F24,F28)</f>
        <v>108</v>
      </c>
      <c r="G30" s="5325"/>
      <c r="H30" s="5319">
        <f>SUM(H9,H19,H24,H14,H28)</f>
        <v>5</v>
      </c>
      <c r="I30" s="5319">
        <f>SUM(I9,I19,I24,I14,I28)</f>
        <v>36</v>
      </c>
      <c r="J30" s="5319">
        <f>SUM(J9,J19,J24,J14,J28)</f>
        <v>30</v>
      </c>
      <c r="K30" s="5319">
        <f>SUM(K9,K19,K24,K14,K28)</f>
        <v>3</v>
      </c>
      <c r="L30" s="4899">
        <f>SUM(L9,L19,L24,L14,L28)</f>
        <v>74</v>
      </c>
      <c r="M30" s="5197">
        <f t="shared" si="0"/>
        <v>0.68518518518518523</v>
      </c>
      <c r="N30" s="4025">
        <f t="shared" si="1"/>
        <v>0.31481481481481477</v>
      </c>
    </row>
    <row r="31" spans="1:14" x14ac:dyDescent="0.25">
      <c r="A31" s="5195"/>
      <c r="B31" s="5195"/>
      <c r="C31" s="5195"/>
      <c r="D31" s="5195"/>
      <c r="E31" s="5195"/>
      <c r="F31" s="5195"/>
      <c r="G31" s="5195"/>
      <c r="H31" s="5195"/>
      <c r="I31" s="5195"/>
      <c r="J31" s="5195"/>
      <c r="K31" s="5195"/>
      <c r="L31" s="5195"/>
      <c r="M31" s="5195"/>
      <c r="N31" s="4038"/>
    </row>
    <row r="32" spans="1:14" ht="15.75" thickBot="1" x14ac:dyDescent="0.3">
      <c r="A32" s="6555" t="s">
        <v>1171</v>
      </c>
      <c r="B32" s="6556"/>
      <c r="C32" s="5198">
        <v>2</v>
      </c>
      <c r="D32" s="4040">
        <v>45</v>
      </c>
      <c r="E32" s="4040">
        <v>27</v>
      </c>
      <c r="F32" s="4041">
        <f>SUM(C32:E32)</f>
        <v>74</v>
      </c>
      <c r="G32" s="5195"/>
      <c r="H32" s="5195"/>
      <c r="I32" s="5195"/>
      <c r="J32" s="6557" t="s">
        <v>1173</v>
      </c>
      <c r="K32" s="6557"/>
      <c r="L32" s="4042">
        <f>F30-L30</f>
        <v>34</v>
      </c>
      <c r="M32" s="5195"/>
      <c r="N32" s="4038"/>
    </row>
    <row r="33" spans="1:14" ht="18.75" x14ac:dyDescent="0.3">
      <c r="A33" s="5173"/>
      <c r="B33" s="5173"/>
      <c r="C33" s="5173"/>
      <c r="D33" s="5173"/>
      <c r="E33" s="5173"/>
      <c r="F33" s="5173"/>
      <c r="G33" s="5173"/>
      <c r="H33" s="5173"/>
      <c r="I33" s="5173"/>
      <c r="J33" s="5173"/>
      <c r="K33" s="5173"/>
      <c r="L33" s="5173"/>
      <c r="M33" s="5173"/>
      <c r="N33" s="3120"/>
    </row>
    <row r="34" spans="1:14" ht="18.75" x14ac:dyDescent="0.3">
      <c r="A34" s="5173"/>
      <c r="B34" s="5173"/>
      <c r="C34" s="5173"/>
      <c r="D34" s="5173"/>
      <c r="E34" s="5173"/>
      <c r="F34" s="5173"/>
      <c r="G34" s="5173"/>
      <c r="H34" s="5173"/>
      <c r="I34" s="5173"/>
      <c r="J34" s="5173"/>
      <c r="K34" s="5173"/>
      <c r="L34" s="5173"/>
      <c r="M34" s="5173"/>
      <c r="N34" s="3120"/>
    </row>
    <row r="35" spans="1:14" ht="15" customHeight="1" x14ac:dyDescent="0.25">
      <c r="A35" s="6637" t="s">
        <v>51</v>
      </c>
      <c r="B35" s="6637" t="s">
        <v>685</v>
      </c>
      <c r="C35" s="6638" t="s">
        <v>1497</v>
      </c>
      <c r="D35" s="6639"/>
      <c r="E35" s="6639"/>
      <c r="F35" s="6640"/>
      <c r="G35" s="4816"/>
      <c r="H35" s="6638" t="s">
        <v>1498</v>
      </c>
      <c r="I35" s="6639"/>
      <c r="J35" s="6639"/>
      <c r="K35" s="6639"/>
      <c r="L35" s="6639"/>
      <c r="M35" s="6640"/>
      <c r="N35" s="6573" t="s">
        <v>1084</v>
      </c>
    </row>
    <row r="36" spans="1:14" ht="30" x14ac:dyDescent="0.25">
      <c r="A36" s="6084"/>
      <c r="B36" s="6084"/>
      <c r="C36" s="5172" t="s">
        <v>801</v>
      </c>
      <c r="D36" s="5172" t="s">
        <v>616</v>
      </c>
      <c r="E36" s="5172" t="s">
        <v>617</v>
      </c>
      <c r="F36" s="3998" t="s">
        <v>12</v>
      </c>
      <c r="G36" s="4816"/>
      <c r="H36" s="5172" t="s">
        <v>1172</v>
      </c>
      <c r="I36" s="5172" t="s">
        <v>1162</v>
      </c>
      <c r="J36" s="5172" t="s">
        <v>1163</v>
      </c>
      <c r="K36" s="5172" t="s">
        <v>1164</v>
      </c>
      <c r="L36" s="4818" t="s">
        <v>12</v>
      </c>
      <c r="M36" s="4819" t="s">
        <v>1083</v>
      </c>
      <c r="N36" s="6574"/>
    </row>
    <row r="37" spans="1:14" ht="15" customHeight="1" x14ac:dyDescent="0.25">
      <c r="A37" s="2984"/>
      <c r="B37" s="2984"/>
      <c r="C37" s="4816"/>
      <c r="D37" s="4816"/>
      <c r="E37" s="4816"/>
      <c r="F37" s="2984"/>
      <c r="G37" s="4816"/>
      <c r="H37" s="2984"/>
      <c r="I37" s="4816"/>
      <c r="J37" s="4816"/>
      <c r="K37" s="4816"/>
      <c r="L37" s="4889"/>
      <c r="M37" s="4889"/>
      <c r="N37" s="4001"/>
    </row>
    <row r="38" spans="1:14" ht="15" customHeight="1" x14ac:dyDescent="0.25">
      <c r="A38" s="6159" t="s">
        <v>3</v>
      </c>
      <c r="B38" s="2986" t="s">
        <v>5</v>
      </c>
      <c r="C38" s="4890"/>
      <c r="D38" s="4891">
        <v>5</v>
      </c>
      <c r="E38" s="4891">
        <v>4</v>
      </c>
      <c r="F38" s="4004">
        <f>SUM(C38:E38)</f>
        <v>9</v>
      </c>
      <c r="G38" s="4816"/>
      <c r="H38" s="4005"/>
      <c r="I38" s="4006">
        <v>4</v>
      </c>
      <c r="J38" s="4005">
        <v>2</v>
      </c>
      <c r="K38" s="4007">
        <v>1</v>
      </c>
      <c r="L38" s="4892">
        <f>SUM(H38:K38)</f>
        <v>7</v>
      </c>
      <c r="M38" s="3137">
        <f>L38/F38</f>
        <v>0.77777777777777779</v>
      </c>
      <c r="N38" s="3138">
        <f>1-M38</f>
        <v>0.22222222222222221</v>
      </c>
    </row>
    <row r="39" spans="1:14" ht="15" customHeight="1" x14ac:dyDescent="0.25">
      <c r="A39" s="6072"/>
      <c r="B39" s="2990" t="s">
        <v>6</v>
      </c>
      <c r="C39" s="4893">
        <v>3</v>
      </c>
      <c r="D39" s="4894">
        <v>5</v>
      </c>
      <c r="E39" s="4894">
        <v>2</v>
      </c>
      <c r="F39" s="4010">
        <f>SUM(C39:E39)</f>
        <v>10</v>
      </c>
      <c r="G39" s="4816"/>
      <c r="H39" s="4011"/>
      <c r="I39" s="4012">
        <v>2</v>
      </c>
      <c r="J39" s="4013">
        <v>5</v>
      </c>
      <c r="K39" s="4014">
        <v>1</v>
      </c>
      <c r="L39" s="4895">
        <f>SUM(H39:K39)</f>
        <v>8</v>
      </c>
      <c r="M39" s="3147">
        <f t="shared" ref="M39:M62" si="2">L39/F39</f>
        <v>0.8</v>
      </c>
      <c r="N39" s="3148">
        <f t="shared" ref="N39:N62" si="3">1-M39</f>
        <v>0.19999999999999996</v>
      </c>
    </row>
    <row r="40" spans="1:14" ht="15" customHeight="1" x14ac:dyDescent="0.25">
      <c r="A40" s="6072"/>
      <c r="B40" s="2994" t="s">
        <v>7</v>
      </c>
      <c r="C40" s="4896">
        <v>1</v>
      </c>
      <c r="D40" s="4897">
        <v>6</v>
      </c>
      <c r="E40" s="4897">
        <v>3</v>
      </c>
      <c r="F40" s="4017">
        <f>SUM(C40:E40)</f>
        <v>10</v>
      </c>
      <c r="G40" s="4816"/>
      <c r="H40" s="4018"/>
      <c r="I40" s="4019"/>
      <c r="J40" s="4018">
        <v>3</v>
      </c>
      <c r="K40" s="4020"/>
      <c r="L40" s="4898">
        <f>SUM(H40:K40)</f>
        <v>3</v>
      </c>
      <c r="M40" s="3156">
        <f t="shared" si="2"/>
        <v>0.3</v>
      </c>
      <c r="N40" s="3157">
        <f t="shared" si="3"/>
        <v>0.7</v>
      </c>
    </row>
    <row r="41" spans="1:14" ht="15" customHeight="1" x14ac:dyDescent="0.25">
      <c r="A41" s="6073"/>
      <c r="B41" s="4021" t="s">
        <v>12</v>
      </c>
      <c r="C41" s="4021">
        <f>SUM(C38:C40)</f>
        <v>4</v>
      </c>
      <c r="D41" s="4021">
        <f>SUM(D38:D40)</f>
        <v>16</v>
      </c>
      <c r="E41" s="4021">
        <f>SUM(E38:E40)</f>
        <v>9</v>
      </c>
      <c r="F41" s="4764">
        <f>SUM(F38:F40)</f>
        <v>29</v>
      </c>
      <c r="G41" s="4816"/>
      <c r="H41" s="4764">
        <f>SUM(H38:H40)</f>
        <v>0</v>
      </c>
      <c r="I41" s="4899">
        <f>SUM(I38:I40)</f>
        <v>6</v>
      </c>
      <c r="J41" s="4899">
        <f>SUM(J38:J40)</f>
        <v>10</v>
      </c>
      <c r="K41" s="4899">
        <f>SUM(K38:K40)</f>
        <v>2</v>
      </c>
      <c r="L41" s="4899">
        <f>SUM(L38:L40)</f>
        <v>18</v>
      </c>
      <c r="M41" s="4900">
        <f t="shared" si="2"/>
        <v>0.62068965517241381</v>
      </c>
      <c r="N41" s="4025">
        <f t="shared" si="3"/>
        <v>0.37931034482758619</v>
      </c>
    </row>
    <row r="42" spans="1:14" ht="15" customHeight="1" x14ac:dyDescent="0.25">
      <c r="A42" s="4026"/>
      <c r="B42" s="4026"/>
      <c r="C42" s="4026"/>
      <c r="D42" s="4026"/>
      <c r="E42" s="4026"/>
      <c r="F42" s="4026"/>
      <c r="G42" s="4026"/>
      <c r="H42" s="4026"/>
      <c r="I42" s="4026"/>
      <c r="J42" s="4026"/>
      <c r="K42" s="4026"/>
      <c r="L42" s="4026"/>
      <c r="M42" s="4026"/>
      <c r="N42" s="4026"/>
    </row>
    <row r="43" spans="1:14" ht="15" customHeight="1" x14ac:dyDescent="0.25">
      <c r="A43" s="6649" t="s">
        <v>8</v>
      </c>
      <c r="B43" s="2986" t="s">
        <v>6</v>
      </c>
      <c r="C43" s="4890"/>
      <c r="D43" s="4891">
        <v>1</v>
      </c>
      <c r="E43" s="4891">
        <v>1</v>
      </c>
      <c r="F43" s="4004">
        <f>SUM(C43:E43)</f>
        <v>2</v>
      </c>
      <c r="G43" s="4816"/>
      <c r="H43" s="4005"/>
      <c r="I43" s="4006"/>
      <c r="J43" s="4005">
        <v>1</v>
      </c>
      <c r="K43" s="4027">
        <v>1</v>
      </c>
      <c r="L43" s="4892">
        <f>SUM(H43:K43)</f>
        <v>2</v>
      </c>
      <c r="M43" s="3137">
        <f>L43/F43</f>
        <v>1</v>
      </c>
      <c r="N43" s="3138">
        <f>1-M43</f>
        <v>0</v>
      </c>
    </row>
    <row r="44" spans="1:14" ht="15" customHeight="1" x14ac:dyDescent="0.25">
      <c r="A44" s="6560"/>
      <c r="B44" s="2990" t="s">
        <v>9</v>
      </c>
      <c r="C44" s="4893"/>
      <c r="D44" s="4894">
        <v>1</v>
      </c>
      <c r="E44" s="4894"/>
      <c r="F44" s="4010">
        <f>SUM(C44:E44)</f>
        <v>1</v>
      </c>
      <c r="G44" s="4816"/>
      <c r="H44" s="4011"/>
      <c r="I44" s="4012"/>
      <c r="J44" s="4011"/>
      <c r="K44" s="4014">
        <v>1</v>
      </c>
      <c r="L44" s="4895">
        <f>SUM(H44:K44)</f>
        <v>1</v>
      </c>
      <c r="M44" s="3147">
        <f>L44/F44</f>
        <v>1</v>
      </c>
      <c r="N44" s="3148">
        <f>1-M44</f>
        <v>0</v>
      </c>
    </row>
    <row r="45" spans="1:14" ht="15" customHeight="1" x14ac:dyDescent="0.25">
      <c r="A45" s="6560"/>
      <c r="B45" s="2994" t="s">
        <v>74</v>
      </c>
      <c r="C45" s="4896">
        <v>1</v>
      </c>
      <c r="D45" s="4897">
        <v>1</v>
      </c>
      <c r="E45" s="4897">
        <v>1</v>
      </c>
      <c r="F45" s="4017">
        <f>SUM(C45:E45)</f>
        <v>3</v>
      </c>
      <c r="G45" s="4816"/>
      <c r="H45" s="4018"/>
      <c r="I45" s="4019"/>
      <c r="J45" s="4018"/>
      <c r="K45" s="4020">
        <v>2</v>
      </c>
      <c r="L45" s="4898">
        <f>SUM(H45:K45)</f>
        <v>2</v>
      </c>
      <c r="M45" s="3156">
        <f>L45/F45</f>
        <v>0.66666666666666663</v>
      </c>
      <c r="N45" s="3157">
        <f>1-M45</f>
        <v>0.33333333333333337</v>
      </c>
    </row>
    <row r="46" spans="1:14" ht="15" customHeight="1" x14ac:dyDescent="0.25">
      <c r="A46" s="6561"/>
      <c r="B46" s="4021" t="s">
        <v>12</v>
      </c>
      <c r="C46" s="4021">
        <f>SUM(C43:C45)</f>
        <v>1</v>
      </c>
      <c r="D46" s="4021">
        <f>SUM(D43:D45)</f>
        <v>3</v>
      </c>
      <c r="E46" s="4021">
        <f>SUM(E43:E45)</f>
        <v>2</v>
      </c>
      <c r="F46" s="4764">
        <f>SUM(F43:F45)</f>
        <v>6</v>
      </c>
      <c r="G46" s="4816"/>
      <c r="H46" s="4899">
        <f>SUM(H43:H45)</f>
        <v>0</v>
      </c>
      <c r="I46" s="4899">
        <f>SUM(I43:I45)</f>
        <v>0</v>
      </c>
      <c r="J46" s="4899">
        <f>SUM(J43:J45)</f>
        <v>1</v>
      </c>
      <c r="K46" s="4899">
        <f>SUM(K43:K45)</f>
        <v>4</v>
      </c>
      <c r="L46" s="4899">
        <f>SUM(L43:L45)</f>
        <v>5</v>
      </c>
      <c r="M46" s="4900">
        <f>L46/F46</f>
        <v>0.83333333333333337</v>
      </c>
      <c r="N46" s="4025">
        <f>1-M46</f>
        <v>0.16666666666666663</v>
      </c>
    </row>
    <row r="47" spans="1:14" ht="15" customHeight="1" x14ac:dyDescent="0.25">
      <c r="A47" s="4816"/>
      <c r="B47" s="4816"/>
      <c r="C47" s="4816"/>
      <c r="D47" s="4816"/>
      <c r="E47" s="4816"/>
      <c r="F47" s="4028"/>
      <c r="G47" s="4816"/>
      <c r="H47" s="4816"/>
      <c r="I47" s="4816"/>
      <c r="J47" s="4816"/>
      <c r="K47" s="4816"/>
      <c r="L47" s="4901"/>
      <c r="M47" s="4826"/>
      <c r="N47" s="4029"/>
    </row>
    <row r="48" spans="1:14" ht="15" customHeight="1" x14ac:dyDescent="0.25">
      <c r="A48" s="6161" t="s">
        <v>75</v>
      </c>
      <c r="B48" s="2986" t="s">
        <v>5</v>
      </c>
      <c r="C48" s="4890">
        <v>1</v>
      </c>
      <c r="D48" s="4891">
        <v>8</v>
      </c>
      <c r="E48" s="4891">
        <v>7</v>
      </c>
      <c r="F48" s="4004">
        <f>SUM(C48:E48)</f>
        <v>16</v>
      </c>
      <c r="G48" s="4816"/>
      <c r="H48" s="4005"/>
      <c r="I48" s="4030">
        <v>9</v>
      </c>
      <c r="J48" s="4031">
        <v>2</v>
      </c>
      <c r="K48" s="4027">
        <v>3</v>
      </c>
      <c r="L48" s="4892">
        <f>SUM(I48:K48)</f>
        <v>14</v>
      </c>
      <c r="M48" s="3137">
        <f t="shared" si="2"/>
        <v>0.875</v>
      </c>
      <c r="N48" s="3138">
        <f t="shared" si="3"/>
        <v>0.125</v>
      </c>
    </row>
    <row r="49" spans="1:14" ht="15" customHeight="1" x14ac:dyDescent="0.25">
      <c r="A49" s="6078"/>
      <c r="B49" s="2990" t="s">
        <v>6</v>
      </c>
      <c r="C49" s="4893">
        <v>1</v>
      </c>
      <c r="D49" s="4894">
        <v>3</v>
      </c>
      <c r="E49" s="4894">
        <v>3</v>
      </c>
      <c r="F49" s="4010">
        <f>SUM(C49:E49)</f>
        <v>7</v>
      </c>
      <c r="G49" s="4816"/>
      <c r="H49" s="4011">
        <v>3</v>
      </c>
      <c r="I49" s="4012">
        <v>1</v>
      </c>
      <c r="J49" s="4011">
        <v>2</v>
      </c>
      <c r="K49" s="4014"/>
      <c r="L49" s="4895">
        <f>SUM(H49:K49)</f>
        <v>6</v>
      </c>
      <c r="M49" s="3147">
        <f t="shared" si="2"/>
        <v>0.8571428571428571</v>
      </c>
      <c r="N49" s="3148">
        <f t="shared" si="3"/>
        <v>0.1428571428571429</v>
      </c>
    </row>
    <row r="50" spans="1:14" ht="15" customHeight="1" x14ac:dyDescent="0.25">
      <c r="A50" s="6078"/>
      <c r="B50" s="2994" t="s">
        <v>11</v>
      </c>
      <c r="C50" s="4896">
        <v>2</v>
      </c>
      <c r="D50" s="4897">
        <v>4</v>
      </c>
      <c r="E50" s="4897">
        <v>2</v>
      </c>
      <c r="F50" s="4017">
        <f>SUM(C50:E50)</f>
        <v>8</v>
      </c>
      <c r="G50" s="4816"/>
      <c r="H50" s="4018">
        <v>2</v>
      </c>
      <c r="I50" s="4019">
        <v>3</v>
      </c>
      <c r="J50" s="4018">
        <v>1</v>
      </c>
      <c r="K50" s="4020"/>
      <c r="L50" s="4898">
        <f>SUM(H50:K50)</f>
        <v>6</v>
      </c>
      <c r="M50" s="3156">
        <f t="shared" si="2"/>
        <v>0.75</v>
      </c>
      <c r="N50" s="3157">
        <f t="shared" si="3"/>
        <v>0.25</v>
      </c>
    </row>
    <row r="51" spans="1:14" ht="15" customHeight="1" x14ac:dyDescent="0.25">
      <c r="A51" s="6079"/>
      <c r="B51" s="4021" t="s">
        <v>12</v>
      </c>
      <c r="C51" s="4021">
        <f>SUM(C48:C50)</f>
        <v>4</v>
      </c>
      <c r="D51" s="4021">
        <f>SUM(D48:D50)</f>
        <v>15</v>
      </c>
      <c r="E51" s="4021">
        <f>SUM(E48:E50)</f>
        <v>12</v>
      </c>
      <c r="F51" s="4764">
        <f>SUM(F48:F50)</f>
        <v>31</v>
      </c>
      <c r="G51" s="4816"/>
      <c r="H51" s="4899">
        <f>SUM(H48:H50)</f>
        <v>5</v>
      </c>
      <c r="I51" s="4899">
        <f>SUM(I48:I50)</f>
        <v>13</v>
      </c>
      <c r="J51" s="4899">
        <f>SUM(J48:J50)</f>
        <v>5</v>
      </c>
      <c r="K51" s="4899">
        <f>SUM(K48:K50)</f>
        <v>3</v>
      </c>
      <c r="L51" s="4899">
        <f>SUM(L48:L50)</f>
        <v>26</v>
      </c>
      <c r="M51" s="4900">
        <f t="shared" si="2"/>
        <v>0.83870967741935487</v>
      </c>
      <c r="N51" s="4025">
        <f t="shared" si="3"/>
        <v>0.16129032258064513</v>
      </c>
    </row>
    <row r="52" spans="1:14" ht="15" customHeight="1" x14ac:dyDescent="0.25">
      <c r="A52" s="3004"/>
      <c r="B52" s="3005"/>
      <c r="C52" s="4817"/>
      <c r="D52" s="4817"/>
      <c r="E52" s="4817"/>
      <c r="F52" s="4033"/>
      <c r="G52" s="4816"/>
      <c r="H52" s="4034"/>
      <c r="I52" s="4034"/>
      <c r="J52" s="4034"/>
      <c r="K52" s="3175"/>
      <c r="L52" s="4902"/>
      <c r="M52" s="4903"/>
      <c r="N52" s="3178"/>
    </row>
    <row r="53" spans="1:14" ht="15" customHeight="1" x14ac:dyDescent="0.25">
      <c r="A53" s="6163" t="s">
        <v>10</v>
      </c>
      <c r="B53" s="2986" t="s">
        <v>6</v>
      </c>
      <c r="C53" s="4890">
        <v>1</v>
      </c>
      <c r="D53" s="4891">
        <v>8</v>
      </c>
      <c r="E53" s="4891">
        <v>2</v>
      </c>
      <c r="F53" s="4004">
        <v>11</v>
      </c>
      <c r="G53" s="4816"/>
      <c r="H53" s="4005">
        <v>1</v>
      </c>
      <c r="I53" s="4006">
        <v>4</v>
      </c>
      <c r="J53" s="4005">
        <v>5</v>
      </c>
      <c r="K53" s="4027"/>
      <c r="L53" s="4892">
        <f>SUM(H53:K53)</f>
        <v>10</v>
      </c>
      <c r="M53" s="3137">
        <f t="shared" si="2"/>
        <v>0.90909090909090906</v>
      </c>
      <c r="N53" s="3138">
        <f t="shared" si="3"/>
        <v>9.0909090909090939E-2</v>
      </c>
    </row>
    <row r="54" spans="1:14" ht="15" customHeight="1" x14ac:dyDescent="0.25">
      <c r="A54" s="6067"/>
      <c r="B54" s="2990" t="s">
        <v>11</v>
      </c>
      <c r="C54" s="4893">
        <v>3</v>
      </c>
      <c r="D54" s="4894">
        <v>8</v>
      </c>
      <c r="E54" s="4894">
        <v>2</v>
      </c>
      <c r="F54" s="4010">
        <f>SUM(C54:E54)</f>
        <v>13</v>
      </c>
      <c r="G54" s="4816"/>
      <c r="H54" s="4011"/>
      <c r="I54" s="4012">
        <v>4</v>
      </c>
      <c r="J54" s="4011">
        <v>2</v>
      </c>
      <c r="K54" s="4014">
        <v>1</v>
      </c>
      <c r="L54" s="4895">
        <f>SUM(I54:K54)</f>
        <v>7</v>
      </c>
      <c r="M54" s="3147">
        <f t="shared" si="2"/>
        <v>0.53846153846153844</v>
      </c>
      <c r="N54" s="3148">
        <f t="shared" si="3"/>
        <v>0.46153846153846156</v>
      </c>
    </row>
    <row r="55" spans="1:14" ht="15" customHeight="1" x14ac:dyDescent="0.25">
      <c r="A55" s="6067"/>
      <c r="B55" s="2994" t="s">
        <v>7</v>
      </c>
      <c r="C55" s="4896"/>
      <c r="D55" s="4897">
        <v>3</v>
      </c>
      <c r="E55" s="4897">
        <v>1</v>
      </c>
      <c r="F55" s="4017">
        <f>SUM(C55:E55)</f>
        <v>4</v>
      </c>
      <c r="G55" s="4816"/>
      <c r="H55" s="4018"/>
      <c r="I55" s="4019">
        <v>1</v>
      </c>
      <c r="J55" s="4018">
        <v>2</v>
      </c>
      <c r="K55" s="4020"/>
      <c r="L55" s="4898">
        <f>SUM(I55:K55)</f>
        <v>3</v>
      </c>
      <c r="M55" s="3156">
        <f t="shared" si="2"/>
        <v>0.75</v>
      </c>
      <c r="N55" s="3157">
        <f t="shared" si="3"/>
        <v>0.25</v>
      </c>
    </row>
    <row r="56" spans="1:14" ht="15" customHeight="1" x14ac:dyDescent="0.25">
      <c r="A56" s="6068"/>
      <c r="B56" s="4021" t="s">
        <v>12</v>
      </c>
      <c r="C56" s="4021">
        <f>SUM(C53:C55)</f>
        <v>4</v>
      </c>
      <c r="D56" s="4021">
        <f>SUM(D53:D55)</f>
        <v>19</v>
      </c>
      <c r="E56" s="4021">
        <f>SUM(E53:E55)</f>
        <v>5</v>
      </c>
      <c r="F56" s="4764">
        <f>SUM(F53:F55)</f>
        <v>28</v>
      </c>
      <c r="G56" s="4816"/>
      <c r="H56" s="4899">
        <f>SUM(H53:H55)</f>
        <v>1</v>
      </c>
      <c r="I56" s="4899">
        <f>SUM(I53:I55)</f>
        <v>9</v>
      </c>
      <c r="J56" s="4899">
        <f>SUM(J53:J55)</f>
        <v>9</v>
      </c>
      <c r="K56" s="4899">
        <f>SUM(K53:K55)</f>
        <v>1</v>
      </c>
      <c r="L56" s="4899">
        <f>SUM(L53:L55)</f>
        <v>20</v>
      </c>
      <c r="M56" s="4900">
        <f t="shared" si="2"/>
        <v>0.7142857142857143</v>
      </c>
      <c r="N56" s="4025">
        <f t="shared" si="3"/>
        <v>0.2857142857142857</v>
      </c>
    </row>
    <row r="57" spans="1:14" ht="15" customHeight="1" x14ac:dyDescent="0.25">
      <c r="A57" s="4035"/>
      <c r="B57" s="4035"/>
      <c r="C57" s="4035"/>
      <c r="D57" s="4035"/>
      <c r="E57" s="4035"/>
      <c r="F57" s="4035"/>
      <c r="G57" s="4035"/>
      <c r="H57" s="4035"/>
      <c r="I57" s="4035"/>
      <c r="J57" s="4035"/>
      <c r="K57" s="4035"/>
      <c r="L57" s="4035"/>
      <c r="M57" s="4035"/>
      <c r="N57" s="4036"/>
    </row>
    <row r="58" spans="1:14" ht="15" customHeight="1" x14ac:dyDescent="0.25">
      <c r="A58" s="6650" t="s">
        <v>1169</v>
      </c>
      <c r="B58" s="2986" t="s">
        <v>6</v>
      </c>
      <c r="C58" s="4890"/>
      <c r="D58" s="4891">
        <v>2</v>
      </c>
      <c r="E58" s="4891">
        <v>2</v>
      </c>
      <c r="F58" s="4004">
        <f>SUM(C58:E58)</f>
        <v>4</v>
      </c>
      <c r="G58" s="4816"/>
      <c r="H58" s="4005"/>
      <c r="I58" s="4006">
        <v>3</v>
      </c>
      <c r="J58" s="4005">
        <v>1</v>
      </c>
      <c r="K58" s="4027"/>
      <c r="L58" s="4892">
        <f>SUM(H58:K58)</f>
        <v>4</v>
      </c>
      <c r="M58" s="3137">
        <f>L58/F58</f>
        <v>1</v>
      </c>
      <c r="N58" s="3138">
        <f>1-M58</f>
        <v>0</v>
      </c>
    </row>
    <row r="59" spans="1:14" ht="15" customHeight="1" x14ac:dyDescent="0.25">
      <c r="A59" s="6565"/>
      <c r="B59" s="2990" t="s">
        <v>1170</v>
      </c>
      <c r="C59" s="4893"/>
      <c r="D59" s="4894"/>
      <c r="E59" s="4894">
        <v>1</v>
      </c>
      <c r="F59" s="4010">
        <f>SUM(C59:E59)</f>
        <v>1</v>
      </c>
      <c r="G59" s="4816"/>
      <c r="H59" s="4011"/>
      <c r="I59" s="4012">
        <v>1</v>
      </c>
      <c r="J59" s="4011"/>
      <c r="K59" s="4014"/>
      <c r="L59" s="4895">
        <f>SUM(H59:K59)</f>
        <v>1</v>
      </c>
      <c r="M59" s="3147">
        <f>L59/F59</f>
        <v>1</v>
      </c>
      <c r="N59" s="3148">
        <f>1-M59</f>
        <v>0</v>
      </c>
    </row>
    <row r="60" spans="1:14" ht="15" customHeight="1" x14ac:dyDescent="0.25">
      <c r="A60" s="6566"/>
      <c r="B60" s="4021" t="s">
        <v>12</v>
      </c>
      <c r="C60" s="4021">
        <f>SUM(C58:C59)</f>
        <v>0</v>
      </c>
      <c r="D60" s="4021">
        <f>SUM(D58:D59)</f>
        <v>2</v>
      </c>
      <c r="E60" s="4021">
        <f>SUM(E58:E59)</f>
        <v>3</v>
      </c>
      <c r="F60" s="4764">
        <f>SUM(F58:F59)</f>
        <v>5</v>
      </c>
      <c r="G60" s="4816"/>
      <c r="H60" s="4899">
        <f>SUM(H58:H59)</f>
        <v>0</v>
      </c>
      <c r="I60" s="4899">
        <f>SUM(I58:I59)</f>
        <v>4</v>
      </c>
      <c r="J60" s="4899">
        <f>SUM(J58:J59)</f>
        <v>1</v>
      </c>
      <c r="K60" s="4899">
        <f>SUM(K58:K59)</f>
        <v>0</v>
      </c>
      <c r="L60" s="4899">
        <f>SUM(L58:L59)</f>
        <v>5</v>
      </c>
      <c r="M60" s="4900">
        <f>L60/F60</f>
        <v>1</v>
      </c>
      <c r="N60" s="4025">
        <f>1-M60</f>
        <v>0</v>
      </c>
    </row>
    <row r="61" spans="1:14" ht="15" customHeight="1" x14ac:dyDescent="0.25">
      <c r="A61" s="3005"/>
      <c r="B61" s="3005"/>
      <c r="C61" s="4817"/>
      <c r="D61" s="4817"/>
      <c r="E61" s="4817"/>
      <c r="F61" s="4033"/>
      <c r="G61" s="4816"/>
      <c r="H61" s="4034"/>
      <c r="I61" s="4034"/>
      <c r="J61" s="4034"/>
      <c r="K61" s="3175"/>
      <c r="L61" s="4902"/>
      <c r="M61" s="4903"/>
      <c r="N61" s="3178"/>
    </row>
    <row r="62" spans="1:14" ht="15" customHeight="1" x14ac:dyDescent="0.25">
      <c r="A62" s="6567" t="s">
        <v>60</v>
      </c>
      <c r="B62" s="6567"/>
      <c r="C62" s="4021">
        <f>SUM(C41,C51,C56,C46,C60)</f>
        <v>13</v>
      </c>
      <c r="D62" s="4021">
        <f>SUM(D41,D51,D56,D46,D60)</f>
        <v>55</v>
      </c>
      <c r="E62" s="4021">
        <f>SUM(E41,E51,E56,E46,E60)</f>
        <v>31</v>
      </c>
      <c r="F62" s="4021">
        <f>SUM(F41,F51,F56,F46,F60)</f>
        <v>99</v>
      </c>
      <c r="G62" s="4816"/>
      <c r="H62" s="4764">
        <f>SUM(H41,H51,H56,H46,H60)</f>
        <v>6</v>
      </c>
      <c r="I62" s="4764">
        <f>SUM(I41,I51,I56,I46,I60)</f>
        <v>32</v>
      </c>
      <c r="J62" s="4764">
        <f>SUM(J41,J51,J56,J46,J60)</f>
        <v>26</v>
      </c>
      <c r="K62" s="4764">
        <f>SUM(K41,K51,K56,K46,K60)</f>
        <v>10</v>
      </c>
      <c r="L62" s="4899">
        <f>SUM(L41,L51,L56,L46,L60)</f>
        <v>74</v>
      </c>
      <c r="M62" s="4904">
        <f t="shared" si="2"/>
        <v>0.74747474747474751</v>
      </c>
      <c r="N62" s="4025">
        <f t="shared" si="3"/>
        <v>0.25252525252525249</v>
      </c>
    </row>
    <row r="63" spans="1:14" ht="15" customHeight="1" x14ac:dyDescent="0.25">
      <c r="A63" s="4816"/>
      <c r="B63" s="4816"/>
      <c r="C63" s="4816"/>
      <c r="D63" s="4816"/>
      <c r="E63" s="4816"/>
      <c r="F63" s="4816"/>
      <c r="G63" s="4816"/>
      <c r="H63" s="4816"/>
      <c r="I63" s="4816"/>
      <c r="J63" s="4816"/>
      <c r="K63" s="4816"/>
      <c r="L63" s="4816"/>
      <c r="M63" s="4816"/>
      <c r="N63" s="4038"/>
    </row>
    <row r="64" spans="1:14" ht="15" customHeight="1" thickBot="1" x14ac:dyDescent="0.3">
      <c r="A64" s="6647" t="s">
        <v>1171</v>
      </c>
      <c r="B64" s="6648"/>
      <c r="C64" s="4905">
        <v>2</v>
      </c>
      <c r="D64" s="4040">
        <v>45</v>
      </c>
      <c r="E64" s="4040">
        <v>27</v>
      </c>
      <c r="F64" s="4041">
        <f>SUM(C64:E64)</f>
        <v>74</v>
      </c>
      <c r="G64" s="4816"/>
      <c r="H64" s="4816"/>
      <c r="I64" s="4816"/>
      <c r="J64" s="6557" t="s">
        <v>1173</v>
      </c>
      <c r="K64" s="6641"/>
      <c r="L64" s="4042">
        <f>F62-L62</f>
        <v>25</v>
      </c>
      <c r="M64" s="4816"/>
      <c r="N64" s="4038"/>
    </row>
    <row r="65" spans="1:14" ht="15" customHeight="1" x14ac:dyDescent="0.3">
      <c r="A65" s="4763"/>
      <c r="B65" s="4763"/>
      <c r="C65" s="4763"/>
      <c r="D65" s="4763"/>
      <c r="E65" s="4763"/>
      <c r="F65" s="4763"/>
      <c r="G65" s="4763"/>
      <c r="H65" s="4763"/>
      <c r="I65" s="4763"/>
      <c r="J65" s="4763"/>
      <c r="K65" s="4763"/>
      <c r="L65" s="4763"/>
      <c r="M65" s="4763"/>
      <c r="N65" s="3120"/>
    </row>
    <row r="66" spans="1:14" ht="15" customHeight="1" x14ac:dyDescent="0.3">
      <c r="A66" s="4763"/>
      <c r="B66" s="4763"/>
      <c r="C66" s="4763"/>
      <c r="D66" s="4763"/>
      <c r="E66" s="4763"/>
      <c r="F66" s="4763"/>
      <c r="G66" s="4763"/>
      <c r="H66" s="4763"/>
      <c r="I66" s="4763"/>
      <c r="J66" s="4763"/>
      <c r="K66" s="4763"/>
      <c r="L66" s="4763"/>
      <c r="M66" s="4763"/>
      <c r="N66" s="3120"/>
    </row>
    <row r="67" spans="1:14" ht="15" customHeight="1" x14ac:dyDescent="0.3">
      <c r="A67" s="4763"/>
      <c r="B67" s="4763"/>
      <c r="C67" s="4763"/>
      <c r="D67" s="4763"/>
      <c r="E67" s="4763"/>
      <c r="F67" s="4763"/>
      <c r="G67" s="4763"/>
      <c r="H67" s="4763"/>
      <c r="I67" s="4763"/>
      <c r="J67" s="4763"/>
      <c r="K67" s="4763"/>
      <c r="L67" s="4763"/>
      <c r="M67" s="4763"/>
      <c r="N67" s="3120"/>
    </row>
    <row r="68" spans="1:14" x14ac:dyDescent="0.25">
      <c r="A68" s="6153" t="s">
        <v>51</v>
      </c>
      <c r="B68" s="6153" t="s">
        <v>685</v>
      </c>
      <c r="C68" s="6632" t="s">
        <v>1332</v>
      </c>
      <c r="D68" s="6633"/>
      <c r="E68" s="6633"/>
      <c r="F68" s="3995"/>
      <c r="G68" s="3996"/>
      <c r="H68" s="6632" t="s">
        <v>1333</v>
      </c>
      <c r="I68" s="6633"/>
      <c r="J68" s="6633"/>
      <c r="K68" s="6633"/>
      <c r="L68" s="6633"/>
      <c r="M68" s="6634"/>
      <c r="N68" s="3996"/>
    </row>
    <row r="69" spans="1:14" ht="30" x14ac:dyDescent="0.25">
      <c r="A69" s="6153"/>
      <c r="B69" s="6153"/>
      <c r="C69" s="3997" t="s">
        <v>801</v>
      </c>
      <c r="D69" s="3997" t="s">
        <v>616</v>
      </c>
      <c r="E69" s="3997" t="s">
        <v>617</v>
      </c>
      <c r="F69" s="3998" t="s">
        <v>12</v>
      </c>
      <c r="G69" s="3996"/>
      <c r="H69" s="3997" t="s">
        <v>1172</v>
      </c>
      <c r="I69" s="3997" t="s">
        <v>1162</v>
      </c>
      <c r="J69" s="3997" t="s">
        <v>1163</v>
      </c>
      <c r="K69" s="3997" t="s">
        <v>1164</v>
      </c>
      <c r="L69" s="3999" t="s">
        <v>12</v>
      </c>
      <c r="M69" s="3997" t="s">
        <v>1083</v>
      </c>
      <c r="N69" s="4000" t="s">
        <v>1084</v>
      </c>
    </row>
    <row r="70" spans="1:14" x14ac:dyDescent="0.25">
      <c r="A70" s="2984"/>
      <c r="B70" s="2984"/>
      <c r="C70" s="3996"/>
      <c r="D70" s="3996"/>
      <c r="E70" s="3996"/>
      <c r="F70" s="2984"/>
      <c r="G70" s="3996"/>
      <c r="H70" s="2984"/>
      <c r="I70" s="3996"/>
      <c r="J70" s="3996"/>
      <c r="K70" s="3996"/>
      <c r="L70" s="2984"/>
      <c r="M70" s="2984"/>
      <c r="N70" s="4001"/>
    </row>
    <row r="71" spans="1:14" x14ac:dyDescent="0.25">
      <c r="A71" s="6635" t="s">
        <v>3</v>
      </c>
      <c r="B71" s="2986" t="s">
        <v>5</v>
      </c>
      <c r="C71" s="4002"/>
      <c r="D71" s="4003">
        <v>5</v>
      </c>
      <c r="E71" s="4003">
        <v>4</v>
      </c>
      <c r="F71" s="4004">
        <f>SUM(C71:E71)</f>
        <v>9</v>
      </c>
      <c r="G71" s="3996"/>
      <c r="H71" s="4005"/>
      <c r="I71" s="4006">
        <v>2</v>
      </c>
      <c r="J71" s="4005">
        <v>2</v>
      </c>
      <c r="K71" s="4007">
        <v>3</v>
      </c>
      <c r="L71" s="4004">
        <f>SUM(H71:K71)</f>
        <v>7</v>
      </c>
      <c r="M71" s="3137">
        <f>L71/F71</f>
        <v>0.77777777777777779</v>
      </c>
      <c r="N71" s="3138">
        <f>1-M71</f>
        <v>0.22222222222222221</v>
      </c>
    </row>
    <row r="72" spans="1:14" x14ac:dyDescent="0.25">
      <c r="A72" s="6072"/>
      <c r="B72" s="2990" t="s">
        <v>6</v>
      </c>
      <c r="C72" s="4008">
        <v>3</v>
      </c>
      <c r="D72" s="4009">
        <v>5</v>
      </c>
      <c r="E72" s="4009">
        <v>2</v>
      </c>
      <c r="F72" s="4010">
        <f>SUM(C72:E72)</f>
        <v>10</v>
      </c>
      <c r="G72" s="3996"/>
      <c r="H72" s="4011"/>
      <c r="I72" s="4012">
        <v>3</v>
      </c>
      <c r="J72" s="4013">
        <v>4</v>
      </c>
      <c r="K72" s="4014">
        <v>1</v>
      </c>
      <c r="L72" s="4010">
        <f>SUM(H72:K72)</f>
        <v>8</v>
      </c>
      <c r="M72" s="3147">
        <f t="shared" ref="M72:M95" si="4">L72/F72</f>
        <v>0.8</v>
      </c>
      <c r="N72" s="3148">
        <f t="shared" ref="N72:N95" si="5">1-M72</f>
        <v>0.19999999999999996</v>
      </c>
    </row>
    <row r="73" spans="1:14" x14ac:dyDescent="0.25">
      <c r="A73" s="6072"/>
      <c r="B73" s="2994" t="s">
        <v>7</v>
      </c>
      <c r="C73" s="4015">
        <v>1</v>
      </c>
      <c r="D73" s="4016">
        <v>6</v>
      </c>
      <c r="E73" s="4016">
        <v>3</v>
      </c>
      <c r="F73" s="4017">
        <f>SUM(C73:E73)</f>
        <v>10</v>
      </c>
      <c r="G73" s="3996"/>
      <c r="H73" s="4018"/>
      <c r="I73" s="4019"/>
      <c r="J73" s="4018">
        <v>3</v>
      </c>
      <c r="K73" s="4020"/>
      <c r="L73" s="4017">
        <f>SUM(H73:K73)</f>
        <v>3</v>
      </c>
      <c r="M73" s="3156">
        <f t="shared" si="4"/>
        <v>0.3</v>
      </c>
      <c r="N73" s="3157">
        <f t="shared" si="5"/>
        <v>0.7</v>
      </c>
    </row>
    <row r="74" spans="1:14" x14ac:dyDescent="0.25">
      <c r="A74" s="6073"/>
      <c r="B74" s="4021" t="s">
        <v>12</v>
      </c>
      <c r="C74" s="4021">
        <f>SUM(C71:C73)</f>
        <v>4</v>
      </c>
      <c r="D74" s="4021">
        <f>SUM(D71:D73)</f>
        <v>16</v>
      </c>
      <c r="E74" s="4021">
        <f>SUM(E71:E73)</f>
        <v>9</v>
      </c>
      <c r="F74" s="4022">
        <f>SUM(F71:F73)</f>
        <v>29</v>
      </c>
      <c r="G74" s="3996"/>
      <c r="H74" s="4022">
        <f>SUM(H71:H73)</f>
        <v>0</v>
      </c>
      <c r="I74" s="4023">
        <f>SUM(I71:I73)</f>
        <v>5</v>
      </c>
      <c r="J74" s="4023">
        <f>SUM(J71:J73)</f>
        <v>9</v>
      </c>
      <c r="K74" s="4023">
        <f>SUM(K71:K73)</f>
        <v>4</v>
      </c>
      <c r="L74" s="4022">
        <f>SUM(L71:L73)</f>
        <v>18</v>
      </c>
      <c r="M74" s="4024">
        <f t="shared" si="4"/>
        <v>0.62068965517241381</v>
      </c>
      <c r="N74" s="4025">
        <f t="shared" si="5"/>
        <v>0.37931034482758619</v>
      </c>
    </row>
    <row r="75" spans="1:14" x14ac:dyDescent="0.25">
      <c r="A75" s="4026"/>
      <c r="B75" s="4026"/>
      <c r="C75" s="4026"/>
      <c r="D75" s="4026"/>
      <c r="E75" s="4026"/>
      <c r="F75" s="4026"/>
      <c r="G75" s="4026"/>
      <c r="H75" s="4026"/>
      <c r="I75" s="4026"/>
      <c r="J75" s="4026"/>
      <c r="K75" s="4026"/>
      <c r="L75" s="4026"/>
      <c r="M75" s="4026"/>
      <c r="N75" s="4026"/>
    </row>
    <row r="76" spans="1:14" x14ac:dyDescent="0.25">
      <c r="A76" s="6636" t="s">
        <v>8</v>
      </c>
      <c r="B76" s="2986" t="s">
        <v>6</v>
      </c>
      <c r="C76" s="4002"/>
      <c r="D76" s="4003">
        <v>1</v>
      </c>
      <c r="E76" s="4003">
        <v>1</v>
      </c>
      <c r="F76" s="4004">
        <f>SUM(C76:E76)</f>
        <v>2</v>
      </c>
      <c r="G76" s="3996"/>
      <c r="H76" s="4005"/>
      <c r="I76" s="4006"/>
      <c r="J76" s="4005">
        <v>1</v>
      </c>
      <c r="K76" s="4027">
        <v>1</v>
      </c>
      <c r="L76" s="4004">
        <f>SUM(H76:K76)</f>
        <v>2</v>
      </c>
      <c r="M76" s="3137">
        <f>L76/F76</f>
        <v>1</v>
      </c>
      <c r="N76" s="3138">
        <f>1-M76</f>
        <v>0</v>
      </c>
    </row>
    <row r="77" spans="1:14" x14ac:dyDescent="0.25">
      <c r="A77" s="6560"/>
      <c r="B77" s="2990" t="s">
        <v>9</v>
      </c>
      <c r="C77" s="4008"/>
      <c r="D77" s="4009">
        <v>1</v>
      </c>
      <c r="E77" s="4009"/>
      <c r="F77" s="4010">
        <f>SUM(C77:E77)</f>
        <v>1</v>
      </c>
      <c r="G77" s="3996"/>
      <c r="H77" s="4011"/>
      <c r="I77" s="4012"/>
      <c r="J77" s="4011"/>
      <c r="K77" s="4014">
        <v>1</v>
      </c>
      <c r="L77" s="4010">
        <f>SUM(H77:K77)</f>
        <v>1</v>
      </c>
      <c r="M77" s="3147">
        <f>L77/F77</f>
        <v>1</v>
      </c>
      <c r="N77" s="3148">
        <f>1-M77</f>
        <v>0</v>
      </c>
    </row>
    <row r="78" spans="1:14" x14ac:dyDescent="0.25">
      <c r="A78" s="6560"/>
      <c r="B78" s="2994" t="s">
        <v>74</v>
      </c>
      <c r="C78" s="4015">
        <v>1</v>
      </c>
      <c r="D78" s="4016">
        <v>1</v>
      </c>
      <c r="E78" s="4016">
        <v>1</v>
      </c>
      <c r="F78" s="4017">
        <f>SUM(C78:E78)</f>
        <v>3</v>
      </c>
      <c r="G78" s="3996"/>
      <c r="H78" s="4018"/>
      <c r="I78" s="4019"/>
      <c r="J78" s="4018"/>
      <c r="K78" s="4020">
        <v>2</v>
      </c>
      <c r="L78" s="4017">
        <f>SUM(H78:K78)</f>
        <v>2</v>
      </c>
      <c r="M78" s="3156">
        <f>L78/F78</f>
        <v>0.66666666666666663</v>
      </c>
      <c r="N78" s="3157">
        <f>1-M78</f>
        <v>0.33333333333333337</v>
      </c>
    </row>
    <row r="79" spans="1:14" x14ac:dyDescent="0.25">
      <c r="A79" s="6561"/>
      <c r="B79" s="4021" t="s">
        <v>12</v>
      </c>
      <c r="C79" s="4021">
        <f>SUM(C76:C78)</f>
        <v>1</v>
      </c>
      <c r="D79" s="4021">
        <f>SUM(D76:D78)</f>
        <v>3</v>
      </c>
      <c r="E79" s="4021">
        <f>SUM(E76:E78)</f>
        <v>2</v>
      </c>
      <c r="F79" s="4022">
        <f>SUM(F76:F78)</f>
        <v>6</v>
      </c>
      <c r="G79" s="3996"/>
      <c r="H79" s="4023">
        <f>SUM(H76:H78)</f>
        <v>0</v>
      </c>
      <c r="I79" s="4023">
        <f>SUM(I76:I78)</f>
        <v>0</v>
      </c>
      <c r="J79" s="4023">
        <f>SUM(J76:J78)</f>
        <v>1</v>
      </c>
      <c r="K79" s="4023">
        <f>SUM(K76:K78)</f>
        <v>4</v>
      </c>
      <c r="L79" s="4023">
        <f>SUM(L76:L78)</f>
        <v>5</v>
      </c>
      <c r="M79" s="4024">
        <f>L79/F79</f>
        <v>0.83333333333333337</v>
      </c>
      <c r="N79" s="4025">
        <f>1-M79</f>
        <v>0.16666666666666663</v>
      </c>
    </row>
    <row r="80" spans="1:14" x14ac:dyDescent="0.25">
      <c r="A80" s="3996"/>
      <c r="B80" s="3996"/>
      <c r="C80" s="3996"/>
      <c r="D80" s="3996"/>
      <c r="E80" s="3996"/>
      <c r="F80" s="4028"/>
      <c r="G80" s="3996"/>
      <c r="H80" s="3996"/>
      <c r="I80" s="3996"/>
      <c r="J80" s="3996"/>
      <c r="K80" s="3996"/>
      <c r="L80" s="3006"/>
      <c r="M80" s="3996"/>
      <c r="N80" s="4029"/>
    </row>
    <row r="81" spans="1:14" x14ac:dyDescent="0.25">
      <c r="A81" s="6642" t="s">
        <v>75</v>
      </c>
      <c r="B81" s="2986" t="s">
        <v>5</v>
      </c>
      <c r="C81" s="4002"/>
      <c r="D81" s="4003">
        <v>8</v>
      </c>
      <c r="E81" s="4003">
        <v>7</v>
      </c>
      <c r="F81" s="4004">
        <f>SUM(C81:E81)</f>
        <v>15</v>
      </c>
      <c r="G81" s="3996"/>
      <c r="H81" s="4005"/>
      <c r="I81" s="4030">
        <v>9</v>
      </c>
      <c r="J81" s="4031">
        <v>2</v>
      </c>
      <c r="K81" s="4027">
        <v>2</v>
      </c>
      <c r="L81" s="4004">
        <f t="shared" ref="L81:L88" si="6">SUM(I81:K81)</f>
        <v>13</v>
      </c>
      <c r="M81" s="3137">
        <f t="shared" si="4"/>
        <v>0.8666666666666667</v>
      </c>
      <c r="N81" s="3138">
        <f t="shared" si="5"/>
        <v>0.1333333333333333</v>
      </c>
    </row>
    <row r="82" spans="1:14" x14ac:dyDescent="0.25">
      <c r="A82" s="6078"/>
      <c r="B82" s="2990" t="s">
        <v>6</v>
      </c>
      <c r="C82" s="4008">
        <v>1</v>
      </c>
      <c r="D82" s="4009">
        <v>3</v>
      </c>
      <c r="E82" s="4009">
        <v>3</v>
      </c>
      <c r="F82" s="4010">
        <f>SUM(C82:E82)</f>
        <v>7</v>
      </c>
      <c r="G82" s="3996"/>
      <c r="H82" s="4011">
        <v>3</v>
      </c>
      <c r="I82" s="4012">
        <v>1</v>
      </c>
      <c r="J82" s="4011">
        <v>2</v>
      </c>
      <c r="K82" s="4014"/>
      <c r="L82" s="4010">
        <f>SUM(H82:K82)</f>
        <v>6</v>
      </c>
      <c r="M82" s="3147">
        <f t="shared" si="4"/>
        <v>0.8571428571428571</v>
      </c>
      <c r="N82" s="3148">
        <f t="shared" si="5"/>
        <v>0.1428571428571429</v>
      </c>
    </row>
    <row r="83" spans="1:14" x14ac:dyDescent="0.25">
      <c r="A83" s="6078"/>
      <c r="B83" s="2994" t="s">
        <v>11</v>
      </c>
      <c r="C83" s="4015">
        <v>2</v>
      </c>
      <c r="D83" s="4016">
        <v>4</v>
      </c>
      <c r="E83" s="4016">
        <v>2</v>
      </c>
      <c r="F83" s="4017">
        <f>SUM(C83:E83)</f>
        <v>8</v>
      </c>
      <c r="G83" s="3996"/>
      <c r="H83" s="4018">
        <v>2</v>
      </c>
      <c r="I83" s="4019">
        <v>3</v>
      </c>
      <c r="J83" s="4018"/>
      <c r="K83" s="4020">
        <v>1</v>
      </c>
      <c r="L83" s="4017">
        <f>SUM(H83:K83)</f>
        <v>6</v>
      </c>
      <c r="M83" s="3156">
        <f t="shared" si="4"/>
        <v>0.75</v>
      </c>
      <c r="N83" s="3157">
        <f t="shared" si="5"/>
        <v>0.25</v>
      </c>
    </row>
    <row r="84" spans="1:14" x14ac:dyDescent="0.25">
      <c r="A84" s="6079"/>
      <c r="B84" s="4021" t="s">
        <v>12</v>
      </c>
      <c r="C84" s="4021">
        <f>SUM(C81:C83)</f>
        <v>3</v>
      </c>
      <c r="D84" s="4021">
        <f>SUM(D81:D83)</f>
        <v>15</v>
      </c>
      <c r="E84" s="4021">
        <f>SUM(E81:E83)</f>
        <v>12</v>
      </c>
      <c r="F84" s="4022">
        <f>SUM(F81:F83)</f>
        <v>30</v>
      </c>
      <c r="G84" s="3996"/>
      <c r="H84" s="4023">
        <f>SUM(H81:H83)</f>
        <v>5</v>
      </c>
      <c r="I84" s="4023">
        <f>SUM(I81:I83)</f>
        <v>13</v>
      </c>
      <c r="J84" s="4023">
        <f>SUM(J81:J83)</f>
        <v>4</v>
      </c>
      <c r="K84" s="4023">
        <f>SUM(K81:K83)</f>
        <v>3</v>
      </c>
      <c r="L84" s="4023">
        <f>SUM(L81:L83)</f>
        <v>25</v>
      </c>
      <c r="M84" s="4024">
        <f t="shared" si="4"/>
        <v>0.83333333333333337</v>
      </c>
      <c r="N84" s="4025">
        <f t="shared" si="5"/>
        <v>0.16666666666666663</v>
      </c>
    </row>
    <row r="85" spans="1:14" x14ac:dyDescent="0.25">
      <c r="A85" s="3004"/>
      <c r="B85" s="3005"/>
      <c r="C85" s="4032"/>
      <c r="D85" s="4032"/>
      <c r="E85" s="4032"/>
      <c r="F85" s="4033"/>
      <c r="G85" s="3996"/>
      <c r="H85" s="4034"/>
      <c r="I85" s="4034"/>
      <c r="J85" s="4034"/>
      <c r="K85" s="3175"/>
      <c r="L85" s="3176"/>
      <c r="M85" s="3177"/>
      <c r="N85" s="3178"/>
    </row>
    <row r="86" spans="1:14" x14ac:dyDescent="0.25">
      <c r="A86" s="6643" t="s">
        <v>10</v>
      </c>
      <c r="B86" s="2986" t="s">
        <v>6</v>
      </c>
      <c r="C86" s="4002">
        <v>1</v>
      </c>
      <c r="D86" s="4003">
        <v>8</v>
      </c>
      <c r="E86" s="4003">
        <v>2</v>
      </c>
      <c r="F86" s="4004">
        <f>SUM(C86:E86)</f>
        <v>11</v>
      </c>
      <c r="G86" s="3996"/>
      <c r="H86" s="4005"/>
      <c r="I86" s="4006">
        <v>5</v>
      </c>
      <c r="J86" s="4005">
        <v>4</v>
      </c>
      <c r="K86" s="4027">
        <v>1</v>
      </c>
      <c r="L86" s="4004">
        <f t="shared" si="6"/>
        <v>10</v>
      </c>
      <c r="M86" s="3137">
        <f t="shared" si="4"/>
        <v>0.90909090909090906</v>
      </c>
      <c r="N86" s="3138">
        <f t="shared" si="5"/>
        <v>9.0909090909090939E-2</v>
      </c>
    </row>
    <row r="87" spans="1:14" x14ac:dyDescent="0.25">
      <c r="A87" s="6067"/>
      <c r="B87" s="2990" t="s">
        <v>11</v>
      </c>
      <c r="C87" s="4008">
        <v>3</v>
      </c>
      <c r="D87" s="4009">
        <v>8</v>
      </c>
      <c r="E87" s="4009">
        <v>2</v>
      </c>
      <c r="F87" s="4010">
        <f>SUM(C87:E87)</f>
        <v>13</v>
      </c>
      <c r="G87" s="3996"/>
      <c r="H87" s="4011"/>
      <c r="I87" s="4012">
        <v>5</v>
      </c>
      <c r="J87" s="4011">
        <v>2</v>
      </c>
      <c r="K87" s="4014">
        <v>1</v>
      </c>
      <c r="L87" s="4010">
        <f t="shared" si="6"/>
        <v>8</v>
      </c>
      <c r="M87" s="3147">
        <f t="shared" si="4"/>
        <v>0.61538461538461542</v>
      </c>
      <c r="N87" s="3148">
        <f t="shared" si="5"/>
        <v>0.38461538461538458</v>
      </c>
    </row>
    <row r="88" spans="1:14" x14ac:dyDescent="0.25">
      <c r="A88" s="6067"/>
      <c r="B88" s="2994" t="s">
        <v>7</v>
      </c>
      <c r="C88" s="4015"/>
      <c r="D88" s="4016">
        <v>3</v>
      </c>
      <c r="E88" s="4016">
        <v>1</v>
      </c>
      <c r="F88" s="4017">
        <f>SUM(C88:E88)</f>
        <v>4</v>
      </c>
      <c r="G88" s="3996"/>
      <c r="H88" s="4018"/>
      <c r="I88" s="4019">
        <v>1</v>
      </c>
      <c r="J88" s="4018">
        <v>1</v>
      </c>
      <c r="K88" s="4020"/>
      <c r="L88" s="4017">
        <f t="shared" si="6"/>
        <v>2</v>
      </c>
      <c r="M88" s="3156">
        <f t="shared" si="4"/>
        <v>0.5</v>
      </c>
      <c r="N88" s="3157">
        <f t="shared" si="5"/>
        <v>0.5</v>
      </c>
    </row>
    <row r="89" spans="1:14" x14ac:dyDescent="0.25">
      <c r="A89" s="6068"/>
      <c r="B89" s="4021" t="s">
        <v>12</v>
      </c>
      <c r="C89" s="4021">
        <f>SUM(C86:C88)</f>
        <v>4</v>
      </c>
      <c r="D89" s="4021">
        <f>SUM(D86:D88)</f>
        <v>19</v>
      </c>
      <c r="E89" s="4021">
        <f>SUM(E86:E88)</f>
        <v>5</v>
      </c>
      <c r="F89" s="4022">
        <f>SUM(F86:F88)</f>
        <v>28</v>
      </c>
      <c r="G89" s="3996"/>
      <c r="H89" s="4023">
        <f>SUM(H86:H88)</f>
        <v>0</v>
      </c>
      <c r="I89" s="4023">
        <f>SUM(I86:I88)</f>
        <v>11</v>
      </c>
      <c r="J89" s="4023">
        <f>SUM(J86:J88)</f>
        <v>7</v>
      </c>
      <c r="K89" s="4023">
        <f>SUM(K86:K88)</f>
        <v>2</v>
      </c>
      <c r="L89" s="4023">
        <f>SUM(L86:L88)</f>
        <v>20</v>
      </c>
      <c r="M89" s="4024">
        <f t="shared" si="4"/>
        <v>0.7142857142857143</v>
      </c>
      <c r="N89" s="4025">
        <f t="shared" si="5"/>
        <v>0.2857142857142857</v>
      </c>
    </row>
    <row r="90" spans="1:14" x14ac:dyDescent="0.25">
      <c r="A90" s="4035"/>
      <c r="B90" s="4035"/>
      <c r="C90" s="4035"/>
      <c r="D90" s="4035"/>
      <c r="E90" s="4035"/>
      <c r="F90" s="4035"/>
      <c r="G90" s="4035"/>
      <c r="H90" s="4035"/>
      <c r="I90" s="4035"/>
      <c r="J90" s="4035"/>
      <c r="K90" s="4035"/>
      <c r="L90" s="4035"/>
      <c r="M90" s="4035"/>
      <c r="N90" s="4036"/>
    </row>
    <row r="91" spans="1:14" x14ac:dyDescent="0.25">
      <c r="A91" s="6644" t="s">
        <v>1169</v>
      </c>
      <c r="B91" s="2986" t="s">
        <v>6</v>
      </c>
      <c r="C91" s="4002"/>
      <c r="D91" s="4003">
        <v>2</v>
      </c>
      <c r="E91" s="4003">
        <v>2</v>
      </c>
      <c r="F91" s="4004">
        <f>SUM(C91:E91)</f>
        <v>4</v>
      </c>
      <c r="G91" s="3996"/>
      <c r="H91" s="4005"/>
      <c r="I91" s="4006">
        <v>3</v>
      </c>
      <c r="J91" s="4005">
        <v>1</v>
      </c>
      <c r="K91" s="4027"/>
      <c r="L91" s="4004">
        <f>SUM(H91:K91)</f>
        <v>4</v>
      </c>
      <c r="M91" s="3137">
        <f>L91/F91</f>
        <v>1</v>
      </c>
      <c r="N91" s="3138">
        <f>1-M91</f>
        <v>0</v>
      </c>
    </row>
    <row r="92" spans="1:14" x14ac:dyDescent="0.25">
      <c r="A92" s="6565"/>
      <c r="B92" s="2990" t="s">
        <v>1170</v>
      </c>
      <c r="C92" s="4008"/>
      <c r="D92" s="4009"/>
      <c r="E92" s="4009">
        <v>1</v>
      </c>
      <c r="F92" s="4010">
        <f>SUM(C92:E92)</f>
        <v>1</v>
      </c>
      <c r="G92" s="3996"/>
      <c r="H92" s="4011"/>
      <c r="I92" s="4012">
        <v>1</v>
      </c>
      <c r="J92" s="4011"/>
      <c r="K92" s="4014"/>
      <c r="L92" s="4010">
        <f>SUM(H92:K92)</f>
        <v>1</v>
      </c>
      <c r="M92" s="3147">
        <f>L92/F92</f>
        <v>1</v>
      </c>
      <c r="N92" s="3148">
        <f>1-M92</f>
        <v>0</v>
      </c>
    </row>
    <row r="93" spans="1:14" x14ac:dyDescent="0.25">
      <c r="A93" s="6566"/>
      <c r="B93" s="4021" t="s">
        <v>12</v>
      </c>
      <c r="C93" s="4021">
        <f>SUM(C91:C92)</f>
        <v>0</v>
      </c>
      <c r="D93" s="4021">
        <f>SUM(D91:D92)</f>
        <v>2</v>
      </c>
      <c r="E93" s="4021">
        <f>SUM(E91:E92)</f>
        <v>3</v>
      </c>
      <c r="F93" s="4022">
        <f>SUM(F91:F92)</f>
        <v>5</v>
      </c>
      <c r="G93" s="3996"/>
      <c r="H93" s="4023">
        <f>SUM(H91:H92)</f>
        <v>0</v>
      </c>
      <c r="I93" s="4023">
        <f>SUM(I91:I92)</f>
        <v>4</v>
      </c>
      <c r="J93" s="4023">
        <f>SUM(J91:J92)</f>
        <v>1</v>
      </c>
      <c r="K93" s="4023">
        <f>SUM(K91:K92)</f>
        <v>0</v>
      </c>
      <c r="L93" s="4023">
        <f>SUM(L91:L92)</f>
        <v>5</v>
      </c>
      <c r="M93" s="4024">
        <f>L93/F93</f>
        <v>1</v>
      </c>
      <c r="N93" s="4025">
        <f>1-M93</f>
        <v>0</v>
      </c>
    </row>
    <row r="94" spans="1:14" x14ac:dyDescent="0.25">
      <c r="A94" s="3005"/>
      <c r="B94" s="3005"/>
      <c r="C94" s="4032"/>
      <c r="D94" s="4032"/>
      <c r="E94" s="4032"/>
      <c r="F94" s="4033"/>
      <c r="G94" s="3996"/>
      <c r="H94" s="4034"/>
      <c r="I94" s="4034"/>
      <c r="J94" s="4034"/>
      <c r="K94" s="3175"/>
      <c r="L94" s="3176"/>
      <c r="M94" s="3177"/>
      <c r="N94" s="3178"/>
    </row>
    <row r="95" spans="1:14" x14ac:dyDescent="0.25">
      <c r="A95" s="6567" t="s">
        <v>60</v>
      </c>
      <c r="B95" s="6567"/>
      <c r="C95" s="4021">
        <f>SUM(C74,C84,C89,C79,C93)</f>
        <v>12</v>
      </c>
      <c r="D95" s="4021">
        <f>SUM(D74,D84,D89,D79,D93)</f>
        <v>55</v>
      </c>
      <c r="E95" s="4021">
        <f>SUM(E74,E84,E89,E79,E93)</f>
        <v>31</v>
      </c>
      <c r="F95" s="4021">
        <f>SUM(F74,F84,F89,F79,F93)</f>
        <v>98</v>
      </c>
      <c r="G95" s="3996"/>
      <c r="H95" s="4022">
        <f>SUM(H74,H84,H89,H79,H93)</f>
        <v>5</v>
      </c>
      <c r="I95" s="4022">
        <f>SUM(I74,I84,I89,I79,I93)</f>
        <v>33</v>
      </c>
      <c r="J95" s="4022">
        <f>SUM(J74,J84,J89,J79,J93)</f>
        <v>22</v>
      </c>
      <c r="K95" s="4022">
        <f>SUM(K74,K84,K89,K79,K93)</f>
        <v>13</v>
      </c>
      <c r="L95" s="4022">
        <f>SUM(L74,L84,L89,L79,L93)</f>
        <v>73</v>
      </c>
      <c r="M95" s="4037">
        <f t="shared" si="4"/>
        <v>0.74489795918367352</v>
      </c>
      <c r="N95" s="4025">
        <f t="shared" si="5"/>
        <v>0.25510204081632648</v>
      </c>
    </row>
    <row r="96" spans="1:14" x14ac:dyDescent="0.25">
      <c r="A96" s="3996"/>
      <c r="B96" s="3996"/>
      <c r="C96" s="3996"/>
      <c r="D96" s="3996"/>
      <c r="E96" s="3996"/>
      <c r="F96" s="3996"/>
      <c r="G96" s="3996"/>
      <c r="H96" s="3996"/>
      <c r="I96" s="3996"/>
      <c r="J96" s="3996"/>
      <c r="K96" s="3996"/>
      <c r="L96" s="3996"/>
      <c r="M96" s="3996"/>
      <c r="N96" s="4038"/>
    </row>
    <row r="97" spans="1:15" ht="15.75" thickBot="1" x14ac:dyDescent="0.3">
      <c r="A97" s="6645" t="s">
        <v>1171</v>
      </c>
      <c r="B97" s="6646"/>
      <c r="C97" s="4039">
        <v>2</v>
      </c>
      <c r="D97" s="4040">
        <v>46</v>
      </c>
      <c r="E97" s="4040">
        <v>25</v>
      </c>
      <c r="F97" s="4041">
        <f>SUM(C97:E97)</f>
        <v>73</v>
      </c>
      <c r="G97" s="3996"/>
      <c r="H97" s="3996"/>
      <c r="I97" s="3996"/>
      <c r="J97" s="6557" t="s">
        <v>1173</v>
      </c>
      <c r="K97" s="6641"/>
      <c r="L97" s="4042">
        <f>F95-L95</f>
        <v>25</v>
      </c>
      <c r="M97" s="3996"/>
      <c r="N97" s="4038"/>
    </row>
    <row r="98" spans="1:15" ht="18.75" x14ac:dyDescent="0.3">
      <c r="A98" s="3941"/>
      <c r="B98" s="3941"/>
      <c r="C98" s="3941"/>
      <c r="D98" s="3941"/>
      <c r="E98" s="3941"/>
      <c r="F98" s="3941"/>
      <c r="G98" s="3941"/>
      <c r="H98" s="3941"/>
      <c r="I98" s="3941"/>
      <c r="J98" s="3941"/>
      <c r="K98" s="3941"/>
      <c r="L98" s="3941"/>
      <c r="M98" s="3941"/>
      <c r="N98" s="3120"/>
    </row>
    <row r="99" spans="1:15" ht="18.75" x14ac:dyDescent="0.3">
      <c r="A99" s="3941"/>
      <c r="B99" s="3941"/>
      <c r="C99" s="3941"/>
      <c r="D99" s="3941"/>
      <c r="E99" s="3941"/>
      <c r="F99" s="3941"/>
      <c r="G99" s="3941"/>
      <c r="H99" s="3941"/>
      <c r="I99" s="3941"/>
      <c r="J99" s="3941"/>
      <c r="K99" s="3941"/>
      <c r="L99" s="3941"/>
      <c r="M99" s="3941"/>
      <c r="N99" s="3120"/>
    </row>
    <row r="100" spans="1:15" x14ac:dyDescent="0.25">
      <c r="A100" s="6602" t="s">
        <v>51</v>
      </c>
      <c r="B100" s="6602" t="s">
        <v>685</v>
      </c>
      <c r="C100" s="6603" t="s">
        <v>1174</v>
      </c>
      <c r="D100" s="6604"/>
      <c r="E100" s="6604"/>
      <c r="F100" s="6605"/>
      <c r="G100" s="3122"/>
      <c r="H100" s="6603" t="s">
        <v>1175</v>
      </c>
      <c r="I100" s="6604"/>
      <c r="J100" s="6604"/>
      <c r="K100" s="6604"/>
      <c r="L100" s="6604"/>
      <c r="M100" s="6605"/>
      <c r="N100" s="3122"/>
    </row>
    <row r="101" spans="1:15" ht="30" customHeight="1" x14ac:dyDescent="0.25">
      <c r="A101" s="6602"/>
      <c r="B101" s="6602"/>
      <c r="C101" s="3123" t="s">
        <v>801</v>
      </c>
      <c r="D101" s="3123" t="s">
        <v>616</v>
      </c>
      <c r="E101" s="3123" t="s">
        <v>617</v>
      </c>
      <c r="F101" s="3124" t="s">
        <v>12</v>
      </c>
      <c r="G101" s="3122"/>
      <c r="H101" s="3125" t="s">
        <v>1172</v>
      </c>
      <c r="I101" s="3125" t="s">
        <v>1162</v>
      </c>
      <c r="J101" s="3125" t="s">
        <v>1163</v>
      </c>
      <c r="K101" s="3125" t="s">
        <v>1164</v>
      </c>
      <c r="L101" s="3126" t="s">
        <v>12</v>
      </c>
      <c r="M101" s="3125" t="s">
        <v>1083</v>
      </c>
      <c r="N101" s="3127" t="s">
        <v>1084</v>
      </c>
    </row>
    <row r="102" spans="1:15" x14ac:dyDescent="0.25">
      <c r="A102" s="3128"/>
      <c r="B102" s="3128"/>
      <c r="C102" s="3122"/>
      <c r="D102" s="3122"/>
      <c r="E102" s="3122"/>
      <c r="F102" s="3128"/>
      <c r="G102" s="3122"/>
      <c r="H102" s="3128"/>
      <c r="I102" s="3122"/>
      <c r="J102" s="3122"/>
      <c r="K102" s="3122"/>
      <c r="L102" s="3128"/>
      <c r="M102" s="3128"/>
      <c r="N102" s="3129"/>
    </row>
    <row r="103" spans="1:15" x14ac:dyDescent="0.25">
      <c r="A103" s="6625" t="s">
        <v>3</v>
      </c>
      <c r="B103" s="3130" t="s">
        <v>5</v>
      </c>
      <c r="C103" s="3131"/>
      <c r="D103" s="3132">
        <v>5</v>
      </c>
      <c r="E103" s="3132">
        <v>4</v>
      </c>
      <c r="F103" s="3133">
        <f>SUM(C103:E103)</f>
        <v>9</v>
      </c>
      <c r="G103" s="3122"/>
      <c r="H103" s="3134"/>
      <c r="I103" s="3135">
        <v>2</v>
      </c>
      <c r="J103" s="3134">
        <v>2</v>
      </c>
      <c r="K103" s="3136">
        <v>3</v>
      </c>
      <c r="L103" s="3133">
        <f>SUM(H103:K103)</f>
        <v>7</v>
      </c>
      <c r="M103" s="3137">
        <f>L103/F103</f>
        <v>0.77777777777777779</v>
      </c>
      <c r="N103" s="3138">
        <f>1-M103</f>
        <v>0.22222222222222221</v>
      </c>
    </row>
    <row r="104" spans="1:15" x14ac:dyDescent="0.25">
      <c r="A104" s="6626"/>
      <c r="B104" s="3139" t="s">
        <v>6</v>
      </c>
      <c r="C104" s="3140">
        <v>3</v>
      </c>
      <c r="D104" s="3141">
        <v>5</v>
      </c>
      <c r="E104" s="3141">
        <v>2</v>
      </c>
      <c r="F104" s="3142">
        <f>SUM(C104:E104)</f>
        <v>10</v>
      </c>
      <c r="G104" s="3122"/>
      <c r="H104" s="3143"/>
      <c r="I104" s="3144">
        <v>3</v>
      </c>
      <c r="J104" s="3145">
        <v>4</v>
      </c>
      <c r="K104" s="3146">
        <v>1</v>
      </c>
      <c r="L104" s="3142">
        <f>SUM(H104:K104)</f>
        <v>8</v>
      </c>
      <c r="M104" s="3147">
        <f t="shared" ref="M104:M127" si="7">L104/F104</f>
        <v>0.8</v>
      </c>
      <c r="N104" s="3148">
        <f t="shared" ref="N104:N127" si="8">1-M104</f>
        <v>0.19999999999999996</v>
      </c>
    </row>
    <row r="105" spans="1:15" x14ac:dyDescent="0.25">
      <c r="A105" s="6626"/>
      <c r="B105" s="3149" t="s">
        <v>7</v>
      </c>
      <c r="C105" s="3150">
        <v>1</v>
      </c>
      <c r="D105" s="3151">
        <v>1</v>
      </c>
      <c r="E105" s="3151">
        <v>1</v>
      </c>
      <c r="F105" s="3152">
        <f>SUM(C105:E105)</f>
        <v>3</v>
      </c>
      <c r="G105" s="3122"/>
      <c r="H105" s="3153"/>
      <c r="I105" s="3154"/>
      <c r="J105" s="3153">
        <v>3</v>
      </c>
      <c r="K105" s="3155"/>
      <c r="L105" s="3152">
        <f>SUM(H105:K105)</f>
        <v>3</v>
      </c>
      <c r="M105" s="3156">
        <f t="shared" si="7"/>
        <v>1</v>
      </c>
      <c r="N105" s="3157">
        <f t="shared" si="8"/>
        <v>0</v>
      </c>
    </row>
    <row r="106" spans="1:15" x14ac:dyDescent="0.25">
      <c r="A106" s="6627"/>
      <c r="B106" s="3158" t="s">
        <v>12</v>
      </c>
      <c r="C106" s="3158">
        <f>SUM(C103:C105)</f>
        <v>4</v>
      </c>
      <c r="D106" s="3158">
        <f>SUM(D103:D105)</f>
        <v>11</v>
      </c>
      <c r="E106" s="3158">
        <f>SUM(E103:E105)</f>
        <v>7</v>
      </c>
      <c r="F106" s="3159">
        <f t="shared" ref="F106:K106" si="9">SUM(F103:F105)</f>
        <v>22</v>
      </c>
      <c r="G106" s="3122"/>
      <c r="H106" s="3159">
        <f>SUM(H103:H105)</f>
        <v>0</v>
      </c>
      <c r="I106" s="3160">
        <f t="shared" si="9"/>
        <v>5</v>
      </c>
      <c r="J106" s="3159">
        <f t="shared" si="9"/>
        <v>9</v>
      </c>
      <c r="K106" s="3161">
        <f t="shared" si="9"/>
        <v>4</v>
      </c>
      <c r="L106" s="3159">
        <f>SUM(L103:L105)</f>
        <v>18</v>
      </c>
      <c r="M106" s="3162">
        <f t="shared" si="7"/>
        <v>0.81818181818181823</v>
      </c>
      <c r="N106" s="3163">
        <f t="shared" si="8"/>
        <v>0.18181818181818177</v>
      </c>
    </row>
    <row r="107" spans="1:15" x14ac:dyDescent="0.25">
      <c r="A107" s="3164"/>
      <c r="B107" s="3164"/>
      <c r="C107" s="3164"/>
      <c r="D107" s="3164"/>
      <c r="E107" s="3164"/>
      <c r="F107" s="3164"/>
      <c r="G107" s="3164"/>
      <c r="H107" s="3164"/>
      <c r="I107" s="3164"/>
      <c r="J107" s="3164"/>
      <c r="K107" s="3164"/>
      <c r="L107" s="3164"/>
      <c r="M107" s="3164"/>
      <c r="N107" s="3164"/>
      <c r="O107" s="3164"/>
    </row>
    <row r="108" spans="1:15" x14ac:dyDescent="0.25">
      <c r="A108" s="6609" t="s">
        <v>8</v>
      </c>
      <c r="B108" s="3130" t="s">
        <v>6</v>
      </c>
      <c r="C108" s="3131"/>
      <c r="D108" s="3132">
        <v>1</v>
      </c>
      <c r="E108" s="3132">
        <v>1</v>
      </c>
      <c r="F108" s="3133">
        <f>SUM(C108:E108)</f>
        <v>2</v>
      </c>
      <c r="G108" s="3122"/>
      <c r="H108" s="3134"/>
      <c r="I108" s="3135"/>
      <c r="J108" s="3134"/>
      <c r="K108" s="3165">
        <v>2</v>
      </c>
      <c r="L108" s="3133">
        <f>SUM(H108:K108)</f>
        <v>2</v>
      </c>
      <c r="M108" s="3137">
        <f>L108/F108</f>
        <v>1</v>
      </c>
      <c r="N108" s="3138">
        <f>1-M108</f>
        <v>0</v>
      </c>
    </row>
    <row r="109" spans="1:15" x14ac:dyDescent="0.25">
      <c r="A109" s="6610"/>
      <c r="B109" s="3139" t="s">
        <v>9</v>
      </c>
      <c r="C109" s="3140"/>
      <c r="D109" s="3141">
        <v>1</v>
      </c>
      <c r="E109" s="3141"/>
      <c r="F109" s="3142">
        <f>SUM(C109:E109)</f>
        <v>1</v>
      </c>
      <c r="G109" s="3122"/>
      <c r="H109" s="3143"/>
      <c r="I109" s="3144"/>
      <c r="J109" s="3143"/>
      <c r="K109" s="3146">
        <v>1</v>
      </c>
      <c r="L109" s="3142">
        <f>SUM(H109:K109)</f>
        <v>1</v>
      </c>
      <c r="M109" s="3147">
        <f>L109/F109</f>
        <v>1</v>
      </c>
      <c r="N109" s="3148">
        <f>1-M109</f>
        <v>0</v>
      </c>
    </row>
    <row r="110" spans="1:15" x14ac:dyDescent="0.25">
      <c r="A110" s="6610"/>
      <c r="B110" s="3149" t="s">
        <v>74</v>
      </c>
      <c r="C110" s="3150">
        <v>1</v>
      </c>
      <c r="D110" s="3151">
        <v>1</v>
      </c>
      <c r="E110" s="3151">
        <v>1</v>
      </c>
      <c r="F110" s="3152">
        <f>SUM(C110:E110)</f>
        <v>3</v>
      </c>
      <c r="G110" s="3122"/>
      <c r="H110" s="3153"/>
      <c r="I110" s="3154"/>
      <c r="J110" s="3153"/>
      <c r="K110" s="3155">
        <v>2</v>
      </c>
      <c r="L110" s="3152">
        <f>SUM(H110:K110)</f>
        <v>2</v>
      </c>
      <c r="M110" s="3156">
        <f>L110/F110</f>
        <v>0.66666666666666663</v>
      </c>
      <c r="N110" s="3157">
        <f>1-M110</f>
        <v>0.33333333333333337</v>
      </c>
    </row>
    <row r="111" spans="1:15" x14ac:dyDescent="0.25">
      <c r="A111" s="6611"/>
      <c r="B111" s="3158" t="s">
        <v>12</v>
      </c>
      <c r="C111" s="3158">
        <f>SUM(C108:C110)</f>
        <v>1</v>
      </c>
      <c r="D111" s="3158">
        <f>SUM(D108:D110)</f>
        <v>3</v>
      </c>
      <c r="E111" s="3158">
        <f>SUM(E108:E110)</f>
        <v>2</v>
      </c>
      <c r="F111" s="3159">
        <f>SUM(F108:F110)</f>
        <v>6</v>
      </c>
      <c r="G111" s="3122"/>
      <c r="H111" s="3160">
        <f>SUM(H108:H110)</f>
        <v>0</v>
      </c>
      <c r="I111" s="3160">
        <f>SUM(I108:I110)</f>
        <v>0</v>
      </c>
      <c r="J111" s="3160">
        <f>SUM(J108:J110)</f>
        <v>0</v>
      </c>
      <c r="K111" s="3160">
        <f>SUM(K108:K110)</f>
        <v>5</v>
      </c>
      <c r="L111" s="3160">
        <f>SUM(L108:L110)</f>
        <v>5</v>
      </c>
      <c r="M111" s="3162">
        <f>L111/F111</f>
        <v>0.83333333333333337</v>
      </c>
      <c r="N111" s="3163">
        <f>1-M111</f>
        <v>0.16666666666666663</v>
      </c>
    </row>
    <row r="112" spans="1:15" ht="15" customHeight="1" x14ac:dyDescent="0.25">
      <c r="A112" s="3122"/>
      <c r="B112" s="3122"/>
      <c r="C112" s="3122"/>
      <c r="D112" s="3122"/>
      <c r="E112" s="3122"/>
      <c r="F112" s="3166"/>
      <c r="G112" s="3122"/>
      <c r="H112" s="3122"/>
      <c r="I112" s="3122"/>
      <c r="J112" s="3122"/>
      <c r="K112" s="3122"/>
      <c r="L112" s="3167"/>
      <c r="M112" s="3122"/>
      <c r="N112" s="3168"/>
    </row>
    <row r="113" spans="1:15" x14ac:dyDescent="0.25">
      <c r="A113" s="6628" t="s">
        <v>75</v>
      </c>
      <c r="B113" s="3130" t="s">
        <v>5</v>
      </c>
      <c r="C113" s="3131"/>
      <c r="D113" s="3132">
        <v>8</v>
      </c>
      <c r="E113" s="3132">
        <v>7</v>
      </c>
      <c r="F113" s="3133">
        <f>SUM(C113:E113)</f>
        <v>15</v>
      </c>
      <c r="G113" s="3122"/>
      <c r="H113" s="3134"/>
      <c r="I113" s="3169">
        <v>9</v>
      </c>
      <c r="J113" s="3368">
        <v>2</v>
      </c>
      <c r="K113" s="3165">
        <v>2</v>
      </c>
      <c r="L113" s="3133">
        <f t="shared" ref="L113:L120" si="10">SUM(I113:K113)</f>
        <v>13</v>
      </c>
      <c r="M113" s="3137">
        <f t="shared" si="7"/>
        <v>0.8666666666666667</v>
      </c>
      <c r="N113" s="3138">
        <f t="shared" si="8"/>
        <v>0.1333333333333333</v>
      </c>
    </row>
    <row r="114" spans="1:15" x14ac:dyDescent="0.25">
      <c r="A114" s="6629"/>
      <c r="B114" s="3139" t="s">
        <v>6</v>
      </c>
      <c r="C114" s="3140">
        <v>1</v>
      </c>
      <c r="D114" s="3141">
        <v>3</v>
      </c>
      <c r="E114" s="3141">
        <v>3</v>
      </c>
      <c r="F114" s="3142">
        <f>SUM(C114:E114)</f>
        <v>7</v>
      </c>
      <c r="G114" s="3122"/>
      <c r="H114" s="3143">
        <v>3</v>
      </c>
      <c r="I114" s="3144">
        <v>1</v>
      </c>
      <c r="J114" s="3143">
        <v>2</v>
      </c>
      <c r="K114" s="3146"/>
      <c r="L114" s="3142">
        <f>SUM(H114:K114)</f>
        <v>6</v>
      </c>
      <c r="M114" s="3147">
        <f t="shared" si="7"/>
        <v>0.8571428571428571</v>
      </c>
      <c r="N114" s="3148">
        <f t="shared" si="8"/>
        <v>0.1428571428571429</v>
      </c>
    </row>
    <row r="115" spans="1:15" x14ac:dyDescent="0.25">
      <c r="A115" s="6629"/>
      <c r="B115" s="3149" t="s">
        <v>11</v>
      </c>
      <c r="C115" s="3150">
        <v>2</v>
      </c>
      <c r="D115" s="3151">
        <v>4</v>
      </c>
      <c r="E115" s="3151">
        <v>2</v>
      </c>
      <c r="F115" s="3152">
        <f>SUM(C115:E115)</f>
        <v>8</v>
      </c>
      <c r="G115" s="3122"/>
      <c r="H115" s="3153">
        <v>1</v>
      </c>
      <c r="I115" s="3154">
        <v>4</v>
      </c>
      <c r="J115" s="3153"/>
      <c r="K115" s="3155">
        <v>1</v>
      </c>
      <c r="L115" s="3152">
        <f>SUM(H115:K115)</f>
        <v>6</v>
      </c>
      <c r="M115" s="3156">
        <f t="shared" si="7"/>
        <v>0.75</v>
      </c>
      <c r="N115" s="3157">
        <f t="shared" si="8"/>
        <v>0.25</v>
      </c>
    </row>
    <row r="116" spans="1:15" x14ac:dyDescent="0.25">
      <c r="A116" s="6630"/>
      <c r="B116" s="3158" t="s">
        <v>12</v>
      </c>
      <c r="C116" s="3158">
        <f>SUM(C113:C115)</f>
        <v>3</v>
      </c>
      <c r="D116" s="3158">
        <f>SUM(D113:D115)</f>
        <v>15</v>
      </c>
      <c r="E116" s="3158">
        <f>SUM(E113:E115)</f>
        <v>12</v>
      </c>
      <c r="F116" s="3159">
        <f>SUM(F113:F115)</f>
        <v>30</v>
      </c>
      <c r="G116" s="3122"/>
      <c r="H116" s="3160">
        <f>SUM(H113:H115)</f>
        <v>4</v>
      </c>
      <c r="I116" s="3160">
        <f>SUM(I113:I115)</f>
        <v>14</v>
      </c>
      <c r="J116" s="3160">
        <f>SUM(J113:J115)</f>
        <v>4</v>
      </c>
      <c r="K116" s="3160">
        <f>SUM(K113:K115)</f>
        <v>3</v>
      </c>
      <c r="L116" s="3160">
        <f>SUM(L113:L115)</f>
        <v>25</v>
      </c>
      <c r="M116" s="3162">
        <f t="shared" si="7"/>
        <v>0.83333333333333337</v>
      </c>
      <c r="N116" s="3163">
        <f t="shared" si="8"/>
        <v>0.16666666666666663</v>
      </c>
    </row>
    <row r="117" spans="1:15" x14ac:dyDescent="0.25">
      <c r="A117" s="3170"/>
      <c r="B117" s="3171"/>
      <c r="C117" s="3172"/>
      <c r="D117" s="3172"/>
      <c r="E117" s="3172"/>
      <c r="F117" s="3173"/>
      <c r="G117" s="3122"/>
      <c r="H117" s="3174"/>
      <c r="I117" s="3174"/>
      <c r="J117" s="3174"/>
      <c r="K117" s="3175"/>
      <c r="L117" s="3176"/>
      <c r="M117" s="3177"/>
      <c r="N117" s="3178"/>
    </row>
    <row r="118" spans="1:15" x14ac:dyDescent="0.25">
      <c r="A118" s="6622" t="s">
        <v>10</v>
      </c>
      <c r="B118" s="3130" t="s">
        <v>6</v>
      </c>
      <c r="C118" s="3131">
        <v>1</v>
      </c>
      <c r="D118" s="3132">
        <v>8</v>
      </c>
      <c r="E118" s="3132">
        <v>2</v>
      </c>
      <c r="F118" s="3133">
        <f>SUM(C118:E118)</f>
        <v>11</v>
      </c>
      <c r="G118" s="3122"/>
      <c r="H118" s="3134"/>
      <c r="I118" s="3135">
        <v>5</v>
      </c>
      <c r="J118" s="3134">
        <v>4</v>
      </c>
      <c r="K118" s="3165">
        <v>1</v>
      </c>
      <c r="L118" s="3133">
        <f t="shared" si="10"/>
        <v>10</v>
      </c>
      <c r="M118" s="3137">
        <f t="shared" si="7"/>
        <v>0.90909090909090906</v>
      </c>
      <c r="N118" s="3138">
        <f t="shared" si="8"/>
        <v>9.0909090909090939E-2</v>
      </c>
    </row>
    <row r="119" spans="1:15" x14ac:dyDescent="0.25">
      <c r="A119" s="6623"/>
      <c r="B119" s="3139" t="s">
        <v>11</v>
      </c>
      <c r="C119" s="3140">
        <v>3</v>
      </c>
      <c r="D119" s="3141">
        <v>8</v>
      </c>
      <c r="E119" s="3141">
        <v>2</v>
      </c>
      <c r="F119" s="3142">
        <f>SUM(C119:E119)</f>
        <v>13</v>
      </c>
      <c r="G119" s="3122"/>
      <c r="H119" s="3143"/>
      <c r="I119" s="3144">
        <v>5</v>
      </c>
      <c r="J119" s="3143">
        <v>2</v>
      </c>
      <c r="K119" s="3146">
        <v>1</v>
      </c>
      <c r="L119" s="3142">
        <f t="shared" si="10"/>
        <v>8</v>
      </c>
      <c r="M119" s="3147">
        <f t="shared" si="7"/>
        <v>0.61538461538461542</v>
      </c>
      <c r="N119" s="3148">
        <f t="shared" si="8"/>
        <v>0.38461538461538458</v>
      </c>
    </row>
    <row r="120" spans="1:15" x14ac:dyDescent="0.25">
      <c r="A120" s="6623"/>
      <c r="B120" s="3153" t="s">
        <v>7</v>
      </c>
      <c r="C120" s="3188"/>
      <c r="D120" s="3189">
        <v>3</v>
      </c>
      <c r="E120" s="3189">
        <v>1</v>
      </c>
      <c r="F120" s="3152">
        <f>SUM(C120:E120)</f>
        <v>4</v>
      </c>
      <c r="G120" s="3190"/>
      <c r="H120" s="3153"/>
      <c r="I120" s="3154">
        <v>1</v>
      </c>
      <c r="J120" s="3153">
        <v>1</v>
      </c>
      <c r="K120" s="3155"/>
      <c r="L120" s="3152">
        <f t="shared" si="10"/>
        <v>2</v>
      </c>
      <c r="M120" s="3191">
        <f t="shared" si="7"/>
        <v>0.5</v>
      </c>
      <c r="N120" s="3192">
        <f t="shared" si="8"/>
        <v>0.5</v>
      </c>
    </row>
    <row r="121" spans="1:15" x14ac:dyDescent="0.25">
      <c r="A121" s="6624"/>
      <c r="B121" s="3159" t="s">
        <v>12</v>
      </c>
      <c r="C121" s="3159">
        <f>SUM(C118:C120)</f>
        <v>4</v>
      </c>
      <c r="D121" s="3159">
        <f>SUM(D118:D120)</f>
        <v>19</v>
      </c>
      <c r="E121" s="3159">
        <f>SUM(E118:E120)</f>
        <v>5</v>
      </c>
      <c r="F121" s="3159">
        <f>SUM(F118:F120)</f>
        <v>28</v>
      </c>
      <c r="G121" s="3190"/>
      <c r="H121" s="3160">
        <f>SUM(H118:H120)</f>
        <v>0</v>
      </c>
      <c r="I121" s="3160">
        <f>SUM(I118:I120)</f>
        <v>11</v>
      </c>
      <c r="J121" s="3160">
        <f>SUM(J118:J120)</f>
        <v>7</v>
      </c>
      <c r="K121" s="3160">
        <f>SUM(K118:K120)</f>
        <v>2</v>
      </c>
      <c r="L121" s="3160">
        <f>SUM(L118:L120)</f>
        <v>20</v>
      </c>
      <c r="M121" s="3193">
        <f t="shared" si="7"/>
        <v>0.7142857142857143</v>
      </c>
      <c r="N121" s="3194">
        <f t="shared" si="8"/>
        <v>0.2857142857142857</v>
      </c>
    </row>
    <row r="122" spans="1:15" x14ac:dyDescent="0.25">
      <c r="A122" s="3179"/>
      <c r="B122" s="3179"/>
      <c r="C122" s="3179"/>
      <c r="D122" s="3179"/>
      <c r="E122" s="3179"/>
      <c r="F122" s="3179"/>
      <c r="G122" s="3179"/>
      <c r="H122" s="3179"/>
      <c r="I122" s="3179"/>
      <c r="J122" s="3179"/>
      <c r="K122" s="3179"/>
      <c r="L122" s="3179"/>
      <c r="M122" s="3179"/>
      <c r="N122" s="3180"/>
      <c r="O122" s="3181"/>
    </row>
    <row r="123" spans="1:15" x14ac:dyDescent="0.25">
      <c r="A123" s="6618" t="s">
        <v>1169</v>
      </c>
      <c r="B123" s="3134" t="s">
        <v>6</v>
      </c>
      <c r="C123" s="3195"/>
      <c r="D123" s="3196">
        <v>2</v>
      </c>
      <c r="E123" s="3196">
        <v>2</v>
      </c>
      <c r="F123" s="3133">
        <f>SUM(C123:E123)</f>
        <v>4</v>
      </c>
      <c r="G123" s="3190"/>
      <c r="H123" s="3134"/>
      <c r="I123" s="3135">
        <v>4</v>
      </c>
      <c r="J123" s="3134"/>
      <c r="K123" s="3165"/>
      <c r="L123" s="3133">
        <f>SUM(H123:K123)</f>
        <v>4</v>
      </c>
      <c r="M123" s="3197">
        <f>L123/F123</f>
        <v>1</v>
      </c>
      <c r="N123" s="3198">
        <f>1-M123</f>
        <v>0</v>
      </c>
    </row>
    <row r="124" spans="1:15" x14ac:dyDescent="0.25">
      <c r="A124" s="6619"/>
      <c r="B124" s="3143" t="s">
        <v>1170</v>
      </c>
      <c r="C124" s="3199"/>
      <c r="D124" s="3200"/>
      <c r="E124" s="3200">
        <v>1</v>
      </c>
      <c r="F124" s="3142">
        <f>SUM(C124:E124)</f>
        <v>1</v>
      </c>
      <c r="G124" s="3190"/>
      <c r="H124" s="3143"/>
      <c r="I124" s="3144">
        <v>1</v>
      </c>
      <c r="J124" s="3143"/>
      <c r="K124" s="3146"/>
      <c r="L124" s="3142">
        <f>SUM(H124:K124)</f>
        <v>1</v>
      </c>
      <c r="M124" s="3201">
        <f>L124/F124</f>
        <v>1</v>
      </c>
      <c r="N124" s="3202">
        <f>1-M124</f>
        <v>0</v>
      </c>
    </row>
    <row r="125" spans="1:15" x14ac:dyDescent="0.25">
      <c r="A125" s="6620"/>
      <c r="B125" s="3158" t="s">
        <v>12</v>
      </c>
      <c r="C125" s="3158">
        <f>SUM(C123:C124)</f>
        <v>0</v>
      </c>
      <c r="D125" s="3158">
        <f>SUM(D123:D124)</f>
        <v>2</v>
      </c>
      <c r="E125" s="3158">
        <f>SUM(E123:E124)</f>
        <v>3</v>
      </c>
      <c r="F125" s="3159">
        <f>SUM(F123:F124)</f>
        <v>5</v>
      </c>
      <c r="G125" s="3122"/>
      <c r="H125" s="3160">
        <f>SUM(H123:H124)</f>
        <v>0</v>
      </c>
      <c r="I125" s="3160">
        <f>SUM(I123:I124)</f>
        <v>5</v>
      </c>
      <c r="J125" s="3160">
        <f>SUM(J123:J124)</f>
        <v>0</v>
      </c>
      <c r="K125" s="3160">
        <f>SUM(K123:K124)</f>
        <v>0</v>
      </c>
      <c r="L125" s="3160">
        <f>SUM(L123:L124)</f>
        <v>5</v>
      </c>
      <c r="M125" s="3162">
        <f>L125/F125</f>
        <v>1</v>
      </c>
      <c r="N125" s="3163">
        <f>1-M125</f>
        <v>0</v>
      </c>
    </row>
    <row r="126" spans="1:15" ht="15" customHeight="1" x14ac:dyDescent="0.25">
      <c r="A126" s="3171"/>
      <c r="B126" s="3171"/>
      <c r="C126" s="3172"/>
      <c r="D126" s="3172"/>
      <c r="E126" s="3172"/>
      <c r="F126" s="3173"/>
      <c r="G126" s="3122"/>
      <c r="H126" s="3174"/>
      <c r="I126" s="3174"/>
      <c r="J126" s="3174"/>
      <c r="K126" s="3175"/>
      <c r="L126" s="3176"/>
      <c r="M126" s="3177"/>
      <c r="N126" s="3178"/>
    </row>
    <row r="127" spans="1:15" x14ac:dyDescent="0.25">
      <c r="A127" s="6621" t="s">
        <v>60</v>
      </c>
      <c r="B127" s="6621"/>
      <c r="C127" s="3158">
        <f>SUM(C106,C116,C121,C111,C125)</f>
        <v>12</v>
      </c>
      <c r="D127" s="3158">
        <f>SUM(D106,D116,D121,D111,D125)</f>
        <v>50</v>
      </c>
      <c r="E127" s="3158">
        <f>SUM(E106,E116,E121,E111,E125)</f>
        <v>29</v>
      </c>
      <c r="F127" s="3158">
        <f>SUM(F106,F116,F121,F111,F125)</f>
        <v>91</v>
      </c>
      <c r="G127" s="3122"/>
      <c r="H127" s="3159">
        <f>SUM(H106,H116,H121,H111,H125)</f>
        <v>4</v>
      </c>
      <c r="I127" s="3159">
        <f>SUM(I106,I116,I121,I111,I125)</f>
        <v>35</v>
      </c>
      <c r="J127" s="3159">
        <f>SUM(J106,J116,J121,J111,J125)</f>
        <v>20</v>
      </c>
      <c r="K127" s="3159">
        <f>SUM(K106,K116,K121,K111,K125)</f>
        <v>14</v>
      </c>
      <c r="L127" s="3159">
        <f>SUM(L106,L116,L121,L111,L125)</f>
        <v>73</v>
      </c>
      <c r="M127" s="3162">
        <f t="shared" si="7"/>
        <v>0.80219780219780223</v>
      </c>
      <c r="N127" s="3163">
        <f t="shared" si="8"/>
        <v>0.19780219780219777</v>
      </c>
    </row>
    <row r="128" spans="1:15" x14ac:dyDescent="0.25">
      <c r="A128" s="3122"/>
      <c r="B128" s="3122"/>
      <c r="C128" s="3122"/>
      <c r="D128" s="3122"/>
      <c r="E128" s="3122"/>
      <c r="F128" s="3122"/>
      <c r="G128" s="3122"/>
      <c r="H128" s="3122"/>
      <c r="I128" s="3122"/>
      <c r="J128" s="3122"/>
      <c r="K128" s="3122"/>
      <c r="L128" s="3122"/>
      <c r="M128" s="3122"/>
      <c r="N128" s="3182"/>
    </row>
    <row r="129" spans="1:14" ht="15.75" thickBot="1" x14ac:dyDescent="0.3">
      <c r="A129" s="6600" t="s">
        <v>1171</v>
      </c>
      <c r="B129" s="6601"/>
      <c r="C129" s="3183">
        <v>3</v>
      </c>
      <c r="D129" s="3184">
        <v>45</v>
      </c>
      <c r="E129" s="3184">
        <v>25</v>
      </c>
      <c r="F129" s="3185">
        <f>SUM(C129:E129)</f>
        <v>73</v>
      </c>
      <c r="G129" s="3122"/>
      <c r="H129" s="3122"/>
      <c r="I129" s="3122"/>
      <c r="J129" s="6586" t="s">
        <v>1173</v>
      </c>
      <c r="K129" s="6599"/>
      <c r="L129" s="3186">
        <f>F127-L127</f>
        <v>18</v>
      </c>
      <c r="M129" s="3122"/>
      <c r="N129" s="3182"/>
    </row>
    <row r="130" spans="1:14" x14ac:dyDescent="0.25">
      <c r="N130" s="3187"/>
    </row>
    <row r="131" spans="1:14" x14ac:dyDescent="0.25">
      <c r="N131" s="3187"/>
    </row>
    <row r="133" spans="1:14" x14ac:dyDescent="0.25">
      <c r="A133" s="6602" t="s">
        <v>51</v>
      </c>
      <c r="B133" s="6602" t="s">
        <v>685</v>
      </c>
      <c r="C133" s="6603" t="s">
        <v>1192</v>
      </c>
      <c r="D133" s="6604"/>
      <c r="E133" s="6604"/>
      <c r="F133" s="6605"/>
      <c r="G133" s="3215"/>
      <c r="H133" s="6603" t="s">
        <v>1193</v>
      </c>
      <c r="I133" s="6604"/>
      <c r="J133" s="6604"/>
      <c r="K133" s="6604"/>
      <c r="L133" s="6604"/>
      <c r="M133" s="6605"/>
      <c r="N133" s="3122"/>
    </row>
    <row r="134" spans="1:14" ht="30" x14ac:dyDescent="0.25">
      <c r="A134" s="6602"/>
      <c r="B134" s="6602"/>
      <c r="C134" s="3123" t="s">
        <v>801</v>
      </c>
      <c r="D134" s="3123" t="s">
        <v>616</v>
      </c>
      <c r="E134" s="3123" t="s">
        <v>617</v>
      </c>
      <c r="F134" s="3124" t="s">
        <v>12</v>
      </c>
      <c r="G134" s="3122"/>
      <c r="H134" s="3125" t="s">
        <v>1172</v>
      </c>
      <c r="I134" s="3125" t="s">
        <v>1162</v>
      </c>
      <c r="J134" s="3125" t="s">
        <v>1163</v>
      </c>
      <c r="K134" s="3125" t="s">
        <v>1164</v>
      </c>
      <c r="L134" s="3126" t="s">
        <v>12</v>
      </c>
      <c r="M134" s="3125" t="s">
        <v>1083</v>
      </c>
      <c r="N134" s="3127" t="s">
        <v>1084</v>
      </c>
    </row>
    <row r="135" spans="1:14" x14ac:dyDescent="0.25">
      <c r="A135" s="3128"/>
      <c r="B135" s="3128"/>
      <c r="C135" s="3122"/>
      <c r="D135" s="3122"/>
      <c r="E135" s="3122"/>
      <c r="F135" s="3128"/>
      <c r="G135" s="3122"/>
      <c r="H135" s="3128"/>
      <c r="I135" s="3122"/>
      <c r="J135" s="3122"/>
      <c r="K135" s="3122"/>
      <c r="L135" s="3128"/>
      <c r="M135" s="3128"/>
      <c r="N135" s="3129"/>
    </row>
    <row r="136" spans="1:14" x14ac:dyDescent="0.25">
      <c r="A136" s="6625" t="s">
        <v>3</v>
      </c>
      <c r="B136" s="3130" t="s">
        <v>5</v>
      </c>
      <c r="C136" s="3131"/>
      <c r="D136" s="3132">
        <v>5</v>
      </c>
      <c r="E136" s="3132">
        <v>4</v>
      </c>
      <c r="F136" s="3133">
        <f>SUM(C136:E136)</f>
        <v>9</v>
      </c>
      <c r="G136" s="3122"/>
      <c r="H136" s="3134"/>
      <c r="I136" s="3135">
        <v>2</v>
      </c>
      <c r="J136" s="3134">
        <v>2</v>
      </c>
      <c r="K136" s="3165">
        <v>2</v>
      </c>
      <c r="L136" s="3133">
        <f>SUM(H136:K136)</f>
        <v>6</v>
      </c>
      <c r="M136" s="3137">
        <f>L136/F136</f>
        <v>0.66666666666666663</v>
      </c>
      <c r="N136" s="3138">
        <f>1-M136</f>
        <v>0.33333333333333337</v>
      </c>
    </row>
    <row r="137" spans="1:14" x14ac:dyDescent="0.25">
      <c r="A137" s="6626"/>
      <c r="B137" s="3139" t="s">
        <v>6</v>
      </c>
      <c r="C137" s="3140">
        <v>3</v>
      </c>
      <c r="D137" s="3141">
        <v>5</v>
      </c>
      <c r="E137" s="3141">
        <v>2</v>
      </c>
      <c r="F137" s="3142">
        <f>SUM(C137:E137)</f>
        <v>10</v>
      </c>
      <c r="G137" s="3122"/>
      <c r="H137" s="3143"/>
      <c r="I137" s="3144">
        <v>3</v>
      </c>
      <c r="J137" s="3143">
        <v>3</v>
      </c>
      <c r="K137" s="3146">
        <v>1</v>
      </c>
      <c r="L137" s="3142">
        <f>SUM(H137:K137)</f>
        <v>7</v>
      </c>
      <c r="M137" s="3147">
        <f t="shared" ref="M137:M160" si="11">L137/F137</f>
        <v>0.7</v>
      </c>
      <c r="N137" s="3148">
        <f t="shared" ref="N137:N160" si="12">1-M137</f>
        <v>0.30000000000000004</v>
      </c>
    </row>
    <row r="138" spans="1:14" ht="15" customHeight="1" x14ac:dyDescent="0.25">
      <c r="A138" s="6626"/>
      <c r="B138" s="3149" t="s">
        <v>7</v>
      </c>
      <c r="C138" s="3150">
        <v>1</v>
      </c>
      <c r="D138" s="3151">
        <v>1</v>
      </c>
      <c r="E138" s="3151">
        <v>1</v>
      </c>
      <c r="F138" s="3152">
        <f>SUM(C138:E138)</f>
        <v>3</v>
      </c>
      <c r="G138" s="3122"/>
      <c r="H138" s="3153"/>
      <c r="I138" s="3154"/>
      <c r="J138" s="3153">
        <v>3</v>
      </c>
      <c r="K138" s="3155"/>
      <c r="L138" s="3152">
        <f>SUM(H138:K138)</f>
        <v>3</v>
      </c>
      <c r="M138" s="3156">
        <f t="shared" si="11"/>
        <v>1</v>
      </c>
      <c r="N138" s="3157">
        <f t="shared" si="12"/>
        <v>0</v>
      </c>
    </row>
    <row r="139" spans="1:14" x14ac:dyDescent="0.25">
      <c r="A139" s="6627"/>
      <c r="B139" s="3158" t="s">
        <v>12</v>
      </c>
      <c r="C139" s="3158">
        <f>SUM(C136:C138)</f>
        <v>4</v>
      </c>
      <c r="D139" s="3158">
        <f>SUM(D136:D138)</f>
        <v>11</v>
      </c>
      <c r="E139" s="3158">
        <f>SUM(E136:E138)</f>
        <v>7</v>
      </c>
      <c r="F139" s="3159">
        <f t="shared" ref="F139:K139" si="13">SUM(F136:F138)</f>
        <v>22</v>
      </c>
      <c r="G139" s="3122"/>
      <c r="H139" s="3159">
        <f>SUM(H136:H138)</f>
        <v>0</v>
      </c>
      <c r="I139" s="3160">
        <f t="shared" si="13"/>
        <v>5</v>
      </c>
      <c r="J139" s="3159">
        <f t="shared" si="13"/>
        <v>8</v>
      </c>
      <c r="K139" s="3161">
        <f t="shared" si="13"/>
        <v>3</v>
      </c>
      <c r="L139" s="3159">
        <f>SUM(L136:L138)</f>
        <v>16</v>
      </c>
      <c r="M139" s="3162">
        <f t="shared" si="11"/>
        <v>0.72727272727272729</v>
      </c>
      <c r="N139" s="3163">
        <f t="shared" si="12"/>
        <v>0.27272727272727271</v>
      </c>
    </row>
    <row r="140" spans="1:14" x14ac:dyDescent="0.25">
      <c r="A140" s="3164"/>
      <c r="B140" s="3164"/>
      <c r="C140" s="3164"/>
      <c r="D140" s="3164"/>
      <c r="E140" s="3164"/>
      <c r="F140" s="3164"/>
      <c r="G140" s="3164"/>
      <c r="H140" s="3164"/>
      <c r="I140" s="3164"/>
      <c r="J140" s="3164"/>
      <c r="K140" s="3164"/>
      <c r="L140" s="3164"/>
      <c r="M140" s="3164"/>
      <c r="N140" s="3164"/>
    </row>
    <row r="141" spans="1:14" ht="15" customHeight="1" x14ac:dyDescent="0.25">
      <c r="A141" s="6609" t="s">
        <v>8</v>
      </c>
      <c r="B141" s="3130" t="s">
        <v>6</v>
      </c>
      <c r="C141" s="3131"/>
      <c r="D141" s="3132">
        <v>1</v>
      </c>
      <c r="E141" s="3132">
        <v>1</v>
      </c>
      <c r="F141" s="3133">
        <f>SUM(C141:E141)</f>
        <v>2</v>
      </c>
      <c r="G141" s="3122"/>
      <c r="H141" s="3134"/>
      <c r="I141" s="3135"/>
      <c r="J141" s="3134"/>
      <c r="K141" s="3165">
        <v>2</v>
      </c>
      <c r="L141" s="3133">
        <f>SUM(H141:K141)</f>
        <v>2</v>
      </c>
      <c r="M141" s="3137">
        <f>L141/F141</f>
        <v>1</v>
      </c>
      <c r="N141" s="3138">
        <f>1-M141</f>
        <v>0</v>
      </c>
    </row>
    <row r="142" spans="1:14" x14ac:dyDescent="0.25">
      <c r="A142" s="6610"/>
      <c r="B142" s="3139" t="s">
        <v>9</v>
      </c>
      <c r="C142" s="3140"/>
      <c r="D142" s="3141">
        <v>1</v>
      </c>
      <c r="E142" s="3141"/>
      <c r="F142" s="3142">
        <f>SUM(C142:E142)</f>
        <v>1</v>
      </c>
      <c r="G142" s="3122"/>
      <c r="H142" s="3143"/>
      <c r="I142" s="3144"/>
      <c r="J142" s="3143"/>
      <c r="K142" s="3146"/>
      <c r="L142" s="3142"/>
      <c r="M142" s="3147">
        <f>L142/F142</f>
        <v>0</v>
      </c>
      <c r="N142" s="3148">
        <f>1-M142</f>
        <v>1</v>
      </c>
    </row>
    <row r="143" spans="1:14" x14ac:dyDescent="0.25">
      <c r="A143" s="6610"/>
      <c r="B143" s="3149" t="s">
        <v>74</v>
      </c>
      <c r="C143" s="3150">
        <v>1</v>
      </c>
      <c r="D143" s="3151">
        <v>1</v>
      </c>
      <c r="E143" s="3151">
        <v>1</v>
      </c>
      <c r="F143" s="3152">
        <f>SUM(C143:E143)</f>
        <v>3</v>
      </c>
      <c r="G143" s="3122"/>
      <c r="H143" s="3153"/>
      <c r="I143" s="3154"/>
      <c r="J143" s="3153"/>
      <c r="K143" s="3155">
        <v>2</v>
      </c>
      <c r="L143" s="3152">
        <f>SUM(H143:K143)</f>
        <v>2</v>
      </c>
      <c r="M143" s="3156">
        <f>L143/F143</f>
        <v>0.66666666666666663</v>
      </c>
      <c r="N143" s="3157">
        <f>1-M143</f>
        <v>0.33333333333333337</v>
      </c>
    </row>
    <row r="144" spans="1:14" x14ac:dyDescent="0.25">
      <c r="A144" s="6611"/>
      <c r="B144" s="3158" t="s">
        <v>12</v>
      </c>
      <c r="C144" s="3158">
        <f>SUM(C141:C143)</f>
        <v>1</v>
      </c>
      <c r="D144" s="3158">
        <f>SUM(D141:D143)</f>
        <v>3</v>
      </c>
      <c r="E144" s="3158">
        <f>SUM(E141:E143)</f>
        <v>2</v>
      </c>
      <c r="F144" s="3159">
        <f>SUM(F141:F143)</f>
        <v>6</v>
      </c>
      <c r="G144" s="3122"/>
      <c r="H144" s="3160">
        <f>SUM(H141:H143)</f>
        <v>0</v>
      </c>
      <c r="I144" s="3160">
        <f>SUM(I141:I143)</f>
        <v>0</v>
      </c>
      <c r="J144" s="3160">
        <f>SUM(J141:J143)</f>
        <v>0</v>
      </c>
      <c r="K144" s="3160">
        <f>SUM(K141:K143)</f>
        <v>4</v>
      </c>
      <c r="L144" s="3160">
        <f>SUM(L141:L143)</f>
        <v>4</v>
      </c>
      <c r="M144" s="3162">
        <f>L144/F144</f>
        <v>0.66666666666666663</v>
      </c>
      <c r="N144" s="3163">
        <f>1-M144</f>
        <v>0.33333333333333337</v>
      </c>
    </row>
    <row r="145" spans="1:14" x14ac:dyDescent="0.25">
      <c r="A145" s="3122"/>
      <c r="B145" s="3122"/>
      <c r="C145" s="3122"/>
      <c r="D145" s="3122"/>
      <c r="E145" s="3122"/>
      <c r="F145" s="3166"/>
      <c r="G145" s="3122"/>
      <c r="H145" s="3122"/>
      <c r="I145" s="3122"/>
      <c r="J145" s="3122"/>
      <c r="K145" s="3122"/>
      <c r="L145" s="3167"/>
      <c r="M145" s="3122"/>
      <c r="N145" s="3168"/>
    </row>
    <row r="146" spans="1:14" x14ac:dyDescent="0.25">
      <c r="A146" s="6628" t="s">
        <v>75</v>
      </c>
      <c r="B146" s="3130" t="s">
        <v>5</v>
      </c>
      <c r="C146" s="3131"/>
      <c r="D146" s="3132">
        <v>8</v>
      </c>
      <c r="E146" s="3132">
        <v>7</v>
      </c>
      <c r="F146" s="3133">
        <f>SUM(C146:E146)</f>
        <v>15</v>
      </c>
      <c r="G146" s="3122"/>
      <c r="H146" s="3134"/>
      <c r="I146" s="3135">
        <v>9</v>
      </c>
      <c r="J146" s="3134">
        <v>2</v>
      </c>
      <c r="K146" s="3165">
        <v>1</v>
      </c>
      <c r="L146" s="3133">
        <f t="shared" ref="L146:L153" si="14">SUM(I146:K146)</f>
        <v>12</v>
      </c>
      <c r="M146" s="3137">
        <f t="shared" si="11"/>
        <v>0.8</v>
      </c>
      <c r="N146" s="3138">
        <f t="shared" si="12"/>
        <v>0.19999999999999996</v>
      </c>
    </row>
    <row r="147" spans="1:14" ht="15" customHeight="1" x14ac:dyDescent="0.25">
      <c r="A147" s="6629"/>
      <c r="B147" s="3139" t="s">
        <v>6</v>
      </c>
      <c r="C147" s="3140">
        <v>1</v>
      </c>
      <c r="D147" s="3141">
        <v>3</v>
      </c>
      <c r="E147" s="3141">
        <v>3</v>
      </c>
      <c r="F147" s="3142">
        <f>SUM(C147:E147)</f>
        <v>7</v>
      </c>
      <c r="G147" s="3122"/>
      <c r="H147" s="3143">
        <v>3</v>
      </c>
      <c r="I147" s="3144">
        <v>1</v>
      </c>
      <c r="J147" s="3143">
        <v>2</v>
      </c>
      <c r="K147" s="3146"/>
      <c r="L147" s="3142">
        <f>SUM(H147:K147)</f>
        <v>6</v>
      </c>
      <c r="M147" s="3147">
        <f t="shared" si="11"/>
        <v>0.8571428571428571</v>
      </c>
      <c r="N147" s="3148">
        <f t="shared" si="12"/>
        <v>0.1428571428571429</v>
      </c>
    </row>
    <row r="148" spans="1:14" x14ac:dyDescent="0.25">
      <c r="A148" s="6629"/>
      <c r="B148" s="3149" t="s">
        <v>11</v>
      </c>
      <c r="C148" s="3150">
        <v>2</v>
      </c>
      <c r="D148" s="3151">
        <v>4</v>
      </c>
      <c r="E148" s="3151">
        <v>2</v>
      </c>
      <c r="F148" s="3152">
        <f>SUM(C148:E148)</f>
        <v>8</v>
      </c>
      <c r="G148" s="3122"/>
      <c r="H148" s="3153"/>
      <c r="I148" s="3154">
        <v>5</v>
      </c>
      <c r="J148" s="3153"/>
      <c r="K148" s="3155">
        <v>1</v>
      </c>
      <c r="L148" s="3152">
        <f t="shared" si="14"/>
        <v>6</v>
      </c>
      <c r="M148" s="3156">
        <f t="shared" si="11"/>
        <v>0.75</v>
      </c>
      <c r="N148" s="3157">
        <f t="shared" si="12"/>
        <v>0.25</v>
      </c>
    </row>
    <row r="149" spans="1:14" x14ac:dyDescent="0.25">
      <c r="A149" s="6630"/>
      <c r="B149" s="3158" t="s">
        <v>12</v>
      </c>
      <c r="C149" s="3159">
        <f>SUM(C146:C148)</f>
        <v>3</v>
      </c>
      <c r="D149" s="3159">
        <f>SUM(D146:D148)</f>
        <v>15</v>
      </c>
      <c r="E149" s="3159">
        <f>SUM(E146:E148)</f>
        <v>12</v>
      </c>
      <c r="F149" s="3159">
        <f>SUM(F146:F148)</f>
        <v>30</v>
      </c>
      <c r="G149" s="3122"/>
      <c r="H149" s="3160">
        <f>SUM(H146:H148)</f>
        <v>3</v>
      </c>
      <c r="I149" s="3160">
        <f>SUM(I146:I148)</f>
        <v>15</v>
      </c>
      <c r="J149" s="3160">
        <f>SUM(J146:J148)</f>
        <v>4</v>
      </c>
      <c r="K149" s="3160">
        <f>SUM(K146:K148)</f>
        <v>2</v>
      </c>
      <c r="L149" s="3160">
        <f>SUM(L146:L148)</f>
        <v>24</v>
      </c>
      <c r="M149" s="3162">
        <f t="shared" si="11"/>
        <v>0.8</v>
      </c>
      <c r="N149" s="3163">
        <f t="shared" si="12"/>
        <v>0.19999999999999996</v>
      </c>
    </row>
    <row r="150" spans="1:14" ht="15" customHeight="1" x14ac:dyDescent="0.25">
      <c r="A150" s="3170"/>
      <c r="B150" s="3171"/>
      <c r="C150" s="3172"/>
      <c r="D150" s="3172"/>
      <c r="E150" s="3172"/>
      <c r="F150" s="3173"/>
      <c r="G150" s="3122"/>
      <c r="H150" s="3174"/>
      <c r="I150" s="3174"/>
      <c r="J150" s="3174"/>
      <c r="K150" s="3175"/>
      <c r="L150" s="3176"/>
      <c r="M150" s="3177"/>
      <c r="N150" s="3178"/>
    </row>
    <row r="151" spans="1:14" x14ac:dyDescent="0.25">
      <c r="A151" s="6622" t="s">
        <v>10</v>
      </c>
      <c r="B151" s="3130" t="s">
        <v>6</v>
      </c>
      <c r="C151" s="3131">
        <v>1</v>
      </c>
      <c r="D151" s="3132">
        <v>8</v>
      </c>
      <c r="E151" s="3132">
        <v>2</v>
      </c>
      <c r="F151" s="3133">
        <f>SUM(C151:E151)</f>
        <v>11</v>
      </c>
      <c r="G151" s="3122"/>
      <c r="H151" s="3134"/>
      <c r="I151" s="3135">
        <v>5</v>
      </c>
      <c r="J151" s="3134">
        <v>3</v>
      </c>
      <c r="K151" s="3165">
        <v>1</v>
      </c>
      <c r="L151" s="3133">
        <f t="shared" si="14"/>
        <v>9</v>
      </c>
      <c r="M151" s="3137">
        <f t="shared" si="11"/>
        <v>0.81818181818181823</v>
      </c>
      <c r="N151" s="3138">
        <f t="shared" si="12"/>
        <v>0.18181818181818177</v>
      </c>
    </row>
    <row r="152" spans="1:14" x14ac:dyDescent="0.25">
      <c r="A152" s="6623"/>
      <c r="B152" s="3139" t="s">
        <v>11</v>
      </c>
      <c r="C152" s="3140">
        <v>3</v>
      </c>
      <c r="D152" s="3141">
        <v>7</v>
      </c>
      <c r="E152" s="3141">
        <v>2</v>
      </c>
      <c r="F152" s="3142">
        <f>SUM(C152:E152)</f>
        <v>12</v>
      </c>
      <c r="G152" s="3122"/>
      <c r="H152" s="3143"/>
      <c r="I152" s="3144">
        <v>5</v>
      </c>
      <c r="J152" s="3143">
        <v>2</v>
      </c>
      <c r="K152" s="3146">
        <v>1</v>
      </c>
      <c r="L152" s="3142">
        <f t="shared" si="14"/>
        <v>8</v>
      </c>
      <c r="M152" s="3147">
        <f t="shared" si="11"/>
        <v>0.66666666666666663</v>
      </c>
      <c r="N152" s="3148">
        <f t="shared" si="12"/>
        <v>0.33333333333333337</v>
      </c>
    </row>
    <row r="153" spans="1:14" x14ac:dyDescent="0.25">
      <c r="A153" s="6623"/>
      <c r="B153" s="3149" t="s">
        <v>7</v>
      </c>
      <c r="C153" s="3150"/>
      <c r="D153" s="3151">
        <v>3</v>
      </c>
      <c r="E153" s="3151">
        <v>1</v>
      </c>
      <c r="F153" s="3152">
        <f>SUM(C153:E153)</f>
        <v>4</v>
      </c>
      <c r="G153" s="3122"/>
      <c r="H153" s="3153"/>
      <c r="I153" s="3154">
        <v>1</v>
      </c>
      <c r="J153" s="3153">
        <v>1</v>
      </c>
      <c r="K153" s="3155"/>
      <c r="L153" s="3152">
        <f t="shared" si="14"/>
        <v>2</v>
      </c>
      <c r="M153" s="3156">
        <f t="shared" si="11"/>
        <v>0.5</v>
      </c>
      <c r="N153" s="3157">
        <f t="shared" si="12"/>
        <v>0.5</v>
      </c>
    </row>
    <row r="154" spans="1:14" x14ac:dyDescent="0.25">
      <c r="A154" s="6624"/>
      <c r="B154" s="3158" t="s">
        <v>12</v>
      </c>
      <c r="C154" s="3158">
        <f>SUM(C151:C153)</f>
        <v>4</v>
      </c>
      <c r="D154" s="3158">
        <f>SUM(D151:D153)</f>
        <v>18</v>
      </c>
      <c r="E154" s="3158">
        <f>SUM(E151:E153)</f>
        <v>5</v>
      </c>
      <c r="F154" s="3159">
        <f>SUM(F151:F153)</f>
        <v>27</v>
      </c>
      <c r="G154" s="3122"/>
      <c r="H154" s="3160">
        <f>SUM(H151:H153)</f>
        <v>0</v>
      </c>
      <c r="I154" s="3160">
        <f>SUM(I151:I153)</f>
        <v>11</v>
      </c>
      <c r="J154" s="3160">
        <f>SUM(J151:J153)</f>
        <v>6</v>
      </c>
      <c r="K154" s="3160">
        <f>SUM(K151:K153)</f>
        <v>2</v>
      </c>
      <c r="L154" s="3160">
        <f>SUM(L151:L153)</f>
        <v>19</v>
      </c>
      <c r="M154" s="3162">
        <f t="shared" si="11"/>
        <v>0.70370370370370372</v>
      </c>
      <c r="N154" s="3163">
        <f t="shared" si="12"/>
        <v>0.29629629629629628</v>
      </c>
    </row>
    <row r="155" spans="1:14" x14ac:dyDescent="0.25">
      <c r="A155" s="3179"/>
      <c r="B155" s="3179"/>
      <c r="C155" s="3179"/>
      <c r="D155" s="3179"/>
      <c r="E155" s="3179"/>
      <c r="F155" s="3179"/>
      <c r="G155" s="3179"/>
      <c r="H155" s="3179"/>
      <c r="I155" s="3179"/>
      <c r="J155" s="3179"/>
      <c r="K155" s="3179"/>
      <c r="L155" s="3179"/>
      <c r="M155" s="3179"/>
      <c r="N155" s="3180"/>
    </row>
    <row r="156" spans="1:14" x14ac:dyDescent="0.25">
      <c r="A156" s="6618" t="s">
        <v>1169</v>
      </c>
      <c r="B156" s="3130" t="s">
        <v>6</v>
      </c>
      <c r="C156" s="3131"/>
      <c r="D156" s="3132">
        <v>2</v>
      </c>
      <c r="E156" s="3132">
        <v>2</v>
      </c>
      <c r="F156" s="3133">
        <f>SUM(C156:E156)</f>
        <v>4</v>
      </c>
      <c r="G156" s="3122"/>
      <c r="H156" s="3134"/>
      <c r="I156" s="3135">
        <v>4</v>
      </c>
      <c r="J156" s="3134"/>
      <c r="K156" s="3165"/>
      <c r="L156" s="3133">
        <f>SUM(H156:K156)</f>
        <v>4</v>
      </c>
      <c r="M156" s="3137">
        <f>L156/F156</f>
        <v>1</v>
      </c>
      <c r="N156" s="3138">
        <f>1-M156</f>
        <v>0</v>
      </c>
    </row>
    <row r="157" spans="1:14" x14ac:dyDescent="0.25">
      <c r="A157" s="6619"/>
      <c r="B157" s="3139" t="s">
        <v>1170</v>
      </c>
      <c r="C157" s="3140"/>
      <c r="D157" s="3141"/>
      <c r="E157" s="3141">
        <v>1</v>
      </c>
      <c r="F157" s="3142">
        <f>SUM(C157:E157)</f>
        <v>1</v>
      </c>
      <c r="G157" s="3122"/>
      <c r="H157" s="3143"/>
      <c r="I157" s="3144">
        <v>1</v>
      </c>
      <c r="J157" s="3143"/>
      <c r="K157" s="3146"/>
      <c r="L157" s="3142">
        <f>SUM(H157:K157)</f>
        <v>1</v>
      </c>
      <c r="M157" s="3147">
        <f>L157/F157</f>
        <v>1</v>
      </c>
      <c r="N157" s="3148">
        <f>1-M157</f>
        <v>0</v>
      </c>
    </row>
    <row r="158" spans="1:14" x14ac:dyDescent="0.25">
      <c r="A158" s="6620"/>
      <c r="B158" s="3158" t="s">
        <v>12</v>
      </c>
      <c r="C158" s="3158">
        <f>SUM(C156:C157)</f>
        <v>0</v>
      </c>
      <c r="D158" s="3158">
        <f>SUM(D156:D157)</f>
        <v>2</v>
      </c>
      <c r="E158" s="3158">
        <f>SUM(E156:E157)</f>
        <v>3</v>
      </c>
      <c r="F158" s="3159">
        <f>SUM(F156:F157)</f>
        <v>5</v>
      </c>
      <c r="G158" s="3122"/>
      <c r="H158" s="3160">
        <f>SUM(H156:H157)</f>
        <v>0</v>
      </c>
      <c r="I158" s="3160">
        <f>SUM(I156:I157)</f>
        <v>5</v>
      </c>
      <c r="J158" s="3160">
        <f>SUM(J156:J157)</f>
        <v>0</v>
      </c>
      <c r="K158" s="3160">
        <f>SUM(K156:K157)</f>
        <v>0</v>
      </c>
      <c r="L158" s="3160">
        <f>SUM(L156:L157)</f>
        <v>5</v>
      </c>
      <c r="M158" s="3162">
        <f>L158/F158</f>
        <v>1</v>
      </c>
      <c r="N158" s="3163">
        <f>1-M158</f>
        <v>0</v>
      </c>
    </row>
    <row r="159" spans="1:14" x14ac:dyDescent="0.25">
      <c r="A159" s="3171"/>
      <c r="B159" s="3171"/>
      <c r="C159" s="3172"/>
      <c r="D159" s="3172"/>
      <c r="E159" s="3172"/>
      <c r="F159" s="3173"/>
      <c r="G159" s="3122"/>
      <c r="H159" s="3174"/>
      <c r="I159" s="3174"/>
      <c r="J159" s="3174"/>
      <c r="K159" s="3175"/>
      <c r="L159" s="3176"/>
      <c r="M159" s="3177"/>
      <c r="N159" s="3178"/>
    </row>
    <row r="160" spans="1:14" x14ac:dyDescent="0.25">
      <c r="A160" s="6621" t="s">
        <v>60</v>
      </c>
      <c r="B160" s="6621"/>
      <c r="C160" s="3158">
        <f>SUM(C139,C149,C154,C144,C158)</f>
        <v>12</v>
      </c>
      <c r="D160" s="3158">
        <f>SUM(D139,D149,D154,D144,D158)</f>
        <v>49</v>
      </c>
      <c r="E160" s="3158">
        <f>SUM(E139,E149,E154,E144,E158)</f>
        <v>29</v>
      </c>
      <c r="F160" s="3158">
        <f>SUM(F139,F149,F154,F144,F158)</f>
        <v>90</v>
      </c>
      <c r="G160" s="3122"/>
      <c r="H160" s="3159">
        <f>SUM(H139,H149,H154,H144,H158)</f>
        <v>3</v>
      </c>
      <c r="I160" s="3159">
        <f>SUM(I139,I149,I154,I144,I158)</f>
        <v>36</v>
      </c>
      <c r="J160" s="3159">
        <f>SUM(J139,J149,J154,J144,J158)</f>
        <v>18</v>
      </c>
      <c r="K160" s="3159">
        <f>SUM(K139,K149,K154,K144,K158)</f>
        <v>11</v>
      </c>
      <c r="L160" s="3159">
        <f>SUM(L139,L149,L154,L144,L158)</f>
        <v>68</v>
      </c>
      <c r="M160" s="3162">
        <f t="shared" si="11"/>
        <v>0.75555555555555554</v>
      </c>
      <c r="N160" s="3163">
        <f t="shared" si="12"/>
        <v>0.24444444444444446</v>
      </c>
    </row>
    <row r="161" spans="1:14" x14ac:dyDescent="0.25">
      <c r="A161" s="3122"/>
      <c r="B161" s="3122"/>
      <c r="C161" s="3122"/>
      <c r="D161" s="3122"/>
      <c r="E161" s="3122"/>
      <c r="F161" s="3122"/>
      <c r="G161" s="3122"/>
      <c r="H161" s="3122"/>
      <c r="I161" s="3122"/>
      <c r="J161" s="3122"/>
      <c r="K161" s="3122"/>
      <c r="L161" s="3122"/>
      <c r="M161" s="3122"/>
      <c r="N161" s="3182"/>
    </row>
    <row r="162" spans="1:14" ht="15.75" thickBot="1" x14ac:dyDescent="0.3">
      <c r="A162" s="6600" t="s">
        <v>1171</v>
      </c>
      <c r="B162" s="6601"/>
      <c r="C162" s="3183">
        <v>3</v>
      </c>
      <c r="D162" s="3184">
        <v>41</v>
      </c>
      <c r="E162" s="3184">
        <v>24</v>
      </c>
      <c r="F162" s="3185">
        <f>SUM(C162:E162)</f>
        <v>68</v>
      </c>
      <c r="G162" s="3122"/>
      <c r="H162" s="3122"/>
      <c r="I162" s="3122"/>
      <c r="J162" s="6586" t="s">
        <v>1173</v>
      </c>
      <c r="K162" s="6599"/>
      <c r="L162" s="3186">
        <f>F160-L160</f>
        <v>22</v>
      </c>
      <c r="M162" s="3122"/>
      <c r="N162" s="3182"/>
    </row>
    <row r="166" spans="1:14" x14ac:dyDescent="0.25">
      <c r="A166" s="6602" t="s">
        <v>51</v>
      </c>
      <c r="B166" s="6602" t="s">
        <v>685</v>
      </c>
      <c r="C166" s="6603" t="s">
        <v>1200</v>
      </c>
      <c r="D166" s="6604"/>
      <c r="E166" s="6604"/>
      <c r="F166" s="6605"/>
      <c r="G166" s="3215"/>
      <c r="H166" s="6603" t="s">
        <v>1199</v>
      </c>
      <c r="I166" s="6604"/>
      <c r="J166" s="6604"/>
      <c r="K166" s="6604"/>
      <c r="L166" s="6604"/>
      <c r="M166" s="6605"/>
      <c r="N166" s="3122"/>
    </row>
    <row r="167" spans="1:14" ht="30" x14ac:dyDescent="0.25">
      <c r="A167" s="6602"/>
      <c r="B167" s="6602"/>
      <c r="C167" s="3123" t="s">
        <v>801</v>
      </c>
      <c r="D167" s="3123" t="s">
        <v>616</v>
      </c>
      <c r="E167" s="3123" t="s">
        <v>617</v>
      </c>
      <c r="F167" s="3124" t="s">
        <v>12</v>
      </c>
      <c r="G167" s="3122"/>
      <c r="H167" s="3125" t="s">
        <v>1172</v>
      </c>
      <c r="I167" s="3125" t="s">
        <v>1162</v>
      </c>
      <c r="J167" s="3125" t="s">
        <v>1163</v>
      </c>
      <c r="K167" s="3125" t="s">
        <v>1164</v>
      </c>
      <c r="L167" s="3126" t="s">
        <v>12</v>
      </c>
      <c r="M167" s="3125" t="s">
        <v>1083</v>
      </c>
      <c r="N167" s="3127" t="s">
        <v>1084</v>
      </c>
    </row>
    <row r="168" spans="1:14" x14ac:dyDescent="0.25">
      <c r="A168" s="3128"/>
      <c r="B168" s="3128"/>
      <c r="C168" s="3122"/>
      <c r="D168" s="3122"/>
      <c r="E168" s="3122"/>
      <c r="F168" s="3128"/>
      <c r="G168" s="3122"/>
      <c r="H168" s="3128"/>
      <c r="I168" s="3122"/>
      <c r="J168" s="3122"/>
      <c r="K168" s="3122"/>
      <c r="L168" s="3128"/>
      <c r="M168" s="3128"/>
      <c r="N168" s="3129"/>
    </row>
    <row r="169" spans="1:14" x14ac:dyDescent="0.25">
      <c r="A169" s="6606" t="s">
        <v>3</v>
      </c>
      <c r="B169" s="3130" t="s">
        <v>5</v>
      </c>
      <c r="C169" s="3195"/>
      <c r="D169" s="3196">
        <v>5</v>
      </c>
      <c r="E169" s="3196">
        <v>4</v>
      </c>
      <c r="F169" s="3133">
        <f>SUM(C169:E169)</f>
        <v>9</v>
      </c>
      <c r="G169" s="3190"/>
      <c r="H169" s="3134"/>
      <c r="I169" s="3135">
        <v>2</v>
      </c>
      <c r="J169" s="3134">
        <v>2</v>
      </c>
      <c r="K169" s="3165">
        <v>1</v>
      </c>
      <c r="L169" s="3133">
        <f>SUM(H169:K169)</f>
        <v>5</v>
      </c>
      <c r="M169" s="3197">
        <f>L169/F169</f>
        <v>0.55555555555555558</v>
      </c>
      <c r="N169" s="3138">
        <f>1-M169</f>
        <v>0.44444444444444442</v>
      </c>
    </row>
    <row r="170" spans="1:14" x14ac:dyDescent="0.25">
      <c r="A170" s="6607"/>
      <c r="B170" s="3139" t="s">
        <v>6</v>
      </c>
      <c r="C170" s="3199">
        <v>3</v>
      </c>
      <c r="D170" s="3200">
        <v>5</v>
      </c>
      <c r="E170" s="3200">
        <v>2</v>
      </c>
      <c r="F170" s="3142">
        <f>SUM(C170:E170)</f>
        <v>10</v>
      </c>
      <c r="G170" s="3190"/>
      <c r="H170" s="3143"/>
      <c r="I170" s="3144">
        <v>2</v>
      </c>
      <c r="J170" s="3143">
        <v>4</v>
      </c>
      <c r="K170" s="3146"/>
      <c r="L170" s="3142">
        <f>SUM(H170:K170)</f>
        <v>6</v>
      </c>
      <c r="M170" s="3201">
        <f>L170/F170</f>
        <v>0.6</v>
      </c>
      <c r="N170" s="3148">
        <f>1-M170</f>
        <v>0.4</v>
      </c>
    </row>
    <row r="171" spans="1:14" x14ac:dyDescent="0.25">
      <c r="A171" s="6607"/>
      <c r="B171" s="3149" t="s">
        <v>7</v>
      </c>
      <c r="C171" s="3188">
        <v>1</v>
      </c>
      <c r="D171" s="3189">
        <v>1</v>
      </c>
      <c r="E171" s="3189">
        <v>1</v>
      </c>
      <c r="F171" s="3152">
        <f>SUM(C171:E171)</f>
        <v>3</v>
      </c>
      <c r="G171" s="3190"/>
      <c r="H171" s="3153"/>
      <c r="I171" s="3154"/>
      <c r="J171" s="3153">
        <v>3</v>
      </c>
      <c r="K171" s="3155"/>
      <c r="L171" s="3152">
        <f>SUM(H171:K171)</f>
        <v>3</v>
      </c>
      <c r="M171" s="3191">
        <f>L171/F171</f>
        <v>1</v>
      </c>
      <c r="N171" s="3157">
        <f>1-M171</f>
        <v>0</v>
      </c>
    </row>
    <row r="172" spans="1:14" x14ac:dyDescent="0.25">
      <c r="A172" s="6608"/>
      <c r="B172" s="3158" t="s">
        <v>12</v>
      </c>
      <c r="C172" s="3159">
        <f>SUM(C169:C171)</f>
        <v>4</v>
      </c>
      <c r="D172" s="3159">
        <f>SUM(D169:D171)</f>
        <v>11</v>
      </c>
      <c r="E172" s="3159">
        <f>SUM(E169:E171)</f>
        <v>7</v>
      </c>
      <c r="F172" s="3159">
        <f>SUM(F169:F171)</f>
        <v>22</v>
      </c>
      <c r="G172" s="3190"/>
      <c r="H172" s="3159">
        <f>SUM(H169:H171)</f>
        <v>0</v>
      </c>
      <c r="I172" s="3160">
        <f>SUM(I169:I171)</f>
        <v>4</v>
      </c>
      <c r="J172" s="3159">
        <f>SUM(J169:J171)</f>
        <v>9</v>
      </c>
      <c r="K172" s="3161">
        <f>SUM(K169:K171)</f>
        <v>1</v>
      </c>
      <c r="L172" s="3159">
        <f>SUM(L169:L171)</f>
        <v>14</v>
      </c>
      <c r="M172" s="3193">
        <f>L172/F172</f>
        <v>0.63636363636363635</v>
      </c>
      <c r="N172" s="3163">
        <f>1-M172</f>
        <v>0.36363636363636365</v>
      </c>
    </row>
    <row r="173" spans="1:14" x14ac:dyDescent="0.25">
      <c r="A173" s="3164"/>
      <c r="B173" s="3164"/>
      <c r="C173" s="3164"/>
      <c r="D173" s="3164"/>
      <c r="E173" s="3164"/>
      <c r="F173" s="3164"/>
      <c r="G173" s="3164"/>
      <c r="H173" s="3164"/>
      <c r="I173" s="3164"/>
      <c r="J173" s="3164"/>
      <c r="K173" s="3164"/>
      <c r="L173" s="3164"/>
      <c r="M173" s="3164"/>
      <c r="N173" s="3164"/>
    </row>
    <row r="174" spans="1:14" x14ac:dyDescent="0.25">
      <c r="A174" s="6609" t="s">
        <v>8</v>
      </c>
      <c r="B174" s="3130" t="s">
        <v>6</v>
      </c>
      <c r="C174" s="3195"/>
      <c r="D174" s="3196">
        <v>1</v>
      </c>
      <c r="E174" s="3196">
        <v>1</v>
      </c>
      <c r="F174" s="3133">
        <f>SUM(C174:E174)</f>
        <v>2</v>
      </c>
      <c r="G174" s="3190"/>
      <c r="H174" s="3134"/>
      <c r="I174" s="3135"/>
      <c r="J174" s="3134"/>
      <c r="K174" s="3165">
        <v>2</v>
      </c>
      <c r="L174" s="3133">
        <f>SUM(H174:K174)</f>
        <v>2</v>
      </c>
      <c r="M174" s="3197">
        <f>L174/F174</f>
        <v>1</v>
      </c>
      <c r="N174" s="3138">
        <f>1-M174</f>
        <v>0</v>
      </c>
    </row>
    <row r="175" spans="1:14" x14ac:dyDescent="0.25">
      <c r="A175" s="6610"/>
      <c r="B175" s="3139" t="s">
        <v>9</v>
      </c>
      <c r="C175" s="3199"/>
      <c r="D175" s="3200">
        <v>1</v>
      </c>
      <c r="E175" s="3200"/>
      <c r="F175" s="3142">
        <f>SUM(C175:E175)</f>
        <v>1</v>
      </c>
      <c r="G175" s="3190"/>
      <c r="H175" s="3143"/>
      <c r="I175" s="3144"/>
      <c r="J175" s="3143"/>
      <c r="K175" s="3146"/>
      <c r="L175" s="3142"/>
      <c r="M175" s="3201">
        <f>L175/F175</f>
        <v>0</v>
      </c>
      <c r="N175" s="3148">
        <f>1-M175</f>
        <v>1</v>
      </c>
    </row>
    <row r="176" spans="1:14" ht="15" customHeight="1" x14ac:dyDescent="0.25">
      <c r="A176" s="6610"/>
      <c r="B176" s="3149" t="s">
        <v>74</v>
      </c>
      <c r="C176" s="3188">
        <v>1</v>
      </c>
      <c r="D176" s="3189">
        <v>1</v>
      </c>
      <c r="E176" s="3189">
        <v>1</v>
      </c>
      <c r="F176" s="3152">
        <f>SUM(C176:E176)</f>
        <v>3</v>
      </c>
      <c r="G176" s="3190"/>
      <c r="H176" s="3153"/>
      <c r="I176" s="3154"/>
      <c r="J176" s="3153"/>
      <c r="K176" s="3155"/>
      <c r="L176" s="3152"/>
      <c r="M176" s="3191">
        <f>L176/F176</f>
        <v>0</v>
      </c>
      <c r="N176" s="3157">
        <f>1-M176</f>
        <v>1</v>
      </c>
    </row>
    <row r="177" spans="1:14" x14ac:dyDescent="0.25">
      <c r="A177" s="6611"/>
      <c r="B177" s="3158" t="s">
        <v>12</v>
      </c>
      <c r="C177" s="3159">
        <f>SUM(C174:C176)</f>
        <v>1</v>
      </c>
      <c r="D177" s="3159">
        <f>SUM(D174:D176)</f>
        <v>3</v>
      </c>
      <c r="E177" s="3159">
        <f>SUM(E174:E176)</f>
        <v>2</v>
      </c>
      <c r="F177" s="3159">
        <f>SUM(F174:F176)</f>
        <v>6</v>
      </c>
      <c r="G177" s="3190"/>
      <c r="H177" s="3160">
        <f>SUM(H174:H176)</f>
        <v>0</v>
      </c>
      <c r="I177" s="3160">
        <f>SUM(I174:I176)</f>
        <v>0</v>
      </c>
      <c r="J177" s="3160">
        <f>SUM(J174:J176)</f>
        <v>0</v>
      </c>
      <c r="K177" s="3160">
        <f>SUM(K174:K176)</f>
        <v>2</v>
      </c>
      <c r="L177" s="3160">
        <f>SUM(L174:L176)</f>
        <v>2</v>
      </c>
      <c r="M177" s="3193">
        <f>L177/F177</f>
        <v>0.33333333333333331</v>
      </c>
      <c r="N177" s="3163">
        <f>1-M177</f>
        <v>0.66666666666666674</v>
      </c>
    </row>
    <row r="178" spans="1:14" x14ac:dyDescent="0.25">
      <c r="A178" s="3122"/>
      <c r="B178" s="3122"/>
      <c r="C178" s="3190"/>
      <c r="D178" s="3190"/>
      <c r="E178" s="3190"/>
      <c r="F178" s="3272"/>
      <c r="G178" s="3190"/>
      <c r="H178" s="3190"/>
      <c r="I178" s="3190"/>
      <c r="J178" s="3190"/>
      <c r="K178" s="3190"/>
      <c r="L178" s="3273"/>
      <c r="M178" s="3190"/>
      <c r="N178" s="3168"/>
    </row>
    <row r="179" spans="1:14" x14ac:dyDescent="0.25">
      <c r="A179" s="6612" t="s">
        <v>75</v>
      </c>
      <c r="B179" s="3130" t="s">
        <v>5</v>
      </c>
      <c r="C179" s="3195"/>
      <c r="D179" s="3196">
        <v>7</v>
      </c>
      <c r="E179" s="3196">
        <v>6</v>
      </c>
      <c r="F179" s="3133">
        <f>SUM(C179:E179)</f>
        <v>13</v>
      </c>
      <c r="G179" s="3190"/>
      <c r="H179" s="3134"/>
      <c r="I179" s="3135">
        <v>8</v>
      </c>
      <c r="J179" s="3134">
        <v>3</v>
      </c>
      <c r="K179" s="3165">
        <v>1</v>
      </c>
      <c r="L179" s="3133">
        <f>SUM(I179:K179)</f>
        <v>12</v>
      </c>
      <c r="M179" s="3197">
        <f>L179/F179</f>
        <v>0.92307692307692313</v>
      </c>
      <c r="N179" s="3138">
        <f>1-M179</f>
        <v>7.6923076923076872E-2</v>
      </c>
    </row>
    <row r="180" spans="1:14" x14ac:dyDescent="0.25">
      <c r="A180" s="6613"/>
      <c r="B180" s="3139" t="s">
        <v>6</v>
      </c>
      <c r="C180" s="3199">
        <v>1</v>
      </c>
      <c r="D180" s="3200">
        <v>3</v>
      </c>
      <c r="E180" s="3200">
        <v>3</v>
      </c>
      <c r="F180" s="3142">
        <f>SUM(C180:E180)</f>
        <v>7</v>
      </c>
      <c r="G180" s="3190"/>
      <c r="H180" s="3143">
        <v>2</v>
      </c>
      <c r="I180" s="3144">
        <v>2</v>
      </c>
      <c r="J180" s="3143">
        <v>2</v>
      </c>
      <c r="K180" s="3146"/>
      <c r="L180" s="3142">
        <f>SUM(H180:K180)</f>
        <v>6</v>
      </c>
      <c r="M180" s="3201">
        <f>L180/F180</f>
        <v>0.8571428571428571</v>
      </c>
      <c r="N180" s="3148">
        <f>1-M180</f>
        <v>0.1428571428571429</v>
      </c>
    </row>
    <row r="181" spans="1:14" x14ac:dyDescent="0.25">
      <c r="A181" s="6613"/>
      <c r="B181" s="3149" t="s">
        <v>11</v>
      </c>
      <c r="C181" s="3188">
        <v>2</v>
      </c>
      <c r="D181" s="3189">
        <v>4</v>
      </c>
      <c r="E181" s="3189">
        <v>2</v>
      </c>
      <c r="F181" s="3152">
        <f>SUM(C181:E181)</f>
        <v>8</v>
      </c>
      <c r="G181" s="3190"/>
      <c r="H181" s="3153"/>
      <c r="I181" s="3154">
        <v>5</v>
      </c>
      <c r="J181" s="3153"/>
      <c r="K181" s="3155"/>
      <c r="L181" s="3152">
        <f>SUM(I181:K181)</f>
        <v>5</v>
      </c>
      <c r="M181" s="3191">
        <f>L181/F181</f>
        <v>0.625</v>
      </c>
      <c r="N181" s="3157">
        <f>1-M181</f>
        <v>0.375</v>
      </c>
    </row>
    <row r="182" spans="1:14" x14ac:dyDescent="0.25">
      <c r="A182" s="6614"/>
      <c r="B182" s="3158" t="s">
        <v>12</v>
      </c>
      <c r="C182" s="3159">
        <f>SUM(C179:C181)</f>
        <v>3</v>
      </c>
      <c r="D182" s="3159">
        <f>SUM(D179:D181)</f>
        <v>14</v>
      </c>
      <c r="E182" s="3159">
        <f>SUM(E179:E181)</f>
        <v>11</v>
      </c>
      <c r="F182" s="3159">
        <f>SUM(F179:F181)</f>
        <v>28</v>
      </c>
      <c r="G182" s="3190"/>
      <c r="H182" s="3160">
        <f>SUM(H179:H181)</f>
        <v>2</v>
      </c>
      <c r="I182" s="3160">
        <f>SUM(I179:I181)</f>
        <v>15</v>
      </c>
      <c r="J182" s="3160">
        <f>SUM(J179:J181)</f>
        <v>5</v>
      </c>
      <c r="K182" s="3160">
        <f>SUM(K179:K181)</f>
        <v>1</v>
      </c>
      <c r="L182" s="3160">
        <f>SUM(L179:L181)</f>
        <v>23</v>
      </c>
      <c r="M182" s="3193">
        <f>L182/F182</f>
        <v>0.8214285714285714</v>
      </c>
      <c r="N182" s="3163">
        <f>1-M182</f>
        <v>0.1785714285714286</v>
      </c>
    </row>
    <row r="183" spans="1:14" x14ac:dyDescent="0.25">
      <c r="A183" s="3170"/>
      <c r="B183" s="3171"/>
      <c r="C183" s="3172"/>
      <c r="D183" s="3172"/>
      <c r="E183" s="3172"/>
      <c r="F183" s="3173"/>
      <c r="G183" s="3122"/>
      <c r="H183" s="3174"/>
      <c r="I183" s="3174"/>
      <c r="J183" s="3174"/>
      <c r="K183" s="3175"/>
      <c r="L183" s="3176"/>
      <c r="M183" s="3177"/>
      <c r="N183" s="3178"/>
    </row>
    <row r="184" spans="1:14" x14ac:dyDescent="0.25">
      <c r="A184" s="6615" t="s">
        <v>10</v>
      </c>
      <c r="B184" s="3130" t="s">
        <v>6</v>
      </c>
      <c r="C184" s="3131">
        <v>1</v>
      </c>
      <c r="D184" s="3132">
        <v>8</v>
      </c>
      <c r="E184" s="3132">
        <v>2</v>
      </c>
      <c r="F184" s="3133">
        <f>SUM(C184:E184)</f>
        <v>11</v>
      </c>
      <c r="G184" s="3122"/>
      <c r="H184" s="3134"/>
      <c r="I184" s="3135">
        <v>5</v>
      </c>
      <c r="J184" s="3134">
        <v>3</v>
      </c>
      <c r="K184" s="3165">
        <v>1</v>
      </c>
      <c r="L184" s="3133">
        <f>SUM(I184:K184)</f>
        <v>9</v>
      </c>
      <c r="M184" s="3137">
        <f>L184/F184</f>
        <v>0.81818181818181823</v>
      </c>
      <c r="N184" s="3138">
        <f>1-M184</f>
        <v>0.18181818181818177</v>
      </c>
    </row>
    <row r="185" spans="1:14" x14ac:dyDescent="0.25">
      <c r="A185" s="6616"/>
      <c r="B185" s="3139" t="s">
        <v>11</v>
      </c>
      <c r="C185" s="3140">
        <v>3</v>
      </c>
      <c r="D185" s="3141">
        <v>7</v>
      </c>
      <c r="E185" s="3141">
        <v>1</v>
      </c>
      <c r="F185" s="3142">
        <f>SUM(C185:E185)</f>
        <v>11</v>
      </c>
      <c r="G185" s="3122"/>
      <c r="H185" s="3143"/>
      <c r="I185" s="3144">
        <v>4</v>
      </c>
      <c r="J185" s="3143">
        <v>3</v>
      </c>
      <c r="K185" s="3146"/>
      <c r="L185" s="3142">
        <f>SUM(I185:K185)</f>
        <v>7</v>
      </c>
      <c r="M185" s="3147">
        <f>L185/F185</f>
        <v>0.63636363636363635</v>
      </c>
      <c r="N185" s="3148">
        <f>1-M185</f>
        <v>0.36363636363636365</v>
      </c>
    </row>
    <row r="186" spans="1:14" x14ac:dyDescent="0.25">
      <c r="A186" s="6616"/>
      <c r="B186" s="3149" t="s">
        <v>7</v>
      </c>
      <c r="C186" s="3150"/>
      <c r="D186" s="3151">
        <v>3</v>
      </c>
      <c r="E186" s="3151">
        <v>1</v>
      </c>
      <c r="F186" s="3152">
        <f>SUM(C186:E186)</f>
        <v>4</v>
      </c>
      <c r="G186" s="3122"/>
      <c r="H186" s="3153"/>
      <c r="I186" s="3154">
        <v>1</v>
      </c>
      <c r="J186" s="3153">
        <v>1</v>
      </c>
      <c r="K186" s="3155"/>
      <c r="L186" s="3152">
        <f>SUM(I186:K186)</f>
        <v>2</v>
      </c>
      <c r="M186" s="3156">
        <f>L186/F186</f>
        <v>0.5</v>
      </c>
      <c r="N186" s="3157">
        <f>1-M186</f>
        <v>0.5</v>
      </c>
    </row>
    <row r="187" spans="1:14" ht="15" customHeight="1" x14ac:dyDescent="0.25">
      <c r="A187" s="6617"/>
      <c r="B187" s="3158" t="s">
        <v>12</v>
      </c>
      <c r="C187" s="3158">
        <f>SUM(C184:C186)</f>
        <v>4</v>
      </c>
      <c r="D187" s="3158">
        <f>SUM(D184:D186)</f>
        <v>18</v>
      </c>
      <c r="E187" s="3158">
        <f>SUM(E184:E186)</f>
        <v>4</v>
      </c>
      <c r="F187" s="3159">
        <f>SUM(F184:F186)</f>
        <v>26</v>
      </c>
      <c r="G187" s="3122"/>
      <c r="H187" s="3160">
        <f>SUM(H184:H186)</f>
        <v>0</v>
      </c>
      <c r="I187" s="3160">
        <f>SUM(I184:I186)</f>
        <v>10</v>
      </c>
      <c r="J187" s="3160">
        <f>SUM(J184:J186)</f>
        <v>7</v>
      </c>
      <c r="K187" s="3160">
        <f>SUM(K184:K186)</f>
        <v>1</v>
      </c>
      <c r="L187" s="3160">
        <f>SUM(L184:L186)</f>
        <v>18</v>
      </c>
      <c r="M187" s="3162">
        <f>L187/F187</f>
        <v>0.69230769230769229</v>
      </c>
      <c r="N187" s="3163">
        <f>1-M187</f>
        <v>0.30769230769230771</v>
      </c>
    </row>
    <row r="188" spans="1:14" x14ac:dyDescent="0.25">
      <c r="A188" s="3179"/>
      <c r="B188" s="3179"/>
      <c r="C188" s="3179"/>
      <c r="D188" s="3179"/>
      <c r="E188" s="3179"/>
      <c r="F188" s="3179"/>
      <c r="G188" s="3179"/>
      <c r="H188" s="3179"/>
      <c r="I188" s="3179"/>
      <c r="J188" s="3179"/>
      <c r="K188" s="3179"/>
      <c r="L188" s="3179"/>
      <c r="M188" s="3179"/>
      <c r="N188" s="3180"/>
    </row>
    <row r="189" spans="1:14" x14ac:dyDescent="0.25">
      <c r="A189" s="6618" t="s">
        <v>1169</v>
      </c>
      <c r="B189" s="3130" t="s">
        <v>6</v>
      </c>
      <c r="C189" s="3131"/>
      <c r="D189" s="3132">
        <v>2</v>
      </c>
      <c r="E189" s="3132">
        <v>2</v>
      </c>
      <c r="F189" s="3133">
        <f>SUM(C189:E189)</f>
        <v>4</v>
      </c>
      <c r="G189" s="3122"/>
      <c r="H189" s="3134"/>
      <c r="I189" s="3135">
        <v>4</v>
      </c>
      <c r="J189" s="3134"/>
      <c r="K189" s="3165"/>
      <c r="L189" s="3133">
        <f>SUM(H189:K189)</f>
        <v>4</v>
      </c>
      <c r="M189" s="3137">
        <f>L189/F189</f>
        <v>1</v>
      </c>
      <c r="N189" s="3138">
        <f>1-M189</f>
        <v>0</v>
      </c>
    </row>
    <row r="190" spans="1:14" x14ac:dyDescent="0.25">
      <c r="A190" s="6619"/>
      <c r="B190" s="3139" t="s">
        <v>1170</v>
      </c>
      <c r="C190" s="3140"/>
      <c r="D190" s="3141"/>
      <c r="E190" s="3141">
        <v>1</v>
      </c>
      <c r="F190" s="3142">
        <f>SUM(C190:E190)</f>
        <v>1</v>
      </c>
      <c r="G190" s="3122"/>
      <c r="H190" s="3143"/>
      <c r="I190" s="3144">
        <v>1</v>
      </c>
      <c r="J190" s="3143"/>
      <c r="K190" s="3146"/>
      <c r="L190" s="3142">
        <f>SUM(H190:K190)</f>
        <v>1</v>
      </c>
      <c r="M190" s="3147">
        <f>L190/F190</f>
        <v>1</v>
      </c>
      <c r="N190" s="3148">
        <f>1-M190</f>
        <v>0</v>
      </c>
    </row>
    <row r="191" spans="1:14" x14ac:dyDescent="0.25">
      <c r="A191" s="6620"/>
      <c r="B191" s="3158" t="s">
        <v>12</v>
      </c>
      <c r="C191" s="3158">
        <f>SUM(C189:C190)</f>
        <v>0</v>
      </c>
      <c r="D191" s="3158">
        <f>SUM(D189:D190)</f>
        <v>2</v>
      </c>
      <c r="E191" s="3158">
        <f>SUM(E189:E190)</f>
        <v>3</v>
      </c>
      <c r="F191" s="3159">
        <f>SUM(F189:F190)</f>
        <v>5</v>
      </c>
      <c r="G191" s="3122"/>
      <c r="H191" s="3160">
        <f>SUM(H189:H190)</f>
        <v>0</v>
      </c>
      <c r="I191" s="3160">
        <f>SUM(I189:I190)</f>
        <v>5</v>
      </c>
      <c r="J191" s="3160">
        <f>SUM(J189:J190)</f>
        <v>0</v>
      </c>
      <c r="K191" s="3160">
        <f>SUM(K189:K190)</f>
        <v>0</v>
      </c>
      <c r="L191" s="3160">
        <f>SUM(L189:L190)</f>
        <v>5</v>
      </c>
      <c r="M191" s="3162">
        <f>L191/F191</f>
        <v>1</v>
      </c>
      <c r="N191" s="3163">
        <f>1-M191</f>
        <v>0</v>
      </c>
    </row>
    <row r="192" spans="1:14" x14ac:dyDescent="0.25">
      <c r="A192" s="3171"/>
      <c r="B192" s="3171"/>
      <c r="C192" s="3172"/>
      <c r="D192" s="3172"/>
      <c r="E192" s="3172"/>
      <c r="F192" s="3173"/>
      <c r="G192" s="3122"/>
      <c r="H192" s="3174"/>
      <c r="I192" s="3174"/>
      <c r="J192" s="3174"/>
      <c r="K192" s="3175"/>
      <c r="L192" s="3176"/>
      <c r="M192" s="3177"/>
      <c r="N192" s="3178"/>
    </row>
    <row r="193" spans="1:14" x14ac:dyDescent="0.25">
      <c r="A193" s="6621" t="s">
        <v>60</v>
      </c>
      <c r="B193" s="6621"/>
      <c r="C193" s="3158">
        <f>SUM(C172,C182,C187,C177,C191)</f>
        <v>12</v>
      </c>
      <c r="D193" s="3158">
        <f>SUM(D172,D182,D187,D177,D191)</f>
        <v>48</v>
      </c>
      <c r="E193" s="3158">
        <f>SUM(E172,E182,E187,E177,E191)</f>
        <v>27</v>
      </c>
      <c r="F193" s="3158">
        <f>SUM(F172,F182,F187,F177,F191)</f>
        <v>87</v>
      </c>
      <c r="G193" s="3122"/>
      <c r="H193" s="3159">
        <f>SUM(H172,H182,H187,H177,H191)</f>
        <v>2</v>
      </c>
      <c r="I193" s="3159">
        <f>SUM(I172,I182,I187,I177,I191)</f>
        <v>34</v>
      </c>
      <c r="J193" s="3159">
        <f>SUM(J172,J182,J187,J177,J191)</f>
        <v>21</v>
      </c>
      <c r="K193" s="3159">
        <f>SUM(K172,K182,K187,K177,K191)</f>
        <v>5</v>
      </c>
      <c r="L193" s="3660">
        <f>SUM(L172,L182,L187,L177,L191)</f>
        <v>62</v>
      </c>
      <c r="M193" s="3162">
        <f>L193/F193</f>
        <v>0.71264367816091956</v>
      </c>
      <c r="N193" s="3163">
        <f>1-M193</f>
        <v>0.28735632183908044</v>
      </c>
    </row>
    <row r="194" spans="1:14" x14ac:dyDescent="0.25">
      <c r="A194" s="3122"/>
      <c r="B194" s="3122"/>
      <c r="C194" s="3122"/>
      <c r="D194" s="3122"/>
      <c r="E194" s="3122"/>
      <c r="F194" s="3122"/>
      <c r="G194" s="3122"/>
      <c r="H194" s="3122"/>
      <c r="I194" s="3122"/>
      <c r="J194" s="3122"/>
      <c r="K194" s="3122"/>
      <c r="L194" s="3122"/>
      <c r="M194" s="3122"/>
      <c r="N194" s="3182"/>
    </row>
    <row r="195" spans="1:14" ht="15.75" thickBot="1" x14ac:dyDescent="0.3">
      <c r="A195" s="3128" t="s">
        <v>1196</v>
      </c>
      <c r="B195" s="3122"/>
      <c r="C195" s="3122"/>
      <c r="D195" s="3122"/>
      <c r="E195" s="3122"/>
      <c r="F195" s="3122"/>
      <c r="G195" s="3122"/>
      <c r="H195" s="3122"/>
      <c r="I195" s="3122"/>
      <c r="J195" s="6586" t="s">
        <v>1173</v>
      </c>
      <c r="K195" s="6599"/>
      <c r="L195" s="3186">
        <f>F193-L193</f>
        <v>25</v>
      </c>
      <c r="M195" s="3122"/>
      <c r="N195" s="3182"/>
    </row>
    <row r="199" spans="1:14" x14ac:dyDescent="0.25">
      <c r="A199" s="6595" t="s">
        <v>51</v>
      </c>
      <c r="B199" s="6595" t="s">
        <v>685</v>
      </c>
      <c r="C199" s="6589" t="s">
        <v>1198</v>
      </c>
      <c r="D199" s="6590"/>
      <c r="E199" s="6590"/>
      <c r="F199" s="6591"/>
      <c r="G199" s="3215"/>
      <c r="H199" s="6589" t="s">
        <v>1197</v>
      </c>
      <c r="I199" s="6590"/>
      <c r="J199" s="6590"/>
      <c r="K199" s="6590"/>
      <c r="L199" s="6590"/>
      <c r="M199" s="6591"/>
    </row>
    <row r="200" spans="1:14" ht="24" x14ac:dyDescent="0.25">
      <c r="A200" s="6595"/>
      <c r="B200" s="6595"/>
      <c r="C200" s="3227" t="s">
        <v>801</v>
      </c>
      <c r="D200" s="3227" t="s">
        <v>616</v>
      </c>
      <c r="E200" s="3227" t="s">
        <v>617</v>
      </c>
      <c r="F200" s="3226" t="s">
        <v>12</v>
      </c>
      <c r="H200" s="3270" t="s">
        <v>1172</v>
      </c>
      <c r="I200" s="3270" t="s">
        <v>1162</v>
      </c>
      <c r="J200" s="3270" t="s">
        <v>1163</v>
      </c>
      <c r="K200" s="3270" t="s">
        <v>1164</v>
      </c>
      <c r="L200" s="3269" t="s">
        <v>12</v>
      </c>
      <c r="M200" s="3268" t="s">
        <v>1083</v>
      </c>
    </row>
    <row r="201" spans="1:14" x14ac:dyDescent="0.25">
      <c r="A201" s="3267"/>
      <c r="B201" s="3267"/>
      <c r="F201" s="3267"/>
      <c r="H201" s="3267"/>
      <c r="L201" s="3267"/>
      <c r="M201" s="3267"/>
    </row>
    <row r="202" spans="1:14" x14ac:dyDescent="0.25">
      <c r="A202" s="6596" t="s">
        <v>3</v>
      </c>
      <c r="B202" s="3263" t="s">
        <v>5</v>
      </c>
      <c r="C202" s="3262"/>
      <c r="D202" s="3261">
        <v>3</v>
      </c>
      <c r="E202" s="3261">
        <v>2</v>
      </c>
      <c r="F202" s="3257">
        <f>SUM(C202:E202)</f>
        <v>5</v>
      </c>
      <c r="H202" s="3259"/>
      <c r="I202" s="3260">
        <v>2</v>
      </c>
      <c r="J202" s="3259">
        <v>2</v>
      </c>
      <c r="K202" s="3258"/>
      <c r="L202" s="3257">
        <f>SUM(I202:K202)</f>
        <v>4</v>
      </c>
      <c r="M202" s="3256">
        <f>L202/F202</f>
        <v>0.8</v>
      </c>
    </row>
    <row r="203" spans="1:14" x14ac:dyDescent="0.25">
      <c r="A203" s="6597"/>
      <c r="B203" s="3255" t="s">
        <v>6</v>
      </c>
      <c r="C203" s="3254">
        <v>3</v>
      </c>
      <c r="D203" s="3253">
        <v>5</v>
      </c>
      <c r="E203" s="3253">
        <v>3</v>
      </c>
      <c r="F203" s="3249">
        <f>SUM(C203:E203)</f>
        <v>11</v>
      </c>
      <c r="H203" s="3251"/>
      <c r="I203" s="3252">
        <v>4</v>
      </c>
      <c r="J203" s="3251">
        <v>4</v>
      </c>
      <c r="K203" s="3250">
        <v>1</v>
      </c>
      <c r="L203" s="3249">
        <f>SUM(H203:K203)</f>
        <v>9</v>
      </c>
      <c r="M203" s="3248">
        <f>L203/F203</f>
        <v>0.81818181818181823</v>
      </c>
    </row>
    <row r="204" spans="1:14" x14ac:dyDescent="0.25">
      <c r="A204" s="6597"/>
      <c r="B204" s="3247" t="s">
        <v>7</v>
      </c>
      <c r="C204" s="3246">
        <v>1</v>
      </c>
      <c r="D204" s="3245">
        <v>1</v>
      </c>
      <c r="E204" s="3245">
        <v>1</v>
      </c>
      <c r="F204" s="3241">
        <f>SUM(C204:E204)</f>
        <v>3</v>
      </c>
      <c r="H204" s="3243"/>
      <c r="I204" s="3244"/>
      <c r="J204" s="3243">
        <v>3</v>
      </c>
      <c r="K204" s="3242"/>
      <c r="L204" s="3241">
        <f>SUM(I204:K204)</f>
        <v>3</v>
      </c>
      <c r="M204" s="3240">
        <f>L204/F204</f>
        <v>1</v>
      </c>
    </row>
    <row r="205" spans="1:14" ht="15" customHeight="1" x14ac:dyDescent="0.25">
      <c r="A205" s="6598"/>
      <c r="B205" s="3231" t="s">
        <v>12</v>
      </c>
      <c r="C205" s="3231">
        <f>SUM(C202:C204)</f>
        <v>4</v>
      </c>
      <c r="D205" s="3231">
        <f>SUM(D202:D204)</f>
        <v>9</v>
      </c>
      <c r="E205" s="3231">
        <f>SUM(E202:E204)</f>
        <v>6</v>
      </c>
      <c r="F205" s="3271">
        <f>SUM(F202:F204)</f>
        <v>19</v>
      </c>
      <c r="H205" s="3271">
        <f>SUM(H202:H204)</f>
        <v>0</v>
      </c>
      <c r="I205" s="3239">
        <f>SUM(I202:I204)</f>
        <v>6</v>
      </c>
      <c r="J205" s="3271">
        <f>SUM(J202:J204)</f>
        <v>9</v>
      </c>
      <c r="K205" s="3266">
        <f>SUM(K202:K204)</f>
        <v>1</v>
      </c>
      <c r="L205" s="3271">
        <f>SUM(L202:L204)</f>
        <v>16</v>
      </c>
      <c r="M205" s="3230">
        <f>L205/F205</f>
        <v>0.84210526315789469</v>
      </c>
    </row>
    <row r="206" spans="1:14" x14ac:dyDescent="0.25">
      <c r="F206" s="3264"/>
      <c r="L206" s="3167"/>
    </row>
    <row r="207" spans="1:14" x14ac:dyDescent="0.25">
      <c r="A207" s="6575" t="s">
        <v>75</v>
      </c>
      <c r="B207" s="3263" t="s">
        <v>5</v>
      </c>
      <c r="C207" s="3262"/>
      <c r="D207" s="3261">
        <v>7</v>
      </c>
      <c r="E207" s="3261">
        <v>6</v>
      </c>
      <c r="F207" s="3257">
        <f>SUM(C207:E207)</f>
        <v>13</v>
      </c>
      <c r="H207" s="3259"/>
      <c r="I207" s="3260">
        <v>8</v>
      </c>
      <c r="J207" s="3259">
        <v>3</v>
      </c>
      <c r="K207" s="3258">
        <v>1</v>
      </c>
      <c r="L207" s="3257">
        <f>SUM(I207:K207)</f>
        <v>12</v>
      </c>
      <c r="M207" s="3256">
        <f>L207/F207</f>
        <v>0.92307692307692313</v>
      </c>
    </row>
    <row r="208" spans="1:14" x14ac:dyDescent="0.25">
      <c r="A208" s="6576"/>
      <c r="B208" s="3255" t="s">
        <v>6</v>
      </c>
      <c r="C208" s="3254">
        <v>1</v>
      </c>
      <c r="D208" s="3253">
        <v>4</v>
      </c>
      <c r="E208" s="3253">
        <v>4</v>
      </c>
      <c r="F208" s="3249">
        <f>SUM(C208:E208)</f>
        <v>9</v>
      </c>
      <c r="H208" s="3251">
        <v>2</v>
      </c>
      <c r="I208" s="3252">
        <v>4</v>
      </c>
      <c r="J208" s="3251">
        <v>2</v>
      </c>
      <c r="K208" s="3250"/>
      <c r="L208" s="3249">
        <f>SUM(H208:K208)</f>
        <v>8</v>
      </c>
      <c r="M208" s="3248">
        <f>L208/F208</f>
        <v>0.88888888888888884</v>
      </c>
    </row>
    <row r="209" spans="1:13" x14ac:dyDescent="0.25">
      <c r="A209" s="6576"/>
      <c r="B209" s="3247" t="s">
        <v>11</v>
      </c>
      <c r="C209" s="3246">
        <v>2</v>
      </c>
      <c r="D209" s="3245">
        <v>3</v>
      </c>
      <c r="E209" s="3245">
        <v>3</v>
      </c>
      <c r="F209" s="3241">
        <f>SUM(C209:E209)</f>
        <v>8</v>
      </c>
      <c r="H209" s="3243"/>
      <c r="I209" s="3244">
        <v>6</v>
      </c>
      <c r="J209" s="3243"/>
      <c r="K209" s="3242"/>
      <c r="L209" s="3241">
        <f>SUM(I209:K209)</f>
        <v>6</v>
      </c>
      <c r="M209" s="3240">
        <f>L209/F209</f>
        <v>0.75</v>
      </c>
    </row>
    <row r="210" spans="1:13" x14ac:dyDescent="0.25">
      <c r="A210" s="6577"/>
      <c r="B210" s="3231" t="s">
        <v>12</v>
      </c>
      <c r="C210" s="3231">
        <f>SUM(C207:C209)</f>
        <v>3</v>
      </c>
      <c r="D210" s="3231">
        <f>SUM(D207:D209)</f>
        <v>14</v>
      </c>
      <c r="E210" s="3231">
        <f>SUM(E207:E209)</f>
        <v>13</v>
      </c>
      <c r="F210" s="3271">
        <f>SUM(F207:F209)</f>
        <v>30</v>
      </c>
      <c r="H210" s="3239">
        <f>SUM(H207:H209)</f>
        <v>2</v>
      </c>
      <c r="I210" s="3239">
        <f>SUM(I207:I209)</f>
        <v>18</v>
      </c>
      <c r="J210" s="3239">
        <f>SUM(J207:J209)</f>
        <v>5</v>
      </c>
      <c r="K210" s="3239">
        <f>SUM(K207:K209)</f>
        <v>1</v>
      </c>
      <c r="L210" s="3239">
        <f>SUM(L207:L209)</f>
        <v>26</v>
      </c>
      <c r="M210" s="3230">
        <f>L210/F210</f>
        <v>0.8666666666666667</v>
      </c>
    </row>
    <row r="211" spans="1:13" x14ac:dyDescent="0.25">
      <c r="A211" s="3265"/>
      <c r="B211" s="3238"/>
      <c r="C211" s="3237"/>
      <c r="D211" s="3237"/>
      <c r="E211" s="3237"/>
      <c r="F211" s="3236"/>
      <c r="H211" s="3235"/>
      <c r="I211" s="3235"/>
      <c r="J211" s="3235"/>
      <c r="K211" s="3234"/>
      <c r="L211" s="3233"/>
      <c r="M211" s="3232"/>
    </row>
    <row r="212" spans="1:13" x14ac:dyDescent="0.25">
      <c r="A212" s="6579" t="s">
        <v>10</v>
      </c>
      <c r="B212" s="3263" t="s">
        <v>6</v>
      </c>
      <c r="C212" s="3274">
        <v>2</v>
      </c>
      <c r="D212" s="3275">
        <v>7</v>
      </c>
      <c r="E212" s="3275">
        <v>2</v>
      </c>
      <c r="F212" s="3257">
        <f>SUM(C212:E212)</f>
        <v>11</v>
      </c>
      <c r="G212" s="3276"/>
      <c r="H212" s="3259"/>
      <c r="I212" s="3260">
        <v>4</v>
      </c>
      <c r="J212" s="3259">
        <v>4</v>
      </c>
      <c r="K212" s="3258"/>
      <c r="L212" s="3257">
        <f>SUM(I212:K212)</f>
        <v>8</v>
      </c>
      <c r="M212" s="3256">
        <f>L212/F212</f>
        <v>0.72727272727272729</v>
      </c>
    </row>
    <row r="213" spans="1:13" x14ac:dyDescent="0.25">
      <c r="A213" s="6580"/>
      <c r="B213" s="3255" t="s">
        <v>11</v>
      </c>
      <c r="C213" s="3277">
        <v>2</v>
      </c>
      <c r="D213" s="3278">
        <v>6</v>
      </c>
      <c r="E213" s="3278">
        <v>1</v>
      </c>
      <c r="F213" s="3249">
        <f>SUM(C213:E213)</f>
        <v>9</v>
      </c>
      <c r="G213" s="3276"/>
      <c r="H213" s="3251"/>
      <c r="I213" s="3252">
        <v>4</v>
      </c>
      <c r="J213" s="3251">
        <v>3</v>
      </c>
      <c r="K213" s="3250"/>
      <c r="L213" s="3249">
        <f>SUM(I213:K213)</f>
        <v>7</v>
      </c>
      <c r="M213" s="3248">
        <f>L213/F213</f>
        <v>0.77777777777777779</v>
      </c>
    </row>
    <row r="214" spans="1:13" x14ac:dyDescent="0.25">
      <c r="A214" s="6580"/>
      <c r="B214" s="3247" t="s">
        <v>7</v>
      </c>
      <c r="C214" s="3279"/>
      <c r="D214" s="3280">
        <v>3</v>
      </c>
      <c r="E214" s="3280">
        <v>1</v>
      </c>
      <c r="F214" s="3241">
        <f>SUM(C214:E214)</f>
        <v>4</v>
      </c>
      <c r="G214" s="3276"/>
      <c r="H214" s="3243"/>
      <c r="I214" s="3244">
        <v>1</v>
      </c>
      <c r="J214" s="3243"/>
      <c r="K214" s="3242">
        <v>1</v>
      </c>
      <c r="L214" s="3241">
        <f>SUM(I214:K214)</f>
        <v>2</v>
      </c>
      <c r="M214" s="3240">
        <f>L214/F214</f>
        <v>0.5</v>
      </c>
    </row>
    <row r="215" spans="1:13" x14ac:dyDescent="0.25">
      <c r="A215" s="6581"/>
      <c r="B215" s="3231" t="s">
        <v>12</v>
      </c>
      <c r="C215" s="3271">
        <f>SUM(C212:C214)</f>
        <v>4</v>
      </c>
      <c r="D215" s="3271">
        <f>SUM(D212:D214)</f>
        <v>16</v>
      </c>
      <c r="E215" s="3271">
        <f>SUM(E212:E214)</f>
        <v>4</v>
      </c>
      <c r="F215" s="3271">
        <f>SUM(F212:F214)</f>
        <v>24</v>
      </c>
      <c r="G215" s="3276"/>
      <c r="H215" s="3239">
        <f>SUM(H212:H214)</f>
        <v>0</v>
      </c>
      <c r="I215" s="3239">
        <f>SUM(I212:I214)</f>
        <v>9</v>
      </c>
      <c r="J215" s="3239">
        <f>SUM(J212:J214)</f>
        <v>7</v>
      </c>
      <c r="K215" s="3239">
        <f>SUM(K212:K214)</f>
        <v>1</v>
      </c>
      <c r="L215" s="3239">
        <f>SUM(L212:L214)</f>
        <v>17</v>
      </c>
      <c r="M215" s="3230">
        <f>L215/F215</f>
        <v>0.70833333333333337</v>
      </c>
    </row>
    <row r="216" spans="1:13" x14ac:dyDescent="0.25">
      <c r="F216" s="3264"/>
      <c r="L216" s="3167"/>
    </row>
    <row r="217" spans="1:13" x14ac:dyDescent="0.25">
      <c r="A217" s="6582" t="s">
        <v>8</v>
      </c>
      <c r="B217" s="3263" t="s">
        <v>6</v>
      </c>
      <c r="C217" s="3262"/>
      <c r="D217" s="3261">
        <v>1</v>
      </c>
      <c r="E217" s="3261">
        <v>1</v>
      </c>
      <c r="F217" s="3257">
        <f>SUM(C217:E217)</f>
        <v>2</v>
      </c>
      <c r="H217" s="3259"/>
      <c r="I217" s="3260"/>
      <c r="J217" s="3259"/>
      <c r="K217" s="3258"/>
      <c r="L217" s="3257">
        <f>SUM(I217:K217)</f>
        <v>0</v>
      </c>
      <c r="M217" s="3256">
        <f>L217/F217</f>
        <v>0</v>
      </c>
    </row>
    <row r="218" spans="1:13" ht="15" customHeight="1" x14ac:dyDescent="0.25">
      <c r="A218" s="6583"/>
      <c r="B218" s="3255" t="s">
        <v>9</v>
      </c>
      <c r="C218" s="3254"/>
      <c r="D218" s="3253"/>
      <c r="E218" s="3253"/>
      <c r="F218" s="3249"/>
      <c r="H218" s="3251"/>
      <c r="I218" s="3252"/>
      <c r="J218" s="3251"/>
      <c r="K218" s="3250"/>
      <c r="L218" s="3249"/>
      <c r="M218" s="3248"/>
    </row>
    <row r="219" spans="1:13" x14ac:dyDescent="0.25">
      <c r="A219" s="6583"/>
      <c r="B219" s="3247" t="s">
        <v>74</v>
      </c>
      <c r="C219" s="3246"/>
      <c r="D219" s="3245"/>
      <c r="E219" s="3245"/>
      <c r="F219" s="3241"/>
      <c r="H219" s="3243"/>
      <c r="I219" s="3244"/>
      <c r="J219" s="3243"/>
      <c r="K219" s="3242"/>
      <c r="L219" s="3241"/>
      <c r="M219" s="3240"/>
    </row>
    <row r="220" spans="1:13" x14ac:dyDescent="0.25">
      <c r="A220" s="6584"/>
      <c r="B220" s="3231" t="s">
        <v>12</v>
      </c>
      <c r="C220" s="3231">
        <f>SUM(C217:C219)</f>
        <v>0</v>
      </c>
      <c r="D220" s="3231">
        <f>SUM(D217:D219)</f>
        <v>1</v>
      </c>
      <c r="E220" s="3231">
        <f>SUM(E217:E219)</f>
        <v>1</v>
      </c>
      <c r="F220" s="3271">
        <f>SUM(F217:F219)</f>
        <v>2</v>
      </c>
      <c r="H220" s="3239">
        <f>SUM(H217:H219)</f>
        <v>0</v>
      </c>
      <c r="I220" s="3239">
        <f>SUM(I217:I219)</f>
        <v>0</v>
      </c>
      <c r="J220" s="3239">
        <f>SUM(J217:J219)</f>
        <v>0</v>
      </c>
      <c r="K220" s="3239">
        <f>SUM(K217:K219)</f>
        <v>0</v>
      </c>
      <c r="L220" s="3239">
        <f>SUM(L217:L219)</f>
        <v>0</v>
      </c>
      <c r="M220" s="3230">
        <f>L220/F220</f>
        <v>0</v>
      </c>
    </row>
    <row r="221" spans="1:13" x14ac:dyDescent="0.25">
      <c r="A221" s="3238"/>
      <c r="B221" s="3238"/>
      <c r="C221" s="3237"/>
      <c r="D221" s="3237"/>
      <c r="E221" s="3237"/>
      <c r="F221" s="3236"/>
      <c r="H221" s="3235"/>
      <c r="I221" s="3235"/>
      <c r="J221" s="3235"/>
      <c r="K221" s="3234"/>
      <c r="L221" s="3233"/>
      <c r="M221" s="3232"/>
    </row>
    <row r="222" spans="1:13" x14ac:dyDescent="0.25">
      <c r="A222" s="6585" t="s">
        <v>60</v>
      </c>
      <c r="B222" s="6585"/>
      <c r="C222" s="3231">
        <f>SUM(C205,C210,C215,C220)</f>
        <v>11</v>
      </c>
      <c r="D222" s="3231">
        <f>SUM(D205,D210,D215,D220)</f>
        <v>40</v>
      </c>
      <c r="E222" s="3231">
        <f>SUM(E205,E210,E215,E220)</f>
        <v>24</v>
      </c>
      <c r="F222" s="3271">
        <f>SUM(F205,F210,F215,F220)</f>
        <v>75</v>
      </c>
      <c r="H222" s="3271">
        <f>SUM(H205,H210,H215,H220)</f>
        <v>2</v>
      </c>
      <c r="I222" s="3271">
        <f>SUM(I205,I210,I215,I220)</f>
        <v>33</v>
      </c>
      <c r="J222" s="3271">
        <f>SUM(J205,J210,J215,J220)</f>
        <v>21</v>
      </c>
      <c r="K222" s="3271">
        <f>SUM(K205,K210,K215,K220)</f>
        <v>3</v>
      </c>
      <c r="L222" s="3661">
        <f>SUM(L205,L210,L215,L220)</f>
        <v>59</v>
      </c>
      <c r="M222" s="3230">
        <f>L222/F222</f>
        <v>0.78666666666666663</v>
      </c>
    </row>
    <row r="224" spans="1:13" ht="15.75" thickBot="1" x14ac:dyDescent="0.3">
      <c r="A224" s="3229" t="s">
        <v>1196</v>
      </c>
      <c r="K224" s="6586" t="s">
        <v>1173</v>
      </c>
      <c r="L224" s="6587"/>
      <c r="M224" s="3186">
        <f>F222-L222</f>
        <v>16</v>
      </c>
    </row>
    <row r="226" spans="1:13" x14ac:dyDescent="0.25">
      <c r="A226" s="6588" t="s">
        <v>51</v>
      </c>
      <c r="B226" s="6588" t="s">
        <v>685</v>
      </c>
      <c r="C226" s="6589" t="s">
        <v>1195</v>
      </c>
      <c r="D226" s="6590"/>
      <c r="E226" s="6590"/>
      <c r="F226" s="6591"/>
      <c r="H226" s="6592" t="s">
        <v>1194</v>
      </c>
      <c r="I226" s="6593"/>
      <c r="J226" s="6593"/>
      <c r="K226" s="6593"/>
      <c r="L226" s="6593"/>
      <c r="M226" s="6594"/>
    </row>
    <row r="227" spans="1:13" ht="24" x14ac:dyDescent="0.25">
      <c r="A227" s="6588"/>
      <c r="B227" s="6588"/>
      <c r="C227" s="3227" t="s">
        <v>801</v>
      </c>
      <c r="D227" s="3227" t="s">
        <v>616</v>
      </c>
      <c r="E227" s="3227" t="s">
        <v>617</v>
      </c>
      <c r="F227" s="3226" t="s">
        <v>12</v>
      </c>
      <c r="H227" s="3225" t="s">
        <v>1172</v>
      </c>
      <c r="I227" s="3225" t="s">
        <v>1162</v>
      </c>
      <c r="J227" s="3225" t="s">
        <v>1163</v>
      </c>
      <c r="K227" s="3225" t="s">
        <v>1164</v>
      </c>
      <c r="L227" s="3010" t="s">
        <v>12</v>
      </c>
      <c r="M227" s="3010" t="s">
        <v>1083</v>
      </c>
    </row>
    <row r="228" spans="1:13" x14ac:dyDescent="0.25">
      <c r="A228" s="3011"/>
      <c r="B228" s="3011"/>
      <c r="C228"/>
      <c r="D228"/>
      <c r="E228"/>
      <c r="F228"/>
      <c r="H228" s="3011"/>
      <c r="I228"/>
      <c r="J228"/>
      <c r="K228"/>
      <c r="L228" s="3011"/>
      <c r="M228" s="3011"/>
    </row>
    <row r="229" spans="1:13" x14ac:dyDescent="0.25">
      <c r="A229" s="6091" t="s">
        <v>3</v>
      </c>
      <c r="B229" s="3284" t="s">
        <v>5</v>
      </c>
      <c r="C229" s="3285"/>
      <c r="D229" s="3286">
        <v>3</v>
      </c>
      <c r="E229" s="3287">
        <v>2</v>
      </c>
      <c r="F229" s="3288">
        <f>SUM(C229:E229)</f>
        <v>5</v>
      </c>
      <c r="H229" s="3284"/>
      <c r="I229" s="3289">
        <v>2</v>
      </c>
      <c r="J229" s="3284">
        <v>2</v>
      </c>
      <c r="K229" s="3290"/>
      <c r="L229" s="3284">
        <v>4</v>
      </c>
      <c r="M229" s="3291">
        <v>0.8</v>
      </c>
    </row>
    <row r="230" spans="1:13" ht="15" customHeight="1" x14ac:dyDescent="0.25">
      <c r="A230" s="6092"/>
      <c r="B230" s="3292" t="s">
        <v>6</v>
      </c>
      <c r="C230" s="3293">
        <v>3</v>
      </c>
      <c r="D230" s="3294">
        <v>5</v>
      </c>
      <c r="E230" s="3295">
        <v>3</v>
      </c>
      <c r="F230" s="3296">
        <f>SUM(C230:E230)</f>
        <v>11</v>
      </c>
      <c r="H230" s="3292">
        <v>1</v>
      </c>
      <c r="I230" s="3297">
        <v>4</v>
      </c>
      <c r="J230" s="3292">
        <v>1</v>
      </c>
      <c r="K230" s="3298">
        <v>3</v>
      </c>
      <c r="L230" s="3292">
        <v>9</v>
      </c>
      <c r="M230" s="3299">
        <v>0.81818181818181823</v>
      </c>
    </row>
    <row r="231" spans="1:13" x14ac:dyDescent="0.25">
      <c r="A231" s="6092"/>
      <c r="B231" s="3300" t="s">
        <v>7</v>
      </c>
      <c r="C231" s="3301">
        <v>1</v>
      </c>
      <c r="D231" s="3302">
        <v>1</v>
      </c>
      <c r="E231" s="3303">
        <v>1</v>
      </c>
      <c r="F231" s="3304">
        <f>SUM(C231:E231)</f>
        <v>3</v>
      </c>
      <c r="H231" s="3300"/>
      <c r="I231" s="3305">
        <v>1</v>
      </c>
      <c r="J231" s="3300">
        <v>2</v>
      </c>
      <c r="K231" s="3306"/>
      <c r="L231" s="3300">
        <v>3</v>
      </c>
      <c r="M231" s="3307">
        <v>1</v>
      </c>
    </row>
    <row r="232" spans="1:13" x14ac:dyDescent="0.25">
      <c r="A232" s="6093"/>
      <c r="B232" s="3228" t="s">
        <v>12</v>
      </c>
      <c r="C232" s="3281">
        <f>SUM(C229:C231)</f>
        <v>4</v>
      </c>
      <c r="D232" s="3281">
        <f>SUM(D229:D231)</f>
        <v>9</v>
      </c>
      <c r="E232" s="3281">
        <f>SUM(E229:E231)</f>
        <v>6</v>
      </c>
      <c r="F232" s="3281">
        <f>SUM(C232:E232)</f>
        <v>19</v>
      </c>
      <c r="H232" s="3228">
        <v>1</v>
      </c>
      <c r="I232" s="3223">
        <v>7</v>
      </c>
      <c r="J232" s="3228">
        <v>5</v>
      </c>
      <c r="K232" s="3222">
        <v>3</v>
      </c>
      <c r="L232" s="3228">
        <v>16</v>
      </c>
      <c r="M232" s="3216">
        <v>0.84210526315789469</v>
      </c>
    </row>
    <row r="233" spans="1:13" x14ac:dyDescent="0.25">
      <c r="A233" s="3025"/>
      <c r="B233" s="3219"/>
      <c r="C233" s="89"/>
      <c r="D233" s="89"/>
      <c r="E233" s="89"/>
      <c r="F233" s="3282"/>
      <c r="H233" s="3219"/>
      <c r="I233" s="3219"/>
      <c r="J233" s="3219"/>
      <c r="K233" s="3219"/>
      <c r="L233" s="23"/>
      <c r="M233" s="3224"/>
    </row>
    <row r="234" spans="1:13" x14ac:dyDescent="0.25">
      <c r="A234" s="6091" t="s">
        <v>75</v>
      </c>
      <c r="B234" s="3115" t="s">
        <v>5</v>
      </c>
      <c r="C234" s="3285"/>
      <c r="D234" s="3286">
        <v>7</v>
      </c>
      <c r="E234" s="3287">
        <v>6</v>
      </c>
      <c r="F234" s="3288">
        <f>SUM(C234:E234)</f>
        <v>13</v>
      </c>
      <c r="H234" s="3284"/>
      <c r="I234" s="3289">
        <v>8</v>
      </c>
      <c r="J234" s="3284">
        <v>2</v>
      </c>
      <c r="K234" s="3290"/>
      <c r="L234" s="3284">
        <v>10</v>
      </c>
      <c r="M234" s="3291">
        <v>0.76923076923076927</v>
      </c>
    </row>
    <row r="235" spans="1:13" x14ac:dyDescent="0.25">
      <c r="A235" s="6092"/>
      <c r="B235" s="3116" t="s">
        <v>6</v>
      </c>
      <c r="C235" s="3293">
        <v>1</v>
      </c>
      <c r="D235" s="3294">
        <v>4</v>
      </c>
      <c r="E235" s="3295">
        <v>4</v>
      </c>
      <c r="F235" s="3296">
        <f>SUM(C235:E235)</f>
        <v>9</v>
      </c>
      <c r="H235" s="3292"/>
      <c r="I235" s="3297">
        <v>6</v>
      </c>
      <c r="J235" s="3292">
        <v>2</v>
      </c>
      <c r="K235" s="3298"/>
      <c r="L235" s="3292">
        <v>8</v>
      </c>
      <c r="M235" s="3299">
        <v>0.88888888888888884</v>
      </c>
    </row>
    <row r="236" spans="1:13" x14ac:dyDescent="0.25">
      <c r="A236" s="6092"/>
      <c r="B236" s="3117" t="s">
        <v>11</v>
      </c>
      <c r="C236" s="3301">
        <v>2</v>
      </c>
      <c r="D236" s="3302">
        <v>3</v>
      </c>
      <c r="E236" s="3303">
        <v>3</v>
      </c>
      <c r="F236" s="3304">
        <f>SUM(C236:E236)</f>
        <v>8</v>
      </c>
      <c r="H236" s="3300"/>
      <c r="I236" s="3305">
        <v>6</v>
      </c>
      <c r="J236" s="3300"/>
      <c r="K236" s="3306"/>
      <c r="L236" s="3300">
        <v>6</v>
      </c>
      <c r="M236" s="3307">
        <v>0.75</v>
      </c>
    </row>
    <row r="237" spans="1:13" x14ac:dyDescent="0.25">
      <c r="A237" s="6093"/>
      <c r="B237" s="3228" t="s">
        <v>12</v>
      </c>
      <c r="C237" s="3281">
        <f>SUM(C234:C236)</f>
        <v>3</v>
      </c>
      <c r="D237" s="3281">
        <f>SUM(D234:D236)</f>
        <v>14</v>
      </c>
      <c r="E237" s="3281">
        <f>SUM(E234:E236)</f>
        <v>13</v>
      </c>
      <c r="F237" s="3281">
        <f>SUM(C237:E237)</f>
        <v>30</v>
      </c>
      <c r="H237" s="3228"/>
      <c r="I237" s="3223">
        <v>20</v>
      </c>
      <c r="J237" s="3228">
        <v>4</v>
      </c>
      <c r="K237" s="3222">
        <v>0</v>
      </c>
      <c r="L237" s="3228">
        <v>24</v>
      </c>
      <c r="M237" s="3216">
        <v>0.8</v>
      </c>
    </row>
    <row r="238" spans="1:13" x14ac:dyDescent="0.25">
      <c r="A238" s="3026"/>
      <c r="B238" s="3283"/>
      <c r="C238" s="89"/>
      <c r="D238" s="89"/>
      <c r="E238" s="89"/>
      <c r="F238" s="3282"/>
      <c r="H238" s="3219"/>
      <c r="I238" s="3219"/>
      <c r="J238" s="3219"/>
      <c r="K238" s="3218"/>
      <c r="L238" s="3218"/>
      <c r="M238" s="3217"/>
    </row>
    <row r="239" spans="1:13" x14ac:dyDescent="0.25">
      <c r="A239" s="6091" t="s">
        <v>10</v>
      </c>
      <c r="B239" s="3115" t="s">
        <v>6</v>
      </c>
      <c r="C239" s="3285">
        <v>2</v>
      </c>
      <c r="D239" s="3286">
        <v>7</v>
      </c>
      <c r="E239" s="3287">
        <v>2</v>
      </c>
      <c r="F239" s="3288">
        <f>SUM(C239:E239)</f>
        <v>11</v>
      </c>
      <c r="H239" s="3284"/>
      <c r="I239" s="3289">
        <v>4</v>
      </c>
      <c r="J239" s="3284">
        <v>4</v>
      </c>
      <c r="K239" s="3290"/>
      <c r="L239" s="3284">
        <v>8</v>
      </c>
      <c r="M239" s="3291">
        <v>0.72727272727272729</v>
      </c>
    </row>
    <row r="240" spans="1:13" ht="45" customHeight="1" x14ac:dyDescent="0.25">
      <c r="A240" s="6092"/>
      <c r="B240" s="3116" t="s">
        <v>11</v>
      </c>
      <c r="C240" s="3293">
        <v>2</v>
      </c>
      <c r="D240" s="3294">
        <v>6</v>
      </c>
      <c r="E240" s="3295">
        <v>1</v>
      </c>
      <c r="F240" s="3296">
        <f>SUM(C240:E240)</f>
        <v>9</v>
      </c>
      <c r="H240" s="3292"/>
      <c r="I240" s="3297">
        <v>5</v>
      </c>
      <c r="J240" s="3292">
        <v>2</v>
      </c>
      <c r="K240" s="3298"/>
      <c r="L240" s="3292">
        <v>7</v>
      </c>
      <c r="M240" s="3299">
        <v>0.77777777777777779</v>
      </c>
    </row>
    <row r="241" spans="1:13" x14ac:dyDescent="0.25">
      <c r="A241" s="6092"/>
      <c r="B241" s="3117" t="s">
        <v>7</v>
      </c>
      <c r="C241" s="3301"/>
      <c r="D241" s="3302">
        <v>3</v>
      </c>
      <c r="E241" s="3303">
        <v>1</v>
      </c>
      <c r="F241" s="3304">
        <f>SUM(C241:E241)</f>
        <v>4</v>
      </c>
      <c r="H241" s="3300"/>
      <c r="I241" s="3305">
        <v>1</v>
      </c>
      <c r="J241" s="3300"/>
      <c r="K241" s="3306">
        <v>1</v>
      </c>
      <c r="L241" s="3300">
        <v>2</v>
      </c>
      <c r="M241" s="3307">
        <v>0.5</v>
      </c>
    </row>
    <row r="242" spans="1:13" x14ac:dyDescent="0.25">
      <c r="A242" s="6093"/>
      <c r="B242" s="3228" t="s">
        <v>12</v>
      </c>
      <c r="C242" s="3281">
        <f>SUM(C239:C241)</f>
        <v>4</v>
      </c>
      <c r="D242" s="3281">
        <f>SUM(D239:D241)</f>
        <v>16</v>
      </c>
      <c r="E242" s="3281">
        <f>SUM(E239:E241)</f>
        <v>4</v>
      </c>
      <c r="F242" s="3281">
        <f>SUM(F239:F241)</f>
        <v>24</v>
      </c>
      <c r="H242" s="3228"/>
      <c r="I242" s="3223">
        <v>10</v>
      </c>
      <c r="J242" s="3228">
        <v>6</v>
      </c>
      <c r="K242" s="3222">
        <v>1</v>
      </c>
      <c r="L242" s="3228">
        <v>17</v>
      </c>
      <c r="M242" s="3216">
        <v>0.70833333333333337</v>
      </c>
    </row>
    <row r="243" spans="1:13" x14ac:dyDescent="0.25">
      <c r="A243" s="3026"/>
      <c r="B243" s="3026"/>
      <c r="C243" s="3221"/>
      <c r="D243" s="3221"/>
      <c r="E243" s="3221"/>
      <c r="F243" s="3220"/>
      <c r="H243" s="3219"/>
      <c r="I243" s="3219"/>
      <c r="J243" s="3219"/>
      <c r="K243" s="3218"/>
      <c r="L243" s="3218"/>
      <c r="M243" s="3217"/>
    </row>
    <row r="244" spans="1:13" x14ac:dyDescent="0.25">
      <c r="A244" s="6578" t="s">
        <v>60</v>
      </c>
      <c r="B244" s="6578"/>
      <c r="C244" s="3281">
        <f>SUM(C232,C237,C242)</f>
        <v>11</v>
      </c>
      <c r="D244" s="3281">
        <f>SUM(D232,D237,D242)</f>
        <v>39</v>
      </c>
      <c r="E244" s="3281">
        <f>SUM(E232,E237,E242)</f>
        <v>23</v>
      </c>
      <c r="F244" s="3281">
        <f>SUM(F232,F237,F242)</f>
        <v>73</v>
      </c>
      <c r="G244" s="3276"/>
      <c r="H244" s="3228">
        <v>1</v>
      </c>
      <c r="I244" s="3228">
        <v>37</v>
      </c>
      <c r="J244" s="3228">
        <v>15</v>
      </c>
      <c r="K244" s="3228">
        <v>4</v>
      </c>
      <c r="L244" s="3228">
        <v>57</v>
      </c>
      <c r="M244" s="3308">
        <v>0.78082191780821919</v>
      </c>
    </row>
  </sheetData>
  <sheetProtection algorithmName="SHA-512" hashValue="TQDS/Bia3QlAJTckRW9iOnGhiNGrt5VLrNYiTurGMVTr+j94j31g7HENBZF8yePc1CHq8vr+eALx6gtVRkf8aw==" saltValue="if+LJn9i2Ri8LDrRxeDWQA==" spinCount="100000" sheet="1" objects="1" scenarios="1"/>
  <mergeCells count="92">
    <mergeCell ref="N35:N36"/>
    <mergeCell ref="J97:K97"/>
    <mergeCell ref="A81:A84"/>
    <mergeCell ref="A86:A89"/>
    <mergeCell ref="A91:A93"/>
    <mergeCell ref="A95:B95"/>
    <mergeCell ref="A97:B97"/>
    <mergeCell ref="A62:B62"/>
    <mergeCell ref="A64:B64"/>
    <mergeCell ref="J64:K64"/>
    <mergeCell ref="C35:F35"/>
    <mergeCell ref="A38:A41"/>
    <mergeCell ref="A43:A46"/>
    <mergeCell ref="A58:A60"/>
    <mergeCell ref="A113:A116"/>
    <mergeCell ref="A35:A36"/>
    <mergeCell ref="B35:B36"/>
    <mergeCell ref="A118:A121"/>
    <mergeCell ref="H35:M35"/>
    <mergeCell ref="A123:A125"/>
    <mergeCell ref="A1:M1"/>
    <mergeCell ref="A100:A101"/>
    <mergeCell ref="B100:B101"/>
    <mergeCell ref="C100:F100"/>
    <mergeCell ref="H100:M100"/>
    <mergeCell ref="A103:A106"/>
    <mergeCell ref="A68:A69"/>
    <mergeCell ref="B68:B69"/>
    <mergeCell ref="C68:E68"/>
    <mergeCell ref="H68:M68"/>
    <mergeCell ref="A71:A74"/>
    <mergeCell ref="A76:A79"/>
    <mergeCell ref="A48:A51"/>
    <mergeCell ref="A53:A56"/>
    <mergeCell ref="A108:A111"/>
    <mergeCell ref="A127:B127"/>
    <mergeCell ref="A129:B129"/>
    <mergeCell ref="J129:K129"/>
    <mergeCell ref="A133:A134"/>
    <mergeCell ref="B133:B134"/>
    <mergeCell ref="C133:F133"/>
    <mergeCell ref="H133:M133"/>
    <mergeCell ref="A151:A154"/>
    <mergeCell ref="A156:A158"/>
    <mergeCell ref="A160:B160"/>
    <mergeCell ref="A136:A139"/>
    <mergeCell ref="A141:A144"/>
    <mergeCell ref="A146:A149"/>
    <mergeCell ref="J195:K195"/>
    <mergeCell ref="A162:B162"/>
    <mergeCell ref="J162:K162"/>
    <mergeCell ref="A166:A167"/>
    <mergeCell ref="B166:B167"/>
    <mergeCell ref="C166:F166"/>
    <mergeCell ref="H166:M166"/>
    <mergeCell ref="A169:A172"/>
    <mergeCell ref="A174:A177"/>
    <mergeCell ref="A179:A182"/>
    <mergeCell ref="A184:A187"/>
    <mergeCell ref="A189:A191"/>
    <mergeCell ref="A193:B193"/>
    <mergeCell ref="A199:A200"/>
    <mergeCell ref="B199:B200"/>
    <mergeCell ref="C199:F199"/>
    <mergeCell ref="H199:M199"/>
    <mergeCell ref="A202:A205"/>
    <mergeCell ref="K224:L224"/>
    <mergeCell ref="A226:A227"/>
    <mergeCell ref="B226:B227"/>
    <mergeCell ref="C226:F226"/>
    <mergeCell ref="H226:M226"/>
    <mergeCell ref="A207:A210"/>
    <mergeCell ref="A244:B244"/>
    <mergeCell ref="A234:A237"/>
    <mergeCell ref="A239:A242"/>
    <mergeCell ref="A212:A215"/>
    <mergeCell ref="A217:A220"/>
    <mergeCell ref="A222:B222"/>
    <mergeCell ref="A229:A232"/>
    <mergeCell ref="A3:A4"/>
    <mergeCell ref="B3:B4"/>
    <mergeCell ref="H3:M3"/>
    <mergeCell ref="C3:E3"/>
    <mergeCell ref="N3:N4"/>
    <mergeCell ref="A32:B32"/>
    <mergeCell ref="J32:K32"/>
    <mergeCell ref="A6:A9"/>
    <mergeCell ref="A11:A14"/>
    <mergeCell ref="A16:A19"/>
    <mergeCell ref="A21:A24"/>
    <mergeCell ref="A26:A28"/>
    <mergeCell ref="A30:B30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5" orientation="landscape" r:id="rId1"/>
  <rowBreaks count="3" manualBreakCount="3">
    <brk id="97" max="13" man="1"/>
    <brk id="164" max="16383" man="1"/>
    <brk id="224" max="16383" man="1"/>
  </rowBreaks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N22"/>
  <sheetViews>
    <sheetView showGridLines="0" zoomScaleNormal="100" workbookViewId="0"/>
  </sheetViews>
  <sheetFormatPr baseColWidth="10" defaultRowHeight="15" x14ac:dyDescent="0.25"/>
  <cols>
    <col min="1" max="1" width="5.7109375" style="3361" customWidth="1"/>
    <col min="2" max="2" width="45.7109375" style="3361" customWidth="1"/>
    <col min="3" max="3" width="11.5703125" style="3361" customWidth="1"/>
    <col min="4" max="4" width="9.140625" style="3361" customWidth="1"/>
    <col min="5" max="5" width="10.7109375" style="3361" customWidth="1"/>
    <col min="6" max="6" width="11.5703125" style="3361" customWidth="1"/>
    <col min="7" max="7" width="9.140625" style="3361" customWidth="1"/>
    <col min="8" max="8" width="10.7109375" style="3361" customWidth="1"/>
    <col min="9" max="9" width="11.5703125" style="3362" bestFit="1" customWidth="1"/>
    <col min="10" max="10" width="9.140625" style="3362" bestFit="1" customWidth="1"/>
    <col min="11" max="11" width="11.42578125" style="3361"/>
    <col min="12" max="12" width="12.28515625" style="3361" customWidth="1"/>
    <col min="13" max="13" width="9.140625" style="3361" bestFit="1" customWidth="1"/>
    <col min="14" max="16384" width="11.42578125" style="3361"/>
  </cols>
  <sheetData>
    <row r="1" spans="1:14" ht="18.75" x14ac:dyDescent="0.25">
      <c r="A1" s="89"/>
      <c r="B1" s="3536" t="s">
        <v>1208</v>
      </c>
      <c r="F1" s="23"/>
      <c r="I1" s="3361"/>
      <c r="J1" s="3361"/>
    </row>
    <row r="2" spans="1:14" ht="18.75" x14ac:dyDescent="0.25">
      <c r="A2" s="89"/>
      <c r="C2" s="3536"/>
      <c r="D2" s="3536"/>
      <c r="E2" s="3536"/>
      <c r="F2" s="89"/>
      <c r="I2" s="3361"/>
      <c r="J2" s="3361"/>
    </row>
    <row r="3" spans="1:14" x14ac:dyDescent="0.25">
      <c r="A3" s="6036" t="s">
        <v>1209</v>
      </c>
      <c r="B3" s="6036" t="s">
        <v>1210</v>
      </c>
      <c r="C3" s="6661" t="s">
        <v>1379</v>
      </c>
      <c r="D3" s="6662"/>
      <c r="E3" s="6663"/>
      <c r="F3" s="6651" t="s">
        <v>1337</v>
      </c>
      <c r="G3" s="6652"/>
      <c r="H3" s="6653"/>
      <c r="I3" s="6651" t="s">
        <v>1504</v>
      </c>
      <c r="J3" s="6652"/>
      <c r="K3" s="6653"/>
      <c r="L3" s="6651" t="s">
        <v>1652</v>
      </c>
      <c r="M3" s="6652"/>
      <c r="N3" s="6653"/>
    </row>
    <row r="4" spans="1:14" ht="35.1" customHeight="1" x14ac:dyDescent="0.25">
      <c r="A4" s="6036"/>
      <c r="B4" s="6036"/>
      <c r="C4" s="3537" t="s">
        <v>681</v>
      </c>
      <c r="D4" s="3537" t="s">
        <v>682</v>
      </c>
      <c r="E4" s="3537" t="s">
        <v>1349</v>
      </c>
      <c r="F4" s="3537" t="s">
        <v>681</v>
      </c>
      <c r="G4" s="3537" t="s">
        <v>682</v>
      </c>
      <c r="H4" s="3537" t="s">
        <v>1349</v>
      </c>
      <c r="I4" s="3537" t="s">
        <v>681</v>
      </c>
      <c r="J4" s="3537" t="s">
        <v>682</v>
      </c>
      <c r="K4" s="3537" t="s">
        <v>1349</v>
      </c>
      <c r="L4" s="3537" t="s">
        <v>681</v>
      </c>
      <c r="M4" s="3537" t="s">
        <v>682</v>
      </c>
      <c r="N4" s="3537" t="s">
        <v>1349</v>
      </c>
    </row>
    <row r="5" spans="1:14" ht="30" x14ac:dyDescent="0.25">
      <c r="A5" s="991">
        <v>1</v>
      </c>
      <c r="B5" s="4975" t="s">
        <v>1338</v>
      </c>
      <c r="C5" s="4972">
        <v>12970</v>
      </c>
      <c r="D5" s="4966"/>
      <c r="E5" s="4979"/>
      <c r="F5" s="4982">
        <v>13338</v>
      </c>
      <c r="G5" s="4966"/>
      <c r="H5" s="4967"/>
      <c r="I5" s="4972">
        <v>14114</v>
      </c>
      <c r="J5" s="4966"/>
      <c r="K5" s="4967"/>
      <c r="L5" s="4972">
        <v>15198</v>
      </c>
      <c r="M5" s="4966"/>
      <c r="N5" s="4967"/>
    </row>
    <row r="6" spans="1:14" x14ac:dyDescent="0.25">
      <c r="A6" s="992">
        <v>2</v>
      </c>
      <c r="B6" s="4976" t="s">
        <v>1201</v>
      </c>
      <c r="C6" s="4973">
        <v>2341</v>
      </c>
      <c r="D6" s="4968"/>
      <c r="E6" s="4980"/>
      <c r="F6" s="4983">
        <v>3783</v>
      </c>
      <c r="G6" s="4968"/>
      <c r="H6" s="4969"/>
      <c r="I6" s="4973">
        <v>1511</v>
      </c>
      <c r="J6" s="4968"/>
      <c r="K6" s="4969"/>
      <c r="L6" s="4973">
        <v>138</v>
      </c>
      <c r="M6" s="4968"/>
      <c r="N6" s="4969"/>
    </row>
    <row r="7" spans="1:14" x14ac:dyDescent="0.25">
      <c r="A7" s="992">
        <v>3</v>
      </c>
      <c r="B7" s="4977" t="s">
        <v>1205</v>
      </c>
      <c r="C7" s="4973">
        <v>62</v>
      </c>
      <c r="D7" s="4968"/>
      <c r="E7" s="4980"/>
      <c r="F7" s="4983">
        <v>64</v>
      </c>
      <c r="G7" s="4968"/>
      <c r="H7" s="4969"/>
      <c r="I7" s="4973">
        <v>55</v>
      </c>
      <c r="J7" s="4968"/>
      <c r="K7" s="4969"/>
      <c r="L7" s="4973">
        <v>39</v>
      </c>
      <c r="M7" s="4968"/>
      <c r="N7" s="4969"/>
    </row>
    <row r="8" spans="1:14" x14ac:dyDescent="0.25">
      <c r="A8" s="992">
        <v>4</v>
      </c>
      <c r="B8" s="4977" t="s">
        <v>1339</v>
      </c>
      <c r="C8" s="4973"/>
      <c r="D8" s="4968"/>
      <c r="E8" s="4980"/>
      <c r="F8" s="4983">
        <v>234</v>
      </c>
      <c r="G8" s="4968"/>
      <c r="H8" s="4969"/>
      <c r="I8" s="4973">
        <v>467</v>
      </c>
      <c r="J8" s="4968"/>
      <c r="K8" s="4969"/>
      <c r="L8" s="4973">
        <v>90</v>
      </c>
      <c r="M8" s="4968"/>
      <c r="N8" s="4969"/>
    </row>
    <row r="9" spans="1:14" ht="30" x14ac:dyDescent="0.25">
      <c r="A9" s="992">
        <v>5</v>
      </c>
      <c r="B9" s="4977" t="s">
        <v>1340</v>
      </c>
      <c r="C9" s="4973">
        <v>262</v>
      </c>
      <c r="D9" s="4968"/>
      <c r="E9" s="4980"/>
      <c r="F9" s="4983">
        <v>667</v>
      </c>
      <c r="G9" s="4968"/>
      <c r="H9" s="4969"/>
      <c r="I9" s="4973"/>
      <c r="J9" s="4968"/>
      <c r="K9" s="4969"/>
      <c r="L9" s="4973">
        <v>197</v>
      </c>
      <c r="M9" s="4968"/>
      <c r="N9" s="4969"/>
    </row>
    <row r="10" spans="1:14" ht="30" x14ac:dyDescent="0.25">
      <c r="A10" s="992">
        <v>6</v>
      </c>
      <c r="B10" s="4977" t="s">
        <v>1341</v>
      </c>
      <c r="C10" s="4973">
        <v>121</v>
      </c>
      <c r="D10" s="4968"/>
      <c r="E10" s="4980"/>
      <c r="F10" s="4983">
        <v>399</v>
      </c>
      <c r="G10" s="4968"/>
      <c r="H10" s="4969"/>
      <c r="I10" s="4973">
        <v>585</v>
      </c>
      <c r="J10" s="4968"/>
      <c r="K10" s="4969"/>
      <c r="L10" s="4973">
        <v>254</v>
      </c>
      <c r="M10" s="4968"/>
      <c r="N10" s="4969"/>
    </row>
    <row r="11" spans="1:14" x14ac:dyDescent="0.25">
      <c r="A11" s="992">
        <v>7</v>
      </c>
      <c r="B11" s="4977" t="s">
        <v>1206</v>
      </c>
      <c r="C11" s="4973">
        <v>39</v>
      </c>
      <c r="D11" s="4968"/>
      <c r="E11" s="4980"/>
      <c r="F11" s="4983">
        <v>122</v>
      </c>
      <c r="G11" s="4968"/>
      <c r="H11" s="4969"/>
      <c r="I11" s="5032">
        <v>155</v>
      </c>
      <c r="J11" s="5033"/>
      <c r="K11" s="4969"/>
      <c r="L11" s="5032">
        <v>107</v>
      </c>
      <c r="M11" s="5033"/>
      <c r="N11" s="4969"/>
    </row>
    <row r="12" spans="1:14" ht="45" x14ac:dyDescent="0.25">
      <c r="A12" s="992">
        <v>8</v>
      </c>
      <c r="B12" s="4977" t="s">
        <v>1342</v>
      </c>
      <c r="C12" s="4973">
        <v>40</v>
      </c>
      <c r="D12" s="4968"/>
      <c r="E12" s="4980"/>
      <c r="F12" s="4983">
        <v>58</v>
      </c>
      <c r="G12" s="4968"/>
      <c r="H12" s="4969"/>
      <c r="I12" s="5032">
        <v>61</v>
      </c>
      <c r="J12" s="5033"/>
      <c r="K12" s="4969"/>
      <c r="L12" s="5032">
        <v>52</v>
      </c>
      <c r="M12" s="5033"/>
      <c r="N12" s="4969"/>
    </row>
    <row r="13" spans="1:14" ht="30" x14ac:dyDescent="0.25">
      <c r="A13" s="992">
        <v>9</v>
      </c>
      <c r="B13" s="4977" t="s">
        <v>1343</v>
      </c>
      <c r="C13" s="4973"/>
      <c r="D13" s="4968">
        <v>93</v>
      </c>
      <c r="E13" s="4980"/>
      <c r="F13" s="4983"/>
      <c r="G13" s="4968">
        <v>143</v>
      </c>
      <c r="H13" s="4969"/>
      <c r="I13" s="5032"/>
      <c r="J13" s="5033">
        <v>163</v>
      </c>
      <c r="K13" s="4969"/>
      <c r="L13" s="5032"/>
      <c r="M13" s="5033">
        <v>225</v>
      </c>
      <c r="N13" s="4969"/>
    </row>
    <row r="14" spans="1:14" ht="30" x14ac:dyDescent="0.25">
      <c r="A14" s="992">
        <v>10</v>
      </c>
      <c r="B14" s="4977" t="s">
        <v>1344</v>
      </c>
      <c r="C14" s="4973"/>
      <c r="D14" s="4968">
        <v>115</v>
      </c>
      <c r="E14" s="4980"/>
      <c r="F14" s="4983"/>
      <c r="G14" s="4968">
        <v>185</v>
      </c>
      <c r="H14" s="4969"/>
      <c r="I14" s="5032"/>
      <c r="J14" s="5033">
        <v>165</v>
      </c>
      <c r="K14" s="4969"/>
      <c r="L14" s="5032"/>
      <c r="M14" s="5033">
        <v>191</v>
      </c>
      <c r="N14" s="4969"/>
    </row>
    <row r="15" spans="1:14" ht="30" x14ac:dyDescent="0.25">
      <c r="A15" s="992">
        <v>11</v>
      </c>
      <c r="B15" s="4977" t="s">
        <v>1345</v>
      </c>
      <c r="C15" s="4973"/>
      <c r="D15" s="4968">
        <v>8</v>
      </c>
      <c r="E15" s="4980"/>
      <c r="F15" s="4983"/>
      <c r="G15" s="4968">
        <v>43</v>
      </c>
      <c r="H15" s="4969"/>
      <c r="I15" s="5032"/>
      <c r="J15" s="5033">
        <v>34</v>
      </c>
      <c r="K15" s="4969"/>
      <c r="L15" s="5032"/>
      <c r="M15" s="5033">
        <v>58</v>
      </c>
      <c r="N15" s="4969"/>
    </row>
    <row r="16" spans="1:14" ht="45" x14ac:dyDescent="0.25">
      <c r="A16" s="992">
        <v>12</v>
      </c>
      <c r="B16" s="4977" t="s">
        <v>1346</v>
      </c>
      <c r="C16" s="4973"/>
      <c r="D16" s="4968">
        <v>3</v>
      </c>
      <c r="E16" s="4980"/>
      <c r="F16" s="4983"/>
      <c r="G16" s="4968">
        <v>1</v>
      </c>
      <c r="H16" s="4969"/>
      <c r="I16" s="4973"/>
      <c r="J16" s="4968">
        <v>5</v>
      </c>
      <c r="K16" s="4969"/>
      <c r="L16" s="4973"/>
      <c r="M16" s="4968">
        <v>3</v>
      </c>
      <c r="N16" s="4969"/>
    </row>
    <row r="17" spans="1:14" x14ac:dyDescent="0.25">
      <c r="A17" s="992">
        <v>13</v>
      </c>
      <c r="B17" s="4977" t="s">
        <v>1347</v>
      </c>
      <c r="C17" s="4973"/>
      <c r="D17" s="4968"/>
      <c r="E17" s="4980">
        <v>18</v>
      </c>
      <c r="F17" s="4983"/>
      <c r="G17" s="4968"/>
      <c r="H17" s="4969">
        <v>21</v>
      </c>
      <c r="I17" s="4973"/>
      <c r="J17" s="4968"/>
      <c r="K17" s="4969">
        <v>18</v>
      </c>
      <c r="L17" s="4973"/>
      <c r="M17" s="4968"/>
      <c r="N17" s="4969">
        <v>9</v>
      </c>
    </row>
    <row r="18" spans="1:14" x14ac:dyDescent="0.25">
      <c r="A18" s="993">
        <v>14</v>
      </c>
      <c r="B18" s="4978" t="s">
        <v>1348</v>
      </c>
      <c r="C18" s="4974"/>
      <c r="D18" s="4970"/>
      <c r="E18" s="4981">
        <v>10</v>
      </c>
      <c r="F18" s="4984"/>
      <c r="G18" s="4970"/>
      <c r="H18" s="4971">
        <v>9</v>
      </c>
      <c r="I18" s="4974"/>
      <c r="J18" s="4970"/>
      <c r="K18" s="4971">
        <v>16</v>
      </c>
      <c r="L18" s="4974"/>
      <c r="M18" s="4970"/>
      <c r="N18" s="4971">
        <v>5</v>
      </c>
    </row>
    <row r="19" spans="1:14" x14ac:dyDescent="0.25">
      <c r="A19" s="6657" t="s">
        <v>160</v>
      </c>
      <c r="B19" s="6657"/>
      <c r="C19" s="4151">
        <f>SUM(C5:C18)</f>
        <v>15835</v>
      </c>
      <c r="D19" s="4151">
        <f>SUM(D5:D18)</f>
        <v>219</v>
      </c>
      <c r="E19" s="4151">
        <f t="shared" ref="E19:K19" si="0">SUM(E5:E18)</f>
        <v>28</v>
      </c>
      <c r="F19" s="4151">
        <f t="shared" si="0"/>
        <v>18665</v>
      </c>
      <c r="G19" s="4151">
        <f t="shared" si="0"/>
        <v>372</v>
      </c>
      <c r="H19" s="4151">
        <f t="shared" si="0"/>
        <v>30</v>
      </c>
      <c r="I19" s="4151">
        <f t="shared" si="0"/>
        <v>16948</v>
      </c>
      <c r="J19" s="4151">
        <f t="shared" si="0"/>
        <v>367</v>
      </c>
      <c r="K19" s="4151">
        <f t="shared" si="0"/>
        <v>34</v>
      </c>
      <c r="L19" s="4151">
        <f t="shared" ref="L19:N19" si="1">SUM(L5:L18)</f>
        <v>16075</v>
      </c>
      <c r="M19" s="4151">
        <f t="shared" si="1"/>
        <v>477</v>
      </c>
      <c r="N19" s="4151">
        <f t="shared" si="1"/>
        <v>14</v>
      </c>
    </row>
    <row r="20" spans="1:14" x14ac:dyDescent="0.25">
      <c r="A20" s="6657"/>
      <c r="B20" s="6657"/>
      <c r="C20" s="6658">
        <f>SUM(C19:E19)</f>
        <v>16082</v>
      </c>
      <c r="D20" s="6659"/>
      <c r="E20" s="6660"/>
      <c r="F20" s="6654">
        <f>SUM(F19:H19)</f>
        <v>19067</v>
      </c>
      <c r="G20" s="6655"/>
      <c r="H20" s="6656"/>
      <c r="I20" s="6654">
        <f>SUM(I19:K19)</f>
        <v>17349</v>
      </c>
      <c r="J20" s="6655"/>
      <c r="K20" s="6656"/>
      <c r="L20" s="6654">
        <f>SUM(L19:N19)</f>
        <v>16566</v>
      </c>
      <c r="M20" s="6655"/>
      <c r="N20" s="6656"/>
    </row>
    <row r="21" spans="1:14" x14ac:dyDescent="0.25">
      <c r="A21" s="3363"/>
      <c r="B21" s="3363"/>
      <c r="C21" s="3363"/>
      <c r="D21" s="3363"/>
      <c r="E21" s="3363"/>
      <c r="F21" s="3363"/>
      <c r="G21" s="3363"/>
      <c r="H21" s="3363"/>
    </row>
    <row r="22" spans="1:14" x14ac:dyDescent="0.25">
      <c r="I22" s="5353"/>
      <c r="J22" s="5353"/>
      <c r="K22" s="5354"/>
    </row>
  </sheetData>
  <sheetProtection algorithmName="SHA-512" hashValue="yRD7d5ubdxMu/g6vY8I12J1xYe7ZzEzy+2Z/uOeMy7X61OdMOT4ZdGc9jYIEQQPDFkTtIA5uaZ9IhT1a1cNPPQ==" saltValue="oD+mXZyDpDhZBivxpCQjTQ==" spinCount="100000" sheet="1" objects="1" scenarios="1"/>
  <mergeCells count="11">
    <mergeCell ref="L3:N3"/>
    <mergeCell ref="L20:N20"/>
    <mergeCell ref="I3:K3"/>
    <mergeCell ref="I20:K20"/>
    <mergeCell ref="A3:A4"/>
    <mergeCell ref="B3:B4"/>
    <mergeCell ref="A19:B20"/>
    <mergeCell ref="F3:H3"/>
    <mergeCell ref="F20:H20"/>
    <mergeCell ref="C20:E20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K107"/>
  <sheetViews>
    <sheetView showGridLines="0" zoomScaleNormal="100" workbookViewId="0">
      <pane xSplit="3" ySplit="4" topLeftCell="X5" activePane="bottomRight" state="frozen"/>
      <selection sqref="A1:E1"/>
      <selection pane="topRight" sqref="A1:E1"/>
      <selection pane="bottomLeft" sqref="A1:E1"/>
      <selection pane="bottomRight" activeCell="AM27" sqref="AM27"/>
    </sheetView>
  </sheetViews>
  <sheetFormatPr baseColWidth="10" defaultRowHeight="12.75" x14ac:dyDescent="0.2"/>
  <cols>
    <col min="1" max="1" width="9.140625" style="916" customWidth="1"/>
    <col min="2" max="2" width="9.85546875" style="916" customWidth="1"/>
    <col min="3" max="3" width="44.85546875" style="916" customWidth="1"/>
    <col min="4" max="7" width="9.7109375" style="919" customWidth="1"/>
    <col min="8" max="37" width="9.7109375" style="916" customWidth="1"/>
    <col min="38" max="259" width="11.42578125" style="916"/>
    <col min="260" max="260" width="6.42578125" style="916" customWidth="1"/>
    <col min="261" max="261" width="11.42578125" style="916"/>
    <col min="262" max="262" width="12.85546875" style="916" bestFit="1" customWidth="1"/>
    <col min="263" max="263" width="41.140625" style="916" bestFit="1" customWidth="1"/>
    <col min="264" max="264" width="13.140625" style="916" bestFit="1" customWidth="1"/>
    <col min="265" max="265" width="11.140625" style="916" bestFit="1" customWidth="1"/>
    <col min="266" max="266" width="13.140625" style="916" bestFit="1" customWidth="1"/>
    <col min="267" max="267" width="11.140625" style="916" bestFit="1" customWidth="1"/>
    <col min="268" max="268" width="13.140625" style="916" bestFit="1" customWidth="1"/>
    <col min="269" max="269" width="11.140625" style="916" bestFit="1" customWidth="1"/>
    <col min="270" max="270" width="13" style="916" customWidth="1"/>
    <col min="271" max="271" width="11.42578125" style="916"/>
    <col min="272" max="272" width="13.5703125" style="916" customWidth="1"/>
    <col min="273" max="273" width="11.42578125" style="916"/>
    <col min="274" max="274" width="13.5703125" style="916" customWidth="1"/>
    <col min="275" max="515" width="11.42578125" style="916"/>
    <col min="516" max="516" width="6.42578125" style="916" customWidth="1"/>
    <col min="517" max="517" width="11.42578125" style="916"/>
    <col min="518" max="518" width="12.85546875" style="916" bestFit="1" customWidth="1"/>
    <col min="519" max="519" width="41.140625" style="916" bestFit="1" customWidth="1"/>
    <col min="520" max="520" width="13.140625" style="916" bestFit="1" customWidth="1"/>
    <col min="521" max="521" width="11.140625" style="916" bestFit="1" customWidth="1"/>
    <col min="522" max="522" width="13.140625" style="916" bestFit="1" customWidth="1"/>
    <col min="523" max="523" width="11.140625" style="916" bestFit="1" customWidth="1"/>
    <col min="524" max="524" width="13.140625" style="916" bestFit="1" customWidth="1"/>
    <col min="525" max="525" width="11.140625" style="916" bestFit="1" customWidth="1"/>
    <col min="526" max="526" width="13" style="916" customWidth="1"/>
    <col min="527" max="527" width="11.42578125" style="916"/>
    <col min="528" max="528" width="13.5703125" style="916" customWidth="1"/>
    <col min="529" max="529" width="11.42578125" style="916"/>
    <col min="530" max="530" width="13.5703125" style="916" customWidth="1"/>
    <col min="531" max="771" width="11.42578125" style="916"/>
    <col min="772" max="772" width="6.42578125" style="916" customWidth="1"/>
    <col min="773" max="773" width="11.42578125" style="916"/>
    <col min="774" max="774" width="12.85546875" style="916" bestFit="1" customWidth="1"/>
    <col min="775" max="775" width="41.140625" style="916" bestFit="1" customWidth="1"/>
    <col min="776" max="776" width="13.140625" style="916" bestFit="1" customWidth="1"/>
    <col min="777" max="777" width="11.140625" style="916" bestFit="1" customWidth="1"/>
    <col min="778" max="778" width="13.140625" style="916" bestFit="1" customWidth="1"/>
    <col min="779" max="779" width="11.140625" style="916" bestFit="1" customWidth="1"/>
    <col min="780" max="780" width="13.140625" style="916" bestFit="1" customWidth="1"/>
    <col min="781" max="781" width="11.140625" style="916" bestFit="1" customWidth="1"/>
    <col min="782" max="782" width="13" style="916" customWidth="1"/>
    <col min="783" max="783" width="11.42578125" style="916"/>
    <col min="784" max="784" width="13.5703125" style="916" customWidth="1"/>
    <col min="785" max="785" width="11.42578125" style="916"/>
    <col min="786" max="786" width="13.5703125" style="916" customWidth="1"/>
    <col min="787" max="1027" width="11.42578125" style="916"/>
    <col min="1028" max="1028" width="6.42578125" style="916" customWidth="1"/>
    <col min="1029" max="1029" width="11.42578125" style="916"/>
    <col min="1030" max="1030" width="12.85546875" style="916" bestFit="1" customWidth="1"/>
    <col min="1031" max="1031" width="41.140625" style="916" bestFit="1" customWidth="1"/>
    <col min="1032" max="1032" width="13.140625" style="916" bestFit="1" customWidth="1"/>
    <col min="1033" max="1033" width="11.140625" style="916" bestFit="1" customWidth="1"/>
    <col min="1034" max="1034" width="13.140625" style="916" bestFit="1" customWidth="1"/>
    <col min="1035" max="1035" width="11.140625" style="916" bestFit="1" customWidth="1"/>
    <col min="1036" max="1036" width="13.140625" style="916" bestFit="1" customWidth="1"/>
    <col min="1037" max="1037" width="11.140625" style="916" bestFit="1" customWidth="1"/>
    <col min="1038" max="1038" width="13" style="916" customWidth="1"/>
    <col min="1039" max="1039" width="11.42578125" style="916"/>
    <col min="1040" max="1040" width="13.5703125" style="916" customWidth="1"/>
    <col min="1041" max="1041" width="11.42578125" style="916"/>
    <col min="1042" max="1042" width="13.5703125" style="916" customWidth="1"/>
    <col min="1043" max="1283" width="11.42578125" style="916"/>
    <col min="1284" max="1284" width="6.42578125" style="916" customWidth="1"/>
    <col min="1285" max="1285" width="11.42578125" style="916"/>
    <col min="1286" max="1286" width="12.85546875" style="916" bestFit="1" customWidth="1"/>
    <col min="1287" max="1287" width="41.140625" style="916" bestFit="1" customWidth="1"/>
    <col min="1288" max="1288" width="13.140625" style="916" bestFit="1" customWidth="1"/>
    <col min="1289" max="1289" width="11.140625" style="916" bestFit="1" customWidth="1"/>
    <col min="1290" max="1290" width="13.140625" style="916" bestFit="1" customWidth="1"/>
    <col min="1291" max="1291" width="11.140625" style="916" bestFit="1" customWidth="1"/>
    <col min="1292" max="1292" width="13.140625" style="916" bestFit="1" customWidth="1"/>
    <col min="1293" max="1293" width="11.140625" style="916" bestFit="1" customWidth="1"/>
    <col min="1294" max="1294" width="13" style="916" customWidth="1"/>
    <col min="1295" max="1295" width="11.42578125" style="916"/>
    <col min="1296" max="1296" width="13.5703125" style="916" customWidth="1"/>
    <col min="1297" max="1297" width="11.42578125" style="916"/>
    <col min="1298" max="1298" width="13.5703125" style="916" customWidth="1"/>
    <col min="1299" max="1539" width="11.42578125" style="916"/>
    <col min="1540" max="1540" width="6.42578125" style="916" customWidth="1"/>
    <col min="1541" max="1541" width="11.42578125" style="916"/>
    <col min="1542" max="1542" width="12.85546875" style="916" bestFit="1" customWidth="1"/>
    <col min="1543" max="1543" width="41.140625" style="916" bestFit="1" customWidth="1"/>
    <col min="1544" max="1544" width="13.140625" style="916" bestFit="1" customWidth="1"/>
    <col min="1545" max="1545" width="11.140625" style="916" bestFit="1" customWidth="1"/>
    <col min="1546" max="1546" width="13.140625" style="916" bestFit="1" customWidth="1"/>
    <col min="1547" max="1547" width="11.140625" style="916" bestFit="1" customWidth="1"/>
    <col min="1548" max="1548" width="13.140625" style="916" bestFit="1" customWidth="1"/>
    <col min="1549" max="1549" width="11.140625" style="916" bestFit="1" customWidth="1"/>
    <col min="1550" max="1550" width="13" style="916" customWidth="1"/>
    <col min="1551" max="1551" width="11.42578125" style="916"/>
    <col min="1552" max="1552" width="13.5703125" style="916" customWidth="1"/>
    <col min="1553" max="1553" width="11.42578125" style="916"/>
    <col min="1554" max="1554" width="13.5703125" style="916" customWidth="1"/>
    <col min="1555" max="1795" width="11.42578125" style="916"/>
    <col min="1796" max="1796" width="6.42578125" style="916" customWidth="1"/>
    <col min="1797" max="1797" width="11.42578125" style="916"/>
    <col min="1798" max="1798" width="12.85546875" style="916" bestFit="1" customWidth="1"/>
    <col min="1799" max="1799" width="41.140625" style="916" bestFit="1" customWidth="1"/>
    <col min="1800" max="1800" width="13.140625" style="916" bestFit="1" customWidth="1"/>
    <col min="1801" max="1801" width="11.140625" style="916" bestFit="1" customWidth="1"/>
    <col min="1802" max="1802" width="13.140625" style="916" bestFit="1" customWidth="1"/>
    <col min="1803" max="1803" width="11.140625" style="916" bestFit="1" customWidth="1"/>
    <col min="1804" max="1804" width="13.140625" style="916" bestFit="1" customWidth="1"/>
    <col min="1805" max="1805" width="11.140625" style="916" bestFit="1" customWidth="1"/>
    <col min="1806" max="1806" width="13" style="916" customWidth="1"/>
    <col min="1807" max="1807" width="11.42578125" style="916"/>
    <col min="1808" max="1808" width="13.5703125" style="916" customWidth="1"/>
    <col min="1809" max="1809" width="11.42578125" style="916"/>
    <col min="1810" max="1810" width="13.5703125" style="916" customWidth="1"/>
    <col min="1811" max="2051" width="11.42578125" style="916"/>
    <col min="2052" max="2052" width="6.42578125" style="916" customWidth="1"/>
    <col min="2053" max="2053" width="11.42578125" style="916"/>
    <col min="2054" max="2054" width="12.85546875" style="916" bestFit="1" customWidth="1"/>
    <col min="2055" max="2055" width="41.140625" style="916" bestFit="1" customWidth="1"/>
    <col min="2056" max="2056" width="13.140625" style="916" bestFit="1" customWidth="1"/>
    <col min="2057" max="2057" width="11.140625" style="916" bestFit="1" customWidth="1"/>
    <col min="2058" max="2058" width="13.140625" style="916" bestFit="1" customWidth="1"/>
    <col min="2059" max="2059" width="11.140625" style="916" bestFit="1" customWidth="1"/>
    <col min="2060" max="2060" width="13.140625" style="916" bestFit="1" customWidth="1"/>
    <col min="2061" max="2061" width="11.140625" style="916" bestFit="1" customWidth="1"/>
    <col min="2062" max="2062" width="13" style="916" customWidth="1"/>
    <col min="2063" max="2063" width="11.42578125" style="916"/>
    <col min="2064" max="2064" width="13.5703125" style="916" customWidth="1"/>
    <col min="2065" max="2065" width="11.42578125" style="916"/>
    <col min="2066" max="2066" width="13.5703125" style="916" customWidth="1"/>
    <col min="2067" max="2307" width="11.42578125" style="916"/>
    <col min="2308" max="2308" width="6.42578125" style="916" customWidth="1"/>
    <col min="2309" max="2309" width="11.42578125" style="916"/>
    <col min="2310" max="2310" width="12.85546875" style="916" bestFit="1" customWidth="1"/>
    <col min="2311" max="2311" width="41.140625" style="916" bestFit="1" customWidth="1"/>
    <col min="2312" max="2312" width="13.140625" style="916" bestFit="1" customWidth="1"/>
    <col min="2313" max="2313" width="11.140625" style="916" bestFit="1" customWidth="1"/>
    <col min="2314" max="2314" width="13.140625" style="916" bestFit="1" customWidth="1"/>
    <col min="2315" max="2315" width="11.140625" style="916" bestFit="1" customWidth="1"/>
    <col min="2316" max="2316" width="13.140625" style="916" bestFit="1" customWidth="1"/>
    <col min="2317" max="2317" width="11.140625" style="916" bestFit="1" customWidth="1"/>
    <col min="2318" max="2318" width="13" style="916" customWidth="1"/>
    <col min="2319" max="2319" width="11.42578125" style="916"/>
    <col min="2320" max="2320" width="13.5703125" style="916" customWidth="1"/>
    <col min="2321" max="2321" width="11.42578125" style="916"/>
    <col min="2322" max="2322" width="13.5703125" style="916" customWidth="1"/>
    <col min="2323" max="2563" width="11.42578125" style="916"/>
    <col min="2564" max="2564" width="6.42578125" style="916" customWidth="1"/>
    <col min="2565" max="2565" width="11.42578125" style="916"/>
    <col min="2566" max="2566" width="12.85546875" style="916" bestFit="1" customWidth="1"/>
    <col min="2567" max="2567" width="41.140625" style="916" bestFit="1" customWidth="1"/>
    <col min="2568" max="2568" width="13.140625" style="916" bestFit="1" customWidth="1"/>
    <col min="2569" max="2569" width="11.140625" style="916" bestFit="1" customWidth="1"/>
    <col min="2570" max="2570" width="13.140625" style="916" bestFit="1" customWidth="1"/>
    <col min="2571" max="2571" width="11.140625" style="916" bestFit="1" customWidth="1"/>
    <col min="2572" max="2572" width="13.140625" style="916" bestFit="1" customWidth="1"/>
    <col min="2573" max="2573" width="11.140625" style="916" bestFit="1" customWidth="1"/>
    <col min="2574" max="2574" width="13" style="916" customWidth="1"/>
    <col min="2575" max="2575" width="11.42578125" style="916"/>
    <col min="2576" max="2576" width="13.5703125" style="916" customWidth="1"/>
    <col min="2577" max="2577" width="11.42578125" style="916"/>
    <col min="2578" max="2578" width="13.5703125" style="916" customWidth="1"/>
    <col min="2579" max="2819" width="11.42578125" style="916"/>
    <col min="2820" max="2820" width="6.42578125" style="916" customWidth="1"/>
    <col min="2821" max="2821" width="11.42578125" style="916"/>
    <col min="2822" max="2822" width="12.85546875" style="916" bestFit="1" customWidth="1"/>
    <col min="2823" max="2823" width="41.140625" style="916" bestFit="1" customWidth="1"/>
    <col min="2824" max="2824" width="13.140625" style="916" bestFit="1" customWidth="1"/>
    <col min="2825" max="2825" width="11.140625" style="916" bestFit="1" customWidth="1"/>
    <col min="2826" max="2826" width="13.140625" style="916" bestFit="1" customWidth="1"/>
    <col min="2827" max="2827" width="11.140625" style="916" bestFit="1" customWidth="1"/>
    <col min="2828" max="2828" width="13.140625" style="916" bestFit="1" customWidth="1"/>
    <col min="2829" max="2829" width="11.140625" style="916" bestFit="1" customWidth="1"/>
    <col min="2830" max="2830" width="13" style="916" customWidth="1"/>
    <col min="2831" max="2831" width="11.42578125" style="916"/>
    <col min="2832" max="2832" width="13.5703125" style="916" customWidth="1"/>
    <col min="2833" max="2833" width="11.42578125" style="916"/>
    <col min="2834" max="2834" width="13.5703125" style="916" customWidth="1"/>
    <col min="2835" max="3075" width="11.42578125" style="916"/>
    <col min="3076" max="3076" width="6.42578125" style="916" customWidth="1"/>
    <col min="3077" max="3077" width="11.42578125" style="916"/>
    <col min="3078" max="3078" width="12.85546875" style="916" bestFit="1" customWidth="1"/>
    <col min="3079" max="3079" width="41.140625" style="916" bestFit="1" customWidth="1"/>
    <col min="3080" max="3080" width="13.140625" style="916" bestFit="1" customWidth="1"/>
    <col min="3081" max="3081" width="11.140625" style="916" bestFit="1" customWidth="1"/>
    <col min="3082" max="3082" width="13.140625" style="916" bestFit="1" customWidth="1"/>
    <col min="3083" max="3083" width="11.140625" style="916" bestFit="1" customWidth="1"/>
    <col min="3084" max="3084" width="13.140625" style="916" bestFit="1" customWidth="1"/>
    <col min="3085" max="3085" width="11.140625" style="916" bestFit="1" customWidth="1"/>
    <col min="3086" max="3086" width="13" style="916" customWidth="1"/>
    <col min="3087" max="3087" width="11.42578125" style="916"/>
    <col min="3088" max="3088" width="13.5703125" style="916" customWidth="1"/>
    <col min="3089" max="3089" width="11.42578125" style="916"/>
    <col min="3090" max="3090" width="13.5703125" style="916" customWidth="1"/>
    <col min="3091" max="3331" width="11.42578125" style="916"/>
    <col min="3332" max="3332" width="6.42578125" style="916" customWidth="1"/>
    <col min="3333" max="3333" width="11.42578125" style="916"/>
    <col min="3334" max="3334" width="12.85546875" style="916" bestFit="1" customWidth="1"/>
    <col min="3335" max="3335" width="41.140625" style="916" bestFit="1" customWidth="1"/>
    <col min="3336" max="3336" width="13.140625" style="916" bestFit="1" customWidth="1"/>
    <col min="3337" max="3337" width="11.140625" style="916" bestFit="1" customWidth="1"/>
    <col min="3338" max="3338" width="13.140625" style="916" bestFit="1" customWidth="1"/>
    <col min="3339" max="3339" width="11.140625" style="916" bestFit="1" customWidth="1"/>
    <col min="3340" max="3340" width="13.140625" style="916" bestFit="1" customWidth="1"/>
    <col min="3341" max="3341" width="11.140625" style="916" bestFit="1" customWidth="1"/>
    <col min="3342" max="3342" width="13" style="916" customWidth="1"/>
    <col min="3343" max="3343" width="11.42578125" style="916"/>
    <col min="3344" max="3344" width="13.5703125" style="916" customWidth="1"/>
    <col min="3345" max="3345" width="11.42578125" style="916"/>
    <col min="3346" max="3346" width="13.5703125" style="916" customWidth="1"/>
    <col min="3347" max="3587" width="11.42578125" style="916"/>
    <col min="3588" max="3588" width="6.42578125" style="916" customWidth="1"/>
    <col min="3589" max="3589" width="11.42578125" style="916"/>
    <col min="3590" max="3590" width="12.85546875" style="916" bestFit="1" customWidth="1"/>
    <col min="3591" max="3591" width="41.140625" style="916" bestFit="1" customWidth="1"/>
    <col min="3592" max="3592" width="13.140625" style="916" bestFit="1" customWidth="1"/>
    <col min="3593" max="3593" width="11.140625" style="916" bestFit="1" customWidth="1"/>
    <col min="3594" max="3594" width="13.140625" style="916" bestFit="1" customWidth="1"/>
    <col min="3595" max="3595" width="11.140625" style="916" bestFit="1" customWidth="1"/>
    <col min="3596" max="3596" width="13.140625" style="916" bestFit="1" customWidth="1"/>
    <col min="3597" max="3597" width="11.140625" style="916" bestFit="1" customWidth="1"/>
    <col min="3598" max="3598" width="13" style="916" customWidth="1"/>
    <col min="3599" max="3599" width="11.42578125" style="916"/>
    <col min="3600" max="3600" width="13.5703125" style="916" customWidth="1"/>
    <col min="3601" max="3601" width="11.42578125" style="916"/>
    <col min="3602" max="3602" width="13.5703125" style="916" customWidth="1"/>
    <col min="3603" max="3843" width="11.42578125" style="916"/>
    <col min="3844" max="3844" width="6.42578125" style="916" customWidth="1"/>
    <col min="3845" max="3845" width="11.42578125" style="916"/>
    <col min="3846" max="3846" width="12.85546875" style="916" bestFit="1" customWidth="1"/>
    <col min="3847" max="3847" width="41.140625" style="916" bestFit="1" customWidth="1"/>
    <col min="3848" max="3848" width="13.140625" style="916" bestFit="1" customWidth="1"/>
    <col min="3849" max="3849" width="11.140625" style="916" bestFit="1" customWidth="1"/>
    <col min="3850" max="3850" width="13.140625" style="916" bestFit="1" customWidth="1"/>
    <col min="3851" max="3851" width="11.140625" style="916" bestFit="1" customWidth="1"/>
    <col min="3852" max="3852" width="13.140625" style="916" bestFit="1" customWidth="1"/>
    <col min="3853" max="3853" width="11.140625" style="916" bestFit="1" customWidth="1"/>
    <col min="3854" max="3854" width="13" style="916" customWidth="1"/>
    <col min="3855" max="3855" width="11.42578125" style="916"/>
    <col min="3856" max="3856" width="13.5703125" style="916" customWidth="1"/>
    <col min="3857" max="3857" width="11.42578125" style="916"/>
    <col min="3858" max="3858" width="13.5703125" style="916" customWidth="1"/>
    <col min="3859" max="4099" width="11.42578125" style="916"/>
    <col min="4100" max="4100" width="6.42578125" style="916" customWidth="1"/>
    <col min="4101" max="4101" width="11.42578125" style="916"/>
    <col min="4102" max="4102" width="12.85546875" style="916" bestFit="1" customWidth="1"/>
    <col min="4103" max="4103" width="41.140625" style="916" bestFit="1" customWidth="1"/>
    <col min="4104" max="4104" width="13.140625" style="916" bestFit="1" customWidth="1"/>
    <col min="4105" max="4105" width="11.140625" style="916" bestFit="1" customWidth="1"/>
    <col min="4106" max="4106" width="13.140625" style="916" bestFit="1" customWidth="1"/>
    <col min="4107" max="4107" width="11.140625" style="916" bestFit="1" customWidth="1"/>
    <col min="4108" max="4108" width="13.140625" style="916" bestFit="1" customWidth="1"/>
    <col min="4109" max="4109" width="11.140625" style="916" bestFit="1" customWidth="1"/>
    <col min="4110" max="4110" width="13" style="916" customWidth="1"/>
    <col min="4111" max="4111" width="11.42578125" style="916"/>
    <col min="4112" max="4112" width="13.5703125" style="916" customWidth="1"/>
    <col min="4113" max="4113" width="11.42578125" style="916"/>
    <col min="4114" max="4114" width="13.5703125" style="916" customWidth="1"/>
    <col min="4115" max="4355" width="11.42578125" style="916"/>
    <col min="4356" max="4356" width="6.42578125" style="916" customWidth="1"/>
    <col min="4357" max="4357" width="11.42578125" style="916"/>
    <col min="4358" max="4358" width="12.85546875" style="916" bestFit="1" customWidth="1"/>
    <col min="4359" max="4359" width="41.140625" style="916" bestFit="1" customWidth="1"/>
    <col min="4360" max="4360" width="13.140625" style="916" bestFit="1" customWidth="1"/>
    <col min="4361" max="4361" width="11.140625" style="916" bestFit="1" customWidth="1"/>
    <col min="4362" max="4362" width="13.140625" style="916" bestFit="1" customWidth="1"/>
    <col min="4363" max="4363" width="11.140625" style="916" bestFit="1" customWidth="1"/>
    <col min="4364" max="4364" width="13.140625" style="916" bestFit="1" customWidth="1"/>
    <col min="4365" max="4365" width="11.140625" style="916" bestFit="1" customWidth="1"/>
    <col min="4366" max="4366" width="13" style="916" customWidth="1"/>
    <col min="4367" max="4367" width="11.42578125" style="916"/>
    <col min="4368" max="4368" width="13.5703125" style="916" customWidth="1"/>
    <col min="4369" max="4369" width="11.42578125" style="916"/>
    <col min="4370" max="4370" width="13.5703125" style="916" customWidth="1"/>
    <col min="4371" max="4611" width="11.42578125" style="916"/>
    <col min="4612" max="4612" width="6.42578125" style="916" customWidth="1"/>
    <col min="4613" max="4613" width="11.42578125" style="916"/>
    <col min="4614" max="4614" width="12.85546875" style="916" bestFit="1" customWidth="1"/>
    <col min="4615" max="4615" width="41.140625" style="916" bestFit="1" customWidth="1"/>
    <col min="4616" max="4616" width="13.140625" style="916" bestFit="1" customWidth="1"/>
    <col min="4617" max="4617" width="11.140625" style="916" bestFit="1" customWidth="1"/>
    <col min="4618" max="4618" width="13.140625" style="916" bestFit="1" customWidth="1"/>
    <col min="4619" max="4619" width="11.140625" style="916" bestFit="1" customWidth="1"/>
    <col min="4620" max="4620" width="13.140625" style="916" bestFit="1" customWidth="1"/>
    <col min="4621" max="4621" width="11.140625" style="916" bestFit="1" customWidth="1"/>
    <col min="4622" max="4622" width="13" style="916" customWidth="1"/>
    <col min="4623" max="4623" width="11.42578125" style="916"/>
    <col min="4624" max="4624" width="13.5703125" style="916" customWidth="1"/>
    <col min="4625" max="4625" width="11.42578125" style="916"/>
    <col min="4626" max="4626" width="13.5703125" style="916" customWidth="1"/>
    <col min="4627" max="4867" width="11.42578125" style="916"/>
    <col min="4868" max="4868" width="6.42578125" style="916" customWidth="1"/>
    <col min="4869" max="4869" width="11.42578125" style="916"/>
    <col min="4870" max="4870" width="12.85546875" style="916" bestFit="1" customWidth="1"/>
    <col min="4871" max="4871" width="41.140625" style="916" bestFit="1" customWidth="1"/>
    <col min="4872" max="4872" width="13.140625" style="916" bestFit="1" customWidth="1"/>
    <col min="4873" max="4873" width="11.140625" style="916" bestFit="1" customWidth="1"/>
    <col min="4874" max="4874" width="13.140625" style="916" bestFit="1" customWidth="1"/>
    <col min="4875" max="4875" width="11.140625" style="916" bestFit="1" customWidth="1"/>
    <col min="4876" max="4876" width="13.140625" style="916" bestFit="1" customWidth="1"/>
    <col min="4877" max="4877" width="11.140625" style="916" bestFit="1" customWidth="1"/>
    <col min="4878" max="4878" width="13" style="916" customWidth="1"/>
    <col min="4879" max="4879" width="11.42578125" style="916"/>
    <col min="4880" max="4880" width="13.5703125" style="916" customWidth="1"/>
    <col min="4881" max="4881" width="11.42578125" style="916"/>
    <col min="4882" max="4882" width="13.5703125" style="916" customWidth="1"/>
    <col min="4883" max="5123" width="11.42578125" style="916"/>
    <col min="5124" max="5124" width="6.42578125" style="916" customWidth="1"/>
    <col min="5125" max="5125" width="11.42578125" style="916"/>
    <col min="5126" max="5126" width="12.85546875" style="916" bestFit="1" customWidth="1"/>
    <col min="5127" max="5127" width="41.140625" style="916" bestFit="1" customWidth="1"/>
    <col min="5128" max="5128" width="13.140625" style="916" bestFit="1" customWidth="1"/>
    <col min="5129" max="5129" width="11.140625" style="916" bestFit="1" customWidth="1"/>
    <col min="5130" max="5130" width="13.140625" style="916" bestFit="1" customWidth="1"/>
    <col min="5131" max="5131" width="11.140625" style="916" bestFit="1" customWidth="1"/>
    <col min="5132" max="5132" width="13.140625" style="916" bestFit="1" customWidth="1"/>
    <col min="5133" max="5133" width="11.140625" style="916" bestFit="1" customWidth="1"/>
    <col min="5134" max="5134" width="13" style="916" customWidth="1"/>
    <col min="5135" max="5135" width="11.42578125" style="916"/>
    <col min="5136" max="5136" width="13.5703125" style="916" customWidth="1"/>
    <col min="5137" max="5137" width="11.42578125" style="916"/>
    <col min="5138" max="5138" width="13.5703125" style="916" customWidth="1"/>
    <col min="5139" max="5379" width="11.42578125" style="916"/>
    <col min="5380" max="5380" width="6.42578125" style="916" customWidth="1"/>
    <col min="5381" max="5381" width="11.42578125" style="916"/>
    <col min="5382" max="5382" width="12.85546875" style="916" bestFit="1" customWidth="1"/>
    <col min="5383" max="5383" width="41.140625" style="916" bestFit="1" customWidth="1"/>
    <col min="5384" max="5384" width="13.140625" style="916" bestFit="1" customWidth="1"/>
    <col min="5385" max="5385" width="11.140625" style="916" bestFit="1" customWidth="1"/>
    <col min="5386" max="5386" width="13.140625" style="916" bestFit="1" customWidth="1"/>
    <col min="5387" max="5387" width="11.140625" style="916" bestFit="1" customWidth="1"/>
    <col min="5388" max="5388" width="13.140625" style="916" bestFit="1" customWidth="1"/>
    <col min="5389" max="5389" width="11.140625" style="916" bestFit="1" customWidth="1"/>
    <col min="5390" max="5390" width="13" style="916" customWidth="1"/>
    <col min="5391" max="5391" width="11.42578125" style="916"/>
    <col min="5392" max="5392" width="13.5703125" style="916" customWidth="1"/>
    <col min="5393" max="5393" width="11.42578125" style="916"/>
    <col min="5394" max="5394" width="13.5703125" style="916" customWidth="1"/>
    <col min="5395" max="5635" width="11.42578125" style="916"/>
    <col min="5636" max="5636" width="6.42578125" style="916" customWidth="1"/>
    <col min="5637" max="5637" width="11.42578125" style="916"/>
    <col min="5638" max="5638" width="12.85546875" style="916" bestFit="1" customWidth="1"/>
    <col min="5639" max="5639" width="41.140625" style="916" bestFit="1" customWidth="1"/>
    <col min="5640" max="5640" width="13.140625" style="916" bestFit="1" customWidth="1"/>
    <col min="5641" max="5641" width="11.140625" style="916" bestFit="1" customWidth="1"/>
    <col min="5642" max="5642" width="13.140625" style="916" bestFit="1" customWidth="1"/>
    <col min="5643" max="5643" width="11.140625" style="916" bestFit="1" customWidth="1"/>
    <col min="5644" max="5644" width="13.140625" style="916" bestFit="1" customWidth="1"/>
    <col min="5645" max="5645" width="11.140625" style="916" bestFit="1" customWidth="1"/>
    <col min="5646" max="5646" width="13" style="916" customWidth="1"/>
    <col min="5647" max="5647" width="11.42578125" style="916"/>
    <col min="5648" max="5648" width="13.5703125" style="916" customWidth="1"/>
    <col min="5649" max="5649" width="11.42578125" style="916"/>
    <col min="5650" max="5650" width="13.5703125" style="916" customWidth="1"/>
    <col min="5651" max="5891" width="11.42578125" style="916"/>
    <col min="5892" max="5892" width="6.42578125" style="916" customWidth="1"/>
    <col min="5893" max="5893" width="11.42578125" style="916"/>
    <col min="5894" max="5894" width="12.85546875" style="916" bestFit="1" customWidth="1"/>
    <col min="5895" max="5895" width="41.140625" style="916" bestFit="1" customWidth="1"/>
    <col min="5896" max="5896" width="13.140625" style="916" bestFit="1" customWidth="1"/>
    <col min="5897" max="5897" width="11.140625" style="916" bestFit="1" customWidth="1"/>
    <col min="5898" max="5898" width="13.140625" style="916" bestFit="1" customWidth="1"/>
    <col min="5899" max="5899" width="11.140625" style="916" bestFit="1" customWidth="1"/>
    <col min="5900" max="5900" width="13.140625" style="916" bestFit="1" customWidth="1"/>
    <col min="5901" max="5901" width="11.140625" style="916" bestFit="1" customWidth="1"/>
    <col min="5902" max="5902" width="13" style="916" customWidth="1"/>
    <col min="5903" max="5903" width="11.42578125" style="916"/>
    <col min="5904" max="5904" width="13.5703125" style="916" customWidth="1"/>
    <col min="5905" max="5905" width="11.42578125" style="916"/>
    <col min="5906" max="5906" width="13.5703125" style="916" customWidth="1"/>
    <col min="5907" max="6147" width="11.42578125" style="916"/>
    <col min="6148" max="6148" width="6.42578125" style="916" customWidth="1"/>
    <col min="6149" max="6149" width="11.42578125" style="916"/>
    <col min="6150" max="6150" width="12.85546875" style="916" bestFit="1" customWidth="1"/>
    <col min="6151" max="6151" width="41.140625" style="916" bestFit="1" customWidth="1"/>
    <col min="6152" max="6152" width="13.140625" style="916" bestFit="1" customWidth="1"/>
    <col min="6153" max="6153" width="11.140625" style="916" bestFit="1" customWidth="1"/>
    <col min="6154" max="6154" width="13.140625" style="916" bestFit="1" customWidth="1"/>
    <col min="6155" max="6155" width="11.140625" style="916" bestFit="1" customWidth="1"/>
    <col min="6156" max="6156" width="13.140625" style="916" bestFit="1" customWidth="1"/>
    <col min="6157" max="6157" width="11.140625" style="916" bestFit="1" customWidth="1"/>
    <col min="6158" max="6158" width="13" style="916" customWidth="1"/>
    <col min="6159" max="6159" width="11.42578125" style="916"/>
    <col min="6160" max="6160" width="13.5703125" style="916" customWidth="1"/>
    <col min="6161" max="6161" width="11.42578125" style="916"/>
    <col min="6162" max="6162" width="13.5703125" style="916" customWidth="1"/>
    <col min="6163" max="6403" width="11.42578125" style="916"/>
    <col min="6404" max="6404" width="6.42578125" style="916" customWidth="1"/>
    <col min="6405" max="6405" width="11.42578125" style="916"/>
    <col min="6406" max="6406" width="12.85546875" style="916" bestFit="1" customWidth="1"/>
    <col min="6407" max="6407" width="41.140625" style="916" bestFit="1" customWidth="1"/>
    <col min="6408" max="6408" width="13.140625" style="916" bestFit="1" customWidth="1"/>
    <col min="6409" max="6409" width="11.140625" style="916" bestFit="1" customWidth="1"/>
    <col min="6410" max="6410" width="13.140625" style="916" bestFit="1" customWidth="1"/>
    <col min="6411" max="6411" width="11.140625" style="916" bestFit="1" customWidth="1"/>
    <col min="6412" max="6412" width="13.140625" style="916" bestFit="1" customWidth="1"/>
    <col min="6413" max="6413" width="11.140625" style="916" bestFit="1" customWidth="1"/>
    <col min="6414" max="6414" width="13" style="916" customWidth="1"/>
    <col min="6415" max="6415" width="11.42578125" style="916"/>
    <col min="6416" max="6416" width="13.5703125" style="916" customWidth="1"/>
    <col min="6417" max="6417" width="11.42578125" style="916"/>
    <col min="6418" max="6418" width="13.5703125" style="916" customWidth="1"/>
    <col min="6419" max="6659" width="11.42578125" style="916"/>
    <col min="6660" max="6660" width="6.42578125" style="916" customWidth="1"/>
    <col min="6661" max="6661" width="11.42578125" style="916"/>
    <col min="6662" max="6662" width="12.85546875" style="916" bestFit="1" customWidth="1"/>
    <col min="6663" max="6663" width="41.140625" style="916" bestFit="1" customWidth="1"/>
    <col min="6664" max="6664" width="13.140625" style="916" bestFit="1" customWidth="1"/>
    <col min="6665" max="6665" width="11.140625" style="916" bestFit="1" customWidth="1"/>
    <col min="6666" max="6666" width="13.140625" style="916" bestFit="1" customWidth="1"/>
    <col min="6667" max="6667" width="11.140625" style="916" bestFit="1" customWidth="1"/>
    <col min="6668" max="6668" width="13.140625" style="916" bestFit="1" customWidth="1"/>
    <col min="6669" max="6669" width="11.140625" style="916" bestFit="1" customWidth="1"/>
    <col min="6670" max="6670" width="13" style="916" customWidth="1"/>
    <col min="6671" max="6671" width="11.42578125" style="916"/>
    <col min="6672" max="6672" width="13.5703125" style="916" customWidth="1"/>
    <col min="6673" max="6673" width="11.42578125" style="916"/>
    <col min="6674" max="6674" width="13.5703125" style="916" customWidth="1"/>
    <col min="6675" max="6915" width="11.42578125" style="916"/>
    <col min="6916" max="6916" width="6.42578125" style="916" customWidth="1"/>
    <col min="6917" max="6917" width="11.42578125" style="916"/>
    <col min="6918" max="6918" width="12.85546875" style="916" bestFit="1" customWidth="1"/>
    <col min="6919" max="6919" width="41.140625" style="916" bestFit="1" customWidth="1"/>
    <col min="6920" max="6920" width="13.140625" style="916" bestFit="1" customWidth="1"/>
    <col min="6921" max="6921" width="11.140625" style="916" bestFit="1" customWidth="1"/>
    <col min="6922" max="6922" width="13.140625" style="916" bestFit="1" customWidth="1"/>
    <col min="6923" max="6923" width="11.140625" style="916" bestFit="1" customWidth="1"/>
    <col min="6924" max="6924" width="13.140625" style="916" bestFit="1" customWidth="1"/>
    <col min="6925" max="6925" width="11.140625" style="916" bestFit="1" customWidth="1"/>
    <col min="6926" max="6926" width="13" style="916" customWidth="1"/>
    <col min="6927" max="6927" width="11.42578125" style="916"/>
    <col min="6928" max="6928" width="13.5703125" style="916" customWidth="1"/>
    <col min="6929" max="6929" width="11.42578125" style="916"/>
    <col min="6930" max="6930" width="13.5703125" style="916" customWidth="1"/>
    <col min="6931" max="7171" width="11.42578125" style="916"/>
    <col min="7172" max="7172" width="6.42578125" style="916" customWidth="1"/>
    <col min="7173" max="7173" width="11.42578125" style="916"/>
    <col min="7174" max="7174" width="12.85546875" style="916" bestFit="1" customWidth="1"/>
    <col min="7175" max="7175" width="41.140625" style="916" bestFit="1" customWidth="1"/>
    <col min="7176" max="7176" width="13.140625" style="916" bestFit="1" customWidth="1"/>
    <col min="7177" max="7177" width="11.140625" style="916" bestFit="1" customWidth="1"/>
    <col min="7178" max="7178" width="13.140625" style="916" bestFit="1" customWidth="1"/>
    <col min="7179" max="7179" width="11.140625" style="916" bestFit="1" customWidth="1"/>
    <col min="7180" max="7180" width="13.140625" style="916" bestFit="1" customWidth="1"/>
    <col min="7181" max="7181" width="11.140625" style="916" bestFit="1" customWidth="1"/>
    <col min="7182" max="7182" width="13" style="916" customWidth="1"/>
    <col min="7183" max="7183" width="11.42578125" style="916"/>
    <col min="7184" max="7184" width="13.5703125" style="916" customWidth="1"/>
    <col min="7185" max="7185" width="11.42578125" style="916"/>
    <col min="7186" max="7186" width="13.5703125" style="916" customWidth="1"/>
    <col min="7187" max="7427" width="11.42578125" style="916"/>
    <col min="7428" max="7428" width="6.42578125" style="916" customWidth="1"/>
    <col min="7429" max="7429" width="11.42578125" style="916"/>
    <col min="7430" max="7430" width="12.85546875" style="916" bestFit="1" customWidth="1"/>
    <col min="7431" max="7431" width="41.140625" style="916" bestFit="1" customWidth="1"/>
    <col min="7432" max="7432" width="13.140625" style="916" bestFit="1" customWidth="1"/>
    <col min="7433" max="7433" width="11.140625" style="916" bestFit="1" customWidth="1"/>
    <col min="7434" max="7434" width="13.140625" style="916" bestFit="1" customWidth="1"/>
    <col min="7435" max="7435" width="11.140625" style="916" bestFit="1" customWidth="1"/>
    <col min="7436" max="7436" width="13.140625" style="916" bestFit="1" customWidth="1"/>
    <col min="7437" max="7437" width="11.140625" style="916" bestFit="1" customWidth="1"/>
    <col min="7438" max="7438" width="13" style="916" customWidth="1"/>
    <col min="7439" max="7439" width="11.42578125" style="916"/>
    <col min="7440" max="7440" width="13.5703125" style="916" customWidth="1"/>
    <col min="7441" max="7441" width="11.42578125" style="916"/>
    <col min="7442" max="7442" width="13.5703125" style="916" customWidth="1"/>
    <col min="7443" max="7683" width="11.42578125" style="916"/>
    <col min="7684" max="7684" width="6.42578125" style="916" customWidth="1"/>
    <col min="7685" max="7685" width="11.42578125" style="916"/>
    <col min="7686" max="7686" width="12.85546875" style="916" bestFit="1" customWidth="1"/>
    <col min="7687" max="7687" width="41.140625" style="916" bestFit="1" customWidth="1"/>
    <col min="7688" max="7688" width="13.140625" style="916" bestFit="1" customWidth="1"/>
    <col min="7689" max="7689" width="11.140625" style="916" bestFit="1" customWidth="1"/>
    <col min="7690" max="7690" width="13.140625" style="916" bestFit="1" customWidth="1"/>
    <col min="7691" max="7691" width="11.140625" style="916" bestFit="1" customWidth="1"/>
    <col min="7692" max="7692" width="13.140625" style="916" bestFit="1" customWidth="1"/>
    <col min="7693" max="7693" width="11.140625" style="916" bestFit="1" customWidth="1"/>
    <col min="7694" max="7694" width="13" style="916" customWidth="1"/>
    <col min="7695" max="7695" width="11.42578125" style="916"/>
    <col min="7696" max="7696" width="13.5703125" style="916" customWidth="1"/>
    <col min="7697" max="7697" width="11.42578125" style="916"/>
    <col min="7698" max="7698" width="13.5703125" style="916" customWidth="1"/>
    <col min="7699" max="7939" width="11.42578125" style="916"/>
    <col min="7940" max="7940" width="6.42578125" style="916" customWidth="1"/>
    <col min="7941" max="7941" width="11.42578125" style="916"/>
    <col min="7942" max="7942" width="12.85546875" style="916" bestFit="1" customWidth="1"/>
    <col min="7943" max="7943" width="41.140625" style="916" bestFit="1" customWidth="1"/>
    <col min="7944" max="7944" width="13.140625" style="916" bestFit="1" customWidth="1"/>
    <col min="7945" max="7945" width="11.140625" style="916" bestFit="1" customWidth="1"/>
    <col min="7946" max="7946" width="13.140625" style="916" bestFit="1" customWidth="1"/>
    <col min="7947" max="7947" width="11.140625" style="916" bestFit="1" customWidth="1"/>
    <col min="7948" max="7948" width="13.140625" style="916" bestFit="1" customWidth="1"/>
    <col min="7949" max="7949" width="11.140625" style="916" bestFit="1" customWidth="1"/>
    <col min="7950" max="7950" width="13" style="916" customWidth="1"/>
    <col min="7951" max="7951" width="11.42578125" style="916"/>
    <col min="7952" max="7952" width="13.5703125" style="916" customWidth="1"/>
    <col min="7953" max="7953" width="11.42578125" style="916"/>
    <col min="7954" max="7954" width="13.5703125" style="916" customWidth="1"/>
    <col min="7955" max="8195" width="11.42578125" style="916"/>
    <col min="8196" max="8196" width="6.42578125" style="916" customWidth="1"/>
    <col min="8197" max="8197" width="11.42578125" style="916"/>
    <col min="8198" max="8198" width="12.85546875" style="916" bestFit="1" customWidth="1"/>
    <col min="8199" max="8199" width="41.140625" style="916" bestFit="1" customWidth="1"/>
    <col min="8200" max="8200" width="13.140625" style="916" bestFit="1" customWidth="1"/>
    <col min="8201" max="8201" width="11.140625" style="916" bestFit="1" customWidth="1"/>
    <col min="8202" max="8202" width="13.140625" style="916" bestFit="1" customWidth="1"/>
    <col min="8203" max="8203" width="11.140625" style="916" bestFit="1" customWidth="1"/>
    <col min="8204" max="8204" width="13.140625" style="916" bestFit="1" customWidth="1"/>
    <col min="8205" max="8205" width="11.140625" style="916" bestFit="1" customWidth="1"/>
    <col min="8206" max="8206" width="13" style="916" customWidth="1"/>
    <col min="8207" max="8207" width="11.42578125" style="916"/>
    <col min="8208" max="8208" width="13.5703125" style="916" customWidth="1"/>
    <col min="8209" max="8209" width="11.42578125" style="916"/>
    <col min="8210" max="8210" width="13.5703125" style="916" customWidth="1"/>
    <col min="8211" max="8451" width="11.42578125" style="916"/>
    <col min="8452" max="8452" width="6.42578125" style="916" customWidth="1"/>
    <col min="8453" max="8453" width="11.42578125" style="916"/>
    <col min="8454" max="8454" width="12.85546875" style="916" bestFit="1" customWidth="1"/>
    <col min="8455" max="8455" width="41.140625" style="916" bestFit="1" customWidth="1"/>
    <col min="8456" max="8456" width="13.140625" style="916" bestFit="1" customWidth="1"/>
    <col min="8457" max="8457" width="11.140625" style="916" bestFit="1" customWidth="1"/>
    <col min="8458" max="8458" width="13.140625" style="916" bestFit="1" customWidth="1"/>
    <col min="8459" max="8459" width="11.140625" style="916" bestFit="1" customWidth="1"/>
    <col min="8460" max="8460" width="13.140625" style="916" bestFit="1" customWidth="1"/>
    <col min="8461" max="8461" width="11.140625" style="916" bestFit="1" customWidth="1"/>
    <col min="8462" max="8462" width="13" style="916" customWidth="1"/>
    <col min="8463" max="8463" width="11.42578125" style="916"/>
    <col min="8464" max="8464" width="13.5703125" style="916" customWidth="1"/>
    <col min="8465" max="8465" width="11.42578125" style="916"/>
    <col min="8466" max="8466" width="13.5703125" style="916" customWidth="1"/>
    <col min="8467" max="8707" width="11.42578125" style="916"/>
    <col min="8708" max="8708" width="6.42578125" style="916" customWidth="1"/>
    <col min="8709" max="8709" width="11.42578125" style="916"/>
    <col min="8710" max="8710" width="12.85546875" style="916" bestFit="1" customWidth="1"/>
    <col min="8711" max="8711" width="41.140625" style="916" bestFit="1" customWidth="1"/>
    <col min="8712" max="8712" width="13.140625" style="916" bestFit="1" customWidth="1"/>
    <col min="8713" max="8713" width="11.140625" style="916" bestFit="1" customWidth="1"/>
    <col min="8714" max="8714" width="13.140625" style="916" bestFit="1" customWidth="1"/>
    <col min="8715" max="8715" width="11.140625" style="916" bestFit="1" customWidth="1"/>
    <col min="8716" max="8716" width="13.140625" style="916" bestFit="1" customWidth="1"/>
    <col min="8717" max="8717" width="11.140625" style="916" bestFit="1" customWidth="1"/>
    <col min="8718" max="8718" width="13" style="916" customWidth="1"/>
    <col min="8719" max="8719" width="11.42578125" style="916"/>
    <col min="8720" max="8720" width="13.5703125" style="916" customWidth="1"/>
    <col min="8721" max="8721" width="11.42578125" style="916"/>
    <col min="8722" max="8722" width="13.5703125" style="916" customWidth="1"/>
    <col min="8723" max="8963" width="11.42578125" style="916"/>
    <col min="8964" max="8964" width="6.42578125" style="916" customWidth="1"/>
    <col min="8965" max="8965" width="11.42578125" style="916"/>
    <col min="8966" max="8966" width="12.85546875" style="916" bestFit="1" customWidth="1"/>
    <col min="8967" max="8967" width="41.140625" style="916" bestFit="1" customWidth="1"/>
    <col min="8968" max="8968" width="13.140625" style="916" bestFit="1" customWidth="1"/>
    <col min="8969" max="8969" width="11.140625" style="916" bestFit="1" customWidth="1"/>
    <col min="8970" max="8970" width="13.140625" style="916" bestFit="1" customWidth="1"/>
    <col min="8971" max="8971" width="11.140625" style="916" bestFit="1" customWidth="1"/>
    <col min="8972" max="8972" width="13.140625" style="916" bestFit="1" customWidth="1"/>
    <col min="8973" max="8973" width="11.140625" style="916" bestFit="1" customWidth="1"/>
    <col min="8974" max="8974" width="13" style="916" customWidth="1"/>
    <col min="8975" max="8975" width="11.42578125" style="916"/>
    <col min="8976" max="8976" width="13.5703125" style="916" customWidth="1"/>
    <col min="8977" max="8977" width="11.42578125" style="916"/>
    <col min="8978" max="8978" width="13.5703125" style="916" customWidth="1"/>
    <col min="8979" max="9219" width="11.42578125" style="916"/>
    <col min="9220" max="9220" width="6.42578125" style="916" customWidth="1"/>
    <col min="9221" max="9221" width="11.42578125" style="916"/>
    <col min="9222" max="9222" width="12.85546875" style="916" bestFit="1" customWidth="1"/>
    <col min="9223" max="9223" width="41.140625" style="916" bestFit="1" customWidth="1"/>
    <col min="9224" max="9224" width="13.140625" style="916" bestFit="1" customWidth="1"/>
    <col min="9225" max="9225" width="11.140625" style="916" bestFit="1" customWidth="1"/>
    <col min="9226" max="9226" width="13.140625" style="916" bestFit="1" customWidth="1"/>
    <col min="9227" max="9227" width="11.140625" style="916" bestFit="1" customWidth="1"/>
    <col min="9228" max="9228" width="13.140625" style="916" bestFit="1" customWidth="1"/>
    <col min="9229" max="9229" width="11.140625" style="916" bestFit="1" customWidth="1"/>
    <col min="9230" max="9230" width="13" style="916" customWidth="1"/>
    <col min="9231" max="9231" width="11.42578125" style="916"/>
    <col min="9232" max="9232" width="13.5703125" style="916" customWidth="1"/>
    <col min="9233" max="9233" width="11.42578125" style="916"/>
    <col min="9234" max="9234" width="13.5703125" style="916" customWidth="1"/>
    <col min="9235" max="9475" width="11.42578125" style="916"/>
    <col min="9476" max="9476" width="6.42578125" style="916" customWidth="1"/>
    <col min="9477" max="9477" width="11.42578125" style="916"/>
    <col min="9478" max="9478" width="12.85546875" style="916" bestFit="1" customWidth="1"/>
    <col min="9479" max="9479" width="41.140625" style="916" bestFit="1" customWidth="1"/>
    <col min="9480" max="9480" width="13.140625" style="916" bestFit="1" customWidth="1"/>
    <col min="9481" max="9481" width="11.140625" style="916" bestFit="1" customWidth="1"/>
    <col min="9482" max="9482" width="13.140625" style="916" bestFit="1" customWidth="1"/>
    <col min="9483" max="9483" width="11.140625" style="916" bestFit="1" customWidth="1"/>
    <col min="9484" max="9484" width="13.140625" style="916" bestFit="1" customWidth="1"/>
    <col min="9485" max="9485" width="11.140625" style="916" bestFit="1" customWidth="1"/>
    <col min="9486" max="9486" width="13" style="916" customWidth="1"/>
    <col min="9487" max="9487" width="11.42578125" style="916"/>
    <col min="9488" max="9488" width="13.5703125" style="916" customWidth="1"/>
    <col min="9489" max="9489" width="11.42578125" style="916"/>
    <col min="9490" max="9490" width="13.5703125" style="916" customWidth="1"/>
    <col min="9491" max="9731" width="11.42578125" style="916"/>
    <col min="9732" max="9732" width="6.42578125" style="916" customWidth="1"/>
    <col min="9733" max="9733" width="11.42578125" style="916"/>
    <col min="9734" max="9734" width="12.85546875" style="916" bestFit="1" customWidth="1"/>
    <col min="9735" max="9735" width="41.140625" style="916" bestFit="1" customWidth="1"/>
    <col min="9736" max="9736" width="13.140625" style="916" bestFit="1" customWidth="1"/>
    <col min="9737" max="9737" width="11.140625" style="916" bestFit="1" customWidth="1"/>
    <col min="9738" max="9738" width="13.140625" style="916" bestFit="1" customWidth="1"/>
    <col min="9739" max="9739" width="11.140625" style="916" bestFit="1" customWidth="1"/>
    <col min="9740" max="9740" width="13.140625" style="916" bestFit="1" customWidth="1"/>
    <col min="9741" max="9741" width="11.140625" style="916" bestFit="1" customWidth="1"/>
    <col min="9742" max="9742" width="13" style="916" customWidth="1"/>
    <col min="9743" max="9743" width="11.42578125" style="916"/>
    <col min="9744" max="9744" width="13.5703125" style="916" customWidth="1"/>
    <col min="9745" max="9745" width="11.42578125" style="916"/>
    <col min="9746" max="9746" width="13.5703125" style="916" customWidth="1"/>
    <col min="9747" max="9987" width="11.42578125" style="916"/>
    <col min="9988" max="9988" width="6.42578125" style="916" customWidth="1"/>
    <col min="9989" max="9989" width="11.42578125" style="916"/>
    <col min="9990" max="9990" width="12.85546875" style="916" bestFit="1" customWidth="1"/>
    <col min="9991" max="9991" width="41.140625" style="916" bestFit="1" customWidth="1"/>
    <col min="9992" max="9992" width="13.140625" style="916" bestFit="1" customWidth="1"/>
    <col min="9993" max="9993" width="11.140625" style="916" bestFit="1" customWidth="1"/>
    <col min="9994" max="9994" width="13.140625" style="916" bestFit="1" customWidth="1"/>
    <col min="9995" max="9995" width="11.140625" style="916" bestFit="1" customWidth="1"/>
    <col min="9996" max="9996" width="13.140625" style="916" bestFit="1" customWidth="1"/>
    <col min="9997" max="9997" width="11.140625" style="916" bestFit="1" customWidth="1"/>
    <col min="9998" max="9998" width="13" style="916" customWidth="1"/>
    <col min="9999" max="9999" width="11.42578125" style="916"/>
    <col min="10000" max="10000" width="13.5703125" style="916" customWidth="1"/>
    <col min="10001" max="10001" width="11.42578125" style="916"/>
    <col min="10002" max="10002" width="13.5703125" style="916" customWidth="1"/>
    <col min="10003" max="10243" width="11.42578125" style="916"/>
    <col min="10244" max="10244" width="6.42578125" style="916" customWidth="1"/>
    <col min="10245" max="10245" width="11.42578125" style="916"/>
    <col min="10246" max="10246" width="12.85546875" style="916" bestFit="1" customWidth="1"/>
    <col min="10247" max="10247" width="41.140625" style="916" bestFit="1" customWidth="1"/>
    <col min="10248" max="10248" width="13.140625" style="916" bestFit="1" customWidth="1"/>
    <col min="10249" max="10249" width="11.140625" style="916" bestFit="1" customWidth="1"/>
    <col min="10250" max="10250" width="13.140625" style="916" bestFit="1" customWidth="1"/>
    <col min="10251" max="10251" width="11.140625" style="916" bestFit="1" customWidth="1"/>
    <col min="10252" max="10252" width="13.140625" style="916" bestFit="1" customWidth="1"/>
    <col min="10253" max="10253" width="11.140625" style="916" bestFit="1" customWidth="1"/>
    <col min="10254" max="10254" width="13" style="916" customWidth="1"/>
    <col min="10255" max="10255" width="11.42578125" style="916"/>
    <col min="10256" max="10256" width="13.5703125" style="916" customWidth="1"/>
    <col min="10257" max="10257" width="11.42578125" style="916"/>
    <col min="10258" max="10258" width="13.5703125" style="916" customWidth="1"/>
    <col min="10259" max="10499" width="11.42578125" style="916"/>
    <col min="10500" max="10500" width="6.42578125" style="916" customWidth="1"/>
    <col min="10501" max="10501" width="11.42578125" style="916"/>
    <col min="10502" max="10502" width="12.85546875" style="916" bestFit="1" customWidth="1"/>
    <col min="10503" max="10503" width="41.140625" style="916" bestFit="1" customWidth="1"/>
    <col min="10504" max="10504" width="13.140625" style="916" bestFit="1" customWidth="1"/>
    <col min="10505" max="10505" width="11.140625" style="916" bestFit="1" customWidth="1"/>
    <col min="10506" max="10506" width="13.140625" style="916" bestFit="1" customWidth="1"/>
    <col min="10507" max="10507" width="11.140625" style="916" bestFit="1" customWidth="1"/>
    <col min="10508" max="10508" width="13.140625" style="916" bestFit="1" customWidth="1"/>
    <col min="10509" max="10509" width="11.140625" style="916" bestFit="1" customWidth="1"/>
    <col min="10510" max="10510" width="13" style="916" customWidth="1"/>
    <col min="10511" max="10511" width="11.42578125" style="916"/>
    <col min="10512" max="10512" width="13.5703125" style="916" customWidth="1"/>
    <col min="10513" max="10513" width="11.42578125" style="916"/>
    <col min="10514" max="10514" width="13.5703125" style="916" customWidth="1"/>
    <col min="10515" max="10755" width="11.42578125" style="916"/>
    <col min="10756" max="10756" width="6.42578125" style="916" customWidth="1"/>
    <col min="10757" max="10757" width="11.42578125" style="916"/>
    <col min="10758" max="10758" width="12.85546875" style="916" bestFit="1" customWidth="1"/>
    <col min="10759" max="10759" width="41.140625" style="916" bestFit="1" customWidth="1"/>
    <col min="10760" max="10760" width="13.140625" style="916" bestFit="1" customWidth="1"/>
    <col min="10761" max="10761" width="11.140625" style="916" bestFit="1" customWidth="1"/>
    <col min="10762" max="10762" width="13.140625" style="916" bestFit="1" customWidth="1"/>
    <col min="10763" max="10763" width="11.140625" style="916" bestFit="1" customWidth="1"/>
    <col min="10764" max="10764" width="13.140625" style="916" bestFit="1" customWidth="1"/>
    <col min="10765" max="10765" width="11.140625" style="916" bestFit="1" customWidth="1"/>
    <col min="10766" max="10766" width="13" style="916" customWidth="1"/>
    <col min="10767" max="10767" width="11.42578125" style="916"/>
    <col min="10768" max="10768" width="13.5703125" style="916" customWidth="1"/>
    <col min="10769" max="10769" width="11.42578125" style="916"/>
    <col min="10770" max="10770" width="13.5703125" style="916" customWidth="1"/>
    <col min="10771" max="11011" width="11.42578125" style="916"/>
    <col min="11012" max="11012" width="6.42578125" style="916" customWidth="1"/>
    <col min="11013" max="11013" width="11.42578125" style="916"/>
    <col min="11014" max="11014" width="12.85546875" style="916" bestFit="1" customWidth="1"/>
    <col min="11015" max="11015" width="41.140625" style="916" bestFit="1" customWidth="1"/>
    <col min="11016" max="11016" width="13.140625" style="916" bestFit="1" customWidth="1"/>
    <col min="11017" max="11017" width="11.140625" style="916" bestFit="1" customWidth="1"/>
    <col min="11018" max="11018" width="13.140625" style="916" bestFit="1" customWidth="1"/>
    <col min="11019" max="11019" width="11.140625" style="916" bestFit="1" customWidth="1"/>
    <col min="11020" max="11020" width="13.140625" style="916" bestFit="1" customWidth="1"/>
    <col min="11021" max="11021" width="11.140625" style="916" bestFit="1" customWidth="1"/>
    <col min="11022" max="11022" width="13" style="916" customWidth="1"/>
    <col min="11023" max="11023" width="11.42578125" style="916"/>
    <col min="11024" max="11024" width="13.5703125" style="916" customWidth="1"/>
    <col min="11025" max="11025" width="11.42578125" style="916"/>
    <col min="11026" max="11026" width="13.5703125" style="916" customWidth="1"/>
    <col min="11027" max="11267" width="11.42578125" style="916"/>
    <col min="11268" max="11268" width="6.42578125" style="916" customWidth="1"/>
    <col min="11269" max="11269" width="11.42578125" style="916"/>
    <col min="11270" max="11270" width="12.85546875" style="916" bestFit="1" customWidth="1"/>
    <col min="11271" max="11271" width="41.140625" style="916" bestFit="1" customWidth="1"/>
    <col min="11272" max="11272" width="13.140625" style="916" bestFit="1" customWidth="1"/>
    <col min="11273" max="11273" width="11.140625" style="916" bestFit="1" customWidth="1"/>
    <col min="11274" max="11274" width="13.140625" style="916" bestFit="1" customWidth="1"/>
    <col min="11275" max="11275" width="11.140625" style="916" bestFit="1" customWidth="1"/>
    <col min="11276" max="11276" width="13.140625" style="916" bestFit="1" customWidth="1"/>
    <col min="11277" max="11277" width="11.140625" style="916" bestFit="1" customWidth="1"/>
    <col min="11278" max="11278" width="13" style="916" customWidth="1"/>
    <col min="11279" max="11279" width="11.42578125" style="916"/>
    <col min="11280" max="11280" width="13.5703125" style="916" customWidth="1"/>
    <col min="11281" max="11281" width="11.42578125" style="916"/>
    <col min="11282" max="11282" width="13.5703125" style="916" customWidth="1"/>
    <col min="11283" max="11523" width="11.42578125" style="916"/>
    <col min="11524" max="11524" width="6.42578125" style="916" customWidth="1"/>
    <col min="11525" max="11525" width="11.42578125" style="916"/>
    <col min="11526" max="11526" width="12.85546875" style="916" bestFit="1" customWidth="1"/>
    <col min="11527" max="11527" width="41.140625" style="916" bestFit="1" customWidth="1"/>
    <col min="11528" max="11528" width="13.140625" style="916" bestFit="1" customWidth="1"/>
    <col min="11529" max="11529" width="11.140625" style="916" bestFit="1" customWidth="1"/>
    <col min="11530" max="11530" width="13.140625" style="916" bestFit="1" customWidth="1"/>
    <col min="11531" max="11531" width="11.140625" style="916" bestFit="1" customWidth="1"/>
    <col min="11532" max="11532" width="13.140625" style="916" bestFit="1" customWidth="1"/>
    <col min="11533" max="11533" width="11.140625" style="916" bestFit="1" customWidth="1"/>
    <col min="11534" max="11534" width="13" style="916" customWidth="1"/>
    <col min="11535" max="11535" width="11.42578125" style="916"/>
    <col min="11536" max="11536" width="13.5703125" style="916" customWidth="1"/>
    <col min="11537" max="11537" width="11.42578125" style="916"/>
    <col min="11538" max="11538" width="13.5703125" style="916" customWidth="1"/>
    <col min="11539" max="11779" width="11.42578125" style="916"/>
    <col min="11780" max="11780" width="6.42578125" style="916" customWidth="1"/>
    <col min="11781" max="11781" width="11.42578125" style="916"/>
    <col min="11782" max="11782" width="12.85546875" style="916" bestFit="1" customWidth="1"/>
    <col min="11783" max="11783" width="41.140625" style="916" bestFit="1" customWidth="1"/>
    <col min="11784" max="11784" width="13.140625" style="916" bestFit="1" customWidth="1"/>
    <col min="11785" max="11785" width="11.140625" style="916" bestFit="1" customWidth="1"/>
    <col min="11786" max="11786" width="13.140625" style="916" bestFit="1" customWidth="1"/>
    <col min="11787" max="11787" width="11.140625" style="916" bestFit="1" customWidth="1"/>
    <col min="11788" max="11788" width="13.140625" style="916" bestFit="1" customWidth="1"/>
    <col min="11789" max="11789" width="11.140625" style="916" bestFit="1" customWidth="1"/>
    <col min="11790" max="11790" width="13" style="916" customWidth="1"/>
    <col min="11791" max="11791" width="11.42578125" style="916"/>
    <col min="11792" max="11792" width="13.5703125" style="916" customWidth="1"/>
    <col min="11793" max="11793" width="11.42578125" style="916"/>
    <col min="11794" max="11794" width="13.5703125" style="916" customWidth="1"/>
    <col min="11795" max="12035" width="11.42578125" style="916"/>
    <col min="12036" max="12036" width="6.42578125" style="916" customWidth="1"/>
    <col min="12037" max="12037" width="11.42578125" style="916"/>
    <col min="12038" max="12038" width="12.85546875" style="916" bestFit="1" customWidth="1"/>
    <col min="12039" max="12039" width="41.140625" style="916" bestFit="1" customWidth="1"/>
    <col min="12040" max="12040" width="13.140625" style="916" bestFit="1" customWidth="1"/>
    <col min="12041" max="12041" width="11.140625" style="916" bestFit="1" customWidth="1"/>
    <col min="12042" max="12042" width="13.140625" style="916" bestFit="1" customWidth="1"/>
    <col min="12043" max="12043" width="11.140625" style="916" bestFit="1" customWidth="1"/>
    <col min="12044" max="12044" width="13.140625" style="916" bestFit="1" customWidth="1"/>
    <col min="12045" max="12045" width="11.140625" style="916" bestFit="1" customWidth="1"/>
    <col min="12046" max="12046" width="13" style="916" customWidth="1"/>
    <col min="12047" max="12047" width="11.42578125" style="916"/>
    <col min="12048" max="12048" width="13.5703125" style="916" customWidth="1"/>
    <col min="12049" max="12049" width="11.42578125" style="916"/>
    <col min="12050" max="12050" width="13.5703125" style="916" customWidth="1"/>
    <col min="12051" max="12291" width="11.42578125" style="916"/>
    <col min="12292" max="12292" width="6.42578125" style="916" customWidth="1"/>
    <col min="12293" max="12293" width="11.42578125" style="916"/>
    <col min="12294" max="12294" width="12.85546875" style="916" bestFit="1" customWidth="1"/>
    <col min="12295" max="12295" width="41.140625" style="916" bestFit="1" customWidth="1"/>
    <col min="12296" max="12296" width="13.140625" style="916" bestFit="1" customWidth="1"/>
    <col min="12297" max="12297" width="11.140625" style="916" bestFit="1" customWidth="1"/>
    <col min="12298" max="12298" width="13.140625" style="916" bestFit="1" customWidth="1"/>
    <col min="12299" max="12299" width="11.140625" style="916" bestFit="1" customWidth="1"/>
    <col min="12300" max="12300" width="13.140625" style="916" bestFit="1" customWidth="1"/>
    <col min="12301" max="12301" width="11.140625" style="916" bestFit="1" customWidth="1"/>
    <col min="12302" max="12302" width="13" style="916" customWidth="1"/>
    <col min="12303" max="12303" width="11.42578125" style="916"/>
    <col min="12304" max="12304" width="13.5703125" style="916" customWidth="1"/>
    <col min="12305" max="12305" width="11.42578125" style="916"/>
    <col min="12306" max="12306" width="13.5703125" style="916" customWidth="1"/>
    <col min="12307" max="12547" width="11.42578125" style="916"/>
    <col min="12548" max="12548" width="6.42578125" style="916" customWidth="1"/>
    <col min="12549" max="12549" width="11.42578125" style="916"/>
    <col min="12550" max="12550" width="12.85546875" style="916" bestFit="1" customWidth="1"/>
    <col min="12551" max="12551" width="41.140625" style="916" bestFit="1" customWidth="1"/>
    <col min="12552" max="12552" width="13.140625" style="916" bestFit="1" customWidth="1"/>
    <col min="12553" max="12553" width="11.140625" style="916" bestFit="1" customWidth="1"/>
    <col min="12554" max="12554" width="13.140625" style="916" bestFit="1" customWidth="1"/>
    <col min="12555" max="12555" width="11.140625" style="916" bestFit="1" customWidth="1"/>
    <col min="12556" max="12556" width="13.140625" style="916" bestFit="1" customWidth="1"/>
    <col min="12557" max="12557" width="11.140625" style="916" bestFit="1" customWidth="1"/>
    <col min="12558" max="12558" width="13" style="916" customWidth="1"/>
    <col min="12559" max="12559" width="11.42578125" style="916"/>
    <col min="12560" max="12560" width="13.5703125" style="916" customWidth="1"/>
    <col min="12561" max="12561" width="11.42578125" style="916"/>
    <col min="12562" max="12562" width="13.5703125" style="916" customWidth="1"/>
    <col min="12563" max="12803" width="11.42578125" style="916"/>
    <col min="12804" max="12804" width="6.42578125" style="916" customWidth="1"/>
    <col min="12805" max="12805" width="11.42578125" style="916"/>
    <col min="12806" max="12806" width="12.85546875" style="916" bestFit="1" customWidth="1"/>
    <col min="12807" max="12807" width="41.140625" style="916" bestFit="1" customWidth="1"/>
    <col min="12808" max="12808" width="13.140625" style="916" bestFit="1" customWidth="1"/>
    <col min="12809" max="12809" width="11.140625" style="916" bestFit="1" customWidth="1"/>
    <col min="12810" max="12810" width="13.140625" style="916" bestFit="1" customWidth="1"/>
    <col min="12811" max="12811" width="11.140625" style="916" bestFit="1" customWidth="1"/>
    <col min="12812" max="12812" width="13.140625" style="916" bestFit="1" customWidth="1"/>
    <col min="12813" max="12813" width="11.140625" style="916" bestFit="1" customWidth="1"/>
    <col min="12814" max="12814" width="13" style="916" customWidth="1"/>
    <col min="12815" max="12815" width="11.42578125" style="916"/>
    <col min="12816" max="12816" width="13.5703125" style="916" customWidth="1"/>
    <col min="12817" max="12817" width="11.42578125" style="916"/>
    <col min="12818" max="12818" width="13.5703125" style="916" customWidth="1"/>
    <col min="12819" max="13059" width="11.42578125" style="916"/>
    <col min="13060" max="13060" width="6.42578125" style="916" customWidth="1"/>
    <col min="13061" max="13061" width="11.42578125" style="916"/>
    <col min="13062" max="13062" width="12.85546875" style="916" bestFit="1" customWidth="1"/>
    <col min="13063" max="13063" width="41.140625" style="916" bestFit="1" customWidth="1"/>
    <col min="13064" max="13064" width="13.140625" style="916" bestFit="1" customWidth="1"/>
    <col min="13065" max="13065" width="11.140625" style="916" bestFit="1" customWidth="1"/>
    <col min="13066" max="13066" width="13.140625" style="916" bestFit="1" customWidth="1"/>
    <col min="13067" max="13067" width="11.140625" style="916" bestFit="1" customWidth="1"/>
    <col min="13068" max="13068" width="13.140625" style="916" bestFit="1" customWidth="1"/>
    <col min="13069" max="13069" width="11.140625" style="916" bestFit="1" customWidth="1"/>
    <col min="13070" max="13070" width="13" style="916" customWidth="1"/>
    <col min="13071" max="13071" width="11.42578125" style="916"/>
    <col min="13072" max="13072" width="13.5703125" style="916" customWidth="1"/>
    <col min="13073" max="13073" width="11.42578125" style="916"/>
    <col min="13074" max="13074" width="13.5703125" style="916" customWidth="1"/>
    <col min="13075" max="13315" width="11.42578125" style="916"/>
    <col min="13316" max="13316" width="6.42578125" style="916" customWidth="1"/>
    <col min="13317" max="13317" width="11.42578125" style="916"/>
    <col min="13318" max="13318" width="12.85546875" style="916" bestFit="1" customWidth="1"/>
    <col min="13319" max="13319" width="41.140625" style="916" bestFit="1" customWidth="1"/>
    <col min="13320" max="13320" width="13.140625" style="916" bestFit="1" customWidth="1"/>
    <col min="13321" max="13321" width="11.140625" style="916" bestFit="1" customWidth="1"/>
    <col min="13322" max="13322" width="13.140625" style="916" bestFit="1" customWidth="1"/>
    <col min="13323" max="13323" width="11.140625" style="916" bestFit="1" customWidth="1"/>
    <col min="13324" max="13324" width="13.140625" style="916" bestFit="1" customWidth="1"/>
    <col min="13325" max="13325" width="11.140625" style="916" bestFit="1" customWidth="1"/>
    <col min="13326" max="13326" width="13" style="916" customWidth="1"/>
    <col min="13327" max="13327" width="11.42578125" style="916"/>
    <col min="13328" max="13328" width="13.5703125" style="916" customWidth="1"/>
    <col min="13329" max="13329" width="11.42578125" style="916"/>
    <col min="13330" max="13330" width="13.5703125" style="916" customWidth="1"/>
    <col min="13331" max="13571" width="11.42578125" style="916"/>
    <col min="13572" max="13572" width="6.42578125" style="916" customWidth="1"/>
    <col min="13573" max="13573" width="11.42578125" style="916"/>
    <col min="13574" max="13574" width="12.85546875" style="916" bestFit="1" customWidth="1"/>
    <col min="13575" max="13575" width="41.140625" style="916" bestFit="1" customWidth="1"/>
    <col min="13576" max="13576" width="13.140625" style="916" bestFit="1" customWidth="1"/>
    <col min="13577" max="13577" width="11.140625" style="916" bestFit="1" customWidth="1"/>
    <col min="13578" max="13578" width="13.140625" style="916" bestFit="1" customWidth="1"/>
    <col min="13579" max="13579" width="11.140625" style="916" bestFit="1" customWidth="1"/>
    <col min="13580" max="13580" width="13.140625" style="916" bestFit="1" customWidth="1"/>
    <col min="13581" max="13581" width="11.140625" style="916" bestFit="1" customWidth="1"/>
    <col min="13582" max="13582" width="13" style="916" customWidth="1"/>
    <col min="13583" max="13583" width="11.42578125" style="916"/>
    <col min="13584" max="13584" width="13.5703125" style="916" customWidth="1"/>
    <col min="13585" max="13585" width="11.42578125" style="916"/>
    <col min="13586" max="13586" width="13.5703125" style="916" customWidth="1"/>
    <col min="13587" max="13827" width="11.42578125" style="916"/>
    <col min="13828" max="13828" width="6.42578125" style="916" customWidth="1"/>
    <col min="13829" max="13829" width="11.42578125" style="916"/>
    <col min="13830" max="13830" width="12.85546875" style="916" bestFit="1" customWidth="1"/>
    <col min="13831" max="13831" width="41.140625" style="916" bestFit="1" customWidth="1"/>
    <col min="13832" max="13832" width="13.140625" style="916" bestFit="1" customWidth="1"/>
    <col min="13833" max="13833" width="11.140625" style="916" bestFit="1" customWidth="1"/>
    <col min="13834" max="13834" width="13.140625" style="916" bestFit="1" customWidth="1"/>
    <col min="13835" max="13835" width="11.140625" style="916" bestFit="1" customWidth="1"/>
    <col min="13836" max="13836" width="13.140625" style="916" bestFit="1" customWidth="1"/>
    <col min="13837" max="13837" width="11.140625" style="916" bestFit="1" customWidth="1"/>
    <col min="13838" max="13838" width="13" style="916" customWidth="1"/>
    <col min="13839" max="13839" width="11.42578125" style="916"/>
    <col min="13840" max="13840" width="13.5703125" style="916" customWidth="1"/>
    <col min="13841" max="13841" width="11.42578125" style="916"/>
    <col min="13842" max="13842" width="13.5703125" style="916" customWidth="1"/>
    <col min="13843" max="14083" width="11.42578125" style="916"/>
    <col min="14084" max="14084" width="6.42578125" style="916" customWidth="1"/>
    <col min="14085" max="14085" width="11.42578125" style="916"/>
    <col min="14086" max="14086" width="12.85546875" style="916" bestFit="1" customWidth="1"/>
    <col min="14087" max="14087" width="41.140625" style="916" bestFit="1" customWidth="1"/>
    <col min="14088" max="14088" width="13.140625" style="916" bestFit="1" customWidth="1"/>
    <col min="14089" max="14089" width="11.140625" style="916" bestFit="1" customWidth="1"/>
    <col min="14090" max="14090" width="13.140625" style="916" bestFit="1" customWidth="1"/>
    <col min="14091" max="14091" width="11.140625" style="916" bestFit="1" customWidth="1"/>
    <col min="14092" max="14092" width="13.140625" style="916" bestFit="1" customWidth="1"/>
    <col min="14093" max="14093" width="11.140625" style="916" bestFit="1" customWidth="1"/>
    <col min="14094" max="14094" width="13" style="916" customWidth="1"/>
    <col min="14095" max="14095" width="11.42578125" style="916"/>
    <col min="14096" max="14096" width="13.5703125" style="916" customWidth="1"/>
    <col min="14097" max="14097" width="11.42578125" style="916"/>
    <col min="14098" max="14098" width="13.5703125" style="916" customWidth="1"/>
    <col min="14099" max="14339" width="11.42578125" style="916"/>
    <col min="14340" max="14340" width="6.42578125" style="916" customWidth="1"/>
    <col min="14341" max="14341" width="11.42578125" style="916"/>
    <col min="14342" max="14342" width="12.85546875" style="916" bestFit="1" customWidth="1"/>
    <col min="14343" max="14343" width="41.140625" style="916" bestFit="1" customWidth="1"/>
    <col min="14344" max="14344" width="13.140625" style="916" bestFit="1" customWidth="1"/>
    <col min="14345" max="14345" width="11.140625" style="916" bestFit="1" customWidth="1"/>
    <col min="14346" max="14346" width="13.140625" style="916" bestFit="1" customWidth="1"/>
    <col min="14347" max="14347" width="11.140625" style="916" bestFit="1" customWidth="1"/>
    <col min="14348" max="14348" width="13.140625" style="916" bestFit="1" customWidth="1"/>
    <col min="14349" max="14349" width="11.140625" style="916" bestFit="1" customWidth="1"/>
    <col min="14350" max="14350" width="13" style="916" customWidth="1"/>
    <col min="14351" max="14351" width="11.42578125" style="916"/>
    <col min="14352" max="14352" width="13.5703125" style="916" customWidth="1"/>
    <col min="14353" max="14353" width="11.42578125" style="916"/>
    <col min="14354" max="14354" width="13.5703125" style="916" customWidth="1"/>
    <col min="14355" max="14595" width="11.42578125" style="916"/>
    <col min="14596" max="14596" width="6.42578125" style="916" customWidth="1"/>
    <col min="14597" max="14597" width="11.42578125" style="916"/>
    <col min="14598" max="14598" width="12.85546875" style="916" bestFit="1" customWidth="1"/>
    <col min="14599" max="14599" width="41.140625" style="916" bestFit="1" customWidth="1"/>
    <col min="14600" max="14600" width="13.140625" style="916" bestFit="1" customWidth="1"/>
    <col min="14601" max="14601" width="11.140625" style="916" bestFit="1" customWidth="1"/>
    <col min="14602" max="14602" width="13.140625" style="916" bestFit="1" customWidth="1"/>
    <col min="14603" max="14603" width="11.140625" style="916" bestFit="1" customWidth="1"/>
    <col min="14604" max="14604" width="13.140625" style="916" bestFit="1" customWidth="1"/>
    <col min="14605" max="14605" width="11.140625" style="916" bestFit="1" customWidth="1"/>
    <col min="14606" max="14606" width="13" style="916" customWidth="1"/>
    <col min="14607" max="14607" width="11.42578125" style="916"/>
    <col min="14608" max="14608" width="13.5703125" style="916" customWidth="1"/>
    <col min="14609" max="14609" width="11.42578125" style="916"/>
    <col min="14610" max="14610" width="13.5703125" style="916" customWidth="1"/>
    <col min="14611" max="14851" width="11.42578125" style="916"/>
    <col min="14852" max="14852" width="6.42578125" style="916" customWidth="1"/>
    <col min="14853" max="14853" width="11.42578125" style="916"/>
    <col min="14854" max="14854" width="12.85546875" style="916" bestFit="1" customWidth="1"/>
    <col min="14855" max="14855" width="41.140625" style="916" bestFit="1" customWidth="1"/>
    <col min="14856" max="14856" width="13.140625" style="916" bestFit="1" customWidth="1"/>
    <col min="14857" max="14857" width="11.140625" style="916" bestFit="1" customWidth="1"/>
    <col min="14858" max="14858" width="13.140625" style="916" bestFit="1" customWidth="1"/>
    <col min="14859" max="14859" width="11.140625" style="916" bestFit="1" customWidth="1"/>
    <col min="14860" max="14860" width="13.140625" style="916" bestFit="1" customWidth="1"/>
    <col min="14861" max="14861" width="11.140625" style="916" bestFit="1" customWidth="1"/>
    <col min="14862" max="14862" width="13" style="916" customWidth="1"/>
    <col min="14863" max="14863" width="11.42578125" style="916"/>
    <col min="14864" max="14864" width="13.5703125" style="916" customWidth="1"/>
    <col min="14865" max="14865" width="11.42578125" style="916"/>
    <col min="14866" max="14866" width="13.5703125" style="916" customWidth="1"/>
    <col min="14867" max="15107" width="11.42578125" style="916"/>
    <col min="15108" max="15108" width="6.42578125" style="916" customWidth="1"/>
    <col min="15109" max="15109" width="11.42578125" style="916"/>
    <col min="15110" max="15110" width="12.85546875" style="916" bestFit="1" customWidth="1"/>
    <col min="15111" max="15111" width="41.140625" style="916" bestFit="1" customWidth="1"/>
    <col min="15112" max="15112" width="13.140625" style="916" bestFit="1" customWidth="1"/>
    <col min="15113" max="15113" width="11.140625" style="916" bestFit="1" customWidth="1"/>
    <col min="15114" max="15114" width="13.140625" style="916" bestFit="1" customWidth="1"/>
    <col min="15115" max="15115" width="11.140625" style="916" bestFit="1" customWidth="1"/>
    <col min="15116" max="15116" width="13.140625" style="916" bestFit="1" customWidth="1"/>
    <col min="15117" max="15117" width="11.140625" style="916" bestFit="1" customWidth="1"/>
    <col min="15118" max="15118" width="13" style="916" customWidth="1"/>
    <col min="15119" max="15119" width="11.42578125" style="916"/>
    <col min="15120" max="15120" width="13.5703125" style="916" customWidth="1"/>
    <col min="15121" max="15121" width="11.42578125" style="916"/>
    <col min="15122" max="15122" width="13.5703125" style="916" customWidth="1"/>
    <col min="15123" max="15363" width="11.42578125" style="916"/>
    <col min="15364" max="15364" width="6.42578125" style="916" customWidth="1"/>
    <col min="15365" max="15365" width="11.42578125" style="916"/>
    <col min="15366" max="15366" width="12.85546875" style="916" bestFit="1" customWidth="1"/>
    <col min="15367" max="15367" width="41.140625" style="916" bestFit="1" customWidth="1"/>
    <col min="15368" max="15368" width="13.140625" style="916" bestFit="1" customWidth="1"/>
    <col min="15369" max="15369" width="11.140625" style="916" bestFit="1" customWidth="1"/>
    <col min="15370" max="15370" width="13.140625" style="916" bestFit="1" customWidth="1"/>
    <col min="15371" max="15371" width="11.140625" style="916" bestFit="1" customWidth="1"/>
    <col min="15372" max="15372" width="13.140625" style="916" bestFit="1" customWidth="1"/>
    <col min="15373" max="15373" width="11.140625" style="916" bestFit="1" customWidth="1"/>
    <col min="15374" max="15374" width="13" style="916" customWidth="1"/>
    <col min="15375" max="15375" width="11.42578125" style="916"/>
    <col min="15376" max="15376" width="13.5703125" style="916" customWidth="1"/>
    <col min="15377" max="15377" width="11.42578125" style="916"/>
    <col min="15378" max="15378" width="13.5703125" style="916" customWidth="1"/>
    <col min="15379" max="15619" width="11.42578125" style="916"/>
    <col min="15620" max="15620" width="6.42578125" style="916" customWidth="1"/>
    <col min="15621" max="15621" width="11.42578125" style="916"/>
    <col min="15622" max="15622" width="12.85546875" style="916" bestFit="1" customWidth="1"/>
    <col min="15623" max="15623" width="41.140625" style="916" bestFit="1" customWidth="1"/>
    <col min="15624" max="15624" width="13.140625" style="916" bestFit="1" customWidth="1"/>
    <col min="15625" max="15625" width="11.140625" style="916" bestFit="1" customWidth="1"/>
    <col min="15626" max="15626" width="13.140625" style="916" bestFit="1" customWidth="1"/>
    <col min="15627" max="15627" width="11.140625" style="916" bestFit="1" customWidth="1"/>
    <col min="15628" max="15628" width="13.140625" style="916" bestFit="1" customWidth="1"/>
    <col min="15629" max="15629" width="11.140625" style="916" bestFit="1" customWidth="1"/>
    <col min="15630" max="15630" width="13" style="916" customWidth="1"/>
    <col min="15631" max="15631" width="11.42578125" style="916"/>
    <col min="15632" max="15632" width="13.5703125" style="916" customWidth="1"/>
    <col min="15633" max="15633" width="11.42578125" style="916"/>
    <col min="15634" max="15634" width="13.5703125" style="916" customWidth="1"/>
    <col min="15635" max="15875" width="11.42578125" style="916"/>
    <col min="15876" max="15876" width="6.42578125" style="916" customWidth="1"/>
    <col min="15877" max="15877" width="11.42578125" style="916"/>
    <col min="15878" max="15878" width="12.85546875" style="916" bestFit="1" customWidth="1"/>
    <col min="15879" max="15879" width="41.140625" style="916" bestFit="1" customWidth="1"/>
    <col min="15880" max="15880" width="13.140625" style="916" bestFit="1" customWidth="1"/>
    <col min="15881" max="15881" width="11.140625" style="916" bestFit="1" customWidth="1"/>
    <col min="15882" max="15882" width="13.140625" style="916" bestFit="1" customWidth="1"/>
    <col min="15883" max="15883" width="11.140625" style="916" bestFit="1" customWidth="1"/>
    <col min="15884" max="15884" width="13.140625" style="916" bestFit="1" customWidth="1"/>
    <col min="15885" max="15885" width="11.140625" style="916" bestFit="1" customWidth="1"/>
    <col min="15886" max="15886" width="13" style="916" customWidth="1"/>
    <col min="15887" max="15887" width="11.42578125" style="916"/>
    <col min="15888" max="15888" width="13.5703125" style="916" customWidth="1"/>
    <col min="15889" max="15889" width="11.42578125" style="916"/>
    <col min="15890" max="15890" width="13.5703125" style="916" customWidth="1"/>
    <col min="15891" max="16131" width="11.42578125" style="916"/>
    <col min="16132" max="16132" width="6.42578125" style="916" customWidth="1"/>
    <col min="16133" max="16133" width="11.42578125" style="916"/>
    <col min="16134" max="16134" width="12.85546875" style="916" bestFit="1" customWidth="1"/>
    <col min="16135" max="16135" width="41.140625" style="916" bestFit="1" customWidth="1"/>
    <col min="16136" max="16136" width="13.140625" style="916" bestFit="1" customWidth="1"/>
    <col min="16137" max="16137" width="11.140625" style="916" bestFit="1" customWidth="1"/>
    <col min="16138" max="16138" width="13.140625" style="916" bestFit="1" customWidth="1"/>
    <col min="16139" max="16139" width="11.140625" style="916" bestFit="1" customWidth="1"/>
    <col min="16140" max="16140" width="13.140625" style="916" bestFit="1" customWidth="1"/>
    <col min="16141" max="16141" width="11.140625" style="916" bestFit="1" customWidth="1"/>
    <col min="16142" max="16142" width="13" style="916" customWidth="1"/>
    <col min="16143" max="16143" width="11.42578125" style="916"/>
    <col min="16144" max="16144" width="13.5703125" style="916" customWidth="1"/>
    <col min="16145" max="16145" width="11.42578125" style="916"/>
    <col min="16146" max="16146" width="13.5703125" style="916" customWidth="1"/>
    <col min="16147" max="16384" width="11.42578125" style="916"/>
  </cols>
  <sheetData>
    <row r="1" spans="1:37" s="911" customFormat="1" ht="41.25" customHeight="1" x14ac:dyDescent="0.2">
      <c r="A1" s="6697" t="s">
        <v>1572</v>
      </c>
      <c r="B1" s="6697"/>
      <c r="C1" s="6697"/>
      <c r="D1" s="915"/>
      <c r="E1" s="915"/>
      <c r="F1" s="915"/>
      <c r="G1" s="915"/>
      <c r="H1" s="914"/>
      <c r="I1" s="914"/>
      <c r="J1" s="914"/>
      <c r="K1" s="914"/>
      <c r="L1" s="914"/>
      <c r="M1" s="914"/>
      <c r="N1" s="914"/>
      <c r="O1" s="914"/>
      <c r="P1" s="914"/>
      <c r="Q1" s="914"/>
      <c r="R1" s="914"/>
      <c r="S1" s="914"/>
      <c r="AD1" s="6666" t="s">
        <v>1280</v>
      </c>
      <c r="AE1" s="6666"/>
    </row>
    <row r="3" spans="1:37" ht="15" x14ac:dyDescent="0.2">
      <c r="A3" s="6692" t="s">
        <v>16</v>
      </c>
      <c r="B3" s="6692" t="s">
        <v>354</v>
      </c>
      <c r="C3" s="6692" t="s">
        <v>165</v>
      </c>
      <c r="D3" s="6667">
        <v>2001</v>
      </c>
      <c r="E3" s="6668"/>
      <c r="F3" s="6667">
        <v>2002</v>
      </c>
      <c r="G3" s="6668"/>
      <c r="H3" s="6664">
        <v>2003</v>
      </c>
      <c r="I3" s="6665"/>
      <c r="J3" s="6664">
        <v>2004</v>
      </c>
      <c r="K3" s="6665"/>
      <c r="L3" s="6664">
        <v>2005</v>
      </c>
      <c r="M3" s="6665"/>
      <c r="N3" s="6664">
        <v>2006</v>
      </c>
      <c r="O3" s="6665"/>
      <c r="P3" s="6664">
        <v>2007</v>
      </c>
      <c r="Q3" s="6665"/>
      <c r="R3" s="6664">
        <v>2008</v>
      </c>
      <c r="S3" s="6665"/>
      <c r="T3" s="6664">
        <v>2009</v>
      </c>
      <c r="U3" s="6665"/>
      <c r="V3" s="6664">
        <v>2010</v>
      </c>
      <c r="W3" s="6665"/>
      <c r="X3" s="6664">
        <v>2011</v>
      </c>
      <c r="Y3" s="6665"/>
      <c r="Z3" s="6664">
        <v>2012</v>
      </c>
      <c r="AA3" s="6665"/>
      <c r="AB3" s="6664">
        <v>2013</v>
      </c>
      <c r="AC3" s="6665"/>
      <c r="AD3" s="6664">
        <v>2014</v>
      </c>
      <c r="AE3" s="6665"/>
      <c r="AF3" s="6664">
        <v>2015</v>
      </c>
      <c r="AG3" s="6665"/>
      <c r="AH3" s="6664">
        <v>2016</v>
      </c>
      <c r="AI3" s="6665"/>
      <c r="AJ3" s="6664">
        <v>2017</v>
      </c>
      <c r="AK3" s="6665"/>
    </row>
    <row r="4" spans="1:37" x14ac:dyDescent="0.2">
      <c r="A4" s="6693"/>
      <c r="B4" s="6693"/>
      <c r="C4" s="6693"/>
      <c r="D4" s="1326" t="s">
        <v>630</v>
      </c>
      <c r="E4" s="1327" t="s">
        <v>631</v>
      </c>
      <c r="F4" s="1326" t="s">
        <v>630</v>
      </c>
      <c r="G4" s="1327" t="s">
        <v>631</v>
      </c>
      <c r="H4" s="1326" t="s">
        <v>630</v>
      </c>
      <c r="I4" s="1327" t="s">
        <v>631</v>
      </c>
      <c r="J4" s="1326" t="s">
        <v>630</v>
      </c>
      <c r="K4" s="1327" t="s">
        <v>631</v>
      </c>
      <c r="L4" s="1326" t="s">
        <v>630</v>
      </c>
      <c r="M4" s="1327" t="s">
        <v>631</v>
      </c>
      <c r="N4" s="1326" t="s">
        <v>630</v>
      </c>
      <c r="O4" s="1327" t="s">
        <v>631</v>
      </c>
      <c r="P4" s="1326" t="s">
        <v>630</v>
      </c>
      <c r="Q4" s="1327" t="s">
        <v>631</v>
      </c>
      <c r="R4" s="1326" t="s">
        <v>630</v>
      </c>
      <c r="S4" s="1327" t="s">
        <v>631</v>
      </c>
      <c r="T4" s="1326" t="s">
        <v>630</v>
      </c>
      <c r="U4" s="1327" t="s">
        <v>631</v>
      </c>
      <c r="V4" s="1326" t="s">
        <v>630</v>
      </c>
      <c r="W4" s="1327" t="s">
        <v>631</v>
      </c>
      <c r="X4" s="1326" t="s">
        <v>630</v>
      </c>
      <c r="Y4" s="1327" t="s">
        <v>631</v>
      </c>
      <c r="Z4" s="1326" t="s">
        <v>630</v>
      </c>
      <c r="AA4" s="1327" t="s">
        <v>631</v>
      </c>
      <c r="AB4" s="1326" t="s">
        <v>630</v>
      </c>
      <c r="AC4" s="1327" t="s">
        <v>631</v>
      </c>
      <c r="AD4" s="1326" t="s">
        <v>630</v>
      </c>
      <c r="AE4" s="1327" t="s">
        <v>631</v>
      </c>
      <c r="AF4" s="1326" t="s">
        <v>630</v>
      </c>
      <c r="AG4" s="1327" t="s">
        <v>631</v>
      </c>
      <c r="AH4" s="1326" t="s">
        <v>630</v>
      </c>
      <c r="AI4" s="1327" t="s">
        <v>631</v>
      </c>
      <c r="AJ4" s="1326" t="s">
        <v>630</v>
      </c>
      <c r="AK4" s="1327" t="s">
        <v>631</v>
      </c>
    </row>
    <row r="5" spans="1:37" ht="15" customHeight="1" x14ac:dyDescent="0.2">
      <c r="A5" s="6698" t="s">
        <v>3</v>
      </c>
      <c r="B5" s="6701" t="s">
        <v>425</v>
      </c>
      <c r="C5" s="3309" t="s">
        <v>446</v>
      </c>
      <c r="D5" s="3310">
        <v>2</v>
      </c>
      <c r="E5" s="3311">
        <v>2</v>
      </c>
      <c r="F5" s="3310">
        <v>7</v>
      </c>
      <c r="G5" s="3311">
        <v>7</v>
      </c>
      <c r="H5" s="3310">
        <v>7</v>
      </c>
      <c r="I5" s="3311">
        <v>13</v>
      </c>
      <c r="J5" s="3310">
        <v>10</v>
      </c>
      <c r="K5" s="3311">
        <v>17</v>
      </c>
      <c r="L5" s="3310">
        <v>10</v>
      </c>
      <c r="M5" s="3311">
        <v>22</v>
      </c>
      <c r="N5" s="3310">
        <v>16</v>
      </c>
      <c r="O5" s="3311">
        <v>32</v>
      </c>
      <c r="P5" s="3310">
        <v>41</v>
      </c>
      <c r="Q5" s="3311">
        <v>59</v>
      </c>
      <c r="R5" s="3310">
        <v>19</v>
      </c>
      <c r="S5" s="3311">
        <v>62</v>
      </c>
      <c r="T5" s="3310">
        <v>60</v>
      </c>
      <c r="U5" s="3311">
        <v>89</v>
      </c>
      <c r="V5" s="3310">
        <v>84</v>
      </c>
      <c r="W5" s="3311">
        <v>141</v>
      </c>
      <c r="X5" s="3310">
        <v>80</v>
      </c>
      <c r="Y5" s="3311">
        <v>182</v>
      </c>
      <c r="Z5" s="3310">
        <v>45</v>
      </c>
      <c r="AA5" s="3311">
        <v>181</v>
      </c>
      <c r="AB5" s="3310">
        <v>57</v>
      </c>
      <c r="AC5" s="3311">
        <v>172</v>
      </c>
      <c r="AD5" s="3310">
        <v>64</v>
      </c>
      <c r="AE5" s="3311">
        <v>185</v>
      </c>
      <c r="AF5" s="3310">
        <v>48</v>
      </c>
      <c r="AG5" s="3311">
        <v>162</v>
      </c>
      <c r="AH5" s="3310">
        <v>51</v>
      </c>
      <c r="AI5" s="3311">
        <v>150</v>
      </c>
      <c r="AJ5" s="3310">
        <v>48</v>
      </c>
      <c r="AK5" s="3311">
        <v>159</v>
      </c>
    </row>
    <row r="6" spans="1:37" ht="15" customHeight="1" x14ac:dyDescent="0.2">
      <c r="A6" s="6699"/>
      <c r="B6" s="6702"/>
      <c r="C6" s="3312" t="s">
        <v>447</v>
      </c>
      <c r="D6" s="3313">
        <v>2</v>
      </c>
      <c r="E6" s="3314">
        <v>2</v>
      </c>
      <c r="F6" s="3313">
        <v>8</v>
      </c>
      <c r="G6" s="3314">
        <v>9</v>
      </c>
      <c r="H6" s="3313">
        <v>8</v>
      </c>
      <c r="I6" s="3314">
        <v>15</v>
      </c>
      <c r="J6" s="3313">
        <v>12</v>
      </c>
      <c r="K6" s="3314">
        <v>19</v>
      </c>
      <c r="L6" s="3313">
        <v>12</v>
      </c>
      <c r="M6" s="3314">
        <v>24</v>
      </c>
      <c r="N6" s="3313">
        <v>21</v>
      </c>
      <c r="O6" s="3314">
        <v>37</v>
      </c>
      <c r="P6" s="3313">
        <v>53</v>
      </c>
      <c r="Q6" s="3314">
        <v>79</v>
      </c>
      <c r="R6" s="3313">
        <v>36</v>
      </c>
      <c r="S6" s="3314">
        <v>87</v>
      </c>
      <c r="T6" s="3313">
        <v>39</v>
      </c>
      <c r="U6" s="3314">
        <v>86</v>
      </c>
      <c r="V6" s="3313">
        <v>100</v>
      </c>
      <c r="W6" s="3314">
        <v>147</v>
      </c>
      <c r="X6" s="3313">
        <v>83</v>
      </c>
      <c r="Y6" s="3314">
        <v>186</v>
      </c>
      <c r="Z6" s="3313">
        <v>43</v>
      </c>
      <c r="AA6" s="3314">
        <v>174</v>
      </c>
      <c r="AB6" s="3313">
        <v>49</v>
      </c>
      <c r="AC6" s="3314">
        <v>142</v>
      </c>
      <c r="AD6" s="3313">
        <v>53</v>
      </c>
      <c r="AE6" s="3314">
        <v>163</v>
      </c>
      <c r="AF6" s="3313">
        <v>37</v>
      </c>
      <c r="AG6" s="3314">
        <v>146</v>
      </c>
      <c r="AH6" s="3313">
        <v>63</v>
      </c>
      <c r="AI6" s="3314">
        <v>169</v>
      </c>
      <c r="AJ6" s="3313">
        <v>57</v>
      </c>
      <c r="AK6" s="3314">
        <v>176</v>
      </c>
    </row>
    <row r="7" spans="1:37" ht="15" customHeight="1" x14ac:dyDescent="0.2">
      <c r="A7" s="6699"/>
      <c r="B7" s="6702"/>
      <c r="C7" s="3312" t="s">
        <v>506</v>
      </c>
      <c r="D7" s="3313">
        <v>0</v>
      </c>
      <c r="E7" s="3314">
        <v>0</v>
      </c>
      <c r="F7" s="3313">
        <v>2</v>
      </c>
      <c r="G7" s="3314">
        <v>0</v>
      </c>
      <c r="H7" s="3313">
        <v>11</v>
      </c>
      <c r="I7" s="3314">
        <v>11</v>
      </c>
      <c r="J7" s="3313">
        <v>36</v>
      </c>
      <c r="K7" s="3314">
        <v>43</v>
      </c>
      <c r="L7" s="3313">
        <v>50</v>
      </c>
      <c r="M7" s="3314">
        <v>81</v>
      </c>
      <c r="N7" s="3313">
        <v>93</v>
      </c>
      <c r="O7" s="3314">
        <v>154</v>
      </c>
      <c r="P7" s="3313">
        <v>104</v>
      </c>
      <c r="Q7" s="3314">
        <v>216</v>
      </c>
      <c r="R7" s="3313">
        <v>52</v>
      </c>
      <c r="S7" s="3314">
        <v>187</v>
      </c>
      <c r="T7" s="3313">
        <v>89</v>
      </c>
      <c r="U7" s="3314">
        <v>181</v>
      </c>
      <c r="V7" s="3313">
        <v>21</v>
      </c>
      <c r="W7" s="3314">
        <v>41</v>
      </c>
      <c r="X7" s="3313">
        <v>44</v>
      </c>
      <c r="Y7" s="3314">
        <v>68</v>
      </c>
      <c r="Z7" s="3313">
        <v>46</v>
      </c>
      <c r="AA7" s="3314">
        <v>95</v>
      </c>
      <c r="AB7" s="3313">
        <v>45</v>
      </c>
      <c r="AC7" s="3314">
        <v>103</v>
      </c>
      <c r="AD7" s="3313">
        <v>31</v>
      </c>
      <c r="AE7" s="3314">
        <v>155</v>
      </c>
      <c r="AF7" s="3313">
        <v>42</v>
      </c>
      <c r="AG7" s="3314">
        <v>140</v>
      </c>
      <c r="AH7" s="3313">
        <v>70</v>
      </c>
      <c r="AI7" s="3314">
        <v>167</v>
      </c>
      <c r="AJ7" s="3313">
        <v>57</v>
      </c>
      <c r="AK7" s="3314">
        <v>80</v>
      </c>
    </row>
    <row r="8" spans="1:37" ht="15" customHeight="1" x14ac:dyDescent="0.2">
      <c r="A8" s="6699"/>
      <c r="B8" s="6702"/>
      <c r="C8" s="3312" t="s">
        <v>448</v>
      </c>
      <c r="D8" s="3313">
        <v>5</v>
      </c>
      <c r="E8" s="3314">
        <v>5</v>
      </c>
      <c r="F8" s="3313">
        <v>22</v>
      </c>
      <c r="G8" s="3314">
        <v>24</v>
      </c>
      <c r="H8" s="3313">
        <v>4</v>
      </c>
      <c r="I8" s="3314">
        <v>6</v>
      </c>
      <c r="J8" s="3313">
        <v>14</v>
      </c>
      <c r="K8" s="3314">
        <v>15</v>
      </c>
      <c r="L8" s="3313">
        <v>7</v>
      </c>
      <c r="M8" s="3314">
        <v>18</v>
      </c>
      <c r="N8" s="3313">
        <v>10</v>
      </c>
      <c r="O8" s="3314">
        <v>19</v>
      </c>
      <c r="P8" s="3313">
        <v>33</v>
      </c>
      <c r="Q8" s="3314">
        <v>46</v>
      </c>
      <c r="R8" s="3313">
        <v>11</v>
      </c>
      <c r="S8" s="3314">
        <v>43</v>
      </c>
      <c r="T8" s="3313">
        <v>24</v>
      </c>
      <c r="U8" s="3314">
        <v>43</v>
      </c>
      <c r="V8" s="3313">
        <v>77</v>
      </c>
      <c r="W8" s="3314">
        <v>128</v>
      </c>
      <c r="X8" s="3313">
        <v>59</v>
      </c>
      <c r="Y8" s="3314">
        <v>147</v>
      </c>
      <c r="Z8" s="3313">
        <v>38</v>
      </c>
      <c r="AA8" s="3314">
        <v>139</v>
      </c>
      <c r="AB8" s="3313">
        <v>42</v>
      </c>
      <c r="AC8" s="3314">
        <v>127</v>
      </c>
      <c r="AD8" s="3313">
        <v>44</v>
      </c>
      <c r="AE8" s="3314">
        <v>103</v>
      </c>
      <c r="AF8" s="3313">
        <v>41</v>
      </c>
      <c r="AG8" s="3314">
        <v>95</v>
      </c>
      <c r="AH8" s="3313">
        <v>26</v>
      </c>
      <c r="AI8" s="3314">
        <v>80</v>
      </c>
      <c r="AJ8" s="3313">
        <v>27</v>
      </c>
      <c r="AK8" s="3314">
        <v>126</v>
      </c>
    </row>
    <row r="9" spans="1:37" ht="15" customHeight="1" x14ac:dyDescent="0.2">
      <c r="A9" s="6699"/>
      <c r="B9" s="6702"/>
      <c r="C9" s="3312" t="s">
        <v>454</v>
      </c>
      <c r="D9" s="3313">
        <v>0</v>
      </c>
      <c r="E9" s="3314">
        <v>0</v>
      </c>
      <c r="F9" s="3313">
        <v>0</v>
      </c>
      <c r="G9" s="3314">
        <v>0</v>
      </c>
      <c r="H9" s="3313">
        <v>27</v>
      </c>
      <c r="I9" s="3314">
        <v>43</v>
      </c>
      <c r="J9" s="3313">
        <v>29</v>
      </c>
      <c r="K9" s="3314">
        <v>53</v>
      </c>
      <c r="L9" s="3313">
        <v>29</v>
      </c>
      <c r="M9" s="3314">
        <v>60</v>
      </c>
      <c r="N9" s="3313">
        <v>48</v>
      </c>
      <c r="O9" s="3314">
        <v>87</v>
      </c>
      <c r="P9" s="3313">
        <v>88</v>
      </c>
      <c r="Q9" s="3314">
        <v>149</v>
      </c>
      <c r="R9" s="3313">
        <v>27</v>
      </c>
      <c r="S9" s="3314">
        <v>119</v>
      </c>
      <c r="T9" s="3313">
        <v>46</v>
      </c>
      <c r="U9" s="3314">
        <v>93</v>
      </c>
      <c r="V9" s="3313">
        <v>107</v>
      </c>
      <c r="W9" s="3314">
        <v>209</v>
      </c>
      <c r="X9" s="3313">
        <v>85</v>
      </c>
      <c r="Y9" s="3314">
        <v>246</v>
      </c>
      <c r="Z9" s="3313">
        <v>42</v>
      </c>
      <c r="AA9" s="3314">
        <v>225</v>
      </c>
      <c r="AB9" s="3313">
        <v>46</v>
      </c>
      <c r="AC9" s="3314">
        <v>177</v>
      </c>
      <c r="AD9" s="3313">
        <v>53</v>
      </c>
      <c r="AE9" s="3314">
        <v>128</v>
      </c>
      <c r="AF9" s="3313">
        <v>29</v>
      </c>
      <c r="AG9" s="3314">
        <v>119</v>
      </c>
      <c r="AH9" s="3313">
        <v>43</v>
      </c>
      <c r="AI9" s="3314">
        <v>122</v>
      </c>
      <c r="AJ9" s="3313">
        <v>44</v>
      </c>
      <c r="AK9" s="3314">
        <v>178</v>
      </c>
    </row>
    <row r="10" spans="1:37" ht="15" customHeight="1" x14ac:dyDescent="0.2">
      <c r="A10" s="6699"/>
      <c r="B10" s="6702"/>
      <c r="C10" s="3312" t="s">
        <v>449</v>
      </c>
      <c r="D10" s="3313">
        <v>4</v>
      </c>
      <c r="E10" s="3314">
        <v>4</v>
      </c>
      <c r="F10" s="3313">
        <v>4</v>
      </c>
      <c r="G10" s="3314">
        <v>8</v>
      </c>
      <c r="H10" s="3313">
        <v>4</v>
      </c>
      <c r="I10" s="3314">
        <v>7</v>
      </c>
      <c r="J10" s="3313">
        <v>13</v>
      </c>
      <c r="K10" s="3314">
        <v>16</v>
      </c>
      <c r="L10" s="3313">
        <v>10</v>
      </c>
      <c r="M10" s="3314">
        <v>21</v>
      </c>
      <c r="N10" s="3313">
        <v>21</v>
      </c>
      <c r="O10" s="3314">
        <v>32</v>
      </c>
      <c r="P10" s="3313">
        <v>19</v>
      </c>
      <c r="Q10" s="3314">
        <v>41</v>
      </c>
      <c r="R10" s="3313">
        <v>18</v>
      </c>
      <c r="S10" s="3314">
        <v>42</v>
      </c>
      <c r="T10" s="3313">
        <v>30</v>
      </c>
      <c r="U10" s="3314">
        <v>58</v>
      </c>
      <c r="V10" s="3313">
        <v>39</v>
      </c>
      <c r="W10" s="3314">
        <v>75</v>
      </c>
      <c r="X10" s="3313">
        <v>58</v>
      </c>
      <c r="Y10" s="3314">
        <v>112</v>
      </c>
      <c r="Z10" s="3313">
        <v>34</v>
      </c>
      <c r="AA10" s="3314">
        <v>116</v>
      </c>
      <c r="AB10" s="3313">
        <v>36</v>
      </c>
      <c r="AC10" s="3314">
        <v>95</v>
      </c>
      <c r="AD10" s="3313">
        <v>42</v>
      </c>
      <c r="AE10" s="3314">
        <v>109</v>
      </c>
      <c r="AF10" s="3313">
        <v>35</v>
      </c>
      <c r="AG10" s="3314">
        <v>110</v>
      </c>
      <c r="AH10" s="3313">
        <v>48</v>
      </c>
      <c r="AI10" s="3314">
        <v>117</v>
      </c>
      <c r="AJ10" s="3313">
        <v>47</v>
      </c>
      <c r="AK10" s="3314">
        <v>141</v>
      </c>
    </row>
    <row r="11" spans="1:37" ht="15" customHeight="1" x14ac:dyDescent="0.2">
      <c r="A11" s="6699"/>
      <c r="B11" s="6702"/>
      <c r="C11" s="3312" t="s">
        <v>450</v>
      </c>
      <c r="D11" s="3313">
        <v>4</v>
      </c>
      <c r="E11" s="3314">
        <v>4</v>
      </c>
      <c r="F11" s="3313">
        <v>19</v>
      </c>
      <c r="G11" s="3314">
        <v>21</v>
      </c>
      <c r="H11" s="3313">
        <v>19</v>
      </c>
      <c r="I11" s="3314">
        <v>32</v>
      </c>
      <c r="J11" s="3313">
        <v>38</v>
      </c>
      <c r="K11" s="3314">
        <v>54</v>
      </c>
      <c r="L11" s="3313">
        <v>33</v>
      </c>
      <c r="M11" s="3314">
        <v>71</v>
      </c>
      <c r="N11" s="3313">
        <v>46</v>
      </c>
      <c r="O11" s="3314">
        <v>96</v>
      </c>
      <c r="P11" s="3313">
        <v>100</v>
      </c>
      <c r="Q11" s="3314">
        <v>163</v>
      </c>
      <c r="R11" s="3313">
        <v>38</v>
      </c>
      <c r="S11" s="3314">
        <v>150</v>
      </c>
      <c r="T11" s="3313">
        <v>47</v>
      </c>
      <c r="U11" s="3314">
        <v>99</v>
      </c>
      <c r="V11" s="3313">
        <v>68</v>
      </c>
      <c r="W11" s="3314">
        <v>124</v>
      </c>
      <c r="X11" s="3313">
        <v>80</v>
      </c>
      <c r="Y11" s="3314">
        <v>167</v>
      </c>
      <c r="Z11" s="3313">
        <v>42</v>
      </c>
      <c r="AA11" s="3314">
        <v>164</v>
      </c>
      <c r="AB11" s="3313">
        <v>42</v>
      </c>
      <c r="AC11" s="3314">
        <v>148</v>
      </c>
      <c r="AD11" s="3313">
        <v>54</v>
      </c>
      <c r="AE11" s="3314">
        <v>148</v>
      </c>
      <c r="AF11" s="3313">
        <v>48</v>
      </c>
      <c r="AG11" s="3314">
        <v>154</v>
      </c>
      <c r="AH11" s="3313">
        <v>47</v>
      </c>
      <c r="AI11" s="3314">
        <v>143</v>
      </c>
      <c r="AJ11" s="3313">
        <v>68</v>
      </c>
      <c r="AK11" s="3314">
        <v>117</v>
      </c>
    </row>
    <row r="12" spans="1:37" ht="15" customHeight="1" x14ac:dyDescent="0.2">
      <c r="A12" s="6699"/>
      <c r="B12" s="6702"/>
      <c r="C12" s="3312" t="s">
        <v>451</v>
      </c>
      <c r="D12" s="3313">
        <v>2</v>
      </c>
      <c r="E12" s="3314">
        <v>2</v>
      </c>
      <c r="F12" s="3313">
        <v>7</v>
      </c>
      <c r="G12" s="3314">
        <v>8</v>
      </c>
      <c r="H12" s="3313">
        <v>9</v>
      </c>
      <c r="I12" s="3314">
        <v>14</v>
      </c>
      <c r="J12" s="3313">
        <v>15</v>
      </c>
      <c r="K12" s="3314">
        <v>23</v>
      </c>
      <c r="L12" s="3313">
        <v>17</v>
      </c>
      <c r="M12" s="3314">
        <v>34</v>
      </c>
      <c r="N12" s="3313">
        <v>32</v>
      </c>
      <c r="O12" s="3314">
        <v>62</v>
      </c>
      <c r="P12" s="3313">
        <v>63</v>
      </c>
      <c r="Q12" s="3314">
        <v>112</v>
      </c>
      <c r="R12" s="3313">
        <v>24</v>
      </c>
      <c r="S12" s="3314">
        <v>104</v>
      </c>
      <c r="T12" s="3313">
        <v>31</v>
      </c>
      <c r="U12" s="3314">
        <v>74</v>
      </c>
      <c r="V12" s="3313">
        <v>49</v>
      </c>
      <c r="W12" s="3314">
        <v>87</v>
      </c>
      <c r="X12" s="3313">
        <v>53</v>
      </c>
      <c r="Y12" s="3314">
        <v>110</v>
      </c>
      <c r="Z12" s="3313">
        <v>34</v>
      </c>
      <c r="AA12" s="3314">
        <v>115</v>
      </c>
      <c r="AB12" s="3313">
        <v>40</v>
      </c>
      <c r="AC12" s="3314">
        <v>116</v>
      </c>
      <c r="AD12" s="3313">
        <v>44</v>
      </c>
      <c r="AE12" s="3314">
        <v>122</v>
      </c>
      <c r="AF12" s="3313">
        <v>36</v>
      </c>
      <c r="AG12" s="3314">
        <v>115</v>
      </c>
      <c r="AH12" s="3313">
        <v>46</v>
      </c>
      <c r="AI12" s="3314">
        <v>117</v>
      </c>
      <c r="AJ12" s="3313">
        <v>52</v>
      </c>
      <c r="AK12" s="3314">
        <v>173</v>
      </c>
    </row>
    <row r="13" spans="1:37" ht="15" customHeight="1" x14ac:dyDescent="0.2">
      <c r="A13" s="6699"/>
      <c r="B13" s="6702"/>
      <c r="C13" s="3312" t="s">
        <v>452</v>
      </c>
      <c r="D13" s="3313">
        <v>1</v>
      </c>
      <c r="E13" s="3314">
        <v>1</v>
      </c>
      <c r="F13" s="3313">
        <v>0</v>
      </c>
      <c r="G13" s="3314">
        <v>1</v>
      </c>
      <c r="H13" s="3313">
        <v>2</v>
      </c>
      <c r="I13" s="3314">
        <v>2</v>
      </c>
      <c r="J13" s="3313">
        <v>2</v>
      </c>
      <c r="K13" s="3314">
        <v>3</v>
      </c>
      <c r="L13" s="3313">
        <v>7</v>
      </c>
      <c r="M13" s="3314">
        <v>10</v>
      </c>
      <c r="N13" s="3313">
        <v>11</v>
      </c>
      <c r="O13" s="3314">
        <v>20</v>
      </c>
      <c r="P13" s="3313">
        <v>12</v>
      </c>
      <c r="Q13" s="3314">
        <v>26</v>
      </c>
      <c r="R13" s="3313">
        <v>7</v>
      </c>
      <c r="S13" s="3314">
        <v>23</v>
      </c>
      <c r="T13" s="3313">
        <v>13</v>
      </c>
      <c r="U13" s="3314">
        <v>23</v>
      </c>
      <c r="V13" s="3313">
        <v>23</v>
      </c>
      <c r="W13" s="3314">
        <v>35</v>
      </c>
      <c r="X13" s="3313">
        <v>36</v>
      </c>
      <c r="Y13" s="3314">
        <v>63</v>
      </c>
      <c r="Z13" s="3313">
        <v>32</v>
      </c>
      <c r="AA13" s="3314">
        <v>76</v>
      </c>
      <c r="AB13" s="3313">
        <v>52</v>
      </c>
      <c r="AC13" s="3314">
        <v>95</v>
      </c>
      <c r="AD13" s="3313">
        <v>57</v>
      </c>
      <c r="AE13" s="3314">
        <v>125</v>
      </c>
      <c r="AF13" s="3313">
        <v>44</v>
      </c>
      <c r="AG13" s="3314">
        <v>127</v>
      </c>
      <c r="AH13" s="3313">
        <v>46</v>
      </c>
      <c r="AI13" s="3314">
        <v>124</v>
      </c>
      <c r="AJ13" s="3313">
        <v>33</v>
      </c>
      <c r="AK13" s="3314">
        <v>120</v>
      </c>
    </row>
    <row r="14" spans="1:37" ht="15" customHeight="1" x14ac:dyDescent="0.2">
      <c r="A14" s="6699"/>
      <c r="B14" s="6702"/>
      <c r="C14" s="3312" t="s">
        <v>453</v>
      </c>
      <c r="D14" s="3313">
        <v>3</v>
      </c>
      <c r="E14" s="3314">
        <v>2</v>
      </c>
      <c r="F14" s="3313">
        <v>17</v>
      </c>
      <c r="G14" s="3314">
        <v>17</v>
      </c>
      <c r="H14" s="3313">
        <v>19</v>
      </c>
      <c r="I14" s="3314">
        <v>35</v>
      </c>
      <c r="J14" s="3313">
        <v>28</v>
      </c>
      <c r="K14" s="3314">
        <v>49</v>
      </c>
      <c r="L14" s="3313">
        <v>15</v>
      </c>
      <c r="M14" s="3314">
        <v>47</v>
      </c>
      <c r="N14" s="3313">
        <v>43</v>
      </c>
      <c r="O14" s="3314">
        <v>73</v>
      </c>
      <c r="P14" s="3313">
        <v>55</v>
      </c>
      <c r="Q14" s="3314">
        <v>102</v>
      </c>
      <c r="R14" s="3313">
        <v>39</v>
      </c>
      <c r="S14" s="3314">
        <v>101</v>
      </c>
      <c r="T14" s="3313">
        <v>55</v>
      </c>
      <c r="U14" s="3314">
        <v>107</v>
      </c>
      <c r="V14" s="3313">
        <v>61</v>
      </c>
      <c r="W14" s="3314">
        <v>129</v>
      </c>
      <c r="X14" s="3313">
        <v>58</v>
      </c>
      <c r="Y14" s="3314">
        <v>152</v>
      </c>
      <c r="Z14" s="3313">
        <v>56</v>
      </c>
      <c r="AA14" s="3314">
        <v>165</v>
      </c>
      <c r="AB14" s="3313">
        <v>41</v>
      </c>
      <c r="AC14" s="3314">
        <v>143</v>
      </c>
      <c r="AD14" s="3313">
        <v>58</v>
      </c>
      <c r="AE14" s="3314">
        <v>138</v>
      </c>
      <c r="AF14" s="3313">
        <v>37</v>
      </c>
      <c r="AG14" s="3314">
        <v>127</v>
      </c>
      <c r="AH14" s="3313">
        <v>52</v>
      </c>
      <c r="AI14" s="3314">
        <v>143</v>
      </c>
      <c r="AJ14" s="3313">
        <v>70</v>
      </c>
      <c r="AK14" s="3314">
        <v>181</v>
      </c>
    </row>
    <row r="15" spans="1:37" ht="15" customHeight="1" x14ac:dyDescent="0.2">
      <c r="A15" s="6699"/>
      <c r="B15" s="6703"/>
      <c r="C15" s="3318" t="s">
        <v>160</v>
      </c>
      <c r="D15" s="3319">
        <f>SUM(D5:D14)</f>
        <v>23</v>
      </c>
      <c r="E15" s="3320">
        <f t="shared" ref="E15:AA15" si="0">SUM(E5:E14)</f>
        <v>22</v>
      </c>
      <c r="F15" s="3319">
        <f t="shared" si="0"/>
        <v>86</v>
      </c>
      <c r="G15" s="3320">
        <f t="shared" si="0"/>
        <v>95</v>
      </c>
      <c r="H15" s="3319">
        <f t="shared" si="0"/>
        <v>110</v>
      </c>
      <c r="I15" s="3320">
        <f t="shared" si="0"/>
        <v>178</v>
      </c>
      <c r="J15" s="3319">
        <f t="shared" si="0"/>
        <v>197</v>
      </c>
      <c r="K15" s="3320">
        <f t="shared" si="0"/>
        <v>292</v>
      </c>
      <c r="L15" s="3319">
        <f t="shared" si="0"/>
        <v>190</v>
      </c>
      <c r="M15" s="3320">
        <f t="shared" si="0"/>
        <v>388</v>
      </c>
      <c r="N15" s="3319">
        <f t="shared" si="0"/>
        <v>341</v>
      </c>
      <c r="O15" s="3320">
        <f t="shared" si="0"/>
        <v>612</v>
      </c>
      <c r="P15" s="3319">
        <f t="shared" si="0"/>
        <v>568</v>
      </c>
      <c r="Q15" s="3320">
        <f t="shared" si="0"/>
        <v>993</v>
      </c>
      <c r="R15" s="3319">
        <f t="shared" si="0"/>
        <v>271</v>
      </c>
      <c r="S15" s="3320">
        <f t="shared" si="0"/>
        <v>918</v>
      </c>
      <c r="T15" s="3319">
        <f t="shared" si="0"/>
        <v>434</v>
      </c>
      <c r="U15" s="3320">
        <f t="shared" si="0"/>
        <v>853</v>
      </c>
      <c r="V15" s="3319">
        <f t="shared" si="0"/>
        <v>629</v>
      </c>
      <c r="W15" s="3320">
        <f t="shared" si="0"/>
        <v>1116</v>
      </c>
      <c r="X15" s="3319">
        <f t="shared" si="0"/>
        <v>636</v>
      </c>
      <c r="Y15" s="3320">
        <f t="shared" si="0"/>
        <v>1433</v>
      </c>
      <c r="Z15" s="3319">
        <f t="shared" si="0"/>
        <v>412</v>
      </c>
      <c r="AA15" s="3320">
        <f t="shared" si="0"/>
        <v>1450</v>
      </c>
      <c r="AB15" s="3319">
        <f t="shared" ref="AB15:AG15" si="1">SUM(AB5:AB14)</f>
        <v>450</v>
      </c>
      <c r="AC15" s="3320">
        <f t="shared" si="1"/>
        <v>1318</v>
      </c>
      <c r="AD15" s="3319">
        <f t="shared" si="1"/>
        <v>500</v>
      </c>
      <c r="AE15" s="3320">
        <f t="shared" si="1"/>
        <v>1376</v>
      </c>
      <c r="AF15" s="3319">
        <f t="shared" si="1"/>
        <v>397</v>
      </c>
      <c r="AG15" s="3320">
        <f t="shared" si="1"/>
        <v>1295</v>
      </c>
      <c r="AH15" s="3319">
        <f>SUM(AH5:AH14)</f>
        <v>492</v>
      </c>
      <c r="AI15" s="3320">
        <f>SUM(AI5:AI14)</f>
        <v>1332</v>
      </c>
      <c r="AJ15" s="3319">
        <f t="shared" ref="AJ15:AK15" si="2">SUM(AJ5:AJ14)</f>
        <v>503</v>
      </c>
      <c r="AK15" s="3320">
        <f t="shared" si="2"/>
        <v>1451</v>
      </c>
    </row>
    <row r="16" spans="1:37" ht="15" customHeight="1" x14ac:dyDescent="0.2">
      <c r="A16" s="6699"/>
      <c r="B16" s="6701" t="s">
        <v>426</v>
      </c>
      <c r="C16" s="3312" t="s">
        <v>456</v>
      </c>
      <c r="D16" s="3313">
        <v>7</v>
      </c>
      <c r="E16" s="3314">
        <v>7</v>
      </c>
      <c r="F16" s="3313">
        <v>31</v>
      </c>
      <c r="G16" s="3314">
        <v>36</v>
      </c>
      <c r="H16" s="3313">
        <v>29</v>
      </c>
      <c r="I16" s="3314">
        <v>64</v>
      </c>
      <c r="J16" s="3313">
        <v>20</v>
      </c>
      <c r="K16" s="3314">
        <v>77</v>
      </c>
      <c r="L16" s="3313">
        <v>38</v>
      </c>
      <c r="M16" s="3314">
        <v>100</v>
      </c>
      <c r="N16" s="3313">
        <v>97</v>
      </c>
      <c r="O16" s="3314">
        <v>161</v>
      </c>
      <c r="P16" s="3313">
        <v>65</v>
      </c>
      <c r="Q16" s="3314">
        <v>201</v>
      </c>
      <c r="R16" s="3313">
        <v>82</v>
      </c>
      <c r="S16" s="3314">
        <v>231</v>
      </c>
      <c r="T16" s="3313">
        <v>132</v>
      </c>
      <c r="U16" s="3314">
        <v>280</v>
      </c>
      <c r="V16" s="3313">
        <v>132</v>
      </c>
      <c r="W16" s="3314">
        <v>335</v>
      </c>
      <c r="X16" s="3313">
        <v>119</v>
      </c>
      <c r="Y16" s="3314">
        <v>384</v>
      </c>
      <c r="Z16" s="3313">
        <v>153</v>
      </c>
      <c r="AA16" s="3314">
        <v>443</v>
      </c>
      <c r="AB16" s="3313">
        <v>127</v>
      </c>
      <c r="AC16" s="3314">
        <v>438</v>
      </c>
      <c r="AD16" s="3313">
        <v>141</v>
      </c>
      <c r="AE16" s="3314">
        <v>458</v>
      </c>
      <c r="AF16" s="3313">
        <v>143</v>
      </c>
      <c r="AG16" s="3314">
        <v>474</v>
      </c>
      <c r="AH16" s="3313">
        <v>153</v>
      </c>
      <c r="AI16" s="3314">
        <v>515</v>
      </c>
      <c r="AJ16" s="3313">
        <v>156</v>
      </c>
      <c r="AK16" s="3314">
        <v>534</v>
      </c>
    </row>
    <row r="17" spans="1:37" ht="15" customHeight="1" x14ac:dyDescent="0.2">
      <c r="A17" s="6699"/>
      <c r="B17" s="6702"/>
      <c r="C17" s="3312" t="s">
        <v>457</v>
      </c>
      <c r="D17" s="3313">
        <v>5</v>
      </c>
      <c r="E17" s="3314">
        <v>5</v>
      </c>
      <c r="F17" s="3313">
        <v>43</v>
      </c>
      <c r="G17" s="3314">
        <v>47</v>
      </c>
      <c r="H17" s="3313">
        <v>42</v>
      </c>
      <c r="I17" s="3314">
        <v>85</v>
      </c>
      <c r="J17" s="3313">
        <v>49</v>
      </c>
      <c r="K17" s="3314">
        <v>122</v>
      </c>
      <c r="L17" s="3313">
        <v>80</v>
      </c>
      <c r="M17" s="3314">
        <v>181</v>
      </c>
      <c r="N17" s="3313">
        <v>122</v>
      </c>
      <c r="O17" s="3314">
        <v>257</v>
      </c>
      <c r="P17" s="3313">
        <v>92</v>
      </c>
      <c r="Q17" s="3314">
        <v>289</v>
      </c>
      <c r="R17" s="3313">
        <v>117</v>
      </c>
      <c r="S17" s="3314">
        <v>301</v>
      </c>
      <c r="T17" s="3313">
        <v>175</v>
      </c>
      <c r="U17" s="3314">
        <v>395</v>
      </c>
      <c r="V17" s="3313">
        <v>205</v>
      </c>
      <c r="W17" s="3314">
        <v>498</v>
      </c>
      <c r="X17" s="3313">
        <v>224</v>
      </c>
      <c r="Y17" s="3314">
        <v>613</v>
      </c>
      <c r="Z17" s="3313">
        <v>207</v>
      </c>
      <c r="AA17" s="3314">
        <v>707</v>
      </c>
      <c r="AB17" s="3313">
        <v>195</v>
      </c>
      <c r="AC17" s="3314">
        <v>718</v>
      </c>
      <c r="AD17" s="3313">
        <v>252</v>
      </c>
      <c r="AE17" s="3314">
        <v>760</v>
      </c>
      <c r="AF17" s="3313">
        <v>208</v>
      </c>
      <c r="AG17" s="3314">
        <v>772</v>
      </c>
      <c r="AH17" s="3313">
        <v>224</v>
      </c>
      <c r="AI17" s="3314">
        <v>807</v>
      </c>
      <c r="AJ17" s="3313">
        <v>220</v>
      </c>
      <c r="AK17" s="3314">
        <v>819</v>
      </c>
    </row>
    <row r="18" spans="1:37" ht="15" customHeight="1" x14ac:dyDescent="0.2">
      <c r="A18" s="6699"/>
      <c r="B18" s="6702"/>
      <c r="C18" s="3312" t="s">
        <v>458</v>
      </c>
      <c r="D18" s="3313">
        <v>3</v>
      </c>
      <c r="E18" s="3314">
        <v>3</v>
      </c>
      <c r="F18" s="3313">
        <v>22</v>
      </c>
      <c r="G18" s="3314">
        <v>23</v>
      </c>
      <c r="H18" s="3313">
        <v>28</v>
      </c>
      <c r="I18" s="3314">
        <v>43</v>
      </c>
      <c r="J18" s="3313">
        <v>24</v>
      </c>
      <c r="K18" s="3314">
        <v>59</v>
      </c>
      <c r="L18" s="3313">
        <v>20</v>
      </c>
      <c r="M18" s="3314">
        <v>67</v>
      </c>
      <c r="N18" s="3313">
        <v>37</v>
      </c>
      <c r="O18" s="3314">
        <v>75</v>
      </c>
      <c r="P18" s="3313">
        <v>49</v>
      </c>
      <c r="Q18" s="3314">
        <v>108</v>
      </c>
      <c r="R18" s="3313">
        <v>44</v>
      </c>
      <c r="S18" s="3314">
        <v>117</v>
      </c>
      <c r="T18" s="3313">
        <v>54</v>
      </c>
      <c r="U18" s="3314">
        <v>127</v>
      </c>
      <c r="V18" s="3313">
        <v>71</v>
      </c>
      <c r="W18" s="3314">
        <v>157</v>
      </c>
      <c r="X18" s="3313">
        <v>75</v>
      </c>
      <c r="Y18" s="3314">
        <v>184</v>
      </c>
      <c r="Z18" s="3313">
        <v>91</v>
      </c>
      <c r="AA18" s="3314">
        <v>224</v>
      </c>
      <c r="AB18" s="3313">
        <v>93</v>
      </c>
      <c r="AC18" s="3314">
        <v>241</v>
      </c>
      <c r="AD18" s="3313">
        <v>88</v>
      </c>
      <c r="AE18" s="3314">
        <v>259</v>
      </c>
      <c r="AF18" s="3313">
        <v>78</v>
      </c>
      <c r="AG18" s="3314">
        <v>250</v>
      </c>
      <c r="AH18" s="3313">
        <v>91</v>
      </c>
      <c r="AI18" s="3314">
        <v>258</v>
      </c>
      <c r="AJ18" s="3313">
        <v>125</v>
      </c>
      <c r="AK18" s="3314">
        <v>304</v>
      </c>
    </row>
    <row r="19" spans="1:37" ht="15" customHeight="1" x14ac:dyDescent="0.2">
      <c r="A19" s="6699"/>
      <c r="B19" s="6702"/>
      <c r="C19" s="3312" t="s">
        <v>459</v>
      </c>
      <c r="D19" s="3313">
        <v>5</v>
      </c>
      <c r="E19" s="3314">
        <v>5</v>
      </c>
      <c r="F19" s="3313">
        <v>20</v>
      </c>
      <c r="G19" s="3314">
        <v>25</v>
      </c>
      <c r="H19" s="3313">
        <v>31</v>
      </c>
      <c r="I19" s="3314">
        <v>51</v>
      </c>
      <c r="J19" s="3313">
        <v>14</v>
      </c>
      <c r="K19" s="3314">
        <v>63</v>
      </c>
      <c r="L19" s="3313">
        <v>40</v>
      </c>
      <c r="M19" s="3314">
        <v>88</v>
      </c>
      <c r="N19" s="3313">
        <v>68</v>
      </c>
      <c r="O19" s="3314">
        <v>138</v>
      </c>
      <c r="P19" s="3313">
        <v>45</v>
      </c>
      <c r="Q19" s="3314">
        <v>153</v>
      </c>
      <c r="R19" s="3313">
        <v>50</v>
      </c>
      <c r="S19" s="3314">
        <v>154</v>
      </c>
      <c r="T19" s="3313">
        <v>102</v>
      </c>
      <c r="U19" s="3314">
        <v>187</v>
      </c>
      <c r="V19" s="3313">
        <v>95</v>
      </c>
      <c r="W19" s="3314">
        <v>224</v>
      </c>
      <c r="X19" s="3313">
        <v>94</v>
      </c>
      <c r="Y19" s="3314">
        <v>274</v>
      </c>
      <c r="Z19" s="3313">
        <v>93</v>
      </c>
      <c r="AA19" s="3314">
        <v>298</v>
      </c>
      <c r="AB19" s="3313">
        <v>118</v>
      </c>
      <c r="AC19" s="3314">
        <v>330</v>
      </c>
      <c r="AD19" s="3313">
        <v>127</v>
      </c>
      <c r="AE19" s="3314">
        <v>375</v>
      </c>
      <c r="AF19" s="3313">
        <v>119</v>
      </c>
      <c r="AG19" s="3314">
        <v>395</v>
      </c>
      <c r="AH19" s="3313">
        <v>105</v>
      </c>
      <c r="AI19" s="3314">
        <v>369</v>
      </c>
      <c r="AJ19" s="3313">
        <v>100</v>
      </c>
      <c r="AK19" s="3314">
        <v>366</v>
      </c>
    </row>
    <row r="20" spans="1:37" ht="15" customHeight="1" x14ac:dyDescent="0.2">
      <c r="A20" s="6699"/>
      <c r="B20" s="6703"/>
      <c r="C20" s="3318" t="s">
        <v>160</v>
      </c>
      <c r="D20" s="3319">
        <f>SUM(D16:D19)</f>
        <v>20</v>
      </c>
      <c r="E20" s="3320">
        <f t="shared" ref="E20:AA20" si="3">SUM(E16:E19)</f>
        <v>20</v>
      </c>
      <c r="F20" s="3319">
        <f t="shared" si="3"/>
        <v>116</v>
      </c>
      <c r="G20" s="3320">
        <f t="shared" si="3"/>
        <v>131</v>
      </c>
      <c r="H20" s="3319">
        <f t="shared" si="3"/>
        <v>130</v>
      </c>
      <c r="I20" s="3320">
        <f t="shared" si="3"/>
        <v>243</v>
      </c>
      <c r="J20" s="3319">
        <f t="shared" si="3"/>
        <v>107</v>
      </c>
      <c r="K20" s="3320">
        <f t="shared" si="3"/>
        <v>321</v>
      </c>
      <c r="L20" s="3319">
        <f t="shared" si="3"/>
        <v>178</v>
      </c>
      <c r="M20" s="3320">
        <f t="shared" si="3"/>
        <v>436</v>
      </c>
      <c r="N20" s="3319">
        <f t="shared" si="3"/>
        <v>324</v>
      </c>
      <c r="O20" s="3320">
        <f t="shared" si="3"/>
        <v>631</v>
      </c>
      <c r="P20" s="3319">
        <f t="shared" si="3"/>
        <v>251</v>
      </c>
      <c r="Q20" s="3320">
        <f t="shared" si="3"/>
        <v>751</v>
      </c>
      <c r="R20" s="3319">
        <f t="shared" si="3"/>
        <v>293</v>
      </c>
      <c r="S20" s="3320">
        <f t="shared" si="3"/>
        <v>803</v>
      </c>
      <c r="T20" s="3319">
        <f t="shared" si="3"/>
        <v>463</v>
      </c>
      <c r="U20" s="3320">
        <f t="shared" si="3"/>
        <v>989</v>
      </c>
      <c r="V20" s="3319">
        <f t="shared" si="3"/>
        <v>503</v>
      </c>
      <c r="W20" s="3320">
        <f t="shared" si="3"/>
        <v>1214</v>
      </c>
      <c r="X20" s="3319">
        <f t="shared" si="3"/>
        <v>512</v>
      </c>
      <c r="Y20" s="3320">
        <f t="shared" si="3"/>
        <v>1455</v>
      </c>
      <c r="Z20" s="3319">
        <f t="shared" si="3"/>
        <v>544</v>
      </c>
      <c r="AA20" s="3320">
        <f t="shared" si="3"/>
        <v>1672</v>
      </c>
      <c r="AB20" s="3319">
        <f t="shared" ref="AB20:AG20" si="4">SUM(AB16:AB19)</f>
        <v>533</v>
      </c>
      <c r="AC20" s="3320">
        <f t="shared" si="4"/>
        <v>1727</v>
      </c>
      <c r="AD20" s="3319">
        <f t="shared" si="4"/>
        <v>608</v>
      </c>
      <c r="AE20" s="3320">
        <f t="shared" si="4"/>
        <v>1852</v>
      </c>
      <c r="AF20" s="3319">
        <f t="shared" si="4"/>
        <v>548</v>
      </c>
      <c r="AG20" s="3320">
        <f t="shared" si="4"/>
        <v>1891</v>
      </c>
      <c r="AH20" s="3319">
        <f>SUM(AH16:AH19)</f>
        <v>573</v>
      </c>
      <c r="AI20" s="3320">
        <f>SUM(AI16:AI19)</f>
        <v>1949</v>
      </c>
      <c r="AJ20" s="3319">
        <f t="shared" ref="AJ20:AK20" si="5">SUM(AJ16:AJ19)</f>
        <v>601</v>
      </c>
      <c r="AK20" s="3320">
        <f t="shared" si="5"/>
        <v>2023</v>
      </c>
    </row>
    <row r="21" spans="1:37" ht="15" customHeight="1" x14ac:dyDescent="0.2">
      <c r="A21" s="6699"/>
      <c r="B21" s="6701" t="s">
        <v>427</v>
      </c>
      <c r="C21" s="3312" t="s">
        <v>460</v>
      </c>
      <c r="D21" s="3313">
        <v>2</v>
      </c>
      <c r="E21" s="3314">
        <v>2</v>
      </c>
      <c r="F21" s="3313">
        <v>28</v>
      </c>
      <c r="G21" s="3314">
        <v>30</v>
      </c>
      <c r="H21" s="3313">
        <v>24</v>
      </c>
      <c r="I21" s="3314">
        <v>48</v>
      </c>
      <c r="J21" s="3313">
        <v>42</v>
      </c>
      <c r="K21" s="3314">
        <v>79</v>
      </c>
      <c r="L21" s="3313">
        <v>41</v>
      </c>
      <c r="M21" s="3314">
        <v>100</v>
      </c>
      <c r="N21" s="3313">
        <v>63</v>
      </c>
      <c r="O21" s="3314">
        <v>142</v>
      </c>
      <c r="P21" s="3313">
        <v>86</v>
      </c>
      <c r="Q21" s="3314">
        <v>198</v>
      </c>
      <c r="R21" s="3313">
        <v>80</v>
      </c>
      <c r="S21" s="3314">
        <v>212</v>
      </c>
      <c r="T21" s="3313">
        <v>79</v>
      </c>
      <c r="U21" s="3314">
        <v>216</v>
      </c>
      <c r="V21" s="3313">
        <v>98</v>
      </c>
      <c r="W21" s="3314">
        <v>253</v>
      </c>
      <c r="X21" s="3313">
        <v>73</v>
      </c>
      <c r="Y21" s="3314">
        <v>259</v>
      </c>
      <c r="Z21" s="3313">
        <v>67</v>
      </c>
      <c r="AA21" s="3314">
        <v>241</v>
      </c>
      <c r="AB21" s="3313">
        <v>81</v>
      </c>
      <c r="AC21" s="3314">
        <v>248</v>
      </c>
      <c r="AD21" s="3313">
        <v>94</v>
      </c>
      <c r="AE21" s="3314">
        <v>262</v>
      </c>
      <c r="AF21" s="3313">
        <v>87</v>
      </c>
      <c r="AG21" s="3314">
        <v>269</v>
      </c>
      <c r="AH21" s="3313">
        <v>73</v>
      </c>
      <c r="AI21" s="3314">
        <v>260</v>
      </c>
      <c r="AJ21" s="3313">
        <v>118</v>
      </c>
      <c r="AK21" s="3314">
        <v>311</v>
      </c>
    </row>
    <row r="22" spans="1:37" ht="15" customHeight="1" x14ac:dyDescent="0.2">
      <c r="A22" s="6699"/>
      <c r="B22" s="6702"/>
      <c r="C22" s="3312" t="s">
        <v>570</v>
      </c>
      <c r="D22" s="3313">
        <v>6</v>
      </c>
      <c r="E22" s="3314">
        <v>5</v>
      </c>
      <c r="F22" s="3313">
        <v>24</v>
      </c>
      <c r="G22" s="3314">
        <v>30</v>
      </c>
      <c r="H22" s="3313">
        <v>30</v>
      </c>
      <c r="I22" s="3314">
        <v>54</v>
      </c>
      <c r="J22" s="3313">
        <v>28</v>
      </c>
      <c r="K22" s="3314">
        <v>75</v>
      </c>
      <c r="L22" s="3313">
        <v>62</v>
      </c>
      <c r="M22" s="3314">
        <v>124</v>
      </c>
      <c r="N22" s="3313">
        <v>75</v>
      </c>
      <c r="O22" s="3314">
        <v>185</v>
      </c>
      <c r="P22" s="3313">
        <v>47</v>
      </c>
      <c r="Q22" s="3314">
        <v>191</v>
      </c>
      <c r="R22" s="3313">
        <v>68</v>
      </c>
      <c r="S22" s="3314">
        <v>196</v>
      </c>
      <c r="T22" s="3313">
        <v>73</v>
      </c>
      <c r="U22" s="3314">
        <v>203</v>
      </c>
      <c r="V22" s="3313">
        <v>72</v>
      </c>
      <c r="W22" s="3314">
        <v>204</v>
      </c>
      <c r="X22" s="3313">
        <v>80</v>
      </c>
      <c r="Y22" s="3314">
        <v>239</v>
      </c>
      <c r="Z22" s="3313">
        <v>88</v>
      </c>
      <c r="AA22" s="3314">
        <v>273</v>
      </c>
      <c r="AB22" s="3313">
        <v>92</v>
      </c>
      <c r="AC22" s="3314">
        <v>288</v>
      </c>
      <c r="AD22" s="3313">
        <v>95</v>
      </c>
      <c r="AE22" s="3314">
        <v>308</v>
      </c>
      <c r="AF22" s="3313">
        <v>126</v>
      </c>
      <c r="AG22" s="3314">
        <v>352</v>
      </c>
      <c r="AH22" s="3313">
        <v>129</v>
      </c>
      <c r="AI22" s="3314">
        <v>392</v>
      </c>
      <c r="AJ22" s="3313">
        <v>129</v>
      </c>
      <c r="AK22" s="3314">
        <v>422</v>
      </c>
    </row>
    <row r="23" spans="1:37" ht="15" customHeight="1" x14ac:dyDescent="0.2">
      <c r="A23" s="6699"/>
      <c r="B23" s="6702"/>
      <c r="C23" s="3312" t="s">
        <v>462</v>
      </c>
      <c r="D23" s="3313">
        <v>2</v>
      </c>
      <c r="E23" s="3314">
        <v>2</v>
      </c>
      <c r="F23" s="3313">
        <v>14</v>
      </c>
      <c r="G23" s="3314">
        <v>13</v>
      </c>
      <c r="H23" s="3313">
        <v>23</v>
      </c>
      <c r="I23" s="3314">
        <v>35</v>
      </c>
      <c r="J23" s="3313">
        <v>12</v>
      </c>
      <c r="K23" s="3314">
        <v>44</v>
      </c>
      <c r="L23" s="3313">
        <v>19</v>
      </c>
      <c r="M23" s="3314">
        <v>44</v>
      </c>
      <c r="N23" s="3313">
        <v>46</v>
      </c>
      <c r="O23" s="3314">
        <v>75</v>
      </c>
      <c r="P23" s="3313">
        <v>27</v>
      </c>
      <c r="Q23" s="3314">
        <v>98</v>
      </c>
      <c r="R23" s="3313">
        <v>36</v>
      </c>
      <c r="S23" s="3314">
        <v>105</v>
      </c>
      <c r="T23" s="3313">
        <v>51</v>
      </c>
      <c r="U23" s="3314">
        <v>120</v>
      </c>
      <c r="V23" s="3313">
        <v>43</v>
      </c>
      <c r="W23" s="3314">
        <v>128</v>
      </c>
      <c r="X23" s="3313">
        <v>52</v>
      </c>
      <c r="Y23" s="3314">
        <v>137</v>
      </c>
      <c r="Z23" s="3313">
        <v>55</v>
      </c>
      <c r="AA23" s="3314">
        <v>152</v>
      </c>
      <c r="AB23" s="3313">
        <v>44</v>
      </c>
      <c r="AC23" s="3314">
        <v>161</v>
      </c>
      <c r="AD23" s="3313">
        <v>55</v>
      </c>
      <c r="AE23" s="3314">
        <v>166</v>
      </c>
      <c r="AF23" s="3313">
        <v>62</v>
      </c>
      <c r="AG23" s="3314">
        <v>187</v>
      </c>
      <c r="AH23" s="3313">
        <v>72</v>
      </c>
      <c r="AI23" s="3314">
        <v>214</v>
      </c>
      <c r="AJ23" s="3313">
        <v>77</v>
      </c>
      <c r="AK23" s="3314">
        <v>232</v>
      </c>
    </row>
    <row r="24" spans="1:37" ht="15" customHeight="1" x14ac:dyDescent="0.2">
      <c r="A24" s="6699"/>
      <c r="B24" s="6702"/>
      <c r="C24" s="3321" t="s">
        <v>160</v>
      </c>
      <c r="D24" s="3322">
        <f>SUM(D21:D23)</f>
        <v>10</v>
      </c>
      <c r="E24" s="3323">
        <f t="shared" ref="E24:AA24" si="6">SUM(E21:E23)</f>
        <v>9</v>
      </c>
      <c r="F24" s="3322">
        <f t="shared" si="6"/>
        <v>66</v>
      </c>
      <c r="G24" s="3323">
        <f t="shared" si="6"/>
        <v>73</v>
      </c>
      <c r="H24" s="3322">
        <f t="shared" si="6"/>
        <v>77</v>
      </c>
      <c r="I24" s="3323">
        <f t="shared" si="6"/>
        <v>137</v>
      </c>
      <c r="J24" s="3322">
        <f t="shared" si="6"/>
        <v>82</v>
      </c>
      <c r="K24" s="3323">
        <f t="shared" si="6"/>
        <v>198</v>
      </c>
      <c r="L24" s="3322">
        <f t="shared" si="6"/>
        <v>122</v>
      </c>
      <c r="M24" s="3323">
        <f t="shared" si="6"/>
        <v>268</v>
      </c>
      <c r="N24" s="3322">
        <f t="shared" si="6"/>
        <v>184</v>
      </c>
      <c r="O24" s="3323">
        <f t="shared" si="6"/>
        <v>402</v>
      </c>
      <c r="P24" s="3322">
        <f t="shared" si="6"/>
        <v>160</v>
      </c>
      <c r="Q24" s="3323">
        <f t="shared" si="6"/>
        <v>487</v>
      </c>
      <c r="R24" s="3322">
        <f t="shared" si="6"/>
        <v>184</v>
      </c>
      <c r="S24" s="3323">
        <f t="shared" si="6"/>
        <v>513</v>
      </c>
      <c r="T24" s="3322">
        <f t="shared" si="6"/>
        <v>203</v>
      </c>
      <c r="U24" s="3323">
        <f t="shared" si="6"/>
        <v>539</v>
      </c>
      <c r="V24" s="3322">
        <f t="shared" si="6"/>
        <v>213</v>
      </c>
      <c r="W24" s="3323">
        <f t="shared" si="6"/>
        <v>585</v>
      </c>
      <c r="X24" s="3322">
        <f t="shared" si="6"/>
        <v>205</v>
      </c>
      <c r="Y24" s="3323">
        <f t="shared" si="6"/>
        <v>635</v>
      </c>
      <c r="Z24" s="3322">
        <f t="shared" si="6"/>
        <v>210</v>
      </c>
      <c r="AA24" s="3323">
        <f t="shared" si="6"/>
        <v>666</v>
      </c>
      <c r="AB24" s="3322">
        <f t="shared" ref="AB24:AG24" si="7">SUM(AB21:AB23)</f>
        <v>217</v>
      </c>
      <c r="AC24" s="3323">
        <f t="shared" si="7"/>
        <v>697</v>
      </c>
      <c r="AD24" s="3322">
        <f t="shared" si="7"/>
        <v>244</v>
      </c>
      <c r="AE24" s="3323">
        <f t="shared" si="7"/>
        <v>736</v>
      </c>
      <c r="AF24" s="3322">
        <f t="shared" si="7"/>
        <v>275</v>
      </c>
      <c r="AG24" s="3323">
        <f t="shared" si="7"/>
        <v>808</v>
      </c>
      <c r="AH24" s="3322">
        <f>SUM(AH21:AH23)</f>
        <v>274</v>
      </c>
      <c r="AI24" s="3323">
        <f>SUM(AI21:AI23)</f>
        <v>866</v>
      </c>
      <c r="AJ24" s="3322">
        <f t="shared" ref="AJ24:AK24" si="8">SUM(AJ21:AJ23)</f>
        <v>324</v>
      </c>
      <c r="AK24" s="3323">
        <f t="shared" si="8"/>
        <v>965</v>
      </c>
    </row>
    <row r="25" spans="1:37" ht="15" customHeight="1" x14ac:dyDescent="0.2">
      <c r="A25" s="6700"/>
      <c r="B25" s="3350"/>
      <c r="C25" s="3351" t="s">
        <v>444</v>
      </c>
      <c r="D25" s="3352">
        <f>SUM(D24,D20,D15)</f>
        <v>53</v>
      </c>
      <c r="E25" s="3353">
        <f t="shared" ref="E25:AA25" si="9">SUM(E24,E20,E15)</f>
        <v>51</v>
      </c>
      <c r="F25" s="3352">
        <f t="shared" si="9"/>
        <v>268</v>
      </c>
      <c r="G25" s="3353">
        <f t="shared" si="9"/>
        <v>299</v>
      </c>
      <c r="H25" s="3352">
        <f t="shared" si="9"/>
        <v>317</v>
      </c>
      <c r="I25" s="3353">
        <f t="shared" si="9"/>
        <v>558</v>
      </c>
      <c r="J25" s="3352">
        <f t="shared" si="9"/>
        <v>386</v>
      </c>
      <c r="K25" s="3353">
        <f t="shared" si="9"/>
        <v>811</v>
      </c>
      <c r="L25" s="3352">
        <f t="shared" si="9"/>
        <v>490</v>
      </c>
      <c r="M25" s="3353">
        <f t="shared" si="9"/>
        <v>1092</v>
      </c>
      <c r="N25" s="3352">
        <f t="shared" si="9"/>
        <v>849</v>
      </c>
      <c r="O25" s="3353">
        <f t="shared" si="9"/>
        <v>1645</v>
      </c>
      <c r="P25" s="3352">
        <f t="shared" si="9"/>
        <v>979</v>
      </c>
      <c r="Q25" s="3353">
        <f t="shared" si="9"/>
        <v>2231</v>
      </c>
      <c r="R25" s="3352">
        <f t="shared" si="9"/>
        <v>748</v>
      </c>
      <c r="S25" s="3353">
        <f t="shared" si="9"/>
        <v>2234</v>
      </c>
      <c r="T25" s="3352">
        <f t="shared" si="9"/>
        <v>1100</v>
      </c>
      <c r="U25" s="3353">
        <f t="shared" si="9"/>
        <v>2381</v>
      </c>
      <c r="V25" s="3352">
        <f t="shared" si="9"/>
        <v>1345</v>
      </c>
      <c r="W25" s="3353">
        <f t="shared" si="9"/>
        <v>2915</v>
      </c>
      <c r="X25" s="3352">
        <f t="shared" si="9"/>
        <v>1353</v>
      </c>
      <c r="Y25" s="3353">
        <f t="shared" si="9"/>
        <v>3523</v>
      </c>
      <c r="Z25" s="3352">
        <f t="shared" si="9"/>
        <v>1166</v>
      </c>
      <c r="AA25" s="3353">
        <f t="shared" si="9"/>
        <v>3788</v>
      </c>
      <c r="AB25" s="3352">
        <f>SUM(AB24,AB20,AB15)</f>
        <v>1200</v>
      </c>
      <c r="AC25" s="3353">
        <f>SUM(AC24,AC20,AC15)</f>
        <v>3742</v>
      </c>
      <c r="AD25" s="3352">
        <f>SUM(AD15,AD20,AD24)</f>
        <v>1352</v>
      </c>
      <c r="AE25" s="3353">
        <f>SUM(AE24,AE20,AE15)</f>
        <v>3964</v>
      </c>
      <c r="AF25" s="3352">
        <f>SUM(AF15,AF20,AF24)</f>
        <v>1220</v>
      </c>
      <c r="AG25" s="3353">
        <f>SUM(AG24,AG20,AG15)</f>
        <v>3994</v>
      </c>
      <c r="AH25" s="3352">
        <f>SUM(AH15,AH20,AH24)</f>
        <v>1339</v>
      </c>
      <c r="AI25" s="3353">
        <f>SUM(AI24,AI20,AI15)</f>
        <v>4147</v>
      </c>
      <c r="AJ25" s="3352">
        <f t="shared" ref="AJ25:AK25" si="10">SUM(AJ24,AJ20,AJ15)</f>
        <v>1428</v>
      </c>
      <c r="AK25" s="3353">
        <f t="shared" si="10"/>
        <v>4439</v>
      </c>
    </row>
    <row r="26" spans="1:37" ht="15" customHeight="1" x14ac:dyDescent="0.2">
      <c r="A26" s="6694" t="s">
        <v>75</v>
      </c>
      <c r="B26" s="6689" t="s">
        <v>355</v>
      </c>
      <c r="C26" s="3327" t="s">
        <v>469</v>
      </c>
      <c r="D26" s="3328">
        <v>6</v>
      </c>
      <c r="E26" s="3329">
        <v>6</v>
      </c>
      <c r="F26" s="3328">
        <v>16</v>
      </c>
      <c r="G26" s="3329">
        <v>21</v>
      </c>
      <c r="H26" s="3328">
        <v>24</v>
      </c>
      <c r="I26" s="3329">
        <v>39</v>
      </c>
      <c r="J26" s="3328">
        <v>27</v>
      </c>
      <c r="K26" s="3329">
        <v>52</v>
      </c>
      <c r="L26" s="3328">
        <v>33</v>
      </c>
      <c r="M26" s="3329">
        <v>68</v>
      </c>
      <c r="N26" s="3328">
        <v>55</v>
      </c>
      <c r="O26" s="3329">
        <v>92</v>
      </c>
      <c r="P26" s="3328">
        <v>43</v>
      </c>
      <c r="Q26" s="3329">
        <v>103</v>
      </c>
      <c r="R26" s="3328">
        <v>37</v>
      </c>
      <c r="S26" s="3329">
        <v>85</v>
      </c>
      <c r="T26" s="3328">
        <v>35</v>
      </c>
      <c r="U26" s="3329">
        <v>80</v>
      </c>
      <c r="V26" s="3328">
        <v>53</v>
      </c>
      <c r="W26" s="3329">
        <v>96</v>
      </c>
      <c r="X26" s="3328">
        <v>74</v>
      </c>
      <c r="Y26" s="3329">
        <v>139</v>
      </c>
      <c r="Z26" s="3328">
        <v>49</v>
      </c>
      <c r="AA26" s="3329">
        <v>125</v>
      </c>
      <c r="AB26" s="3328">
        <v>55</v>
      </c>
      <c r="AC26" s="3329">
        <v>111</v>
      </c>
      <c r="AD26" s="3328">
        <v>45</v>
      </c>
      <c r="AE26" s="3329">
        <v>123</v>
      </c>
      <c r="AF26" s="3328">
        <v>30</v>
      </c>
      <c r="AG26" s="3329">
        <v>104</v>
      </c>
      <c r="AH26" s="3328">
        <v>39</v>
      </c>
      <c r="AI26" s="3329">
        <v>88</v>
      </c>
      <c r="AJ26" s="3328">
        <v>49</v>
      </c>
      <c r="AK26" s="3329">
        <v>161</v>
      </c>
    </row>
    <row r="27" spans="1:37" ht="15" customHeight="1" x14ac:dyDescent="0.2">
      <c r="A27" s="6695"/>
      <c r="B27" s="6689"/>
      <c r="C27" s="3312" t="s">
        <v>466</v>
      </c>
      <c r="D27" s="3313">
        <v>0</v>
      </c>
      <c r="E27" s="3314">
        <v>0</v>
      </c>
      <c r="F27" s="3313">
        <v>4</v>
      </c>
      <c r="G27" s="3314">
        <v>3</v>
      </c>
      <c r="H27" s="3313">
        <v>7</v>
      </c>
      <c r="I27" s="3314">
        <v>11</v>
      </c>
      <c r="J27" s="3313">
        <v>4</v>
      </c>
      <c r="K27" s="3314">
        <v>11</v>
      </c>
      <c r="L27" s="3313">
        <v>10</v>
      </c>
      <c r="M27" s="3314">
        <v>18</v>
      </c>
      <c r="N27" s="3313">
        <v>12</v>
      </c>
      <c r="O27" s="3314">
        <v>25</v>
      </c>
      <c r="P27" s="3313">
        <v>13</v>
      </c>
      <c r="Q27" s="3314">
        <v>26</v>
      </c>
      <c r="R27" s="3313">
        <v>15</v>
      </c>
      <c r="S27" s="3314">
        <v>28</v>
      </c>
      <c r="T27" s="3313">
        <v>11</v>
      </c>
      <c r="U27" s="3314">
        <v>25</v>
      </c>
      <c r="V27" s="3313">
        <v>35</v>
      </c>
      <c r="W27" s="3314">
        <v>46</v>
      </c>
      <c r="X27" s="3313">
        <v>37</v>
      </c>
      <c r="Y27" s="3314">
        <v>67</v>
      </c>
      <c r="Z27" s="3313">
        <v>42</v>
      </c>
      <c r="AA27" s="3314">
        <v>78</v>
      </c>
      <c r="AB27" s="3313">
        <v>42</v>
      </c>
      <c r="AC27" s="3314">
        <v>92</v>
      </c>
      <c r="AD27" s="3313">
        <v>38</v>
      </c>
      <c r="AE27" s="3314">
        <v>99</v>
      </c>
      <c r="AF27" s="3313">
        <v>32</v>
      </c>
      <c r="AG27" s="3314">
        <v>98</v>
      </c>
      <c r="AH27" s="3313">
        <v>37</v>
      </c>
      <c r="AI27" s="3314">
        <v>91</v>
      </c>
      <c r="AJ27" s="3313">
        <v>40</v>
      </c>
      <c r="AK27" s="3314">
        <v>21</v>
      </c>
    </row>
    <row r="28" spans="1:37" ht="15" customHeight="1" x14ac:dyDescent="0.2">
      <c r="A28" s="6695"/>
      <c r="B28" s="6689"/>
      <c r="C28" s="3312" t="s">
        <v>463</v>
      </c>
      <c r="D28" s="3313">
        <v>1</v>
      </c>
      <c r="E28" s="3314">
        <v>1</v>
      </c>
      <c r="F28" s="3313">
        <v>10</v>
      </c>
      <c r="G28" s="3314">
        <v>10</v>
      </c>
      <c r="H28" s="3313">
        <v>15</v>
      </c>
      <c r="I28" s="3314">
        <v>22</v>
      </c>
      <c r="J28" s="3313">
        <v>14</v>
      </c>
      <c r="K28" s="3314">
        <v>31</v>
      </c>
      <c r="L28" s="3313">
        <v>18</v>
      </c>
      <c r="M28" s="3314">
        <v>35</v>
      </c>
      <c r="N28" s="3313">
        <v>41</v>
      </c>
      <c r="O28" s="3314">
        <v>56</v>
      </c>
      <c r="P28" s="3313">
        <v>25</v>
      </c>
      <c r="Q28" s="3314">
        <v>67</v>
      </c>
      <c r="R28" s="3313">
        <v>19</v>
      </c>
      <c r="S28" s="3314">
        <v>58</v>
      </c>
      <c r="T28" s="3313">
        <v>25</v>
      </c>
      <c r="U28" s="3314">
        <v>50</v>
      </c>
      <c r="V28" s="3313">
        <v>36</v>
      </c>
      <c r="W28" s="3314">
        <v>67</v>
      </c>
      <c r="X28" s="3313">
        <v>37</v>
      </c>
      <c r="Y28" s="3314">
        <v>85</v>
      </c>
      <c r="Z28" s="3313">
        <v>34</v>
      </c>
      <c r="AA28" s="3314">
        <v>78</v>
      </c>
      <c r="AB28" s="3313">
        <v>50</v>
      </c>
      <c r="AC28" s="3314">
        <v>105</v>
      </c>
      <c r="AD28" s="3313">
        <v>54</v>
      </c>
      <c r="AE28" s="3314">
        <v>119</v>
      </c>
      <c r="AF28" s="3313">
        <v>47</v>
      </c>
      <c r="AG28" s="3314">
        <v>136</v>
      </c>
      <c r="AH28" s="3313">
        <v>56</v>
      </c>
      <c r="AI28" s="3314">
        <v>150</v>
      </c>
      <c r="AJ28" s="3313">
        <v>53</v>
      </c>
      <c r="AK28" s="3314">
        <v>142</v>
      </c>
    </row>
    <row r="29" spans="1:37" ht="15" customHeight="1" x14ac:dyDescent="0.2">
      <c r="A29" s="6695"/>
      <c r="B29" s="6689"/>
      <c r="C29" s="3312" t="s">
        <v>454</v>
      </c>
      <c r="D29" s="3313">
        <v>2</v>
      </c>
      <c r="E29" s="3314">
        <v>2</v>
      </c>
      <c r="F29" s="3313">
        <v>17</v>
      </c>
      <c r="G29" s="3314">
        <v>19</v>
      </c>
      <c r="H29" s="3313">
        <v>16</v>
      </c>
      <c r="I29" s="3314">
        <v>34</v>
      </c>
      <c r="J29" s="3313">
        <v>22</v>
      </c>
      <c r="K29" s="3314">
        <v>44</v>
      </c>
      <c r="L29" s="3313">
        <v>28</v>
      </c>
      <c r="M29" s="3314">
        <v>57</v>
      </c>
      <c r="N29" s="3313">
        <v>48</v>
      </c>
      <c r="O29" s="3314">
        <v>80</v>
      </c>
      <c r="P29" s="3313">
        <v>43</v>
      </c>
      <c r="Q29" s="3314">
        <v>95</v>
      </c>
      <c r="R29" s="3313">
        <v>23</v>
      </c>
      <c r="S29" s="3314">
        <v>79</v>
      </c>
      <c r="T29" s="3313">
        <v>18</v>
      </c>
      <c r="U29" s="3314">
        <v>62</v>
      </c>
      <c r="V29" s="3313">
        <v>37</v>
      </c>
      <c r="W29" s="3314">
        <v>66</v>
      </c>
      <c r="X29" s="3313">
        <v>45</v>
      </c>
      <c r="Y29" s="3314">
        <v>83</v>
      </c>
      <c r="Z29" s="3313">
        <v>23</v>
      </c>
      <c r="AA29" s="3314">
        <v>67</v>
      </c>
      <c r="AB29" s="3313">
        <v>51</v>
      </c>
      <c r="AC29" s="3314">
        <v>99</v>
      </c>
      <c r="AD29" s="3313">
        <v>53</v>
      </c>
      <c r="AE29" s="3314">
        <v>119</v>
      </c>
      <c r="AF29" s="3313">
        <v>29</v>
      </c>
      <c r="AG29" s="3314">
        <v>104</v>
      </c>
      <c r="AH29" s="3313">
        <v>26</v>
      </c>
      <c r="AI29" s="3314">
        <v>82</v>
      </c>
      <c r="AJ29" s="3313">
        <v>41</v>
      </c>
      <c r="AK29" s="3314">
        <v>98</v>
      </c>
    </row>
    <row r="30" spans="1:37" ht="15" customHeight="1" x14ac:dyDescent="0.2">
      <c r="A30" s="6695"/>
      <c r="B30" s="6689"/>
      <c r="C30" s="3312" t="s">
        <v>465</v>
      </c>
      <c r="D30" s="3313">
        <v>1</v>
      </c>
      <c r="E30" s="3314">
        <v>1</v>
      </c>
      <c r="F30" s="3313">
        <v>5</v>
      </c>
      <c r="G30" s="3314">
        <v>5</v>
      </c>
      <c r="H30" s="3313">
        <v>4</v>
      </c>
      <c r="I30" s="3314">
        <v>8</v>
      </c>
      <c r="J30" s="3313">
        <v>9</v>
      </c>
      <c r="K30" s="3314">
        <v>14</v>
      </c>
      <c r="L30" s="3313">
        <v>14</v>
      </c>
      <c r="M30" s="3314">
        <v>23</v>
      </c>
      <c r="N30" s="3313">
        <v>19</v>
      </c>
      <c r="O30" s="3314">
        <v>33</v>
      </c>
      <c r="P30" s="3313">
        <v>15</v>
      </c>
      <c r="Q30" s="3314">
        <v>35</v>
      </c>
      <c r="R30" s="3313">
        <v>19</v>
      </c>
      <c r="S30" s="3314">
        <v>34</v>
      </c>
      <c r="T30" s="3313">
        <v>14</v>
      </c>
      <c r="U30" s="3314">
        <v>36</v>
      </c>
      <c r="V30" s="3313">
        <v>46</v>
      </c>
      <c r="W30" s="3314">
        <v>60</v>
      </c>
      <c r="X30" s="3313">
        <v>54</v>
      </c>
      <c r="Y30" s="3314">
        <v>94</v>
      </c>
      <c r="Z30" s="3313">
        <v>43</v>
      </c>
      <c r="AA30" s="3314">
        <v>96</v>
      </c>
      <c r="AB30" s="3313">
        <v>58</v>
      </c>
      <c r="AC30" s="3314">
        <v>126</v>
      </c>
      <c r="AD30" s="3313">
        <v>56</v>
      </c>
      <c r="AE30" s="3314">
        <v>141</v>
      </c>
      <c r="AF30" s="3313">
        <v>25</v>
      </c>
      <c r="AG30" s="3314">
        <v>113</v>
      </c>
      <c r="AH30" s="3313">
        <v>49</v>
      </c>
      <c r="AI30" s="3314">
        <v>108</v>
      </c>
      <c r="AJ30" s="3313">
        <v>31</v>
      </c>
      <c r="AK30" s="3314">
        <v>96</v>
      </c>
    </row>
    <row r="31" spans="1:37" ht="15" customHeight="1" x14ac:dyDescent="0.2">
      <c r="A31" s="6695"/>
      <c r="B31" s="6689"/>
      <c r="C31" s="3312" t="s">
        <v>464</v>
      </c>
      <c r="D31" s="3313">
        <v>0</v>
      </c>
      <c r="E31" s="3314">
        <v>0</v>
      </c>
      <c r="F31" s="3313">
        <v>1</v>
      </c>
      <c r="G31" s="3314">
        <v>1</v>
      </c>
      <c r="H31" s="3313">
        <v>4</v>
      </c>
      <c r="I31" s="3314">
        <v>4</v>
      </c>
      <c r="J31" s="3313">
        <v>5</v>
      </c>
      <c r="K31" s="3314">
        <v>8</v>
      </c>
      <c r="L31" s="3313">
        <v>5</v>
      </c>
      <c r="M31" s="3314">
        <v>10</v>
      </c>
      <c r="N31" s="3313">
        <v>4</v>
      </c>
      <c r="O31" s="3314">
        <v>11</v>
      </c>
      <c r="P31" s="3313">
        <v>8</v>
      </c>
      <c r="Q31" s="3314">
        <v>11</v>
      </c>
      <c r="R31" s="3313">
        <v>4</v>
      </c>
      <c r="S31" s="3314">
        <v>12</v>
      </c>
      <c r="T31" s="3313">
        <v>2</v>
      </c>
      <c r="U31" s="3314">
        <v>8</v>
      </c>
      <c r="V31" s="3313">
        <v>9</v>
      </c>
      <c r="W31" s="3314">
        <v>12</v>
      </c>
      <c r="X31" s="3313">
        <v>13</v>
      </c>
      <c r="Y31" s="3314">
        <v>20</v>
      </c>
      <c r="Z31" s="3313">
        <v>8</v>
      </c>
      <c r="AA31" s="3314">
        <v>20</v>
      </c>
      <c r="AB31" s="3313">
        <v>21</v>
      </c>
      <c r="AC31" s="3314">
        <v>29</v>
      </c>
      <c r="AD31" s="3313">
        <v>18</v>
      </c>
      <c r="AE31" s="3314">
        <v>42</v>
      </c>
      <c r="AF31" s="3313">
        <v>10</v>
      </c>
      <c r="AG31" s="3314">
        <v>36</v>
      </c>
      <c r="AH31" s="3313">
        <v>12</v>
      </c>
      <c r="AI31" s="3314">
        <v>29</v>
      </c>
      <c r="AJ31" s="3313">
        <v>7</v>
      </c>
      <c r="AK31" s="3314">
        <v>92</v>
      </c>
    </row>
    <row r="32" spans="1:37" ht="15" customHeight="1" x14ac:dyDescent="0.2">
      <c r="A32" s="6695"/>
      <c r="B32" s="6689"/>
      <c r="C32" s="3312" t="s">
        <v>453</v>
      </c>
      <c r="D32" s="3313">
        <v>6</v>
      </c>
      <c r="E32" s="3314">
        <v>6</v>
      </c>
      <c r="F32" s="3313">
        <v>5</v>
      </c>
      <c r="G32" s="3314">
        <v>11</v>
      </c>
      <c r="H32" s="3313">
        <v>7</v>
      </c>
      <c r="I32" s="3314">
        <v>16</v>
      </c>
      <c r="J32" s="3313">
        <v>8</v>
      </c>
      <c r="K32" s="3314">
        <v>19</v>
      </c>
      <c r="L32" s="3313">
        <v>17</v>
      </c>
      <c r="M32" s="3314">
        <v>31</v>
      </c>
      <c r="N32" s="3313">
        <v>31</v>
      </c>
      <c r="O32" s="3314">
        <v>50</v>
      </c>
      <c r="P32" s="3313">
        <v>17</v>
      </c>
      <c r="Q32" s="3314">
        <v>54</v>
      </c>
      <c r="R32" s="3313">
        <v>18</v>
      </c>
      <c r="S32" s="3314">
        <v>49</v>
      </c>
      <c r="T32" s="3313">
        <v>22</v>
      </c>
      <c r="U32" s="3314">
        <v>48</v>
      </c>
      <c r="V32" s="3313">
        <v>51</v>
      </c>
      <c r="W32" s="3314">
        <v>79</v>
      </c>
      <c r="X32" s="3313">
        <v>58</v>
      </c>
      <c r="Y32" s="3314">
        <v>119</v>
      </c>
      <c r="Z32" s="3313">
        <v>42</v>
      </c>
      <c r="AA32" s="3314">
        <v>113</v>
      </c>
      <c r="AB32" s="3313">
        <v>62</v>
      </c>
      <c r="AC32" s="3314">
        <v>135</v>
      </c>
      <c r="AD32" s="3313">
        <v>58</v>
      </c>
      <c r="AE32" s="3314">
        <v>146</v>
      </c>
      <c r="AF32" s="3313">
        <v>33</v>
      </c>
      <c r="AG32" s="3314">
        <v>142</v>
      </c>
      <c r="AH32" s="3313">
        <v>59</v>
      </c>
      <c r="AI32" s="3314">
        <v>147</v>
      </c>
      <c r="AJ32" s="3313">
        <v>36</v>
      </c>
      <c r="AK32" s="3314">
        <v>84</v>
      </c>
    </row>
    <row r="33" spans="1:37" ht="15" customHeight="1" x14ac:dyDescent="0.2">
      <c r="A33" s="6695"/>
      <c r="B33" s="6689"/>
      <c r="C33" s="3312" t="s">
        <v>467</v>
      </c>
      <c r="D33" s="3313">
        <v>2</v>
      </c>
      <c r="E33" s="3314">
        <v>2</v>
      </c>
      <c r="F33" s="3313">
        <v>9</v>
      </c>
      <c r="G33" s="3314">
        <v>9</v>
      </c>
      <c r="H33" s="3313">
        <v>8</v>
      </c>
      <c r="I33" s="3314">
        <v>15</v>
      </c>
      <c r="J33" s="3313">
        <v>17</v>
      </c>
      <c r="K33" s="3314">
        <v>26</v>
      </c>
      <c r="L33" s="3313">
        <v>16</v>
      </c>
      <c r="M33" s="3314">
        <v>34</v>
      </c>
      <c r="N33" s="3313">
        <v>35</v>
      </c>
      <c r="O33" s="3314">
        <v>53</v>
      </c>
      <c r="P33" s="3313">
        <v>21</v>
      </c>
      <c r="Q33" s="3314">
        <v>57</v>
      </c>
      <c r="R33" s="3313">
        <v>33</v>
      </c>
      <c r="S33" s="3314">
        <v>57</v>
      </c>
      <c r="T33" s="3313">
        <v>21</v>
      </c>
      <c r="U33" s="3314">
        <v>51</v>
      </c>
      <c r="V33" s="3313">
        <v>35</v>
      </c>
      <c r="W33" s="3314">
        <v>57</v>
      </c>
      <c r="X33" s="3313">
        <v>21</v>
      </c>
      <c r="Y33" s="3314">
        <v>51</v>
      </c>
      <c r="Z33" s="3313">
        <v>16</v>
      </c>
      <c r="AA33" s="3314">
        <v>40</v>
      </c>
      <c r="AB33" s="3313">
        <v>33</v>
      </c>
      <c r="AC33" s="3314">
        <v>55</v>
      </c>
      <c r="AD33" s="3313">
        <v>37</v>
      </c>
      <c r="AE33" s="3314">
        <v>76</v>
      </c>
      <c r="AF33" s="3313">
        <v>38</v>
      </c>
      <c r="AG33" s="3314">
        <v>91</v>
      </c>
      <c r="AH33" s="3313">
        <v>41</v>
      </c>
      <c r="AI33" s="3314">
        <v>95</v>
      </c>
      <c r="AJ33" s="3313">
        <v>35</v>
      </c>
      <c r="AK33" s="3314">
        <v>67</v>
      </c>
    </row>
    <row r="34" spans="1:37" ht="15" customHeight="1" x14ac:dyDescent="0.2">
      <c r="A34" s="6695"/>
      <c r="B34" s="6689"/>
      <c r="C34" s="3312" t="s">
        <v>468</v>
      </c>
      <c r="D34" s="3313">
        <v>0</v>
      </c>
      <c r="E34" s="3314">
        <v>0</v>
      </c>
      <c r="F34" s="3313">
        <v>3</v>
      </c>
      <c r="G34" s="3314">
        <v>2</v>
      </c>
      <c r="H34" s="3313">
        <v>4</v>
      </c>
      <c r="I34" s="3314">
        <v>4</v>
      </c>
      <c r="J34" s="3313">
        <v>2</v>
      </c>
      <c r="K34" s="3314">
        <v>6</v>
      </c>
      <c r="L34" s="3313">
        <v>3</v>
      </c>
      <c r="M34" s="3314">
        <v>6</v>
      </c>
      <c r="N34" s="3313">
        <v>9</v>
      </c>
      <c r="O34" s="3314">
        <v>12</v>
      </c>
      <c r="P34" s="3313">
        <v>12</v>
      </c>
      <c r="Q34" s="3314">
        <v>22</v>
      </c>
      <c r="R34" s="3313">
        <v>12</v>
      </c>
      <c r="S34" s="3314">
        <v>26</v>
      </c>
      <c r="T34" s="3313">
        <v>16</v>
      </c>
      <c r="U34" s="3314">
        <v>29</v>
      </c>
      <c r="V34" s="3313">
        <v>19</v>
      </c>
      <c r="W34" s="3314">
        <v>37</v>
      </c>
      <c r="X34" s="3313">
        <v>27</v>
      </c>
      <c r="Y34" s="3314">
        <v>48</v>
      </c>
      <c r="Z34" s="3313">
        <v>27</v>
      </c>
      <c r="AA34" s="3314">
        <v>52</v>
      </c>
      <c r="AB34" s="3313">
        <v>42</v>
      </c>
      <c r="AC34" s="3314">
        <v>80</v>
      </c>
      <c r="AD34" s="3313">
        <v>32</v>
      </c>
      <c r="AE34" s="3314">
        <v>91</v>
      </c>
      <c r="AF34" s="3313">
        <v>20</v>
      </c>
      <c r="AG34" s="3314">
        <v>70</v>
      </c>
      <c r="AH34" s="3313">
        <v>30</v>
      </c>
      <c r="AI34" s="3314">
        <v>74</v>
      </c>
      <c r="AJ34" s="3313">
        <v>24</v>
      </c>
      <c r="AK34" s="3314">
        <v>99</v>
      </c>
    </row>
    <row r="35" spans="1:37" ht="15" customHeight="1" x14ac:dyDescent="0.2">
      <c r="A35" s="6695"/>
      <c r="B35" s="6689"/>
      <c r="C35" s="3312" t="s">
        <v>1461</v>
      </c>
      <c r="D35" s="3313"/>
      <c r="E35" s="3314"/>
      <c r="F35" s="3313"/>
      <c r="G35" s="3314"/>
      <c r="H35" s="3313"/>
      <c r="I35" s="3314"/>
      <c r="J35" s="3313"/>
      <c r="K35" s="3314"/>
      <c r="L35" s="3313"/>
      <c r="M35" s="3314"/>
      <c r="N35" s="3313"/>
      <c r="O35" s="3314"/>
      <c r="P35" s="3313"/>
      <c r="Q35" s="3314"/>
      <c r="R35" s="3313"/>
      <c r="S35" s="3314"/>
      <c r="T35" s="3313"/>
      <c r="U35" s="3314"/>
      <c r="V35" s="3313"/>
      <c r="W35" s="3314"/>
      <c r="X35" s="3313"/>
      <c r="Y35" s="3314"/>
      <c r="Z35" s="3313"/>
      <c r="AA35" s="3314"/>
      <c r="AB35" s="3313"/>
      <c r="AC35" s="3314"/>
      <c r="AD35" s="3313"/>
      <c r="AE35" s="3314"/>
      <c r="AF35" s="3313"/>
      <c r="AG35" s="3314"/>
      <c r="AH35" s="3313">
        <v>6</v>
      </c>
      <c r="AI35" s="3314">
        <v>5</v>
      </c>
      <c r="AJ35" s="3313">
        <v>16</v>
      </c>
      <c r="AK35" s="3314">
        <v>21</v>
      </c>
    </row>
    <row r="36" spans="1:37" ht="15" customHeight="1" x14ac:dyDescent="0.2">
      <c r="A36" s="6695"/>
      <c r="B36" s="6690"/>
      <c r="C36" s="3318" t="s">
        <v>160</v>
      </c>
      <c r="D36" s="3319">
        <f>SUM(D26:D34)</f>
        <v>18</v>
      </c>
      <c r="E36" s="3320">
        <f t="shared" ref="E36:AA36" si="11">SUM(E26:E34)</f>
        <v>18</v>
      </c>
      <c r="F36" s="3319">
        <f t="shared" si="11"/>
        <v>70</v>
      </c>
      <c r="G36" s="3320">
        <f t="shared" si="11"/>
        <v>81</v>
      </c>
      <c r="H36" s="3319">
        <f t="shared" si="11"/>
        <v>89</v>
      </c>
      <c r="I36" s="3320">
        <f t="shared" si="11"/>
        <v>153</v>
      </c>
      <c r="J36" s="3319">
        <f t="shared" si="11"/>
        <v>108</v>
      </c>
      <c r="K36" s="3320">
        <f t="shared" si="11"/>
        <v>211</v>
      </c>
      <c r="L36" s="3319">
        <f t="shared" si="11"/>
        <v>144</v>
      </c>
      <c r="M36" s="3320">
        <f t="shared" si="11"/>
        <v>282</v>
      </c>
      <c r="N36" s="3319">
        <f t="shared" si="11"/>
        <v>254</v>
      </c>
      <c r="O36" s="3320">
        <f t="shared" si="11"/>
        <v>412</v>
      </c>
      <c r="P36" s="3319">
        <f t="shared" si="11"/>
        <v>197</v>
      </c>
      <c r="Q36" s="3320">
        <f t="shared" si="11"/>
        <v>470</v>
      </c>
      <c r="R36" s="3319">
        <f t="shared" si="11"/>
        <v>180</v>
      </c>
      <c r="S36" s="3320">
        <f t="shared" si="11"/>
        <v>428</v>
      </c>
      <c r="T36" s="3319">
        <f t="shared" si="11"/>
        <v>164</v>
      </c>
      <c r="U36" s="3320">
        <f t="shared" si="11"/>
        <v>389</v>
      </c>
      <c r="V36" s="3319">
        <f t="shared" si="11"/>
        <v>321</v>
      </c>
      <c r="W36" s="3320">
        <f t="shared" si="11"/>
        <v>520</v>
      </c>
      <c r="X36" s="3319">
        <f t="shared" si="11"/>
        <v>366</v>
      </c>
      <c r="Y36" s="3320">
        <f t="shared" si="11"/>
        <v>706</v>
      </c>
      <c r="Z36" s="3319">
        <f t="shared" si="11"/>
        <v>284</v>
      </c>
      <c r="AA36" s="3320">
        <f t="shared" si="11"/>
        <v>669</v>
      </c>
      <c r="AB36" s="3319">
        <f t="shared" ref="AB36:AG36" si="12">SUM(AB26:AB34)</f>
        <v>414</v>
      </c>
      <c r="AC36" s="3320">
        <f t="shared" si="12"/>
        <v>832</v>
      </c>
      <c r="AD36" s="3319">
        <f t="shared" si="12"/>
        <v>391</v>
      </c>
      <c r="AE36" s="3320">
        <f t="shared" si="12"/>
        <v>956</v>
      </c>
      <c r="AF36" s="3319">
        <f t="shared" si="12"/>
        <v>264</v>
      </c>
      <c r="AG36" s="3320">
        <f t="shared" si="12"/>
        <v>894</v>
      </c>
      <c r="AH36" s="3319">
        <f>SUM(AH26:AH35)</f>
        <v>355</v>
      </c>
      <c r="AI36" s="3320">
        <f>SUM(AI26:AI35)</f>
        <v>869</v>
      </c>
      <c r="AJ36" s="3319">
        <f t="shared" ref="AJ36:AK36" si="13">SUM(AJ26:AJ35)</f>
        <v>332</v>
      </c>
      <c r="AK36" s="3320">
        <f t="shared" si="13"/>
        <v>881</v>
      </c>
    </row>
    <row r="37" spans="1:37" ht="15" customHeight="1" x14ac:dyDescent="0.2">
      <c r="A37" s="6695"/>
      <c r="B37" s="6691" t="s">
        <v>428</v>
      </c>
      <c r="C37" s="3312" t="s">
        <v>456</v>
      </c>
      <c r="D37" s="3313">
        <v>6</v>
      </c>
      <c r="E37" s="3314">
        <v>6</v>
      </c>
      <c r="F37" s="3313">
        <v>23</v>
      </c>
      <c r="G37" s="3314">
        <v>28</v>
      </c>
      <c r="H37" s="3313">
        <v>33</v>
      </c>
      <c r="I37" s="3314">
        <v>56</v>
      </c>
      <c r="J37" s="3313">
        <v>26</v>
      </c>
      <c r="K37" s="3314">
        <v>72</v>
      </c>
      <c r="L37" s="3313">
        <v>23</v>
      </c>
      <c r="M37" s="3314">
        <v>86</v>
      </c>
      <c r="N37" s="3313">
        <v>115</v>
      </c>
      <c r="O37" s="3314">
        <v>171</v>
      </c>
      <c r="P37" s="3313">
        <v>63</v>
      </c>
      <c r="Q37" s="3314">
        <v>201</v>
      </c>
      <c r="R37" s="3313">
        <v>77</v>
      </c>
      <c r="S37" s="3314">
        <v>205</v>
      </c>
      <c r="T37" s="3313">
        <v>134</v>
      </c>
      <c r="U37" s="3314">
        <v>267</v>
      </c>
      <c r="V37" s="3313">
        <v>188</v>
      </c>
      <c r="W37" s="3314">
        <v>398</v>
      </c>
      <c r="X37" s="3313">
        <v>146</v>
      </c>
      <c r="Y37" s="3314">
        <v>458</v>
      </c>
      <c r="Z37" s="3313">
        <v>122</v>
      </c>
      <c r="AA37" s="3314">
        <v>476</v>
      </c>
      <c r="AB37" s="3313">
        <v>111</v>
      </c>
      <c r="AC37" s="3314">
        <v>443</v>
      </c>
      <c r="AD37" s="3313">
        <v>133</v>
      </c>
      <c r="AE37" s="3314">
        <v>456</v>
      </c>
      <c r="AF37" s="3313">
        <v>121</v>
      </c>
      <c r="AG37" s="3314">
        <v>463</v>
      </c>
      <c r="AH37" s="3313">
        <v>138</v>
      </c>
      <c r="AI37" s="3314">
        <v>470</v>
      </c>
      <c r="AJ37" s="3313">
        <v>155</v>
      </c>
      <c r="AK37" s="3314">
        <v>503</v>
      </c>
    </row>
    <row r="38" spans="1:37" ht="15" customHeight="1" x14ac:dyDescent="0.2">
      <c r="A38" s="6695"/>
      <c r="B38" s="6689"/>
      <c r="C38" s="3312" t="s">
        <v>470</v>
      </c>
      <c r="D38" s="3313">
        <v>4</v>
      </c>
      <c r="E38" s="3314">
        <v>4</v>
      </c>
      <c r="F38" s="3313">
        <v>8</v>
      </c>
      <c r="G38" s="3314">
        <v>12</v>
      </c>
      <c r="H38" s="3313">
        <v>7</v>
      </c>
      <c r="I38" s="3314">
        <v>18</v>
      </c>
      <c r="J38" s="3313">
        <v>6</v>
      </c>
      <c r="K38" s="3314">
        <v>20</v>
      </c>
      <c r="L38" s="3313">
        <v>9</v>
      </c>
      <c r="M38" s="3314">
        <v>26</v>
      </c>
      <c r="N38" s="3313">
        <v>21</v>
      </c>
      <c r="O38" s="3314">
        <v>37</v>
      </c>
      <c r="P38" s="3313">
        <v>18</v>
      </c>
      <c r="Q38" s="3314">
        <v>44</v>
      </c>
      <c r="R38" s="3313">
        <v>25</v>
      </c>
      <c r="S38" s="3314">
        <v>58</v>
      </c>
      <c r="T38" s="3313">
        <v>31</v>
      </c>
      <c r="U38" s="3314">
        <v>79</v>
      </c>
      <c r="V38" s="3313">
        <v>39</v>
      </c>
      <c r="W38" s="3314">
        <v>98</v>
      </c>
      <c r="X38" s="3313">
        <v>21</v>
      </c>
      <c r="Y38" s="3314">
        <v>103</v>
      </c>
      <c r="Z38" s="3313">
        <v>14</v>
      </c>
      <c r="AA38" s="3314">
        <v>87</v>
      </c>
      <c r="AB38" s="3313">
        <v>24</v>
      </c>
      <c r="AC38" s="3314">
        <v>81</v>
      </c>
      <c r="AD38" s="3313">
        <v>32</v>
      </c>
      <c r="AE38" s="3314">
        <v>83</v>
      </c>
      <c r="AF38" s="3313">
        <v>22</v>
      </c>
      <c r="AG38" s="3314">
        <v>76</v>
      </c>
      <c r="AH38" s="3313">
        <v>21</v>
      </c>
      <c r="AI38" s="3314">
        <v>74</v>
      </c>
      <c r="AJ38" s="3313">
        <v>24</v>
      </c>
      <c r="AK38" s="3314">
        <v>70</v>
      </c>
    </row>
    <row r="39" spans="1:37" ht="15" customHeight="1" x14ac:dyDescent="0.2">
      <c r="A39" s="6695"/>
      <c r="B39" s="6689"/>
      <c r="C39" s="3312" t="s">
        <v>475</v>
      </c>
      <c r="D39" s="3313">
        <v>6</v>
      </c>
      <c r="E39" s="3314">
        <v>6</v>
      </c>
      <c r="F39" s="3313">
        <v>10</v>
      </c>
      <c r="G39" s="3314">
        <v>15</v>
      </c>
      <c r="H39" s="3313">
        <v>12</v>
      </c>
      <c r="I39" s="3314">
        <v>25</v>
      </c>
      <c r="J39" s="3313">
        <v>9</v>
      </c>
      <c r="K39" s="3314">
        <v>31</v>
      </c>
      <c r="L39" s="3313">
        <v>19</v>
      </c>
      <c r="M39" s="3314">
        <v>42</v>
      </c>
      <c r="N39" s="3313">
        <v>32</v>
      </c>
      <c r="O39" s="3314">
        <v>60</v>
      </c>
      <c r="P39" s="3313">
        <v>31</v>
      </c>
      <c r="Q39" s="3314">
        <v>82</v>
      </c>
      <c r="R39" s="3313">
        <v>42</v>
      </c>
      <c r="S39" s="3314">
        <v>102</v>
      </c>
      <c r="T39" s="3313">
        <v>42</v>
      </c>
      <c r="U39" s="3314">
        <v>124</v>
      </c>
      <c r="V39" s="3313">
        <v>66</v>
      </c>
      <c r="W39" s="3314">
        <v>167</v>
      </c>
      <c r="X39" s="3313">
        <v>59</v>
      </c>
      <c r="Y39" s="3314">
        <v>173</v>
      </c>
      <c r="Z39" s="3313">
        <v>37</v>
      </c>
      <c r="AA39" s="3314">
        <v>166</v>
      </c>
      <c r="AB39" s="3313">
        <v>55</v>
      </c>
      <c r="AC39" s="3314">
        <v>170</v>
      </c>
      <c r="AD39" s="3313">
        <v>57</v>
      </c>
      <c r="AE39" s="3314">
        <v>178</v>
      </c>
      <c r="AF39" s="3313">
        <v>54</v>
      </c>
      <c r="AG39" s="3314">
        <v>179</v>
      </c>
      <c r="AH39" s="3313">
        <v>56</v>
      </c>
      <c r="AI39" s="3314">
        <v>194</v>
      </c>
      <c r="AJ39" s="3313">
        <v>59</v>
      </c>
      <c r="AK39" s="3314">
        <v>93</v>
      </c>
    </row>
    <row r="40" spans="1:37" ht="15" customHeight="1" x14ac:dyDescent="0.2">
      <c r="A40" s="6695"/>
      <c r="B40" s="6689"/>
      <c r="C40" s="3312" t="s">
        <v>458</v>
      </c>
      <c r="D40" s="3313">
        <v>3</v>
      </c>
      <c r="E40" s="3314">
        <v>3</v>
      </c>
      <c r="F40" s="3313">
        <v>12</v>
      </c>
      <c r="G40" s="3314">
        <v>13</v>
      </c>
      <c r="H40" s="3313">
        <v>9</v>
      </c>
      <c r="I40" s="3314">
        <v>22</v>
      </c>
      <c r="J40" s="3313">
        <v>7</v>
      </c>
      <c r="K40" s="3314">
        <v>25</v>
      </c>
      <c r="L40" s="3313">
        <v>20</v>
      </c>
      <c r="M40" s="3314">
        <v>37</v>
      </c>
      <c r="N40" s="3313">
        <v>36</v>
      </c>
      <c r="O40" s="3314">
        <v>58</v>
      </c>
      <c r="P40" s="3313">
        <v>24</v>
      </c>
      <c r="Q40" s="3314">
        <v>66</v>
      </c>
      <c r="R40" s="3313">
        <v>33</v>
      </c>
      <c r="S40" s="3314">
        <v>80</v>
      </c>
      <c r="T40" s="3313">
        <v>47</v>
      </c>
      <c r="U40" s="3314">
        <v>101</v>
      </c>
      <c r="V40" s="3313">
        <v>51</v>
      </c>
      <c r="W40" s="3314">
        <v>125</v>
      </c>
      <c r="X40" s="3313">
        <v>49</v>
      </c>
      <c r="Y40" s="3314">
        <v>126</v>
      </c>
      <c r="Z40" s="3313">
        <v>48</v>
      </c>
      <c r="AA40" s="3314">
        <v>134</v>
      </c>
      <c r="AB40" s="3313">
        <v>48</v>
      </c>
      <c r="AC40" s="3314">
        <v>132</v>
      </c>
      <c r="AD40" s="3313">
        <v>50</v>
      </c>
      <c r="AE40" s="3314">
        <v>138</v>
      </c>
      <c r="AF40" s="3313">
        <v>54</v>
      </c>
      <c r="AG40" s="3314">
        <v>133</v>
      </c>
      <c r="AH40" s="3313">
        <v>58</v>
      </c>
      <c r="AI40" s="3314">
        <v>144</v>
      </c>
      <c r="AJ40" s="3313">
        <v>55</v>
      </c>
      <c r="AK40" s="3314">
        <v>92</v>
      </c>
    </row>
    <row r="41" spans="1:37" ht="15" customHeight="1" x14ac:dyDescent="0.2">
      <c r="A41" s="6695"/>
      <c r="B41" s="6689"/>
      <c r="C41" s="3312" t="s">
        <v>472</v>
      </c>
      <c r="D41" s="3313">
        <v>2</v>
      </c>
      <c r="E41" s="3314">
        <v>2</v>
      </c>
      <c r="F41" s="3313">
        <v>10</v>
      </c>
      <c r="G41" s="3314">
        <v>11</v>
      </c>
      <c r="H41" s="3313">
        <v>4</v>
      </c>
      <c r="I41" s="3314">
        <v>15</v>
      </c>
      <c r="J41" s="3313">
        <v>7</v>
      </c>
      <c r="K41" s="3314">
        <v>19</v>
      </c>
      <c r="L41" s="3313">
        <v>13</v>
      </c>
      <c r="M41" s="3314">
        <v>30</v>
      </c>
      <c r="N41" s="3313">
        <v>27</v>
      </c>
      <c r="O41" s="3314">
        <v>49</v>
      </c>
      <c r="P41" s="3313">
        <v>15</v>
      </c>
      <c r="Q41" s="3314">
        <v>53</v>
      </c>
      <c r="R41" s="3313">
        <v>18</v>
      </c>
      <c r="S41" s="3314">
        <v>55</v>
      </c>
      <c r="T41" s="3313">
        <v>31</v>
      </c>
      <c r="U41" s="3314">
        <v>64</v>
      </c>
      <c r="V41" s="3313">
        <v>37</v>
      </c>
      <c r="W41" s="3314">
        <v>85</v>
      </c>
      <c r="X41" s="3313">
        <v>31</v>
      </c>
      <c r="Y41" s="3314">
        <v>104</v>
      </c>
      <c r="Z41" s="3313">
        <v>26</v>
      </c>
      <c r="AA41" s="3314">
        <v>87</v>
      </c>
      <c r="AB41" s="3313">
        <v>24</v>
      </c>
      <c r="AC41" s="3314">
        <v>84</v>
      </c>
      <c r="AD41" s="3313">
        <v>32</v>
      </c>
      <c r="AE41" s="3314">
        <v>88</v>
      </c>
      <c r="AF41" s="3313">
        <v>20</v>
      </c>
      <c r="AG41" s="3314">
        <v>82</v>
      </c>
      <c r="AH41" s="3313">
        <v>26</v>
      </c>
      <c r="AI41" s="3314">
        <v>75</v>
      </c>
      <c r="AJ41" s="3313">
        <v>41</v>
      </c>
      <c r="AK41" s="3314">
        <v>162</v>
      </c>
    </row>
    <row r="42" spans="1:37" ht="15" customHeight="1" x14ac:dyDescent="0.2">
      <c r="A42" s="6695"/>
      <c r="B42" s="6689"/>
      <c r="C42" s="3312" t="s">
        <v>477</v>
      </c>
      <c r="D42" s="3313">
        <v>0</v>
      </c>
      <c r="E42" s="3314">
        <v>0</v>
      </c>
      <c r="F42" s="3313">
        <v>6</v>
      </c>
      <c r="G42" s="3314">
        <v>6</v>
      </c>
      <c r="H42" s="3313">
        <v>8</v>
      </c>
      <c r="I42" s="3314">
        <v>13</v>
      </c>
      <c r="J42" s="3313">
        <v>4</v>
      </c>
      <c r="K42" s="3314">
        <v>16</v>
      </c>
      <c r="L42" s="3313">
        <v>7</v>
      </c>
      <c r="M42" s="3314">
        <v>21</v>
      </c>
      <c r="N42" s="3313">
        <v>13</v>
      </c>
      <c r="O42" s="3314">
        <v>32</v>
      </c>
      <c r="P42" s="3313">
        <v>15</v>
      </c>
      <c r="Q42" s="3314">
        <v>35</v>
      </c>
      <c r="R42" s="3313">
        <v>9</v>
      </c>
      <c r="S42" s="3314">
        <v>38</v>
      </c>
      <c r="T42" s="3313">
        <v>18</v>
      </c>
      <c r="U42" s="3314">
        <v>38</v>
      </c>
      <c r="V42" s="3313">
        <v>14</v>
      </c>
      <c r="W42" s="3314">
        <v>38</v>
      </c>
      <c r="X42" s="3313">
        <v>23</v>
      </c>
      <c r="Y42" s="3314">
        <v>45</v>
      </c>
      <c r="Z42" s="3313">
        <v>22</v>
      </c>
      <c r="AA42" s="3314">
        <v>54</v>
      </c>
      <c r="AB42" s="3313">
        <v>23</v>
      </c>
      <c r="AC42" s="3314">
        <v>66</v>
      </c>
      <c r="AD42" s="3313">
        <v>24</v>
      </c>
      <c r="AE42" s="3314">
        <v>74</v>
      </c>
      <c r="AF42" s="3313">
        <v>22</v>
      </c>
      <c r="AG42" s="3314">
        <v>72</v>
      </c>
      <c r="AH42" s="3313">
        <v>33</v>
      </c>
      <c r="AI42" s="3314">
        <v>71</v>
      </c>
      <c r="AJ42" s="3313">
        <v>28</v>
      </c>
      <c r="AK42" s="3314">
        <v>190</v>
      </c>
    </row>
    <row r="43" spans="1:37" ht="15" customHeight="1" x14ac:dyDescent="0.2">
      <c r="A43" s="6695"/>
      <c r="B43" s="6689"/>
      <c r="C43" s="3312" t="s">
        <v>473</v>
      </c>
      <c r="D43" s="3313">
        <v>3</v>
      </c>
      <c r="E43" s="3314">
        <v>3</v>
      </c>
      <c r="F43" s="3313">
        <v>10</v>
      </c>
      <c r="G43" s="3314">
        <v>12</v>
      </c>
      <c r="H43" s="3313">
        <v>8</v>
      </c>
      <c r="I43" s="3314">
        <v>18</v>
      </c>
      <c r="J43" s="3313">
        <v>13</v>
      </c>
      <c r="K43" s="3314">
        <v>27</v>
      </c>
      <c r="L43" s="3313">
        <v>16</v>
      </c>
      <c r="M43" s="3314">
        <v>40</v>
      </c>
      <c r="N43" s="3313">
        <v>33</v>
      </c>
      <c r="O43" s="3314">
        <v>53</v>
      </c>
      <c r="P43" s="3313">
        <v>22</v>
      </c>
      <c r="Q43" s="3314">
        <v>63</v>
      </c>
      <c r="R43" s="3313">
        <v>14</v>
      </c>
      <c r="S43" s="3314">
        <v>61</v>
      </c>
      <c r="T43" s="3313">
        <v>28</v>
      </c>
      <c r="U43" s="3314">
        <v>69</v>
      </c>
      <c r="V43" s="3313">
        <v>36</v>
      </c>
      <c r="W43" s="3314">
        <v>83</v>
      </c>
      <c r="X43" s="3313">
        <v>36</v>
      </c>
      <c r="Y43" s="3314">
        <v>102</v>
      </c>
      <c r="Z43" s="3313">
        <v>28</v>
      </c>
      <c r="AA43" s="3314">
        <v>100</v>
      </c>
      <c r="AB43" s="3313">
        <v>39</v>
      </c>
      <c r="AC43" s="3314">
        <v>102</v>
      </c>
      <c r="AD43" s="3313">
        <v>21</v>
      </c>
      <c r="AE43" s="3314">
        <v>98</v>
      </c>
      <c r="AF43" s="3313">
        <v>48</v>
      </c>
      <c r="AG43" s="3314">
        <v>120</v>
      </c>
      <c r="AH43" s="3313">
        <v>23</v>
      </c>
      <c r="AI43" s="3314">
        <v>102</v>
      </c>
      <c r="AJ43" s="3313">
        <v>46</v>
      </c>
      <c r="AK43" s="3314">
        <v>108</v>
      </c>
    </row>
    <row r="44" spans="1:37" ht="15" customHeight="1" x14ac:dyDescent="0.2">
      <c r="A44" s="6695"/>
      <c r="B44" s="6689"/>
      <c r="C44" s="3312" t="s">
        <v>471</v>
      </c>
      <c r="D44" s="3313">
        <v>4</v>
      </c>
      <c r="E44" s="3314">
        <v>3</v>
      </c>
      <c r="F44" s="3313">
        <v>9</v>
      </c>
      <c r="G44" s="3314">
        <v>13</v>
      </c>
      <c r="H44" s="3313">
        <v>11</v>
      </c>
      <c r="I44" s="3314">
        <v>19</v>
      </c>
      <c r="J44" s="3313">
        <v>5</v>
      </c>
      <c r="K44" s="3314">
        <v>24</v>
      </c>
      <c r="L44" s="3313">
        <v>13</v>
      </c>
      <c r="M44" s="3314">
        <v>34</v>
      </c>
      <c r="N44" s="3313">
        <v>26</v>
      </c>
      <c r="O44" s="3314">
        <v>48</v>
      </c>
      <c r="P44" s="3313">
        <v>20</v>
      </c>
      <c r="Q44" s="3314">
        <v>53</v>
      </c>
      <c r="R44" s="3313">
        <v>13</v>
      </c>
      <c r="S44" s="3314">
        <v>52</v>
      </c>
      <c r="T44" s="3313">
        <v>16</v>
      </c>
      <c r="U44" s="3314">
        <v>49</v>
      </c>
      <c r="V44" s="3313">
        <v>29</v>
      </c>
      <c r="W44" s="3314">
        <v>68</v>
      </c>
      <c r="X44" s="3313">
        <v>24</v>
      </c>
      <c r="Y44" s="3314">
        <v>72</v>
      </c>
      <c r="Z44" s="3313">
        <v>15</v>
      </c>
      <c r="AA44" s="3314">
        <v>62</v>
      </c>
      <c r="AB44" s="3313">
        <v>17</v>
      </c>
      <c r="AC44" s="3314">
        <v>59</v>
      </c>
      <c r="AD44" s="3313">
        <v>20</v>
      </c>
      <c r="AE44" s="3314">
        <v>56</v>
      </c>
      <c r="AF44" s="3313">
        <v>27</v>
      </c>
      <c r="AG44" s="3314">
        <v>68</v>
      </c>
      <c r="AH44" s="3313">
        <v>36</v>
      </c>
      <c r="AI44" s="3314">
        <v>81</v>
      </c>
      <c r="AJ44" s="3313">
        <v>28</v>
      </c>
      <c r="AK44" s="3314">
        <v>61</v>
      </c>
    </row>
    <row r="45" spans="1:37" ht="15" customHeight="1" x14ac:dyDescent="0.2">
      <c r="A45" s="6695"/>
      <c r="B45" s="6689"/>
      <c r="C45" s="3312" t="s">
        <v>474</v>
      </c>
      <c r="D45" s="3313">
        <v>2</v>
      </c>
      <c r="E45" s="3314">
        <v>2</v>
      </c>
      <c r="F45" s="3313">
        <v>5</v>
      </c>
      <c r="G45" s="3314">
        <v>7</v>
      </c>
      <c r="H45" s="3313">
        <v>6</v>
      </c>
      <c r="I45" s="3314">
        <v>11</v>
      </c>
      <c r="J45" s="3313">
        <v>4</v>
      </c>
      <c r="K45" s="3314">
        <v>13</v>
      </c>
      <c r="L45" s="3313">
        <v>5</v>
      </c>
      <c r="M45" s="3314">
        <v>16</v>
      </c>
      <c r="N45" s="3313">
        <v>14</v>
      </c>
      <c r="O45" s="3314">
        <v>22</v>
      </c>
      <c r="P45" s="3313">
        <v>7</v>
      </c>
      <c r="Q45" s="3314">
        <v>24</v>
      </c>
      <c r="R45" s="3313">
        <v>7</v>
      </c>
      <c r="S45" s="3314">
        <v>24</v>
      </c>
      <c r="T45" s="3313">
        <v>17</v>
      </c>
      <c r="U45" s="3314">
        <v>26</v>
      </c>
      <c r="V45" s="3313">
        <v>28</v>
      </c>
      <c r="W45" s="3314">
        <v>48</v>
      </c>
      <c r="X45" s="3313">
        <v>21</v>
      </c>
      <c r="Y45" s="3314">
        <v>56</v>
      </c>
      <c r="Z45" s="3313">
        <v>14</v>
      </c>
      <c r="AA45" s="3314">
        <v>55</v>
      </c>
      <c r="AB45" s="3313">
        <v>14</v>
      </c>
      <c r="AC45" s="3314">
        <v>44</v>
      </c>
      <c r="AD45" s="3313">
        <v>17</v>
      </c>
      <c r="AE45" s="3314">
        <v>44</v>
      </c>
      <c r="AF45" s="3313">
        <v>15</v>
      </c>
      <c r="AG45" s="3314">
        <v>43</v>
      </c>
      <c r="AH45" s="3313">
        <v>29</v>
      </c>
      <c r="AI45" s="3314">
        <v>62</v>
      </c>
      <c r="AJ45" s="3313">
        <v>29</v>
      </c>
      <c r="AK45" s="3314">
        <v>192</v>
      </c>
    </row>
    <row r="46" spans="1:37" ht="15" customHeight="1" x14ac:dyDescent="0.2">
      <c r="A46" s="6695"/>
      <c r="B46" s="6689"/>
      <c r="C46" s="3312" t="s">
        <v>476</v>
      </c>
      <c r="D46" s="3313">
        <v>4</v>
      </c>
      <c r="E46" s="3314">
        <v>4</v>
      </c>
      <c r="F46" s="3313">
        <v>23</v>
      </c>
      <c r="G46" s="3314">
        <v>26</v>
      </c>
      <c r="H46" s="3313">
        <v>24</v>
      </c>
      <c r="I46" s="3314">
        <v>42</v>
      </c>
      <c r="J46" s="3313">
        <v>27</v>
      </c>
      <c r="K46" s="3314">
        <v>59</v>
      </c>
      <c r="L46" s="3313">
        <v>23</v>
      </c>
      <c r="M46" s="3314">
        <v>75</v>
      </c>
      <c r="N46" s="3313">
        <v>64</v>
      </c>
      <c r="O46" s="3314">
        <v>115</v>
      </c>
      <c r="P46" s="3313">
        <v>52</v>
      </c>
      <c r="Q46" s="3314">
        <v>145</v>
      </c>
      <c r="R46" s="3313">
        <v>84</v>
      </c>
      <c r="S46" s="3314">
        <v>178</v>
      </c>
      <c r="T46" s="3313">
        <v>107</v>
      </c>
      <c r="U46" s="3314">
        <v>228</v>
      </c>
      <c r="V46" s="3313">
        <v>140</v>
      </c>
      <c r="W46" s="3314">
        <v>307</v>
      </c>
      <c r="X46" s="3313">
        <v>105</v>
      </c>
      <c r="Y46" s="3314">
        <v>358</v>
      </c>
      <c r="Z46" s="3313">
        <v>80</v>
      </c>
      <c r="AA46" s="3314">
        <v>351</v>
      </c>
      <c r="AB46" s="3313">
        <v>101</v>
      </c>
      <c r="AC46" s="3314">
        <v>332</v>
      </c>
      <c r="AD46" s="3313">
        <v>101</v>
      </c>
      <c r="AE46" s="3314">
        <v>344</v>
      </c>
      <c r="AF46" s="3313">
        <v>106</v>
      </c>
      <c r="AG46" s="3314">
        <v>345</v>
      </c>
      <c r="AH46" s="3313">
        <v>109</v>
      </c>
      <c r="AI46" s="3314">
        <v>370</v>
      </c>
      <c r="AJ46" s="3313">
        <v>94</v>
      </c>
      <c r="AK46" s="3314">
        <v>351</v>
      </c>
    </row>
    <row r="47" spans="1:37" ht="15" customHeight="1" x14ac:dyDescent="0.2">
      <c r="A47" s="6695"/>
      <c r="B47" s="6689"/>
      <c r="C47" s="3312" t="s">
        <v>459</v>
      </c>
      <c r="D47" s="3313">
        <v>1</v>
      </c>
      <c r="E47" s="3314">
        <v>1</v>
      </c>
      <c r="F47" s="3313">
        <v>13</v>
      </c>
      <c r="G47" s="3314">
        <v>14</v>
      </c>
      <c r="H47" s="3313">
        <v>17</v>
      </c>
      <c r="I47" s="3314">
        <v>28</v>
      </c>
      <c r="J47" s="3313">
        <v>8</v>
      </c>
      <c r="K47" s="3314">
        <v>33</v>
      </c>
      <c r="L47" s="3313">
        <v>18</v>
      </c>
      <c r="M47" s="3314">
        <v>42</v>
      </c>
      <c r="N47" s="3313">
        <v>37</v>
      </c>
      <c r="O47" s="3314">
        <v>65</v>
      </c>
      <c r="P47" s="3313">
        <v>21</v>
      </c>
      <c r="Q47" s="3314">
        <v>70</v>
      </c>
      <c r="R47" s="3313">
        <v>47</v>
      </c>
      <c r="S47" s="3314">
        <v>96</v>
      </c>
      <c r="T47" s="3313">
        <v>57</v>
      </c>
      <c r="U47" s="3314">
        <v>128</v>
      </c>
      <c r="V47" s="3313">
        <v>77</v>
      </c>
      <c r="W47" s="3314">
        <v>167</v>
      </c>
      <c r="X47" s="3313">
        <v>54</v>
      </c>
      <c r="Y47" s="3314">
        <v>184</v>
      </c>
      <c r="Z47" s="3313">
        <v>39</v>
      </c>
      <c r="AA47" s="3314">
        <v>166</v>
      </c>
      <c r="AB47" s="3313">
        <v>54</v>
      </c>
      <c r="AC47" s="3314">
        <v>175</v>
      </c>
      <c r="AD47" s="3313">
        <v>58</v>
      </c>
      <c r="AE47" s="3314">
        <v>176</v>
      </c>
      <c r="AF47" s="3313">
        <v>50</v>
      </c>
      <c r="AG47" s="3314">
        <v>183</v>
      </c>
      <c r="AH47" s="3313">
        <v>61</v>
      </c>
      <c r="AI47" s="3314">
        <v>184</v>
      </c>
      <c r="AJ47" s="3313">
        <v>56</v>
      </c>
      <c r="AK47" s="3314">
        <v>76</v>
      </c>
    </row>
    <row r="48" spans="1:37" ht="15" customHeight="1" x14ac:dyDescent="0.2">
      <c r="A48" s="6695"/>
      <c r="B48" s="6690"/>
      <c r="C48" s="3318" t="s">
        <v>160</v>
      </c>
      <c r="D48" s="3319">
        <f>SUM(D37:D47)</f>
        <v>35</v>
      </c>
      <c r="E48" s="3320">
        <f t="shared" ref="E48:AA48" si="14">SUM(E37:E47)</f>
        <v>34</v>
      </c>
      <c r="F48" s="3319">
        <f t="shared" si="14"/>
        <v>129</v>
      </c>
      <c r="G48" s="3320">
        <f t="shared" si="14"/>
        <v>157</v>
      </c>
      <c r="H48" s="3319">
        <f t="shared" si="14"/>
        <v>139</v>
      </c>
      <c r="I48" s="3320">
        <f t="shared" si="14"/>
        <v>267</v>
      </c>
      <c r="J48" s="3319">
        <f t="shared" si="14"/>
        <v>116</v>
      </c>
      <c r="K48" s="3320">
        <f t="shared" si="14"/>
        <v>339</v>
      </c>
      <c r="L48" s="3319">
        <f t="shared" si="14"/>
        <v>166</v>
      </c>
      <c r="M48" s="3320">
        <f t="shared" si="14"/>
        <v>449</v>
      </c>
      <c r="N48" s="3319">
        <f t="shared" si="14"/>
        <v>418</v>
      </c>
      <c r="O48" s="3320">
        <f t="shared" si="14"/>
        <v>710</v>
      </c>
      <c r="P48" s="3319">
        <f t="shared" si="14"/>
        <v>288</v>
      </c>
      <c r="Q48" s="3320">
        <f t="shared" si="14"/>
        <v>836</v>
      </c>
      <c r="R48" s="3319">
        <f t="shared" si="14"/>
        <v>369</v>
      </c>
      <c r="S48" s="3320">
        <f t="shared" si="14"/>
        <v>949</v>
      </c>
      <c r="T48" s="3319">
        <f t="shared" si="14"/>
        <v>528</v>
      </c>
      <c r="U48" s="3320">
        <f t="shared" si="14"/>
        <v>1173</v>
      </c>
      <c r="V48" s="3319">
        <f t="shared" si="14"/>
        <v>705</v>
      </c>
      <c r="W48" s="3320">
        <f t="shared" si="14"/>
        <v>1584</v>
      </c>
      <c r="X48" s="3319">
        <f t="shared" si="14"/>
        <v>569</v>
      </c>
      <c r="Y48" s="3320">
        <f t="shared" si="14"/>
        <v>1781</v>
      </c>
      <c r="Z48" s="3319">
        <f t="shared" si="14"/>
        <v>445</v>
      </c>
      <c r="AA48" s="3320">
        <f t="shared" si="14"/>
        <v>1738</v>
      </c>
      <c r="AB48" s="3319">
        <f t="shared" ref="AB48:AG48" si="15">SUM(AB37:AB47)</f>
        <v>510</v>
      </c>
      <c r="AC48" s="3320">
        <f t="shared" si="15"/>
        <v>1688</v>
      </c>
      <c r="AD48" s="3319">
        <f t="shared" si="15"/>
        <v>545</v>
      </c>
      <c r="AE48" s="3320">
        <f t="shared" si="15"/>
        <v>1735</v>
      </c>
      <c r="AF48" s="3319">
        <f t="shared" si="15"/>
        <v>539</v>
      </c>
      <c r="AG48" s="3320">
        <f t="shared" si="15"/>
        <v>1764</v>
      </c>
      <c r="AH48" s="3319">
        <f>SUM(AH37:AH47)</f>
        <v>590</v>
      </c>
      <c r="AI48" s="3320">
        <f>SUM(AI37:AI47)</f>
        <v>1827</v>
      </c>
      <c r="AJ48" s="3319">
        <f t="shared" ref="AJ48:AK48" si="16">SUM(AJ37:AJ47)</f>
        <v>615</v>
      </c>
      <c r="AK48" s="3320">
        <f t="shared" si="16"/>
        <v>1898</v>
      </c>
    </row>
    <row r="49" spans="1:37" ht="15" customHeight="1" x14ac:dyDescent="0.2">
      <c r="A49" s="6695"/>
      <c r="B49" s="6691" t="s">
        <v>357</v>
      </c>
      <c r="C49" s="3312" t="s">
        <v>478</v>
      </c>
      <c r="D49" s="3313">
        <v>1</v>
      </c>
      <c r="E49" s="3314">
        <v>1</v>
      </c>
      <c r="F49" s="3313">
        <v>14</v>
      </c>
      <c r="G49" s="3314">
        <v>13</v>
      </c>
      <c r="H49" s="3313">
        <v>12</v>
      </c>
      <c r="I49" s="3314">
        <v>24</v>
      </c>
      <c r="J49" s="3313">
        <v>18</v>
      </c>
      <c r="K49" s="3314">
        <v>37</v>
      </c>
      <c r="L49" s="3313">
        <v>30</v>
      </c>
      <c r="M49" s="3314">
        <v>51</v>
      </c>
      <c r="N49" s="3313">
        <v>46</v>
      </c>
      <c r="O49" s="3314">
        <v>75</v>
      </c>
      <c r="P49" s="3313">
        <v>33</v>
      </c>
      <c r="Q49" s="3314">
        <v>88</v>
      </c>
      <c r="R49" s="3313">
        <v>34</v>
      </c>
      <c r="S49" s="3314">
        <v>93</v>
      </c>
      <c r="T49" s="3313">
        <v>48</v>
      </c>
      <c r="U49" s="3314">
        <v>103</v>
      </c>
      <c r="V49" s="3313">
        <v>83</v>
      </c>
      <c r="W49" s="3314">
        <v>137</v>
      </c>
      <c r="X49" s="3313">
        <v>72</v>
      </c>
      <c r="Y49" s="3314">
        <v>170</v>
      </c>
      <c r="Z49" s="3313">
        <v>60</v>
      </c>
      <c r="AA49" s="3314">
        <v>157</v>
      </c>
      <c r="AB49" s="3313">
        <v>56</v>
      </c>
      <c r="AC49" s="3314">
        <v>159</v>
      </c>
      <c r="AD49" s="3313">
        <v>66</v>
      </c>
      <c r="AE49" s="3314">
        <v>176</v>
      </c>
      <c r="AF49" s="3313">
        <v>66</v>
      </c>
      <c r="AG49" s="3314">
        <v>181</v>
      </c>
      <c r="AH49" s="3313">
        <v>77</v>
      </c>
      <c r="AI49" s="3314">
        <v>186</v>
      </c>
      <c r="AJ49" s="3313">
        <v>55</v>
      </c>
      <c r="AK49" s="3314">
        <v>191</v>
      </c>
    </row>
    <row r="50" spans="1:37" ht="15" customHeight="1" x14ac:dyDescent="0.2">
      <c r="A50" s="6695"/>
      <c r="B50" s="6689"/>
      <c r="C50" s="3312" t="s">
        <v>479</v>
      </c>
      <c r="D50" s="3313">
        <v>0</v>
      </c>
      <c r="E50" s="3314">
        <v>0</v>
      </c>
      <c r="F50" s="3313">
        <v>15</v>
      </c>
      <c r="G50" s="3314">
        <v>15</v>
      </c>
      <c r="H50" s="3313">
        <v>9</v>
      </c>
      <c r="I50" s="3314">
        <v>22</v>
      </c>
      <c r="J50" s="3313">
        <v>17</v>
      </c>
      <c r="K50" s="3314">
        <v>32</v>
      </c>
      <c r="L50" s="3313">
        <v>26</v>
      </c>
      <c r="M50" s="3314">
        <v>49</v>
      </c>
      <c r="N50" s="3313">
        <v>34</v>
      </c>
      <c r="O50" s="3314">
        <v>67</v>
      </c>
      <c r="P50" s="3313">
        <v>28</v>
      </c>
      <c r="Q50" s="3314">
        <v>84</v>
      </c>
      <c r="R50" s="3313">
        <v>20</v>
      </c>
      <c r="S50" s="3314">
        <v>75</v>
      </c>
      <c r="T50" s="3313">
        <v>51</v>
      </c>
      <c r="U50" s="3314">
        <v>80</v>
      </c>
      <c r="V50" s="3313">
        <v>46</v>
      </c>
      <c r="W50" s="3314">
        <v>100</v>
      </c>
      <c r="X50" s="3313">
        <v>55</v>
      </c>
      <c r="Y50" s="3314">
        <v>116</v>
      </c>
      <c r="Z50" s="3313">
        <v>50</v>
      </c>
      <c r="AA50" s="3314">
        <v>130</v>
      </c>
      <c r="AB50" s="3313">
        <v>52</v>
      </c>
      <c r="AC50" s="3314">
        <v>139</v>
      </c>
      <c r="AD50" s="3313">
        <v>50</v>
      </c>
      <c r="AE50" s="3314">
        <v>141</v>
      </c>
      <c r="AF50" s="3313">
        <v>44</v>
      </c>
      <c r="AG50" s="3314">
        <v>136</v>
      </c>
      <c r="AH50" s="3313">
        <v>79</v>
      </c>
      <c r="AI50" s="3314">
        <v>169</v>
      </c>
      <c r="AJ50" s="3313">
        <v>56</v>
      </c>
      <c r="AK50" s="3314">
        <v>180</v>
      </c>
    </row>
    <row r="51" spans="1:37" ht="15" customHeight="1" x14ac:dyDescent="0.2">
      <c r="A51" s="6695"/>
      <c r="B51" s="6689"/>
      <c r="C51" s="3312" t="s">
        <v>480</v>
      </c>
      <c r="D51" s="3313">
        <v>1</v>
      </c>
      <c r="E51" s="3314">
        <v>1</v>
      </c>
      <c r="F51" s="3313">
        <v>5</v>
      </c>
      <c r="G51" s="3314">
        <v>6</v>
      </c>
      <c r="H51" s="3313">
        <v>3</v>
      </c>
      <c r="I51" s="3314">
        <v>8</v>
      </c>
      <c r="J51" s="3313">
        <v>6</v>
      </c>
      <c r="K51" s="3314">
        <v>11</v>
      </c>
      <c r="L51" s="3313">
        <v>9</v>
      </c>
      <c r="M51" s="3314">
        <v>14</v>
      </c>
      <c r="N51" s="3313">
        <v>21</v>
      </c>
      <c r="O51" s="3314">
        <v>32</v>
      </c>
      <c r="P51" s="3313">
        <v>15</v>
      </c>
      <c r="Q51" s="3314">
        <v>42</v>
      </c>
      <c r="R51" s="3313">
        <v>5</v>
      </c>
      <c r="S51" s="3314">
        <v>28</v>
      </c>
      <c r="T51" s="3313">
        <v>12</v>
      </c>
      <c r="U51" s="3314">
        <v>25</v>
      </c>
      <c r="V51" s="3313">
        <v>39</v>
      </c>
      <c r="W51" s="3314">
        <v>52</v>
      </c>
      <c r="X51" s="3313">
        <v>51</v>
      </c>
      <c r="Y51" s="3314">
        <v>93</v>
      </c>
      <c r="Z51" s="3313">
        <v>53</v>
      </c>
      <c r="AA51" s="3314">
        <v>118</v>
      </c>
      <c r="AB51" s="3313">
        <v>43</v>
      </c>
      <c r="AC51" s="3314">
        <v>121</v>
      </c>
      <c r="AD51" s="3313">
        <v>53</v>
      </c>
      <c r="AE51" s="3314">
        <v>132</v>
      </c>
      <c r="AF51" s="3313">
        <v>44</v>
      </c>
      <c r="AG51" s="3314">
        <v>135</v>
      </c>
      <c r="AH51" s="3313">
        <v>53</v>
      </c>
      <c r="AI51" s="3314">
        <v>147</v>
      </c>
      <c r="AJ51" s="3313">
        <v>41</v>
      </c>
      <c r="AK51" s="3314">
        <v>144</v>
      </c>
    </row>
    <row r="52" spans="1:37" ht="15" customHeight="1" x14ac:dyDescent="0.2">
      <c r="A52" s="6695"/>
      <c r="B52" s="6689"/>
      <c r="C52" s="3312" t="s">
        <v>482</v>
      </c>
      <c r="D52" s="3313">
        <v>1</v>
      </c>
      <c r="E52" s="3314">
        <v>1</v>
      </c>
      <c r="F52" s="3313">
        <v>21</v>
      </c>
      <c r="G52" s="3314">
        <v>21</v>
      </c>
      <c r="H52" s="3313">
        <v>24</v>
      </c>
      <c r="I52" s="3314">
        <v>38</v>
      </c>
      <c r="J52" s="3313">
        <v>26</v>
      </c>
      <c r="K52" s="3314">
        <v>59</v>
      </c>
      <c r="L52" s="3313">
        <v>31</v>
      </c>
      <c r="M52" s="3314">
        <v>67</v>
      </c>
      <c r="N52" s="3313">
        <v>59</v>
      </c>
      <c r="O52" s="3314">
        <v>100</v>
      </c>
      <c r="P52" s="3313">
        <v>38</v>
      </c>
      <c r="Q52" s="3314">
        <v>111</v>
      </c>
      <c r="R52" s="3313">
        <v>40</v>
      </c>
      <c r="S52" s="3314">
        <v>101</v>
      </c>
      <c r="T52" s="3313">
        <v>60</v>
      </c>
      <c r="U52" s="3314">
        <v>121</v>
      </c>
      <c r="V52" s="3313">
        <v>98</v>
      </c>
      <c r="W52" s="3314">
        <v>181</v>
      </c>
      <c r="X52" s="3313">
        <v>87</v>
      </c>
      <c r="Y52" s="3314">
        <v>206</v>
      </c>
      <c r="Z52" s="3313">
        <v>93</v>
      </c>
      <c r="AA52" s="3314">
        <v>232</v>
      </c>
      <c r="AB52" s="3313">
        <v>79</v>
      </c>
      <c r="AC52" s="3314">
        <v>238</v>
      </c>
      <c r="AD52" s="3313">
        <v>80</v>
      </c>
      <c r="AE52" s="3314">
        <v>225</v>
      </c>
      <c r="AF52" s="3313">
        <v>70</v>
      </c>
      <c r="AG52" s="3314">
        <v>221</v>
      </c>
      <c r="AH52" s="3313">
        <v>109</v>
      </c>
      <c r="AI52" s="3314">
        <v>234</v>
      </c>
      <c r="AJ52" s="3313">
        <v>86</v>
      </c>
      <c r="AK52" s="3314">
        <v>112</v>
      </c>
    </row>
    <row r="53" spans="1:37" ht="15" customHeight="1" x14ac:dyDescent="0.2">
      <c r="A53" s="6695"/>
      <c r="B53" s="6689"/>
      <c r="C53" s="3312" t="s">
        <v>483</v>
      </c>
      <c r="D53" s="3313">
        <v>2</v>
      </c>
      <c r="E53" s="3314">
        <v>2</v>
      </c>
      <c r="F53" s="3313">
        <v>29</v>
      </c>
      <c r="G53" s="3314">
        <v>28</v>
      </c>
      <c r="H53" s="3313">
        <v>26</v>
      </c>
      <c r="I53" s="3314">
        <v>50</v>
      </c>
      <c r="J53" s="3313">
        <v>49</v>
      </c>
      <c r="K53" s="3314">
        <v>73</v>
      </c>
      <c r="L53" s="3313">
        <v>37</v>
      </c>
      <c r="M53" s="3314">
        <v>85</v>
      </c>
      <c r="N53" s="3313">
        <v>62</v>
      </c>
      <c r="O53" s="3314">
        <v>109</v>
      </c>
      <c r="P53" s="3313">
        <v>53</v>
      </c>
      <c r="Q53" s="3314">
        <v>129</v>
      </c>
      <c r="R53" s="3313">
        <v>35</v>
      </c>
      <c r="S53" s="3314">
        <v>118</v>
      </c>
      <c r="T53" s="3313">
        <v>77</v>
      </c>
      <c r="U53" s="3314">
        <v>136</v>
      </c>
      <c r="V53" s="3313">
        <v>103</v>
      </c>
      <c r="W53" s="3314">
        <v>186</v>
      </c>
      <c r="X53" s="3313">
        <v>96</v>
      </c>
      <c r="Y53" s="3314">
        <v>218</v>
      </c>
      <c r="Z53" s="3313">
        <v>91</v>
      </c>
      <c r="AA53" s="3314">
        <v>230</v>
      </c>
      <c r="AB53" s="3313">
        <v>87</v>
      </c>
      <c r="AC53" s="3314">
        <v>233</v>
      </c>
      <c r="AD53" s="3313">
        <v>94</v>
      </c>
      <c r="AE53" s="3314">
        <v>218</v>
      </c>
      <c r="AF53" s="3313">
        <v>80</v>
      </c>
      <c r="AG53" s="3314">
        <v>213</v>
      </c>
      <c r="AH53" s="3313">
        <v>85</v>
      </c>
      <c r="AI53" s="3314">
        <v>201</v>
      </c>
      <c r="AJ53" s="3313">
        <v>84</v>
      </c>
      <c r="AK53" s="3314">
        <v>246</v>
      </c>
    </row>
    <row r="54" spans="1:37" ht="15" customHeight="1" x14ac:dyDescent="0.2">
      <c r="A54" s="6695"/>
      <c r="B54" s="6689"/>
      <c r="C54" s="3312" t="s">
        <v>481</v>
      </c>
      <c r="D54" s="3313">
        <v>1</v>
      </c>
      <c r="E54" s="3314">
        <v>1</v>
      </c>
      <c r="F54" s="3313">
        <v>3</v>
      </c>
      <c r="G54" s="3314">
        <v>4</v>
      </c>
      <c r="H54" s="3313">
        <v>1</v>
      </c>
      <c r="I54" s="3314">
        <v>3</v>
      </c>
      <c r="J54" s="3313">
        <v>4</v>
      </c>
      <c r="K54" s="3314">
        <v>5</v>
      </c>
      <c r="L54" s="3313">
        <v>5</v>
      </c>
      <c r="M54" s="3314">
        <v>8</v>
      </c>
      <c r="N54" s="3313">
        <v>8</v>
      </c>
      <c r="O54" s="3314">
        <v>10</v>
      </c>
      <c r="P54" s="3313">
        <v>7</v>
      </c>
      <c r="Q54" s="3314">
        <v>16</v>
      </c>
      <c r="R54" s="3313">
        <v>5</v>
      </c>
      <c r="S54" s="3314">
        <v>17</v>
      </c>
      <c r="T54" s="3313">
        <v>7</v>
      </c>
      <c r="U54" s="3314">
        <v>15</v>
      </c>
      <c r="V54" s="3313">
        <v>34</v>
      </c>
      <c r="W54" s="3314">
        <v>41</v>
      </c>
      <c r="X54" s="3313">
        <v>27</v>
      </c>
      <c r="Y54" s="3314">
        <v>55</v>
      </c>
      <c r="Z54" s="3313">
        <v>34</v>
      </c>
      <c r="AA54" s="3314">
        <v>59</v>
      </c>
      <c r="AB54" s="3313">
        <v>48</v>
      </c>
      <c r="AC54" s="3314">
        <v>88</v>
      </c>
      <c r="AD54" s="3313">
        <v>40</v>
      </c>
      <c r="AE54" s="3314">
        <v>110</v>
      </c>
      <c r="AF54" s="3313">
        <v>41</v>
      </c>
      <c r="AG54" s="3314">
        <v>119</v>
      </c>
      <c r="AH54" s="3313">
        <v>27</v>
      </c>
      <c r="AI54" s="3314">
        <v>111</v>
      </c>
      <c r="AJ54" s="3313">
        <v>26</v>
      </c>
      <c r="AK54" s="3314">
        <v>205</v>
      </c>
    </row>
    <row r="55" spans="1:37" ht="15" customHeight="1" x14ac:dyDescent="0.2">
      <c r="A55" s="6695"/>
      <c r="B55" s="6689"/>
      <c r="C55" s="3321" t="s">
        <v>160</v>
      </c>
      <c r="D55" s="3322">
        <f>SUM(D49:D54)</f>
        <v>6</v>
      </c>
      <c r="E55" s="3323">
        <f t="shared" ref="E55:AA55" si="17">SUM(E49:E54)</f>
        <v>6</v>
      </c>
      <c r="F55" s="3322">
        <f t="shared" si="17"/>
        <v>87</v>
      </c>
      <c r="G55" s="3323">
        <f t="shared" si="17"/>
        <v>87</v>
      </c>
      <c r="H55" s="3322">
        <f t="shared" si="17"/>
        <v>75</v>
      </c>
      <c r="I55" s="3323">
        <f t="shared" si="17"/>
        <v>145</v>
      </c>
      <c r="J55" s="3322">
        <f t="shared" si="17"/>
        <v>120</v>
      </c>
      <c r="K55" s="3323">
        <f t="shared" si="17"/>
        <v>217</v>
      </c>
      <c r="L55" s="3322">
        <f t="shared" si="17"/>
        <v>138</v>
      </c>
      <c r="M55" s="3323">
        <f t="shared" si="17"/>
        <v>274</v>
      </c>
      <c r="N55" s="3322">
        <f t="shared" si="17"/>
        <v>230</v>
      </c>
      <c r="O55" s="3323">
        <f t="shared" si="17"/>
        <v>393</v>
      </c>
      <c r="P55" s="3322">
        <f t="shared" si="17"/>
        <v>174</v>
      </c>
      <c r="Q55" s="3323">
        <f t="shared" si="17"/>
        <v>470</v>
      </c>
      <c r="R55" s="3322">
        <f t="shared" si="17"/>
        <v>139</v>
      </c>
      <c r="S55" s="3323">
        <f t="shared" si="17"/>
        <v>432</v>
      </c>
      <c r="T55" s="3322">
        <f t="shared" si="17"/>
        <v>255</v>
      </c>
      <c r="U55" s="3323">
        <f t="shared" si="17"/>
        <v>480</v>
      </c>
      <c r="V55" s="3322">
        <f t="shared" si="17"/>
        <v>403</v>
      </c>
      <c r="W55" s="3323">
        <f t="shared" si="17"/>
        <v>697</v>
      </c>
      <c r="X55" s="3322">
        <f t="shared" si="17"/>
        <v>388</v>
      </c>
      <c r="Y55" s="3323">
        <f t="shared" si="17"/>
        <v>858</v>
      </c>
      <c r="Z55" s="3322">
        <f t="shared" si="17"/>
        <v>381</v>
      </c>
      <c r="AA55" s="3323">
        <f t="shared" si="17"/>
        <v>926</v>
      </c>
      <c r="AB55" s="3322">
        <f t="shared" ref="AB55:AG55" si="18">SUM(AB49:AB54)</f>
        <v>365</v>
      </c>
      <c r="AC55" s="3323">
        <f t="shared" si="18"/>
        <v>978</v>
      </c>
      <c r="AD55" s="3322">
        <f t="shared" si="18"/>
        <v>383</v>
      </c>
      <c r="AE55" s="3323">
        <f t="shared" si="18"/>
        <v>1002</v>
      </c>
      <c r="AF55" s="3322">
        <f t="shared" si="18"/>
        <v>345</v>
      </c>
      <c r="AG55" s="3323">
        <f t="shared" si="18"/>
        <v>1005</v>
      </c>
      <c r="AH55" s="3322">
        <f>SUM(AH49:AH54)</f>
        <v>430</v>
      </c>
      <c r="AI55" s="3323">
        <f>SUM(AI49:AI54)</f>
        <v>1048</v>
      </c>
      <c r="AJ55" s="3322">
        <f t="shared" ref="AJ55:AK55" si="19">SUM(AJ49:AJ54)</f>
        <v>348</v>
      </c>
      <c r="AK55" s="3323">
        <f t="shared" si="19"/>
        <v>1078</v>
      </c>
    </row>
    <row r="56" spans="1:37" ht="15" customHeight="1" x14ac:dyDescent="0.2">
      <c r="A56" s="6696"/>
      <c r="B56" s="3346"/>
      <c r="C56" s="3347" t="s">
        <v>444</v>
      </c>
      <c r="D56" s="3348">
        <f>SUM(D55,D48,D36)</f>
        <v>59</v>
      </c>
      <c r="E56" s="3349">
        <f t="shared" ref="E56:AA56" si="20">SUM(E55,E48,E36)</f>
        <v>58</v>
      </c>
      <c r="F56" s="3348">
        <f t="shared" si="20"/>
        <v>286</v>
      </c>
      <c r="G56" s="3349">
        <f t="shared" si="20"/>
        <v>325</v>
      </c>
      <c r="H56" s="3348">
        <f t="shared" si="20"/>
        <v>303</v>
      </c>
      <c r="I56" s="3349">
        <f t="shared" si="20"/>
        <v>565</v>
      </c>
      <c r="J56" s="3348">
        <f t="shared" si="20"/>
        <v>344</v>
      </c>
      <c r="K56" s="3349">
        <f t="shared" si="20"/>
        <v>767</v>
      </c>
      <c r="L56" s="3348">
        <f t="shared" si="20"/>
        <v>448</v>
      </c>
      <c r="M56" s="3349">
        <f t="shared" si="20"/>
        <v>1005</v>
      </c>
      <c r="N56" s="3348">
        <f t="shared" si="20"/>
        <v>902</v>
      </c>
      <c r="O56" s="3349">
        <f t="shared" si="20"/>
        <v>1515</v>
      </c>
      <c r="P56" s="3348">
        <f t="shared" si="20"/>
        <v>659</v>
      </c>
      <c r="Q56" s="3349">
        <f t="shared" si="20"/>
        <v>1776</v>
      </c>
      <c r="R56" s="3348">
        <f t="shared" si="20"/>
        <v>688</v>
      </c>
      <c r="S56" s="3349">
        <f t="shared" si="20"/>
        <v>1809</v>
      </c>
      <c r="T56" s="3348">
        <f t="shared" si="20"/>
        <v>947</v>
      </c>
      <c r="U56" s="3349">
        <f t="shared" si="20"/>
        <v>2042</v>
      </c>
      <c r="V56" s="3348">
        <f t="shared" si="20"/>
        <v>1429</v>
      </c>
      <c r="W56" s="3349">
        <f t="shared" si="20"/>
        <v>2801</v>
      </c>
      <c r="X56" s="3348">
        <f t="shared" si="20"/>
        <v>1323</v>
      </c>
      <c r="Y56" s="3349">
        <f t="shared" si="20"/>
        <v>3345</v>
      </c>
      <c r="Z56" s="3348">
        <f t="shared" si="20"/>
        <v>1110</v>
      </c>
      <c r="AA56" s="3349">
        <f t="shared" si="20"/>
        <v>3333</v>
      </c>
      <c r="AB56" s="3348">
        <f t="shared" ref="AB56:AG56" si="21">SUM(AB55,AB48,AB36)</f>
        <v>1289</v>
      </c>
      <c r="AC56" s="3349">
        <f t="shared" si="21"/>
        <v>3498</v>
      </c>
      <c r="AD56" s="3348">
        <f t="shared" si="21"/>
        <v>1319</v>
      </c>
      <c r="AE56" s="3349">
        <f t="shared" si="21"/>
        <v>3693</v>
      </c>
      <c r="AF56" s="3348">
        <f t="shared" si="21"/>
        <v>1148</v>
      </c>
      <c r="AG56" s="3349">
        <f t="shared" si="21"/>
        <v>3663</v>
      </c>
      <c r="AH56" s="3348">
        <f>SUM(AH55,AH48,AH36)</f>
        <v>1375</v>
      </c>
      <c r="AI56" s="3349">
        <f>SUM(AI55,AI48,AI36)</f>
        <v>3744</v>
      </c>
      <c r="AJ56" s="3348">
        <f t="shared" ref="AJ56:AK56" si="22">SUM(AJ55,AJ48,AJ36)</f>
        <v>1295</v>
      </c>
      <c r="AK56" s="3349">
        <f t="shared" si="22"/>
        <v>3857</v>
      </c>
    </row>
    <row r="57" spans="1:37" ht="15" customHeight="1" x14ac:dyDescent="0.2">
      <c r="A57" s="6683" t="s">
        <v>10</v>
      </c>
      <c r="B57" s="6686" t="s">
        <v>429</v>
      </c>
      <c r="C57" s="3327" t="s">
        <v>456</v>
      </c>
      <c r="D57" s="3328">
        <v>3</v>
      </c>
      <c r="E57" s="3329">
        <v>3</v>
      </c>
      <c r="F57" s="3328">
        <v>15</v>
      </c>
      <c r="G57" s="3329">
        <v>16</v>
      </c>
      <c r="H57" s="3328">
        <v>20</v>
      </c>
      <c r="I57" s="3329">
        <v>32</v>
      </c>
      <c r="J57" s="3328">
        <v>21</v>
      </c>
      <c r="K57" s="3329">
        <v>49</v>
      </c>
      <c r="L57" s="3328">
        <v>22</v>
      </c>
      <c r="M57" s="3329">
        <v>56</v>
      </c>
      <c r="N57" s="3328">
        <v>64</v>
      </c>
      <c r="O57" s="3329">
        <v>101</v>
      </c>
      <c r="P57" s="3328">
        <v>36</v>
      </c>
      <c r="Q57" s="3329">
        <v>122</v>
      </c>
      <c r="R57" s="3328">
        <v>36</v>
      </c>
      <c r="S57" s="3329">
        <v>124</v>
      </c>
      <c r="T57" s="3328">
        <v>74</v>
      </c>
      <c r="U57" s="3329">
        <v>138</v>
      </c>
      <c r="V57" s="3328">
        <v>82</v>
      </c>
      <c r="W57" s="3329">
        <v>158</v>
      </c>
      <c r="X57" s="3328">
        <v>77</v>
      </c>
      <c r="Y57" s="3329">
        <v>195</v>
      </c>
      <c r="Z57" s="3328">
        <v>72</v>
      </c>
      <c r="AA57" s="3329">
        <v>205</v>
      </c>
      <c r="AB57" s="3328">
        <v>86</v>
      </c>
      <c r="AC57" s="3329">
        <v>237</v>
      </c>
      <c r="AD57" s="3328">
        <v>117</v>
      </c>
      <c r="AE57" s="3329">
        <v>257</v>
      </c>
      <c r="AF57" s="3328">
        <v>84</v>
      </c>
      <c r="AG57" s="3329">
        <v>273</v>
      </c>
      <c r="AH57" s="3328">
        <v>111</v>
      </c>
      <c r="AI57" s="3329">
        <v>302</v>
      </c>
      <c r="AJ57" s="3328">
        <v>113</v>
      </c>
      <c r="AK57" s="3329">
        <v>305</v>
      </c>
    </row>
    <row r="58" spans="1:37" ht="15" customHeight="1" x14ac:dyDescent="0.2">
      <c r="A58" s="6684"/>
      <c r="B58" s="6686"/>
      <c r="C58" s="3312" t="s">
        <v>484</v>
      </c>
      <c r="D58" s="3313">
        <v>1</v>
      </c>
      <c r="E58" s="3314">
        <v>1</v>
      </c>
      <c r="F58" s="3313">
        <v>24</v>
      </c>
      <c r="G58" s="3314">
        <v>24</v>
      </c>
      <c r="H58" s="3313">
        <v>21</v>
      </c>
      <c r="I58" s="3314">
        <v>45</v>
      </c>
      <c r="J58" s="3313">
        <v>21</v>
      </c>
      <c r="K58" s="3314">
        <v>57</v>
      </c>
      <c r="L58" s="3313">
        <v>25</v>
      </c>
      <c r="M58" s="3314">
        <v>65</v>
      </c>
      <c r="N58" s="3313">
        <v>88</v>
      </c>
      <c r="O58" s="3314">
        <v>143</v>
      </c>
      <c r="P58" s="3313">
        <v>35</v>
      </c>
      <c r="Q58" s="3314">
        <v>156</v>
      </c>
      <c r="R58" s="3313">
        <v>43</v>
      </c>
      <c r="S58" s="3314">
        <v>160</v>
      </c>
      <c r="T58" s="3313">
        <v>132</v>
      </c>
      <c r="U58" s="3314">
        <v>227</v>
      </c>
      <c r="V58" s="3313">
        <v>118</v>
      </c>
      <c r="W58" s="3314">
        <v>288</v>
      </c>
      <c r="X58" s="3313">
        <v>94</v>
      </c>
      <c r="Y58" s="3314">
        <v>322</v>
      </c>
      <c r="Z58" s="3313">
        <v>85</v>
      </c>
      <c r="AA58" s="3314">
        <v>338</v>
      </c>
      <c r="AB58" s="3313">
        <v>79</v>
      </c>
      <c r="AC58" s="3314">
        <v>319</v>
      </c>
      <c r="AD58" s="3313">
        <v>125</v>
      </c>
      <c r="AE58" s="3314">
        <v>342</v>
      </c>
      <c r="AF58" s="3313">
        <v>89</v>
      </c>
      <c r="AG58" s="3314">
        <v>333</v>
      </c>
      <c r="AH58" s="3313">
        <v>108</v>
      </c>
      <c r="AI58" s="3314">
        <v>350</v>
      </c>
      <c r="AJ58" s="3313">
        <v>115</v>
      </c>
      <c r="AK58" s="3314">
        <v>373</v>
      </c>
    </row>
    <row r="59" spans="1:37" ht="15" customHeight="1" x14ac:dyDescent="0.2">
      <c r="A59" s="6684"/>
      <c r="B59" s="6686"/>
      <c r="C59" s="3312" t="s">
        <v>458</v>
      </c>
      <c r="D59" s="3313">
        <v>3</v>
      </c>
      <c r="E59" s="3314">
        <v>3</v>
      </c>
      <c r="F59" s="3313">
        <v>14</v>
      </c>
      <c r="G59" s="3314">
        <v>17</v>
      </c>
      <c r="H59" s="3313">
        <v>20</v>
      </c>
      <c r="I59" s="3314">
        <v>34</v>
      </c>
      <c r="J59" s="3313">
        <v>15</v>
      </c>
      <c r="K59" s="3314">
        <v>39</v>
      </c>
      <c r="L59" s="3313">
        <v>20</v>
      </c>
      <c r="M59" s="3314">
        <v>47</v>
      </c>
      <c r="N59" s="3313">
        <v>51</v>
      </c>
      <c r="O59" s="3314">
        <v>80</v>
      </c>
      <c r="P59" s="3313">
        <v>51</v>
      </c>
      <c r="Q59" s="3314">
        <v>112</v>
      </c>
      <c r="R59" s="3313">
        <v>24</v>
      </c>
      <c r="S59" s="3314">
        <v>91</v>
      </c>
      <c r="T59" s="3313">
        <v>86</v>
      </c>
      <c r="U59" s="3314">
        <v>135</v>
      </c>
      <c r="V59" s="3313">
        <v>73</v>
      </c>
      <c r="W59" s="3314">
        <v>147</v>
      </c>
      <c r="X59" s="3313">
        <v>72</v>
      </c>
      <c r="Y59" s="3314">
        <v>163</v>
      </c>
      <c r="Z59" s="3313">
        <v>67</v>
      </c>
      <c r="AA59" s="3314">
        <v>162</v>
      </c>
      <c r="AB59" s="3313">
        <v>64</v>
      </c>
      <c r="AC59" s="3314">
        <v>139</v>
      </c>
      <c r="AD59" s="3313">
        <v>84</v>
      </c>
      <c r="AE59" s="3314">
        <v>160</v>
      </c>
      <c r="AF59" s="3313">
        <v>55</v>
      </c>
      <c r="AG59" s="3314">
        <v>160</v>
      </c>
      <c r="AH59" s="3313">
        <v>97</v>
      </c>
      <c r="AI59" s="3314">
        <v>182</v>
      </c>
      <c r="AJ59" s="3313">
        <v>97</v>
      </c>
      <c r="AK59" s="3314">
        <v>194</v>
      </c>
    </row>
    <row r="60" spans="1:37" ht="15" customHeight="1" x14ac:dyDescent="0.2">
      <c r="A60" s="6684"/>
      <c r="B60" s="6686"/>
      <c r="C60" s="3312" t="s">
        <v>486</v>
      </c>
      <c r="D60" s="3313">
        <v>2</v>
      </c>
      <c r="E60" s="3314">
        <v>2</v>
      </c>
      <c r="F60" s="3313">
        <v>5</v>
      </c>
      <c r="G60" s="3314">
        <v>7</v>
      </c>
      <c r="H60" s="3313">
        <v>11</v>
      </c>
      <c r="I60" s="3314">
        <v>18</v>
      </c>
      <c r="J60" s="3313">
        <v>4</v>
      </c>
      <c r="K60" s="3314">
        <v>19</v>
      </c>
      <c r="L60" s="3313">
        <v>12</v>
      </c>
      <c r="M60" s="3314">
        <v>25</v>
      </c>
      <c r="N60" s="3313">
        <v>17</v>
      </c>
      <c r="O60" s="3314">
        <v>33</v>
      </c>
      <c r="P60" s="3313">
        <v>19</v>
      </c>
      <c r="Q60" s="3314">
        <v>46</v>
      </c>
      <c r="R60" s="3313">
        <v>15</v>
      </c>
      <c r="S60" s="3314">
        <v>47</v>
      </c>
      <c r="T60" s="3313">
        <v>31</v>
      </c>
      <c r="U60" s="3314">
        <v>61</v>
      </c>
      <c r="V60" s="3313">
        <v>37</v>
      </c>
      <c r="W60" s="3314">
        <v>77</v>
      </c>
      <c r="X60" s="3313">
        <v>25</v>
      </c>
      <c r="Y60" s="3314">
        <v>81</v>
      </c>
      <c r="Z60" s="3313">
        <v>27</v>
      </c>
      <c r="AA60" s="3314">
        <v>89</v>
      </c>
      <c r="AB60" s="3313">
        <v>24</v>
      </c>
      <c r="AC60" s="3314">
        <v>80</v>
      </c>
      <c r="AD60" s="3313">
        <v>44</v>
      </c>
      <c r="AE60" s="3314">
        <v>88</v>
      </c>
      <c r="AF60" s="3313">
        <v>42</v>
      </c>
      <c r="AG60" s="3314">
        <v>106</v>
      </c>
      <c r="AH60" s="3313">
        <v>51</v>
      </c>
      <c r="AI60" s="3314">
        <v>124</v>
      </c>
      <c r="AJ60" s="3313">
        <v>59</v>
      </c>
      <c r="AK60" s="3314">
        <v>623</v>
      </c>
    </row>
    <row r="61" spans="1:37" ht="15" customHeight="1" x14ac:dyDescent="0.2">
      <c r="A61" s="6684"/>
      <c r="B61" s="6686"/>
      <c r="C61" s="3312" t="s">
        <v>568</v>
      </c>
      <c r="D61" s="3313">
        <v>7</v>
      </c>
      <c r="E61" s="3314">
        <v>6</v>
      </c>
      <c r="F61" s="3313">
        <v>38</v>
      </c>
      <c r="G61" s="3314">
        <v>40</v>
      </c>
      <c r="H61" s="3313">
        <v>23</v>
      </c>
      <c r="I61" s="3314">
        <v>62</v>
      </c>
      <c r="J61" s="3313">
        <v>40</v>
      </c>
      <c r="K61" s="3314">
        <v>91</v>
      </c>
      <c r="L61" s="3313">
        <v>55</v>
      </c>
      <c r="M61" s="3314">
        <v>113</v>
      </c>
      <c r="N61" s="3313">
        <v>129</v>
      </c>
      <c r="O61" s="3314">
        <v>226</v>
      </c>
      <c r="P61" s="3313">
        <v>62</v>
      </c>
      <c r="Q61" s="3314">
        <v>256</v>
      </c>
      <c r="R61" s="3313">
        <v>84</v>
      </c>
      <c r="S61" s="3314">
        <v>279</v>
      </c>
      <c r="T61" s="3313">
        <v>220</v>
      </c>
      <c r="U61" s="3314">
        <v>370</v>
      </c>
      <c r="V61" s="3313">
        <v>189</v>
      </c>
      <c r="W61" s="3314">
        <v>450</v>
      </c>
      <c r="X61" s="3313">
        <v>172</v>
      </c>
      <c r="Y61" s="3314">
        <v>545</v>
      </c>
      <c r="Z61" s="3313">
        <v>142</v>
      </c>
      <c r="AA61" s="3314">
        <v>570</v>
      </c>
      <c r="AB61" s="3313">
        <v>148</v>
      </c>
      <c r="AC61" s="3314">
        <v>552</v>
      </c>
      <c r="AD61" s="3313">
        <v>176</v>
      </c>
      <c r="AE61" s="3314">
        <v>549</v>
      </c>
      <c r="AF61" s="3313">
        <v>147</v>
      </c>
      <c r="AG61" s="3314">
        <v>549</v>
      </c>
      <c r="AH61" s="3313">
        <v>197</v>
      </c>
      <c r="AI61" s="3314">
        <v>614</v>
      </c>
      <c r="AJ61" s="3313">
        <v>169</v>
      </c>
      <c r="AK61" s="3314">
        <v>302</v>
      </c>
    </row>
    <row r="62" spans="1:37" ht="15" customHeight="1" x14ac:dyDescent="0.2">
      <c r="A62" s="6684"/>
      <c r="B62" s="6686"/>
      <c r="C62" s="3312" t="s">
        <v>459</v>
      </c>
      <c r="D62" s="3313">
        <v>3</v>
      </c>
      <c r="E62" s="3314">
        <v>2</v>
      </c>
      <c r="F62" s="3313">
        <v>17</v>
      </c>
      <c r="G62" s="3314">
        <v>18</v>
      </c>
      <c r="H62" s="3313">
        <v>21</v>
      </c>
      <c r="I62" s="3314">
        <v>38</v>
      </c>
      <c r="J62" s="3313">
        <v>22</v>
      </c>
      <c r="K62" s="3314">
        <v>51</v>
      </c>
      <c r="L62" s="3313">
        <v>20</v>
      </c>
      <c r="M62" s="3314">
        <v>62</v>
      </c>
      <c r="N62" s="3313">
        <v>62</v>
      </c>
      <c r="O62" s="3314">
        <v>104</v>
      </c>
      <c r="P62" s="3313">
        <v>37</v>
      </c>
      <c r="Q62" s="3314">
        <v>122</v>
      </c>
      <c r="R62" s="3313">
        <v>38</v>
      </c>
      <c r="S62" s="3314">
        <v>123</v>
      </c>
      <c r="T62" s="3313">
        <v>131</v>
      </c>
      <c r="U62" s="3314">
        <v>205</v>
      </c>
      <c r="V62" s="3313">
        <v>101</v>
      </c>
      <c r="W62" s="3314">
        <v>251</v>
      </c>
      <c r="X62" s="3313">
        <v>80</v>
      </c>
      <c r="Y62" s="3314">
        <v>273</v>
      </c>
      <c r="Z62" s="3313">
        <v>83</v>
      </c>
      <c r="AA62" s="3314">
        <v>273</v>
      </c>
      <c r="AB62" s="3313">
        <v>71</v>
      </c>
      <c r="AC62" s="3314">
        <v>270</v>
      </c>
      <c r="AD62" s="3313">
        <v>87</v>
      </c>
      <c r="AE62" s="3314">
        <v>249</v>
      </c>
      <c r="AF62" s="3313">
        <v>103</v>
      </c>
      <c r="AG62" s="3314">
        <v>278</v>
      </c>
      <c r="AH62" s="3313">
        <v>99</v>
      </c>
      <c r="AI62" s="3314">
        <v>269</v>
      </c>
      <c r="AJ62" s="3313">
        <v>115</v>
      </c>
      <c r="AK62" s="3314">
        <v>150</v>
      </c>
    </row>
    <row r="63" spans="1:37" ht="15" customHeight="1" x14ac:dyDescent="0.2">
      <c r="A63" s="6684"/>
      <c r="B63" s="6687"/>
      <c r="C63" s="3318" t="s">
        <v>160</v>
      </c>
      <c r="D63" s="3319">
        <f>SUM(D57:D62)</f>
        <v>19</v>
      </c>
      <c r="E63" s="3320">
        <f t="shared" ref="E63:AA63" si="23">SUM(E57:E62)</f>
        <v>17</v>
      </c>
      <c r="F63" s="3319">
        <f t="shared" si="23"/>
        <v>113</v>
      </c>
      <c r="G63" s="3320">
        <f t="shared" si="23"/>
        <v>122</v>
      </c>
      <c r="H63" s="3319">
        <f t="shared" si="23"/>
        <v>116</v>
      </c>
      <c r="I63" s="3320">
        <f t="shared" si="23"/>
        <v>229</v>
      </c>
      <c r="J63" s="3319">
        <f t="shared" si="23"/>
        <v>123</v>
      </c>
      <c r="K63" s="3320">
        <f t="shared" si="23"/>
        <v>306</v>
      </c>
      <c r="L63" s="3319">
        <f t="shared" si="23"/>
        <v>154</v>
      </c>
      <c r="M63" s="3320">
        <f t="shared" si="23"/>
        <v>368</v>
      </c>
      <c r="N63" s="3319">
        <f t="shared" si="23"/>
        <v>411</v>
      </c>
      <c r="O63" s="3320">
        <f t="shared" si="23"/>
        <v>687</v>
      </c>
      <c r="P63" s="3319">
        <f t="shared" si="23"/>
        <v>240</v>
      </c>
      <c r="Q63" s="3320">
        <f t="shared" si="23"/>
        <v>814</v>
      </c>
      <c r="R63" s="3319">
        <f t="shared" si="23"/>
        <v>240</v>
      </c>
      <c r="S63" s="3320">
        <f t="shared" si="23"/>
        <v>824</v>
      </c>
      <c r="T63" s="3319">
        <f t="shared" si="23"/>
        <v>674</v>
      </c>
      <c r="U63" s="3320">
        <f t="shared" si="23"/>
        <v>1136</v>
      </c>
      <c r="V63" s="3319">
        <f t="shared" si="23"/>
        <v>600</v>
      </c>
      <c r="W63" s="3320">
        <f t="shared" si="23"/>
        <v>1371</v>
      </c>
      <c r="X63" s="3319">
        <f t="shared" si="23"/>
        <v>520</v>
      </c>
      <c r="Y63" s="3320">
        <f t="shared" si="23"/>
        <v>1579</v>
      </c>
      <c r="Z63" s="3319">
        <f t="shared" si="23"/>
        <v>476</v>
      </c>
      <c r="AA63" s="3320">
        <f t="shared" si="23"/>
        <v>1637</v>
      </c>
      <c r="AB63" s="3319">
        <f t="shared" ref="AB63:AG63" si="24">SUM(AB57:AB62)</f>
        <v>472</v>
      </c>
      <c r="AC63" s="3320">
        <f t="shared" si="24"/>
        <v>1597</v>
      </c>
      <c r="AD63" s="3319">
        <f t="shared" si="24"/>
        <v>633</v>
      </c>
      <c r="AE63" s="3320">
        <f t="shared" si="24"/>
        <v>1645</v>
      </c>
      <c r="AF63" s="3319">
        <f t="shared" si="24"/>
        <v>520</v>
      </c>
      <c r="AG63" s="3320">
        <f t="shared" si="24"/>
        <v>1699</v>
      </c>
      <c r="AH63" s="3319">
        <f>SUM(AH57:AH62)</f>
        <v>663</v>
      </c>
      <c r="AI63" s="3320">
        <f>SUM(AI57:AI62)</f>
        <v>1841</v>
      </c>
      <c r="AJ63" s="3319">
        <f t="shared" ref="AJ63:AK63" si="25">SUM(AJ57:AJ62)</f>
        <v>668</v>
      </c>
      <c r="AK63" s="3320">
        <f t="shared" si="25"/>
        <v>1947</v>
      </c>
    </row>
    <row r="64" spans="1:37" ht="15" customHeight="1" x14ac:dyDescent="0.2">
      <c r="A64" s="6684"/>
      <c r="B64" s="6688" t="s">
        <v>357</v>
      </c>
      <c r="C64" s="3312" t="s">
        <v>491</v>
      </c>
      <c r="D64" s="3313">
        <v>2</v>
      </c>
      <c r="E64" s="3314">
        <v>2</v>
      </c>
      <c r="F64" s="3313">
        <v>13</v>
      </c>
      <c r="G64" s="3314">
        <v>15</v>
      </c>
      <c r="H64" s="3313">
        <v>18</v>
      </c>
      <c r="I64" s="3314">
        <v>27</v>
      </c>
      <c r="J64" s="3313">
        <v>5</v>
      </c>
      <c r="K64" s="3314">
        <v>28</v>
      </c>
      <c r="L64" s="3313">
        <v>10</v>
      </c>
      <c r="M64" s="3314">
        <v>31</v>
      </c>
      <c r="N64" s="3313">
        <v>37</v>
      </c>
      <c r="O64" s="3314">
        <v>61</v>
      </c>
      <c r="P64" s="3313">
        <v>41</v>
      </c>
      <c r="Q64" s="3314">
        <v>79</v>
      </c>
      <c r="R64" s="3313">
        <v>36</v>
      </c>
      <c r="S64" s="3314">
        <v>86</v>
      </c>
      <c r="T64" s="3313">
        <v>84</v>
      </c>
      <c r="U64" s="3314">
        <v>140</v>
      </c>
      <c r="V64" s="3313">
        <v>94</v>
      </c>
      <c r="W64" s="3314">
        <v>184</v>
      </c>
      <c r="X64" s="3313">
        <v>77</v>
      </c>
      <c r="Y64" s="3314">
        <v>205</v>
      </c>
      <c r="Z64" s="3313">
        <v>79</v>
      </c>
      <c r="AA64" s="3314">
        <v>213</v>
      </c>
      <c r="AB64" s="3313">
        <v>85</v>
      </c>
      <c r="AC64" s="3314">
        <v>203</v>
      </c>
      <c r="AD64" s="3313">
        <v>90</v>
      </c>
      <c r="AE64" s="3314">
        <v>227</v>
      </c>
      <c r="AF64" s="3313">
        <v>68</v>
      </c>
      <c r="AG64" s="3314">
        <v>231</v>
      </c>
      <c r="AH64" s="3313">
        <v>89</v>
      </c>
      <c r="AI64" s="3314">
        <v>202</v>
      </c>
      <c r="AJ64" s="3313">
        <v>85</v>
      </c>
      <c r="AK64" s="3314">
        <v>339</v>
      </c>
    </row>
    <row r="65" spans="1:37" ht="15" customHeight="1" x14ac:dyDescent="0.2">
      <c r="A65" s="6684"/>
      <c r="B65" s="6686"/>
      <c r="C65" s="3312" t="s">
        <v>478</v>
      </c>
      <c r="D65" s="3313">
        <v>3</v>
      </c>
      <c r="E65" s="3314">
        <v>3</v>
      </c>
      <c r="F65" s="3313">
        <v>16</v>
      </c>
      <c r="G65" s="3314">
        <v>17</v>
      </c>
      <c r="H65" s="3313">
        <v>22</v>
      </c>
      <c r="I65" s="3314">
        <v>39</v>
      </c>
      <c r="J65" s="3313">
        <v>13</v>
      </c>
      <c r="K65" s="3314">
        <v>44</v>
      </c>
      <c r="L65" s="3313">
        <v>24</v>
      </c>
      <c r="M65" s="3314">
        <v>55</v>
      </c>
      <c r="N65" s="3313">
        <v>75</v>
      </c>
      <c r="O65" s="3314">
        <v>112</v>
      </c>
      <c r="P65" s="3313">
        <v>40</v>
      </c>
      <c r="Q65" s="3314">
        <v>139</v>
      </c>
      <c r="R65" s="3313">
        <v>32</v>
      </c>
      <c r="S65" s="3314">
        <v>123</v>
      </c>
      <c r="T65" s="3313">
        <v>124</v>
      </c>
      <c r="U65" s="3314">
        <v>206</v>
      </c>
      <c r="V65" s="3313">
        <v>95</v>
      </c>
      <c r="W65" s="3314">
        <v>235</v>
      </c>
      <c r="X65" s="3313">
        <v>80</v>
      </c>
      <c r="Y65" s="3314">
        <v>248</v>
      </c>
      <c r="Z65" s="3313">
        <v>86</v>
      </c>
      <c r="AA65" s="3314">
        <v>266</v>
      </c>
      <c r="AB65" s="3313">
        <v>81</v>
      </c>
      <c r="AC65" s="3314">
        <v>262</v>
      </c>
      <c r="AD65" s="3313">
        <v>100</v>
      </c>
      <c r="AE65" s="3314">
        <v>279</v>
      </c>
      <c r="AF65" s="3313">
        <v>84</v>
      </c>
      <c r="AG65" s="3314">
        <v>270</v>
      </c>
      <c r="AH65" s="3313">
        <v>112</v>
      </c>
      <c r="AI65" s="3314">
        <v>297</v>
      </c>
      <c r="AJ65" s="3313">
        <v>127</v>
      </c>
      <c r="AK65" s="3314">
        <v>301</v>
      </c>
    </row>
    <row r="66" spans="1:37" ht="15" customHeight="1" x14ac:dyDescent="0.2">
      <c r="A66" s="6684"/>
      <c r="B66" s="6686"/>
      <c r="C66" s="3312" t="s">
        <v>487</v>
      </c>
      <c r="D66" s="3313">
        <v>2</v>
      </c>
      <c r="E66" s="3314">
        <v>2</v>
      </c>
      <c r="F66" s="3313">
        <v>9</v>
      </c>
      <c r="G66" s="3314">
        <v>9</v>
      </c>
      <c r="H66" s="3313">
        <v>18</v>
      </c>
      <c r="I66" s="3314">
        <v>20</v>
      </c>
      <c r="J66" s="3313">
        <v>8</v>
      </c>
      <c r="K66" s="3314">
        <v>29</v>
      </c>
      <c r="L66" s="3313">
        <v>11</v>
      </c>
      <c r="M66" s="3314">
        <v>36</v>
      </c>
      <c r="N66" s="3313">
        <v>58</v>
      </c>
      <c r="O66" s="3314">
        <v>90</v>
      </c>
      <c r="P66" s="3313">
        <v>26</v>
      </c>
      <c r="Q66" s="3314">
        <v>98</v>
      </c>
      <c r="R66" s="3313">
        <v>37</v>
      </c>
      <c r="S66" s="3314">
        <v>102</v>
      </c>
      <c r="T66" s="3313">
        <v>125</v>
      </c>
      <c r="U66" s="3314">
        <v>190</v>
      </c>
      <c r="V66" s="3313">
        <v>99</v>
      </c>
      <c r="W66" s="3314">
        <v>247</v>
      </c>
      <c r="X66" s="3313">
        <v>71</v>
      </c>
      <c r="Y66" s="3314">
        <v>259</v>
      </c>
      <c r="Z66" s="3313">
        <v>59</v>
      </c>
      <c r="AA66" s="3314">
        <v>249</v>
      </c>
      <c r="AB66" s="3313">
        <v>77</v>
      </c>
      <c r="AC66" s="3314">
        <v>240</v>
      </c>
      <c r="AD66" s="3313">
        <v>84</v>
      </c>
      <c r="AE66" s="3314">
        <v>237</v>
      </c>
      <c r="AF66" s="3313">
        <v>69</v>
      </c>
      <c r="AG66" s="3314">
        <v>249</v>
      </c>
      <c r="AH66" s="3313">
        <v>90</v>
      </c>
      <c r="AI66" s="3314">
        <v>287</v>
      </c>
      <c r="AJ66" s="3313">
        <v>85</v>
      </c>
      <c r="AK66" s="3314">
        <v>379</v>
      </c>
    </row>
    <row r="67" spans="1:37" ht="15" customHeight="1" x14ac:dyDescent="0.2">
      <c r="A67" s="6684"/>
      <c r="B67" s="6686"/>
      <c r="C67" s="3312" t="s">
        <v>488</v>
      </c>
      <c r="D67" s="3313">
        <v>2</v>
      </c>
      <c r="E67" s="3314">
        <v>2</v>
      </c>
      <c r="F67" s="3313">
        <v>21</v>
      </c>
      <c r="G67" s="3314">
        <v>21</v>
      </c>
      <c r="H67" s="3313">
        <v>19</v>
      </c>
      <c r="I67" s="3314">
        <v>38</v>
      </c>
      <c r="J67" s="3313">
        <v>32</v>
      </c>
      <c r="K67" s="3314">
        <v>65</v>
      </c>
      <c r="L67" s="3313">
        <v>23</v>
      </c>
      <c r="M67" s="3314">
        <v>68</v>
      </c>
      <c r="N67" s="3313">
        <v>83</v>
      </c>
      <c r="O67" s="3314">
        <v>124</v>
      </c>
      <c r="P67" s="3313">
        <v>39</v>
      </c>
      <c r="Q67" s="3314">
        <v>146</v>
      </c>
      <c r="R67" s="3313">
        <v>46</v>
      </c>
      <c r="S67" s="3314">
        <v>164</v>
      </c>
      <c r="T67" s="3313">
        <v>135</v>
      </c>
      <c r="U67" s="3314">
        <v>234</v>
      </c>
      <c r="V67" s="3313">
        <v>101</v>
      </c>
      <c r="W67" s="3314">
        <v>266</v>
      </c>
      <c r="X67" s="3313">
        <v>75</v>
      </c>
      <c r="Y67" s="3314">
        <v>267</v>
      </c>
      <c r="Z67" s="3313">
        <v>58</v>
      </c>
      <c r="AA67" s="3314">
        <v>250</v>
      </c>
      <c r="AB67" s="3313">
        <v>78</v>
      </c>
      <c r="AC67" s="3314">
        <v>248</v>
      </c>
      <c r="AD67" s="3313">
        <v>119</v>
      </c>
      <c r="AE67" s="3314">
        <v>295</v>
      </c>
      <c r="AF67" s="3313">
        <v>75</v>
      </c>
      <c r="AG67" s="3314">
        <v>291</v>
      </c>
      <c r="AH67" s="3313">
        <v>114</v>
      </c>
      <c r="AI67" s="3314">
        <v>344</v>
      </c>
      <c r="AJ67" s="3313">
        <v>117</v>
      </c>
      <c r="AK67" s="3314">
        <v>497</v>
      </c>
    </row>
    <row r="68" spans="1:37" ht="15" customHeight="1" x14ac:dyDescent="0.2">
      <c r="A68" s="6684"/>
      <c r="B68" s="6686"/>
      <c r="C68" s="3312" t="s">
        <v>490</v>
      </c>
      <c r="D68" s="3313">
        <v>3</v>
      </c>
      <c r="E68" s="3314">
        <v>3</v>
      </c>
      <c r="F68" s="3313">
        <v>22</v>
      </c>
      <c r="G68" s="3314">
        <v>24</v>
      </c>
      <c r="H68" s="3313">
        <v>24</v>
      </c>
      <c r="I68" s="3314">
        <v>43</v>
      </c>
      <c r="J68" s="3313">
        <v>23</v>
      </c>
      <c r="K68" s="3314">
        <v>62</v>
      </c>
      <c r="L68" s="3313">
        <v>33</v>
      </c>
      <c r="M68" s="3314">
        <v>85</v>
      </c>
      <c r="N68" s="3313">
        <v>79</v>
      </c>
      <c r="O68" s="3314">
        <v>141</v>
      </c>
      <c r="P68" s="3313">
        <v>75</v>
      </c>
      <c r="Q68" s="3314">
        <v>183</v>
      </c>
      <c r="R68" s="3313">
        <v>36</v>
      </c>
      <c r="S68" s="3314">
        <v>167</v>
      </c>
      <c r="T68" s="3313">
        <v>93</v>
      </c>
      <c r="U68" s="3314">
        <v>174</v>
      </c>
      <c r="V68" s="3313">
        <v>122</v>
      </c>
      <c r="W68" s="3314">
        <v>327</v>
      </c>
      <c r="X68" s="3313">
        <v>101</v>
      </c>
      <c r="Y68" s="3314">
        <v>354</v>
      </c>
      <c r="Z68" s="3313">
        <v>87</v>
      </c>
      <c r="AA68" s="3314">
        <v>398</v>
      </c>
      <c r="AB68" s="3313">
        <v>83</v>
      </c>
      <c r="AC68" s="3314">
        <v>385</v>
      </c>
      <c r="AD68" s="3313">
        <v>90</v>
      </c>
      <c r="AE68" s="3314">
        <v>248</v>
      </c>
      <c r="AF68" s="3313">
        <v>113</v>
      </c>
      <c r="AG68" s="3314">
        <v>290</v>
      </c>
      <c r="AH68" s="3313">
        <v>121</v>
      </c>
      <c r="AI68" s="3314">
        <v>330</v>
      </c>
      <c r="AJ68" s="3313">
        <v>143</v>
      </c>
      <c r="AK68" s="3314">
        <v>386</v>
      </c>
    </row>
    <row r="69" spans="1:37" ht="15" customHeight="1" x14ac:dyDescent="0.2">
      <c r="A69" s="6684"/>
      <c r="B69" s="6686"/>
      <c r="C69" s="3312" t="s">
        <v>492</v>
      </c>
      <c r="D69" s="3313">
        <v>1</v>
      </c>
      <c r="E69" s="3314">
        <v>1</v>
      </c>
      <c r="F69" s="3313">
        <v>25</v>
      </c>
      <c r="G69" s="3314">
        <v>24</v>
      </c>
      <c r="H69" s="3313">
        <v>20</v>
      </c>
      <c r="I69" s="3314">
        <v>40</v>
      </c>
      <c r="J69" s="3313">
        <v>25</v>
      </c>
      <c r="K69" s="3314">
        <v>62</v>
      </c>
      <c r="L69" s="3313">
        <v>23</v>
      </c>
      <c r="M69" s="3314">
        <v>77</v>
      </c>
      <c r="N69" s="3313">
        <v>93</v>
      </c>
      <c r="O69" s="3314">
        <v>156</v>
      </c>
      <c r="P69" s="3313">
        <v>31</v>
      </c>
      <c r="Q69" s="3314">
        <v>172</v>
      </c>
      <c r="R69" s="3313">
        <v>53</v>
      </c>
      <c r="S69" s="3314">
        <v>193</v>
      </c>
      <c r="T69" s="3313">
        <v>121</v>
      </c>
      <c r="U69" s="3314">
        <v>263</v>
      </c>
      <c r="V69" s="3313">
        <v>79</v>
      </c>
      <c r="W69" s="3314">
        <v>186</v>
      </c>
      <c r="X69" s="3313">
        <v>90</v>
      </c>
      <c r="Y69" s="3314">
        <v>215</v>
      </c>
      <c r="Z69" s="3313">
        <v>70</v>
      </c>
      <c r="AA69" s="3314">
        <v>206</v>
      </c>
      <c r="AB69" s="3313">
        <v>79</v>
      </c>
      <c r="AC69" s="3314">
        <v>206</v>
      </c>
      <c r="AD69" s="3313">
        <v>121</v>
      </c>
      <c r="AE69" s="3314">
        <v>362</v>
      </c>
      <c r="AF69" s="3313">
        <v>92</v>
      </c>
      <c r="AG69" s="3314">
        <v>365</v>
      </c>
      <c r="AH69" s="3313">
        <v>133</v>
      </c>
      <c r="AI69" s="3314">
        <v>397</v>
      </c>
      <c r="AJ69" s="3313">
        <v>93</v>
      </c>
      <c r="AK69" s="3314">
        <v>224</v>
      </c>
    </row>
    <row r="70" spans="1:37" ht="15" customHeight="1" x14ac:dyDescent="0.2">
      <c r="A70" s="6684"/>
      <c r="B70" s="6686"/>
      <c r="C70" s="3312" t="s">
        <v>493</v>
      </c>
      <c r="D70" s="3313">
        <v>1</v>
      </c>
      <c r="E70" s="3314">
        <v>1</v>
      </c>
      <c r="F70" s="3313">
        <v>13</v>
      </c>
      <c r="G70" s="3314">
        <v>14</v>
      </c>
      <c r="H70" s="3313">
        <v>17</v>
      </c>
      <c r="I70" s="3314">
        <v>27</v>
      </c>
      <c r="J70" s="3313">
        <v>12</v>
      </c>
      <c r="K70" s="3314">
        <v>35</v>
      </c>
      <c r="L70" s="3313">
        <v>13</v>
      </c>
      <c r="M70" s="3314">
        <v>38</v>
      </c>
      <c r="N70" s="3313">
        <v>46</v>
      </c>
      <c r="O70" s="3314">
        <v>76</v>
      </c>
      <c r="P70" s="3313">
        <v>20</v>
      </c>
      <c r="Q70" s="3314">
        <v>88</v>
      </c>
      <c r="R70" s="3313">
        <v>31</v>
      </c>
      <c r="S70" s="3314">
        <v>105</v>
      </c>
      <c r="T70" s="3313">
        <v>63</v>
      </c>
      <c r="U70" s="3314">
        <v>126</v>
      </c>
      <c r="V70" s="3313">
        <v>72</v>
      </c>
      <c r="W70" s="3314">
        <v>142</v>
      </c>
      <c r="X70" s="3313">
        <v>42</v>
      </c>
      <c r="Y70" s="3314">
        <v>166</v>
      </c>
      <c r="Z70" s="3313">
        <v>51</v>
      </c>
      <c r="AA70" s="3314">
        <v>177</v>
      </c>
      <c r="AB70" s="3313">
        <v>67</v>
      </c>
      <c r="AC70" s="3314">
        <v>180</v>
      </c>
      <c r="AD70" s="3313">
        <v>82</v>
      </c>
      <c r="AE70" s="3314">
        <v>204</v>
      </c>
      <c r="AF70" s="3313">
        <v>59</v>
      </c>
      <c r="AG70" s="3314">
        <v>220</v>
      </c>
      <c r="AH70" s="3313">
        <v>74</v>
      </c>
      <c r="AI70" s="3314">
        <v>260</v>
      </c>
      <c r="AJ70" s="3313">
        <v>87</v>
      </c>
      <c r="AK70" s="3314">
        <v>403</v>
      </c>
    </row>
    <row r="71" spans="1:37" ht="15" customHeight="1" x14ac:dyDescent="0.2">
      <c r="A71" s="6684"/>
      <c r="B71" s="6686"/>
      <c r="C71" s="3312" t="s">
        <v>489</v>
      </c>
      <c r="D71" s="3313">
        <v>3</v>
      </c>
      <c r="E71" s="3314">
        <v>3</v>
      </c>
      <c r="F71" s="3313">
        <v>29</v>
      </c>
      <c r="G71" s="3314">
        <v>29</v>
      </c>
      <c r="H71" s="3313">
        <v>26</v>
      </c>
      <c r="I71" s="3314">
        <v>51</v>
      </c>
      <c r="J71" s="3313">
        <v>33</v>
      </c>
      <c r="K71" s="3314">
        <v>70</v>
      </c>
      <c r="L71" s="3313">
        <v>39</v>
      </c>
      <c r="M71" s="3314">
        <v>93</v>
      </c>
      <c r="N71" s="3313">
        <v>109</v>
      </c>
      <c r="O71" s="3314">
        <v>175</v>
      </c>
      <c r="P71" s="3313">
        <v>63</v>
      </c>
      <c r="Q71" s="3314">
        <v>194</v>
      </c>
      <c r="R71" s="3313">
        <v>69</v>
      </c>
      <c r="S71" s="3314">
        <v>198</v>
      </c>
      <c r="T71" s="3313">
        <v>123</v>
      </c>
      <c r="U71" s="3314">
        <v>234</v>
      </c>
      <c r="V71" s="3313">
        <v>138</v>
      </c>
      <c r="W71" s="3314">
        <v>280</v>
      </c>
      <c r="X71" s="3313">
        <v>106</v>
      </c>
      <c r="Y71" s="3314">
        <v>286</v>
      </c>
      <c r="Z71" s="3313">
        <v>104</v>
      </c>
      <c r="AA71" s="3314">
        <v>312</v>
      </c>
      <c r="AB71" s="3313">
        <v>121</v>
      </c>
      <c r="AC71" s="3314">
        <v>327</v>
      </c>
      <c r="AD71" s="3313">
        <v>166</v>
      </c>
      <c r="AE71" s="3314">
        <v>396</v>
      </c>
      <c r="AF71" s="3313">
        <v>131</v>
      </c>
      <c r="AG71" s="3314">
        <v>421</v>
      </c>
      <c r="AH71" s="3313">
        <v>154</v>
      </c>
      <c r="AI71" s="3314">
        <v>448</v>
      </c>
      <c r="AJ71" s="3313">
        <v>182</v>
      </c>
      <c r="AK71" s="3314">
        <v>283</v>
      </c>
    </row>
    <row r="72" spans="1:37" ht="15" customHeight="1" x14ac:dyDescent="0.2">
      <c r="A72" s="6684"/>
      <c r="B72" s="6687"/>
      <c r="C72" s="3318" t="s">
        <v>160</v>
      </c>
      <c r="D72" s="3319">
        <f>SUM(D64:D71)</f>
        <v>17</v>
      </c>
      <c r="E72" s="3320">
        <f t="shared" ref="E72:AA72" si="26">SUM(E64:E71)</f>
        <v>17</v>
      </c>
      <c r="F72" s="3319">
        <f t="shared" si="26"/>
        <v>148</v>
      </c>
      <c r="G72" s="3320">
        <f t="shared" si="26"/>
        <v>153</v>
      </c>
      <c r="H72" s="3319">
        <f t="shared" si="26"/>
        <v>164</v>
      </c>
      <c r="I72" s="3320">
        <f t="shared" si="26"/>
        <v>285</v>
      </c>
      <c r="J72" s="3319">
        <f t="shared" si="26"/>
        <v>151</v>
      </c>
      <c r="K72" s="3320">
        <f t="shared" si="26"/>
        <v>395</v>
      </c>
      <c r="L72" s="3319">
        <f t="shared" si="26"/>
        <v>176</v>
      </c>
      <c r="M72" s="3320">
        <f t="shared" si="26"/>
        <v>483</v>
      </c>
      <c r="N72" s="3319">
        <f t="shared" si="26"/>
        <v>580</v>
      </c>
      <c r="O72" s="3320">
        <f t="shared" si="26"/>
        <v>935</v>
      </c>
      <c r="P72" s="3319">
        <f t="shared" si="26"/>
        <v>335</v>
      </c>
      <c r="Q72" s="3320">
        <f t="shared" si="26"/>
        <v>1099</v>
      </c>
      <c r="R72" s="3319">
        <f t="shared" si="26"/>
        <v>340</v>
      </c>
      <c r="S72" s="3320">
        <f t="shared" si="26"/>
        <v>1138</v>
      </c>
      <c r="T72" s="3319">
        <f t="shared" si="26"/>
        <v>868</v>
      </c>
      <c r="U72" s="3320">
        <f t="shared" si="26"/>
        <v>1567</v>
      </c>
      <c r="V72" s="3319">
        <f t="shared" si="26"/>
        <v>800</v>
      </c>
      <c r="W72" s="3320">
        <f t="shared" si="26"/>
        <v>1867</v>
      </c>
      <c r="X72" s="3319">
        <f t="shared" si="26"/>
        <v>642</v>
      </c>
      <c r="Y72" s="3320">
        <f t="shared" si="26"/>
        <v>2000</v>
      </c>
      <c r="Z72" s="3319">
        <f t="shared" si="26"/>
        <v>594</v>
      </c>
      <c r="AA72" s="3320">
        <f t="shared" si="26"/>
        <v>2071</v>
      </c>
      <c r="AB72" s="3319">
        <f t="shared" ref="AB72:AG72" si="27">SUM(AB64:AB71)</f>
        <v>671</v>
      </c>
      <c r="AC72" s="3320">
        <f t="shared" si="27"/>
        <v>2051</v>
      </c>
      <c r="AD72" s="3319">
        <f t="shared" si="27"/>
        <v>852</v>
      </c>
      <c r="AE72" s="3320">
        <f t="shared" si="27"/>
        <v>2248</v>
      </c>
      <c r="AF72" s="3319">
        <f t="shared" si="27"/>
        <v>691</v>
      </c>
      <c r="AG72" s="3320">
        <f t="shared" si="27"/>
        <v>2337</v>
      </c>
      <c r="AH72" s="3319">
        <f>SUM(AH64:AH71)</f>
        <v>887</v>
      </c>
      <c r="AI72" s="3320">
        <f>SUM(AI64:AI71)</f>
        <v>2565</v>
      </c>
      <c r="AJ72" s="3319">
        <f t="shared" ref="AJ72:AK72" si="28">SUM(AJ64:AJ71)</f>
        <v>919</v>
      </c>
      <c r="AK72" s="3320">
        <f t="shared" si="28"/>
        <v>2812</v>
      </c>
    </row>
    <row r="73" spans="1:37" ht="15" customHeight="1" x14ac:dyDescent="0.2">
      <c r="A73" s="6684"/>
      <c r="B73" s="6688" t="s">
        <v>356</v>
      </c>
      <c r="C73" s="3312" t="s">
        <v>460</v>
      </c>
      <c r="D73" s="3313">
        <v>5</v>
      </c>
      <c r="E73" s="3314">
        <v>5</v>
      </c>
      <c r="F73" s="3313">
        <v>24</v>
      </c>
      <c r="G73" s="3314">
        <v>24</v>
      </c>
      <c r="H73" s="3313">
        <v>23</v>
      </c>
      <c r="I73" s="3314">
        <v>44</v>
      </c>
      <c r="J73" s="3313">
        <v>41</v>
      </c>
      <c r="K73" s="3314">
        <v>77</v>
      </c>
      <c r="L73" s="3313">
        <v>31</v>
      </c>
      <c r="M73" s="3314">
        <v>90</v>
      </c>
      <c r="N73" s="3313">
        <v>109</v>
      </c>
      <c r="O73" s="3314">
        <v>170</v>
      </c>
      <c r="P73" s="3313">
        <v>63</v>
      </c>
      <c r="Q73" s="3314">
        <v>193</v>
      </c>
      <c r="R73" s="3313">
        <v>51</v>
      </c>
      <c r="S73" s="3314">
        <v>169</v>
      </c>
      <c r="T73" s="3313">
        <v>139</v>
      </c>
      <c r="U73" s="3314">
        <v>226</v>
      </c>
      <c r="V73" s="3313">
        <v>142</v>
      </c>
      <c r="W73" s="3314">
        <v>292</v>
      </c>
      <c r="X73" s="3313">
        <v>88</v>
      </c>
      <c r="Y73" s="3314">
        <v>284</v>
      </c>
      <c r="Z73" s="3313">
        <v>102</v>
      </c>
      <c r="AA73" s="3314">
        <v>298</v>
      </c>
      <c r="AB73" s="3313">
        <v>97</v>
      </c>
      <c r="AC73" s="3314">
        <v>286</v>
      </c>
      <c r="AD73" s="3313">
        <v>125</v>
      </c>
      <c r="AE73" s="3314">
        <v>316</v>
      </c>
      <c r="AF73" s="3313">
        <v>85</v>
      </c>
      <c r="AG73" s="3314">
        <v>312</v>
      </c>
      <c r="AH73" s="3313">
        <v>121</v>
      </c>
      <c r="AI73" s="3314">
        <v>335</v>
      </c>
      <c r="AJ73" s="3313">
        <v>147</v>
      </c>
      <c r="AK73" s="3314">
        <v>389</v>
      </c>
    </row>
    <row r="74" spans="1:37" ht="15" customHeight="1" x14ac:dyDescent="0.2">
      <c r="A74" s="6684"/>
      <c r="B74" s="6686"/>
      <c r="C74" s="3312" t="s">
        <v>570</v>
      </c>
      <c r="D74" s="3313">
        <v>3</v>
      </c>
      <c r="E74" s="3314">
        <v>3</v>
      </c>
      <c r="F74" s="3313">
        <v>12</v>
      </c>
      <c r="G74" s="3314">
        <v>14</v>
      </c>
      <c r="H74" s="3313">
        <v>15</v>
      </c>
      <c r="I74" s="3314">
        <v>27</v>
      </c>
      <c r="J74" s="3313">
        <v>17</v>
      </c>
      <c r="K74" s="3314">
        <v>42</v>
      </c>
      <c r="L74" s="3313">
        <v>13</v>
      </c>
      <c r="M74" s="3314">
        <v>50</v>
      </c>
      <c r="N74" s="3313">
        <v>46</v>
      </c>
      <c r="O74" s="3314">
        <v>81</v>
      </c>
      <c r="P74" s="3313">
        <v>22</v>
      </c>
      <c r="Q74" s="3314">
        <v>89</v>
      </c>
      <c r="R74" s="3313">
        <v>17</v>
      </c>
      <c r="S74" s="3314">
        <v>72</v>
      </c>
      <c r="T74" s="3313">
        <v>66</v>
      </c>
      <c r="U74" s="3314">
        <v>98</v>
      </c>
      <c r="V74" s="3313">
        <v>58</v>
      </c>
      <c r="W74" s="3314">
        <v>126</v>
      </c>
      <c r="X74" s="3313">
        <v>48</v>
      </c>
      <c r="Y74" s="3314">
        <v>148</v>
      </c>
      <c r="Z74" s="3313">
        <v>45</v>
      </c>
      <c r="AA74" s="3314">
        <v>165</v>
      </c>
      <c r="AB74" s="3313">
        <v>38</v>
      </c>
      <c r="AC74" s="3314">
        <v>148</v>
      </c>
      <c r="AD74" s="3313">
        <v>51</v>
      </c>
      <c r="AE74" s="3314">
        <v>161</v>
      </c>
      <c r="AF74" s="3313">
        <v>55</v>
      </c>
      <c r="AG74" s="3314">
        <v>172</v>
      </c>
      <c r="AH74" s="3313">
        <v>66</v>
      </c>
      <c r="AI74" s="3314">
        <v>185</v>
      </c>
      <c r="AJ74" s="3313">
        <v>63</v>
      </c>
      <c r="AK74" s="3314">
        <v>199</v>
      </c>
    </row>
    <row r="75" spans="1:37" ht="15" customHeight="1" x14ac:dyDescent="0.2">
      <c r="A75" s="6684"/>
      <c r="B75" s="6686"/>
      <c r="C75" s="3312" t="s">
        <v>462</v>
      </c>
      <c r="D75" s="3313">
        <v>2</v>
      </c>
      <c r="E75" s="3314">
        <v>1</v>
      </c>
      <c r="F75" s="3313">
        <v>14</v>
      </c>
      <c r="G75" s="3314">
        <v>16</v>
      </c>
      <c r="H75" s="3313">
        <v>17</v>
      </c>
      <c r="I75" s="3314">
        <v>31</v>
      </c>
      <c r="J75" s="3313">
        <v>10</v>
      </c>
      <c r="K75" s="3314">
        <v>37</v>
      </c>
      <c r="L75" s="3313">
        <v>18</v>
      </c>
      <c r="M75" s="3314">
        <v>46</v>
      </c>
      <c r="N75" s="3313">
        <v>50</v>
      </c>
      <c r="O75" s="3314">
        <v>80</v>
      </c>
      <c r="P75" s="3313">
        <v>25</v>
      </c>
      <c r="Q75" s="3314">
        <v>91</v>
      </c>
      <c r="R75" s="3313">
        <v>12</v>
      </c>
      <c r="S75" s="3314">
        <v>68</v>
      </c>
      <c r="T75" s="3313">
        <v>32</v>
      </c>
      <c r="U75" s="3314">
        <v>67</v>
      </c>
      <c r="V75" s="3313">
        <v>54</v>
      </c>
      <c r="W75" s="3314">
        <v>85</v>
      </c>
      <c r="X75" s="3313">
        <v>38</v>
      </c>
      <c r="Y75" s="3314">
        <v>100</v>
      </c>
      <c r="Z75" s="3313">
        <v>32</v>
      </c>
      <c r="AA75" s="3314">
        <v>96</v>
      </c>
      <c r="AB75" s="3313">
        <v>29</v>
      </c>
      <c r="AC75" s="3314">
        <v>89</v>
      </c>
      <c r="AD75" s="3313">
        <v>47</v>
      </c>
      <c r="AE75" s="3314">
        <v>109</v>
      </c>
      <c r="AF75" s="3313">
        <v>36</v>
      </c>
      <c r="AG75" s="3314">
        <v>112</v>
      </c>
      <c r="AH75" s="3313">
        <v>51</v>
      </c>
      <c r="AI75" s="3314">
        <v>143</v>
      </c>
      <c r="AJ75" s="3313">
        <v>54</v>
      </c>
      <c r="AK75" s="3314">
        <v>151</v>
      </c>
    </row>
    <row r="76" spans="1:37" ht="15" customHeight="1" x14ac:dyDescent="0.2">
      <c r="A76" s="6684"/>
      <c r="B76" s="6686"/>
      <c r="C76" s="3312" t="s">
        <v>494</v>
      </c>
      <c r="D76" s="3313">
        <v>1</v>
      </c>
      <c r="E76" s="3314">
        <v>1</v>
      </c>
      <c r="F76" s="3313">
        <v>6</v>
      </c>
      <c r="G76" s="3314">
        <v>7</v>
      </c>
      <c r="H76" s="3313">
        <v>13</v>
      </c>
      <c r="I76" s="3314">
        <v>19</v>
      </c>
      <c r="J76" s="3313">
        <v>5</v>
      </c>
      <c r="K76" s="3314">
        <v>20</v>
      </c>
      <c r="L76" s="3313">
        <v>9</v>
      </c>
      <c r="M76" s="3314">
        <v>24</v>
      </c>
      <c r="N76" s="3313">
        <v>35</v>
      </c>
      <c r="O76" s="3314">
        <v>51</v>
      </c>
      <c r="P76" s="3313">
        <v>24</v>
      </c>
      <c r="Q76" s="3314">
        <v>68</v>
      </c>
      <c r="R76" s="3313">
        <v>43</v>
      </c>
      <c r="S76" s="3314">
        <v>88</v>
      </c>
      <c r="T76" s="3313">
        <v>62</v>
      </c>
      <c r="U76" s="3314">
        <v>100</v>
      </c>
      <c r="V76" s="3313">
        <v>69</v>
      </c>
      <c r="W76" s="3314">
        <v>140</v>
      </c>
      <c r="X76" s="3313">
        <v>48</v>
      </c>
      <c r="Y76" s="3314">
        <v>140</v>
      </c>
      <c r="Z76" s="3313">
        <v>57</v>
      </c>
      <c r="AA76" s="3314">
        <v>151</v>
      </c>
      <c r="AB76" s="3313">
        <v>53</v>
      </c>
      <c r="AC76" s="3314">
        <v>161</v>
      </c>
      <c r="AD76" s="3313">
        <v>61</v>
      </c>
      <c r="AE76" s="3314">
        <v>165</v>
      </c>
      <c r="AF76" s="3313">
        <v>55</v>
      </c>
      <c r="AG76" s="3314">
        <v>175</v>
      </c>
      <c r="AH76" s="3313">
        <v>67</v>
      </c>
      <c r="AI76" s="3314">
        <v>161</v>
      </c>
      <c r="AJ76" s="3313">
        <v>83</v>
      </c>
      <c r="AK76" s="3314">
        <v>192</v>
      </c>
    </row>
    <row r="77" spans="1:37" ht="15" customHeight="1" x14ac:dyDescent="0.2">
      <c r="A77" s="6684"/>
      <c r="B77" s="6686"/>
      <c r="C77" s="3321" t="s">
        <v>160</v>
      </c>
      <c r="D77" s="3322">
        <f>SUM(D73:D76)</f>
        <v>11</v>
      </c>
      <c r="E77" s="3323">
        <f t="shared" ref="E77:AA77" si="29">SUM(E73:E76)</f>
        <v>10</v>
      </c>
      <c r="F77" s="3322">
        <f t="shared" si="29"/>
        <v>56</v>
      </c>
      <c r="G77" s="3323">
        <f t="shared" si="29"/>
        <v>61</v>
      </c>
      <c r="H77" s="3322">
        <f t="shared" si="29"/>
        <v>68</v>
      </c>
      <c r="I77" s="3323">
        <f t="shared" si="29"/>
        <v>121</v>
      </c>
      <c r="J77" s="3322">
        <f t="shared" si="29"/>
        <v>73</v>
      </c>
      <c r="K77" s="3323">
        <f t="shared" si="29"/>
        <v>176</v>
      </c>
      <c r="L77" s="3322">
        <f t="shared" si="29"/>
        <v>71</v>
      </c>
      <c r="M77" s="3323">
        <f t="shared" si="29"/>
        <v>210</v>
      </c>
      <c r="N77" s="3322">
        <f t="shared" si="29"/>
        <v>240</v>
      </c>
      <c r="O77" s="3323">
        <f t="shared" si="29"/>
        <v>382</v>
      </c>
      <c r="P77" s="3322">
        <f t="shared" si="29"/>
        <v>134</v>
      </c>
      <c r="Q77" s="3323">
        <f t="shared" si="29"/>
        <v>441</v>
      </c>
      <c r="R77" s="3322">
        <f t="shared" si="29"/>
        <v>123</v>
      </c>
      <c r="S77" s="3323">
        <f t="shared" si="29"/>
        <v>397</v>
      </c>
      <c r="T77" s="3322">
        <f t="shared" si="29"/>
        <v>299</v>
      </c>
      <c r="U77" s="3323">
        <f t="shared" si="29"/>
        <v>491</v>
      </c>
      <c r="V77" s="3322">
        <f t="shared" si="29"/>
        <v>323</v>
      </c>
      <c r="W77" s="3323">
        <f t="shared" si="29"/>
        <v>643</v>
      </c>
      <c r="X77" s="3322">
        <f t="shared" si="29"/>
        <v>222</v>
      </c>
      <c r="Y77" s="3323">
        <f t="shared" si="29"/>
        <v>672</v>
      </c>
      <c r="Z77" s="3322">
        <f t="shared" si="29"/>
        <v>236</v>
      </c>
      <c r="AA77" s="3323">
        <f t="shared" si="29"/>
        <v>710</v>
      </c>
      <c r="AB77" s="3322">
        <f t="shared" ref="AB77:AG77" si="30">SUM(AB73:AB76)</f>
        <v>217</v>
      </c>
      <c r="AC77" s="3323">
        <f t="shared" si="30"/>
        <v>684</v>
      </c>
      <c r="AD77" s="3322">
        <f t="shared" si="30"/>
        <v>284</v>
      </c>
      <c r="AE77" s="3323">
        <f t="shared" si="30"/>
        <v>751</v>
      </c>
      <c r="AF77" s="3322">
        <f t="shared" si="30"/>
        <v>231</v>
      </c>
      <c r="AG77" s="3323">
        <f t="shared" si="30"/>
        <v>771</v>
      </c>
      <c r="AH77" s="3322">
        <f>SUM(AH73:AH76)</f>
        <v>305</v>
      </c>
      <c r="AI77" s="3323">
        <f>SUM(AI73:AI76)</f>
        <v>824</v>
      </c>
      <c r="AJ77" s="3322">
        <f t="shared" ref="AJ77:AK77" si="31">SUM(AJ73:AJ76)</f>
        <v>347</v>
      </c>
      <c r="AK77" s="3323">
        <f t="shared" si="31"/>
        <v>931</v>
      </c>
    </row>
    <row r="78" spans="1:37" ht="15" customHeight="1" x14ac:dyDescent="0.2">
      <c r="A78" s="6685"/>
      <c r="B78" s="3345"/>
      <c r="C78" s="3342" t="s">
        <v>444</v>
      </c>
      <c r="D78" s="3343">
        <f>SUM(D77,D72,D63)</f>
        <v>47</v>
      </c>
      <c r="E78" s="3344">
        <f t="shared" ref="E78:AA78" si="32">SUM(E77,E72,E63)</f>
        <v>44</v>
      </c>
      <c r="F78" s="3343">
        <f t="shared" si="32"/>
        <v>317</v>
      </c>
      <c r="G78" s="3344">
        <f t="shared" si="32"/>
        <v>336</v>
      </c>
      <c r="H78" s="3343">
        <f t="shared" si="32"/>
        <v>348</v>
      </c>
      <c r="I78" s="3344">
        <f t="shared" si="32"/>
        <v>635</v>
      </c>
      <c r="J78" s="3343">
        <f t="shared" si="32"/>
        <v>347</v>
      </c>
      <c r="K78" s="3344">
        <f t="shared" si="32"/>
        <v>877</v>
      </c>
      <c r="L78" s="3343">
        <f t="shared" si="32"/>
        <v>401</v>
      </c>
      <c r="M78" s="3344">
        <f t="shared" si="32"/>
        <v>1061</v>
      </c>
      <c r="N78" s="3343">
        <f t="shared" si="32"/>
        <v>1231</v>
      </c>
      <c r="O78" s="3344">
        <f t="shared" si="32"/>
        <v>2004</v>
      </c>
      <c r="P78" s="3343">
        <f t="shared" si="32"/>
        <v>709</v>
      </c>
      <c r="Q78" s="3344">
        <f t="shared" si="32"/>
        <v>2354</v>
      </c>
      <c r="R78" s="3343">
        <f t="shared" si="32"/>
        <v>703</v>
      </c>
      <c r="S78" s="3344">
        <f t="shared" si="32"/>
        <v>2359</v>
      </c>
      <c r="T78" s="3343">
        <f t="shared" si="32"/>
        <v>1841</v>
      </c>
      <c r="U78" s="3344">
        <f t="shared" si="32"/>
        <v>3194</v>
      </c>
      <c r="V78" s="3343">
        <f t="shared" si="32"/>
        <v>1723</v>
      </c>
      <c r="W78" s="3344">
        <f t="shared" si="32"/>
        <v>3881</v>
      </c>
      <c r="X78" s="3343">
        <f t="shared" si="32"/>
        <v>1384</v>
      </c>
      <c r="Y78" s="3344">
        <f t="shared" si="32"/>
        <v>4251</v>
      </c>
      <c r="Z78" s="3343">
        <f t="shared" si="32"/>
        <v>1306</v>
      </c>
      <c r="AA78" s="3344">
        <f t="shared" si="32"/>
        <v>4418</v>
      </c>
      <c r="AB78" s="3343">
        <f t="shared" ref="AB78:AG78" si="33">SUM(AB77,AB72,AB63)</f>
        <v>1360</v>
      </c>
      <c r="AC78" s="3344">
        <f t="shared" si="33"/>
        <v>4332</v>
      </c>
      <c r="AD78" s="3343">
        <f t="shared" si="33"/>
        <v>1769</v>
      </c>
      <c r="AE78" s="3344">
        <f t="shared" si="33"/>
        <v>4644</v>
      </c>
      <c r="AF78" s="3343">
        <f t="shared" si="33"/>
        <v>1442</v>
      </c>
      <c r="AG78" s="3344">
        <f t="shared" si="33"/>
        <v>4807</v>
      </c>
      <c r="AH78" s="3343">
        <f>SUM(AH77,AH72,AH63)</f>
        <v>1855</v>
      </c>
      <c r="AI78" s="3344">
        <f>SUM(AI77,AI72,AI63)</f>
        <v>5230</v>
      </c>
      <c r="AJ78" s="3343">
        <f t="shared" ref="AJ78:AK78" si="34">SUM(AJ77,AJ72,AJ63)</f>
        <v>1934</v>
      </c>
      <c r="AK78" s="3344">
        <f t="shared" si="34"/>
        <v>5690</v>
      </c>
    </row>
    <row r="79" spans="1:37" ht="15" customHeight="1" x14ac:dyDescent="0.2">
      <c r="A79" s="6671" t="s">
        <v>8</v>
      </c>
      <c r="B79" s="6674" t="s">
        <v>429</v>
      </c>
      <c r="C79" s="3327" t="s">
        <v>456</v>
      </c>
      <c r="D79" s="3328"/>
      <c r="E79" s="3329"/>
      <c r="F79" s="3328"/>
      <c r="G79" s="3329"/>
      <c r="H79" s="3328"/>
      <c r="I79" s="3329"/>
      <c r="J79" s="3328"/>
      <c r="K79" s="3329"/>
      <c r="L79" s="3328">
        <v>8</v>
      </c>
      <c r="M79" s="3329">
        <v>8</v>
      </c>
      <c r="N79" s="3328">
        <v>19</v>
      </c>
      <c r="O79" s="3329">
        <v>27</v>
      </c>
      <c r="P79" s="3328">
        <v>22</v>
      </c>
      <c r="Q79" s="3329">
        <v>47</v>
      </c>
      <c r="R79" s="3328">
        <v>19</v>
      </c>
      <c r="S79" s="3329">
        <v>61</v>
      </c>
      <c r="T79" s="3328">
        <v>7</v>
      </c>
      <c r="U79" s="3329">
        <v>60</v>
      </c>
      <c r="V79" s="3328">
        <v>21</v>
      </c>
      <c r="W79" s="3329">
        <v>61</v>
      </c>
      <c r="X79" s="3328">
        <v>16</v>
      </c>
      <c r="Y79" s="3329">
        <v>52</v>
      </c>
      <c r="Z79" s="3328">
        <v>14</v>
      </c>
      <c r="AA79" s="3329">
        <v>51</v>
      </c>
      <c r="AB79" s="3328">
        <v>23</v>
      </c>
      <c r="AC79" s="3329">
        <v>58</v>
      </c>
      <c r="AD79" s="3328">
        <v>32</v>
      </c>
      <c r="AE79" s="3329">
        <v>73</v>
      </c>
      <c r="AF79" s="3328">
        <v>41</v>
      </c>
      <c r="AG79" s="3329">
        <v>103</v>
      </c>
      <c r="AH79" s="3328">
        <v>44</v>
      </c>
      <c r="AI79" s="3329">
        <v>123</v>
      </c>
      <c r="AJ79" s="3328">
        <v>38</v>
      </c>
      <c r="AK79" s="3329">
        <v>137</v>
      </c>
    </row>
    <row r="80" spans="1:37" ht="15" customHeight="1" x14ac:dyDescent="0.2">
      <c r="A80" s="6672"/>
      <c r="B80" s="6674"/>
      <c r="C80" s="3312" t="s">
        <v>457</v>
      </c>
      <c r="D80" s="3313"/>
      <c r="E80" s="3314"/>
      <c r="F80" s="3313"/>
      <c r="G80" s="3314"/>
      <c r="H80" s="3313"/>
      <c r="I80" s="3314"/>
      <c r="J80" s="3313"/>
      <c r="K80" s="3314"/>
      <c r="L80" s="3313">
        <v>8</v>
      </c>
      <c r="M80" s="3314">
        <v>8</v>
      </c>
      <c r="N80" s="3313">
        <v>19</v>
      </c>
      <c r="O80" s="3314">
        <v>27</v>
      </c>
      <c r="P80" s="3313">
        <v>5</v>
      </c>
      <c r="Q80" s="3314">
        <v>31</v>
      </c>
      <c r="R80" s="3313">
        <v>3</v>
      </c>
      <c r="S80" s="3314">
        <v>24</v>
      </c>
      <c r="T80" s="3313"/>
      <c r="U80" s="3314">
        <v>21</v>
      </c>
      <c r="V80" s="3313"/>
      <c r="W80" s="3314"/>
      <c r="X80" s="3313"/>
      <c r="Y80" s="3314"/>
      <c r="Z80" s="3313"/>
      <c r="AA80" s="3314"/>
      <c r="AB80" s="3313"/>
      <c r="AC80" s="3314"/>
      <c r="AD80" s="3313"/>
      <c r="AE80" s="3314"/>
      <c r="AF80" s="3313">
        <v>5</v>
      </c>
      <c r="AG80" s="3314">
        <v>5</v>
      </c>
      <c r="AH80" s="3313">
        <v>17</v>
      </c>
      <c r="AI80" s="3314">
        <v>20</v>
      </c>
      <c r="AJ80" s="3313">
        <v>26</v>
      </c>
      <c r="AK80" s="3314">
        <v>44</v>
      </c>
    </row>
    <row r="81" spans="1:37" ht="15" customHeight="1" x14ac:dyDescent="0.2">
      <c r="A81" s="6672"/>
      <c r="B81" s="6674"/>
      <c r="C81" s="3312" t="s">
        <v>496</v>
      </c>
      <c r="D81" s="3313"/>
      <c r="E81" s="3314"/>
      <c r="F81" s="3313"/>
      <c r="G81" s="3314"/>
      <c r="H81" s="3313"/>
      <c r="I81" s="3314"/>
      <c r="J81" s="3313"/>
      <c r="K81" s="3314"/>
      <c r="L81" s="3313"/>
      <c r="M81" s="3314"/>
      <c r="N81" s="3313"/>
      <c r="O81" s="3314"/>
      <c r="P81" s="3313">
        <v>6</v>
      </c>
      <c r="Q81" s="3314">
        <v>6</v>
      </c>
      <c r="R81" s="3313">
        <v>6</v>
      </c>
      <c r="S81" s="3314">
        <v>12</v>
      </c>
      <c r="T81" s="3313">
        <v>7</v>
      </c>
      <c r="U81" s="3314">
        <v>19</v>
      </c>
      <c r="V81" s="3313">
        <v>13</v>
      </c>
      <c r="W81" s="3314">
        <v>26</v>
      </c>
      <c r="X81" s="3313">
        <v>14</v>
      </c>
      <c r="Y81" s="3314">
        <v>36</v>
      </c>
      <c r="Z81" s="3313">
        <v>4</v>
      </c>
      <c r="AA81" s="3314">
        <v>29</v>
      </c>
      <c r="AB81" s="3313">
        <v>11</v>
      </c>
      <c r="AC81" s="3314">
        <v>32</v>
      </c>
      <c r="AD81" s="3313">
        <v>31</v>
      </c>
      <c r="AE81" s="3314">
        <v>47</v>
      </c>
      <c r="AF81" s="3313">
        <v>27</v>
      </c>
      <c r="AG81" s="3314">
        <v>64</v>
      </c>
      <c r="AH81" s="3313">
        <v>25</v>
      </c>
      <c r="AI81" s="3314">
        <v>72</v>
      </c>
      <c r="AJ81" s="3313">
        <v>38</v>
      </c>
      <c r="AK81" s="3314">
        <v>120</v>
      </c>
    </row>
    <row r="82" spans="1:37" ht="15" customHeight="1" x14ac:dyDescent="0.2">
      <c r="A82" s="6672"/>
      <c r="B82" s="6674"/>
      <c r="C82" s="3312" t="s">
        <v>495</v>
      </c>
      <c r="D82" s="3313"/>
      <c r="E82" s="3314"/>
      <c r="F82" s="3313"/>
      <c r="G82" s="3314"/>
      <c r="H82" s="3313"/>
      <c r="I82" s="3314"/>
      <c r="J82" s="3313"/>
      <c r="K82" s="3314"/>
      <c r="L82" s="3313"/>
      <c r="M82" s="3314"/>
      <c r="N82" s="3313"/>
      <c r="O82" s="3314"/>
      <c r="P82" s="3313">
        <v>3</v>
      </c>
      <c r="Q82" s="3314">
        <v>3</v>
      </c>
      <c r="R82" s="3313">
        <v>7</v>
      </c>
      <c r="S82" s="3314">
        <v>10</v>
      </c>
      <c r="T82" s="3313">
        <v>8</v>
      </c>
      <c r="U82" s="3314">
        <v>16</v>
      </c>
      <c r="V82" s="3313">
        <v>17</v>
      </c>
      <c r="W82" s="3314">
        <v>30</v>
      </c>
      <c r="X82" s="3313">
        <v>12</v>
      </c>
      <c r="Y82" s="3314">
        <v>40</v>
      </c>
      <c r="Z82" s="3313">
        <v>9</v>
      </c>
      <c r="AA82" s="3314">
        <v>34</v>
      </c>
      <c r="AB82" s="3313">
        <v>6</v>
      </c>
      <c r="AC82" s="3314">
        <v>28</v>
      </c>
      <c r="AD82" s="3313">
        <v>35</v>
      </c>
      <c r="AE82" s="3314">
        <v>57</v>
      </c>
      <c r="AF82" s="3313">
        <v>38</v>
      </c>
      <c r="AG82" s="3314">
        <v>82</v>
      </c>
      <c r="AH82" s="3313">
        <v>39</v>
      </c>
      <c r="AI82" s="3314">
        <v>104</v>
      </c>
      <c r="AJ82" s="3313">
        <v>28</v>
      </c>
      <c r="AK82" s="3314">
        <v>81</v>
      </c>
    </row>
    <row r="83" spans="1:37" ht="15" customHeight="1" x14ac:dyDescent="0.2">
      <c r="A83" s="6672"/>
      <c r="B83" s="6675"/>
      <c r="C83" s="3318" t="s">
        <v>160</v>
      </c>
      <c r="D83" s="3319"/>
      <c r="E83" s="3320"/>
      <c r="F83" s="3319"/>
      <c r="G83" s="3320"/>
      <c r="H83" s="3319"/>
      <c r="I83" s="3320"/>
      <c r="J83" s="3319"/>
      <c r="K83" s="3320"/>
      <c r="L83" s="3319">
        <f>SUM(L79:L82)</f>
        <v>16</v>
      </c>
      <c r="M83" s="3320">
        <f t="shared" ref="M83:AA83" si="35">SUM(M79:M82)</f>
        <v>16</v>
      </c>
      <c r="N83" s="3319">
        <f t="shared" si="35"/>
        <v>38</v>
      </c>
      <c r="O83" s="3320">
        <f t="shared" si="35"/>
        <v>54</v>
      </c>
      <c r="P83" s="3319">
        <f t="shared" si="35"/>
        <v>36</v>
      </c>
      <c r="Q83" s="3320">
        <f t="shared" si="35"/>
        <v>87</v>
      </c>
      <c r="R83" s="3319">
        <f t="shared" si="35"/>
        <v>35</v>
      </c>
      <c r="S83" s="3320">
        <f t="shared" si="35"/>
        <v>107</v>
      </c>
      <c r="T83" s="3319">
        <f t="shared" si="35"/>
        <v>22</v>
      </c>
      <c r="U83" s="3320">
        <f t="shared" si="35"/>
        <v>116</v>
      </c>
      <c r="V83" s="3319">
        <f t="shared" si="35"/>
        <v>51</v>
      </c>
      <c r="W83" s="3320">
        <f t="shared" si="35"/>
        <v>117</v>
      </c>
      <c r="X83" s="3319">
        <f t="shared" si="35"/>
        <v>42</v>
      </c>
      <c r="Y83" s="3320">
        <f t="shared" si="35"/>
        <v>128</v>
      </c>
      <c r="Z83" s="3319">
        <f t="shared" si="35"/>
        <v>27</v>
      </c>
      <c r="AA83" s="3320">
        <f t="shared" si="35"/>
        <v>114</v>
      </c>
      <c r="AB83" s="3319">
        <f t="shared" ref="AB83:AG83" si="36">SUM(AB79:AB82)</f>
        <v>40</v>
      </c>
      <c r="AC83" s="3320">
        <f t="shared" si="36"/>
        <v>118</v>
      </c>
      <c r="AD83" s="3319">
        <f t="shared" si="36"/>
        <v>98</v>
      </c>
      <c r="AE83" s="3320">
        <f t="shared" si="36"/>
        <v>177</v>
      </c>
      <c r="AF83" s="3319">
        <f t="shared" si="36"/>
        <v>111</v>
      </c>
      <c r="AG83" s="3320">
        <f t="shared" si="36"/>
        <v>254</v>
      </c>
      <c r="AH83" s="3319">
        <f>SUM(AH79:AH82)</f>
        <v>125</v>
      </c>
      <c r="AI83" s="3320">
        <f>SUM(AI79:AI82)</f>
        <v>319</v>
      </c>
      <c r="AJ83" s="3319">
        <f t="shared" ref="AJ83:AK83" si="37">SUM(AJ79:AJ82)</f>
        <v>130</v>
      </c>
      <c r="AK83" s="3320">
        <f t="shared" si="37"/>
        <v>382</v>
      </c>
    </row>
    <row r="84" spans="1:37" ht="15" customHeight="1" x14ac:dyDescent="0.2">
      <c r="A84" s="6672"/>
      <c r="B84" s="6676" t="s">
        <v>9</v>
      </c>
      <c r="C84" s="3312" t="s">
        <v>569</v>
      </c>
      <c r="D84" s="3313"/>
      <c r="E84" s="3314"/>
      <c r="F84" s="3313"/>
      <c r="G84" s="3314"/>
      <c r="H84" s="3313"/>
      <c r="I84" s="3314"/>
      <c r="J84" s="3313"/>
      <c r="K84" s="3314"/>
      <c r="L84" s="3313">
        <v>4</v>
      </c>
      <c r="M84" s="3314">
        <v>4</v>
      </c>
      <c r="N84" s="3313">
        <v>19</v>
      </c>
      <c r="O84" s="3314">
        <v>23</v>
      </c>
      <c r="P84" s="3313">
        <v>11</v>
      </c>
      <c r="Q84" s="3314">
        <v>33</v>
      </c>
      <c r="R84" s="3313">
        <v>14</v>
      </c>
      <c r="S84" s="3314">
        <v>42</v>
      </c>
      <c r="T84" s="3313">
        <v>17</v>
      </c>
      <c r="U84" s="3314">
        <v>58</v>
      </c>
      <c r="V84" s="3313">
        <v>12</v>
      </c>
      <c r="W84" s="3314">
        <v>52</v>
      </c>
      <c r="X84" s="3313">
        <v>13</v>
      </c>
      <c r="Y84" s="3314">
        <v>38</v>
      </c>
      <c r="Z84" s="3313">
        <v>17</v>
      </c>
      <c r="AA84" s="3314">
        <v>38</v>
      </c>
      <c r="AB84" s="3313">
        <v>19</v>
      </c>
      <c r="AC84" s="3314">
        <v>66</v>
      </c>
      <c r="AD84" s="3313">
        <v>25</v>
      </c>
      <c r="AE84" s="3314">
        <v>62</v>
      </c>
      <c r="AF84" s="3313">
        <v>21</v>
      </c>
      <c r="AG84" s="3314">
        <v>67</v>
      </c>
      <c r="AH84" s="3313">
        <v>22</v>
      </c>
      <c r="AI84" s="3314">
        <v>77</v>
      </c>
      <c r="AJ84" s="3313">
        <v>45</v>
      </c>
      <c r="AK84" s="3314">
        <v>94</v>
      </c>
    </row>
    <row r="85" spans="1:37" ht="15" customHeight="1" x14ac:dyDescent="0.2">
      <c r="A85" s="6672"/>
      <c r="B85" s="6674"/>
      <c r="C85" s="3312" t="s">
        <v>499</v>
      </c>
      <c r="D85" s="3313"/>
      <c r="E85" s="3314"/>
      <c r="F85" s="3313"/>
      <c r="G85" s="3314"/>
      <c r="H85" s="3313"/>
      <c r="I85" s="3314"/>
      <c r="J85" s="3313"/>
      <c r="K85" s="3314"/>
      <c r="L85" s="3313"/>
      <c r="M85" s="3314"/>
      <c r="N85" s="3313"/>
      <c r="O85" s="3314"/>
      <c r="P85" s="3313">
        <v>10</v>
      </c>
      <c r="Q85" s="3314">
        <v>10</v>
      </c>
      <c r="R85" s="3313">
        <v>20</v>
      </c>
      <c r="S85" s="3314">
        <v>29</v>
      </c>
      <c r="T85" s="3313">
        <v>12</v>
      </c>
      <c r="U85" s="3314">
        <v>37</v>
      </c>
      <c r="V85" s="3313">
        <v>15</v>
      </c>
      <c r="W85" s="3314">
        <v>47</v>
      </c>
      <c r="X85" s="3313">
        <v>24</v>
      </c>
      <c r="Y85" s="3314">
        <v>69</v>
      </c>
      <c r="Z85" s="3313">
        <v>16</v>
      </c>
      <c r="AA85" s="3314">
        <v>64</v>
      </c>
      <c r="AB85" s="3313">
        <v>25</v>
      </c>
      <c r="AC85" s="3314">
        <v>42</v>
      </c>
      <c r="AD85" s="3313">
        <v>34</v>
      </c>
      <c r="AE85" s="3314">
        <v>92</v>
      </c>
      <c r="AF85" s="3313">
        <v>30</v>
      </c>
      <c r="AG85" s="3314">
        <v>94</v>
      </c>
      <c r="AH85" s="3313">
        <v>58</v>
      </c>
      <c r="AI85" s="3314">
        <v>127</v>
      </c>
      <c r="AJ85" s="3313">
        <v>49</v>
      </c>
      <c r="AK85" s="3314">
        <v>72</v>
      </c>
    </row>
    <row r="86" spans="1:37" ht="15" customHeight="1" x14ac:dyDescent="0.2">
      <c r="A86" s="6672"/>
      <c r="B86" s="6674"/>
      <c r="C86" s="3312" t="s">
        <v>498</v>
      </c>
      <c r="D86" s="3313"/>
      <c r="E86" s="3314"/>
      <c r="F86" s="3313"/>
      <c r="G86" s="3314"/>
      <c r="H86" s="3313"/>
      <c r="I86" s="3314"/>
      <c r="J86" s="3313"/>
      <c r="K86" s="3314"/>
      <c r="L86" s="3313"/>
      <c r="M86" s="3314"/>
      <c r="N86" s="3313"/>
      <c r="O86" s="3314"/>
      <c r="P86" s="3313">
        <v>3</v>
      </c>
      <c r="Q86" s="3314">
        <v>3</v>
      </c>
      <c r="R86" s="3313">
        <v>5</v>
      </c>
      <c r="S86" s="3314">
        <v>7</v>
      </c>
      <c r="T86" s="3313">
        <v>5</v>
      </c>
      <c r="U86" s="3314">
        <v>10</v>
      </c>
      <c r="V86" s="3313">
        <v>15</v>
      </c>
      <c r="W86" s="3314">
        <v>22</v>
      </c>
      <c r="X86" s="3313">
        <v>20</v>
      </c>
      <c r="Y86" s="3314">
        <v>35</v>
      </c>
      <c r="Z86" s="3313">
        <v>7</v>
      </c>
      <c r="AA86" s="3314">
        <v>28</v>
      </c>
      <c r="AB86" s="3313">
        <v>13</v>
      </c>
      <c r="AC86" s="3314">
        <v>29</v>
      </c>
      <c r="AD86" s="3313">
        <v>17</v>
      </c>
      <c r="AE86" s="3314">
        <v>34</v>
      </c>
      <c r="AF86" s="3313">
        <v>14</v>
      </c>
      <c r="AG86" s="3314">
        <v>32</v>
      </c>
      <c r="AH86" s="3313">
        <v>27</v>
      </c>
      <c r="AI86" s="3314">
        <v>53</v>
      </c>
      <c r="AJ86" s="3313">
        <v>28</v>
      </c>
      <c r="AK86" s="3314">
        <v>149</v>
      </c>
    </row>
    <row r="87" spans="1:37" ht="15" customHeight="1" x14ac:dyDescent="0.2">
      <c r="A87" s="6672"/>
      <c r="B87" s="6675"/>
      <c r="C87" s="3318" t="s">
        <v>160</v>
      </c>
      <c r="D87" s="3319"/>
      <c r="E87" s="3320"/>
      <c r="F87" s="3319"/>
      <c r="G87" s="3320"/>
      <c r="H87" s="3319"/>
      <c r="I87" s="3320"/>
      <c r="J87" s="3319"/>
      <c r="K87" s="3320"/>
      <c r="L87" s="3319">
        <f>SUM(L84:L86)</f>
        <v>4</v>
      </c>
      <c r="M87" s="3320">
        <f t="shared" ref="M87:AA87" si="38">SUM(M84:M86)</f>
        <v>4</v>
      </c>
      <c r="N87" s="3319">
        <f t="shared" si="38"/>
        <v>19</v>
      </c>
      <c r="O87" s="3320">
        <f t="shared" si="38"/>
        <v>23</v>
      </c>
      <c r="P87" s="3319">
        <f t="shared" si="38"/>
        <v>24</v>
      </c>
      <c r="Q87" s="3320">
        <f t="shared" si="38"/>
        <v>46</v>
      </c>
      <c r="R87" s="3319">
        <f t="shared" si="38"/>
        <v>39</v>
      </c>
      <c r="S87" s="3320">
        <f t="shared" si="38"/>
        <v>78</v>
      </c>
      <c r="T87" s="3319">
        <f t="shared" si="38"/>
        <v>34</v>
      </c>
      <c r="U87" s="3320">
        <f t="shared" si="38"/>
        <v>105</v>
      </c>
      <c r="V87" s="3319">
        <f t="shared" si="38"/>
        <v>42</v>
      </c>
      <c r="W87" s="3320">
        <f t="shared" si="38"/>
        <v>121</v>
      </c>
      <c r="X87" s="3319">
        <f t="shared" si="38"/>
        <v>57</v>
      </c>
      <c r="Y87" s="3320">
        <f t="shared" si="38"/>
        <v>142</v>
      </c>
      <c r="Z87" s="3319">
        <f t="shared" si="38"/>
        <v>40</v>
      </c>
      <c r="AA87" s="3320">
        <f t="shared" si="38"/>
        <v>130</v>
      </c>
      <c r="AB87" s="3319">
        <f t="shared" ref="AB87:AG87" si="39">SUM(AB84:AB86)</f>
        <v>57</v>
      </c>
      <c r="AC87" s="3320">
        <f t="shared" si="39"/>
        <v>137</v>
      </c>
      <c r="AD87" s="3319">
        <f t="shared" si="39"/>
        <v>76</v>
      </c>
      <c r="AE87" s="3320">
        <f t="shared" si="39"/>
        <v>188</v>
      </c>
      <c r="AF87" s="3319">
        <f t="shared" si="39"/>
        <v>65</v>
      </c>
      <c r="AG87" s="3320">
        <f t="shared" si="39"/>
        <v>193</v>
      </c>
      <c r="AH87" s="3319">
        <f>SUM(AH84:AH86)</f>
        <v>107</v>
      </c>
      <c r="AI87" s="3320">
        <f>SUM(AI84:AI86)</f>
        <v>257</v>
      </c>
      <c r="AJ87" s="3319">
        <f t="shared" ref="AJ87:AK87" si="40">SUM(AJ84:AJ86)</f>
        <v>122</v>
      </c>
      <c r="AK87" s="3320">
        <f t="shared" si="40"/>
        <v>315</v>
      </c>
    </row>
    <row r="88" spans="1:37" ht="15" customHeight="1" x14ac:dyDescent="0.2">
      <c r="A88" s="6672"/>
      <c r="B88" s="6676" t="s">
        <v>74</v>
      </c>
      <c r="C88" s="3312" t="s">
        <v>455</v>
      </c>
      <c r="D88" s="3313"/>
      <c r="E88" s="3314"/>
      <c r="F88" s="3313"/>
      <c r="G88" s="3314"/>
      <c r="H88" s="3313"/>
      <c r="I88" s="3314"/>
      <c r="J88" s="3313"/>
      <c r="K88" s="3314"/>
      <c r="L88" s="3313">
        <v>6</v>
      </c>
      <c r="M88" s="3314">
        <v>6</v>
      </c>
      <c r="N88" s="3313">
        <v>13</v>
      </c>
      <c r="O88" s="3314">
        <v>19</v>
      </c>
      <c r="P88" s="3313">
        <v>6</v>
      </c>
      <c r="Q88" s="3314">
        <v>22</v>
      </c>
      <c r="R88" s="3313">
        <v>9</v>
      </c>
      <c r="S88" s="3314">
        <v>24</v>
      </c>
      <c r="T88" s="3313">
        <v>8</v>
      </c>
      <c r="U88" s="3314">
        <v>25</v>
      </c>
      <c r="V88" s="3313">
        <v>7</v>
      </c>
      <c r="W88" s="3314">
        <v>20</v>
      </c>
      <c r="X88" s="3313">
        <v>7</v>
      </c>
      <c r="Y88" s="3314">
        <v>23</v>
      </c>
      <c r="Z88" s="3313">
        <v>4</v>
      </c>
      <c r="AA88" s="3314">
        <v>18</v>
      </c>
      <c r="AB88" s="3313">
        <v>13</v>
      </c>
      <c r="AC88" s="3314">
        <v>11</v>
      </c>
      <c r="AD88" s="3313">
        <v>31</v>
      </c>
      <c r="AE88" s="3314">
        <v>43</v>
      </c>
      <c r="AF88" s="3313">
        <v>17</v>
      </c>
      <c r="AG88" s="3314">
        <v>46</v>
      </c>
      <c r="AH88" s="3313">
        <v>23</v>
      </c>
      <c r="AI88" s="3314">
        <v>44</v>
      </c>
      <c r="AJ88" s="3313">
        <v>24</v>
      </c>
      <c r="AK88" s="3314">
        <v>59</v>
      </c>
    </row>
    <row r="89" spans="1:37" ht="15" customHeight="1" x14ac:dyDescent="0.2">
      <c r="A89" s="6672"/>
      <c r="B89" s="6674"/>
      <c r="C89" s="3312" t="s">
        <v>501</v>
      </c>
      <c r="D89" s="3313"/>
      <c r="E89" s="3314"/>
      <c r="F89" s="3313"/>
      <c r="G89" s="3314"/>
      <c r="H89" s="3313"/>
      <c r="I89" s="3314"/>
      <c r="J89" s="3313"/>
      <c r="K89" s="3314"/>
      <c r="L89" s="3313"/>
      <c r="M89" s="3314"/>
      <c r="N89" s="3313"/>
      <c r="O89" s="3314"/>
      <c r="P89" s="3313"/>
      <c r="Q89" s="3314"/>
      <c r="R89" s="3313">
        <v>1</v>
      </c>
      <c r="S89" s="3314">
        <v>1</v>
      </c>
      <c r="T89" s="3313">
        <v>5</v>
      </c>
      <c r="U89" s="3314">
        <v>6</v>
      </c>
      <c r="V89" s="3313">
        <v>8</v>
      </c>
      <c r="W89" s="3314">
        <v>12</v>
      </c>
      <c r="X89" s="3313">
        <v>6</v>
      </c>
      <c r="Y89" s="3314">
        <v>14</v>
      </c>
      <c r="Z89" s="3313">
        <v>5</v>
      </c>
      <c r="AA89" s="3314">
        <v>13</v>
      </c>
      <c r="AB89" s="3313">
        <v>3</v>
      </c>
      <c r="AC89" s="3314">
        <v>28</v>
      </c>
      <c r="AD89" s="3313">
        <v>20</v>
      </c>
      <c r="AE89" s="3314">
        <v>36</v>
      </c>
      <c r="AF89" s="3313">
        <v>20</v>
      </c>
      <c r="AG89" s="3314">
        <v>47</v>
      </c>
      <c r="AH89" s="3313">
        <v>17</v>
      </c>
      <c r="AI89" s="3314">
        <v>38</v>
      </c>
      <c r="AJ89" s="3313">
        <v>27</v>
      </c>
      <c r="AK89" s="3314">
        <v>26</v>
      </c>
    </row>
    <row r="90" spans="1:37" ht="15" customHeight="1" x14ac:dyDescent="0.2">
      <c r="A90" s="6672"/>
      <c r="B90" s="6674"/>
      <c r="C90" s="3312" t="s">
        <v>500</v>
      </c>
      <c r="D90" s="3313"/>
      <c r="E90" s="3314"/>
      <c r="F90" s="3313"/>
      <c r="G90" s="3314"/>
      <c r="H90" s="3313"/>
      <c r="I90" s="3314"/>
      <c r="J90" s="3313"/>
      <c r="K90" s="3314"/>
      <c r="L90" s="3313">
        <v>2</v>
      </c>
      <c r="M90" s="3314">
        <v>2</v>
      </c>
      <c r="N90" s="3313">
        <v>1</v>
      </c>
      <c r="O90" s="3314">
        <v>3</v>
      </c>
      <c r="P90" s="3313">
        <v>6</v>
      </c>
      <c r="Q90" s="3314">
        <v>7</v>
      </c>
      <c r="R90" s="3313">
        <v>8</v>
      </c>
      <c r="S90" s="3314">
        <v>15</v>
      </c>
      <c r="T90" s="3313">
        <v>2</v>
      </c>
      <c r="U90" s="3314">
        <v>11</v>
      </c>
      <c r="V90" s="3313">
        <v>3</v>
      </c>
      <c r="W90" s="3314">
        <v>10</v>
      </c>
      <c r="X90" s="3313">
        <v>13</v>
      </c>
      <c r="Y90" s="3314">
        <v>18</v>
      </c>
      <c r="Z90" s="3313">
        <v>4</v>
      </c>
      <c r="AA90" s="3314">
        <v>16</v>
      </c>
      <c r="AB90" s="3313">
        <v>7</v>
      </c>
      <c r="AC90" s="3314">
        <v>20</v>
      </c>
      <c r="AD90" s="3313">
        <v>9</v>
      </c>
      <c r="AE90" s="3314">
        <v>18</v>
      </c>
      <c r="AF90" s="3313">
        <v>11</v>
      </c>
      <c r="AG90" s="3314">
        <v>22</v>
      </c>
      <c r="AH90" s="3313">
        <v>7</v>
      </c>
      <c r="AI90" s="3314">
        <v>21</v>
      </c>
      <c r="AJ90" s="3313">
        <v>11</v>
      </c>
      <c r="AK90" s="3314">
        <v>54</v>
      </c>
    </row>
    <row r="91" spans="1:37" ht="15" customHeight="1" x14ac:dyDescent="0.2">
      <c r="A91" s="6672"/>
      <c r="B91" s="6674"/>
      <c r="C91" s="3312" t="s">
        <v>571</v>
      </c>
      <c r="D91" s="3313"/>
      <c r="E91" s="3314"/>
      <c r="F91" s="3313"/>
      <c r="G91" s="3314"/>
      <c r="H91" s="3313"/>
      <c r="I91" s="3314"/>
      <c r="J91" s="3313"/>
      <c r="K91" s="3314"/>
      <c r="L91" s="3313"/>
      <c r="M91" s="3314"/>
      <c r="N91" s="3313"/>
      <c r="O91" s="3314"/>
      <c r="P91" s="3313"/>
      <c r="Q91" s="3314"/>
      <c r="R91" s="3313"/>
      <c r="S91" s="3314"/>
      <c r="T91" s="3313"/>
      <c r="U91" s="3314"/>
      <c r="V91" s="3313">
        <v>3</v>
      </c>
      <c r="W91" s="3314">
        <v>3</v>
      </c>
      <c r="X91" s="3313">
        <v>11</v>
      </c>
      <c r="Y91" s="3314">
        <v>14</v>
      </c>
      <c r="Z91" s="3313">
        <v>8</v>
      </c>
      <c r="AA91" s="3314">
        <v>20</v>
      </c>
      <c r="AB91" s="3313">
        <v>16</v>
      </c>
      <c r="AC91" s="3314">
        <v>12</v>
      </c>
      <c r="AD91" s="3313">
        <v>21</v>
      </c>
      <c r="AE91" s="3314">
        <v>35</v>
      </c>
      <c r="AF91" s="3313">
        <v>22</v>
      </c>
      <c r="AG91" s="3314">
        <v>52</v>
      </c>
      <c r="AH91" s="3313">
        <v>27</v>
      </c>
      <c r="AI91" s="3314">
        <v>66</v>
      </c>
      <c r="AJ91" s="3313">
        <v>36</v>
      </c>
      <c r="AK91" s="3314">
        <v>86</v>
      </c>
    </row>
    <row r="92" spans="1:37" ht="15" customHeight="1" x14ac:dyDescent="0.2">
      <c r="A92" s="6672"/>
      <c r="B92" s="6674"/>
      <c r="C92" s="3321" t="s">
        <v>160</v>
      </c>
      <c r="D92" s="3322"/>
      <c r="E92" s="3323"/>
      <c r="F92" s="3322"/>
      <c r="G92" s="3323"/>
      <c r="H92" s="3322"/>
      <c r="I92" s="3323"/>
      <c r="J92" s="3322"/>
      <c r="K92" s="3323"/>
      <c r="L92" s="3322">
        <f>SUM(L88:L91)</f>
        <v>8</v>
      </c>
      <c r="M92" s="3323">
        <f t="shared" ref="M92:AA92" si="41">SUM(M88:M91)</f>
        <v>8</v>
      </c>
      <c r="N92" s="3322">
        <f t="shared" si="41"/>
        <v>14</v>
      </c>
      <c r="O92" s="3323">
        <f t="shared" si="41"/>
        <v>22</v>
      </c>
      <c r="P92" s="3322">
        <f t="shared" si="41"/>
        <v>12</v>
      </c>
      <c r="Q92" s="3323">
        <f t="shared" si="41"/>
        <v>29</v>
      </c>
      <c r="R92" s="3322">
        <f t="shared" si="41"/>
        <v>18</v>
      </c>
      <c r="S92" s="3323">
        <f t="shared" si="41"/>
        <v>40</v>
      </c>
      <c r="T92" s="3322">
        <f t="shared" si="41"/>
        <v>15</v>
      </c>
      <c r="U92" s="3323">
        <f t="shared" si="41"/>
        <v>42</v>
      </c>
      <c r="V92" s="3322">
        <f t="shared" si="41"/>
        <v>21</v>
      </c>
      <c r="W92" s="3323">
        <f t="shared" si="41"/>
        <v>45</v>
      </c>
      <c r="X92" s="3322">
        <f t="shared" si="41"/>
        <v>37</v>
      </c>
      <c r="Y92" s="3323">
        <f t="shared" si="41"/>
        <v>69</v>
      </c>
      <c r="Z92" s="3322">
        <f t="shared" si="41"/>
        <v>21</v>
      </c>
      <c r="AA92" s="3323">
        <f t="shared" si="41"/>
        <v>67</v>
      </c>
      <c r="AB92" s="3322">
        <f t="shared" ref="AB92:AG92" si="42">SUM(AB88:AB91)</f>
        <v>39</v>
      </c>
      <c r="AC92" s="3323">
        <f t="shared" si="42"/>
        <v>71</v>
      </c>
      <c r="AD92" s="3322">
        <f t="shared" si="42"/>
        <v>81</v>
      </c>
      <c r="AE92" s="3323">
        <f t="shared" si="42"/>
        <v>132</v>
      </c>
      <c r="AF92" s="3322">
        <f t="shared" si="42"/>
        <v>70</v>
      </c>
      <c r="AG92" s="3323">
        <f t="shared" si="42"/>
        <v>167</v>
      </c>
      <c r="AH92" s="3322">
        <f>SUM(AH88:AH91)</f>
        <v>74</v>
      </c>
      <c r="AI92" s="3323">
        <f>SUM(AI88:AI91)</f>
        <v>169</v>
      </c>
      <c r="AJ92" s="3322">
        <f t="shared" ref="AJ92:AK92" si="43">SUM(AJ88:AJ91)</f>
        <v>98</v>
      </c>
      <c r="AK92" s="3323">
        <f t="shared" si="43"/>
        <v>225</v>
      </c>
    </row>
    <row r="93" spans="1:37" ht="15" customHeight="1" x14ac:dyDescent="0.2">
      <c r="A93" s="6673"/>
      <c r="B93" s="3341"/>
      <c r="C93" s="3336" t="s">
        <v>444</v>
      </c>
      <c r="D93" s="3337"/>
      <c r="E93" s="3338"/>
      <c r="F93" s="3337"/>
      <c r="G93" s="3338"/>
      <c r="H93" s="3337"/>
      <c r="I93" s="3338"/>
      <c r="J93" s="3337"/>
      <c r="K93" s="3338"/>
      <c r="L93" s="3339">
        <f>SUM(L92,L87,L83)</f>
        <v>28</v>
      </c>
      <c r="M93" s="3340">
        <f t="shared" ref="M93:AA93" si="44">SUM(M92,M87,M83)</f>
        <v>28</v>
      </c>
      <c r="N93" s="3339">
        <f t="shared" si="44"/>
        <v>71</v>
      </c>
      <c r="O93" s="3340">
        <f t="shared" si="44"/>
        <v>99</v>
      </c>
      <c r="P93" s="3339">
        <f t="shared" si="44"/>
        <v>72</v>
      </c>
      <c r="Q93" s="3340">
        <f t="shared" si="44"/>
        <v>162</v>
      </c>
      <c r="R93" s="3339">
        <f t="shared" si="44"/>
        <v>92</v>
      </c>
      <c r="S93" s="3340">
        <f t="shared" si="44"/>
        <v>225</v>
      </c>
      <c r="T93" s="3339">
        <f t="shared" si="44"/>
        <v>71</v>
      </c>
      <c r="U93" s="3340">
        <f t="shared" si="44"/>
        <v>263</v>
      </c>
      <c r="V93" s="3339">
        <f t="shared" si="44"/>
        <v>114</v>
      </c>
      <c r="W93" s="3340">
        <f t="shared" si="44"/>
        <v>283</v>
      </c>
      <c r="X93" s="3339">
        <f t="shared" si="44"/>
        <v>136</v>
      </c>
      <c r="Y93" s="3340">
        <f t="shared" si="44"/>
        <v>339</v>
      </c>
      <c r="Z93" s="3339">
        <f t="shared" si="44"/>
        <v>88</v>
      </c>
      <c r="AA93" s="3340">
        <f t="shared" si="44"/>
        <v>311</v>
      </c>
      <c r="AB93" s="3339">
        <f t="shared" ref="AB93:AG93" si="45">SUM(AB92,AB87,AB83)</f>
        <v>136</v>
      </c>
      <c r="AC93" s="3340">
        <f t="shared" si="45"/>
        <v>326</v>
      </c>
      <c r="AD93" s="3339">
        <f t="shared" si="45"/>
        <v>255</v>
      </c>
      <c r="AE93" s="3340">
        <f t="shared" si="45"/>
        <v>497</v>
      </c>
      <c r="AF93" s="3339">
        <f t="shared" si="45"/>
        <v>246</v>
      </c>
      <c r="AG93" s="3340">
        <f t="shared" si="45"/>
        <v>614</v>
      </c>
      <c r="AH93" s="3339">
        <f>SUM(AH92,AH87,AH83)</f>
        <v>306</v>
      </c>
      <c r="AI93" s="3340">
        <f>SUM(AI92,AI87,AI83)</f>
        <v>745</v>
      </c>
      <c r="AJ93" s="3339">
        <f t="shared" ref="AJ93:AK93" si="46">SUM(AJ92,AJ87,AJ83)</f>
        <v>350</v>
      </c>
      <c r="AK93" s="3340">
        <f t="shared" si="46"/>
        <v>922</v>
      </c>
    </row>
    <row r="94" spans="1:37" ht="15" customHeight="1" x14ac:dyDescent="0.2">
      <c r="A94" s="6677" t="s">
        <v>325</v>
      </c>
      <c r="B94" s="6680" t="s">
        <v>5</v>
      </c>
      <c r="C94" s="3324" t="s">
        <v>503</v>
      </c>
      <c r="D94" s="3325"/>
      <c r="E94" s="3326"/>
      <c r="F94" s="3325"/>
      <c r="G94" s="3326"/>
      <c r="H94" s="3325"/>
      <c r="I94" s="3326"/>
      <c r="J94" s="3325"/>
      <c r="K94" s="3326"/>
      <c r="L94" s="3325"/>
      <c r="M94" s="3326"/>
      <c r="N94" s="3325"/>
      <c r="O94" s="3326"/>
      <c r="P94" s="3325"/>
      <c r="Q94" s="3326"/>
      <c r="R94" s="3325"/>
      <c r="S94" s="3326"/>
      <c r="T94" s="3325"/>
      <c r="U94" s="3326"/>
      <c r="V94" s="3325"/>
      <c r="W94" s="3326"/>
      <c r="X94" s="3325">
        <v>22</v>
      </c>
      <c r="Y94" s="3326">
        <v>22</v>
      </c>
      <c r="Z94" s="3325">
        <v>17</v>
      </c>
      <c r="AA94" s="3326">
        <v>40</v>
      </c>
      <c r="AB94" s="3325">
        <v>18</v>
      </c>
      <c r="AC94" s="3326">
        <v>50</v>
      </c>
      <c r="AD94" s="3325">
        <v>8</v>
      </c>
      <c r="AE94" s="3326">
        <v>45</v>
      </c>
      <c r="AF94" s="3325">
        <v>31</v>
      </c>
      <c r="AG94" s="3326">
        <v>61</v>
      </c>
      <c r="AH94" s="3325">
        <v>14</v>
      </c>
      <c r="AI94" s="3326">
        <v>49</v>
      </c>
      <c r="AJ94" s="3325">
        <v>29</v>
      </c>
      <c r="AK94" s="3326">
        <v>54</v>
      </c>
    </row>
    <row r="95" spans="1:37" ht="15" customHeight="1" x14ac:dyDescent="0.2">
      <c r="A95" s="6678"/>
      <c r="B95" s="6681"/>
      <c r="C95" s="3324" t="s">
        <v>1579</v>
      </c>
      <c r="D95" s="3325"/>
      <c r="E95" s="3326"/>
      <c r="F95" s="3325"/>
      <c r="G95" s="3326"/>
      <c r="H95" s="3325"/>
      <c r="I95" s="3326"/>
      <c r="J95" s="3325"/>
      <c r="K95" s="3326"/>
      <c r="L95" s="3325"/>
      <c r="M95" s="3326"/>
      <c r="N95" s="3325"/>
      <c r="O95" s="3326"/>
      <c r="P95" s="3325"/>
      <c r="Q95" s="3326"/>
      <c r="R95" s="3325"/>
      <c r="S95" s="3326"/>
      <c r="T95" s="3325"/>
      <c r="U95" s="3326"/>
      <c r="V95" s="3325"/>
      <c r="W95" s="3326"/>
      <c r="X95" s="3325"/>
      <c r="Y95" s="3326"/>
      <c r="Z95" s="3325"/>
      <c r="AA95" s="3326"/>
      <c r="AB95" s="3325"/>
      <c r="AC95" s="3326"/>
      <c r="AD95" s="3325"/>
      <c r="AE95" s="3326"/>
      <c r="AF95" s="3325"/>
      <c r="AG95" s="3326"/>
      <c r="AH95" s="3325"/>
      <c r="AI95" s="3326"/>
      <c r="AJ95" s="3325">
        <v>18</v>
      </c>
      <c r="AK95" s="3326">
        <v>17</v>
      </c>
    </row>
    <row r="96" spans="1:37" ht="15" customHeight="1" x14ac:dyDescent="0.2">
      <c r="A96" s="6677"/>
      <c r="B96" s="6682"/>
      <c r="C96" s="3318" t="s">
        <v>160</v>
      </c>
      <c r="D96" s="3319"/>
      <c r="E96" s="3320"/>
      <c r="F96" s="3319"/>
      <c r="G96" s="3320"/>
      <c r="H96" s="3319"/>
      <c r="I96" s="3320"/>
      <c r="J96" s="3319"/>
      <c r="K96" s="3320"/>
      <c r="L96" s="3319"/>
      <c r="M96" s="3320"/>
      <c r="N96" s="3319"/>
      <c r="O96" s="3320"/>
      <c r="P96" s="3319"/>
      <c r="Q96" s="3320"/>
      <c r="R96" s="3319"/>
      <c r="S96" s="3320"/>
      <c r="T96" s="3319"/>
      <c r="U96" s="3320"/>
      <c r="V96" s="3319"/>
      <c r="W96" s="3320"/>
      <c r="X96" s="3319">
        <f>SUM(X94)</f>
        <v>22</v>
      </c>
      <c r="Y96" s="3320">
        <f t="shared" ref="Y96:AE96" si="47">SUM(Y94)</f>
        <v>22</v>
      </c>
      <c r="Z96" s="3319">
        <f t="shared" si="47"/>
        <v>17</v>
      </c>
      <c r="AA96" s="3320">
        <f t="shared" si="47"/>
        <v>40</v>
      </c>
      <c r="AB96" s="3319">
        <f t="shared" si="47"/>
        <v>18</v>
      </c>
      <c r="AC96" s="3320">
        <f t="shared" si="47"/>
        <v>50</v>
      </c>
      <c r="AD96" s="3319">
        <f t="shared" si="47"/>
        <v>8</v>
      </c>
      <c r="AE96" s="3320">
        <f t="shared" si="47"/>
        <v>45</v>
      </c>
      <c r="AF96" s="3319">
        <f>SUM(AF94)</f>
        <v>31</v>
      </c>
      <c r="AG96" s="3320">
        <f>SUM(AG94)</f>
        <v>61</v>
      </c>
      <c r="AH96" s="3319">
        <f>SUM(AH94)</f>
        <v>14</v>
      </c>
      <c r="AI96" s="3320">
        <f>SUM(AI94)</f>
        <v>49</v>
      </c>
      <c r="AJ96" s="3319">
        <f>SUM(AJ94:AJ95)</f>
        <v>47</v>
      </c>
      <c r="AK96" s="3320">
        <f>SUM(AK94:AK95)</f>
        <v>71</v>
      </c>
    </row>
    <row r="97" spans="1:37" ht="15" customHeight="1" x14ac:dyDescent="0.2">
      <c r="A97" s="6677"/>
      <c r="B97" s="6680" t="s">
        <v>6</v>
      </c>
      <c r="C97" s="3315" t="s">
        <v>504</v>
      </c>
      <c r="D97" s="3316"/>
      <c r="E97" s="3317"/>
      <c r="F97" s="3316"/>
      <c r="G97" s="3317"/>
      <c r="H97" s="3316"/>
      <c r="I97" s="3317"/>
      <c r="J97" s="3316"/>
      <c r="K97" s="3317"/>
      <c r="L97" s="3316"/>
      <c r="M97" s="3317"/>
      <c r="N97" s="3316"/>
      <c r="O97" s="3317"/>
      <c r="P97" s="3316"/>
      <c r="Q97" s="3317"/>
      <c r="R97" s="3316"/>
      <c r="S97" s="3317"/>
      <c r="T97" s="3316"/>
      <c r="U97" s="3317"/>
      <c r="V97" s="3316"/>
      <c r="W97" s="3317"/>
      <c r="X97" s="3316">
        <v>25</v>
      </c>
      <c r="Y97" s="3317">
        <v>25</v>
      </c>
      <c r="Z97" s="3316">
        <v>20</v>
      </c>
      <c r="AA97" s="3317">
        <v>45</v>
      </c>
      <c r="AB97" s="3316">
        <v>19</v>
      </c>
      <c r="AC97" s="3317">
        <v>4</v>
      </c>
      <c r="AD97" s="3316">
        <v>12</v>
      </c>
      <c r="AE97" s="3317">
        <v>65</v>
      </c>
      <c r="AF97" s="3316">
        <v>27</v>
      </c>
      <c r="AG97" s="3317">
        <v>83</v>
      </c>
      <c r="AH97" s="3316">
        <v>37</v>
      </c>
      <c r="AI97" s="3317">
        <v>81</v>
      </c>
      <c r="AJ97" s="3316">
        <v>30</v>
      </c>
      <c r="AK97" s="3317">
        <v>87</v>
      </c>
    </row>
    <row r="98" spans="1:37" ht="15" customHeight="1" x14ac:dyDescent="0.2">
      <c r="A98" s="6677"/>
      <c r="B98" s="6681"/>
      <c r="C98" s="3315" t="s">
        <v>629</v>
      </c>
      <c r="D98" s="3316"/>
      <c r="E98" s="3317"/>
      <c r="F98" s="3316"/>
      <c r="G98" s="3317"/>
      <c r="H98" s="3316"/>
      <c r="I98" s="3317"/>
      <c r="J98" s="3316"/>
      <c r="K98" s="3317"/>
      <c r="L98" s="3316"/>
      <c r="M98" s="3317"/>
      <c r="N98" s="3316"/>
      <c r="O98" s="3317"/>
      <c r="P98" s="3316"/>
      <c r="Q98" s="3317"/>
      <c r="R98" s="3316"/>
      <c r="S98" s="3317"/>
      <c r="T98" s="3316"/>
      <c r="U98" s="3317"/>
      <c r="V98" s="3316"/>
      <c r="W98" s="3317"/>
      <c r="X98" s="3316"/>
      <c r="Y98" s="3317"/>
      <c r="Z98" s="3316"/>
      <c r="AA98" s="3317"/>
      <c r="AB98" s="3316">
        <v>4</v>
      </c>
      <c r="AC98" s="3317">
        <v>57</v>
      </c>
      <c r="AD98" s="3316">
        <v>9</v>
      </c>
      <c r="AE98" s="3317">
        <v>12</v>
      </c>
      <c r="AF98" s="3316">
        <v>18</v>
      </c>
      <c r="AG98" s="3317">
        <v>27</v>
      </c>
      <c r="AH98" s="3316">
        <v>8</v>
      </c>
      <c r="AI98" s="3317">
        <v>32</v>
      </c>
      <c r="AJ98" s="3316">
        <v>11</v>
      </c>
      <c r="AK98" s="3317">
        <v>36</v>
      </c>
    </row>
    <row r="99" spans="1:37" ht="15" customHeight="1" x14ac:dyDescent="0.2">
      <c r="A99" s="6677"/>
      <c r="B99" s="6682"/>
      <c r="C99" s="3318" t="s">
        <v>160</v>
      </c>
      <c r="D99" s="3319"/>
      <c r="E99" s="3320"/>
      <c r="F99" s="3319"/>
      <c r="G99" s="3320"/>
      <c r="H99" s="3319"/>
      <c r="I99" s="3320"/>
      <c r="J99" s="3319"/>
      <c r="K99" s="3320"/>
      <c r="L99" s="3319"/>
      <c r="M99" s="3320"/>
      <c r="N99" s="3319"/>
      <c r="O99" s="3320"/>
      <c r="P99" s="3319"/>
      <c r="Q99" s="3320"/>
      <c r="R99" s="3319"/>
      <c r="S99" s="3320"/>
      <c r="T99" s="3319"/>
      <c r="U99" s="3320"/>
      <c r="V99" s="3319"/>
      <c r="W99" s="3320"/>
      <c r="X99" s="3319">
        <f t="shared" ref="X99:AC99" si="48">SUM(X97:X98)</f>
        <v>25</v>
      </c>
      <c r="Y99" s="3320">
        <f t="shared" si="48"/>
        <v>25</v>
      </c>
      <c r="Z99" s="3319">
        <f t="shared" si="48"/>
        <v>20</v>
      </c>
      <c r="AA99" s="3320">
        <f t="shared" si="48"/>
        <v>45</v>
      </c>
      <c r="AB99" s="3319">
        <f t="shared" si="48"/>
        <v>23</v>
      </c>
      <c r="AC99" s="3320">
        <f t="shared" si="48"/>
        <v>61</v>
      </c>
      <c r="AD99" s="3319">
        <f t="shared" ref="AD99:AK99" si="49">SUM(AD97:AD98)</f>
        <v>21</v>
      </c>
      <c r="AE99" s="3320">
        <f t="shared" si="49"/>
        <v>77</v>
      </c>
      <c r="AF99" s="3319">
        <f t="shared" si="49"/>
        <v>45</v>
      </c>
      <c r="AG99" s="3320">
        <f t="shared" si="49"/>
        <v>110</v>
      </c>
      <c r="AH99" s="3319">
        <f t="shared" si="49"/>
        <v>45</v>
      </c>
      <c r="AI99" s="3320">
        <f t="shared" si="49"/>
        <v>113</v>
      </c>
      <c r="AJ99" s="3319">
        <f t="shared" si="49"/>
        <v>41</v>
      </c>
      <c r="AK99" s="3320">
        <f t="shared" si="49"/>
        <v>123</v>
      </c>
    </row>
    <row r="100" spans="1:37" ht="15" customHeight="1" x14ac:dyDescent="0.2">
      <c r="A100" s="6677"/>
      <c r="B100" s="6680" t="s">
        <v>11</v>
      </c>
      <c r="C100" s="3315" t="s">
        <v>505</v>
      </c>
      <c r="D100" s="3316"/>
      <c r="E100" s="3317"/>
      <c r="F100" s="3316"/>
      <c r="G100" s="3317"/>
      <c r="H100" s="3316"/>
      <c r="I100" s="3317"/>
      <c r="J100" s="3316"/>
      <c r="K100" s="3317"/>
      <c r="L100" s="3316"/>
      <c r="M100" s="3317"/>
      <c r="N100" s="3316"/>
      <c r="O100" s="3317"/>
      <c r="P100" s="3316"/>
      <c r="Q100" s="3317"/>
      <c r="R100" s="3316"/>
      <c r="S100" s="3317"/>
      <c r="T100" s="3316"/>
      <c r="U100" s="3317"/>
      <c r="V100" s="3316"/>
      <c r="W100" s="3317"/>
      <c r="X100" s="3316">
        <v>29</v>
      </c>
      <c r="Y100" s="3317">
        <v>26</v>
      </c>
      <c r="Z100" s="3316">
        <v>9</v>
      </c>
      <c r="AA100" s="3317">
        <v>28</v>
      </c>
      <c r="AB100" s="3316">
        <v>20</v>
      </c>
      <c r="AC100" s="3317">
        <v>34</v>
      </c>
      <c r="AD100" s="3316">
        <v>22</v>
      </c>
      <c r="AE100" s="3317">
        <v>50</v>
      </c>
      <c r="AF100" s="3316">
        <v>46</v>
      </c>
      <c r="AG100" s="3317">
        <v>89</v>
      </c>
      <c r="AH100" s="3316">
        <v>24</v>
      </c>
      <c r="AI100" s="3317">
        <v>86</v>
      </c>
      <c r="AJ100" s="3316">
        <v>32</v>
      </c>
      <c r="AK100" s="3317">
        <v>82</v>
      </c>
    </row>
    <row r="101" spans="1:37" ht="15" customHeight="1" x14ac:dyDescent="0.2">
      <c r="A101" s="6678"/>
      <c r="B101" s="6681"/>
      <c r="C101" s="5360" t="s">
        <v>1582</v>
      </c>
      <c r="D101" s="5361"/>
      <c r="E101" s="5362"/>
      <c r="F101" s="5361"/>
      <c r="G101" s="5362"/>
      <c r="H101" s="5361"/>
      <c r="I101" s="5362"/>
      <c r="J101" s="5361"/>
      <c r="K101" s="5362"/>
      <c r="L101" s="5361"/>
      <c r="M101" s="5362"/>
      <c r="N101" s="5361"/>
      <c r="O101" s="5362"/>
      <c r="P101" s="5361"/>
      <c r="Q101" s="5362"/>
      <c r="R101" s="5361"/>
      <c r="S101" s="5362"/>
      <c r="T101" s="5361"/>
      <c r="U101" s="5362"/>
      <c r="V101" s="5361"/>
      <c r="W101" s="5362"/>
      <c r="X101" s="5361"/>
      <c r="Y101" s="5362"/>
      <c r="Z101" s="5361"/>
      <c r="AA101" s="5362"/>
      <c r="AB101" s="5361"/>
      <c r="AC101" s="5362"/>
      <c r="AD101" s="5361"/>
      <c r="AE101" s="5362"/>
      <c r="AF101" s="5361"/>
      <c r="AG101" s="5362"/>
      <c r="AH101" s="5361"/>
      <c r="AI101" s="5362"/>
      <c r="AJ101" s="5361">
        <v>14</v>
      </c>
      <c r="AK101" s="5362">
        <v>14</v>
      </c>
    </row>
    <row r="102" spans="1:37" ht="15" customHeight="1" x14ac:dyDescent="0.2">
      <c r="A102" s="6677"/>
      <c r="B102" s="6682"/>
      <c r="C102" s="4252" t="s">
        <v>160</v>
      </c>
      <c r="D102" s="4253"/>
      <c r="E102" s="4254"/>
      <c r="F102" s="4253"/>
      <c r="G102" s="4254"/>
      <c r="H102" s="4253"/>
      <c r="I102" s="4254"/>
      <c r="J102" s="4253"/>
      <c r="K102" s="4254"/>
      <c r="L102" s="4253"/>
      <c r="M102" s="4254"/>
      <c r="N102" s="4253"/>
      <c r="O102" s="4254"/>
      <c r="P102" s="4253"/>
      <c r="Q102" s="4254"/>
      <c r="R102" s="4253"/>
      <c r="S102" s="4254"/>
      <c r="T102" s="4253"/>
      <c r="U102" s="4254"/>
      <c r="V102" s="4253"/>
      <c r="W102" s="4254"/>
      <c r="X102" s="4253">
        <f>SUM(X100)</f>
        <v>29</v>
      </c>
      <c r="Y102" s="4254">
        <f t="shared" ref="Y102:AE102" si="50">SUM(Y100)</f>
        <v>26</v>
      </c>
      <c r="Z102" s="4253">
        <f t="shared" si="50"/>
        <v>9</v>
      </c>
      <c r="AA102" s="4254">
        <f t="shared" si="50"/>
        <v>28</v>
      </c>
      <c r="AB102" s="4253">
        <f t="shared" si="50"/>
        <v>20</v>
      </c>
      <c r="AC102" s="4254">
        <f t="shared" si="50"/>
        <v>34</v>
      </c>
      <c r="AD102" s="4253">
        <f t="shared" si="50"/>
        <v>22</v>
      </c>
      <c r="AE102" s="4254">
        <f t="shared" si="50"/>
        <v>50</v>
      </c>
      <c r="AF102" s="4253">
        <f>SUM(AF100)</f>
        <v>46</v>
      </c>
      <c r="AG102" s="4254">
        <f>SUM(AG100)</f>
        <v>89</v>
      </c>
      <c r="AH102" s="4253">
        <f>SUM(AH100)</f>
        <v>24</v>
      </c>
      <c r="AI102" s="4254">
        <f>SUM(AI100)</f>
        <v>86</v>
      </c>
      <c r="AJ102" s="4253">
        <f>SUM(AJ100:AJ101)</f>
        <v>46</v>
      </c>
      <c r="AK102" s="4254">
        <f>SUM(AK100:AK101)</f>
        <v>96</v>
      </c>
    </row>
    <row r="103" spans="1:37" ht="15" customHeight="1" x14ac:dyDescent="0.2">
      <c r="A103" s="6679"/>
      <c r="B103" s="3330"/>
      <c r="C103" s="3331" t="s">
        <v>444</v>
      </c>
      <c r="D103" s="3332"/>
      <c r="E103" s="3333"/>
      <c r="F103" s="3332"/>
      <c r="G103" s="3333"/>
      <c r="H103" s="3332"/>
      <c r="I103" s="3333"/>
      <c r="J103" s="3332"/>
      <c r="K103" s="3333"/>
      <c r="L103" s="3332"/>
      <c r="M103" s="3333"/>
      <c r="N103" s="3332"/>
      <c r="O103" s="3333"/>
      <c r="P103" s="3332"/>
      <c r="Q103" s="3333"/>
      <c r="R103" s="3332"/>
      <c r="S103" s="3333"/>
      <c r="T103" s="3332"/>
      <c r="U103" s="3333"/>
      <c r="V103" s="3332"/>
      <c r="W103" s="3333"/>
      <c r="X103" s="3334">
        <f>SUM(X102,X99,X96)</f>
        <v>76</v>
      </c>
      <c r="Y103" s="3335">
        <f t="shared" ref="Y103:AE103" si="51">SUM(Y102,Y99,Y96)</f>
        <v>73</v>
      </c>
      <c r="Z103" s="3334">
        <f t="shared" si="51"/>
        <v>46</v>
      </c>
      <c r="AA103" s="3335">
        <f t="shared" si="51"/>
        <v>113</v>
      </c>
      <c r="AB103" s="3334">
        <f t="shared" si="51"/>
        <v>61</v>
      </c>
      <c r="AC103" s="3335">
        <f t="shared" si="51"/>
        <v>145</v>
      </c>
      <c r="AD103" s="3334">
        <f t="shared" si="51"/>
        <v>51</v>
      </c>
      <c r="AE103" s="3335">
        <f t="shared" si="51"/>
        <v>172</v>
      </c>
      <c r="AF103" s="3334">
        <f>SUM(AF102,AF99,AF96)</f>
        <v>122</v>
      </c>
      <c r="AG103" s="3335">
        <f>SUM(AG102,AG99,AG96)</f>
        <v>260</v>
      </c>
      <c r="AH103" s="3334">
        <f>SUM(AH102,AH99,AH96)</f>
        <v>83</v>
      </c>
      <c r="AI103" s="3335">
        <f>SUM(AI102,AI99,AI96)</f>
        <v>248</v>
      </c>
      <c r="AJ103" s="3334">
        <f>SUM(AJ96,AJ99,AJ102)</f>
        <v>134</v>
      </c>
      <c r="AK103" s="3335">
        <f>SUM(AK96,AK99,AK102)</f>
        <v>290</v>
      </c>
    </row>
    <row r="104" spans="1:37" ht="14.25" x14ac:dyDescent="0.2">
      <c r="A104" s="1325"/>
      <c r="B104" s="1325"/>
      <c r="C104" s="1325"/>
      <c r="D104" s="2144"/>
      <c r="E104" s="2144"/>
      <c r="F104" s="2144"/>
      <c r="G104" s="2144"/>
      <c r="H104" s="2145"/>
      <c r="I104" s="2145"/>
      <c r="J104" s="2145"/>
      <c r="K104" s="2145"/>
      <c r="L104" s="2145"/>
      <c r="M104" s="2145"/>
      <c r="N104" s="2145"/>
      <c r="O104" s="2145"/>
      <c r="P104" s="2145"/>
      <c r="Q104" s="2145"/>
      <c r="R104" s="2145"/>
      <c r="S104" s="2145"/>
      <c r="T104" s="2145"/>
      <c r="U104" s="2145"/>
      <c r="V104" s="2145"/>
      <c r="W104" s="2145"/>
      <c r="X104" s="2145"/>
      <c r="Y104" s="2145"/>
      <c r="Z104" s="2145"/>
      <c r="AA104" s="2145"/>
      <c r="AB104" s="2145"/>
      <c r="AC104" s="2145"/>
      <c r="AD104" s="2145"/>
      <c r="AE104" s="2145"/>
      <c r="AF104" s="2145"/>
      <c r="AG104" s="2145"/>
      <c r="AH104" s="2145"/>
      <c r="AI104" s="2145"/>
      <c r="AJ104" s="2145"/>
      <c r="AK104" s="2145"/>
    </row>
    <row r="105" spans="1:37" s="917" customFormat="1" ht="19.5" customHeight="1" x14ac:dyDescent="0.2">
      <c r="A105" s="6669" t="s">
        <v>12</v>
      </c>
      <c r="B105" s="6669"/>
      <c r="C105" s="6670"/>
      <c r="D105" s="2146">
        <f t="shared" ref="D105:AC105" si="52">SUM(D78,D56,D25,D93,D103)</f>
        <v>159</v>
      </c>
      <c r="E105" s="2147">
        <f t="shared" si="52"/>
        <v>153</v>
      </c>
      <c r="F105" s="2146">
        <f t="shared" si="52"/>
        <v>871</v>
      </c>
      <c r="G105" s="2147">
        <f t="shared" si="52"/>
        <v>960</v>
      </c>
      <c r="H105" s="2146">
        <f t="shared" si="52"/>
        <v>968</v>
      </c>
      <c r="I105" s="2147">
        <f t="shared" si="52"/>
        <v>1758</v>
      </c>
      <c r="J105" s="2146">
        <f t="shared" si="52"/>
        <v>1077</v>
      </c>
      <c r="K105" s="2147">
        <f t="shared" si="52"/>
        <v>2455</v>
      </c>
      <c r="L105" s="2146">
        <f t="shared" si="52"/>
        <v>1367</v>
      </c>
      <c r="M105" s="2147">
        <f t="shared" si="52"/>
        <v>3186</v>
      </c>
      <c r="N105" s="2146">
        <f t="shared" si="52"/>
        <v>3053</v>
      </c>
      <c r="O105" s="2147">
        <f t="shared" si="52"/>
        <v>5263</v>
      </c>
      <c r="P105" s="2146">
        <f t="shared" si="52"/>
        <v>2419</v>
      </c>
      <c r="Q105" s="2147">
        <f t="shared" si="52"/>
        <v>6523</v>
      </c>
      <c r="R105" s="2146">
        <f t="shared" si="52"/>
        <v>2231</v>
      </c>
      <c r="S105" s="2147">
        <f t="shared" si="52"/>
        <v>6627</v>
      </c>
      <c r="T105" s="2146">
        <f t="shared" si="52"/>
        <v>3959</v>
      </c>
      <c r="U105" s="2147">
        <f t="shared" si="52"/>
        <v>7880</v>
      </c>
      <c r="V105" s="2146">
        <f t="shared" si="52"/>
        <v>4611</v>
      </c>
      <c r="W105" s="2147">
        <f t="shared" si="52"/>
        <v>9880</v>
      </c>
      <c r="X105" s="2146">
        <f t="shared" si="52"/>
        <v>4272</v>
      </c>
      <c r="Y105" s="2147">
        <f t="shared" si="52"/>
        <v>11531</v>
      </c>
      <c r="Z105" s="2146">
        <f t="shared" si="52"/>
        <v>3716</v>
      </c>
      <c r="AA105" s="2147">
        <f t="shared" si="52"/>
        <v>11963</v>
      </c>
      <c r="AB105" s="2146">
        <f t="shared" si="52"/>
        <v>4046</v>
      </c>
      <c r="AC105" s="2147">
        <f t="shared" si="52"/>
        <v>12043</v>
      </c>
      <c r="AD105" s="2146">
        <f t="shared" ref="AD105:AK105" si="53">SUM(AD78,AD56,AD25,AD93,AD103)</f>
        <v>4746</v>
      </c>
      <c r="AE105" s="2147">
        <f t="shared" si="53"/>
        <v>12970</v>
      </c>
      <c r="AF105" s="2146">
        <f t="shared" si="53"/>
        <v>4178</v>
      </c>
      <c r="AG105" s="2147">
        <f t="shared" si="53"/>
        <v>13338</v>
      </c>
      <c r="AH105" s="2146">
        <f t="shared" si="53"/>
        <v>4958</v>
      </c>
      <c r="AI105" s="2147">
        <f t="shared" si="53"/>
        <v>14114</v>
      </c>
      <c r="AJ105" s="2146">
        <f t="shared" si="53"/>
        <v>5141</v>
      </c>
      <c r="AK105" s="2147">
        <f t="shared" si="53"/>
        <v>15198</v>
      </c>
    </row>
    <row r="106" spans="1:37" x14ac:dyDescent="0.2">
      <c r="A106" s="911"/>
      <c r="B106" s="911"/>
      <c r="C106" s="912"/>
      <c r="D106" s="913"/>
      <c r="E106" s="913"/>
      <c r="F106" s="913"/>
      <c r="G106" s="913"/>
      <c r="H106" s="911"/>
      <c r="I106" s="911"/>
      <c r="J106" s="911"/>
      <c r="K106" s="911"/>
      <c r="L106" s="918"/>
      <c r="M106" s="918"/>
      <c r="N106" s="911"/>
    </row>
    <row r="107" spans="1:37" ht="18" x14ac:dyDescent="0.25">
      <c r="H107" s="920"/>
      <c r="I107" s="920"/>
      <c r="J107" s="920"/>
      <c r="K107" s="920"/>
      <c r="L107" s="920"/>
    </row>
  </sheetData>
  <sheetProtection algorithmName="SHA-512" hashValue="tb4C1owBcZGk95lNg0ZxkHrkEiK8fiwt4UmcKne2XLujTXDPGv73bRFmjGdEwb1YORC0I0T03zW6H/rkJYovfA==" saltValue="NtMwtmnBg7qWtDXR0xpMsA==" spinCount="100000" sheet="1" objects="1" scenarios="1"/>
  <mergeCells count="43">
    <mergeCell ref="A3:A4"/>
    <mergeCell ref="B3:B4"/>
    <mergeCell ref="C3:C4"/>
    <mergeCell ref="A26:A56"/>
    <mergeCell ref="A1:C1"/>
    <mergeCell ref="A5:A25"/>
    <mergeCell ref="B5:B15"/>
    <mergeCell ref="B16:B20"/>
    <mergeCell ref="B21:B24"/>
    <mergeCell ref="A57:A78"/>
    <mergeCell ref="B57:B63"/>
    <mergeCell ref="B64:B72"/>
    <mergeCell ref="B73:B77"/>
    <mergeCell ref="B26:B36"/>
    <mergeCell ref="B37:B48"/>
    <mergeCell ref="B49:B55"/>
    <mergeCell ref="A105:C105"/>
    <mergeCell ref="A79:A93"/>
    <mergeCell ref="B79:B83"/>
    <mergeCell ref="B84:B87"/>
    <mergeCell ref="B88:B92"/>
    <mergeCell ref="A94:A103"/>
    <mergeCell ref="B97:B99"/>
    <mergeCell ref="B94:B96"/>
    <mergeCell ref="B100:B102"/>
    <mergeCell ref="H3:I3"/>
    <mergeCell ref="J3:K3"/>
    <mergeCell ref="L3:M3"/>
    <mergeCell ref="D3:E3"/>
    <mergeCell ref="F3:G3"/>
    <mergeCell ref="AJ3:AK3"/>
    <mergeCell ref="N3:O3"/>
    <mergeCell ref="AH3:AI3"/>
    <mergeCell ref="AF3:AG3"/>
    <mergeCell ref="AD1:AE1"/>
    <mergeCell ref="Z3:AA3"/>
    <mergeCell ref="P3:Q3"/>
    <mergeCell ref="AD3:AE3"/>
    <mergeCell ref="R3:S3"/>
    <mergeCell ref="AB3:AC3"/>
    <mergeCell ref="T3:U3"/>
    <mergeCell ref="V3:W3"/>
    <mergeCell ref="X3:Y3"/>
  </mergeCells>
  <printOptions horizontalCentered="1" verticalCentered="1"/>
  <pageMargins left="0.74803149606299213" right="0.74803149606299213" top="0.39370078740157483" bottom="0.39370078740157483" header="0" footer="0"/>
  <pageSetup scale="58" pageOrder="overThenDown" orientation="landscape" r:id="rId1"/>
  <headerFooter alignWithMargins="0"/>
  <rowBreaks count="1" manualBreakCount="1">
    <brk id="56" max="16383" man="1"/>
  </rowBreaks>
  <colBreaks count="1" manualBreakCount="1">
    <brk id="17" max="1048575" man="1"/>
  </colBreaks>
  <ignoredErrors>
    <ignoredError sqref="Y99:AC99 AD99:AE99" formulaRange="1"/>
    <ignoredError sqref="AD25:AG25" formula="1"/>
  </ignoredError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J59"/>
  <sheetViews>
    <sheetView showGridLines="0" zoomScaleNormal="100" zoomScaleSheetLayoutView="9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P21" sqref="P21"/>
    </sheetView>
  </sheetViews>
  <sheetFormatPr baseColWidth="10" defaultRowHeight="12.75" x14ac:dyDescent="0.2"/>
  <cols>
    <col min="1" max="1" width="18.140625" style="209" customWidth="1"/>
    <col min="2" max="2" width="9.140625" style="209" bestFit="1" customWidth="1"/>
    <col min="3" max="36" width="9.7109375" style="209" customWidth="1"/>
    <col min="37" max="258" width="11.42578125" style="209"/>
    <col min="259" max="260" width="1.42578125" style="209" customWidth="1"/>
    <col min="261" max="261" width="24.5703125" style="209" customWidth="1"/>
    <col min="262" max="262" width="15.5703125" style="209" customWidth="1"/>
    <col min="263" max="276" width="10.7109375" style="209" customWidth="1"/>
    <col min="277" max="277" width="3.7109375" style="209" customWidth="1"/>
    <col min="278" max="514" width="11.42578125" style="209"/>
    <col min="515" max="516" width="1.42578125" style="209" customWidth="1"/>
    <col min="517" max="517" width="24.5703125" style="209" customWidth="1"/>
    <col min="518" max="518" width="15.5703125" style="209" customWidth="1"/>
    <col min="519" max="532" width="10.7109375" style="209" customWidth="1"/>
    <col min="533" max="533" width="3.7109375" style="209" customWidth="1"/>
    <col min="534" max="770" width="11.42578125" style="209"/>
    <col min="771" max="772" width="1.42578125" style="209" customWidth="1"/>
    <col min="773" max="773" width="24.5703125" style="209" customWidth="1"/>
    <col min="774" max="774" width="15.5703125" style="209" customWidth="1"/>
    <col min="775" max="788" width="10.7109375" style="209" customWidth="1"/>
    <col min="789" max="789" width="3.7109375" style="209" customWidth="1"/>
    <col min="790" max="1026" width="11.42578125" style="209"/>
    <col min="1027" max="1028" width="1.42578125" style="209" customWidth="1"/>
    <col min="1029" max="1029" width="24.5703125" style="209" customWidth="1"/>
    <col min="1030" max="1030" width="15.5703125" style="209" customWidth="1"/>
    <col min="1031" max="1044" width="10.7109375" style="209" customWidth="1"/>
    <col min="1045" max="1045" width="3.7109375" style="209" customWidth="1"/>
    <col min="1046" max="1282" width="11.42578125" style="209"/>
    <col min="1283" max="1284" width="1.42578125" style="209" customWidth="1"/>
    <col min="1285" max="1285" width="24.5703125" style="209" customWidth="1"/>
    <col min="1286" max="1286" width="15.5703125" style="209" customWidth="1"/>
    <col min="1287" max="1300" width="10.7109375" style="209" customWidth="1"/>
    <col min="1301" max="1301" width="3.7109375" style="209" customWidth="1"/>
    <col min="1302" max="1538" width="11.42578125" style="209"/>
    <col min="1539" max="1540" width="1.42578125" style="209" customWidth="1"/>
    <col min="1541" max="1541" width="24.5703125" style="209" customWidth="1"/>
    <col min="1542" max="1542" width="15.5703125" style="209" customWidth="1"/>
    <col min="1543" max="1556" width="10.7109375" style="209" customWidth="1"/>
    <col min="1557" max="1557" width="3.7109375" style="209" customWidth="1"/>
    <col min="1558" max="1794" width="11.42578125" style="209"/>
    <col min="1795" max="1796" width="1.42578125" style="209" customWidth="1"/>
    <col min="1797" max="1797" width="24.5703125" style="209" customWidth="1"/>
    <col min="1798" max="1798" width="15.5703125" style="209" customWidth="1"/>
    <col min="1799" max="1812" width="10.7109375" style="209" customWidth="1"/>
    <col min="1813" max="1813" width="3.7109375" style="209" customWidth="1"/>
    <col min="1814" max="2050" width="11.42578125" style="209"/>
    <col min="2051" max="2052" width="1.42578125" style="209" customWidth="1"/>
    <col min="2053" max="2053" width="24.5703125" style="209" customWidth="1"/>
    <col min="2054" max="2054" width="15.5703125" style="209" customWidth="1"/>
    <col min="2055" max="2068" width="10.7109375" style="209" customWidth="1"/>
    <col min="2069" max="2069" width="3.7109375" style="209" customWidth="1"/>
    <col min="2070" max="2306" width="11.42578125" style="209"/>
    <col min="2307" max="2308" width="1.42578125" style="209" customWidth="1"/>
    <col min="2309" max="2309" width="24.5703125" style="209" customWidth="1"/>
    <col min="2310" max="2310" width="15.5703125" style="209" customWidth="1"/>
    <col min="2311" max="2324" width="10.7109375" style="209" customWidth="1"/>
    <col min="2325" max="2325" width="3.7109375" style="209" customWidth="1"/>
    <col min="2326" max="2562" width="11.42578125" style="209"/>
    <col min="2563" max="2564" width="1.42578125" style="209" customWidth="1"/>
    <col min="2565" max="2565" width="24.5703125" style="209" customWidth="1"/>
    <col min="2566" max="2566" width="15.5703125" style="209" customWidth="1"/>
    <col min="2567" max="2580" width="10.7109375" style="209" customWidth="1"/>
    <col min="2581" max="2581" width="3.7109375" style="209" customWidth="1"/>
    <col min="2582" max="2818" width="11.42578125" style="209"/>
    <col min="2819" max="2820" width="1.42578125" style="209" customWidth="1"/>
    <col min="2821" max="2821" width="24.5703125" style="209" customWidth="1"/>
    <col min="2822" max="2822" width="15.5703125" style="209" customWidth="1"/>
    <col min="2823" max="2836" width="10.7109375" style="209" customWidth="1"/>
    <col min="2837" max="2837" width="3.7109375" style="209" customWidth="1"/>
    <col min="2838" max="3074" width="11.42578125" style="209"/>
    <col min="3075" max="3076" width="1.42578125" style="209" customWidth="1"/>
    <col min="3077" max="3077" width="24.5703125" style="209" customWidth="1"/>
    <col min="3078" max="3078" width="15.5703125" style="209" customWidth="1"/>
    <col min="3079" max="3092" width="10.7109375" style="209" customWidth="1"/>
    <col min="3093" max="3093" width="3.7109375" style="209" customWidth="1"/>
    <col min="3094" max="3330" width="11.42578125" style="209"/>
    <col min="3331" max="3332" width="1.42578125" style="209" customWidth="1"/>
    <col min="3333" max="3333" width="24.5703125" style="209" customWidth="1"/>
    <col min="3334" max="3334" width="15.5703125" style="209" customWidth="1"/>
    <col min="3335" max="3348" width="10.7109375" style="209" customWidth="1"/>
    <col min="3349" max="3349" width="3.7109375" style="209" customWidth="1"/>
    <col min="3350" max="3586" width="11.42578125" style="209"/>
    <col min="3587" max="3588" width="1.42578125" style="209" customWidth="1"/>
    <col min="3589" max="3589" width="24.5703125" style="209" customWidth="1"/>
    <col min="3590" max="3590" width="15.5703125" style="209" customWidth="1"/>
    <col min="3591" max="3604" width="10.7109375" style="209" customWidth="1"/>
    <col min="3605" max="3605" width="3.7109375" style="209" customWidth="1"/>
    <col min="3606" max="3842" width="11.42578125" style="209"/>
    <col min="3843" max="3844" width="1.42578125" style="209" customWidth="1"/>
    <col min="3845" max="3845" width="24.5703125" style="209" customWidth="1"/>
    <col min="3846" max="3846" width="15.5703125" style="209" customWidth="1"/>
    <col min="3847" max="3860" width="10.7109375" style="209" customWidth="1"/>
    <col min="3861" max="3861" width="3.7109375" style="209" customWidth="1"/>
    <col min="3862" max="4098" width="11.42578125" style="209"/>
    <col min="4099" max="4100" width="1.42578125" style="209" customWidth="1"/>
    <col min="4101" max="4101" width="24.5703125" style="209" customWidth="1"/>
    <col min="4102" max="4102" width="15.5703125" style="209" customWidth="1"/>
    <col min="4103" max="4116" width="10.7109375" style="209" customWidth="1"/>
    <col min="4117" max="4117" width="3.7109375" style="209" customWidth="1"/>
    <col min="4118" max="4354" width="11.42578125" style="209"/>
    <col min="4355" max="4356" width="1.42578125" style="209" customWidth="1"/>
    <col min="4357" max="4357" width="24.5703125" style="209" customWidth="1"/>
    <col min="4358" max="4358" width="15.5703125" style="209" customWidth="1"/>
    <col min="4359" max="4372" width="10.7109375" style="209" customWidth="1"/>
    <col min="4373" max="4373" width="3.7109375" style="209" customWidth="1"/>
    <col min="4374" max="4610" width="11.42578125" style="209"/>
    <col min="4611" max="4612" width="1.42578125" style="209" customWidth="1"/>
    <col min="4613" max="4613" width="24.5703125" style="209" customWidth="1"/>
    <col min="4614" max="4614" width="15.5703125" style="209" customWidth="1"/>
    <col min="4615" max="4628" width="10.7109375" style="209" customWidth="1"/>
    <col min="4629" max="4629" width="3.7109375" style="209" customWidth="1"/>
    <col min="4630" max="4866" width="11.42578125" style="209"/>
    <col min="4867" max="4868" width="1.42578125" style="209" customWidth="1"/>
    <col min="4869" max="4869" width="24.5703125" style="209" customWidth="1"/>
    <col min="4870" max="4870" width="15.5703125" style="209" customWidth="1"/>
    <col min="4871" max="4884" width="10.7109375" style="209" customWidth="1"/>
    <col min="4885" max="4885" width="3.7109375" style="209" customWidth="1"/>
    <col min="4886" max="5122" width="11.42578125" style="209"/>
    <col min="5123" max="5124" width="1.42578125" style="209" customWidth="1"/>
    <col min="5125" max="5125" width="24.5703125" style="209" customWidth="1"/>
    <col min="5126" max="5126" width="15.5703125" style="209" customWidth="1"/>
    <col min="5127" max="5140" width="10.7109375" style="209" customWidth="1"/>
    <col min="5141" max="5141" width="3.7109375" style="209" customWidth="1"/>
    <col min="5142" max="5378" width="11.42578125" style="209"/>
    <col min="5379" max="5380" width="1.42578125" style="209" customWidth="1"/>
    <col min="5381" max="5381" width="24.5703125" style="209" customWidth="1"/>
    <col min="5382" max="5382" width="15.5703125" style="209" customWidth="1"/>
    <col min="5383" max="5396" width="10.7109375" style="209" customWidth="1"/>
    <col min="5397" max="5397" width="3.7109375" style="209" customWidth="1"/>
    <col min="5398" max="5634" width="11.42578125" style="209"/>
    <col min="5635" max="5636" width="1.42578125" style="209" customWidth="1"/>
    <col min="5637" max="5637" width="24.5703125" style="209" customWidth="1"/>
    <col min="5638" max="5638" width="15.5703125" style="209" customWidth="1"/>
    <col min="5639" max="5652" width="10.7109375" style="209" customWidth="1"/>
    <col min="5653" max="5653" width="3.7109375" style="209" customWidth="1"/>
    <col min="5654" max="5890" width="11.42578125" style="209"/>
    <col min="5891" max="5892" width="1.42578125" style="209" customWidth="1"/>
    <col min="5893" max="5893" width="24.5703125" style="209" customWidth="1"/>
    <col min="5894" max="5894" width="15.5703125" style="209" customWidth="1"/>
    <col min="5895" max="5908" width="10.7109375" style="209" customWidth="1"/>
    <col min="5909" max="5909" width="3.7109375" style="209" customWidth="1"/>
    <col min="5910" max="6146" width="11.42578125" style="209"/>
    <col min="6147" max="6148" width="1.42578125" style="209" customWidth="1"/>
    <col min="6149" max="6149" width="24.5703125" style="209" customWidth="1"/>
    <col min="6150" max="6150" width="15.5703125" style="209" customWidth="1"/>
    <col min="6151" max="6164" width="10.7109375" style="209" customWidth="1"/>
    <col min="6165" max="6165" width="3.7109375" style="209" customWidth="1"/>
    <col min="6166" max="6402" width="11.42578125" style="209"/>
    <col min="6403" max="6404" width="1.42578125" style="209" customWidth="1"/>
    <col min="6405" max="6405" width="24.5703125" style="209" customWidth="1"/>
    <col min="6406" max="6406" width="15.5703125" style="209" customWidth="1"/>
    <col min="6407" max="6420" width="10.7109375" style="209" customWidth="1"/>
    <col min="6421" max="6421" width="3.7109375" style="209" customWidth="1"/>
    <col min="6422" max="6658" width="11.42578125" style="209"/>
    <col min="6659" max="6660" width="1.42578125" style="209" customWidth="1"/>
    <col min="6661" max="6661" width="24.5703125" style="209" customWidth="1"/>
    <col min="6662" max="6662" width="15.5703125" style="209" customWidth="1"/>
    <col min="6663" max="6676" width="10.7109375" style="209" customWidth="1"/>
    <col min="6677" max="6677" width="3.7109375" style="209" customWidth="1"/>
    <col min="6678" max="6914" width="11.42578125" style="209"/>
    <col min="6915" max="6916" width="1.42578125" style="209" customWidth="1"/>
    <col min="6917" max="6917" width="24.5703125" style="209" customWidth="1"/>
    <col min="6918" max="6918" width="15.5703125" style="209" customWidth="1"/>
    <col min="6919" max="6932" width="10.7109375" style="209" customWidth="1"/>
    <col min="6933" max="6933" width="3.7109375" style="209" customWidth="1"/>
    <col min="6934" max="7170" width="11.42578125" style="209"/>
    <col min="7171" max="7172" width="1.42578125" style="209" customWidth="1"/>
    <col min="7173" max="7173" width="24.5703125" style="209" customWidth="1"/>
    <col min="7174" max="7174" width="15.5703125" style="209" customWidth="1"/>
    <col min="7175" max="7188" width="10.7109375" style="209" customWidth="1"/>
    <col min="7189" max="7189" width="3.7109375" style="209" customWidth="1"/>
    <col min="7190" max="7426" width="11.42578125" style="209"/>
    <col min="7427" max="7428" width="1.42578125" style="209" customWidth="1"/>
    <col min="7429" max="7429" width="24.5703125" style="209" customWidth="1"/>
    <col min="7430" max="7430" width="15.5703125" style="209" customWidth="1"/>
    <col min="7431" max="7444" width="10.7109375" style="209" customWidth="1"/>
    <col min="7445" max="7445" width="3.7109375" style="209" customWidth="1"/>
    <col min="7446" max="7682" width="11.42578125" style="209"/>
    <col min="7683" max="7684" width="1.42578125" style="209" customWidth="1"/>
    <col min="7685" max="7685" width="24.5703125" style="209" customWidth="1"/>
    <col min="7686" max="7686" width="15.5703125" style="209" customWidth="1"/>
    <col min="7687" max="7700" width="10.7109375" style="209" customWidth="1"/>
    <col min="7701" max="7701" width="3.7109375" style="209" customWidth="1"/>
    <col min="7702" max="7938" width="11.42578125" style="209"/>
    <col min="7939" max="7940" width="1.42578125" style="209" customWidth="1"/>
    <col min="7941" max="7941" width="24.5703125" style="209" customWidth="1"/>
    <col min="7942" max="7942" width="15.5703125" style="209" customWidth="1"/>
    <col min="7943" max="7956" width="10.7109375" style="209" customWidth="1"/>
    <col min="7957" max="7957" width="3.7109375" style="209" customWidth="1"/>
    <col min="7958" max="8194" width="11.42578125" style="209"/>
    <col min="8195" max="8196" width="1.42578125" style="209" customWidth="1"/>
    <col min="8197" max="8197" width="24.5703125" style="209" customWidth="1"/>
    <col min="8198" max="8198" width="15.5703125" style="209" customWidth="1"/>
    <col min="8199" max="8212" width="10.7109375" style="209" customWidth="1"/>
    <col min="8213" max="8213" width="3.7109375" style="209" customWidth="1"/>
    <col min="8214" max="8450" width="11.42578125" style="209"/>
    <col min="8451" max="8452" width="1.42578125" style="209" customWidth="1"/>
    <col min="8453" max="8453" width="24.5703125" style="209" customWidth="1"/>
    <col min="8454" max="8454" width="15.5703125" style="209" customWidth="1"/>
    <col min="8455" max="8468" width="10.7109375" style="209" customWidth="1"/>
    <col min="8469" max="8469" width="3.7109375" style="209" customWidth="1"/>
    <col min="8470" max="8706" width="11.42578125" style="209"/>
    <col min="8707" max="8708" width="1.42578125" style="209" customWidth="1"/>
    <col min="8709" max="8709" width="24.5703125" style="209" customWidth="1"/>
    <col min="8710" max="8710" width="15.5703125" style="209" customWidth="1"/>
    <col min="8711" max="8724" width="10.7109375" style="209" customWidth="1"/>
    <col min="8725" max="8725" width="3.7109375" style="209" customWidth="1"/>
    <col min="8726" max="8962" width="11.42578125" style="209"/>
    <col min="8963" max="8964" width="1.42578125" style="209" customWidth="1"/>
    <col min="8965" max="8965" width="24.5703125" style="209" customWidth="1"/>
    <col min="8966" max="8966" width="15.5703125" style="209" customWidth="1"/>
    <col min="8967" max="8980" width="10.7109375" style="209" customWidth="1"/>
    <col min="8981" max="8981" width="3.7109375" style="209" customWidth="1"/>
    <col min="8982" max="9218" width="11.42578125" style="209"/>
    <col min="9219" max="9220" width="1.42578125" style="209" customWidth="1"/>
    <col min="9221" max="9221" width="24.5703125" style="209" customWidth="1"/>
    <col min="9222" max="9222" width="15.5703125" style="209" customWidth="1"/>
    <col min="9223" max="9236" width="10.7109375" style="209" customWidth="1"/>
    <col min="9237" max="9237" width="3.7109375" style="209" customWidth="1"/>
    <col min="9238" max="9474" width="11.42578125" style="209"/>
    <col min="9475" max="9476" width="1.42578125" style="209" customWidth="1"/>
    <col min="9477" max="9477" width="24.5703125" style="209" customWidth="1"/>
    <col min="9478" max="9478" width="15.5703125" style="209" customWidth="1"/>
    <col min="9479" max="9492" width="10.7109375" style="209" customWidth="1"/>
    <col min="9493" max="9493" width="3.7109375" style="209" customWidth="1"/>
    <col min="9494" max="9730" width="11.42578125" style="209"/>
    <col min="9731" max="9732" width="1.42578125" style="209" customWidth="1"/>
    <col min="9733" max="9733" width="24.5703125" style="209" customWidth="1"/>
    <col min="9734" max="9734" width="15.5703125" style="209" customWidth="1"/>
    <col min="9735" max="9748" width="10.7109375" style="209" customWidth="1"/>
    <col min="9749" max="9749" width="3.7109375" style="209" customWidth="1"/>
    <col min="9750" max="9986" width="11.42578125" style="209"/>
    <col min="9987" max="9988" width="1.42578125" style="209" customWidth="1"/>
    <col min="9989" max="9989" width="24.5703125" style="209" customWidth="1"/>
    <col min="9990" max="9990" width="15.5703125" style="209" customWidth="1"/>
    <col min="9991" max="10004" width="10.7109375" style="209" customWidth="1"/>
    <col min="10005" max="10005" width="3.7109375" style="209" customWidth="1"/>
    <col min="10006" max="10242" width="11.42578125" style="209"/>
    <col min="10243" max="10244" width="1.42578125" style="209" customWidth="1"/>
    <col min="10245" max="10245" width="24.5703125" style="209" customWidth="1"/>
    <col min="10246" max="10246" width="15.5703125" style="209" customWidth="1"/>
    <col min="10247" max="10260" width="10.7109375" style="209" customWidth="1"/>
    <col min="10261" max="10261" width="3.7109375" style="209" customWidth="1"/>
    <col min="10262" max="10498" width="11.42578125" style="209"/>
    <col min="10499" max="10500" width="1.42578125" style="209" customWidth="1"/>
    <col min="10501" max="10501" width="24.5703125" style="209" customWidth="1"/>
    <col min="10502" max="10502" width="15.5703125" style="209" customWidth="1"/>
    <col min="10503" max="10516" width="10.7109375" style="209" customWidth="1"/>
    <col min="10517" max="10517" width="3.7109375" style="209" customWidth="1"/>
    <col min="10518" max="10754" width="11.42578125" style="209"/>
    <col min="10755" max="10756" width="1.42578125" style="209" customWidth="1"/>
    <col min="10757" max="10757" width="24.5703125" style="209" customWidth="1"/>
    <col min="10758" max="10758" width="15.5703125" style="209" customWidth="1"/>
    <col min="10759" max="10772" width="10.7109375" style="209" customWidth="1"/>
    <col min="10773" max="10773" width="3.7109375" style="209" customWidth="1"/>
    <col min="10774" max="11010" width="11.42578125" style="209"/>
    <col min="11011" max="11012" width="1.42578125" style="209" customWidth="1"/>
    <col min="11013" max="11013" width="24.5703125" style="209" customWidth="1"/>
    <col min="11014" max="11014" width="15.5703125" style="209" customWidth="1"/>
    <col min="11015" max="11028" width="10.7109375" style="209" customWidth="1"/>
    <col min="11029" max="11029" width="3.7109375" style="209" customWidth="1"/>
    <col min="11030" max="11266" width="11.42578125" style="209"/>
    <col min="11267" max="11268" width="1.42578125" style="209" customWidth="1"/>
    <col min="11269" max="11269" width="24.5703125" style="209" customWidth="1"/>
    <col min="11270" max="11270" width="15.5703125" style="209" customWidth="1"/>
    <col min="11271" max="11284" width="10.7109375" style="209" customWidth="1"/>
    <col min="11285" max="11285" width="3.7109375" style="209" customWidth="1"/>
    <col min="11286" max="11522" width="11.42578125" style="209"/>
    <col min="11523" max="11524" width="1.42578125" style="209" customWidth="1"/>
    <col min="11525" max="11525" width="24.5703125" style="209" customWidth="1"/>
    <col min="11526" max="11526" width="15.5703125" style="209" customWidth="1"/>
    <col min="11527" max="11540" width="10.7109375" style="209" customWidth="1"/>
    <col min="11541" max="11541" width="3.7109375" style="209" customWidth="1"/>
    <col min="11542" max="11778" width="11.42578125" style="209"/>
    <col min="11779" max="11780" width="1.42578125" style="209" customWidth="1"/>
    <col min="11781" max="11781" width="24.5703125" style="209" customWidth="1"/>
    <col min="11782" max="11782" width="15.5703125" style="209" customWidth="1"/>
    <col min="11783" max="11796" width="10.7109375" style="209" customWidth="1"/>
    <col min="11797" max="11797" width="3.7109375" style="209" customWidth="1"/>
    <col min="11798" max="12034" width="11.42578125" style="209"/>
    <col min="12035" max="12036" width="1.42578125" style="209" customWidth="1"/>
    <col min="12037" max="12037" width="24.5703125" style="209" customWidth="1"/>
    <col min="12038" max="12038" width="15.5703125" style="209" customWidth="1"/>
    <col min="12039" max="12052" width="10.7109375" style="209" customWidth="1"/>
    <col min="12053" max="12053" width="3.7109375" style="209" customWidth="1"/>
    <col min="12054" max="12290" width="11.42578125" style="209"/>
    <col min="12291" max="12292" width="1.42578125" style="209" customWidth="1"/>
    <col min="12293" max="12293" width="24.5703125" style="209" customWidth="1"/>
    <col min="12294" max="12294" width="15.5703125" style="209" customWidth="1"/>
    <col min="12295" max="12308" width="10.7109375" style="209" customWidth="1"/>
    <col min="12309" max="12309" width="3.7109375" style="209" customWidth="1"/>
    <col min="12310" max="12546" width="11.42578125" style="209"/>
    <col min="12547" max="12548" width="1.42578125" style="209" customWidth="1"/>
    <col min="12549" max="12549" width="24.5703125" style="209" customWidth="1"/>
    <col min="12550" max="12550" width="15.5703125" style="209" customWidth="1"/>
    <col min="12551" max="12564" width="10.7109375" style="209" customWidth="1"/>
    <col min="12565" max="12565" width="3.7109375" style="209" customWidth="1"/>
    <col min="12566" max="12802" width="11.42578125" style="209"/>
    <col min="12803" max="12804" width="1.42578125" style="209" customWidth="1"/>
    <col min="12805" max="12805" width="24.5703125" style="209" customWidth="1"/>
    <col min="12806" max="12806" width="15.5703125" style="209" customWidth="1"/>
    <col min="12807" max="12820" width="10.7109375" style="209" customWidth="1"/>
    <col min="12821" max="12821" width="3.7109375" style="209" customWidth="1"/>
    <col min="12822" max="13058" width="11.42578125" style="209"/>
    <col min="13059" max="13060" width="1.42578125" style="209" customWidth="1"/>
    <col min="13061" max="13061" width="24.5703125" style="209" customWidth="1"/>
    <col min="13062" max="13062" width="15.5703125" style="209" customWidth="1"/>
    <col min="13063" max="13076" width="10.7109375" style="209" customWidth="1"/>
    <col min="13077" max="13077" width="3.7109375" style="209" customWidth="1"/>
    <col min="13078" max="13314" width="11.42578125" style="209"/>
    <col min="13315" max="13316" width="1.42578125" style="209" customWidth="1"/>
    <col min="13317" max="13317" width="24.5703125" style="209" customWidth="1"/>
    <col min="13318" max="13318" width="15.5703125" style="209" customWidth="1"/>
    <col min="13319" max="13332" width="10.7109375" style="209" customWidth="1"/>
    <col min="13333" max="13333" width="3.7109375" style="209" customWidth="1"/>
    <col min="13334" max="13570" width="11.42578125" style="209"/>
    <col min="13571" max="13572" width="1.42578125" style="209" customWidth="1"/>
    <col min="13573" max="13573" width="24.5703125" style="209" customWidth="1"/>
    <col min="13574" max="13574" width="15.5703125" style="209" customWidth="1"/>
    <col min="13575" max="13588" width="10.7109375" style="209" customWidth="1"/>
    <col min="13589" max="13589" width="3.7109375" style="209" customWidth="1"/>
    <col min="13590" max="13826" width="11.42578125" style="209"/>
    <col min="13827" max="13828" width="1.42578125" style="209" customWidth="1"/>
    <col min="13829" max="13829" width="24.5703125" style="209" customWidth="1"/>
    <col min="13830" max="13830" width="15.5703125" style="209" customWidth="1"/>
    <col min="13831" max="13844" width="10.7109375" style="209" customWidth="1"/>
    <col min="13845" max="13845" width="3.7109375" style="209" customWidth="1"/>
    <col min="13846" max="14082" width="11.42578125" style="209"/>
    <col min="14083" max="14084" width="1.42578125" style="209" customWidth="1"/>
    <col min="14085" max="14085" width="24.5703125" style="209" customWidth="1"/>
    <col min="14086" max="14086" width="15.5703125" style="209" customWidth="1"/>
    <col min="14087" max="14100" width="10.7109375" style="209" customWidth="1"/>
    <col min="14101" max="14101" width="3.7109375" style="209" customWidth="1"/>
    <col min="14102" max="14338" width="11.42578125" style="209"/>
    <col min="14339" max="14340" width="1.42578125" style="209" customWidth="1"/>
    <col min="14341" max="14341" width="24.5703125" style="209" customWidth="1"/>
    <col min="14342" max="14342" width="15.5703125" style="209" customWidth="1"/>
    <col min="14343" max="14356" width="10.7109375" style="209" customWidth="1"/>
    <col min="14357" max="14357" width="3.7109375" style="209" customWidth="1"/>
    <col min="14358" max="14594" width="11.42578125" style="209"/>
    <col min="14595" max="14596" width="1.42578125" style="209" customWidth="1"/>
    <col min="14597" max="14597" width="24.5703125" style="209" customWidth="1"/>
    <col min="14598" max="14598" width="15.5703125" style="209" customWidth="1"/>
    <col min="14599" max="14612" width="10.7109375" style="209" customWidth="1"/>
    <col min="14613" max="14613" width="3.7109375" style="209" customWidth="1"/>
    <col min="14614" max="14850" width="11.42578125" style="209"/>
    <col min="14851" max="14852" width="1.42578125" style="209" customWidth="1"/>
    <col min="14853" max="14853" width="24.5703125" style="209" customWidth="1"/>
    <col min="14854" max="14854" width="15.5703125" style="209" customWidth="1"/>
    <col min="14855" max="14868" width="10.7109375" style="209" customWidth="1"/>
    <col min="14869" max="14869" width="3.7109375" style="209" customWidth="1"/>
    <col min="14870" max="15106" width="11.42578125" style="209"/>
    <col min="15107" max="15108" width="1.42578125" style="209" customWidth="1"/>
    <col min="15109" max="15109" width="24.5703125" style="209" customWidth="1"/>
    <col min="15110" max="15110" width="15.5703125" style="209" customWidth="1"/>
    <col min="15111" max="15124" width="10.7109375" style="209" customWidth="1"/>
    <col min="15125" max="15125" width="3.7109375" style="209" customWidth="1"/>
    <col min="15126" max="15362" width="11.42578125" style="209"/>
    <col min="15363" max="15364" width="1.42578125" style="209" customWidth="1"/>
    <col min="15365" max="15365" width="24.5703125" style="209" customWidth="1"/>
    <col min="15366" max="15366" width="15.5703125" style="209" customWidth="1"/>
    <col min="15367" max="15380" width="10.7109375" style="209" customWidth="1"/>
    <col min="15381" max="15381" width="3.7109375" style="209" customWidth="1"/>
    <col min="15382" max="15618" width="11.42578125" style="209"/>
    <col min="15619" max="15620" width="1.42578125" style="209" customWidth="1"/>
    <col min="15621" max="15621" width="24.5703125" style="209" customWidth="1"/>
    <col min="15622" max="15622" width="15.5703125" style="209" customWidth="1"/>
    <col min="15623" max="15636" width="10.7109375" style="209" customWidth="1"/>
    <col min="15637" max="15637" width="3.7109375" style="209" customWidth="1"/>
    <col min="15638" max="15874" width="11.42578125" style="209"/>
    <col min="15875" max="15876" width="1.42578125" style="209" customWidth="1"/>
    <col min="15877" max="15877" width="24.5703125" style="209" customWidth="1"/>
    <col min="15878" max="15878" width="15.5703125" style="209" customWidth="1"/>
    <col min="15879" max="15892" width="10.7109375" style="209" customWidth="1"/>
    <col min="15893" max="15893" width="3.7109375" style="209" customWidth="1"/>
    <col min="15894" max="16130" width="11.42578125" style="209"/>
    <col min="16131" max="16132" width="1.42578125" style="209" customWidth="1"/>
    <col min="16133" max="16133" width="24.5703125" style="209" customWidth="1"/>
    <col min="16134" max="16134" width="15.5703125" style="209" customWidth="1"/>
    <col min="16135" max="16148" width="10.7109375" style="209" customWidth="1"/>
    <col min="16149" max="16149" width="3.7109375" style="209" customWidth="1"/>
    <col min="16150" max="16384" width="11.42578125" style="209"/>
  </cols>
  <sheetData>
    <row r="1" spans="1:36" s="214" customFormat="1" ht="54.75" customHeight="1" x14ac:dyDescent="0.2">
      <c r="A1" s="6708" t="s">
        <v>1572</v>
      </c>
      <c r="B1" s="6708"/>
      <c r="C1" s="5087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</row>
    <row r="2" spans="1:36" s="214" customFormat="1" ht="18" x14ac:dyDescent="0.2">
      <c r="B2" s="77"/>
      <c r="C2" s="921"/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  <c r="R2" s="921"/>
      <c r="S2" s="921"/>
      <c r="T2" s="921"/>
    </row>
    <row r="3" spans="1:36" ht="15" customHeight="1" x14ac:dyDescent="0.2">
      <c r="A3" s="5653" t="s">
        <v>16</v>
      </c>
      <c r="B3" s="5653" t="s">
        <v>4</v>
      </c>
      <c r="C3" s="6704">
        <v>2001</v>
      </c>
      <c r="D3" s="6705"/>
      <c r="E3" s="6707">
        <v>2002</v>
      </c>
      <c r="F3" s="6707"/>
      <c r="G3" s="6706">
        <v>2003</v>
      </c>
      <c r="H3" s="6706"/>
      <c r="I3" s="6704">
        <v>2004</v>
      </c>
      <c r="J3" s="6705"/>
      <c r="K3" s="6706">
        <v>2005</v>
      </c>
      <c r="L3" s="6706"/>
      <c r="M3" s="6704">
        <v>2006</v>
      </c>
      <c r="N3" s="6705"/>
      <c r="O3" s="6704">
        <v>2007</v>
      </c>
      <c r="P3" s="6705"/>
      <c r="Q3" s="6704">
        <v>2008</v>
      </c>
      <c r="R3" s="6705"/>
      <c r="S3" s="6704">
        <v>2009</v>
      </c>
      <c r="T3" s="6705"/>
      <c r="U3" s="6704">
        <v>2010</v>
      </c>
      <c r="V3" s="6705"/>
      <c r="W3" s="6704">
        <v>2011</v>
      </c>
      <c r="X3" s="6705"/>
      <c r="Y3" s="6704">
        <v>2012</v>
      </c>
      <c r="Z3" s="6705"/>
      <c r="AA3" s="6704">
        <v>2013</v>
      </c>
      <c r="AB3" s="6705"/>
      <c r="AC3" s="6704">
        <v>2014</v>
      </c>
      <c r="AD3" s="6705"/>
      <c r="AE3" s="6704">
        <v>2015</v>
      </c>
      <c r="AF3" s="6705"/>
      <c r="AG3" s="6704">
        <v>2016</v>
      </c>
      <c r="AH3" s="6705"/>
      <c r="AI3" s="6704">
        <v>2017</v>
      </c>
      <c r="AJ3" s="6705"/>
    </row>
    <row r="4" spans="1:36" ht="15" customHeight="1" x14ac:dyDescent="0.2">
      <c r="A4" s="5654"/>
      <c r="B4" s="5654"/>
      <c r="C4" s="1326" t="s">
        <v>630</v>
      </c>
      <c r="D4" s="1327" t="s">
        <v>631</v>
      </c>
      <c r="E4" s="1326" t="s">
        <v>630</v>
      </c>
      <c r="F4" s="1327" t="s">
        <v>631</v>
      </c>
      <c r="G4" s="1326" t="s">
        <v>630</v>
      </c>
      <c r="H4" s="1327" t="s">
        <v>631</v>
      </c>
      <c r="I4" s="1326" t="s">
        <v>630</v>
      </c>
      <c r="J4" s="1327" t="s">
        <v>631</v>
      </c>
      <c r="K4" s="1326" t="s">
        <v>630</v>
      </c>
      <c r="L4" s="1327" t="s">
        <v>631</v>
      </c>
      <c r="M4" s="1326" t="s">
        <v>630</v>
      </c>
      <c r="N4" s="1327" t="s">
        <v>631</v>
      </c>
      <c r="O4" s="1326" t="s">
        <v>630</v>
      </c>
      <c r="P4" s="1327" t="s">
        <v>631</v>
      </c>
      <c r="Q4" s="1326" t="s">
        <v>630</v>
      </c>
      <c r="R4" s="1327" t="s">
        <v>631</v>
      </c>
      <c r="S4" s="1326" t="s">
        <v>630</v>
      </c>
      <c r="T4" s="1327" t="s">
        <v>631</v>
      </c>
      <c r="U4" s="1326" t="s">
        <v>630</v>
      </c>
      <c r="V4" s="1327" t="s">
        <v>631</v>
      </c>
      <c r="W4" s="1326" t="s">
        <v>630</v>
      </c>
      <c r="X4" s="1327" t="s">
        <v>631</v>
      </c>
      <c r="Y4" s="1326" t="s">
        <v>630</v>
      </c>
      <c r="Z4" s="1327" t="s">
        <v>631</v>
      </c>
      <c r="AA4" s="1326" t="s">
        <v>630</v>
      </c>
      <c r="AB4" s="1327" t="s">
        <v>631</v>
      </c>
      <c r="AC4" s="1326" t="s">
        <v>630</v>
      </c>
      <c r="AD4" s="1327" t="s">
        <v>631</v>
      </c>
      <c r="AE4" s="1326" t="s">
        <v>630</v>
      </c>
      <c r="AF4" s="1327" t="s">
        <v>631</v>
      </c>
      <c r="AG4" s="1326" t="s">
        <v>630</v>
      </c>
      <c r="AH4" s="1327" t="s">
        <v>631</v>
      </c>
      <c r="AI4" s="1326" t="s">
        <v>630</v>
      </c>
      <c r="AJ4" s="1327" t="s">
        <v>631</v>
      </c>
    </row>
    <row r="5" spans="1:36" ht="15" customHeight="1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</row>
    <row r="6" spans="1:36" ht="15" customHeight="1" x14ac:dyDescent="0.2">
      <c r="A6" s="5778" t="s">
        <v>161</v>
      </c>
      <c r="B6" s="263" t="s">
        <v>5</v>
      </c>
      <c r="C6" s="264">
        <v>23</v>
      </c>
      <c r="D6" s="265">
        <v>22</v>
      </c>
      <c r="E6" s="264">
        <v>86</v>
      </c>
      <c r="F6" s="265">
        <v>95</v>
      </c>
      <c r="G6" s="264">
        <v>110</v>
      </c>
      <c r="H6" s="265">
        <v>178</v>
      </c>
      <c r="I6" s="264">
        <v>197</v>
      </c>
      <c r="J6" s="266">
        <v>292</v>
      </c>
      <c r="K6" s="265">
        <v>190</v>
      </c>
      <c r="L6" s="266">
        <v>388</v>
      </c>
      <c r="M6" s="265">
        <v>341</v>
      </c>
      <c r="N6" s="266">
        <v>612</v>
      </c>
      <c r="O6" s="265">
        <v>568</v>
      </c>
      <c r="P6" s="266">
        <v>993</v>
      </c>
      <c r="Q6" s="265">
        <v>271</v>
      </c>
      <c r="R6" s="266">
        <v>918</v>
      </c>
      <c r="S6" s="265">
        <v>434</v>
      </c>
      <c r="T6" s="266">
        <v>853</v>
      </c>
      <c r="U6" s="265">
        <v>629</v>
      </c>
      <c r="V6" s="266">
        <v>1116</v>
      </c>
      <c r="W6" s="265">
        <v>636</v>
      </c>
      <c r="X6" s="266">
        <v>1433</v>
      </c>
      <c r="Y6" s="265">
        <v>412</v>
      </c>
      <c r="Z6" s="266">
        <v>1450</v>
      </c>
      <c r="AA6" s="264">
        <f>+' 1 Manutención plan'!AB15</f>
        <v>450</v>
      </c>
      <c r="AB6" s="266">
        <f>+' 1 Manutención plan'!AC15</f>
        <v>1318</v>
      </c>
      <c r="AC6" s="264">
        <f>+' 1 Manutención plan'!AD15</f>
        <v>500</v>
      </c>
      <c r="AD6" s="266">
        <f>+' 1 Manutención plan'!AE15</f>
        <v>1376</v>
      </c>
      <c r="AE6" s="264">
        <f>+' 1 Manutención plan'!AF15</f>
        <v>397</v>
      </c>
      <c r="AF6" s="266">
        <f>+' 1 Manutención plan'!AG15</f>
        <v>1295</v>
      </c>
      <c r="AG6" s="264">
        <f>+' 1 Manutención plan'!AH15</f>
        <v>492</v>
      </c>
      <c r="AH6" s="266">
        <f>+' 1 Manutención plan'!AI15</f>
        <v>1332</v>
      </c>
      <c r="AI6" s="264">
        <f>+' 1 Manutención plan'!AJ15</f>
        <v>503</v>
      </c>
      <c r="AJ6" s="266">
        <f>+' 1 Manutención plan'!AK15</f>
        <v>1451</v>
      </c>
    </row>
    <row r="7" spans="1:36" ht="15" customHeight="1" x14ac:dyDescent="0.2">
      <c r="A7" s="5779"/>
      <c r="B7" s="267" t="s">
        <v>6</v>
      </c>
      <c r="C7" s="268">
        <v>20</v>
      </c>
      <c r="D7" s="269">
        <v>20</v>
      </c>
      <c r="E7" s="268">
        <v>116</v>
      </c>
      <c r="F7" s="269">
        <v>131</v>
      </c>
      <c r="G7" s="268">
        <v>130</v>
      </c>
      <c r="H7" s="269">
        <v>243</v>
      </c>
      <c r="I7" s="268">
        <v>107</v>
      </c>
      <c r="J7" s="270">
        <v>321</v>
      </c>
      <c r="K7" s="269">
        <v>178</v>
      </c>
      <c r="L7" s="270">
        <v>436</v>
      </c>
      <c r="M7" s="269">
        <v>324</v>
      </c>
      <c r="N7" s="270">
        <v>631</v>
      </c>
      <c r="O7" s="269">
        <v>251</v>
      </c>
      <c r="P7" s="270">
        <v>751</v>
      </c>
      <c r="Q7" s="269">
        <v>293</v>
      </c>
      <c r="R7" s="270">
        <v>803</v>
      </c>
      <c r="S7" s="269">
        <v>463</v>
      </c>
      <c r="T7" s="270">
        <v>989</v>
      </c>
      <c r="U7" s="269">
        <v>503</v>
      </c>
      <c r="V7" s="270">
        <v>1214</v>
      </c>
      <c r="W7" s="269">
        <v>512</v>
      </c>
      <c r="X7" s="270">
        <v>1455</v>
      </c>
      <c r="Y7" s="269">
        <v>544</v>
      </c>
      <c r="Z7" s="270">
        <v>1672</v>
      </c>
      <c r="AA7" s="268">
        <f>+' 1 Manutención plan'!AB20</f>
        <v>533</v>
      </c>
      <c r="AB7" s="270">
        <f>+' 1 Manutención plan'!AC20</f>
        <v>1727</v>
      </c>
      <c r="AC7" s="268">
        <f>+' 1 Manutención plan'!AD20</f>
        <v>608</v>
      </c>
      <c r="AD7" s="270">
        <f>+' 1 Manutención plan'!AE20</f>
        <v>1852</v>
      </c>
      <c r="AE7" s="268">
        <f>+' 1 Manutención plan'!AF20</f>
        <v>548</v>
      </c>
      <c r="AF7" s="270">
        <f>+' 1 Manutención plan'!AG20</f>
        <v>1891</v>
      </c>
      <c r="AG7" s="268">
        <f>+' 1 Manutención plan'!AH20</f>
        <v>573</v>
      </c>
      <c r="AH7" s="270">
        <f>+' 1 Manutención plan'!AI20</f>
        <v>1949</v>
      </c>
      <c r="AI7" s="268">
        <f>+' 1 Manutención plan'!AJ20</f>
        <v>601</v>
      </c>
      <c r="AJ7" s="270">
        <f>+' 1 Manutención plan'!AK20</f>
        <v>2023</v>
      </c>
    </row>
    <row r="8" spans="1:36" ht="15" customHeight="1" x14ac:dyDescent="0.2">
      <c r="A8" s="5779"/>
      <c r="B8" s="267" t="s">
        <v>7</v>
      </c>
      <c r="C8" s="268">
        <v>10</v>
      </c>
      <c r="D8" s="269">
        <v>9</v>
      </c>
      <c r="E8" s="268">
        <v>66</v>
      </c>
      <c r="F8" s="269">
        <v>73</v>
      </c>
      <c r="G8" s="268">
        <v>77</v>
      </c>
      <c r="H8" s="269">
        <v>137</v>
      </c>
      <c r="I8" s="268">
        <v>82</v>
      </c>
      <c r="J8" s="270">
        <v>198</v>
      </c>
      <c r="K8" s="269">
        <v>122</v>
      </c>
      <c r="L8" s="270">
        <v>268</v>
      </c>
      <c r="M8" s="269">
        <v>184</v>
      </c>
      <c r="N8" s="270">
        <v>402</v>
      </c>
      <c r="O8" s="269">
        <v>160</v>
      </c>
      <c r="P8" s="270">
        <v>487</v>
      </c>
      <c r="Q8" s="269">
        <v>184</v>
      </c>
      <c r="R8" s="270">
        <v>513</v>
      </c>
      <c r="S8" s="269">
        <v>203</v>
      </c>
      <c r="T8" s="270">
        <v>539</v>
      </c>
      <c r="U8" s="269">
        <v>213</v>
      </c>
      <c r="V8" s="270">
        <v>585</v>
      </c>
      <c r="W8" s="269">
        <v>205</v>
      </c>
      <c r="X8" s="270">
        <v>635</v>
      </c>
      <c r="Y8" s="269">
        <v>210</v>
      </c>
      <c r="Z8" s="270">
        <v>666</v>
      </c>
      <c r="AA8" s="268">
        <f>+' 1 Manutención plan'!AB24</f>
        <v>217</v>
      </c>
      <c r="AB8" s="270">
        <f>+' 1 Manutención plan'!AC24</f>
        <v>697</v>
      </c>
      <c r="AC8" s="268">
        <f>+' 1 Manutención plan'!AD24</f>
        <v>244</v>
      </c>
      <c r="AD8" s="270">
        <f>+' 1 Manutención plan'!AE24</f>
        <v>736</v>
      </c>
      <c r="AE8" s="268">
        <f>+' 1 Manutención plan'!AF24</f>
        <v>275</v>
      </c>
      <c r="AF8" s="270">
        <f>+' 1 Manutención plan'!AG24</f>
        <v>808</v>
      </c>
      <c r="AG8" s="268">
        <f>+' 1 Manutención plan'!AH24</f>
        <v>274</v>
      </c>
      <c r="AH8" s="270">
        <f>+' 1 Manutención plan'!AI24</f>
        <v>866</v>
      </c>
      <c r="AI8" s="268">
        <f>+' 1 Manutención plan'!AJ24</f>
        <v>324</v>
      </c>
      <c r="AJ8" s="270">
        <f>+' 1 Manutención plan'!AK24</f>
        <v>965</v>
      </c>
    </row>
    <row r="9" spans="1:36" ht="15" customHeight="1" x14ac:dyDescent="0.2">
      <c r="A9" s="5780"/>
      <c r="B9" s="2231" t="s">
        <v>160</v>
      </c>
      <c r="C9" s="2232">
        <f>SUM(C6:C8)</f>
        <v>53</v>
      </c>
      <c r="D9" s="2315">
        <f>SUM(D6:D8)</f>
        <v>51</v>
      </c>
      <c r="E9" s="2232">
        <f>SUM(E6:E8)</f>
        <v>268</v>
      </c>
      <c r="F9" s="2315">
        <f>SUM(F6:F8)</f>
        <v>299</v>
      </c>
      <c r="G9" s="2232">
        <v>317</v>
      </c>
      <c r="H9" s="2315">
        <v>558</v>
      </c>
      <c r="I9" s="2232">
        <v>386</v>
      </c>
      <c r="J9" s="2316">
        <v>811</v>
      </c>
      <c r="K9" s="2315">
        <v>490</v>
      </c>
      <c r="L9" s="2316">
        <v>1092</v>
      </c>
      <c r="M9" s="2315">
        <v>849</v>
      </c>
      <c r="N9" s="2316">
        <v>1645</v>
      </c>
      <c r="O9" s="2315">
        <v>979</v>
      </c>
      <c r="P9" s="2316">
        <v>2231</v>
      </c>
      <c r="Q9" s="2315">
        <v>748</v>
      </c>
      <c r="R9" s="2316">
        <v>2234</v>
      </c>
      <c r="S9" s="2315">
        <v>1100</v>
      </c>
      <c r="T9" s="2316">
        <v>2381</v>
      </c>
      <c r="U9" s="2315">
        <f t="shared" ref="U9:Z9" si="0">SUM(U6:U8)</f>
        <v>1345</v>
      </c>
      <c r="V9" s="2316">
        <f t="shared" si="0"/>
        <v>2915</v>
      </c>
      <c r="W9" s="2315">
        <f t="shared" si="0"/>
        <v>1353</v>
      </c>
      <c r="X9" s="2316">
        <f t="shared" si="0"/>
        <v>3523</v>
      </c>
      <c r="Y9" s="2315">
        <f t="shared" si="0"/>
        <v>1166</v>
      </c>
      <c r="Z9" s="2316">
        <f t="shared" si="0"/>
        <v>3788</v>
      </c>
      <c r="AA9" s="2232">
        <f t="shared" ref="AA9:AF9" si="1">SUM(AA6:AA8)</f>
        <v>1200</v>
      </c>
      <c r="AB9" s="2316">
        <f t="shared" si="1"/>
        <v>3742</v>
      </c>
      <c r="AC9" s="2232">
        <f t="shared" si="1"/>
        <v>1352</v>
      </c>
      <c r="AD9" s="2316">
        <f t="shared" si="1"/>
        <v>3964</v>
      </c>
      <c r="AE9" s="2232">
        <f t="shared" si="1"/>
        <v>1220</v>
      </c>
      <c r="AF9" s="2316">
        <f t="shared" si="1"/>
        <v>3994</v>
      </c>
      <c r="AG9" s="2232">
        <f>SUM(AG6:AG8)</f>
        <v>1339</v>
      </c>
      <c r="AH9" s="2316">
        <f>SUM(AH6:AH8)</f>
        <v>4147</v>
      </c>
      <c r="AI9" s="2232">
        <f>SUM(AI6:AI8)</f>
        <v>1428</v>
      </c>
      <c r="AJ9" s="2316">
        <f>SUM(AJ6:AJ8)</f>
        <v>4439</v>
      </c>
    </row>
    <row r="10" spans="1:36" ht="15" customHeight="1" x14ac:dyDescent="0.25">
      <c r="A10" s="1781"/>
    </row>
    <row r="11" spans="1:36" ht="15" customHeight="1" x14ac:dyDescent="0.2">
      <c r="A11" s="5781" t="s">
        <v>407</v>
      </c>
      <c r="B11" s="263" t="s">
        <v>6</v>
      </c>
      <c r="C11" s="264"/>
      <c r="D11" s="265"/>
      <c r="E11" s="264"/>
      <c r="F11" s="265"/>
      <c r="G11" s="264"/>
      <c r="H11" s="265"/>
      <c r="I11" s="264"/>
      <c r="J11" s="266"/>
      <c r="K11" s="265">
        <v>16</v>
      </c>
      <c r="L11" s="266">
        <v>16</v>
      </c>
      <c r="M11" s="265">
        <v>38</v>
      </c>
      <c r="N11" s="266">
        <v>54</v>
      </c>
      <c r="O11" s="265">
        <v>36</v>
      </c>
      <c r="P11" s="266">
        <v>87</v>
      </c>
      <c r="Q11" s="265">
        <v>35</v>
      </c>
      <c r="R11" s="266">
        <v>107</v>
      </c>
      <c r="S11" s="265">
        <v>22</v>
      </c>
      <c r="T11" s="266">
        <v>116</v>
      </c>
      <c r="U11" s="265">
        <v>51</v>
      </c>
      <c r="V11" s="266">
        <v>117</v>
      </c>
      <c r="W11" s="265">
        <v>42</v>
      </c>
      <c r="X11" s="266">
        <v>128</v>
      </c>
      <c r="Y11" s="265">
        <v>27</v>
      </c>
      <c r="Z11" s="266">
        <v>114</v>
      </c>
      <c r="AA11" s="264">
        <f>+' 1 Manutención plan'!AB83</f>
        <v>40</v>
      </c>
      <c r="AB11" s="266">
        <f>+' 1 Manutención plan'!AC83</f>
        <v>118</v>
      </c>
      <c r="AC11" s="264">
        <f>+' 1 Manutención plan'!AD83</f>
        <v>98</v>
      </c>
      <c r="AD11" s="266">
        <f>+' 1 Manutención plan'!AE83</f>
        <v>177</v>
      </c>
      <c r="AE11" s="264">
        <f>+' 1 Manutención plan'!AF83</f>
        <v>111</v>
      </c>
      <c r="AF11" s="266">
        <f>+' 1 Manutención plan'!AG83</f>
        <v>254</v>
      </c>
      <c r="AG11" s="264">
        <f>+' 1 Manutención plan'!AH83</f>
        <v>125</v>
      </c>
      <c r="AH11" s="266">
        <f>+' 1 Manutención plan'!AI83</f>
        <v>319</v>
      </c>
      <c r="AI11" s="264">
        <f>+' 1 Manutención plan'!AJ83</f>
        <v>130</v>
      </c>
      <c r="AJ11" s="266">
        <f>+' 1 Manutención plan'!AK83</f>
        <v>382</v>
      </c>
    </row>
    <row r="12" spans="1:36" ht="15" customHeight="1" x14ac:dyDescent="0.2">
      <c r="A12" s="5782"/>
      <c r="B12" s="267" t="s">
        <v>9</v>
      </c>
      <c r="C12" s="268"/>
      <c r="D12" s="269"/>
      <c r="E12" s="268"/>
      <c r="F12" s="269"/>
      <c r="G12" s="268"/>
      <c r="H12" s="269"/>
      <c r="I12" s="268"/>
      <c r="J12" s="270"/>
      <c r="K12" s="269">
        <v>4</v>
      </c>
      <c r="L12" s="270">
        <v>4</v>
      </c>
      <c r="M12" s="269">
        <v>19</v>
      </c>
      <c r="N12" s="270">
        <v>23</v>
      </c>
      <c r="O12" s="269">
        <v>24</v>
      </c>
      <c r="P12" s="270">
        <v>46</v>
      </c>
      <c r="Q12" s="269">
        <v>39</v>
      </c>
      <c r="R12" s="270">
        <v>78</v>
      </c>
      <c r="S12" s="269">
        <v>34</v>
      </c>
      <c r="T12" s="270">
        <v>105</v>
      </c>
      <c r="U12" s="269">
        <v>42</v>
      </c>
      <c r="V12" s="270">
        <v>121</v>
      </c>
      <c r="W12" s="269">
        <v>57</v>
      </c>
      <c r="X12" s="270">
        <v>142</v>
      </c>
      <c r="Y12" s="269">
        <v>40</v>
      </c>
      <c r="Z12" s="270">
        <v>130</v>
      </c>
      <c r="AA12" s="268">
        <f>+' 1 Manutención plan'!AB87</f>
        <v>57</v>
      </c>
      <c r="AB12" s="270">
        <f>+' 1 Manutención plan'!AC87</f>
        <v>137</v>
      </c>
      <c r="AC12" s="268">
        <f>+' 1 Manutención plan'!AD87</f>
        <v>76</v>
      </c>
      <c r="AD12" s="270">
        <f>+' 1 Manutención plan'!AE87</f>
        <v>188</v>
      </c>
      <c r="AE12" s="268">
        <f>+' 1 Manutención plan'!AF87</f>
        <v>65</v>
      </c>
      <c r="AF12" s="270">
        <f>+' 1 Manutención plan'!AG87</f>
        <v>193</v>
      </c>
      <c r="AG12" s="268">
        <f>+' 1 Manutención plan'!AH87</f>
        <v>107</v>
      </c>
      <c r="AH12" s="270">
        <f>+' 1 Manutención plan'!AI87</f>
        <v>257</v>
      </c>
      <c r="AI12" s="268">
        <f>+' 1 Manutención plan'!AJ87</f>
        <v>122</v>
      </c>
      <c r="AJ12" s="270">
        <f>+' 1 Manutención plan'!AK87</f>
        <v>315</v>
      </c>
    </row>
    <row r="13" spans="1:36" ht="15" customHeight="1" x14ac:dyDescent="0.2">
      <c r="A13" s="5782"/>
      <c r="B13" s="267" t="s">
        <v>74</v>
      </c>
      <c r="C13" s="268"/>
      <c r="D13" s="269"/>
      <c r="E13" s="268"/>
      <c r="F13" s="269"/>
      <c r="G13" s="268"/>
      <c r="H13" s="269"/>
      <c r="I13" s="268"/>
      <c r="J13" s="270"/>
      <c r="K13" s="269">
        <v>8</v>
      </c>
      <c r="L13" s="270">
        <v>8</v>
      </c>
      <c r="M13" s="269">
        <v>14</v>
      </c>
      <c r="N13" s="270">
        <v>22</v>
      </c>
      <c r="O13" s="269">
        <v>12</v>
      </c>
      <c r="P13" s="270">
        <v>29</v>
      </c>
      <c r="Q13" s="269">
        <v>18</v>
      </c>
      <c r="R13" s="270">
        <v>40</v>
      </c>
      <c r="S13" s="269">
        <v>15</v>
      </c>
      <c r="T13" s="270">
        <v>42</v>
      </c>
      <c r="U13" s="269">
        <v>21</v>
      </c>
      <c r="V13" s="270">
        <v>45</v>
      </c>
      <c r="W13" s="269">
        <v>37</v>
      </c>
      <c r="X13" s="270">
        <v>69</v>
      </c>
      <c r="Y13" s="269">
        <v>21</v>
      </c>
      <c r="Z13" s="270">
        <v>67</v>
      </c>
      <c r="AA13" s="268">
        <f>+' 1 Manutención plan'!AB92</f>
        <v>39</v>
      </c>
      <c r="AB13" s="270">
        <f>+' 1 Manutención plan'!AC92</f>
        <v>71</v>
      </c>
      <c r="AC13" s="268">
        <f>+' 1 Manutención plan'!AD92</f>
        <v>81</v>
      </c>
      <c r="AD13" s="270">
        <f>+' 1 Manutención plan'!AE92</f>
        <v>132</v>
      </c>
      <c r="AE13" s="268">
        <f>+' 1 Manutención plan'!AF92</f>
        <v>70</v>
      </c>
      <c r="AF13" s="270">
        <f>+' 1 Manutención plan'!AG92</f>
        <v>167</v>
      </c>
      <c r="AG13" s="268">
        <f>+' 1 Manutención plan'!AH92</f>
        <v>74</v>
      </c>
      <c r="AH13" s="270">
        <f>+' 1 Manutención plan'!AI92</f>
        <v>169</v>
      </c>
      <c r="AI13" s="268">
        <f>+' 1 Manutención plan'!AJ92</f>
        <v>98</v>
      </c>
      <c r="AJ13" s="270">
        <f>+' 1 Manutención plan'!AK92</f>
        <v>225</v>
      </c>
    </row>
    <row r="14" spans="1:36" ht="15" customHeight="1" x14ac:dyDescent="0.2">
      <c r="A14" s="5783"/>
      <c r="B14" s="2228" t="s">
        <v>160</v>
      </c>
      <c r="C14" s="2229"/>
      <c r="D14" s="2317"/>
      <c r="E14" s="2229"/>
      <c r="F14" s="2317"/>
      <c r="G14" s="2229"/>
      <c r="H14" s="2317"/>
      <c r="I14" s="2229"/>
      <c r="J14" s="2318"/>
      <c r="K14" s="2317">
        <v>28</v>
      </c>
      <c r="L14" s="2318">
        <v>28</v>
      </c>
      <c r="M14" s="2317">
        <v>71</v>
      </c>
      <c r="N14" s="2318">
        <v>99</v>
      </c>
      <c r="O14" s="2317">
        <v>72</v>
      </c>
      <c r="P14" s="2318">
        <v>162</v>
      </c>
      <c r="Q14" s="2317">
        <v>92</v>
      </c>
      <c r="R14" s="2318">
        <v>225</v>
      </c>
      <c r="S14" s="2317">
        <v>71</v>
      </c>
      <c r="T14" s="2318">
        <v>263</v>
      </c>
      <c r="U14" s="2317">
        <f t="shared" ref="U14:Z14" si="2">SUM(U11:U13)</f>
        <v>114</v>
      </c>
      <c r="V14" s="2318">
        <f t="shared" si="2"/>
        <v>283</v>
      </c>
      <c r="W14" s="2317">
        <f t="shared" si="2"/>
        <v>136</v>
      </c>
      <c r="X14" s="2318">
        <f t="shared" si="2"/>
        <v>339</v>
      </c>
      <c r="Y14" s="2317">
        <f t="shared" si="2"/>
        <v>88</v>
      </c>
      <c r="Z14" s="2318">
        <f t="shared" si="2"/>
        <v>311</v>
      </c>
      <c r="AA14" s="2229">
        <f t="shared" ref="AA14:AF14" si="3">SUM(AA11:AA13)</f>
        <v>136</v>
      </c>
      <c r="AB14" s="2318">
        <f t="shared" si="3"/>
        <v>326</v>
      </c>
      <c r="AC14" s="2229">
        <f t="shared" si="3"/>
        <v>255</v>
      </c>
      <c r="AD14" s="2318">
        <f t="shared" si="3"/>
        <v>497</v>
      </c>
      <c r="AE14" s="2229">
        <f t="shared" si="3"/>
        <v>246</v>
      </c>
      <c r="AF14" s="2318">
        <f t="shared" si="3"/>
        <v>614</v>
      </c>
      <c r="AG14" s="2229">
        <f>SUM(AG11:AG13)</f>
        <v>306</v>
      </c>
      <c r="AH14" s="2318">
        <f>SUM(AH11:AH13)</f>
        <v>745</v>
      </c>
      <c r="AI14" s="2229">
        <f>SUM(AI11:AI13)</f>
        <v>350</v>
      </c>
      <c r="AJ14" s="2318">
        <f>SUM(AJ11:AJ13)</f>
        <v>922</v>
      </c>
    </row>
    <row r="15" spans="1:36" ht="15" customHeight="1" x14ac:dyDescent="0.25">
      <c r="A15" s="1781"/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  <c r="O15" s="689"/>
      <c r="P15" s="689"/>
      <c r="Q15" s="689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689"/>
      <c r="AD15" s="689"/>
      <c r="AE15" s="689"/>
      <c r="AF15" s="689"/>
      <c r="AG15" s="689"/>
      <c r="AH15" s="689"/>
      <c r="AI15" s="689"/>
      <c r="AJ15" s="689"/>
    </row>
    <row r="16" spans="1:36" ht="15" customHeight="1" x14ac:dyDescent="0.2">
      <c r="A16" s="5772" t="s">
        <v>162</v>
      </c>
      <c r="B16" s="267" t="s">
        <v>5</v>
      </c>
      <c r="C16" s="264">
        <v>18</v>
      </c>
      <c r="D16" s="265">
        <v>18</v>
      </c>
      <c r="E16" s="264">
        <v>70</v>
      </c>
      <c r="F16" s="265">
        <v>81</v>
      </c>
      <c r="G16" s="268">
        <v>89</v>
      </c>
      <c r="H16" s="269">
        <v>153</v>
      </c>
      <c r="I16" s="268">
        <v>108</v>
      </c>
      <c r="J16" s="270">
        <v>211</v>
      </c>
      <c r="K16" s="269">
        <v>144</v>
      </c>
      <c r="L16" s="270">
        <v>282</v>
      </c>
      <c r="M16" s="269">
        <v>254</v>
      </c>
      <c r="N16" s="270">
        <v>412</v>
      </c>
      <c r="O16" s="269">
        <v>197</v>
      </c>
      <c r="P16" s="270">
        <v>470</v>
      </c>
      <c r="Q16" s="269">
        <v>180</v>
      </c>
      <c r="R16" s="270">
        <v>428</v>
      </c>
      <c r="S16" s="269">
        <v>164</v>
      </c>
      <c r="T16" s="270">
        <v>389</v>
      </c>
      <c r="U16" s="269">
        <v>321</v>
      </c>
      <c r="V16" s="270">
        <v>520</v>
      </c>
      <c r="W16" s="269">
        <v>366</v>
      </c>
      <c r="X16" s="270">
        <v>706</v>
      </c>
      <c r="Y16" s="269">
        <v>284</v>
      </c>
      <c r="Z16" s="270">
        <v>669</v>
      </c>
      <c r="AA16" s="264">
        <f>+' 1 Manutención plan'!AB36</f>
        <v>414</v>
      </c>
      <c r="AB16" s="266">
        <f>+' 1 Manutención plan'!AC36</f>
        <v>832</v>
      </c>
      <c r="AC16" s="264">
        <f>+' 1 Manutención plan'!AD36</f>
        <v>391</v>
      </c>
      <c r="AD16" s="266">
        <f>+' 1 Manutención plan'!AE36</f>
        <v>956</v>
      </c>
      <c r="AE16" s="264">
        <f>+' 1 Manutención plan'!AF36</f>
        <v>264</v>
      </c>
      <c r="AF16" s="266">
        <f>+' 1 Manutención plan'!AG36</f>
        <v>894</v>
      </c>
      <c r="AG16" s="264">
        <f>+' 1 Manutención plan'!AH36</f>
        <v>355</v>
      </c>
      <c r="AH16" s="266">
        <f>+' 1 Manutención plan'!AI36</f>
        <v>869</v>
      </c>
      <c r="AI16" s="264">
        <f>+' 1 Manutención plan'!AJ36</f>
        <v>332</v>
      </c>
      <c r="AJ16" s="266">
        <f>+' 1 Manutención plan'!AK36</f>
        <v>881</v>
      </c>
    </row>
    <row r="17" spans="1:36" ht="15" customHeight="1" x14ac:dyDescent="0.2">
      <c r="A17" s="5773"/>
      <c r="B17" s="267" t="s">
        <v>6</v>
      </c>
      <c r="C17" s="268">
        <v>35</v>
      </c>
      <c r="D17" s="269">
        <v>34</v>
      </c>
      <c r="E17" s="268">
        <v>129</v>
      </c>
      <c r="F17" s="269">
        <v>157</v>
      </c>
      <c r="G17" s="268">
        <v>139</v>
      </c>
      <c r="H17" s="269">
        <v>267</v>
      </c>
      <c r="I17" s="268">
        <v>116</v>
      </c>
      <c r="J17" s="270">
        <v>339</v>
      </c>
      <c r="K17" s="269">
        <v>166</v>
      </c>
      <c r="L17" s="270">
        <v>449</v>
      </c>
      <c r="M17" s="269">
        <v>418</v>
      </c>
      <c r="N17" s="270">
        <v>710</v>
      </c>
      <c r="O17" s="269">
        <v>288</v>
      </c>
      <c r="P17" s="270">
        <v>836</v>
      </c>
      <c r="Q17" s="269">
        <v>369</v>
      </c>
      <c r="R17" s="270">
        <v>949</v>
      </c>
      <c r="S17" s="269">
        <v>528</v>
      </c>
      <c r="T17" s="270">
        <v>1173</v>
      </c>
      <c r="U17" s="269">
        <v>705</v>
      </c>
      <c r="V17" s="270">
        <v>1584</v>
      </c>
      <c r="W17" s="269">
        <v>569</v>
      </c>
      <c r="X17" s="270">
        <v>1781</v>
      </c>
      <c r="Y17" s="269">
        <v>445</v>
      </c>
      <c r="Z17" s="270">
        <v>1738</v>
      </c>
      <c r="AA17" s="268">
        <f>+' 1 Manutención plan'!AB48</f>
        <v>510</v>
      </c>
      <c r="AB17" s="270">
        <f>+' 1 Manutención plan'!AC48</f>
        <v>1688</v>
      </c>
      <c r="AC17" s="268">
        <f>+' 1 Manutención plan'!AD48</f>
        <v>545</v>
      </c>
      <c r="AD17" s="270">
        <f>+' 1 Manutención plan'!AE48</f>
        <v>1735</v>
      </c>
      <c r="AE17" s="268">
        <f>+' 1 Manutención plan'!AF48</f>
        <v>539</v>
      </c>
      <c r="AF17" s="270">
        <f>+' 1 Manutención plan'!AG48</f>
        <v>1764</v>
      </c>
      <c r="AG17" s="268">
        <f>+' 1 Manutención plan'!AH48</f>
        <v>590</v>
      </c>
      <c r="AH17" s="270">
        <f>+' 1 Manutención plan'!AI48</f>
        <v>1827</v>
      </c>
      <c r="AI17" s="268">
        <f>+' 1 Manutención plan'!AJ48</f>
        <v>615</v>
      </c>
      <c r="AJ17" s="270">
        <f>+' 1 Manutención plan'!AK48</f>
        <v>1898</v>
      </c>
    </row>
    <row r="18" spans="1:36" ht="15" customHeight="1" x14ac:dyDescent="0.2">
      <c r="A18" s="5773"/>
      <c r="B18" s="267" t="s">
        <v>11</v>
      </c>
      <c r="C18" s="268">
        <v>6</v>
      </c>
      <c r="D18" s="269">
        <v>6</v>
      </c>
      <c r="E18" s="268">
        <v>87</v>
      </c>
      <c r="F18" s="269">
        <v>87</v>
      </c>
      <c r="G18" s="268">
        <v>75</v>
      </c>
      <c r="H18" s="269">
        <v>145</v>
      </c>
      <c r="I18" s="268">
        <v>120</v>
      </c>
      <c r="J18" s="270">
        <v>217</v>
      </c>
      <c r="K18" s="269">
        <v>138</v>
      </c>
      <c r="L18" s="270">
        <v>274</v>
      </c>
      <c r="M18" s="269">
        <v>230</v>
      </c>
      <c r="N18" s="270">
        <v>393</v>
      </c>
      <c r="O18" s="269">
        <v>174</v>
      </c>
      <c r="P18" s="270">
        <v>470</v>
      </c>
      <c r="Q18" s="269">
        <v>139</v>
      </c>
      <c r="R18" s="270">
        <v>432</v>
      </c>
      <c r="S18" s="269">
        <v>255</v>
      </c>
      <c r="T18" s="270">
        <v>480</v>
      </c>
      <c r="U18" s="269">
        <v>403</v>
      </c>
      <c r="V18" s="270">
        <v>697</v>
      </c>
      <c r="W18" s="269">
        <v>388</v>
      </c>
      <c r="X18" s="270">
        <v>858</v>
      </c>
      <c r="Y18" s="269">
        <v>381</v>
      </c>
      <c r="Z18" s="270">
        <v>926</v>
      </c>
      <c r="AA18" s="268">
        <f>+' 1 Manutención plan'!AB55</f>
        <v>365</v>
      </c>
      <c r="AB18" s="270">
        <f>+' 1 Manutención plan'!AC55</f>
        <v>978</v>
      </c>
      <c r="AC18" s="268">
        <f>+' 1 Manutención plan'!AD55</f>
        <v>383</v>
      </c>
      <c r="AD18" s="270">
        <f>+' 1 Manutención plan'!AE55</f>
        <v>1002</v>
      </c>
      <c r="AE18" s="268">
        <f>+' 1 Manutención plan'!AF55</f>
        <v>345</v>
      </c>
      <c r="AF18" s="270">
        <f>+' 1 Manutención plan'!AG55</f>
        <v>1005</v>
      </c>
      <c r="AG18" s="268">
        <f>+' 1 Manutención plan'!AH55</f>
        <v>430</v>
      </c>
      <c r="AH18" s="270">
        <f>+' 1 Manutención plan'!AI55</f>
        <v>1048</v>
      </c>
      <c r="AI18" s="268">
        <f>+' 1 Manutención plan'!AJ55</f>
        <v>348</v>
      </c>
      <c r="AJ18" s="270">
        <f>+' 1 Manutención plan'!AK55</f>
        <v>1078</v>
      </c>
    </row>
    <row r="19" spans="1:36" ht="15" customHeight="1" x14ac:dyDescent="0.2">
      <c r="A19" s="5774"/>
      <c r="B19" s="2225" t="s">
        <v>160</v>
      </c>
      <c r="C19" s="2226">
        <f>SUM(C16:C18)</f>
        <v>59</v>
      </c>
      <c r="D19" s="2313">
        <f>SUM(D16:D18)</f>
        <v>58</v>
      </c>
      <c r="E19" s="2226">
        <f>SUM(E16:E18)</f>
        <v>286</v>
      </c>
      <c r="F19" s="2313">
        <f>SUM(F16:F18)</f>
        <v>325</v>
      </c>
      <c r="G19" s="2226">
        <v>303</v>
      </c>
      <c r="H19" s="2313">
        <v>565</v>
      </c>
      <c r="I19" s="2226">
        <v>344</v>
      </c>
      <c r="J19" s="2314">
        <v>767</v>
      </c>
      <c r="K19" s="2313">
        <v>448</v>
      </c>
      <c r="L19" s="2314">
        <v>1005</v>
      </c>
      <c r="M19" s="2313">
        <v>902</v>
      </c>
      <c r="N19" s="2314">
        <v>1515</v>
      </c>
      <c r="O19" s="2313">
        <v>659</v>
      </c>
      <c r="P19" s="2314">
        <v>1776</v>
      </c>
      <c r="Q19" s="2313">
        <v>688</v>
      </c>
      <c r="R19" s="2314">
        <v>1809</v>
      </c>
      <c r="S19" s="2313">
        <v>947</v>
      </c>
      <c r="T19" s="2314">
        <v>2042</v>
      </c>
      <c r="U19" s="2313">
        <f t="shared" ref="U19:Z19" si="4">SUM(U16:U18)</f>
        <v>1429</v>
      </c>
      <c r="V19" s="2314">
        <f t="shared" si="4"/>
        <v>2801</v>
      </c>
      <c r="W19" s="2313">
        <f t="shared" si="4"/>
        <v>1323</v>
      </c>
      <c r="X19" s="2314">
        <f t="shared" si="4"/>
        <v>3345</v>
      </c>
      <c r="Y19" s="2313">
        <f t="shared" si="4"/>
        <v>1110</v>
      </c>
      <c r="Z19" s="2314">
        <f t="shared" si="4"/>
        <v>3333</v>
      </c>
      <c r="AA19" s="2226">
        <f t="shared" ref="AA19:AF19" si="5">SUM(AA16:AA18)</f>
        <v>1289</v>
      </c>
      <c r="AB19" s="2314">
        <f t="shared" si="5"/>
        <v>3498</v>
      </c>
      <c r="AC19" s="2226">
        <f t="shared" si="5"/>
        <v>1319</v>
      </c>
      <c r="AD19" s="2314">
        <f t="shared" si="5"/>
        <v>3693</v>
      </c>
      <c r="AE19" s="2226">
        <f t="shared" si="5"/>
        <v>1148</v>
      </c>
      <c r="AF19" s="2314">
        <f t="shared" si="5"/>
        <v>3663</v>
      </c>
      <c r="AG19" s="2226">
        <f>SUM(AG16:AG18)</f>
        <v>1375</v>
      </c>
      <c r="AH19" s="2314">
        <f>SUM(AH16:AH18)</f>
        <v>3744</v>
      </c>
      <c r="AI19" s="2226">
        <f>SUM(AI16:AI18)</f>
        <v>1295</v>
      </c>
      <c r="AJ19" s="2314">
        <f>SUM(AJ16:AJ18)</f>
        <v>3857</v>
      </c>
    </row>
    <row r="20" spans="1:36" ht="15" customHeight="1" x14ac:dyDescent="0.2">
      <c r="A20" s="195"/>
      <c r="B20" s="68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89"/>
      <c r="N20" s="689"/>
      <c r="O20" s="689"/>
      <c r="P20" s="689"/>
      <c r="Q20" s="689"/>
      <c r="R20" s="689"/>
      <c r="S20" s="689"/>
      <c r="T20" s="689"/>
      <c r="U20" s="689"/>
      <c r="V20" s="689"/>
      <c r="W20" s="689"/>
      <c r="X20" s="689"/>
      <c r="Y20" s="689"/>
      <c r="Z20" s="689"/>
      <c r="AA20" s="689"/>
      <c r="AB20" s="689"/>
      <c r="AC20" s="689"/>
      <c r="AD20" s="689"/>
      <c r="AE20" s="689"/>
      <c r="AF20" s="689"/>
      <c r="AG20" s="689"/>
      <c r="AH20" s="689"/>
      <c r="AI20" s="689"/>
      <c r="AJ20" s="689"/>
    </row>
    <row r="21" spans="1:36" ht="15" customHeight="1" x14ac:dyDescent="0.2">
      <c r="A21" s="5775" t="s">
        <v>408</v>
      </c>
      <c r="B21" s="263" t="s">
        <v>5</v>
      </c>
      <c r="C21" s="264"/>
      <c r="D21" s="265"/>
      <c r="E21" s="264"/>
      <c r="F21" s="265"/>
      <c r="G21" s="264"/>
      <c r="H21" s="265"/>
      <c r="I21" s="264"/>
      <c r="J21" s="266"/>
      <c r="K21" s="265"/>
      <c r="L21" s="266"/>
      <c r="M21" s="265"/>
      <c r="N21" s="266"/>
      <c r="O21" s="265"/>
      <c r="P21" s="266"/>
      <c r="Q21" s="265"/>
      <c r="R21" s="266"/>
      <c r="S21" s="265"/>
      <c r="T21" s="266"/>
      <c r="U21" s="265"/>
      <c r="V21" s="266"/>
      <c r="W21" s="269">
        <f>SUM(' 1 Manutención plan'!X96)</f>
        <v>22</v>
      </c>
      <c r="X21" s="270">
        <f>SUM(' 1 Manutención plan'!Y96)</f>
        <v>22</v>
      </c>
      <c r="Y21" s="269">
        <f>SUM(' 1 Manutención plan'!Z96)</f>
        <v>17</v>
      </c>
      <c r="Z21" s="270">
        <f>SUM(' 1 Manutención plan'!AA96)</f>
        <v>40</v>
      </c>
      <c r="AA21" s="264">
        <f>SUM(' 1 Manutención plan'!AB96)</f>
        <v>18</v>
      </c>
      <c r="AB21" s="266">
        <f>SUM(' 1 Manutención plan'!AC96)</f>
        <v>50</v>
      </c>
      <c r="AC21" s="264">
        <f>SUM(' 1 Manutención plan'!AD96)</f>
        <v>8</v>
      </c>
      <c r="AD21" s="266">
        <f>SUM(' 1 Manutención plan'!AE96)</f>
        <v>45</v>
      </c>
      <c r="AE21" s="264">
        <f>SUM(' 1 Manutención plan'!AF96)</f>
        <v>31</v>
      </c>
      <c r="AF21" s="266">
        <f>SUM(' 1 Manutención plan'!AG96)</f>
        <v>61</v>
      </c>
      <c r="AG21" s="264">
        <f>SUM(' 1 Manutención plan'!AH96)</f>
        <v>14</v>
      </c>
      <c r="AH21" s="266">
        <f>SUM(' 1 Manutención plan'!AI96)</f>
        <v>49</v>
      </c>
      <c r="AI21" s="264">
        <f>SUM(' 1 Manutención plan'!AJ96)</f>
        <v>47</v>
      </c>
      <c r="AJ21" s="266">
        <f>SUM(' 1 Manutención plan'!AK96)</f>
        <v>71</v>
      </c>
    </row>
    <row r="22" spans="1:36" ht="15" customHeight="1" x14ac:dyDescent="0.2">
      <c r="A22" s="5776"/>
      <c r="B22" s="267" t="s">
        <v>6</v>
      </c>
      <c r="C22" s="268"/>
      <c r="D22" s="269"/>
      <c r="E22" s="268"/>
      <c r="F22" s="269"/>
      <c r="G22" s="268"/>
      <c r="H22" s="269"/>
      <c r="I22" s="268"/>
      <c r="J22" s="270"/>
      <c r="K22" s="269"/>
      <c r="L22" s="270"/>
      <c r="M22" s="269"/>
      <c r="N22" s="270"/>
      <c r="O22" s="269"/>
      <c r="P22" s="270"/>
      <c r="Q22" s="269"/>
      <c r="R22" s="270"/>
      <c r="S22" s="269"/>
      <c r="T22" s="270"/>
      <c r="U22" s="269"/>
      <c r="V22" s="270"/>
      <c r="W22" s="269">
        <f>SUM(' 1 Manutención plan'!X99)</f>
        <v>25</v>
      </c>
      <c r="X22" s="270">
        <f>SUM(' 1 Manutención plan'!Y99)</f>
        <v>25</v>
      </c>
      <c r="Y22" s="269">
        <f>SUM(' 1 Manutención plan'!Z99)</f>
        <v>20</v>
      </c>
      <c r="Z22" s="270">
        <f>SUM(' 1 Manutención plan'!AA99)</f>
        <v>45</v>
      </c>
      <c r="AA22" s="268">
        <f>SUM(' 1 Manutención plan'!AB99)</f>
        <v>23</v>
      </c>
      <c r="AB22" s="270">
        <f>SUM(' 1 Manutención plan'!AC99)</f>
        <v>61</v>
      </c>
      <c r="AC22" s="268">
        <f>SUM(' 1 Manutención plan'!AD99)</f>
        <v>21</v>
      </c>
      <c r="AD22" s="270">
        <f>SUM(' 1 Manutención plan'!AE99)</f>
        <v>77</v>
      </c>
      <c r="AE22" s="268">
        <f>SUM(' 1 Manutención plan'!AF99)</f>
        <v>45</v>
      </c>
      <c r="AF22" s="270">
        <f>SUM(' 1 Manutención plan'!AG99)</f>
        <v>110</v>
      </c>
      <c r="AG22" s="268">
        <f>SUM(' 1 Manutención plan'!AH99)</f>
        <v>45</v>
      </c>
      <c r="AH22" s="270">
        <f>SUM(' 1 Manutención plan'!AI99)</f>
        <v>113</v>
      </c>
      <c r="AI22" s="268">
        <f>SUM(' 1 Manutención plan'!AJ99)</f>
        <v>41</v>
      </c>
      <c r="AJ22" s="270">
        <f>SUM(' 1 Manutención plan'!AK99)</f>
        <v>123</v>
      </c>
    </row>
    <row r="23" spans="1:36" ht="15" customHeight="1" x14ac:dyDescent="0.2">
      <c r="A23" s="5776"/>
      <c r="B23" s="267" t="s">
        <v>11</v>
      </c>
      <c r="C23" s="268"/>
      <c r="D23" s="269"/>
      <c r="E23" s="268"/>
      <c r="F23" s="269"/>
      <c r="G23" s="268"/>
      <c r="H23" s="269"/>
      <c r="I23" s="268"/>
      <c r="J23" s="270"/>
      <c r="K23" s="269"/>
      <c r="L23" s="270"/>
      <c r="M23" s="269"/>
      <c r="N23" s="270"/>
      <c r="O23" s="269"/>
      <c r="P23" s="270"/>
      <c r="Q23" s="269"/>
      <c r="R23" s="270"/>
      <c r="S23" s="269"/>
      <c r="T23" s="270"/>
      <c r="U23" s="269"/>
      <c r="V23" s="270"/>
      <c r="W23" s="269">
        <f>SUM(' 1 Manutención plan'!X102)</f>
        <v>29</v>
      </c>
      <c r="X23" s="270">
        <f>SUM(' 1 Manutención plan'!Y102)</f>
        <v>26</v>
      </c>
      <c r="Y23" s="269">
        <f>SUM(' 1 Manutención plan'!Z102)</f>
        <v>9</v>
      </c>
      <c r="Z23" s="270">
        <f>SUM(' 1 Manutención plan'!AA102)</f>
        <v>28</v>
      </c>
      <c r="AA23" s="268">
        <f>SUM(' 1 Manutención plan'!AB102)</f>
        <v>20</v>
      </c>
      <c r="AB23" s="270">
        <f>SUM(' 1 Manutención plan'!AC102)</f>
        <v>34</v>
      </c>
      <c r="AC23" s="268">
        <f>SUM(' 1 Manutención plan'!AD102)</f>
        <v>22</v>
      </c>
      <c r="AD23" s="270">
        <f>SUM(' 1 Manutención plan'!AE102)</f>
        <v>50</v>
      </c>
      <c r="AE23" s="268">
        <f>SUM(' 1 Manutención plan'!AF102)</f>
        <v>46</v>
      </c>
      <c r="AF23" s="270">
        <f>SUM(' 1 Manutención plan'!AG102)</f>
        <v>89</v>
      </c>
      <c r="AG23" s="268">
        <f>SUM(' 1 Manutención plan'!AH102)</f>
        <v>24</v>
      </c>
      <c r="AH23" s="270">
        <f>SUM(' 1 Manutención plan'!AI102)</f>
        <v>86</v>
      </c>
      <c r="AI23" s="268">
        <f>SUM(' 1 Manutención plan'!AJ102)</f>
        <v>46</v>
      </c>
      <c r="AJ23" s="270">
        <f>SUM(' 1 Manutención plan'!AK102)</f>
        <v>96</v>
      </c>
    </row>
    <row r="24" spans="1:36" ht="15" customHeight="1" x14ac:dyDescent="0.2">
      <c r="A24" s="5777"/>
      <c r="B24" s="2223" t="s">
        <v>160</v>
      </c>
      <c r="C24" s="2224"/>
      <c r="D24" s="2319"/>
      <c r="E24" s="2224"/>
      <c r="F24" s="2319"/>
      <c r="G24" s="2224"/>
      <c r="H24" s="2319"/>
      <c r="I24" s="2224"/>
      <c r="J24" s="2234"/>
      <c r="K24" s="2319"/>
      <c r="L24" s="2234"/>
      <c r="M24" s="2319"/>
      <c r="N24" s="2234"/>
      <c r="O24" s="2319"/>
      <c r="P24" s="2234"/>
      <c r="Q24" s="2319"/>
      <c r="R24" s="2234"/>
      <c r="S24" s="2319"/>
      <c r="T24" s="2234"/>
      <c r="U24" s="2319"/>
      <c r="V24" s="2234"/>
      <c r="W24" s="2319">
        <f>SUM(W21:W23)</f>
        <v>76</v>
      </c>
      <c r="X24" s="2234">
        <f t="shared" ref="X24:AD24" si="6">SUM(X21:X23)</f>
        <v>73</v>
      </c>
      <c r="Y24" s="2319">
        <f t="shared" si="6"/>
        <v>46</v>
      </c>
      <c r="Z24" s="2234">
        <f t="shared" si="6"/>
        <v>113</v>
      </c>
      <c r="AA24" s="2224">
        <f t="shared" si="6"/>
        <v>61</v>
      </c>
      <c r="AB24" s="2234">
        <f t="shared" si="6"/>
        <v>145</v>
      </c>
      <c r="AC24" s="2224">
        <f t="shared" si="6"/>
        <v>51</v>
      </c>
      <c r="AD24" s="2234">
        <f t="shared" si="6"/>
        <v>172</v>
      </c>
      <c r="AE24" s="2224">
        <f t="shared" ref="AE24:AJ24" si="7">SUM(AE21:AE23)</f>
        <v>122</v>
      </c>
      <c r="AF24" s="2234">
        <f t="shared" si="7"/>
        <v>260</v>
      </c>
      <c r="AG24" s="2224">
        <f t="shared" si="7"/>
        <v>83</v>
      </c>
      <c r="AH24" s="2234">
        <f t="shared" si="7"/>
        <v>248</v>
      </c>
      <c r="AI24" s="2224">
        <f t="shared" si="7"/>
        <v>134</v>
      </c>
      <c r="AJ24" s="2234">
        <f t="shared" si="7"/>
        <v>290</v>
      </c>
    </row>
    <row r="25" spans="1:36" ht="15" customHeight="1" x14ac:dyDescent="0.25">
      <c r="A25" s="1781"/>
    </row>
    <row r="26" spans="1:36" ht="15" customHeight="1" x14ac:dyDescent="0.2">
      <c r="A26" s="5784" t="s">
        <v>163</v>
      </c>
      <c r="B26" s="263" t="s">
        <v>6</v>
      </c>
      <c r="C26" s="264">
        <v>19</v>
      </c>
      <c r="D26" s="265">
        <v>17</v>
      </c>
      <c r="E26" s="264">
        <v>113</v>
      </c>
      <c r="F26" s="265">
        <v>122</v>
      </c>
      <c r="G26" s="264">
        <v>116</v>
      </c>
      <c r="H26" s="265">
        <v>229</v>
      </c>
      <c r="I26" s="264">
        <v>123</v>
      </c>
      <c r="J26" s="266">
        <v>306</v>
      </c>
      <c r="K26" s="265">
        <v>154</v>
      </c>
      <c r="L26" s="266">
        <v>368</v>
      </c>
      <c r="M26" s="265">
        <v>411</v>
      </c>
      <c r="N26" s="266">
        <v>687</v>
      </c>
      <c r="O26" s="265">
        <v>240</v>
      </c>
      <c r="P26" s="266">
        <v>814</v>
      </c>
      <c r="Q26" s="265">
        <v>240</v>
      </c>
      <c r="R26" s="266">
        <v>824</v>
      </c>
      <c r="S26" s="265">
        <v>674</v>
      </c>
      <c r="T26" s="266">
        <v>1136</v>
      </c>
      <c r="U26" s="265">
        <v>600</v>
      </c>
      <c r="V26" s="266">
        <v>1371</v>
      </c>
      <c r="W26" s="265">
        <v>520</v>
      </c>
      <c r="X26" s="266">
        <v>1579</v>
      </c>
      <c r="Y26" s="265">
        <v>476</v>
      </c>
      <c r="Z26" s="266">
        <v>1637</v>
      </c>
      <c r="AA26" s="264">
        <f>+' 1 Manutención plan'!AB63</f>
        <v>472</v>
      </c>
      <c r="AB26" s="266">
        <f>+' 1 Manutención plan'!AC63</f>
        <v>1597</v>
      </c>
      <c r="AC26" s="264">
        <f>+' 1 Manutención plan'!AD63</f>
        <v>633</v>
      </c>
      <c r="AD26" s="266">
        <f>+' 1 Manutención plan'!AE63</f>
        <v>1645</v>
      </c>
      <c r="AE26" s="264">
        <f>+' 1 Manutención plan'!AF63</f>
        <v>520</v>
      </c>
      <c r="AF26" s="266">
        <f>+' 1 Manutención plan'!AG63</f>
        <v>1699</v>
      </c>
      <c r="AG26" s="264">
        <f>+' 1 Manutención plan'!AH63</f>
        <v>663</v>
      </c>
      <c r="AH26" s="266">
        <f>+' 1 Manutención plan'!AI63</f>
        <v>1841</v>
      </c>
      <c r="AI26" s="264">
        <f>+' 1 Manutención plan'!AJ63</f>
        <v>668</v>
      </c>
      <c r="AJ26" s="266">
        <f>+' 1 Manutención plan'!AK63</f>
        <v>1947</v>
      </c>
    </row>
    <row r="27" spans="1:36" ht="15" customHeight="1" x14ac:dyDescent="0.2">
      <c r="A27" s="5785"/>
      <c r="B27" s="267" t="s">
        <v>11</v>
      </c>
      <c r="C27" s="268">
        <v>17</v>
      </c>
      <c r="D27" s="269">
        <v>17</v>
      </c>
      <c r="E27" s="268">
        <v>148</v>
      </c>
      <c r="F27" s="269">
        <v>153</v>
      </c>
      <c r="G27" s="268">
        <v>164</v>
      </c>
      <c r="H27" s="269">
        <v>285</v>
      </c>
      <c r="I27" s="268">
        <v>151</v>
      </c>
      <c r="J27" s="270">
        <v>395</v>
      </c>
      <c r="K27" s="269">
        <v>176</v>
      </c>
      <c r="L27" s="270">
        <v>483</v>
      </c>
      <c r="M27" s="269">
        <v>580</v>
      </c>
      <c r="N27" s="270">
        <v>935</v>
      </c>
      <c r="O27" s="269">
        <v>335</v>
      </c>
      <c r="P27" s="270">
        <v>1099</v>
      </c>
      <c r="Q27" s="269">
        <v>340</v>
      </c>
      <c r="R27" s="270">
        <v>1138</v>
      </c>
      <c r="S27" s="269">
        <v>868</v>
      </c>
      <c r="T27" s="270">
        <v>1567</v>
      </c>
      <c r="U27" s="269">
        <v>800</v>
      </c>
      <c r="V27" s="270">
        <v>1867</v>
      </c>
      <c r="W27" s="269">
        <v>642</v>
      </c>
      <c r="X27" s="270">
        <v>2000</v>
      </c>
      <c r="Y27" s="269">
        <v>594</v>
      </c>
      <c r="Z27" s="270">
        <v>2071</v>
      </c>
      <c r="AA27" s="268">
        <f>+' 1 Manutención plan'!AB72</f>
        <v>671</v>
      </c>
      <c r="AB27" s="270">
        <f>+' 1 Manutención plan'!AC72</f>
        <v>2051</v>
      </c>
      <c r="AC27" s="268">
        <f>+' 1 Manutención plan'!AD72</f>
        <v>852</v>
      </c>
      <c r="AD27" s="270">
        <f>+' 1 Manutención plan'!AE72</f>
        <v>2248</v>
      </c>
      <c r="AE27" s="268">
        <f>+' 1 Manutención plan'!AF72</f>
        <v>691</v>
      </c>
      <c r="AF27" s="270">
        <f>+' 1 Manutención plan'!AG72</f>
        <v>2337</v>
      </c>
      <c r="AG27" s="268">
        <f>+' 1 Manutención plan'!AH72</f>
        <v>887</v>
      </c>
      <c r="AH27" s="270">
        <f>+' 1 Manutención plan'!AI72</f>
        <v>2565</v>
      </c>
      <c r="AI27" s="268">
        <f>+' 1 Manutención plan'!AJ72</f>
        <v>919</v>
      </c>
      <c r="AJ27" s="270">
        <f>+' 1 Manutención plan'!AK72</f>
        <v>2812</v>
      </c>
    </row>
    <row r="28" spans="1:36" ht="15" customHeight="1" x14ac:dyDescent="0.2">
      <c r="A28" s="5785"/>
      <c r="B28" s="267" t="s">
        <v>7</v>
      </c>
      <c r="C28" s="268">
        <v>11</v>
      </c>
      <c r="D28" s="269">
        <v>10</v>
      </c>
      <c r="E28" s="268">
        <v>56</v>
      </c>
      <c r="F28" s="269">
        <v>61</v>
      </c>
      <c r="G28" s="268">
        <v>68</v>
      </c>
      <c r="H28" s="269">
        <v>121</v>
      </c>
      <c r="I28" s="268">
        <v>73</v>
      </c>
      <c r="J28" s="270">
        <v>176</v>
      </c>
      <c r="K28" s="269">
        <v>71</v>
      </c>
      <c r="L28" s="270">
        <v>210</v>
      </c>
      <c r="M28" s="269">
        <v>240</v>
      </c>
      <c r="N28" s="270">
        <v>382</v>
      </c>
      <c r="O28" s="269">
        <v>134</v>
      </c>
      <c r="P28" s="270">
        <v>441</v>
      </c>
      <c r="Q28" s="269">
        <v>123</v>
      </c>
      <c r="R28" s="270">
        <v>397</v>
      </c>
      <c r="S28" s="269">
        <v>299</v>
      </c>
      <c r="T28" s="270">
        <v>491</v>
      </c>
      <c r="U28" s="269">
        <v>323</v>
      </c>
      <c r="V28" s="270">
        <v>643</v>
      </c>
      <c r="W28" s="269">
        <v>222</v>
      </c>
      <c r="X28" s="270">
        <v>672</v>
      </c>
      <c r="Y28" s="269">
        <v>236</v>
      </c>
      <c r="Z28" s="270">
        <v>710</v>
      </c>
      <c r="AA28" s="268">
        <f>+' 1 Manutención plan'!AB77</f>
        <v>217</v>
      </c>
      <c r="AB28" s="270">
        <f>+' 1 Manutención plan'!AC77</f>
        <v>684</v>
      </c>
      <c r="AC28" s="268">
        <f>+' 1 Manutención plan'!AD77</f>
        <v>284</v>
      </c>
      <c r="AD28" s="270">
        <f>+' 1 Manutención plan'!AE77</f>
        <v>751</v>
      </c>
      <c r="AE28" s="268">
        <f>+' 1 Manutención plan'!AF77</f>
        <v>231</v>
      </c>
      <c r="AF28" s="270">
        <f>+' 1 Manutención plan'!AG77</f>
        <v>771</v>
      </c>
      <c r="AG28" s="268">
        <f>+' 1 Manutención plan'!AH77</f>
        <v>305</v>
      </c>
      <c r="AH28" s="270">
        <f>+' 1 Manutención plan'!AI77</f>
        <v>824</v>
      </c>
      <c r="AI28" s="268">
        <f>+' 1 Manutención plan'!AJ77</f>
        <v>347</v>
      </c>
      <c r="AJ28" s="270">
        <f>+' 1 Manutención plan'!AK77</f>
        <v>931</v>
      </c>
    </row>
    <row r="29" spans="1:36" ht="15" customHeight="1" x14ac:dyDescent="0.2">
      <c r="A29" s="5786"/>
      <c r="B29" s="2235" t="s">
        <v>160</v>
      </c>
      <c r="C29" s="2236">
        <f>SUM(C26:C28)</f>
        <v>47</v>
      </c>
      <c r="D29" s="2311">
        <f>SUM(D26:D28)</f>
        <v>44</v>
      </c>
      <c r="E29" s="2236">
        <f>SUM(E26:E28)</f>
        <v>317</v>
      </c>
      <c r="F29" s="2311">
        <f>SUM(F26:F28)</f>
        <v>336</v>
      </c>
      <c r="G29" s="2236">
        <v>348</v>
      </c>
      <c r="H29" s="2311">
        <v>635</v>
      </c>
      <c r="I29" s="2236">
        <v>347</v>
      </c>
      <c r="J29" s="2312">
        <v>877</v>
      </c>
      <c r="K29" s="2311">
        <v>401</v>
      </c>
      <c r="L29" s="2312">
        <v>1061</v>
      </c>
      <c r="M29" s="2311">
        <v>1231</v>
      </c>
      <c r="N29" s="2312">
        <v>2004</v>
      </c>
      <c r="O29" s="2311">
        <v>709</v>
      </c>
      <c r="P29" s="2312">
        <v>2354</v>
      </c>
      <c r="Q29" s="2311">
        <v>703</v>
      </c>
      <c r="R29" s="2312">
        <v>2359</v>
      </c>
      <c r="S29" s="2311">
        <v>1841</v>
      </c>
      <c r="T29" s="2312">
        <v>3194</v>
      </c>
      <c r="U29" s="2311">
        <f t="shared" ref="U29:Z29" si="8">SUM(U26:U28)</f>
        <v>1723</v>
      </c>
      <c r="V29" s="2312">
        <f t="shared" si="8"/>
        <v>3881</v>
      </c>
      <c r="W29" s="2311">
        <f t="shared" si="8"/>
        <v>1384</v>
      </c>
      <c r="X29" s="2312">
        <f t="shared" si="8"/>
        <v>4251</v>
      </c>
      <c r="Y29" s="2311">
        <f t="shared" si="8"/>
        <v>1306</v>
      </c>
      <c r="Z29" s="2312">
        <f t="shared" si="8"/>
        <v>4418</v>
      </c>
      <c r="AA29" s="2236">
        <f t="shared" ref="AA29:AF29" si="9">SUM(AA26:AA28)</f>
        <v>1360</v>
      </c>
      <c r="AB29" s="2312">
        <f t="shared" si="9"/>
        <v>4332</v>
      </c>
      <c r="AC29" s="2236">
        <f t="shared" si="9"/>
        <v>1769</v>
      </c>
      <c r="AD29" s="2312">
        <f t="shared" si="9"/>
        <v>4644</v>
      </c>
      <c r="AE29" s="2236">
        <f t="shared" si="9"/>
        <v>1442</v>
      </c>
      <c r="AF29" s="2312">
        <f t="shared" si="9"/>
        <v>4807</v>
      </c>
      <c r="AG29" s="2236">
        <f>SUM(AG26:AG28)</f>
        <v>1855</v>
      </c>
      <c r="AH29" s="2312">
        <f>SUM(AH26:AH28)</f>
        <v>5230</v>
      </c>
      <c r="AI29" s="2236">
        <f>SUM(AI26:AI28)</f>
        <v>1934</v>
      </c>
      <c r="AJ29" s="2312">
        <f>SUM(AJ26:AJ28)</f>
        <v>5690</v>
      </c>
    </row>
    <row r="30" spans="1:36" ht="15" customHeight="1" x14ac:dyDescent="0.2"/>
    <row r="31" spans="1:36" ht="15" customHeight="1" x14ac:dyDescent="0.2">
      <c r="A31" s="5683" t="s">
        <v>60</v>
      </c>
      <c r="B31" s="263" t="s">
        <v>5</v>
      </c>
      <c r="C31" s="264">
        <f>SUM(C6,C16)</f>
        <v>41</v>
      </c>
      <c r="D31" s="265">
        <f>SUM(D6,D16)</f>
        <v>40</v>
      </c>
      <c r="E31" s="264">
        <f>SUM(E6,E16)</f>
        <v>156</v>
      </c>
      <c r="F31" s="265">
        <f>SUM(F6,F16)</f>
        <v>176</v>
      </c>
      <c r="G31" s="264">
        <v>199</v>
      </c>
      <c r="H31" s="265">
        <v>331</v>
      </c>
      <c r="I31" s="264">
        <v>305</v>
      </c>
      <c r="J31" s="266">
        <v>503</v>
      </c>
      <c r="K31" s="265">
        <v>334</v>
      </c>
      <c r="L31" s="266">
        <v>670</v>
      </c>
      <c r="M31" s="265">
        <v>595</v>
      </c>
      <c r="N31" s="266">
        <v>1024</v>
      </c>
      <c r="O31" s="265">
        <v>765</v>
      </c>
      <c r="P31" s="266">
        <v>1463</v>
      </c>
      <c r="Q31" s="265">
        <v>451</v>
      </c>
      <c r="R31" s="266">
        <v>1346</v>
      </c>
      <c r="S31" s="265">
        <v>598</v>
      </c>
      <c r="T31" s="266">
        <v>1242</v>
      </c>
      <c r="U31" s="264">
        <f>SUM(U6,U16)</f>
        <v>950</v>
      </c>
      <c r="V31" s="266">
        <f>SUM(V6,V16)</f>
        <v>1636</v>
      </c>
      <c r="W31" s="264">
        <f t="shared" ref="W31:AB31" si="10">SUM(W6,W16,W21)</f>
        <v>1024</v>
      </c>
      <c r="X31" s="266">
        <f t="shared" si="10"/>
        <v>2161</v>
      </c>
      <c r="Y31" s="264">
        <f t="shared" si="10"/>
        <v>713</v>
      </c>
      <c r="Z31" s="266">
        <f t="shared" si="10"/>
        <v>2159</v>
      </c>
      <c r="AA31" s="264">
        <f t="shared" si="10"/>
        <v>882</v>
      </c>
      <c r="AB31" s="266">
        <f t="shared" si="10"/>
        <v>2200</v>
      </c>
      <c r="AC31" s="264">
        <f t="shared" ref="AC31:AH31" si="11">SUM(AC6,AC16,AC21)</f>
        <v>899</v>
      </c>
      <c r="AD31" s="266">
        <f t="shared" si="11"/>
        <v>2377</v>
      </c>
      <c r="AE31" s="264">
        <f t="shared" si="11"/>
        <v>692</v>
      </c>
      <c r="AF31" s="266">
        <f t="shared" si="11"/>
        <v>2250</v>
      </c>
      <c r="AG31" s="264">
        <f t="shared" si="11"/>
        <v>861</v>
      </c>
      <c r="AH31" s="266">
        <f t="shared" si="11"/>
        <v>2250</v>
      </c>
      <c r="AI31" s="264">
        <f t="shared" ref="AI31:AJ31" si="12">SUM(AI6,AI16,AI21)</f>
        <v>882</v>
      </c>
      <c r="AJ31" s="266">
        <f t="shared" si="12"/>
        <v>2403</v>
      </c>
    </row>
    <row r="32" spans="1:36" ht="15" customHeight="1" x14ac:dyDescent="0.2">
      <c r="A32" s="5684"/>
      <c r="B32" s="267" t="s">
        <v>6</v>
      </c>
      <c r="C32" s="268">
        <f>SUM(C7,C17,C26)</f>
        <v>74</v>
      </c>
      <c r="D32" s="269">
        <f>SUM(D7,D17,D26)</f>
        <v>71</v>
      </c>
      <c r="E32" s="268">
        <f>SUM(E7,E17,E26)</f>
        <v>358</v>
      </c>
      <c r="F32" s="269">
        <f>SUM(F7,F17,F26)</f>
        <v>410</v>
      </c>
      <c r="G32" s="268">
        <v>385</v>
      </c>
      <c r="H32" s="269">
        <v>739</v>
      </c>
      <c r="I32" s="268">
        <v>346</v>
      </c>
      <c r="J32" s="270">
        <v>966</v>
      </c>
      <c r="K32" s="269">
        <v>514</v>
      </c>
      <c r="L32" s="270">
        <v>1269</v>
      </c>
      <c r="M32" s="269">
        <v>1191</v>
      </c>
      <c r="N32" s="270">
        <v>2082</v>
      </c>
      <c r="O32" s="269">
        <v>815</v>
      </c>
      <c r="P32" s="270">
        <v>2488</v>
      </c>
      <c r="Q32" s="269">
        <v>937</v>
      </c>
      <c r="R32" s="270">
        <v>2683</v>
      </c>
      <c r="S32" s="269">
        <v>1687</v>
      </c>
      <c r="T32" s="270">
        <v>3414</v>
      </c>
      <c r="U32" s="268">
        <f>SUM(U7,U11,U17,U26)</f>
        <v>1859</v>
      </c>
      <c r="V32" s="270">
        <f>SUM(V7,V11,V17,V26)</f>
        <v>4286</v>
      </c>
      <c r="W32" s="268">
        <f t="shared" ref="W32:AB32" si="13">SUM(W7,W11,W17,W26,W22)</f>
        <v>1668</v>
      </c>
      <c r="X32" s="270">
        <f t="shared" si="13"/>
        <v>4968</v>
      </c>
      <c r="Y32" s="268">
        <f t="shared" si="13"/>
        <v>1512</v>
      </c>
      <c r="Z32" s="270">
        <f t="shared" si="13"/>
        <v>5206</v>
      </c>
      <c r="AA32" s="268">
        <f t="shared" si="13"/>
        <v>1578</v>
      </c>
      <c r="AB32" s="270">
        <f t="shared" si="13"/>
        <v>5191</v>
      </c>
      <c r="AC32" s="268">
        <f t="shared" ref="AC32:AH32" si="14">SUM(AC7,AC11,AC17,AC26,AC22)</f>
        <v>1905</v>
      </c>
      <c r="AD32" s="270">
        <f t="shared" si="14"/>
        <v>5486</v>
      </c>
      <c r="AE32" s="268">
        <f t="shared" si="14"/>
        <v>1763</v>
      </c>
      <c r="AF32" s="270">
        <f t="shared" si="14"/>
        <v>5718</v>
      </c>
      <c r="AG32" s="268">
        <f t="shared" si="14"/>
        <v>1996</v>
      </c>
      <c r="AH32" s="270">
        <f t="shared" si="14"/>
        <v>6049</v>
      </c>
      <c r="AI32" s="268">
        <f t="shared" ref="AI32:AJ32" si="15">SUM(AI7,AI11,AI17,AI26,AI22)</f>
        <v>2055</v>
      </c>
      <c r="AJ32" s="270">
        <f t="shared" si="15"/>
        <v>6373</v>
      </c>
    </row>
    <row r="33" spans="1:36" ht="15" customHeight="1" x14ac:dyDescent="0.2">
      <c r="A33" s="5684"/>
      <c r="B33" s="267" t="s">
        <v>11</v>
      </c>
      <c r="C33" s="268">
        <f>SUM(C18,C27)</f>
        <v>23</v>
      </c>
      <c r="D33" s="269">
        <f>SUM(D18,D27)</f>
        <v>23</v>
      </c>
      <c r="E33" s="268">
        <f>SUM(E18,E27)</f>
        <v>235</v>
      </c>
      <c r="F33" s="269">
        <f>SUM(F18,F27)</f>
        <v>240</v>
      </c>
      <c r="G33" s="268">
        <v>239</v>
      </c>
      <c r="H33" s="269">
        <v>430</v>
      </c>
      <c r="I33" s="268">
        <v>271</v>
      </c>
      <c r="J33" s="270">
        <v>612</v>
      </c>
      <c r="K33" s="269">
        <v>314</v>
      </c>
      <c r="L33" s="270">
        <v>757</v>
      </c>
      <c r="M33" s="269">
        <v>810</v>
      </c>
      <c r="N33" s="270">
        <v>1328</v>
      </c>
      <c r="O33" s="269">
        <v>509</v>
      </c>
      <c r="P33" s="270">
        <v>1569</v>
      </c>
      <c r="Q33" s="269">
        <v>479</v>
      </c>
      <c r="R33" s="270">
        <v>1570</v>
      </c>
      <c r="S33" s="269">
        <v>1123</v>
      </c>
      <c r="T33" s="270">
        <v>2047</v>
      </c>
      <c r="U33" s="268">
        <f>SUM(U18,U27)</f>
        <v>1203</v>
      </c>
      <c r="V33" s="270">
        <f>SUM(V18,V27)</f>
        <v>2564</v>
      </c>
      <c r="W33" s="268">
        <f t="shared" ref="W33:AB33" si="16">SUM(W18,W27,W23)</f>
        <v>1059</v>
      </c>
      <c r="X33" s="270">
        <f t="shared" si="16"/>
        <v>2884</v>
      </c>
      <c r="Y33" s="268">
        <f t="shared" si="16"/>
        <v>984</v>
      </c>
      <c r="Z33" s="270">
        <f t="shared" si="16"/>
        <v>3025</v>
      </c>
      <c r="AA33" s="268">
        <f t="shared" si="16"/>
        <v>1056</v>
      </c>
      <c r="AB33" s="270">
        <f t="shared" si="16"/>
        <v>3063</v>
      </c>
      <c r="AC33" s="268">
        <f t="shared" ref="AC33:AH33" si="17">SUM(AC18,AC27,AC23)</f>
        <v>1257</v>
      </c>
      <c r="AD33" s="270">
        <f t="shared" si="17"/>
        <v>3300</v>
      </c>
      <c r="AE33" s="268">
        <f t="shared" si="17"/>
        <v>1082</v>
      </c>
      <c r="AF33" s="270">
        <f t="shared" si="17"/>
        <v>3431</v>
      </c>
      <c r="AG33" s="268">
        <f t="shared" si="17"/>
        <v>1341</v>
      </c>
      <c r="AH33" s="270">
        <f t="shared" si="17"/>
        <v>3699</v>
      </c>
      <c r="AI33" s="268">
        <f t="shared" ref="AI33:AJ33" si="18">SUM(AI18,AI27,AI23)</f>
        <v>1313</v>
      </c>
      <c r="AJ33" s="270">
        <f t="shared" si="18"/>
        <v>3986</v>
      </c>
    </row>
    <row r="34" spans="1:36" ht="15" customHeight="1" x14ac:dyDescent="0.2">
      <c r="A34" s="5684"/>
      <c r="B34" s="267" t="s">
        <v>7</v>
      </c>
      <c r="C34" s="268">
        <f>SUM(C8,C28)</f>
        <v>21</v>
      </c>
      <c r="D34" s="269">
        <f>SUM(D8,D28)</f>
        <v>19</v>
      </c>
      <c r="E34" s="268">
        <f>SUM(E8,E28)</f>
        <v>122</v>
      </c>
      <c r="F34" s="269">
        <f>SUM(F8,F28)</f>
        <v>134</v>
      </c>
      <c r="G34" s="268">
        <v>145</v>
      </c>
      <c r="H34" s="269">
        <v>258</v>
      </c>
      <c r="I34" s="268">
        <v>155</v>
      </c>
      <c r="J34" s="270">
        <v>374</v>
      </c>
      <c r="K34" s="269">
        <v>193</v>
      </c>
      <c r="L34" s="270">
        <v>478</v>
      </c>
      <c r="M34" s="269">
        <v>424</v>
      </c>
      <c r="N34" s="270">
        <v>784</v>
      </c>
      <c r="O34" s="269">
        <v>294</v>
      </c>
      <c r="P34" s="270">
        <v>928</v>
      </c>
      <c r="Q34" s="269">
        <v>307</v>
      </c>
      <c r="R34" s="270">
        <v>910</v>
      </c>
      <c r="S34" s="269">
        <v>502</v>
      </c>
      <c r="T34" s="270">
        <v>1030</v>
      </c>
      <c r="U34" s="268">
        <f t="shared" ref="U34:Z34" si="19">SUM(U8,U28)</f>
        <v>536</v>
      </c>
      <c r="V34" s="270">
        <f t="shared" si="19"/>
        <v>1228</v>
      </c>
      <c r="W34" s="268">
        <f t="shared" si="19"/>
        <v>427</v>
      </c>
      <c r="X34" s="270">
        <f t="shared" si="19"/>
        <v>1307</v>
      </c>
      <c r="Y34" s="268">
        <f t="shared" si="19"/>
        <v>446</v>
      </c>
      <c r="Z34" s="270">
        <f t="shared" si="19"/>
        <v>1376</v>
      </c>
      <c r="AA34" s="268">
        <f t="shared" ref="AA34:AF34" si="20">SUM(AA8,AA28)</f>
        <v>434</v>
      </c>
      <c r="AB34" s="270">
        <f t="shared" si="20"/>
        <v>1381</v>
      </c>
      <c r="AC34" s="268">
        <f t="shared" si="20"/>
        <v>528</v>
      </c>
      <c r="AD34" s="270">
        <f t="shared" si="20"/>
        <v>1487</v>
      </c>
      <c r="AE34" s="268">
        <f t="shared" si="20"/>
        <v>506</v>
      </c>
      <c r="AF34" s="270">
        <f t="shared" si="20"/>
        <v>1579</v>
      </c>
      <c r="AG34" s="268">
        <f>SUM(AG8,AG28)</f>
        <v>579</v>
      </c>
      <c r="AH34" s="270">
        <f>SUM(AH8,AH28)</f>
        <v>1690</v>
      </c>
      <c r="AI34" s="268">
        <f>SUM(AI8,AI28)</f>
        <v>671</v>
      </c>
      <c r="AJ34" s="270">
        <f>SUM(AJ8,AJ28)</f>
        <v>1896</v>
      </c>
    </row>
    <row r="35" spans="1:36" ht="15" customHeight="1" x14ac:dyDescent="0.2">
      <c r="A35" s="5684"/>
      <c r="B35" s="267" t="s">
        <v>9</v>
      </c>
      <c r="C35" s="268"/>
      <c r="D35" s="269"/>
      <c r="E35" s="268"/>
      <c r="F35" s="269"/>
      <c r="G35" s="268"/>
      <c r="H35" s="269"/>
      <c r="I35" s="268"/>
      <c r="J35" s="270"/>
      <c r="K35" s="269">
        <v>4</v>
      </c>
      <c r="L35" s="270">
        <v>4</v>
      </c>
      <c r="M35" s="269">
        <v>19</v>
      </c>
      <c r="N35" s="270">
        <v>23</v>
      </c>
      <c r="O35" s="269">
        <v>24</v>
      </c>
      <c r="P35" s="270">
        <v>46</v>
      </c>
      <c r="Q35" s="269">
        <v>39</v>
      </c>
      <c r="R35" s="270">
        <v>78</v>
      </c>
      <c r="S35" s="269">
        <v>34</v>
      </c>
      <c r="T35" s="270">
        <v>105</v>
      </c>
      <c r="U35" s="268">
        <f t="shared" ref="U35:Z36" si="21">SUM(U12)</f>
        <v>42</v>
      </c>
      <c r="V35" s="270">
        <f t="shared" si="21"/>
        <v>121</v>
      </c>
      <c r="W35" s="268">
        <f t="shared" si="21"/>
        <v>57</v>
      </c>
      <c r="X35" s="270">
        <f t="shared" si="21"/>
        <v>142</v>
      </c>
      <c r="Y35" s="268">
        <f t="shared" si="21"/>
        <v>40</v>
      </c>
      <c r="Z35" s="270">
        <f t="shared" si="21"/>
        <v>130</v>
      </c>
      <c r="AA35" s="268">
        <f t="shared" ref="AA35:AD36" si="22">SUM(AA12)</f>
        <v>57</v>
      </c>
      <c r="AB35" s="270">
        <f t="shared" si="22"/>
        <v>137</v>
      </c>
      <c r="AC35" s="268">
        <f t="shared" si="22"/>
        <v>76</v>
      </c>
      <c r="AD35" s="270">
        <f t="shared" si="22"/>
        <v>188</v>
      </c>
      <c r="AE35" s="268">
        <f t="shared" ref="AE35:AH36" si="23">SUM(AE12)</f>
        <v>65</v>
      </c>
      <c r="AF35" s="270">
        <f t="shared" si="23"/>
        <v>193</v>
      </c>
      <c r="AG35" s="268">
        <f t="shared" si="23"/>
        <v>107</v>
      </c>
      <c r="AH35" s="270">
        <f t="shared" si="23"/>
        <v>257</v>
      </c>
      <c r="AI35" s="268">
        <f t="shared" ref="AI35:AJ35" si="24">SUM(AI12)</f>
        <v>122</v>
      </c>
      <c r="AJ35" s="270">
        <f t="shared" si="24"/>
        <v>315</v>
      </c>
    </row>
    <row r="36" spans="1:36" ht="15" customHeight="1" x14ac:dyDescent="0.2">
      <c r="A36" s="5684"/>
      <c r="B36" s="277" t="s">
        <v>74</v>
      </c>
      <c r="C36" s="271"/>
      <c r="D36" s="272"/>
      <c r="E36" s="271"/>
      <c r="F36" s="272"/>
      <c r="G36" s="271"/>
      <c r="H36" s="272"/>
      <c r="I36" s="271"/>
      <c r="J36" s="273"/>
      <c r="K36" s="272">
        <v>8</v>
      </c>
      <c r="L36" s="273">
        <v>8</v>
      </c>
      <c r="M36" s="272">
        <v>14</v>
      </c>
      <c r="N36" s="273">
        <v>22</v>
      </c>
      <c r="O36" s="272">
        <v>12</v>
      </c>
      <c r="P36" s="273">
        <v>29</v>
      </c>
      <c r="Q36" s="272">
        <v>18</v>
      </c>
      <c r="R36" s="273">
        <v>40</v>
      </c>
      <c r="S36" s="272">
        <v>15</v>
      </c>
      <c r="T36" s="273">
        <v>42</v>
      </c>
      <c r="U36" s="271">
        <f t="shared" si="21"/>
        <v>21</v>
      </c>
      <c r="V36" s="273">
        <f t="shared" si="21"/>
        <v>45</v>
      </c>
      <c r="W36" s="271">
        <f t="shared" si="21"/>
        <v>37</v>
      </c>
      <c r="X36" s="273">
        <f t="shared" si="21"/>
        <v>69</v>
      </c>
      <c r="Y36" s="271">
        <f t="shared" si="21"/>
        <v>21</v>
      </c>
      <c r="Z36" s="273">
        <f t="shared" si="21"/>
        <v>67</v>
      </c>
      <c r="AA36" s="271">
        <f t="shared" si="22"/>
        <v>39</v>
      </c>
      <c r="AB36" s="273">
        <f t="shared" si="22"/>
        <v>71</v>
      </c>
      <c r="AC36" s="271">
        <f t="shared" si="22"/>
        <v>81</v>
      </c>
      <c r="AD36" s="273">
        <f t="shared" si="22"/>
        <v>132</v>
      </c>
      <c r="AE36" s="271">
        <f t="shared" si="23"/>
        <v>70</v>
      </c>
      <c r="AF36" s="273">
        <f t="shared" si="23"/>
        <v>167</v>
      </c>
      <c r="AG36" s="271">
        <f t="shared" si="23"/>
        <v>74</v>
      </c>
      <c r="AH36" s="273">
        <f t="shared" si="23"/>
        <v>169</v>
      </c>
      <c r="AI36" s="271">
        <f t="shared" ref="AI36:AJ36" si="25">SUM(AI13)</f>
        <v>98</v>
      </c>
      <c r="AJ36" s="273">
        <f t="shared" si="25"/>
        <v>225</v>
      </c>
    </row>
    <row r="37" spans="1:36" ht="15" customHeight="1" x14ac:dyDescent="0.2">
      <c r="A37" s="5685"/>
      <c r="B37" s="568" t="s">
        <v>160</v>
      </c>
      <c r="C37" s="569">
        <f>SUM(C31:C36)</f>
        <v>159</v>
      </c>
      <c r="D37" s="570">
        <f>SUM(D31:D36)</f>
        <v>153</v>
      </c>
      <c r="E37" s="569">
        <f>SUM(E31:E36)</f>
        <v>871</v>
      </c>
      <c r="F37" s="570">
        <f>SUM(F31:F36)</f>
        <v>960</v>
      </c>
      <c r="G37" s="569">
        <v>968</v>
      </c>
      <c r="H37" s="570">
        <v>1758</v>
      </c>
      <c r="I37" s="569">
        <v>1077</v>
      </c>
      <c r="J37" s="571">
        <v>2455</v>
      </c>
      <c r="K37" s="570">
        <v>1367</v>
      </c>
      <c r="L37" s="571">
        <v>3186</v>
      </c>
      <c r="M37" s="570">
        <v>3053</v>
      </c>
      <c r="N37" s="571">
        <v>5263</v>
      </c>
      <c r="O37" s="570">
        <v>2419</v>
      </c>
      <c r="P37" s="571">
        <v>6523</v>
      </c>
      <c r="Q37" s="570">
        <v>2231</v>
      </c>
      <c r="R37" s="571">
        <v>6627</v>
      </c>
      <c r="S37" s="570">
        <v>3959</v>
      </c>
      <c r="T37" s="571">
        <v>7880</v>
      </c>
      <c r="U37" s="570">
        <f t="shared" ref="U37:AA37" si="26">SUM(U31:U36)</f>
        <v>4611</v>
      </c>
      <c r="V37" s="571">
        <f t="shared" si="26"/>
        <v>9880</v>
      </c>
      <c r="W37" s="570">
        <f t="shared" si="26"/>
        <v>4272</v>
      </c>
      <c r="X37" s="571">
        <f t="shared" si="26"/>
        <v>11531</v>
      </c>
      <c r="Y37" s="570">
        <f t="shared" si="26"/>
        <v>3716</v>
      </c>
      <c r="Z37" s="571">
        <f t="shared" si="26"/>
        <v>11963</v>
      </c>
      <c r="AA37" s="570">
        <f t="shared" si="26"/>
        <v>4046</v>
      </c>
      <c r="AB37" s="571">
        <v>12043</v>
      </c>
      <c r="AC37" s="570">
        <f t="shared" ref="AC37:AH37" si="27">SUM(AC31:AC36)</f>
        <v>4746</v>
      </c>
      <c r="AD37" s="571">
        <f t="shared" si="27"/>
        <v>12970</v>
      </c>
      <c r="AE37" s="570">
        <f t="shared" si="27"/>
        <v>4178</v>
      </c>
      <c r="AF37" s="571">
        <f t="shared" si="27"/>
        <v>13338</v>
      </c>
      <c r="AG37" s="570">
        <f t="shared" si="27"/>
        <v>4958</v>
      </c>
      <c r="AH37" s="571">
        <f t="shared" si="27"/>
        <v>14114</v>
      </c>
      <c r="AI37" s="570">
        <f t="shared" ref="AI37:AJ37" si="28">SUM(AI31:AI36)</f>
        <v>5141</v>
      </c>
      <c r="AJ37" s="571">
        <f t="shared" si="28"/>
        <v>15198</v>
      </c>
    </row>
    <row r="38" spans="1:36" ht="15" x14ac:dyDescent="0.2">
      <c r="A38" s="240" t="s">
        <v>131</v>
      </c>
      <c r="B38" s="200"/>
      <c r="C38" s="200"/>
      <c r="D38" s="200"/>
      <c r="E38" s="200"/>
      <c r="F38" s="200"/>
      <c r="G38" s="200"/>
      <c r="H38" s="200"/>
      <c r="I38" s="200"/>
      <c r="J38" s="200"/>
    </row>
    <row r="43" spans="1:36" x14ac:dyDescent="0.2">
      <c r="R43" s="3544">
        <v>2001</v>
      </c>
    </row>
    <row r="44" spans="1:36" x14ac:dyDescent="0.2">
      <c r="R44" s="3544">
        <v>2002</v>
      </c>
    </row>
    <row r="45" spans="1:36" x14ac:dyDescent="0.2">
      <c r="R45" s="3544">
        <v>2003</v>
      </c>
    </row>
    <row r="46" spans="1:36" x14ac:dyDescent="0.2">
      <c r="R46" s="3544">
        <v>2004</v>
      </c>
    </row>
    <row r="47" spans="1:36" x14ac:dyDescent="0.2">
      <c r="R47" s="3544">
        <v>2005</v>
      </c>
    </row>
    <row r="48" spans="1:36" x14ac:dyDescent="0.2">
      <c r="R48" s="3544">
        <v>2006</v>
      </c>
    </row>
    <row r="49" spans="18:18" x14ac:dyDescent="0.2">
      <c r="R49" s="3544">
        <v>2007</v>
      </c>
    </row>
    <row r="50" spans="18:18" x14ac:dyDescent="0.2">
      <c r="R50" s="3544">
        <v>2008</v>
      </c>
    </row>
    <row r="51" spans="18:18" x14ac:dyDescent="0.2">
      <c r="R51" s="3544">
        <v>2009</v>
      </c>
    </row>
    <row r="52" spans="18:18" x14ac:dyDescent="0.2">
      <c r="R52" s="3544">
        <v>2010</v>
      </c>
    </row>
    <row r="53" spans="18:18" x14ac:dyDescent="0.2">
      <c r="R53" s="3544">
        <v>2011</v>
      </c>
    </row>
    <row r="54" spans="18:18" x14ac:dyDescent="0.2">
      <c r="R54" s="3544">
        <v>2012</v>
      </c>
    </row>
    <row r="55" spans="18:18" x14ac:dyDescent="0.2">
      <c r="R55" s="3544">
        <v>2013</v>
      </c>
    </row>
    <row r="56" spans="18:18" x14ac:dyDescent="0.2">
      <c r="R56" s="3544">
        <v>2014</v>
      </c>
    </row>
    <row r="57" spans="18:18" x14ac:dyDescent="0.2">
      <c r="R57" s="3544">
        <v>2015</v>
      </c>
    </row>
    <row r="58" spans="18:18" x14ac:dyDescent="0.2">
      <c r="R58" s="3544">
        <v>2016</v>
      </c>
    </row>
    <row r="59" spans="18:18" x14ac:dyDescent="0.2">
      <c r="R59" s="3544">
        <v>2017</v>
      </c>
    </row>
  </sheetData>
  <sheetProtection algorithmName="SHA-512" hashValue="Uj+Ci1M5e6RTLRBnKw9oNsnVf9jxIgkCSwBWXCu9Gh7Shfk/z9oV0VNkuv3NdG7LJlC0U+ys4uTcF/XLdGH1fQ==" saltValue="nHmSs8bHZwkLc7j/oOmh4g==" spinCount="100000" sheet="1" objects="1" scenarios="1"/>
  <mergeCells count="26">
    <mergeCell ref="A1:B1"/>
    <mergeCell ref="AC3:AD3"/>
    <mergeCell ref="A31:A37"/>
    <mergeCell ref="O3:P3"/>
    <mergeCell ref="Q3:R3"/>
    <mergeCell ref="S3:T3"/>
    <mergeCell ref="U3:V3"/>
    <mergeCell ref="A6:A9"/>
    <mergeCell ref="A11:A14"/>
    <mergeCell ref="A16:A19"/>
    <mergeCell ref="A21:A24"/>
    <mergeCell ref="A26:A29"/>
    <mergeCell ref="AA3:AB3"/>
    <mergeCell ref="W3:X3"/>
    <mergeCell ref="Y3:Z3"/>
    <mergeCell ref="A3:A4"/>
    <mergeCell ref="AI3:AJ3"/>
    <mergeCell ref="AG3:AH3"/>
    <mergeCell ref="AE3:AF3"/>
    <mergeCell ref="B3:B4"/>
    <mergeCell ref="G3:H3"/>
    <mergeCell ref="I3:J3"/>
    <mergeCell ref="K3:L3"/>
    <mergeCell ref="M3:N3"/>
    <mergeCell ref="C3:D3"/>
    <mergeCell ref="E3:F3"/>
  </mergeCells>
  <printOptions horizontalCentered="1" verticalCentered="1"/>
  <pageMargins left="0.39370078740157483" right="0.39370078740157483" top="0.47244094488188981" bottom="0.19685039370078741" header="0" footer="0"/>
  <pageSetup scale="72" pageOrder="overThenDown" orientation="landscape" horizontalDpi="1200" verticalDpi="1200" r:id="rId1"/>
  <headerFooter alignWithMargins="0"/>
  <rowBreaks count="1" manualBreakCount="1">
    <brk id="38" max="29" man="1"/>
  </rowBreaks>
  <colBreaks count="1" manualBreakCount="1">
    <brk id="18" max="75" man="1"/>
  </col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C1:AH40"/>
  <sheetViews>
    <sheetView showGridLines="0" topLeftCell="A2" zoomScaleNormal="100" zoomScaleSheetLayoutView="80" workbookViewId="0">
      <pane xSplit="4" ySplit="5" topLeftCell="S7" activePane="bottomRight" state="frozen"/>
      <selection activeCell="A2" sqref="A2"/>
      <selection pane="topRight" activeCell="E2" sqref="E2"/>
      <selection pane="bottomLeft" activeCell="A7" sqref="A7"/>
      <selection pane="bottomRight" activeCell="D33" sqref="D33"/>
    </sheetView>
  </sheetViews>
  <sheetFormatPr baseColWidth="10" defaultRowHeight="12.75" x14ac:dyDescent="0.2"/>
  <cols>
    <col min="1" max="2" width="1.42578125" style="1" customWidth="1"/>
    <col min="3" max="3" width="15.7109375" style="1" customWidth="1"/>
    <col min="4" max="6" width="9.7109375" style="1" customWidth="1"/>
    <col min="7" max="7" width="10.140625" style="1" customWidth="1"/>
    <col min="8" max="8" width="12.42578125" style="1" customWidth="1"/>
    <col min="9" max="9" width="7.140625" style="1" customWidth="1"/>
    <col min="10" max="11" width="9.7109375" style="1" customWidth="1"/>
    <col min="12" max="12" width="11.140625" style="1" customWidth="1"/>
    <col min="13" max="13" width="11.5703125" style="1" customWidth="1"/>
    <col min="14" max="14" width="7.140625" style="1" customWidth="1"/>
    <col min="15" max="16" width="9.7109375" style="1" customWidth="1"/>
    <col min="17" max="17" width="10.5703125" style="1" customWidth="1"/>
    <col min="18" max="18" width="12" style="1" customWidth="1"/>
    <col min="19" max="19" width="7.140625" style="1" bestFit="1" customWidth="1"/>
    <col min="20" max="20" width="9.85546875" style="1" bestFit="1" customWidth="1"/>
    <col min="21" max="21" width="8.42578125" style="1" customWidth="1"/>
    <col min="22" max="22" width="10.42578125" style="1" customWidth="1"/>
    <col min="23" max="23" width="11.7109375" style="1" customWidth="1"/>
    <col min="24" max="24" width="7.140625" style="1" bestFit="1" customWidth="1"/>
    <col min="25" max="25" width="9.85546875" style="1" bestFit="1" customWidth="1"/>
    <col min="26" max="26" width="8.85546875" style="1" customWidth="1"/>
    <col min="27" max="27" width="10.28515625" style="1" customWidth="1"/>
    <col min="28" max="28" width="12" style="1" customWidth="1"/>
    <col min="29" max="29" width="7.140625" style="1" bestFit="1" customWidth="1"/>
    <col min="30" max="16384" width="11.42578125" style="1"/>
  </cols>
  <sheetData>
    <row r="1" spans="3:34" ht="15" x14ac:dyDescent="0.2">
      <c r="C1" s="4"/>
      <c r="D1" s="4"/>
      <c r="E1" s="910"/>
      <c r="F1" s="910"/>
      <c r="G1" s="910"/>
      <c r="H1" s="910"/>
      <c r="I1" s="910"/>
      <c r="J1" s="910"/>
      <c r="K1" s="910"/>
      <c r="L1" s="910"/>
      <c r="M1" s="910"/>
      <c r="N1" s="910"/>
      <c r="O1" s="910"/>
      <c r="P1" s="910"/>
      <c r="Q1" s="910"/>
      <c r="R1" s="910"/>
      <c r="S1" s="910"/>
      <c r="T1" s="551"/>
      <c r="U1" s="4"/>
      <c r="V1" s="4"/>
      <c r="W1" s="4"/>
      <c r="X1" s="4"/>
      <c r="Y1" s="29"/>
    </row>
    <row r="2" spans="3:34" ht="18.75" x14ac:dyDescent="0.2">
      <c r="C2" s="6720" t="s">
        <v>321</v>
      </c>
      <c r="D2" s="6720"/>
      <c r="E2" s="6720"/>
      <c r="F2" s="6720"/>
      <c r="G2" s="6720"/>
      <c r="H2" s="6720"/>
      <c r="I2" s="6720"/>
      <c r="J2" s="6720"/>
      <c r="K2" s="6720"/>
      <c r="L2" s="6720"/>
      <c r="M2" s="6720"/>
      <c r="N2" s="6720"/>
      <c r="O2" s="6720"/>
      <c r="P2" s="6720"/>
      <c r="Q2" s="6720"/>
      <c r="R2" s="6720"/>
      <c r="S2" s="6720"/>
      <c r="T2" s="6720"/>
      <c r="U2" s="6720"/>
      <c r="V2" s="6720"/>
      <c r="W2" s="6720"/>
      <c r="X2" s="6720"/>
      <c r="Y2" s="35"/>
    </row>
    <row r="3" spans="3:34" ht="18.75" x14ac:dyDescent="0.2">
      <c r="C3" s="6720" t="s">
        <v>165</v>
      </c>
      <c r="D3" s="6720"/>
      <c r="E3" s="6720"/>
      <c r="F3" s="6720"/>
      <c r="G3" s="6720"/>
      <c r="H3" s="6720"/>
      <c r="I3" s="6720"/>
      <c r="J3" s="6720"/>
      <c r="K3" s="6720"/>
      <c r="L3" s="6720"/>
      <c r="M3" s="6720"/>
      <c r="N3" s="6720"/>
      <c r="O3" s="6720"/>
      <c r="P3" s="6720"/>
      <c r="Q3" s="6720"/>
      <c r="R3" s="6720"/>
      <c r="S3" s="6720"/>
      <c r="T3" s="6720"/>
      <c r="U3" s="6720"/>
      <c r="V3" s="6720"/>
      <c r="W3" s="6720"/>
      <c r="X3" s="6720"/>
      <c r="Y3" s="35"/>
    </row>
    <row r="4" spans="3:34" ht="15.75" x14ac:dyDescent="0.2">
      <c r="C4" s="922"/>
      <c r="D4" s="922"/>
      <c r="E4" s="1003"/>
      <c r="F4" s="1003"/>
      <c r="G4" s="1003"/>
      <c r="H4" s="1003"/>
      <c r="I4" s="1003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35"/>
    </row>
    <row r="5" spans="3:34" ht="15" x14ac:dyDescent="0.2">
      <c r="C5" s="6361" t="s">
        <v>16</v>
      </c>
      <c r="D5" s="6369" t="s">
        <v>354</v>
      </c>
      <c r="E5" s="6709">
        <v>2008</v>
      </c>
      <c r="F5" s="6710"/>
      <c r="G5" s="6710"/>
      <c r="H5" s="6710"/>
      <c r="I5" s="6711"/>
      <c r="J5" s="6709">
        <v>2009</v>
      </c>
      <c r="K5" s="6710"/>
      <c r="L5" s="6710"/>
      <c r="M5" s="6710"/>
      <c r="N5" s="6711"/>
      <c r="O5" s="6709">
        <v>2010</v>
      </c>
      <c r="P5" s="6710"/>
      <c r="Q5" s="6710"/>
      <c r="R5" s="6710"/>
      <c r="S5" s="6711"/>
      <c r="T5" s="6709">
        <v>2011</v>
      </c>
      <c r="U5" s="6710"/>
      <c r="V5" s="6710"/>
      <c r="W5" s="6710"/>
      <c r="X5" s="6711"/>
      <c r="Y5" s="6709">
        <v>2012</v>
      </c>
      <c r="Z5" s="6710"/>
      <c r="AA5" s="6710"/>
      <c r="AB5" s="6710"/>
      <c r="AC5" s="6711"/>
      <c r="AD5" s="6709">
        <v>2013</v>
      </c>
      <c r="AE5" s="6710"/>
      <c r="AF5" s="6710"/>
      <c r="AG5" s="6710"/>
      <c r="AH5" s="6711"/>
    </row>
    <row r="6" spans="3:34" ht="25.5" x14ac:dyDescent="0.2">
      <c r="C6" s="6361"/>
      <c r="D6" s="6369"/>
      <c r="E6" s="1509" t="s">
        <v>632</v>
      </c>
      <c r="F6" s="1510" t="s">
        <v>633</v>
      </c>
      <c r="G6" s="1510" t="s">
        <v>634</v>
      </c>
      <c r="H6" s="1511" t="s">
        <v>635</v>
      </c>
      <c r="I6" s="1512" t="s">
        <v>12</v>
      </c>
      <c r="J6" s="1509" t="s">
        <v>632</v>
      </c>
      <c r="K6" s="1510" t="s">
        <v>633</v>
      </c>
      <c r="L6" s="1510" t="s">
        <v>634</v>
      </c>
      <c r="M6" s="1511" t="s">
        <v>635</v>
      </c>
      <c r="N6" s="1512" t="s">
        <v>12</v>
      </c>
      <c r="O6" s="1509" t="s">
        <v>632</v>
      </c>
      <c r="P6" s="1510" t="s">
        <v>633</v>
      </c>
      <c r="Q6" s="1510" t="s">
        <v>634</v>
      </c>
      <c r="R6" s="1511" t="s">
        <v>635</v>
      </c>
      <c r="S6" s="1512" t="s">
        <v>12</v>
      </c>
      <c r="T6" s="1509" t="s">
        <v>632</v>
      </c>
      <c r="U6" s="1510" t="s">
        <v>633</v>
      </c>
      <c r="V6" s="1510" t="s">
        <v>634</v>
      </c>
      <c r="W6" s="1511" t="s">
        <v>635</v>
      </c>
      <c r="X6" s="1512" t="s">
        <v>12</v>
      </c>
      <c r="Y6" s="1509" t="s">
        <v>632</v>
      </c>
      <c r="Z6" s="1510" t="s">
        <v>633</v>
      </c>
      <c r="AA6" s="1510" t="s">
        <v>634</v>
      </c>
      <c r="AB6" s="1511" t="s">
        <v>635</v>
      </c>
      <c r="AC6" s="1512" t="s">
        <v>12</v>
      </c>
      <c r="AD6" s="1509" t="s">
        <v>632</v>
      </c>
      <c r="AE6" s="1510" t="s">
        <v>633</v>
      </c>
      <c r="AF6" s="1510" t="s">
        <v>634</v>
      </c>
      <c r="AG6" s="1511" t="s">
        <v>635</v>
      </c>
      <c r="AH6" s="1399" t="s">
        <v>12</v>
      </c>
    </row>
    <row r="7" spans="3:34" ht="12.75" customHeight="1" x14ac:dyDescent="0.2">
      <c r="C7" s="249"/>
      <c r="D7" s="249"/>
      <c r="E7" s="249"/>
      <c r="F7" s="249"/>
      <c r="G7" s="249"/>
      <c r="H7" s="249"/>
      <c r="I7" s="249"/>
      <c r="J7" s="249"/>
      <c r="K7" s="249"/>
      <c r="L7" s="249"/>
      <c r="M7" s="249"/>
      <c r="N7" s="249"/>
      <c r="O7" s="249"/>
      <c r="P7" s="249"/>
      <c r="Q7" s="249"/>
      <c r="R7" s="249"/>
      <c r="S7" s="249"/>
      <c r="T7" s="249"/>
      <c r="U7" s="249"/>
      <c r="V7" s="249"/>
      <c r="W7" s="249"/>
      <c r="X7" s="249"/>
      <c r="Y7" s="249"/>
      <c r="Z7" s="249"/>
      <c r="AA7" s="249"/>
      <c r="AB7" s="249"/>
      <c r="AC7" s="249"/>
      <c r="AD7" s="249"/>
      <c r="AE7" s="249"/>
      <c r="AF7" s="249"/>
      <c r="AG7" s="249"/>
      <c r="AH7" s="249"/>
    </row>
    <row r="8" spans="3:34" ht="12.75" customHeight="1" x14ac:dyDescent="0.2">
      <c r="C8" s="6712" t="s">
        <v>3</v>
      </c>
      <c r="D8" s="1400" t="s">
        <v>355</v>
      </c>
      <c r="E8" s="1400">
        <v>1</v>
      </c>
      <c r="F8" s="1401">
        <v>36</v>
      </c>
      <c r="G8" s="1401">
        <v>23</v>
      </c>
      <c r="H8" s="1402"/>
      <c r="I8" s="1400">
        <f>SUM(E8:H8)</f>
        <v>60</v>
      </c>
      <c r="J8" s="1400"/>
      <c r="K8" s="1401">
        <v>7</v>
      </c>
      <c r="L8" s="1401">
        <v>2</v>
      </c>
      <c r="M8" s="1402">
        <v>1</v>
      </c>
      <c r="N8" s="1400">
        <f>SUM(K8:M8)</f>
        <v>10</v>
      </c>
      <c r="O8" s="1400">
        <v>3</v>
      </c>
      <c r="P8" s="1401">
        <v>35</v>
      </c>
      <c r="Q8" s="1401">
        <v>23</v>
      </c>
      <c r="R8" s="1402">
        <v>4</v>
      </c>
      <c r="S8" s="1400">
        <v>65</v>
      </c>
      <c r="T8" s="1400">
        <v>8</v>
      </c>
      <c r="U8" s="1401">
        <v>10</v>
      </c>
      <c r="V8" s="1401">
        <v>21</v>
      </c>
      <c r="W8" s="1402">
        <v>0</v>
      </c>
      <c r="X8" s="1403">
        <f>SUM(T8:W8)</f>
        <v>39</v>
      </c>
      <c r="Y8" s="1400">
        <v>20</v>
      </c>
      <c r="Z8" s="1401">
        <v>26</v>
      </c>
      <c r="AA8" s="1401">
        <v>14</v>
      </c>
      <c r="AB8" s="1402">
        <v>4</v>
      </c>
      <c r="AC8" s="1404">
        <f>SUM(Y8:AB8)</f>
        <v>64</v>
      </c>
      <c r="AD8" s="1400"/>
      <c r="AE8" s="1401"/>
      <c r="AF8" s="1401"/>
      <c r="AG8" s="1402"/>
      <c r="AH8" s="1404">
        <f>SUM(AD8:AG8)</f>
        <v>0</v>
      </c>
    </row>
    <row r="9" spans="3:34" ht="15" x14ac:dyDescent="0.2">
      <c r="C9" s="6712"/>
      <c r="D9" s="1405" t="s">
        <v>6</v>
      </c>
      <c r="E9" s="1405">
        <v>12</v>
      </c>
      <c r="F9" s="1406">
        <v>45</v>
      </c>
      <c r="G9" s="1406">
        <v>87</v>
      </c>
      <c r="H9" s="1407"/>
      <c r="I9" s="1405">
        <f>SUM(E9:H9)</f>
        <v>144</v>
      </c>
      <c r="J9" s="1405"/>
      <c r="K9" s="1406">
        <v>10</v>
      </c>
      <c r="L9" s="1406">
        <v>36</v>
      </c>
      <c r="M9" s="1407"/>
      <c r="N9" s="1405">
        <f>SUM(K9:M9)</f>
        <v>46</v>
      </c>
      <c r="O9" s="1405">
        <v>5</v>
      </c>
      <c r="P9" s="1406">
        <v>9</v>
      </c>
      <c r="Q9" s="1406">
        <v>44</v>
      </c>
      <c r="R9" s="1407">
        <v>0</v>
      </c>
      <c r="S9" s="1405">
        <v>58</v>
      </c>
      <c r="T9" s="1405">
        <v>5</v>
      </c>
      <c r="U9" s="1406">
        <v>4</v>
      </c>
      <c r="V9" s="1406">
        <v>17</v>
      </c>
      <c r="W9" s="1407">
        <v>0</v>
      </c>
      <c r="X9" s="1408">
        <f>SUM(T9:W9)</f>
        <v>26</v>
      </c>
      <c r="Y9" s="1405">
        <v>28</v>
      </c>
      <c r="Z9" s="1406">
        <v>8</v>
      </c>
      <c r="AA9" s="1406">
        <v>30</v>
      </c>
      <c r="AB9" s="1407">
        <v>2</v>
      </c>
      <c r="AC9" s="1409">
        <f>SUM(Y9:AB9)</f>
        <v>68</v>
      </c>
      <c r="AD9" s="1405"/>
      <c r="AE9" s="1406"/>
      <c r="AF9" s="1406"/>
      <c r="AG9" s="1407"/>
      <c r="AH9" s="1409">
        <f>SUM(AD9:AG9)</f>
        <v>0</v>
      </c>
    </row>
    <row r="10" spans="3:34" ht="15" x14ac:dyDescent="0.2">
      <c r="C10" s="6712"/>
      <c r="D10" s="1405" t="s">
        <v>356</v>
      </c>
      <c r="E10" s="1405">
        <v>1</v>
      </c>
      <c r="F10" s="1406">
        <v>8</v>
      </c>
      <c r="G10" s="1406">
        <v>4</v>
      </c>
      <c r="H10" s="1407"/>
      <c r="I10" s="1405">
        <f>SUM(E10:H10)</f>
        <v>13</v>
      </c>
      <c r="J10" s="1405"/>
      <c r="K10" s="1406">
        <v>2</v>
      </c>
      <c r="L10" s="1406"/>
      <c r="M10" s="1407"/>
      <c r="N10" s="1405">
        <f>SUM(K10:M10)</f>
        <v>2</v>
      </c>
      <c r="O10" s="1405">
        <v>18</v>
      </c>
      <c r="P10" s="1406">
        <v>12</v>
      </c>
      <c r="Q10" s="1406">
        <v>56</v>
      </c>
      <c r="R10" s="1407">
        <v>1</v>
      </c>
      <c r="S10" s="1405">
        <v>87</v>
      </c>
      <c r="T10" s="1405">
        <v>17</v>
      </c>
      <c r="U10" s="1406">
        <v>4</v>
      </c>
      <c r="V10" s="1406">
        <v>31</v>
      </c>
      <c r="W10" s="1407">
        <v>2</v>
      </c>
      <c r="X10" s="1408">
        <f>SUM(T10:W10)</f>
        <v>54</v>
      </c>
      <c r="Y10" s="1405">
        <v>56</v>
      </c>
      <c r="Z10" s="1406">
        <v>22</v>
      </c>
      <c r="AA10" s="1406">
        <v>29</v>
      </c>
      <c r="AB10" s="1407">
        <v>1</v>
      </c>
      <c r="AC10" s="1409">
        <f>SUM(Y10:AB10)</f>
        <v>108</v>
      </c>
      <c r="AD10" s="1405"/>
      <c r="AE10" s="1406"/>
      <c r="AF10" s="1406"/>
      <c r="AG10" s="1407"/>
      <c r="AH10" s="1409">
        <f>SUM(AD10:AG10)</f>
        <v>0</v>
      </c>
    </row>
    <row r="11" spans="3:34" ht="15" x14ac:dyDescent="0.2">
      <c r="C11" s="6712"/>
      <c r="D11" s="1410" t="s">
        <v>12</v>
      </c>
      <c r="E11" s="1410">
        <f>SUM(E8:E10)</f>
        <v>14</v>
      </c>
      <c r="F11" s="1411">
        <f>SUM(F8:F10)</f>
        <v>89</v>
      </c>
      <c r="G11" s="1411">
        <f>SUM(G8:G10)</f>
        <v>114</v>
      </c>
      <c r="H11" s="1412">
        <f>SUM(H8:H10)</f>
        <v>0</v>
      </c>
      <c r="I11" s="1410">
        <f>SUM(I8:I10)</f>
        <v>217</v>
      </c>
      <c r="J11" s="1410"/>
      <c r="K11" s="1411">
        <f>SUM(K8:K10)</f>
        <v>19</v>
      </c>
      <c r="L11" s="1411">
        <f>SUM(L8:L10)</f>
        <v>38</v>
      </c>
      <c r="M11" s="1412">
        <f>SUM(M8:M10)</f>
        <v>1</v>
      </c>
      <c r="N11" s="1410">
        <f>SUM(N8:N10)</f>
        <v>58</v>
      </c>
      <c r="O11" s="1410">
        <v>26</v>
      </c>
      <c r="P11" s="1411">
        <v>56</v>
      </c>
      <c r="Q11" s="1411">
        <v>123</v>
      </c>
      <c r="R11" s="1412">
        <v>5</v>
      </c>
      <c r="S11" s="1410">
        <v>210</v>
      </c>
      <c r="T11" s="1410">
        <f t="shared" ref="T11:Y11" si="0">SUM(T8:T10)</f>
        <v>30</v>
      </c>
      <c r="U11" s="1411">
        <f t="shared" si="0"/>
        <v>18</v>
      </c>
      <c r="V11" s="1411">
        <f t="shared" si="0"/>
        <v>69</v>
      </c>
      <c r="W11" s="1412">
        <f t="shared" si="0"/>
        <v>2</v>
      </c>
      <c r="X11" s="1413">
        <f t="shared" si="0"/>
        <v>119</v>
      </c>
      <c r="Y11" s="1410">
        <f t="shared" si="0"/>
        <v>104</v>
      </c>
      <c r="Z11" s="1411">
        <f t="shared" ref="Z11:AH11" si="1">SUM(Z8:Z10)</f>
        <v>56</v>
      </c>
      <c r="AA11" s="1411">
        <f t="shared" si="1"/>
        <v>73</v>
      </c>
      <c r="AB11" s="1412">
        <f t="shared" si="1"/>
        <v>7</v>
      </c>
      <c r="AC11" s="1414">
        <f t="shared" si="1"/>
        <v>240</v>
      </c>
      <c r="AD11" s="1410">
        <f t="shared" si="1"/>
        <v>0</v>
      </c>
      <c r="AE11" s="1411">
        <f t="shared" si="1"/>
        <v>0</v>
      </c>
      <c r="AF11" s="1411">
        <f t="shared" si="1"/>
        <v>0</v>
      </c>
      <c r="AG11" s="1412">
        <f t="shared" si="1"/>
        <v>0</v>
      </c>
      <c r="AH11" s="1414">
        <f t="shared" si="1"/>
        <v>0</v>
      </c>
    </row>
    <row r="12" spans="3:34" ht="15" x14ac:dyDescent="0.25">
      <c r="C12" s="249"/>
      <c r="D12" s="249"/>
      <c r="E12" s="249"/>
      <c r="F12" s="249"/>
      <c r="G12" s="249"/>
      <c r="H12" s="249"/>
      <c r="I12" s="249"/>
      <c r="J12" s="249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1415"/>
      <c r="Z12" s="1415"/>
      <c r="AA12" s="1415"/>
      <c r="AB12" s="1415"/>
      <c r="AC12" s="1415"/>
      <c r="AD12" s="1415"/>
      <c r="AE12" s="1415"/>
      <c r="AF12" s="1415"/>
      <c r="AG12" s="1415"/>
      <c r="AH12" s="1415"/>
    </row>
    <row r="13" spans="3:34" ht="15" x14ac:dyDescent="0.2">
      <c r="C13" s="6715" t="s">
        <v>8</v>
      </c>
      <c r="D13" s="1400" t="s">
        <v>6</v>
      </c>
      <c r="E13" s="1400">
        <v>3</v>
      </c>
      <c r="F13" s="1401">
        <v>7</v>
      </c>
      <c r="G13" s="1401"/>
      <c r="H13" s="1402"/>
      <c r="I13" s="1400">
        <f>SUM(E13:H13)</f>
        <v>10</v>
      </c>
      <c r="J13" s="1400"/>
      <c r="K13" s="1401">
        <v>3</v>
      </c>
      <c r="L13" s="1401">
        <v>1</v>
      </c>
      <c r="M13" s="1402"/>
      <c r="N13" s="1400">
        <f>SUM(K13:M13)</f>
        <v>4</v>
      </c>
      <c r="O13" s="1400">
        <v>2</v>
      </c>
      <c r="P13" s="1401">
        <v>4</v>
      </c>
      <c r="Q13" s="1401">
        <v>0</v>
      </c>
      <c r="R13" s="1402">
        <v>0</v>
      </c>
      <c r="S13" s="1400">
        <v>6</v>
      </c>
      <c r="T13" s="1400">
        <v>0</v>
      </c>
      <c r="U13" s="1401">
        <v>1</v>
      </c>
      <c r="V13" s="1401">
        <v>1</v>
      </c>
      <c r="W13" s="1402">
        <v>1</v>
      </c>
      <c r="X13" s="1403">
        <f>SUM(T13:W13)</f>
        <v>3</v>
      </c>
      <c r="Y13" s="1400">
        <v>3</v>
      </c>
      <c r="Z13" s="1401">
        <v>3</v>
      </c>
      <c r="AA13" s="1401">
        <v>0</v>
      </c>
      <c r="AB13" s="1402">
        <v>2</v>
      </c>
      <c r="AC13" s="1404">
        <f>SUM(Y13:AB13)</f>
        <v>8</v>
      </c>
      <c r="AD13" s="1400"/>
      <c r="AE13" s="1401"/>
      <c r="AF13" s="1401"/>
      <c r="AG13" s="1402"/>
      <c r="AH13" s="1404">
        <f>SUM(AD13:AG13)</f>
        <v>0</v>
      </c>
    </row>
    <row r="14" spans="3:34" ht="15" x14ac:dyDescent="0.2">
      <c r="C14" s="6715"/>
      <c r="D14" s="1405" t="s">
        <v>9</v>
      </c>
      <c r="E14" s="1405">
        <v>1</v>
      </c>
      <c r="F14" s="1406"/>
      <c r="G14" s="1406"/>
      <c r="H14" s="1407"/>
      <c r="I14" s="1405">
        <f>SUM(E14:H14)</f>
        <v>1</v>
      </c>
      <c r="J14" s="1405"/>
      <c r="K14" s="1406">
        <v>1</v>
      </c>
      <c r="L14" s="1406"/>
      <c r="M14" s="1407"/>
      <c r="N14" s="1405">
        <f>SUM(K14:M14)</f>
        <v>1</v>
      </c>
      <c r="O14" s="1405">
        <v>0</v>
      </c>
      <c r="P14" s="1406">
        <v>1</v>
      </c>
      <c r="Q14" s="1406">
        <v>0</v>
      </c>
      <c r="R14" s="1407">
        <v>0</v>
      </c>
      <c r="S14" s="1405">
        <v>1</v>
      </c>
      <c r="T14" s="1405">
        <v>1</v>
      </c>
      <c r="U14" s="1406">
        <v>1</v>
      </c>
      <c r="V14" s="1406">
        <v>1</v>
      </c>
      <c r="W14" s="1407">
        <v>0</v>
      </c>
      <c r="X14" s="1408">
        <f>SUM(T14:W14)</f>
        <v>3</v>
      </c>
      <c r="Y14" s="1405">
        <v>0</v>
      </c>
      <c r="Z14" s="1406">
        <v>6</v>
      </c>
      <c r="AA14" s="1406">
        <v>0</v>
      </c>
      <c r="AB14" s="1407">
        <v>1</v>
      </c>
      <c r="AC14" s="1409">
        <f>SUM(Y14:AB14)</f>
        <v>7</v>
      </c>
      <c r="AD14" s="1405"/>
      <c r="AE14" s="1406"/>
      <c r="AF14" s="1406"/>
      <c r="AG14" s="1407"/>
      <c r="AH14" s="1409">
        <f>SUM(AD14:AG14)</f>
        <v>0</v>
      </c>
    </row>
    <row r="15" spans="3:34" ht="15" x14ac:dyDescent="0.2">
      <c r="C15" s="6715"/>
      <c r="D15" s="1405" t="s">
        <v>74</v>
      </c>
      <c r="E15" s="1405">
        <v>1</v>
      </c>
      <c r="F15" s="1406">
        <v>1</v>
      </c>
      <c r="G15" s="1406"/>
      <c r="H15" s="1407"/>
      <c r="I15" s="1405">
        <f>SUM(E15:H15)</f>
        <v>2</v>
      </c>
      <c r="J15" s="1405"/>
      <c r="K15" s="1406"/>
      <c r="L15" s="1406"/>
      <c r="M15" s="1407"/>
      <c r="N15" s="1405">
        <f>SUM(K15:M15)</f>
        <v>0</v>
      </c>
      <c r="O15" s="1405">
        <v>3</v>
      </c>
      <c r="P15" s="1406">
        <v>1</v>
      </c>
      <c r="Q15" s="1406">
        <v>0</v>
      </c>
      <c r="R15" s="1407">
        <v>0</v>
      </c>
      <c r="S15" s="1405">
        <v>4</v>
      </c>
      <c r="T15" s="1405">
        <v>5</v>
      </c>
      <c r="U15" s="1406">
        <v>0</v>
      </c>
      <c r="V15" s="1406">
        <v>0</v>
      </c>
      <c r="W15" s="1407">
        <v>0</v>
      </c>
      <c r="X15" s="1408">
        <f>SUM(T15:W15)</f>
        <v>5</v>
      </c>
      <c r="Y15" s="1405">
        <v>3</v>
      </c>
      <c r="Z15" s="1406">
        <v>0</v>
      </c>
      <c r="AA15" s="1406">
        <v>0</v>
      </c>
      <c r="AB15" s="1407">
        <v>0</v>
      </c>
      <c r="AC15" s="1409">
        <f>SUM(Y15:AB15)</f>
        <v>3</v>
      </c>
      <c r="AD15" s="1405"/>
      <c r="AE15" s="1406"/>
      <c r="AF15" s="1406"/>
      <c r="AG15" s="1407"/>
      <c r="AH15" s="1409">
        <f>SUM(AD15:AG15)</f>
        <v>0</v>
      </c>
    </row>
    <row r="16" spans="3:34" ht="15" x14ac:dyDescent="0.2">
      <c r="C16" s="6715"/>
      <c r="D16" s="1410" t="s">
        <v>12</v>
      </c>
      <c r="E16" s="1410">
        <f>SUM(E13:E15)</f>
        <v>5</v>
      </c>
      <c r="F16" s="1411">
        <f>SUM(F13:F15)</f>
        <v>8</v>
      </c>
      <c r="G16" s="1411">
        <f>SUM(G13:G15)</f>
        <v>0</v>
      </c>
      <c r="H16" s="1412">
        <f>SUM(H13:H15)</f>
        <v>0</v>
      </c>
      <c r="I16" s="1410">
        <f>SUM(I13:I15)</f>
        <v>13</v>
      </c>
      <c r="J16" s="1410"/>
      <c r="K16" s="1411">
        <f>SUM(K13:K15)</f>
        <v>4</v>
      </c>
      <c r="L16" s="1411">
        <f>SUM(L13:L15)</f>
        <v>1</v>
      </c>
      <c r="M16" s="1412">
        <f>SUM(M13:M15)</f>
        <v>0</v>
      </c>
      <c r="N16" s="1410">
        <f>SUM(N13:N15)</f>
        <v>5</v>
      </c>
      <c r="O16" s="1410">
        <v>5</v>
      </c>
      <c r="P16" s="1411">
        <v>6</v>
      </c>
      <c r="Q16" s="1411">
        <v>0</v>
      </c>
      <c r="R16" s="1412">
        <v>0</v>
      </c>
      <c r="S16" s="1410">
        <v>11</v>
      </c>
      <c r="T16" s="1410">
        <f t="shared" ref="T16:Y16" si="2">SUM(T13:T15)</f>
        <v>6</v>
      </c>
      <c r="U16" s="1411">
        <f t="shared" si="2"/>
        <v>2</v>
      </c>
      <c r="V16" s="1411">
        <f t="shared" si="2"/>
        <v>2</v>
      </c>
      <c r="W16" s="1412">
        <f t="shared" si="2"/>
        <v>1</v>
      </c>
      <c r="X16" s="1413">
        <f t="shared" si="2"/>
        <v>11</v>
      </c>
      <c r="Y16" s="1410">
        <f t="shared" si="2"/>
        <v>6</v>
      </c>
      <c r="Z16" s="1411">
        <f t="shared" ref="Z16:AH16" si="3">SUM(Z13:Z15)</f>
        <v>9</v>
      </c>
      <c r="AA16" s="1411">
        <f t="shared" si="3"/>
        <v>0</v>
      </c>
      <c r="AB16" s="1412">
        <f t="shared" si="3"/>
        <v>3</v>
      </c>
      <c r="AC16" s="1414">
        <f t="shared" si="3"/>
        <v>18</v>
      </c>
      <c r="AD16" s="1410">
        <f t="shared" si="3"/>
        <v>0</v>
      </c>
      <c r="AE16" s="1411">
        <f t="shared" si="3"/>
        <v>0</v>
      </c>
      <c r="AF16" s="1411">
        <f t="shared" si="3"/>
        <v>0</v>
      </c>
      <c r="AG16" s="1412">
        <f t="shared" si="3"/>
        <v>0</v>
      </c>
      <c r="AH16" s="1414">
        <f t="shared" si="3"/>
        <v>0</v>
      </c>
    </row>
    <row r="17" spans="3:34" ht="15" x14ac:dyDescent="0.2">
      <c r="C17" s="473"/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1416"/>
      <c r="Y17" s="1417"/>
      <c r="Z17" s="1417"/>
      <c r="AA17" s="1417"/>
      <c r="AB17" s="1417"/>
      <c r="AC17" s="1418"/>
      <c r="AD17" s="1417"/>
      <c r="AE17" s="1417"/>
      <c r="AF17" s="1417"/>
      <c r="AG17" s="1417"/>
      <c r="AH17" s="1418"/>
    </row>
    <row r="18" spans="3:34" ht="15" x14ac:dyDescent="0.2">
      <c r="C18" s="6713" t="s">
        <v>75</v>
      </c>
      <c r="D18" s="1400" t="s">
        <v>355</v>
      </c>
      <c r="E18" s="1400"/>
      <c r="F18" s="1401">
        <v>11</v>
      </c>
      <c r="G18" s="1401">
        <v>4</v>
      </c>
      <c r="H18" s="1402">
        <v>1</v>
      </c>
      <c r="I18" s="1400">
        <f>SUM(E18:H18)</f>
        <v>16</v>
      </c>
      <c r="J18" s="1400"/>
      <c r="K18" s="1401">
        <v>3</v>
      </c>
      <c r="L18" s="1401"/>
      <c r="M18" s="1402">
        <v>1</v>
      </c>
      <c r="N18" s="1400">
        <f>SUM(K18:M18)</f>
        <v>4</v>
      </c>
      <c r="O18" s="1400">
        <v>2</v>
      </c>
      <c r="P18" s="1401">
        <v>5</v>
      </c>
      <c r="Q18" s="1401">
        <v>6</v>
      </c>
      <c r="R18" s="1402">
        <v>0</v>
      </c>
      <c r="S18" s="1400">
        <v>13</v>
      </c>
      <c r="T18" s="1400">
        <v>5</v>
      </c>
      <c r="U18" s="1401">
        <v>3</v>
      </c>
      <c r="V18" s="1401">
        <v>5</v>
      </c>
      <c r="W18" s="1402">
        <v>0</v>
      </c>
      <c r="X18" s="1403">
        <f>SUM(T18:W18)</f>
        <v>13</v>
      </c>
      <c r="Y18" s="1400">
        <v>7</v>
      </c>
      <c r="Z18" s="1401">
        <v>5</v>
      </c>
      <c r="AA18" s="1401">
        <v>4</v>
      </c>
      <c r="AB18" s="1402">
        <v>1</v>
      </c>
      <c r="AC18" s="1404">
        <f>SUM(Y18:AB18)</f>
        <v>17</v>
      </c>
      <c r="AD18" s="1400"/>
      <c r="AE18" s="1401"/>
      <c r="AF18" s="1401"/>
      <c r="AG18" s="1402"/>
      <c r="AH18" s="1404">
        <f>SUM(AD18:AG18)</f>
        <v>0</v>
      </c>
    </row>
    <row r="19" spans="3:34" ht="15" x14ac:dyDescent="0.2">
      <c r="C19" s="6713"/>
      <c r="D19" s="1405" t="s">
        <v>6</v>
      </c>
      <c r="E19" s="1405">
        <v>15</v>
      </c>
      <c r="F19" s="1406">
        <v>31</v>
      </c>
      <c r="G19" s="1406">
        <v>43</v>
      </c>
      <c r="H19" s="1407"/>
      <c r="I19" s="1405">
        <f>SUM(E19:H19)</f>
        <v>89</v>
      </c>
      <c r="J19" s="1405"/>
      <c r="K19" s="1406">
        <v>9</v>
      </c>
      <c r="L19" s="1406">
        <v>8</v>
      </c>
      <c r="M19" s="1407"/>
      <c r="N19" s="1405">
        <f>SUM(K19:M19)</f>
        <v>17</v>
      </c>
      <c r="O19" s="1405">
        <v>17</v>
      </c>
      <c r="P19" s="1406">
        <v>37</v>
      </c>
      <c r="Q19" s="1406">
        <v>31</v>
      </c>
      <c r="R19" s="1407">
        <v>2</v>
      </c>
      <c r="S19" s="1405">
        <v>87</v>
      </c>
      <c r="T19" s="1405">
        <v>32</v>
      </c>
      <c r="U19" s="1406">
        <v>4</v>
      </c>
      <c r="V19" s="1406">
        <v>19</v>
      </c>
      <c r="W19" s="1407">
        <v>0</v>
      </c>
      <c r="X19" s="1408">
        <f>SUM(T19:W19)</f>
        <v>55</v>
      </c>
      <c r="Y19" s="1405">
        <v>32</v>
      </c>
      <c r="Z19" s="1406">
        <v>15</v>
      </c>
      <c r="AA19" s="1406">
        <v>44</v>
      </c>
      <c r="AB19" s="1407">
        <v>1</v>
      </c>
      <c r="AC19" s="1409">
        <f>SUM(Y19:AB19)</f>
        <v>92</v>
      </c>
      <c r="AD19" s="1405"/>
      <c r="AE19" s="1406"/>
      <c r="AF19" s="1406"/>
      <c r="AG19" s="1407"/>
      <c r="AH19" s="1409">
        <f>SUM(AD19:AG19)</f>
        <v>0</v>
      </c>
    </row>
    <row r="20" spans="3:34" ht="15" x14ac:dyDescent="0.2">
      <c r="C20" s="6713"/>
      <c r="D20" s="1405" t="s">
        <v>357</v>
      </c>
      <c r="E20" s="1405">
        <v>3</v>
      </c>
      <c r="F20" s="1406">
        <v>16</v>
      </c>
      <c r="G20" s="1406">
        <v>12</v>
      </c>
      <c r="H20" s="1407"/>
      <c r="I20" s="1405">
        <f>SUM(E20:H20)</f>
        <v>31</v>
      </c>
      <c r="J20" s="1405"/>
      <c r="K20" s="1406">
        <v>4</v>
      </c>
      <c r="L20" s="1406"/>
      <c r="M20" s="1407">
        <v>1</v>
      </c>
      <c r="N20" s="1405">
        <f>SUM(K20:M20)</f>
        <v>5</v>
      </c>
      <c r="O20" s="1405">
        <v>0</v>
      </c>
      <c r="P20" s="1406">
        <v>7</v>
      </c>
      <c r="Q20" s="1406">
        <v>4</v>
      </c>
      <c r="R20" s="1407">
        <v>3</v>
      </c>
      <c r="S20" s="1405">
        <v>14</v>
      </c>
      <c r="T20" s="1405">
        <v>3</v>
      </c>
      <c r="U20" s="1406">
        <v>11</v>
      </c>
      <c r="V20" s="1406">
        <v>4</v>
      </c>
      <c r="W20" s="1407">
        <v>0</v>
      </c>
      <c r="X20" s="1408">
        <f>SUM(T20:W20)</f>
        <v>18</v>
      </c>
      <c r="Y20" s="1405">
        <v>11</v>
      </c>
      <c r="Z20" s="1406">
        <v>6</v>
      </c>
      <c r="AA20" s="1406">
        <v>5</v>
      </c>
      <c r="AB20" s="1407">
        <v>0</v>
      </c>
      <c r="AC20" s="1409">
        <f>SUM(Y20:AB20)</f>
        <v>22</v>
      </c>
      <c r="AD20" s="1405"/>
      <c r="AE20" s="1406"/>
      <c r="AF20" s="1406"/>
      <c r="AG20" s="1407"/>
      <c r="AH20" s="1409">
        <f>SUM(AD20:AG20)</f>
        <v>0</v>
      </c>
    </row>
    <row r="21" spans="3:34" ht="15" x14ac:dyDescent="0.2">
      <c r="C21" s="6713"/>
      <c r="D21" s="1410" t="s">
        <v>12</v>
      </c>
      <c r="E21" s="1410">
        <f>SUM(E18:E20)</f>
        <v>18</v>
      </c>
      <c r="F21" s="1411">
        <f>SUM(F18:F20)</f>
        <v>58</v>
      </c>
      <c r="G21" s="1411">
        <f>SUM(G18:G20)</f>
        <v>59</v>
      </c>
      <c r="H21" s="1412">
        <f>SUM(H18:H20)</f>
        <v>1</v>
      </c>
      <c r="I21" s="1410">
        <f>SUM(I18:I20)</f>
        <v>136</v>
      </c>
      <c r="J21" s="1410"/>
      <c r="K21" s="1411">
        <f>SUM(K18:K20)</f>
        <v>16</v>
      </c>
      <c r="L21" s="1411">
        <f>SUM(L18:L20)</f>
        <v>8</v>
      </c>
      <c r="M21" s="1412">
        <f>SUM(M18:M20)</f>
        <v>2</v>
      </c>
      <c r="N21" s="1410">
        <f>SUM(N18:N20)</f>
        <v>26</v>
      </c>
      <c r="O21" s="1410">
        <v>19</v>
      </c>
      <c r="P21" s="1411">
        <v>49</v>
      </c>
      <c r="Q21" s="1411">
        <v>41</v>
      </c>
      <c r="R21" s="1412">
        <v>5</v>
      </c>
      <c r="S21" s="1410">
        <v>114</v>
      </c>
      <c r="T21" s="1410">
        <f t="shared" ref="T21:Y21" si="4">SUM(T18:T20)</f>
        <v>40</v>
      </c>
      <c r="U21" s="1411">
        <f t="shared" si="4"/>
        <v>18</v>
      </c>
      <c r="V21" s="1411">
        <f t="shared" si="4"/>
        <v>28</v>
      </c>
      <c r="W21" s="1412">
        <f t="shared" si="4"/>
        <v>0</v>
      </c>
      <c r="X21" s="1413">
        <f t="shared" si="4"/>
        <v>86</v>
      </c>
      <c r="Y21" s="1410">
        <f t="shared" si="4"/>
        <v>50</v>
      </c>
      <c r="Z21" s="1411">
        <f t="shared" ref="Z21:AH21" si="5">SUM(Z18:Z20)</f>
        <v>26</v>
      </c>
      <c r="AA21" s="1411">
        <f t="shared" si="5"/>
        <v>53</v>
      </c>
      <c r="AB21" s="1412">
        <f t="shared" si="5"/>
        <v>2</v>
      </c>
      <c r="AC21" s="1414">
        <f t="shared" si="5"/>
        <v>131</v>
      </c>
      <c r="AD21" s="1410">
        <f t="shared" si="5"/>
        <v>0</v>
      </c>
      <c r="AE21" s="1411">
        <f t="shared" si="5"/>
        <v>0</v>
      </c>
      <c r="AF21" s="1411">
        <f t="shared" si="5"/>
        <v>0</v>
      </c>
      <c r="AG21" s="1412">
        <f t="shared" si="5"/>
        <v>0</v>
      </c>
      <c r="AH21" s="1414">
        <f t="shared" si="5"/>
        <v>0</v>
      </c>
    </row>
    <row r="22" spans="3:34" ht="15" x14ac:dyDescent="0.25">
      <c r="C22" s="473"/>
      <c r="D22" s="473"/>
      <c r="E22" s="473"/>
      <c r="F22" s="473"/>
      <c r="G22" s="473"/>
      <c r="H22" s="473"/>
      <c r="I22" s="473"/>
      <c r="J22" s="473"/>
      <c r="K22" s="473"/>
      <c r="L22" s="473"/>
      <c r="M22" s="473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1416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</row>
    <row r="23" spans="3:34" ht="15" x14ac:dyDescent="0.2">
      <c r="C23" s="6719" t="s">
        <v>325</v>
      </c>
      <c r="D23" s="1400" t="s">
        <v>355</v>
      </c>
      <c r="E23" s="1400"/>
      <c r="F23" s="1401"/>
      <c r="G23" s="1401"/>
      <c r="H23" s="1402"/>
      <c r="I23" s="1400"/>
      <c r="J23" s="1400"/>
      <c r="K23" s="1401"/>
      <c r="L23" s="1401"/>
      <c r="M23" s="1402"/>
      <c r="N23" s="1400"/>
      <c r="O23" s="1400"/>
      <c r="P23" s="1401"/>
      <c r="Q23" s="1401"/>
      <c r="R23" s="1402"/>
      <c r="S23" s="1400"/>
      <c r="T23" s="1400"/>
      <c r="U23" s="1401"/>
      <c r="V23" s="1401"/>
      <c r="W23" s="1402"/>
      <c r="X23" s="1404"/>
      <c r="Y23" s="1400">
        <v>1</v>
      </c>
      <c r="Z23" s="1401">
        <v>0</v>
      </c>
      <c r="AA23" s="1401">
        <v>0</v>
      </c>
      <c r="AB23" s="1402">
        <v>0</v>
      </c>
      <c r="AC23" s="1404">
        <f>SUM(Y23:AB23)</f>
        <v>1</v>
      </c>
      <c r="AD23" s="1400"/>
      <c r="AE23" s="1401"/>
      <c r="AF23" s="1401"/>
      <c r="AG23" s="1402"/>
      <c r="AH23" s="1404">
        <f>SUM(AD23:AG23)</f>
        <v>0</v>
      </c>
    </row>
    <row r="24" spans="3:34" ht="15" x14ac:dyDescent="0.2">
      <c r="C24" s="6719"/>
      <c r="D24" s="1405" t="s">
        <v>357</v>
      </c>
      <c r="E24" s="1405"/>
      <c r="F24" s="1406"/>
      <c r="G24" s="1406"/>
      <c r="H24" s="1407"/>
      <c r="I24" s="1405"/>
      <c r="J24" s="1405"/>
      <c r="K24" s="1406"/>
      <c r="L24" s="1406"/>
      <c r="M24" s="1407"/>
      <c r="N24" s="1405"/>
      <c r="O24" s="1405"/>
      <c r="P24" s="1406"/>
      <c r="Q24" s="1406"/>
      <c r="R24" s="1407"/>
      <c r="S24" s="1405"/>
      <c r="T24" s="1405"/>
      <c r="U24" s="1406"/>
      <c r="V24" s="1406"/>
      <c r="W24" s="1407"/>
      <c r="X24" s="1409"/>
      <c r="Y24" s="1405">
        <v>1</v>
      </c>
      <c r="Z24" s="1406">
        <v>0</v>
      </c>
      <c r="AA24" s="1406">
        <v>0</v>
      </c>
      <c r="AB24" s="1407">
        <v>0</v>
      </c>
      <c r="AC24" s="1409">
        <f>SUM(Y24:AB24)</f>
        <v>1</v>
      </c>
      <c r="AD24" s="1405"/>
      <c r="AE24" s="1406"/>
      <c r="AF24" s="1406"/>
      <c r="AG24" s="1407"/>
      <c r="AH24" s="1409">
        <f>SUM(AD24:AG24)</f>
        <v>0</v>
      </c>
    </row>
    <row r="25" spans="3:34" ht="15" x14ac:dyDescent="0.2">
      <c r="C25" s="6719"/>
      <c r="D25" s="1405" t="s">
        <v>6</v>
      </c>
      <c r="E25" s="1405"/>
      <c r="F25" s="1406"/>
      <c r="G25" s="1406"/>
      <c r="H25" s="1407"/>
      <c r="I25" s="1405"/>
      <c r="J25" s="1405"/>
      <c r="K25" s="1406"/>
      <c r="L25" s="1406"/>
      <c r="M25" s="1407"/>
      <c r="N25" s="1405"/>
      <c r="O25" s="1405"/>
      <c r="P25" s="1406"/>
      <c r="Q25" s="1406"/>
      <c r="R25" s="1407"/>
      <c r="S25" s="1405"/>
      <c r="T25" s="1405"/>
      <c r="U25" s="1406"/>
      <c r="V25" s="1406"/>
      <c r="W25" s="1407"/>
      <c r="X25" s="1409"/>
      <c r="Y25" s="1405">
        <v>0</v>
      </c>
      <c r="Z25" s="1406">
        <v>0</v>
      </c>
      <c r="AA25" s="1406">
        <v>0</v>
      </c>
      <c r="AB25" s="1407">
        <v>1</v>
      </c>
      <c r="AC25" s="1409">
        <f>SUM(Y25:AB25)</f>
        <v>1</v>
      </c>
      <c r="AD25" s="1405"/>
      <c r="AE25" s="1406"/>
      <c r="AF25" s="1406"/>
      <c r="AG25" s="1407"/>
      <c r="AH25" s="1409">
        <f>SUM(AD25:AG25)</f>
        <v>0</v>
      </c>
    </row>
    <row r="26" spans="3:34" ht="15" x14ac:dyDescent="0.2">
      <c r="C26" s="6719"/>
      <c r="D26" s="1410" t="s">
        <v>12</v>
      </c>
      <c r="E26" s="1410"/>
      <c r="F26" s="1411"/>
      <c r="G26" s="1411"/>
      <c r="H26" s="1412"/>
      <c r="I26" s="1410"/>
      <c r="J26" s="1410"/>
      <c r="K26" s="1411"/>
      <c r="L26" s="1411"/>
      <c r="M26" s="1412"/>
      <c r="N26" s="1410"/>
      <c r="O26" s="1410"/>
      <c r="P26" s="1411"/>
      <c r="Q26" s="1411"/>
      <c r="R26" s="1412"/>
      <c r="S26" s="1410"/>
      <c r="T26" s="1410"/>
      <c r="U26" s="1411"/>
      <c r="V26" s="1411"/>
      <c r="W26" s="1412"/>
      <c r="X26" s="1414"/>
      <c r="Y26" s="1410">
        <f t="shared" ref="Y26:AH26" si="6">SUM(Y23:Y25)</f>
        <v>2</v>
      </c>
      <c r="Z26" s="1411">
        <f t="shared" si="6"/>
        <v>0</v>
      </c>
      <c r="AA26" s="1411">
        <f t="shared" si="6"/>
        <v>0</v>
      </c>
      <c r="AB26" s="1412">
        <f t="shared" si="6"/>
        <v>1</v>
      </c>
      <c r="AC26" s="1414">
        <f t="shared" si="6"/>
        <v>3</v>
      </c>
      <c r="AD26" s="1410">
        <f t="shared" si="6"/>
        <v>0</v>
      </c>
      <c r="AE26" s="1411">
        <f t="shared" si="6"/>
        <v>0</v>
      </c>
      <c r="AF26" s="1411">
        <f t="shared" si="6"/>
        <v>0</v>
      </c>
      <c r="AG26" s="1412">
        <f t="shared" si="6"/>
        <v>0</v>
      </c>
      <c r="AH26" s="1414">
        <f t="shared" si="6"/>
        <v>0</v>
      </c>
    </row>
    <row r="27" spans="3:34" ht="15" x14ac:dyDescent="0.2">
      <c r="C27" s="473"/>
      <c r="D27" s="473"/>
      <c r="E27" s="473"/>
      <c r="F27" s="473"/>
      <c r="G27" s="473"/>
      <c r="H27" s="473"/>
      <c r="I27" s="473"/>
      <c r="J27" s="473"/>
      <c r="K27" s="473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1416"/>
      <c r="Y27" s="1417"/>
      <c r="Z27" s="1417"/>
      <c r="AA27" s="1417"/>
      <c r="AB27" s="1417"/>
      <c r="AC27" s="1418"/>
      <c r="AD27" s="1417"/>
      <c r="AE27" s="1417"/>
      <c r="AF27" s="1417"/>
      <c r="AG27" s="1417"/>
      <c r="AH27" s="1418"/>
    </row>
    <row r="28" spans="3:34" ht="15" x14ac:dyDescent="0.2">
      <c r="C28" s="6714" t="s">
        <v>10</v>
      </c>
      <c r="D28" s="1400" t="s">
        <v>6</v>
      </c>
      <c r="E28" s="1400">
        <v>47</v>
      </c>
      <c r="F28" s="1401">
        <v>70</v>
      </c>
      <c r="G28" s="1401">
        <v>35</v>
      </c>
      <c r="H28" s="1402"/>
      <c r="I28" s="1400">
        <f>SUM(E28:H28)</f>
        <v>152</v>
      </c>
      <c r="J28" s="1400"/>
      <c r="K28" s="1401">
        <v>23</v>
      </c>
      <c r="L28" s="1401">
        <v>21</v>
      </c>
      <c r="M28" s="1402"/>
      <c r="N28" s="1400">
        <f>SUM(K28:M28)</f>
        <v>44</v>
      </c>
      <c r="O28" s="1400">
        <v>19</v>
      </c>
      <c r="P28" s="1401">
        <v>13</v>
      </c>
      <c r="Q28" s="1401">
        <v>17</v>
      </c>
      <c r="R28" s="1402">
        <v>0</v>
      </c>
      <c r="S28" s="1400">
        <v>49</v>
      </c>
      <c r="T28" s="1400">
        <v>67</v>
      </c>
      <c r="U28" s="1401">
        <v>1</v>
      </c>
      <c r="V28" s="1401">
        <v>11</v>
      </c>
      <c r="W28" s="1402">
        <v>0</v>
      </c>
      <c r="X28" s="1403">
        <f>SUM(T28:W28)</f>
        <v>79</v>
      </c>
      <c r="Y28" s="1400">
        <v>238</v>
      </c>
      <c r="Z28" s="1401">
        <v>11</v>
      </c>
      <c r="AA28" s="1401">
        <v>55</v>
      </c>
      <c r="AB28" s="1402">
        <v>1</v>
      </c>
      <c r="AC28" s="1404">
        <f>SUM(Y28:AB28)</f>
        <v>305</v>
      </c>
      <c r="AD28" s="1400"/>
      <c r="AE28" s="1401"/>
      <c r="AF28" s="1401"/>
      <c r="AG28" s="1402"/>
      <c r="AH28" s="1404">
        <f>SUM(AD28:AG28)</f>
        <v>0</v>
      </c>
    </row>
    <row r="29" spans="3:34" ht="15" x14ac:dyDescent="0.2">
      <c r="C29" s="6714"/>
      <c r="D29" s="1405" t="s">
        <v>357</v>
      </c>
      <c r="E29" s="1405">
        <v>41</v>
      </c>
      <c r="F29" s="1406">
        <v>92</v>
      </c>
      <c r="G29" s="1406">
        <v>54</v>
      </c>
      <c r="H29" s="1407"/>
      <c r="I29" s="1405">
        <f>SUM(E29:H29)</f>
        <v>187</v>
      </c>
      <c r="J29" s="1405"/>
      <c r="K29" s="1406">
        <v>70</v>
      </c>
      <c r="L29" s="1406">
        <v>7</v>
      </c>
      <c r="M29" s="1407"/>
      <c r="N29" s="1405">
        <f>SUM(K29:M29)</f>
        <v>77</v>
      </c>
      <c r="O29" s="1405">
        <v>32</v>
      </c>
      <c r="P29" s="1406">
        <v>76</v>
      </c>
      <c r="Q29" s="1406">
        <v>27</v>
      </c>
      <c r="R29" s="1407">
        <v>0</v>
      </c>
      <c r="S29" s="1405">
        <v>135</v>
      </c>
      <c r="T29" s="1405">
        <v>55</v>
      </c>
      <c r="U29" s="1406">
        <v>24</v>
      </c>
      <c r="V29" s="1406">
        <v>36</v>
      </c>
      <c r="W29" s="1407">
        <v>0</v>
      </c>
      <c r="X29" s="1408">
        <f>SUM(T29:W29)</f>
        <v>115</v>
      </c>
      <c r="Y29" s="1405">
        <v>198</v>
      </c>
      <c r="Z29" s="1406">
        <v>85</v>
      </c>
      <c r="AA29" s="1406">
        <v>58</v>
      </c>
      <c r="AB29" s="1407">
        <v>1</v>
      </c>
      <c r="AC29" s="1409">
        <f>SUM(Y29:AB29)</f>
        <v>342</v>
      </c>
      <c r="AD29" s="1405"/>
      <c r="AE29" s="1406"/>
      <c r="AF29" s="1406"/>
      <c r="AG29" s="1407"/>
      <c r="AH29" s="1409">
        <f>SUM(AD29:AG29)</f>
        <v>0</v>
      </c>
    </row>
    <row r="30" spans="3:34" ht="15" x14ac:dyDescent="0.2">
      <c r="C30" s="6714"/>
      <c r="D30" s="1405" t="s">
        <v>356</v>
      </c>
      <c r="E30" s="1405">
        <v>36</v>
      </c>
      <c r="F30" s="1406">
        <v>30</v>
      </c>
      <c r="G30" s="1406">
        <v>12</v>
      </c>
      <c r="H30" s="1407"/>
      <c r="I30" s="1405">
        <f>SUM(E30:H30)</f>
        <v>78</v>
      </c>
      <c r="J30" s="1405"/>
      <c r="K30" s="1406">
        <v>9</v>
      </c>
      <c r="L30" s="1406">
        <v>1</v>
      </c>
      <c r="M30" s="1407"/>
      <c r="N30" s="1405">
        <f>SUM(K30:M30)</f>
        <v>10</v>
      </c>
      <c r="O30" s="1405">
        <v>16</v>
      </c>
      <c r="P30" s="1406">
        <v>9</v>
      </c>
      <c r="Q30" s="1406">
        <v>12</v>
      </c>
      <c r="R30" s="1407">
        <v>0</v>
      </c>
      <c r="S30" s="1405">
        <v>37</v>
      </c>
      <c r="T30" s="1405">
        <v>46</v>
      </c>
      <c r="U30" s="1406">
        <v>0</v>
      </c>
      <c r="V30" s="1406">
        <v>8</v>
      </c>
      <c r="W30" s="1407">
        <v>1</v>
      </c>
      <c r="X30" s="1408">
        <f>SUM(T30:W30)</f>
        <v>55</v>
      </c>
      <c r="Y30" s="1405">
        <v>109</v>
      </c>
      <c r="Z30" s="1406">
        <v>13</v>
      </c>
      <c r="AA30" s="1406">
        <v>18</v>
      </c>
      <c r="AB30" s="1407">
        <v>0</v>
      </c>
      <c r="AC30" s="1409">
        <f>SUM(Y30:AB30)</f>
        <v>140</v>
      </c>
      <c r="AD30" s="1405"/>
      <c r="AE30" s="1406"/>
      <c r="AF30" s="1406"/>
      <c r="AG30" s="1407"/>
      <c r="AH30" s="1409">
        <f>SUM(AD30:AG30)</f>
        <v>0</v>
      </c>
    </row>
    <row r="31" spans="3:34" ht="15" x14ac:dyDescent="0.2">
      <c r="C31" s="6714"/>
      <c r="D31" s="1410" t="s">
        <v>12</v>
      </c>
      <c r="E31" s="1410">
        <f>SUM(E28:E30)</f>
        <v>124</v>
      </c>
      <c r="F31" s="1411">
        <f>SUM(F28:F30)</f>
        <v>192</v>
      </c>
      <c r="G31" s="1411">
        <f>SUM(G28:G30)</f>
        <v>101</v>
      </c>
      <c r="H31" s="1412">
        <f>SUM(H28:H30)</f>
        <v>0</v>
      </c>
      <c r="I31" s="1410">
        <f>SUM(I28:I30)</f>
        <v>417</v>
      </c>
      <c r="J31" s="1410"/>
      <c r="K31" s="1411">
        <f>SUM(K28:K30)</f>
        <v>102</v>
      </c>
      <c r="L31" s="1411">
        <f>SUM(L28:L30)</f>
        <v>29</v>
      </c>
      <c r="M31" s="1412">
        <f>SUM(M28:M30)</f>
        <v>0</v>
      </c>
      <c r="N31" s="1410">
        <f>SUM(N28:N30)</f>
        <v>131</v>
      </c>
      <c r="O31" s="1410">
        <v>67</v>
      </c>
      <c r="P31" s="1411">
        <v>98</v>
      </c>
      <c r="Q31" s="1411">
        <v>56</v>
      </c>
      <c r="R31" s="1412">
        <v>0</v>
      </c>
      <c r="S31" s="1410">
        <v>221</v>
      </c>
      <c r="T31" s="1410">
        <f t="shared" ref="T31:Y31" si="7">SUM(T28:T30)</f>
        <v>168</v>
      </c>
      <c r="U31" s="1411">
        <f t="shared" si="7"/>
        <v>25</v>
      </c>
      <c r="V31" s="1411">
        <f t="shared" si="7"/>
        <v>55</v>
      </c>
      <c r="W31" s="1412">
        <f t="shared" si="7"/>
        <v>1</v>
      </c>
      <c r="X31" s="1413">
        <f t="shared" si="7"/>
        <v>249</v>
      </c>
      <c r="Y31" s="1410">
        <f t="shared" si="7"/>
        <v>545</v>
      </c>
      <c r="Z31" s="1411">
        <f t="shared" ref="Z31:AH31" si="8">SUM(Z28:Z30)</f>
        <v>109</v>
      </c>
      <c r="AA31" s="1411">
        <f t="shared" si="8"/>
        <v>131</v>
      </c>
      <c r="AB31" s="1412">
        <f t="shared" si="8"/>
        <v>2</v>
      </c>
      <c r="AC31" s="1414">
        <f t="shared" si="8"/>
        <v>787</v>
      </c>
      <c r="AD31" s="1410">
        <f t="shared" si="8"/>
        <v>0</v>
      </c>
      <c r="AE31" s="1411">
        <f t="shared" si="8"/>
        <v>0</v>
      </c>
      <c r="AF31" s="1411">
        <f t="shared" si="8"/>
        <v>0</v>
      </c>
      <c r="AG31" s="1412">
        <f t="shared" si="8"/>
        <v>0</v>
      </c>
      <c r="AH31" s="1414">
        <f t="shared" si="8"/>
        <v>0</v>
      </c>
    </row>
    <row r="32" spans="3:34" ht="15" x14ac:dyDescent="0.2">
      <c r="C32" s="249"/>
      <c r="D32" s="249"/>
      <c r="E32" s="249"/>
      <c r="F32" s="249"/>
      <c r="G32" s="249"/>
      <c r="H32" s="249"/>
      <c r="I32" s="249"/>
      <c r="J32" s="249"/>
      <c r="K32" s="249"/>
      <c r="L32" s="249"/>
      <c r="M32" s="249"/>
      <c r="N32" s="249"/>
      <c r="O32" s="249"/>
      <c r="P32" s="249"/>
      <c r="Q32" s="249"/>
      <c r="R32" s="249"/>
      <c r="S32" s="249"/>
      <c r="T32" s="249"/>
      <c r="U32" s="249"/>
      <c r="V32" s="249"/>
      <c r="W32" s="249"/>
      <c r="X32" s="249"/>
      <c r="Y32" s="1417"/>
      <c r="Z32" s="1417"/>
      <c r="AA32" s="1417"/>
      <c r="AB32" s="1417"/>
      <c r="AC32" s="1418"/>
      <c r="AD32" s="1417"/>
      <c r="AE32" s="1417"/>
      <c r="AF32" s="1417"/>
      <c r="AG32" s="1417"/>
      <c r="AH32" s="1418"/>
    </row>
    <row r="33" spans="3:34" ht="15" x14ac:dyDescent="0.2">
      <c r="C33" s="6716" t="s">
        <v>60</v>
      </c>
      <c r="D33" s="1400" t="s">
        <v>5</v>
      </c>
      <c r="E33" s="1400">
        <f t="shared" ref="E33:N33" si="9">SUM(E8,E18)</f>
        <v>1</v>
      </c>
      <c r="F33" s="1401">
        <f t="shared" si="9"/>
        <v>47</v>
      </c>
      <c r="G33" s="1401">
        <f t="shared" si="9"/>
        <v>27</v>
      </c>
      <c r="H33" s="1402">
        <f t="shared" si="9"/>
        <v>1</v>
      </c>
      <c r="I33" s="1400">
        <f t="shared" si="9"/>
        <v>76</v>
      </c>
      <c r="J33" s="1400">
        <f t="shared" si="9"/>
        <v>0</v>
      </c>
      <c r="K33" s="1401">
        <f t="shared" si="9"/>
        <v>10</v>
      </c>
      <c r="L33" s="1401">
        <f t="shared" si="9"/>
        <v>2</v>
      </c>
      <c r="M33" s="1402">
        <f t="shared" si="9"/>
        <v>2</v>
      </c>
      <c r="N33" s="1400">
        <f t="shared" si="9"/>
        <v>14</v>
      </c>
      <c r="O33" s="1400">
        <v>5</v>
      </c>
      <c r="P33" s="1401">
        <v>40</v>
      </c>
      <c r="Q33" s="1401">
        <v>29</v>
      </c>
      <c r="R33" s="1402">
        <v>4</v>
      </c>
      <c r="S33" s="1400">
        <v>78</v>
      </c>
      <c r="T33" s="1400">
        <f>SUM(T8,T18)</f>
        <v>13</v>
      </c>
      <c r="U33" s="1401">
        <f>SUM(U8,U18)</f>
        <v>13</v>
      </c>
      <c r="V33" s="1401">
        <f>SUM(V8,V18)</f>
        <v>26</v>
      </c>
      <c r="W33" s="1402">
        <f>SUM(W8,W18)</f>
        <v>0</v>
      </c>
      <c r="X33" s="1419">
        <f>SUM(X8,X18)</f>
        <v>52</v>
      </c>
      <c r="Y33" s="1400">
        <f t="shared" ref="Y33:AH33" si="10">SUM(Y8,Y18,Y23)</f>
        <v>28</v>
      </c>
      <c r="Z33" s="1401">
        <f t="shared" si="10"/>
        <v>31</v>
      </c>
      <c r="AA33" s="1401">
        <f t="shared" si="10"/>
        <v>18</v>
      </c>
      <c r="AB33" s="1402">
        <f t="shared" si="10"/>
        <v>5</v>
      </c>
      <c r="AC33" s="1420">
        <f t="shared" si="10"/>
        <v>82</v>
      </c>
      <c r="AD33" s="1400">
        <f t="shared" si="10"/>
        <v>0</v>
      </c>
      <c r="AE33" s="1401">
        <f t="shared" si="10"/>
        <v>0</v>
      </c>
      <c r="AF33" s="1401">
        <f t="shared" si="10"/>
        <v>0</v>
      </c>
      <c r="AG33" s="1402">
        <f t="shared" si="10"/>
        <v>0</v>
      </c>
      <c r="AH33" s="1420">
        <f t="shared" si="10"/>
        <v>0</v>
      </c>
    </row>
    <row r="34" spans="3:34" ht="15" x14ac:dyDescent="0.2">
      <c r="C34" s="6717"/>
      <c r="D34" s="1405" t="s">
        <v>6</v>
      </c>
      <c r="E34" s="1405">
        <f t="shared" ref="E34:N34" si="11">SUM(E9,E13,E19,E28)</f>
        <v>77</v>
      </c>
      <c r="F34" s="1406">
        <f t="shared" si="11"/>
        <v>153</v>
      </c>
      <c r="G34" s="1406">
        <f t="shared" si="11"/>
        <v>165</v>
      </c>
      <c r="H34" s="1407">
        <f t="shared" si="11"/>
        <v>0</v>
      </c>
      <c r="I34" s="1405">
        <f t="shared" si="11"/>
        <v>395</v>
      </c>
      <c r="J34" s="1405">
        <f t="shared" si="11"/>
        <v>0</v>
      </c>
      <c r="K34" s="1406">
        <f t="shared" si="11"/>
        <v>45</v>
      </c>
      <c r="L34" s="1406">
        <f t="shared" si="11"/>
        <v>66</v>
      </c>
      <c r="M34" s="1407">
        <f t="shared" si="11"/>
        <v>0</v>
      </c>
      <c r="N34" s="1405">
        <f t="shared" si="11"/>
        <v>111</v>
      </c>
      <c r="O34" s="1405">
        <v>43</v>
      </c>
      <c r="P34" s="1406">
        <v>63</v>
      </c>
      <c r="Q34" s="1406">
        <v>92</v>
      </c>
      <c r="R34" s="1407">
        <v>2</v>
      </c>
      <c r="S34" s="1405">
        <v>200</v>
      </c>
      <c r="T34" s="1405">
        <f>SUM(T9,T19,T28,T13)</f>
        <v>104</v>
      </c>
      <c r="U34" s="1406">
        <f>SUM(U9,U19,U28,U13)</f>
        <v>10</v>
      </c>
      <c r="V34" s="1406">
        <f>SUM(V9,V19,V28,V13)</f>
        <v>48</v>
      </c>
      <c r="W34" s="1407">
        <f>SUM(W9,W19,W28,W13)</f>
        <v>1</v>
      </c>
      <c r="X34" s="1421">
        <f>SUM(X9,X19,X28,X13)</f>
        <v>163</v>
      </c>
      <c r="Y34" s="1405">
        <f t="shared" ref="Y34:AH34" si="12">SUM(Y9,Y19,Y28,Y13,Y25)</f>
        <v>301</v>
      </c>
      <c r="Z34" s="1406">
        <f t="shared" si="12"/>
        <v>37</v>
      </c>
      <c r="AA34" s="1406">
        <f t="shared" si="12"/>
        <v>129</v>
      </c>
      <c r="AB34" s="1407">
        <f t="shared" si="12"/>
        <v>7</v>
      </c>
      <c r="AC34" s="1422">
        <f t="shared" si="12"/>
        <v>474</v>
      </c>
      <c r="AD34" s="1405">
        <f t="shared" si="12"/>
        <v>0</v>
      </c>
      <c r="AE34" s="1406">
        <f t="shared" si="12"/>
        <v>0</v>
      </c>
      <c r="AF34" s="1406">
        <f t="shared" si="12"/>
        <v>0</v>
      </c>
      <c r="AG34" s="1407">
        <f t="shared" si="12"/>
        <v>0</v>
      </c>
      <c r="AH34" s="1422">
        <f t="shared" si="12"/>
        <v>0</v>
      </c>
    </row>
    <row r="35" spans="3:34" ht="15" x14ac:dyDescent="0.2">
      <c r="C35" s="6717"/>
      <c r="D35" s="1405" t="s">
        <v>11</v>
      </c>
      <c r="E35" s="1405">
        <f t="shared" ref="E35:N35" si="13">SUM(E20,E29)</f>
        <v>44</v>
      </c>
      <c r="F35" s="1406">
        <f t="shared" si="13"/>
        <v>108</v>
      </c>
      <c r="G35" s="1406">
        <f t="shared" si="13"/>
        <v>66</v>
      </c>
      <c r="H35" s="1407">
        <f t="shared" si="13"/>
        <v>0</v>
      </c>
      <c r="I35" s="1405">
        <f t="shared" si="13"/>
        <v>218</v>
      </c>
      <c r="J35" s="1405">
        <f t="shared" si="13"/>
        <v>0</v>
      </c>
      <c r="K35" s="1406">
        <f t="shared" si="13"/>
        <v>74</v>
      </c>
      <c r="L35" s="1406">
        <f t="shared" si="13"/>
        <v>7</v>
      </c>
      <c r="M35" s="1407">
        <f t="shared" si="13"/>
        <v>1</v>
      </c>
      <c r="N35" s="1405">
        <f t="shared" si="13"/>
        <v>82</v>
      </c>
      <c r="O35" s="1405">
        <v>32</v>
      </c>
      <c r="P35" s="1406">
        <v>83</v>
      </c>
      <c r="Q35" s="1406">
        <v>31</v>
      </c>
      <c r="R35" s="1407">
        <v>3</v>
      </c>
      <c r="S35" s="1405">
        <v>149</v>
      </c>
      <c r="T35" s="1405">
        <f>SUM(T20,T29)</f>
        <v>58</v>
      </c>
      <c r="U35" s="1406">
        <f>SUM(U20,U29)</f>
        <v>35</v>
      </c>
      <c r="V35" s="1406">
        <f>SUM(V20,V29)</f>
        <v>40</v>
      </c>
      <c r="W35" s="1407">
        <f>SUM(W20,W29)</f>
        <v>0</v>
      </c>
      <c r="X35" s="1421"/>
      <c r="Y35" s="1405">
        <f t="shared" ref="Y35:AH35" si="14">SUM(Y20,Y29,Y24)</f>
        <v>210</v>
      </c>
      <c r="Z35" s="1406">
        <f t="shared" si="14"/>
        <v>91</v>
      </c>
      <c r="AA35" s="1406">
        <f t="shared" si="14"/>
        <v>63</v>
      </c>
      <c r="AB35" s="1407">
        <f t="shared" si="14"/>
        <v>1</v>
      </c>
      <c r="AC35" s="1422">
        <f t="shared" si="14"/>
        <v>365</v>
      </c>
      <c r="AD35" s="1405">
        <f t="shared" si="14"/>
        <v>0</v>
      </c>
      <c r="AE35" s="1406">
        <f t="shared" si="14"/>
        <v>0</v>
      </c>
      <c r="AF35" s="1406">
        <f t="shared" si="14"/>
        <v>0</v>
      </c>
      <c r="AG35" s="1407">
        <f t="shared" si="14"/>
        <v>0</v>
      </c>
      <c r="AH35" s="1422">
        <f t="shared" si="14"/>
        <v>0</v>
      </c>
    </row>
    <row r="36" spans="3:34" ht="15" x14ac:dyDescent="0.2">
      <c r="C36" s="6717"/>
      <c r="D36" s="1405" t="s">
        <v>7</v>
      </c>
      <c r="E36" s="1405">
        <f t="shared" ref="E36:N36" si="15">SUM(E10,E30)</f>
        <v>37</v>
      </c>
      <c r="F36" s="1406">
        <f t="shared" si="15"/>
        <v>38</v>
      </c>
      <c r="G36" s="1406">
        <f t="shared" si="15"/>
        <v>16</v>
      </c>
      <c r="H36" s="1407">
        <f t="shared" si="15"/>
        <v>0</v>
      </c>
      <c r="I36" s="1405">
        <f t="shared" si="15"/>
        <v>91</v>
      </c>
      <c r="J36" s="1405">
        <f t="shared" si="15"/>
        <v>0</v>
      </c>
      <c r="K36" s="1406">
        <f t="shared" si="15"/>
        <v>11</v>
      </c>
      <c r="L36" s="1406">
        <f t="shared" si="15"/>
        <v>1</v>
      </c>
      <c r="M36" s="1407">
        <f t="shared" si="15"/>
        <v>0</v>
      </c>
      <c r="N36" s="1405">
        <f t="shared" si="15"/>
        <v>12</v>
      </c>
      <c r="O36" s="1405">
        <v>34</v>
      </c>
      <c r="P36" s="1406">
        <v>21</v>
      </c>
      <c r="Q36" s="1406">
        <v>68</v>
      </c>
      <c r="R36" s="1407">
        <v>1</v>
      </c>
      <c r="S36" s="1405">
        <v>124</v>
      </c>
      <c r="T36" s="1405">
        <f t="shared" ref="T36:Y36" si="16">SUM(T10,T30)</f>
        <v>63</v>
      </c>
      <c r="U36" s="1406">
        <f t="shared" si="16"/>
        <v>4</v>
      </c>
      <c r="V36" s="1406">
        <f t="shared" si="16"/>
        <v>39</v>
      </c>
      <c r="W36" s="1407">
        <f t="shared" si="16"/>
        <v>3</v>
      </c>
      <c r="X36" s="1421">
        <f t="shared" si="16"/>
        <v>109</v>
      </c>
      <c r="Y36" s="1405">
        <f t="shared" si="16"/>
        <v>165</v>
      </c>
      <c r="Z36" s="1406">
        <f t="shared" ref="Z36:AH36" si="17">SUM(Z10,Z30)</f>
        <v>35</v>
      </c>
      <c r="AA36" s="1406">
        <f t="shared" si="17"/>
        <v>47</v>
      </c>
      <c r="AB36" s="1407">
        <f t="shared" si="17"/>
        <v>1</v>
      </c>
      <c r="AC36" s="1422">
        <f t="shared" si="17"/>
        <v>248</v>
      </c>
      <c r="AD36" s="1405">
        <f t="shared" si="17"/>
        <v>0</v>
      </c>
      <c r="AE36" s="1406">
        <f t="shared" si="17"/>
        <v>0</v>
      </c>
      <c r="AF36" s="1406">
        <f t="shared" si="17"/>
        <v>0</v>
      </c>
      <c r="AG36" s="1407">
        <f t="shared" si="17"/>
        <v>0</v>
      </c>
      <c r="AH36" s="1422">
        <f t="shared" si="17"/>
        <v>0</v>
      </c>
    </row>
    <row r="37" spans="3:34" ht="15" x14ac:dyDescent="0.2">
      <c r="C37" s="6717"/>
      <c r="D37" s="1405" t="s">
        <v>9</v>
      </c>
      <c r="E37" s="1405">
        <f t="shared" ref="E37:N37" si="18">SUM(E14)</f>
        <v>1</v>
      </c>
      <c r="F37" s="1406">
        <f t="shared" si="18"/>
        <v>0</v>
      </c>
      <c r="G37" s="1406">
        <f t="shared" si="18"/>
        <v>0</v>
      </c>
      <c r="H37" s="1407">
        <f t="shared" si="18"/>
        <v>0</v>
      </c>
      <c r="I37" s="1405">
        <f t="shared" si="18"/>
        <v>1</v>
      </c>
      <c r="J37" s="1405">
        <f t="shared" si="18"/>
        <v>0</v>
      </c>
      <c r="K37" s="1406">
        <f t="shared" si="18"/>
        <v>1</v>
      </c>
      <c r="L37" s="1406">
        <f t="shared" si="18"/>
        <v>0</v>
      </c>
      <c r="M37" s="1407">
        <f t="shared" si="18"/>
        <v>0</v>
      </c>
      <c r="N37" s="1405">
        <f t="shared" si="18"/>
        <v>1</v>
      </c>
      <c r="O37" s="1405">
        <v>0</v>
      </c>
      <c r="P37" s="1406">
        <v>1</v>
      </c>
      <c r="Q37" s="1406">
        <v>0</v>
      </c>
      <c r="R37" s="1407">
        <v>0</v>
      </c>
      <c r="S37" s="1405">
        <v>1</v>
      </c>
      <c r="T37" s="1405">
        <f t="shared" ref="T37:Y38" si="19">SUM(T14)</f>
        <v>1</v>
      </c>
      <c r="U37" s="1406">
        <f t="shared" si="19"/>
        <v>1</v>
      </c>
      <c r="V37" s="1406">
        <f t="shared" si="19"/>
        <v>1</v>
      </c>
      <c r="W37" s="1407">
        <f t="shared" si="19"/>
        <v>0</v>
      </c>
      <c r="X37" s="1421">
        <f t="shared" si="19"/>
        <v>3</v>
      </c>
      <c r="Y37" s="1405">
        <f t="shared" si="19"/>
        <v>0</v>
      </c>
      <c r="Z37" s="1406">
        <f t="shared" ref="Z37:AD38" si="20">SUM(Z14)</f>
        <v>6</v>
      </c>
      <c r="AA37" s="1406">
        <f t="shared" si="20"/>
        <v>0</v>
      </c>
      <c r="AB37" s="1407">
        <f t="shared" si="20"/>
        <v>1</v>
      </c>
      <c r="AC37" s="1422">
        <f t="shared" si="20"/>
        <v>7</v>
      </c>
      <c r="AD37" s="1405">
        <f t="shared" si="20"/>
        <v>0</v>
      </c>
      <c r="AE37" s="1406">
        <f t="shared" ref="AE37:AH38" si="21">SUM(AE14)</f>
        <v>0</v>
      </c>
      <c r="AF37" s="1406">
        <f t="shared" si="21"/>
        <v>0</v>
      </c>
      <c r="AG37" s="1407">
        <f t="shared" si="21"/>
        <v>0</v>
      </c>
      <c r="AH37" s="1422">
        <f t="shared" si="21"/>
        <v>0</v>
      </c>
    </row>
    <row r="38" spans="3:34" ht="15" x14ac:dyDescent="0.2">
      <c r="C38" s="6717"/>
      <c r="D38" s="1423" t="s">
        <v>74</v>
      </c>
      <c r="E38" s="1423">
        <f t="shared" ref="E38:N38" si="22">SUM(E15)</f>
        <v>1</v>
      </c>
      <c r="F38" s="1424">
        <f t="shared" si="22"/>
        <v>1</v>
      </c>
      <c r="G38" s="1424">
        <f t="shared" si="22"/>
        <v>0</v>
      </c>
      <c r="H38" s="1425">
        <f t="shared" si="22"/>
        <v>0</v>
      </c>
      <c r="I38" s="1423">
        <f t="shared" si="22"/>
        <v>2</v>
      </c>
      <c r="J38" s="1423">
        <f t="shared" si="22"/>
        <v>0</v>
      </c>
      <c r="K38" s="1424">
        <f t="shared" si="22"/>
        <v>0</v>
      </c>
      <c r="L38" s="1424">
        <f t="shared" si="22"/>
        <v>0</v>
      </c>
      <c r="M38" s="1425">
        <f t="shared" si="22"/>
        <v>0</v>
      </c>
      <c r="N38" s="1423">
        <f t="shared" si="22"/>
        <v>0</v>
      </c>
      <c r="O38" s="1423">
        <v>3</v>
      </c>
      <c r="P38" s="1424">
        <v>1</v>
      </c>
      <c r="Q38" s="1424">
        <v>0</v>
      </c>
      <c r="R38" s="1425">
        <v>0</v>
      </c>
      <c r="S38" s="1423">
        <v>4</v>
      </c>
      <c r="T38" s="1423">
        <f t="shared" si="19"/>
        <v>5</v>
      </c>
      <c r="U38" s="1424">
        <f t="shared" si="19"/>
        <v>0</v>
      </c>
      <c r="V38" s="1424">
        <f t="shared" si="19"/>
        <v>0</v>
      </c>
      <c r="W38" s="1425">
        <f t="shared" si="19"/>
        <v>0</v>
      </c>
      <c r="X38" s="1426">
        <f t="shared" si="19"/>
        <v>5</v>
      </c>
      <c r="Y38" s="1423">
        <f t="shared" si="19"/>
        <v>3</v>
      </c>
      <c r="Z38" s="1424">
        <f t="shared" si="20"/>
        <v>0</v>
      </c>
      <c r="AA38" s="1424">
        <f t="shared" si="20"/>
        <v>0</v>
      </c>
      <c r="AB38" s="1425">
        <f t="shared" si="20"/>
        <v>0</v>
      </c>
      <c r="AC38" s="1427">
        <f t="shared" si="20"/>
        <v>3</v>
      </c>
      <c r="AD38" s="1423">
        <f t="shared" si="20"/>
        <v>0</v>
      </c>
      <c r="AE38" s="1424">
        <f t="shared" si="21"/>
        <v>0</v>
      </c>
      <c r="AF38" s="1424">
        <f t="shared" si="21"/>
        <v>0</v>
      </c>
      <c r="AG38" s="1425">
        <f t="shared" si="21"/>
        <v>0</v>
      </c>
      <c r="AH38" s="1427">
        <f t="shared" si="21"/>
        <v>0</v>
      </c>
    </row>
    <row r="39" spans="3:34" ht="15" x14ac:dyDescent="0.2">
      <c r="C39" s="6718"/>
      <c r="D39" s="1396" t="s">
        <v>12</v>
      </c>
      <c r="E39" s="1395">
        <f>SUM(E33:E38)</f>
        <v>161</v>
      </c>
      <c r="F39" s="1397">
        <f t="shared" ref="F39:N39" si="23">SUM(F33:F38)</f>
        <v>347</v>
      </c>
      <c r="G39" s="1397">
        <f t="shared" si="23"/>
        <v>274</v>
      </c>
      <c r="H39" s="1396">
        <f t="shared" si="23"/>
        <v>1</v>
      </c>
      <c r="I39" s="1396">
        <f t="shared" si="23"/>
        <v>783</v>
      </c>
      <c r="J39" s="1395">
        <f t="shared" si="23"/>
        <v>0</v>
      </c>
      <c r="K39" s="1397">
        <f t="shared" si="23"/>
        <v>141</v>
      </c>
      <c r="L39" s="1397">
        <f t="shared" si="23"/>
        <v>76</v>
      </c>
      <c r="M39" s="1396">
        <f t="shared" si="23"/>
        <v>3</v>
      </c>
      <c r="N39" s="1396">
        <f t="shared" si="23"/>
        <v>220</v>
      </c>
      <c r="O39" s="1395">
        <v>117</v>
      </c>
      <c r="P39" s="1397">
        <v>209</v>
      </c>
      <c r="Q39" s="1397">
        <v>220</v>
      </c>
      <c r="R39" s="1396">
        <v>10</v>
      </c>
      <c r="S39" s="1396">
        <v>556</v>
      </c>
      <c r="T39" s="1395">
        <f t="shared" ref="T39:Y39" si="24">SUM(T33:T38)</f>
        <v>244</v>
      </c>
      <c r="U39" s="1397">
        <f t="shared" si="24"/>
        <v>63</v>
      </c>
      <c r="V39" s="1397">
        <f t="shared" si="24"/>
        <v>154</v>
      </c>
      <c r="W39" s="1396">
        <f t="shared" si="24"/>
        <v>4</v>
      </c>
      <c r="X39" s="1393">
        <f t="shared" si="24"/>
        <v>332</v>
      </c>
      <c r="Y39" s="1395">
        <f t="shared" si="24"/>
        <v>707</v>
      </c>
      <c r="Z39" s="1397">
        <f t="shared" ref="Z39:AH39" si="25">SUM(Z33:Z38)</f>
        <v>200</v>
      </c>
      <c r="AA39" s="1397">
        <f t="shared" si="25"/>
        <v>257</v>
      </c>
      <c r="AB39" s="1396">
        <f t="shared" si="25"/>
        <v>15</v>
      </c>
      <c r="AC39" s="1394">
        <f t="shared" si="25"/>
        <v>1179</v>
      </c>
      <c r="AD39" s="1395">
        <f t="shared" si="25"/>
        <v>0</v>
      </c>
      <c r="AE39" s="1397">
        <f t="shared" si="25"/>
        <v>0</v>
      </c>
      <c r="AF39" s="1397">
        <f t="shared" si="25"/>
        <v>0</v>
      </c>
      <c r="AG39" s="1396">
        <f t="shared" si="25"/>
        <v>0</v>
      </c>
      <c r="AH39" s="1394">
        <f t="shared" si="25"/>
        <v>0</v>
      </c>
    </row>
    <row r="40" spans="3:34" x14ac:dyDescent="0.2">
      <c r="C40" s="86" t="s">
        <v>131</v>
      </c>
    </row>
  </sheetData>
  <mergeCells count="16">
    <mergeCell ref="C33:C39"/>
    <mergeCell ref="C23:C26"/>
    <mergeCell ref="C2:X2"/>
    <mergeCell ref="C3:X3"/>
    <mergeCell ref="C5:C6"/>
    <mergeCell ref="D5:D6"/>
    <mergeCell ref="E5:I5"/>
    <mergeCell ref="J5:N5"/>
    <mergeCell ref="O5:S5"/>
    <mergeCell ref="T5:X5"/>
    <mergeCell ref="AD5:AH5"/>
    <mergeCell ref="Y5:AC5"/>
    <mergeCell ref="C8:C11"/>
    <mergeCell ref="C18:C21"/>
    <mergeCell ref="C28:C31"/>
    <mergeCell ref="C13:C16"/>
  </mergeCells>
  <printOptions horizontalCentered="1" verticalCentered="1"/>
  <pageMargins left="0.39370078740157483" right="0.39370078740157483" top="0.47244094488188981" bottom="0.19685039370078741" header="0" footer="0"/>
  <pageSetup scale="70" orientation="landscape" horizontalDpi="1200" verticalDpi="1200" r:id="rId1"/>
  <headerFooter alignWithMargins="0">
    <oddHeader>&amp;LANEXO ESTADÍSTICO 2008&amp;CBECAS&amp;R&amp;G</oddHeader>
    <oddFooter xml:space="preserve">&amp;R63
</oddFooter>
  </headerFooter>
  <ignoredErrors>
    <ignoredError sqref="X8:X30" formulaRange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V108"/>
  <sheetViews>
    <sheetView showGridLines="0" zoomScaleNormal="100" zoomScaleSheetLayoutView="50" workbookViewId="0">
      <pane xSplit="3" ySplit="4" topLeftCell="AK71" activePane="bottomRight" state="frozen"/>
      <selection sqref="A1:E1"/>
      <selection pane="topRight" sqref="A1:E1"/>
      <selection pane="bottomLeft" sqref="A1:E1"/>
      <selection pane="bottomRight" activeCell="AW83" sqref="AW83"/>
    </sheetView>
  </sheetViews>
  <sheetFormatPr baseColWidth="10" defaultRowHeight="12.75" x14ac:dyDescent="0.2"/>
  <cols>
    <col min="1" max="1" width="8.85546875" style="199" customWidth="1"/>
    <col min="2" max="2" width="9.7109375" style="199" customWidth="1"/>
    <col min="3" max="3" width="45.42578125" style="199" bestFit="1" customWidth="1"/>
    <col min="4" max="5" width="8.7109375" style="199" customWidth="1"/>
    <col min="6" max="6" width="9.7109375" style="199" customWidth="1"/>
    <col min="7" max="8" width="8.7109375" style="199" customWidth="1"/>
    <col min="9" max="9" width="9.7109375" style="199" customWidth="1"/>
    <col min="10" max="11" width="8.7109375" style="199" customWidth="1"/>
    <col min="12" max="12" width="9.7109375" style="199" customWidth="1"/>
    <col min="13" max="14" width="8.7109375" style="199" customWidth="1"/>
    <col min="15" max="15" width="9.7109375" style="199" customWidth="1"/>
    <col min="16" max="17" width="8.7109375" style="199" customWidth="1"/>
    <col min="18" max="18" width="9.7109375" style="199" customWidth="1"/>
    <col min="19" max="20" width="8.7109375" style="199" customWidth="1"/>
    <col min="21" max="21" width="9.7109375" style="199" customWidth="1"/>
    <col min="22" max="23" width="8.7109375" style="199" customWidth="1"/>
    <col min="24" max="24" width="9.7109375" style="199" customWidth="1"/>
    <col min="25" max="26" width="8.7109375" style="199" customWidth="1"/>
    <col min="27" max="27" width="9.7109375" style="199" customWidth="1"/>
    <col min="28" max="29" width="8.7109375" style="199" customWidth="1"/>
    <col min="30" max="30" width="9.7109375" style="199" customWidth="1"/>
    <col min="31" max="32" width="8.7109375" style="199" customWidth="1"/>
    <col min="33" max="33" width="9.7109375" style="199" customWidth="1"/>
    <col min="34" max="35" width="8.7109375" style="199" customWidth="1"/>
    <col min="36" max="36" width="9.7109375" style="199" customWidth="1"/>
    <col min="37" max="38" width="8.7109375" style="199" customWidth="1"/>
    <col min="39" max="39" width="9.7109375" style="199" customWidth="1"/>
    <col min="40" max="41" width="8.7109375" style="199" customWidth="1"/>
    <col min="42" max="42" width="9.7109375" style="199" customWidth="1"/>
    <col min="43" max="48" width="8.7109375" style="199" customWidth="1"/>
    <col min="49" max="255" width="11.42578125" style="199"/>
    <col min="256" max="256" width="1.5703125" style="199" customWidth="1"/>
    <col min="257" max="257" width="21.140625" style="199" customWidth="1"/>
    <col min="258" max="258" width="7.140625" style="199" customWidth="1"/>
    <col min="259" max="259" width="36.7109375" style="199" bestFit="1" customWidth="1"/>
    <col min="260" max="261" width="9.28515625" style="199" bestFit="1" customWidth="1"/>
    <col min="262" max="262" width="12" style="199" customWidth="1"/>
    <col min="263" max="263" width="8.42578125" style="199" bestFit="1" customWidth="1"/>
    <col min="264" max="264" width="9" style="199" customWidth="1"/>
    <col min="265" max="265" width="11.7109375" style="199" customWidth="1"/>
    <col min="266" max="266" width="9.28515625" style="199" bestFit="1" customWidth="1"/>
    <col min="267" max="267" width="8.42578125" style="199" bestFit="1" customWidth="1"/>
    <col min="268" max="268" width="11.7109375" style="199" customWidth="1"/>
    <col min="269" max="270" width="8.42578125" style="199" bestFit="1" customWidth="1"/>
    <col min="271" max="271" width="11.7109375" style="199" customWidth="1"/>
    <col min="272" max="272" width="9" style="199" customWidth="1"/>
    <col min="273" max="273" width="8.42578125" style="199" bestFit="1" customWidth="1"/>
    <col min="274" max="274" width="11.7109375" style="199" customWidth="1"/>
    <col min="275" max="276" width="8.42578125" style="199" bestFit="1" customWidth="1"/>
    <col min="277" max="277" width="11.7109375" style="199" customWidth="1"/>
    <col min="278" max="279" width="9" style="199" customWidth="1"/>
    <col min="280" max="280" width="12" style="199" customWidth="1"/>
    <col min="281" max="281" width="9" style="199" bestFit="1" customWidth="1"/>
    <col min="282" max="282" width="8" style="199" bestFit="1" customWidth="1"/>
    <col min="283" max="283" width="11.7109375" style="199" customWidth="1"/>
    <col min="284" max="511" width="11.42578125" style="199"/>
    <col min="512" max="512" width="1.5703125" style="199" customWidth="1"/>
    <col min="513" max="513" width="21.140625" style="199" customWidth="1"/>
    <col min="514" max="514" width="7.140625" style="199" customWidth="1"/>
    <col min="515" max="515" width="36.7109375" style="199" bestFit="1" customWidth="1"/>
    <col min="516" max="517" width="9.28515625" style="199" bestFit="1" customWidth="1"/>
    <col min="518" max="518" width="12" style="199" customWidth="1"/>
    <col min="519" max="519" width="8.42578125" style="199" bestFit="1" customWidth="1"/>
    <col min="520" max="520" width="9" style="199" customWidth="1"/>
    <col min="521" max="521" width="11.7109375" style="199" customWidth="1"/>
    <col min="522" max="522" width="9.28515625" style="199" bestFit="1" customWidth="1"/>
    <col min="523" max="523" width="8.42578125" style="199" bestFit="1" customWidth="1"/>
    <col min="524" max="524" width="11.7109375" style="199" customWidth="1"/>
    <col min="525" max="526" width="8.42578125" style="199" bestFit="1" customWidth="1"/>
    <col min="527" max="527" width="11.7109375" style="199" customWidth="1"/>
    <col min="528" max="528" width="9" style="199" customWidth="1"/>
    <col min="529" max="529" width="8.42578125" style="199" bestFit="1" customWidth="1"/>
    <col min="530" max="530" width="11.7109375" style="199" customWidth="1"/>
    <col min="531" max="532" width="8.42578125" style="199" bestFit="1" customWidth="1"/>
    <col min="533" max="533" width="11.7109375" style="199" customWidth="1"/>
    <col min="534" max="535" width="9" style="199" customWidth="1"/>
    <col min="536" max="536" width="12" style="199" customWidth="1"/>
    <col min="537" max="537" width="9" style="199" bestFit="1" customWidth="1"/>
    <col min="538" max="538" width="8" style="199" bestFit="1" customWidth="1"/>
    <col min="539" max="539" width="11.7109375" style="199" customWidth="1"/>
    <col min="540" max="767" width="11.42578125" style="199"/>
    <col min="768" max="768" width="1.5703125" style="199" customWidth="1"/>
    <col min="769" max="769" width="21.140625" style="199" customWidth="1"/>
    <col min="770" max="770" width="7.140625" style="199" customWidth="1"/>
    <col min="771" max="771" width="36.7109375" style="199" bestFit="1" customWidth="1"/>
    <col min="772" max="773" width="9.28515625" style="199" bestFit="1" customWidth="1"/>
    <col min="774" max="774" width="12" style="199" customWidth="1"/>
    <col min="775" max="775" width="8.42578125" style="199" bestFit="1" customWidth="1"/>
    <col min="776" max="776" width="9" style="199" customWidth="1"/>
    <col min="777" max="777" width="11.7109375" style="199" customWidth="1"/>
    <col min="778" max="778" width="9.28515625" style="199" bestFit="1" customWidth="1"/>
    <col min="779" max="779" width="8.42578125" style="199" bestFit="1" customWidth="1"/>
    <col min="780" max="780" width="11.7109375" style="199" customWidth="1"/>
    <col min="781" max="782" width="8.42578125" style="199" bestFit="1" customWidth="1"/>
    <col min="783" max="783" width="11.7109375" style="199" customWidth="1"/>
    <col min="784" max="784" width="9" style="199" customWidth="1"/>
    <col min="785" max="785" width="8.42578125" style="199" bestFit="1" customWidth="1"/>
    <col min="786" max="786" width="11.7109375" style="199" customWidth="1"/>
    <col min="787" max="788" width="8.42578125" style="199" bestFit="1" customWidth="1"/>
    <col min="789" max="789" width="11.7109375" style="199" customWidth="1"/>
    <col min="790" max="791" width="9" style="199" customWidth="1"/>
    <col min="792" max="792" width="12" style="199" customWidth="1"/>
    <col min="793" max="793" width="9" style="199" bestFit="1" customWidth="1"/>
    <col min="794" max="794" width="8" style="199" bestFit="1" customWidth="1"/>
    <col min="795" max="795" width="11.7109375" style="199" customWidth="1"/>
    <col min="796" max="1023" width="11.42578125" style="199"/>
    <col min="1024" max="1024" width="1.5703125" style="199" customWidth="1"/>
    <col min="1025" max="1025" width="21.140625" style="199" customWidth="1"/>
    <col min="1026" max="1026" width="7.140625" style="199" customWidth="1"/>
    <col min="1027" max="1027" width="36.7109375" style="199" bestFit="1" customWidth="1"/>
    <col min="1028" max="1029" width="9.28515625" style="199" bestFit="1" customWidth="1"/>
    <col min="1030" max="1030" width="12" style="199" customWidth="1"/>
    <col min="1031" max="1031" width="8.42578125" style="199" bestFit="1" customWidth="1"/>
    <col min="1032" max="1032" width="9" style="199" customWidth="1"/>
    <col min="1033" max="1033" width="11.7109375" style="199" customWidth="1"/>
    <col min="1034" max="1034" width="9.28515625" style="199" bestFit="1" customWidth="1"/>
    <col min="1035" max="1035" width="8.42578125" style="199" bestFit="1" customWidth="1"/>
    <col min="1036" max="1036" width="11.7109375" style="199" customWidth="1"/>
    <col min="1037" max="1038" width="8.42578125" style="199" bestFit="1" customWidth="1"/>
    <col min="1039" max="1039" width="11.7109375" style="199" customWidth="1"/>
    <col min="1040" max="1040" width="9" style="199" customWidth="1"/>
    <col min="1041" max="1041" width="8.42578125" style="199" bestFit="1" customWidth="1"/>
    <col min="1042" max="1042" width="11.7109375" style="199" customWidth="1"/>
    <col min="1043" max="1044" width="8.42578125" style="199" bestFit="1" customWidth="1"/>
    <col min="1045" max="1045" width="11.7109375" style="199" customWidth="1"/>
    <col min="1046" max="1047" width="9" style="199" customWidth="1"/>
    <col min="1048" max="1048" width="12" style="199" customWidth="1"/>
    <col min="1049" max="1049" width="9" style="199" bestFit="1" customWidth="1"/>
    <col min="1050" max="1050" width="8" style="199" bestFit="1" customWidth="1"/>
    <col min="1051" max="1051" width="11.7109375" style="199" customWidth="1"/>
    <col min="1052" max="1279" width="11.42578125" style="199"/>
    <col min="1280" max="1280" width="1.5703125" style="199" customWidth="1"/>
    <col min="1281" max="1281" width="21.140625" style="199" customWidth="1"/>
    <col min="1282" max="1282" width="7.140625" style="199" customWidth="1"/>
    <col min="1283" max="1283" width="36.7109375" style="199" bestFit="1" customWidth="1"/>
    <col min="1284" max="1285" width="9.28515625" style="199" bestFit="1" customWidth="1"/>
    <col min="1286" max="1286" width="12" style="199" customWidth="1"/>
    <col min="1287" max="1287" width="8.42578125" style="199" bestFit="1" customWidth="1"/>
    <col min="1288" max="1288" width="9" style="199" customWidth="1"/>
    <col min="1289" max="1289" width="11.7109375" style="199" customWidth="1"/>
    <col min="1290" max="1290" width="9.28515625" style="199" bestFit="1" customWidth="1"/>
    <col min="1291" max="1291" width="8.42578125" style="199" bestFit="1" customWidth="1"/>
    <col min="1292" max="1292" width="11.7109375" style="199" customWidth="1"/>
    <col min="1293" max="1294" width="8.42578125" style="199" bestFit="1" customWidth="1"/>
    <col min="1295" max="1295" width="11.7109375" style="199" customWidth="1"/>
    <col min="1296" max="1296" width="9" style="199" customWidth="1"/>
    <col min="1297" max="1297" width="8.42578125" style="199" bestFit="1" customWidth="1"/>
    <col min="1298" max="1298" width="11.7109375" style="199" customWidth="1"/>
    <col min="1299" max="1300" width="8.42578125" style="199" bestFit="1" customWidth="1"/>
    <col min="1301" max="1301" width="11.7109375" style="199" customWidth="1"/>
    <col min="1302" max="1303" width="9" style="199" customWidth="1"/>
    <col min="1304" max="1304" width="12" style="199" customWidth="1"/>
    <col min="1305" max="1305" width="9" style="199" bestFit="1" customWidth="1"/>
    <col min="1306" max="1306" width="8" style="199" bestFit="1" customWidth="1"/>
    <col min="1307" max="1307" width="11.7109375" style="199" customWidth="1"/>
    <col min="1308" max="1535" width="11.42578125" style="199"/>
    <col min="1536" max="1536" width="1.5703125" style="199" customWidth="1"/>
    <col min="1537" max="1537" width="21.140625" style="199" customWidth="1"/>
    <col min="1538" max="1538" width="7.140625" style="199" customWidth="1"/>
    <col min="1539" max="1539" width="36.7109375" style="199" bestFit="1" customWidth="1"/>
    <col min="1540" max="1541" width="9.28515625" style="199" bestFit="1" customWidth="1"/>
    <col min="1542" max="1542" width="12" style="199" customWidth="1"/>
    <col min="1543" max="1543" width="8.42578125" style="199" bestFit="1" customWidth="1"/>
    <col min="1544" max="1544" width="9" style="199" customWidth="1"/>
    <col min="1545" max="1545" width="11.7109375" style="199" customWidth="1"/>
    <col min="1546" max="1546" width="9.28515625" style="199" bestFit="1" customWidth="1"/>
    <col min="1547" max="1547" width="8.42578125" style="199" bestFit="1" customWidth="1"/>
    <col min="1548" max="1548" width="11.7109375" style="199" customWidth="1"/>
    <col min="1549" max="1550" width="8.42578125" style="199" bestFit="1" customWidth="1"/>
    <col min="1551" max="1551" width="11.7109375" style="199" customWidth="1"/>
    <col min="1552" max="1552" width="9" style="199" customWidth="1"/>
    <col min="1553" max="1553" width="8.42578125" style="199" bestFit="1" customWidth="1"/>
    <col min="1554" max="1554" width="11.7109375" style="199" customWidth="1"/>
    <col min="1555" max="1556" width="8.42578125" style="199" bestFit="1" customWidth="1"/>
    <col min="1557" max="1557" width="11.7109375" style="199" customWidth="1"/>
    <col min="1558" max="1559" width="9" style="199" customWidth="1"/>
    <col min="1560" max="1560" width="12" style="199" customWidth="1"/>
    <col min="1561" max="1561" width="9" style="199" bestFit="1" customWidth="1"/>
    <col min="1562" max="1562" width="8" style="199" bestFit="1" customWidth="1"/>
    <col min="1563" max="1563" width="11.7109375" style="199" customWidth="1"/>
    <col min="1564" max="1791" width="11.42578125" style="199"/>
    <col min="1792" max="1792" width="1.5703125" style="199" customWidth="1"/>
    <col min="1793" max="1793" width="21.140625" style="199" customWidth="1"/>
    <col min="1794" max="1794" width="7.140625" style="199" customWidth="1"/>
    <col min="1795" max="1795" width="36.7109375" style="199" bestFit="1" customWidth="1"/>
    <col min="1796" max="1797" width="9.28515625" style="199" bestFit="1" customWidth="1"/>
    <col min="1798" max="1798" width="12" style="199" customWidth="1"/>
    <col min="1799" max="1799" width="8.42578125" style="199" bestFit="1" customWidth="1"/>
    <col min="1800" max="1800" width="9" style="199" customWidth="1"/>
    <col min="1801" max="1801" width="11.7109375" style="199" customWidth="1"/>
    <col min="1802" max="1802" width="9.28515625" style="199" bestFit="1" customWidth="1"/>
    <col min="1803" max="1803" width="8.42578125" style="199" bestFit="1" customWidth="1"/>
    <col min="1804" max="1804" width="11.7109375" style="199" customWidth="1"/>
    <col min="1805" max="1806" width="8.42578125" style="199" bestFit="1" customWidth="1"/>
    <col min="1807" max="1807" width="11.7109375" style="199" customWidth="1"/>
    <col min="1808" max="1808" width="9" style="199" customWidth="1"/>
    <col min="1809" max="1809" width="8.42578125" style="199" bestFit="1" customWidth="1"/>
    <col min="1810" max="1810" width="11.7109375" style="199" customWidth="1"/>
    <col min="1811" max="1812" width="8.42578125" style="199" bestFit="1" customWidth="1"/>
    <col min="1813" max="1813" width="11.7109375" style="199" customWidth="1"/>
    <col min="1814" max="1815" width="9" style="199" customWidth="1"/>
    <col min="1816" max="1816" width="12" style="199" customWidth="1"/>
    <col min="1817" max="1817" width="9" style="199" bestFit="1" customWidth="1"/>
    <col min="1818" max="1818" width="8" style="199" bestFit="1" customWidth="1"/>
    <col min="1819" max="1819" width="11.7109375" style="199" customWidth="1"/>
    <col min="1820" max="2047" width="11.42578125" style="199"/>
    <col min="2048" max="2048" width="1.5703125" style="199" customWidth="1"/>
    <col min="2049" max="2049" width="21.140625" style="199" customWidth="1"/>
    <col min="2050" max="2050" width="7.140625" style="199" customWidth="1"/>
    <col min="2051" max="2051" width="36.7109375" style="199" bestFit="1" customWidth="1"/>
    <col min="2052" max="2053" width="9.28515625" style="199" bestFit="1" customWidth="1"/>
    <col min="2054" max="2054" width="12" style="199" customWidth="1"/>
    <col min="2055" max="2055" width="8.42578125" style="199" bestFit="1" customWidth="1"/>
    <col min="2056" max="2056" width="9" style="199" customWidth="1"/>
    <col min="2057" max="2057" width="11.7109375" style="199" customWidth="1"/>
    <col min="2058" max="2058" width="9.28515625" style="199" bestFit="1" customWidth="1"/>
    <col min="2059" max="2059" width="8.42578125" style="199" bestFit="1" customWidth="1"/>
    <col min="2060" max="2060" width="11.7109375" style="199" customWidth="1"/>
    <col min="2061" max="2062" width="8.42578125" style="199" bestFit="1" customWidth="1"/>
    <col min="2063" max="2063" width="11.7109375" style="199" customWidth="1"/>
    <col min="2064" max="2064" width="9" style="199" customWidth="1"/>
    <col min="2065" max="2065" width="8.42578125" style="199" bestFit="1" customWidth="1"/>
    <col min="2066" max="2066" width="11.7109375" style="199" customWidth="1"/>
    <col min="2067" max="2068" width="8.42578125" style="199" bestFit="1" customWidth="1"/>
    <col min="2069" max="2069" width="11.7109375" style="199" customWidth="1"/>
    <col min="2070" max="2071" width="9" style="199" customWidth="1"/>
    <col min="2072" max="2072" width="12" style="199" customWidth="1"/>
    <col min="2073" max="2073" width="9" style="199" bestFit="1" customWidth="1"/>
    <col min="2074" max="2074" width="8" style="199" bestFit="1" customWidth="1"/>
    <col min="2075" max="2075" width="11.7109375" style="199" customWidth="1"/>
    <col min="2076" max="2303" width="11.42578125" style="199"/>
    <col min="2304" max="2304" width="1.5703125" style="199" customWidth="1"/>
    <col min="2305" max="2305" width="21.140625" style="199" customWidth="1"/>
    <col min="2306" max="2306" width="7.140625" style="199" customWidth="1"/>
    <col min="2307" max="2307" width="36.7109375" style="199" bestFit="1" customWidth="1"/>
    <col min="2308" max="2309" width="9.28515625" style="199" bestFit="1" customWidth="1"/>
    <col min="2310" max="2310" width="12" style="199" customWidth="1"/>
    <col min="2311" max="2311" width="8.42578125" style="199" bestFit="1" customWidth="1"/>
    <col min="2312" max="2312" width="9" style="199" customWidth="1"/>
    <col min="2313" max="2313" width="11.7109375" style="199" customWidth="1"/>
    <col min="2314" max="2314" width="9.28515625" style="199" bestFit="1" customWidth="1"/>
    <col min="2315" max="2315" width="8.42578125" style="199" bestFit="1" customWidth="1"/>
    <col min="2316" max="2316" width="11.7109375" style="199" customWidth="1"/>
    <col min="2317" max="2318" width="8.42578125" style="199" bestFit="1" customWidth="1"/>
    <col min="2319" max="2319" width="11.7109375" style="199" customWidth="1"/>
    <col min="2320" max="2320" width="9" style="199" customWidth="1"/>
    <col min="2321" max="2321" width="8.42578125" style="199" bestFit="1" customWidth="1"/>
    <col min="2322" max="2322" width="11.7109375" style="199" customWidth="1"/>
    <col min="2323" max="2324" width="8.42578125" style="199" bestFit="1" customWidth="1"/>
    <col min="2325" max="2325" width="11.7109375" style="199" customWidth="1"/>
    <col min="2326" max="2327" width="9" style="199" customWidth="1"/>
    <col min="2328" max="2328" width="12" style="199" customWidth="1"/>
    <col min="2329" max="2329" width="9" style="199" bestFit="1" customWidth="1"/>
    <col min="2330" max="2330" width="8" style="199" bestFit="1" customWidth="1"/>
    <col min="2331" max="2331" width="11.7109375" style="199" customWidth="1"/>
    <col min="2332" max="2559" width="11.42578125" style="199"/>
    <col min="2560" max="2560" width="1.5703125" style="199" customWidth="1"/>
    <col min="2561" max="2561" width="21.140625" style="199" customWidth="1"/>
    <col min="2562" max="2562" width="7.140625" style="199" customWidth="1"/>
    <col min="2563" max="2563" width="36.7109375" style="199" bestFit="1" customWidth="1"/>
    <col min="2564" max="2565" width="9.28515625" style="199" bestFit="1" customWidth="1"/>
    <col min="2566" max="2566" width="12" style="199" customWidth="1"/>
    <col min="2567" max="2567" width="8.42578125" style="199" bestFit="1" customWidth="1"/>
    <col min="2568" max="2568" width="9" style="199" customWidth="1"/>
    <col min="2569" max="2569" width="11.7109375" style="199" customWidth="1"/>
    <col min="2570" max="2570" width="9.28515625" style="199" bestFit="1" customWidth="1"/>
    <col min="2571" max="2571" width="8.42578125" style="199" bestFit="1" customWidth="1"/>
    <col min="2572" max="2572" width="11.7109375" style="199" customWidth="1"/>
    <col min="2573" max="2574" width="8.42578125" style="199" bestFit="1" customWidth="1"/>
    <col min="2575" max="2575" width="11.7109375" style="199" customWidth="1"/>
    <col min="2576" max="2576" width="9" style="199" customWidth="1"/>
    <col min="2577" max="2577" width="8.42578125" style="199" bestFit="1" customWidth="1"/>
    <col min="2578" max="2578" width="11.7109375" style="199" customWidth="1"/>
    <col min="2579" max="2580" width="8.42578125" style="199" bestFit="1" customWidth="1"/>
    <col min="2581" max="2581" width="11.7109375" style="199" customWidth="1"/>
    <col min="2582" max="2583" width="9" style="199" customWidth="1"/>
    <col min="2584" max="2584" width="12" style="199" customWidth="1"/>
    <col min="2585" max="2585" width="9" style="199" bestFit="1" customWidth="1"/>
    <col min="2586" max="2586" width="8" style="199" bestFit="1" customWidth="1"/>
    <col min="2587" max="2587" width="11.7109375" style="199" customWidth="1"/>
    <col min="2588" max="2815" width="11.42578125" style="199"/>
    <col min="2816" max="2816" width="1.5703125" style="199" customWidth="1"/>
    <col min="2817" max="2817" width="21.140625" style="199" customWidth="1"/>
    <col min="2818" max="2818" width="7.140625" style="199" customWidth="1"/>
    <col min="2819" max="2819" width="36.7109375" style="199" bestFit="1" customWidth="1"/>
    <col min="2820" max="2821" width="9.28515625" style="199" bestFit="1" customWidth="1"/>
    <col min="2822" max="2822" width="12" style="199" customWidth="1"/>
    <col min="2823" max="2823" width="8.42578125" style="199" bestFit="1" customWidth="1"/>
    <col min="2824" max="2824" width="9" style="199" customWidth="1"/>
    <col min="2825" max="2825" width="11.7109375" style="199" customWidth="1"/>
    <col min="2826" max="2826" width="9.28515625" style="199" bestFit="1" customWidth="1"/>
    <col min="2827" max="2827" width="8.42578125" style="199" bestFit="1" customWidth="1"/>
    <col min="2828" max="2828" width="11.7109375" style="199" customWidth="1"/>
    <col min="2829" max="2830" width="8.42578125" style="199" bestFit="1" customWidth="1"/>
    <col min="2831" max="2831" width="11.7109375" style="199" customWidth="1"/>
    <col min="2832" max="2832" width="9" style="199" customWidth="1"/>
    <col min="2833" max="2833" width="8.42578125" style="199" bestFit="1" customWidth="1"/>
    <col min="2834" max="2834" width="11.7109375" style="199" customWidth="1"/>
    <col min="2835" max="2836" width="8.42578125" style="199" bestFit="1" customWidth="1"/>
    <col min="2837" max="2837" width="11.7109375" style="199" customWidth="1"/>
    <col min="2838" max="2839" width="9" style="199" customWidth="1"/>
    <col min="2840" max="2840" width="12" style="199" customWidth="1"/>
    <col min="2841" max="2841" width="9" style="199" bestFit="1" customWidth="1"/>
    <col min="2842" max="2842" width="8" style="199" bestFit="1" customWidth="1"/>
    <col min="2843" max="2843" width="11.7109375" style="199" customWidth="1"/>
    <col min="2844" max="3071" width="11.42578125" style="199"/>
    <col min="3072" max="3072" width="1.5703125" style="199" customWidth="1"/>
    <col min="3073" max="3073" width="21.140625" style="199" customWidth="1"/>
    <col min="3074" max="3074" width="7.140625" style="199" customWidth="1"/>
    <col min="3075" max="3075" width="36.7109375" style="199" bestFit="1" customWidth="1"/>
    <col min="3076" max="3077" width="9.28515625" style="199" bestFit="1" customWidth="1"/>
    <col min="3078" max="3078" width="12" style="199" customWidth="1"/>
    <col min="3079" max="3079" width="8.42578125" style="199" bestFit="1" customWidth="1"/>
    <col min="3080" max="3080" width="9" style="199" customWidth="1"/>
    <col min="3081" max="3081" width="11.7109375" style="199" customWidth="1"/>
    <col min="3082" max="3082" width="9.28515625" style="199" bestFit="1" customWidth="1"/>
    <col min="3083" max="3083" width="8.42578125" style="199" bestFit="1" customWidth="1"/>
    <col min="3084" max="3084" width="11.7109375" style="199" customWidth="1"/>
    <col min="3085" max="3086" width="8.42578125" style="199" bestFit="1" customWidth="1"/>
    <col min="3087" max="3087" width="11.7109375" style="199" customWidth="1"/>
    <col min="3088" max="3088" width="9" style="199" customWidth="1"/>
    <col min="3089" max="3089" width="8.42578125" style="199" bestFit="1" customWidth="1"/>
    <col min="3090" max="3090" width="11.7109375" style="199" customWidth="1"/>
    <col min="3091" max="3092" width="8.42578125" style="199" bestFit="1" customWidth="1"/>
    <col min="3093" max="3093" width="11.7109375" style="199" customWidth="1"/>
    <col min="3094" max="3095" width="9" style="199" customWidth="1"/>
    <col min="3096" max="3096" width="12" style="199" customWidth="1"/>
    <col min="3097" max="3097" width="9" style="199" bestFit="1" customWidth="1"/>
    <col min="3098" max="3098" width="8" style="199" bestFit="1" customWidth="1"/>
    <col min="3099" max="3099" width="11.7109375" style="199" customWidth="1"/>
    <col min="3100" max="3327" width="11.42578125" style="199"/>
    <col min="3328" max="3328" width="1.5703125" style="199" customWidth="1"/>
    <col min="3329" max="3329" width="21.140625" style="199" customWidth="1"/>
    <col min="3330" max="3330" width="7.140625" style="199" customWidth="1"/>
    <col min="3331" max="3331" width="36.7109375" style="199" bestFit="1" customWidth="1"/>
    <col min="3332" max="3333" width="9.28515625" style="199" bestFit="1" customWidth="1"/>
    <col min="3334" max="3334" width="12" style="199" customWidth="1"/>
    <col min="3335" max="3335" width="8.42578125" style="199" bestFit="1" customWidth="1"/>
    <col min="3336" max="3336" width="9" style="199" customWidth="1"/>
    <col min="3337" max="3337" width="11.7109375" style="199" customWidth="1"/>
    <col min="3338" max="3338" width="9.28515625" style="199" bestFit="1" customWidth="1"/>
    <col min="3339" max="3339" width="8.42578125" style="199" bestFit="1" customWidth="1"/>
    <col min="3340" max="3340" width="11.7109375" style="199" customWidth="1"/>
    <col min="3341" max="3342" width="8.42578125" style="199" bestFit="1" customWidth="1"/>
    <col min="3343" max="3343" width="11.7109375" style="199" customWidth="1"/>
    <col min="3344" max="3344" width="9" style="199" customWidth="1"/>
    <col min="3345" max="3345" width="8.42578125" style="199" bestFit="1" customWidth="1"/>
    <col min="3346" max="3346" width="11.7109375" style="199" customWidth="1"/>
    <col min="3347" max="3348" width="8.42578125" style="199" bestFit="1" customWidth="1"/>
    <col min="3349" max="3349" width="11.7109375" style="199" customWidth="1"/>
    <col min="3350" max="3351" width="9" style="199" customWidth="1"/>
    <col min="3352" max="3352" width="12" style="199" customWidth="1"/>
    <col min="3353" max="3353" width="9" style="199" bestFit="1" customWidth="1"/>
    <col min="3354" max="3354" width="8" style="199" bestFit="1" customWidth="1"/>
    <col min="3355" max="3355" width="11.7109375" style="199" customWidth="1"/>
    <col min="3356" max="3583" width="11.42578125" style="199"/>
    <col min="3584" max="3584" width="1.5703125" style="199" customWidth="1"/>
    <col min="3585" max="3585" width="21.140625" style="199" customWidth="1"/>
    <col min="3586" max="3586" width="7.140625" style="199" customWidth="1"/>
    <col min="3587" max="3587" width="36.7109375" style="199" bestFit="1" customWidth="1"/>
    <col min="3588" max="3589" width="9.28515625" style="199" bestFit="1" customWidth="1"/>
    <col min="3590" max="3590" width="12" style="199" customWidth="1"/>
    <col min="3591" max="3591" width="8.42578125" style="199" bestFit="1" customWidth="1"/>
    <col min="3592" max="3592" width="9" style="199" customWidth="1"/>
    <col min="3593" max="3593" width="11.7109375" style="199" customWidth="1"/>
    <col min="3594" max="3594" width="9.28515625" style="199" bestFit="1" customWidth="1"/>
    <col min="3595" max="3595" width="8.42578125" style="199" bestFit="1" customWidth="1"/>
    <col min="3596" max="3596" width="11.7109375" style="199" customWidth="1"/>
    <col min="3597" max="3598" width="8.42578125" style="199" bestFit="1" customWidth="1"/>
    <col min="3599" max="3599" width="11.7109375" style="199" customWidth="1"/>
    <col min="3600" max="3600" width="9" style="199" customWidth="1"/>
    <col min="3601" max="3601" width="8.42578125" style="199" bestFit="1" customWidth="1"/>
    <col min="3602" max="3602" width="11.7109375" style="199" customWidth="1"/>
    <col min="3603" max="3604" width="8.42578125" style="199" bestFit="1" customWidth="1"/>
    <col min="3605" max="3605" width="11.7109375" style="199" customWidth="1"/>
    <col min="3606" max="3607" width="9" style="199" customWidth="1"/>
    <col min="3608" max="3608" width="12" style="199" customWidth="1"/>
    <col min="3609" max="3609" width="9" style="199" bestFit="1" customWidth="1"/>
    <col min="3610" max="3610" width="8" style="199" bestFit="1" customWidth="1"/>
    <col min="3611" max="3611" width="11.7109375" style="199" customWidth="1"/>
    <col min="3612" max="3839" width="11.42578125" style="199"/>
    <col min="3840" max="3840" width="1.5703125" style="199" customWidth="1"/>
    <col min="3841" max="3841" width="21.140625" style="199" customWidth="1"/>
    <col min="3842" max="3842" width="7.140625" style="199" customWidth="1"/>
    <col min="3843" max="3843" width="36.7109375" style="199" bestFit="1" customWidth="1"/>
    <col min="3844" max="3845" width="9.28515625" style="199" bestFit="1" customWidth="1"/>
    <col min="3846" max="3846" width="12" style="199" customWidth="1"/>
    <col min="3847" max="3847" width="8.42578125" style="199" bestFit="1" customWidth="1"/>
    <col min="3848" max="3848" width="9" style="199" customWidth="1"/>
    <col min="3849" max="3849" width="11.7109375" style="199" customWidth="1"/>
    <col min="3850" max="3850" width="9.28515625" style="199" bestFit="1" customWidth="1"/>
    <col min="3851" max="3851" width="8.42578125" style="199" bestFit="1" customWidth="1"/>
    <col min="3852" max="3852" width="11.7109375" style="199" customWidth="1"/>
    <col min="3853" max="3854" width="8.42578125" style="199" bestFit="1" customWidth="1"/>
    <col min="3855" max="3855" width="11.7109375" style="199" customWidth="1"/>
    <col min="3856" max="3856" width="9" style="199" customWidth="1"/>
    <col min="3857" max="3857" width="8.42578125" style="199" bestFit="1" customWidth="1"/>
    <col min="3858" max="3858" width="11.7109375" style="199" customWidth="1"/>
    <col min="3859" max="3860" width="8.42578125" style="199" bestFit="1" customWidth="1"/>
    <col min="3861" max="3861" width="11.7109375" style="199" customWidth="1"/>
    <col min="3862" max="3863" width="9" style="199" customWidth="1"/>
    <col min="3864" max="3864" width="12" style="199" customWidth="1"/>
    <col min="3865" max="3865" width="9" style="199" bestFit="1" customWidth="1"/>
    <col min="3866" max="3866" width="8" style="199" bestFit="1" customWidth="1"/>
    <col min="3867" max="3867" width="11.7109375" style="199" customWidth="1"/>
    <col min="3868" max="4095" width="11.42578125" style="199"/>
    <col min="4096" max="4096" width="1.5703125" style="199" customWidth="1"/>
    <col min="4097" max="4097" width="21.140625" style="199" customWidth="1"/>
    <col min="4098" max="4098" width="7.140625" style="199" customWidth="1"/>
    <col min="4099" max="4099" width="36.7109375" style="199" bestFit="1" customWidth="1"/>
    <col min="4100" max="4101" width="9.28515625" style="199" bestFit="1" customWidth="1"/>
    <col min="4102" max="4102" width="12" style="199" customWidth="1"/>
    <col min="4103" max="4103" width="8.42578125" style="199" bestFit="1" customWidth="1"/>
    <col min="4104" max="4104" width="9" style="199" customWidth="1"/>
    <col min="4105" max="4105" width="11.7109375" style="199" customWidth="1"/>
    <col min="4106" max="4106" width="9.28515625" style="199" bestFit="1" customWidth="1"/>
    <col min="4107" max="4107" width="8.42578125" style="199" bestFit="1" customWidth="1"/>
    <col min="4108" max="4108" width="11.7109375" style="199" customWidth="1"/>
    <col min="4109" max="4110" width="8.42578125" style="199" bestFit="1" customWidth="1"/>
    <col min="4111" max="4111" width="11.7109375" style="199" customWidth="1"/>
    <col min="4112" max="4112" width="9" style="199" customWidth="1"/>
    <col min="4113" max="4113" width="8.42578125" style="199" bestFit="1" customWidth="1"/>
    <col min="4114" max="4114" width="11.7109375" style="199" customWidth="1"/>
    <col min="4115" max="4116" width="8.42578125" style="199" bestFit="1" customWidth="1"/>
    <col min="4117" max="4117" width="11.7109375" style="199" customWidth="1"/>
    <col min="4118" max="4119" width="9" style="199" customWidth="1"/>
    <col min="4120" max="4120" width="12" style="199" customWidth="1"/>
    <col min="4121" max="4121" width="9" style="199" bestFit="1" customWidth="1"/>
    <col min="4122" max="4122" width="8" style="199" bestFit="1" customWidth="1"/>
    <col min="4123" max="4123" width="11.7109375" style="199" customWidth="1"/>
    <col min="4124" max="4351" width="11.42578125" style="199"/>
    <col min="4352" max="4352" width="1.5703125" style="199" customWidth="1"/>
    <col min="4353" max="4353" width="21.140625" style="199" customWidth="1"/>
    <col min="4354" max="4354" width="7.140625" style="199" customWidth="1"/>
    <col min="4355" max="4355" width="36.7109375" style="199" bestFit="1" customWidth="1"/>
    <col min="4356" max="4357" width="9.28515625" style="199" bestFit="1" customWidth="1"/>
    <col min="4358" max="4358" width="12" style="199" customWidth="1"/>
    <col min="4359" max="4359" width="8.42578125" style="199" bestFit="1" customWidth="1"/>
    <col min="4360" max="4360" width="9" style="199" customWidth="1"/>
    <col min="4361" max="4361" width="11.7109375" style="199" customWidth="1"/>
    <col min="4362" max="4362" width="9.28515625" style="199" bestFit="1" customWidth="1"/>
    <col min="4363" max="4363" width="8.42578125" style="199" bestFit="1" customWidth="1"/>
    <col min="4364" max="4364" width="11.7109375" style="199" customWidth="1"/>
    <col min="4365" max="4366" width="8.42578125" style="199" bestFit="1" customWidth="1"/>
    <col min="4367" max="4367" width="11.7109375" style="199" customWidth="1"/>
    <col min="4368" max="4368" width="9" style="199" customWidth="1"/>
    <col min="4369" max="4369" width="8.42578125" style="199" bestFit="1" customWidth="1"/>
    <col min="4370" max="4370" width="11.7109375" style="199" customWidth="1"/>
    <col min="4371" max="4372" width="8.42578125" style="199" bestFit="1" customWidth="1"/>
    <col min="4373" max="4373" width="11.7109375" style="199" customWidth="1"/>
    <col min="4374" max="4375" width="9" style="199" customWidth="1"/>
    <col min="4376" max="4376" width="12" style="199" customWidth="1"/>
    <col min="4377" max="4377" width="9" style="199" bestFit="1" customWidth="1"/>
    <col min="4378" max="4378" width="8" style="199" bestFit="1" customWidth="1"/>
    <col min="4379" max="4379" width="11.7109375" style="199" customWidth="1"/>
    <col min="4380" max="4607" width="11.42578125" style="199"/>
    <col min="4608" max="4608" width="1.5703125" style="199" customWidth="1"/>
    <col min="4609" max="4609" width="21.140625" style="199" customWidth="1"/>
    <col min="4610" max="4610" width="7.140625" style="199" customWidth="1"/>
    <col min="4611" max="4611" width="36.7109375" style="199" bestFit="1" customWidth="1"/>
    <col min="4612" max="4613" width="9.28515625" style="199" bestFit="1" customWidth="1"/>
    <col min="4614" max="4614" width="12" style="199" customWidth="1"/>
    <col min="4615" max="4615" width="8.42578125" style="199" bestFit="1" customWidth="1"/>
    <col min="4616" max="4616" width="9" style="199" customWidth="1"/>
    <col min="4617" max="4617" width="11.7109375" style="199" customWidth="1"/>
    <col min="4618" max="4618" width="9.28515625" style="199" bestFit="1" customWidth="1"/>
    <col min="4619" max="4619" width="8.42578125" style="199" bestFit="1" customWidth="1"/>
    <col min="4620" max="4620" width="11.7109375" style="199" customWidth="1"/>
    <col min="4621" max="4622" width="8.42578125" style="199" bestFit="1" customWidth="1"/>
    <col min="4623" max="4623" width="11.7109375" style="199" customWidth="1"/>
    <col min="4624" max="4624" width="9" style="199" customWidth="1"/>
    <col min="4625" max="4625" width="8.42578125" style="199" bestFit="1" customWidth="1"/>
    <col min="4626" max="4626" width="11.7109375" style="199" customWidth="1"/>
    <col min="4627" max="4628" width="8.42578125" style="199" bestFit="1" customWidth="1"/>
    <col min="4629" max="4629" width="11.7109375" style="199" customWidth="1"/>
    <col min="4630" max="4631" width="9" style="199" customWidth="1"/>
    <col min="4632" max="4632" width="12" style="199" customWidth="1"/>
    <col min="4633" max="4633" width="9" style="199" bestFit="1" customWidth="1"/>
    <col min="4634" max="4634" width="8" style="199" bestFit="1" customWidth="1"/>
    <col min="4635" max="4635" width="11.7109375" style="199" customWidth="1"/>
    <col min="4636" max="4863" width="11.42578125" style="199"/>
    <col min="4864" max="4864" width="1.5703125" style="199" customWidth="1"/>
    <col min="4865" max="4865" width="21.140625" style="199" customWidth="1"/>
    <col min="4866" max="4866" width="7.140625" style="199" customWidth="1"/>
    <col min="4867" max="4867" width="36.7109375" style="199" bestFit="1" customWidth="1"/>
    <col min="4868" max="4869" width="9.28515625" style="199" bestFit="1" customWidth="1"/>
    <col min="4870" max="4870" width="12" style="199" customWidth="1"/>
    <col min="4871" max="4871" width="8.42578125" style="199" bestFit="1" customWidth="1"/>
    <col min="4872" max="4872" width="9" style="199" customWidth="1"/>
    <col min="4873" max="4873" width="11.7109375" style="199" customWidth="1"/>
    <col min="4874" max="4874" width="9.28515625" style="199" bestFit="1" customWidth="1"/>
    <col min="4875" max="4875" width="8.42578125" style="199" bestFit="1" customWidth="1"/>
    <col min="4876" max="4876" width="11.7109375" style="199" customWidth="1"/>
    <col min="4877" max="4878" width="8.42578125" style="199" bestFit="1" customWidth="1"/>
    <col min="4879" max="4879" width="11.7109375" style="199" customWidth="1"/>
    <col min="4880" max="4880" width="9" style="199" customWidth="1"/>
    <col min="4881" max="4881" width="8.42578125" style="199" bestFit="1" customWidth="1"/>
    <col min="4882" max="4882" width="11.7109375" style="199" customWidth="1"/>
    <col min="4883" max="4884" width="8.42578125" style="199" bestFit="1" customWidth="1"/>
    <col min="4885" max="4885" width="11.7109375" style="199" customWidth="1"/>
    <col min="4886" max="4887" width="9" style="199" customWidth="1"/>
    <col min="4888" max="4888" width="12" style="199" customWidth="1"/>
    <col min="4889" max="4889" width="9" style="199" bestFit="1" customWidth="1"/>
    <col min="4890" max="4890" width="8" style="199" bestFit="1" customWidth="1"/>
    <col min="4891" max="4891" width="11.7109375" style="199" customWidth="1"/>
    <col min="4892" max="5119" width="11.42578125" style="199"/>
    <col min="5120" max="5120" width="1.5703125" style="199" customWidth="1"/>
    <col min="5121" max="5121" width="21.140625" style="199" customWidth="1"/>
    <col min="5122" max="5122" width="7.140625" style="199" customWidth="1"/>
    <col min="5123" max="5123" width="36.7109375" style="199" bestFit="1" customWidth="1"/>
    <col min="5124" max="5125" width="9.28515625" style="199" bestFit="1" customWidth="1"/>
    <col min="5126" max="5126" width="12" style="199" customWidth="1"/>
    <col min="5127" max="5127" width="8.42578125" style="199" bestFit="1" customWidth="1"/>
    <col min="5128" max="5128" width="9" style="199" customWidth="1"/>
    <col min="5129" max="5129" width="11.7109375" style="199" customWidth="1"/>
    <col min="5130" max="5130" width="9.28515625" style="199" bestFit="1" customWidth="1"/>
    <col min="5131" max="5131" width="8.42578125" style="199" bestFit="1" customWidth="1"/>
    <col min="5132" max="5132" width="11.7109375" style="199" customWidth="1"/>
    <col min="5133" max="5134" width="8.42578125" style="199" bestFit="1" customWidth="1"/>
    <col min="5135" max="5135" width="11.7109375" style="199" customWidth="1"/>
    <col min="5136" max="5136" width="9" style="199" customWidth="1"/>
    <col min="5137" max="5137" width="8.42578125" style="199" bestFit="1" customWidth="1"/>
    <col min="5138" max="5138" width="11.7109375" style="199" customWidth="1"/>
    <col min="5139" max="5140" width="8.42578125" style="199" bestFit="1" customWidth="1"/>
    <col min="5141" max="5141" width="11.7109375" style="199" customWidth="1"/>
    <col min="5142" max="5143" width="9" style="199" customWidth="1"/>
    <col min="5144" max="5144" width="12" style="199" customWidth="1"/>
    <col min="5145" max="5145" width="9" style="199" bestFit="1" customWidth="1"/>
    <col min="5146" max="5146" width="8" style="199" bestFit="1" customWidth="1"/>
    <col min="5147" max="5147" width="11.7109375" style="199" customWidth="1"/>
    <col min="5148" max="5375" width="11.42578125" style="199"/>
    <col min="5376" max="5376" width="1.5703125" style="199" customWidth="1"/>
    <col min="5377" max="5377" width="21.140625" style="199" customWidth="1"/>
    <col min="5378" max="5378" width="7.140625" style="199" customWidth="1"/>
    <col min="5379" max="5379" width="36.7109375" style="199" bestFit="1" customWidth="1"/>
    <col min="5380" max="5381" width="9.28515625" style="199" bestFit="1" customWidth="1"/>
    <col min="5382" max="5382" width="12" style="199" customWidth="1"/>
    <col min="5383" max="5383" width="8.42578125" style="199" bestFit="1" customWidth="1"/>
    <col min="5384" max="5384" width="9" style="199" customWidth="1"/>
    <col min="5385" max="5385" width="11.7109375" style="199" customWidth="1"/>
    <col min="5386" max="5386" width="9.28515625" style="199" bestFit="1" customWidth="1"/>
    <col min="5387" max="5387" width="8.42578125" style="199" bestFit="1" customWidth="1"/>
    <col min="5388" max="5388" width="11.7109375" style="199" customWidth="1"/>
    <col min="5389" max="5390" width="8.42578125" style="199" bestFit="1" customWidth="1"/>
    <col min="5391" max="5391" width="11.7109375" style="199" customWidth="1"/>
    <col min="5392" max="5392" width="9" style="199" customWidth="1"/>
    <col min="5393" max="5393" width="8.42578125" style="199" bestFit="1" customWidth="1"/>
    <col min="5394" max="5394" width="11.7109375" style="199" customWidth="1"/>
    <col min="5395" max="5396" width="8.42578125" style="199" bestFit="1" customWidth="1"/>
    <col min="5397" max="5397" width="11.7109375" style="199" customWidth="1"/>
    <col min="5398" max="5399" width="9" style="199" customWidth="1"/>
    <col min="5400" max="5400" width="12" style="199" customWidth="1"/>
    <col min="5401" max="5401" width="9" style="199" bestFit="1" customWidth="1"/>
    <col min="5402" max="5402" width="8" style="199" bestFit="1" customWidth="1"/>
    <col min="5403" max="5403" width="11.7109375" style="199" customWidth="1"/>
    <col min="5404" max="5631" width="11.42578125" style="199"/>
    <col min="5632" max="5632" width="1.5703125" style="199" customWidth="1"/>
    <col min="5633" max="5633" width="21.140625" style="199" customWidth="1"/>
    <col min="5634" max="5634" width="7.140625" style="199" customWidth="1"/>
    <col min="5635" max="5635" width="36.7109375" style="199" bestFit="1" customWidth="1"/>
    <col min="5636" max="5637" width="9.28515625" style="199" bestFit="1" customWidth="1"/>
    <col min="5638" max="5638" width="12" style="199" customWidth="1"/>
    <col min="5639" max="5639" width="8.42578125" style="199" bestFit="1" customWidth="1"/>
    <col min="5640" max="5640" width="9" style="199" customWidth="1"/>
    <col min="5641" max="5641" width="11.7109375" style="199" customWidth="1"/>
    <col min="5642" max="5642" width="9.28515625" style="199" bestFit="1" customWidth="1"/>
    <col min="5643" max="5643" width="8.42578125" style="199" bestFit="1" customWidth="1"/>
    <col min="5644" max="5644" width="11.7109375" style="199" customWidth="1"/>
    <col min="5645" max="5646" width="8.42578125" style="199" bestFit="1" customWidth="1"/>
    <col min="5647" max="5647" width="11.7109375" style="199" customWidth="1"/>
    <col min="5648" max="5648" width="9" style="199" customWidth="1"/>
    <col min="5649" max="5649" width="8.42578125" style="199" bestFit="1" customWidth="1"/>
    <col min="5650" max="5650" width="11.7109375" style="199" customWidth="1"/>
    <col min="5651" max="5652" width="8.42578125" style="199" bestFit="1" customWidth="1"/>
    <col min="5653" max="5653" width="11.7109375" style="199" customWidth="1"/>
    <col min="5654" max="5655" width="9" style="199" customWidth="1"/>
    <col min="5656" max="5656" width="12" style="199" customWidth="1"/>
    <col min="5657" max="5657" width="9" style="199" bestFit="1" customWidth="1"/>
    <col min="5658" max="5658" width="8" style="199" bestFit="1" customWidth="1"/>
    <col min="5659" max="5659" width="11.7109375" style="199" customWidth="1"/>
    <col min="5660" max="5887" width="11.42578125" style="199"/>
    <col min="5888" max="5888" width="1.5703125" style="199" customWidth="1"/>
    <col min="5889" max="5889" width="21.140625" style="199" customWidth="1"/>
    <col min="5890" max="5890" width="7.140625" style="199" customWidth="1"/>
    <col min="5891" max="5891" width="36.7109375" style="199" bestFit="1" customWidth="1"/>
    <col min="5892" max="5893" width="9.28515625" style="199" bestFit="1" customWidth="1"/>
    <col min="5894" max="5894" width="12" style="199" customWidth="1"/>
    <col min="5895" max="5895" width="8.42578125" style="199" bestFit="1" customWidth="1"/>
    <col min="5896" max="5896" width="9" style="199" customWidth="1"/>
    <col min="5897" max="5897" width="11.7109375" style="199" customWidth="1"/>
    <col min="5898" max="5898" width="9.28515625" style="199" bestFit="1" customWidth="1"/>
    <col min="5899" max="5899" width="8.42578125" style="199" bestFit="1" customWidth="1"/>
    <col min="5900" max="5900" width="11.7109375" style="199" customWidth="1"/>
    <col min="5901" max="5902" width="8.42578125" style="199" bestFit="1" customWidth="1"/>
    <col min="5903" max="5903" width="11.7109375" style="199" customWidth="1"/>
    <col min="5904" max="5904" width="9" style="199" customWidth="1"/>
    <col min="5905" max="5905" width="8.42578125" style="199" bestFit="1" customWidth="1"/>
    <col min="5906" max="5906" width="11.7109375" style="199" customWidth="1"/>
    <col min="5907" max="5908" width="8.42578125" style="199" bestFit="1" customWidth="1"/>
    <col min="5909" max="5909" width="11.7109375" style="199" customWidth="1"/>
    <col min="5910" max="5911" width="9" style="199" customWidth="1"/>
    <col min="5912" max="5912" width="12" style="199" customWidth="1"/>
    <col min="5913" max="5913" width="9" style="199" bestFit="1" customWidth="1"/>
    <col min="5914" max="5914" width="8" style="199" bestFit="1" customWidth="1"/>
    <col min="5915" max="5915" width="11.7109375" style="199" customWidth="1"/>
    <col min="5916" max="6143" width="11.42578125" style="199"/>
    <col min="6144" max="6144" width="1.5703125" style="199" customWidth="1"/>
    <col min="6145" max="6145" width="21.140625" style="199" customWidth="1"/>
    <col min="6146" max="6146" width="7.140625" style="199" customWidth="1"/>
    <col min="6147" max="6147" width="36.7109375" style="199" bestFit="1" customWidth="1"/>
    <col min="6148" max="6149" width="9.28515625" style="199" bestFit="1" customWidth="1"/>
    <col min="6150" max="6150" width="12" style="199" customWidth="1"/>
    <col min="6151" max="6151" width="8.42578125" style="199" bestFit="1" customWidth="1"/>
    <col min="6152" max="6152" width="9" style="199" customWidth="1"/>
    <col min="6153" max="6153" width="11.7109375" style="199" customWidth="1"/>
    <col min="6154" max="6154" width="9.28515625" style="199" bestFit="1" customWidth="1"/>
    <col min="6155" max="6155" width="8.42578125" style="199" bestFit="1" customWidth="1"/>
    <col min="6156" max="6156" width="11.7109375" style="199" customWidth="1"/>
    <col min="6157" max="6158" width="8.42578125" style="199" bestFit="1" customWidth="1"/>
    <col min="6159" max="6159" width="11.7109375" style="199" customWidth="1"/>
    <col min="6160" max="6160" width="9" style="199" customWidth="1"/>
    <col min="6161" max="6161" width="8.42578125" style="199" bestFit="1" customWidth="1"/>
    <col min="6162" max="6162" width="11.7109375" style="199" customWidth="1"/>
    <col min="6163" max="6164" width="8.42578125" style="199" bestFit="1" customWidth="1"/>
    <col min="6165" max="6165" width="11.7109375" style="199" customWidth="1"/>
    <col min="6166" max="6167" width="9" style="199" customWidth="1"/>
    <col min="6168" max="6168" width="12" style="199" customWidth="1"/>
    <col min="6169" max="6169" width="9" style="199" bestFit="1" customWidth="1"/>
    <col min="6170" max="6170" width="8" style="199" bestFit="1" customWidth="1"/>
    <col min="6171" max="6171" width="11.7109375" style="199" customWidth="1"/>
    <col min="6172" max="6399" width="11.42578125" style="199"/>
    <col min="6400" max="6400" width="1.5703125" style="199" customWidth="1"/>
    <col min="6401" max="6401" width="21.140625" style="199" customWidth="1"/>
    <col min="6402" max="6402" width="7.140625" style="199" customWidth="1"/>
    <col min="6403" max="6403" width="36.7109375" style="199" bestFit="1" customWidth="1"/>
    <col min="6404" max="6405" width="9.28515625" style="199" bestFit="1" customWidth="1"/>
    <col min="6406" max="6406" width="12" style="199" customWidth="1"/>
    <col min="6407" max="6407" width="8.42578125" style="199" bestFit="1" customWidth="1"/>
    <col min="6408" max="6408" width="9" style="199" customWidth="1"/>
    <col min="6409" max="6409" width="11.7109375" style="199" customWidth="1"/>
    <col min="6410" max="6410" width="9.28515625" style="199" bestFit="1" customWidth="1"/>
    <col min="6411" max="6411" width="8.42578125" style="199" bestFit="1" customWidth="1"/>
    <col min="6412" max="6412" width="11.7109375" style="199" customWidth="1"/>
    <col min="6413" max="6414" width="8.42578125" style="199" bestFit="1" customWidth="1"/>
    <col min="6415" max="6415" width="11.7109375" style="199" customWidth="1"/>
    <col min="6416" max="6416" width="9" style="199" customWidth="1"/>
    <col min="6417" max="6417" width="8.42578125" style="199" bestFit="1" customWidth="1"/>
    <col min="6418" max="6418" width="11.7109375" style="199" customWidth="1"/>
    <col min="6419" max="6420" width="8.42578125" style="199" bestFit="1" customWidth="1"/>
    <col min="6421" max="6421" width="11.7109375" style="199" customWidth="1"/>
    <col min="6422" max="6423" width="9" style="199" customWidth="1"/>
    <col min="6424" max="6424" width="12" style="199" customWidth="1"/>
    <col min="6425" max="6425" width="9" style="199" bestFit="1" customWidth="1"/>
    <col min="6426" max="6426" width="8" style="199" bestFit="1" customWidth="1"/>
    <col min="6427" max="6427" width="11.7109375" style="199" customWidth="1"/>
    <col min="6428" max="6655" width="11.42578125" style="199"/>
    <col min="6656" max="6656" width="1.5703125" style="199" customWidth="1"/>
    <col min="6657" max="6657" width="21.140625" style="199" customWidth="1"/>
    <col min="6658" max="6658" width="7.140625" style="199" customWidth="1"/>
    <col min="6659" max="6659" width="36.7109375" style="199" bestFit="1" customWidth="1"/>
    <col min="6660" max="6661" width="9.28515625" style="199" bestFit="1" customWidth="1"/>
    <col min="6662" max="6662" width="12" style="199" customWidth="1"/>
    <col min="6663" max="6663" width="8.42578125" style="199" bestFit="1" customWidth="1"/>
    <col min="6664" max="6664" width="9" style="199" customWidth="1"/>
    <col min="6665" max="6665" width="11.7109375" style="199" customWidth="1"/>
    <col min="6666" max="6666" width="9.28515625" style="199" bestFit="1" customWidth="1"/>
    <col min="6667" max="6667" width="8.42578125" style="199" bestFit="1" customWidth="1"/>
    <col min="6668" max="6668" width="11.7109375" style="199" customWidth="1"/>
    <col min="6669" max="6670" width="8.42578125" style="199" bestFit="1" customWidth="1"/>
    <col min="6671" max="6671" width="11.7109375" style="199" customWidth="1"/>
    <col min="6672" max="6672" width="9" style="199" customWidth="1"/>
    <col min="6673" max="6673" width="8.42578125" style="199" bestFit="1" customWidth="1"/>
    <col min="6674" max="6674" width="11.7109375" style="199" customWidth="1"/>
    <col min="6675" max="6676" width="8.42578125" style="199" bestFit="1" customWidth="1"/>
    <col min="6677" max="6677" width="11.7109375" style="199" customWidth="1"/>
    <col min="6678" max="6679" width="9" style="199" customWidth="1"/>
    <col min="6680" max="6680" width="12" style="199" customWidth="1"/>
    <col min="6681" max="6681" width="9" style="199" bestFit="1" customWidth="1"/>
    <col min="6682" max="6682" width="8" style="199" bestFit="1" customWidth="1"/>
    <col min="6683" max="6683" width="11.7109375" style="199" customWidth="1"/>
    <col min="6684" max="6911" width="11.42578125" style="199"/>
    <col min="6912" max="6912" width="1.5703125" style="199" customWidth="1"/>
    <col min="6913" max="6913" width="21.140625" style="199" customWidth="1"/>
    <col min="6914" max="6914" width="7.140625" style="199" customWidth="1"/>
    <col min="6915" max="6915" width="36.7109375" style="199" bestFit="1" customWidth="1"/>
    <col min="6916" max="6917" width="9.28515625" style="199" bestFit="1" customWidth="1"/>
    <col min="6918" max="6918" width="12" style="199" customWidth="1"/>
    <col min="6919" max="6919" width="8.42578125" style="199" bestFit="1" customWidth="1"/>
    <col min="6920" max="6920" width="9" style="199" customWidth="1"/>
    <col min="6921" max="6921" width="11.7109375" style="199" customWidth="1"/>
    <col min="6922" max="6922" width="9.28515625" style="199" bestFit="1" customWidth="1"/>
    <col min="6923" max="6923" width="8.42578125" style="199" bestFit="1" customWidth="1"/>
    <col min="6924" max="6924" width="11.7109375" style="199" customWidth="1"/>
    <col min="6925" max="6926" width="8.42578125" style="199" bestFit="1" customWidth="1"/>
    <col min="6927" max="6927" width="11.7109375" style="199" customWidth="1"/>
    <col min="6928" max="6928" width="9" style="199" customWidth="1"/>
    <col min="6929" max="6929" width="8.42578125" style="199" bestFit="1" customWidth="1"/>
    <col min="6930" max="6930" width="11.7109375" style="199" customWidth="1"/>
    <col min="6931" max="6932" width="8.42578125" style="199" bestFit="1" customWidth="1"/>
    <col min="6933" max="6933" width="11.7109375" style="199" customWidth="1"/>
    <col min="6934" max="6935" width="9" style="199" customWidth="1"/>
    <col min="6936" max="6936" width="12" style="199" customWidth="1"/>
    <col min="6937" max="6937" width="9" style="199" bestFit="1" customWidth="1"/>
    <col min="6938" max="6938" width="8" style="199" bestFit="1" customWidth="1"/>
    <col min="6939" max="6939" width="11.7109375" style="199" customWidth="1"/>
    <col min="6940" max="7167" width="11.42578125" style="199"/>
    <col min="7168" max="7168" width="1.5703125" style="199" customWidth="1"/>
    <col min="7169" max="7169" width="21.140625" style="199" customWidth="1"/>
    <col min="7170" max="7170" width="7.140625" style="199" customWidth="1"/>
    <col min="7171" max="7171" width="36.7109375" style="199" bestFit="1" customWidth="1"/>
    <col min="7172" max="7173" width="9.28515625" style="199" bestFit="1" customWidth="1"/>
    <col min="7174" max="7174" width="12" style="199" customWidth="1"/>
    <col min="7175" max="7175" width="8.42578125" style="199" bestFit="1" customWidth="1"/>
    <col min="7176" max="7176" width="9" style="199" customWidth="1"/>
    <col min="7177" max="7177" width="11.7109375" style="199" customWidth="1"/>
    <col min="7178" max="7178" width="9.28515625" style="199" bestFit="1" customWidth="1"/>
    <col min="7179" max="7179" width="8.42578125" style="199" bestFit="1" customWidth="1"/>
    <col min="7180" max="7180" width="11.7109375" style="199" customWidth="1"/>
    <col min="7181" max="7182" width="8.42578125" style="199" bestFit="1" customWidth="1"/>
    <col min="7183" max="7183" width="11.7109375" style="199" customWidth="1"/>
    <col min="7184" max="7184" width="9" style="199" customWidth="1"/>
    <col min="7185" max="7185" width="8.42578125" style="199" bestFit="1" customWidth="1"/>
    <col min="7186" max="7186" width="11.7109375" style="199" customWidth="1"/>
    <col min="7187" max="7188" width="8.42578125" style="199" bestFit="1" customWidth="1"/>
    <col min="7189" max="7189" width="11.7109375" style="199" customWidth="1"/>
    <col min="7190" max="7191" width="9" style="199" customWidth="1"/>
    <col min="7192" max="7192" width="12" style="199" customWidth="1"/>
    <col min="7193" max="7193" width="9" style="199" bestFit="1" customWidth="1"/>
    <col min="7194" max="7194" width="8" style="199" bestFit="1" customWidth="1"/>
    <col min="7195" max="7195" width="11.7109375" style="199" customWidth="1"/>
    <col min="7196" max="7423" width="11.42578125" style="199"/>
    <col min="7424" max="7424" width="1.5703125" style="199" customWidth="1"/>
    <col min="7425" max="7425" width="21.140625" style="199" customWidth="1"/>
    <col min="7426" max="7426" width="7.140625" style="199" customWidth="1"/>
    <col min="7427" max="7427" width="36.7109375" style="199" bestFit="1" customWidth="1"/>
    <col min="7428" max="7429" width="9.28515625" style="199" bestFit="1" customWidth="1"/>
    <col min="7430" max="7430" width="12" style="199" customWidth="1"/>
    <col min="7431" max="7431" width="8.42578125" style="199" bestFit="1" customWidth="1"/>
    <col min="7432" max="7432" width="9" style="199" customWidth="1"/>
    <col min="7433" max="7433" width="11.7109375" style="199" customWidth="1"/>
    <col min="7434" max="7434" width="9.28515625" style="199" bestFit="1" customWidth="1"/>
    <col min="7435" max="7435" width="8.42578125" style="199" bestFit="1" customWidth="1"/>
    <col min="7436" max="7436" width="11.7109375" style="199" customWidth="1"/>
    <col min="7437" max="7438" width="8.42578125" style="199" bestFit="1" customWidth="1"/>
    <col min="7439" max="7439" width="11.7109375" style="199" customWidth="1"/>
    <col min="7440" max="7440" width="9" style="199" customWidth="1"/>
    <col min="7441" max="7441" width="8.42578125" style="199" bestFit="1" customWidth="1"/>
    <col min="7442" max="7442" width="11.7109375" style="199" customWidth="1"/>
    <col min="7443" max="7444" width="8.42578125" style="199" bestFit="1" customWidth="1"/>
    <col min="7445" max="7445" width="11.7109375" style="199" customWidth="1"/>
    <col min="7446" max="7447" width="9" style="199" customWidth="1"/>
    <col min="7448" max="7448" width="12" style="199" customWidth="1"/>
    <col min="7449" max="7449" width="9" style="199" bestFit="1" customWidth="1"/>
    <col min="7450" max="7450" width="8" style="199" bestFit="1" customWidth="1"/>
    <col min="7451" max="7451" width="11.7109375" style="199" customWidth="1"/>
    <col min="7452" max="7679" width="11.42578125" style="199"/>
    <col min="7680" max="7680" width="1.5703125" style="199" customWidth="1"/>
    <col min="7681" max="7681" width="21.140625" style="199" customWidth="1"/>
    <col min="7682" max="7682" width="7.140625" style="199" customWidth="1"/>
    <col min="7683" max="7683" width="36.7109375" style="199" bestFit="1" customWidth="1"/>
    <col min="7684" max="7685" width="9.28515625" style="199" bestFit="1" customWidth="1"/>
    <col min="7686" max="7686" width="12" style="199" customWidth="1"/>
    <col min="7687" max="7687" width="8.42578125" style="199" bestFit="1" customWidth="1"/>
    <col min="7688" max="7688" width="9" style="199" customWidth="1"/>
    <col min="7689" max="7689" width="11.7109375" style="199" customWidth="1"/>
    <col min="7690" max="7690" width="9.28515625" style="199" bestFit="1" customWidth="1"/>
    <col min="7691" max="7691" width="8.42578125" style="199" bestFit="1" customWidth="1"/>
    <col min="7692" max="7692" width="11.7109375" style="199" customWidth="1"/>
    <col min="7693" max="7694" width="8.42578125" style="199" bestFit="1" customWidth="1"/>
    <col min="7695" max="7695" width="11.7109375" style="199" customWidth="1"/>
    <col min="7696" max="7696" width="9" style="199" customWidth="1"/>
    <col min="7697" max="7697" width="8.42578125" style="199" bestFit="1" customWidth="1"/>
    <col min="7698" max="7698" width="11.7109375" style="199" customWidth="1"/>
    <col min="7699" max="7700" width="8.42578125" style="199" bestFit="1" customWidth="1"/>
    <col min="7701" max="7701" width="11.7109375" style="199" customWidth="1"/>
    <col min="7702" max="7703" width="9" style="199" customWidth="1"/>
    <col min="7704" max="7704" width="12" style="199" customWidth="1"/>
    <col min="7705" max="7705" width="9" style="199" bestFit="1" customWidth="1"/>
    <col min="7706" max="7706" width="8" style="199" bestFit="1" customWidth="1"/>
    <col min="7707" max="7707" width="11.7109375" style="199" customWidth="1"/>
    <col min="7708" max="7935" width="11.42578125" style="199"/>
    <col min="7936" max="7936" width="1.5703125" style="199" customWidth="1"/>
    <col min="7937" max="7937" width="21.140625" style="199" customWidth="1"/>
    <col min="7938" max="7938" width="7.140625" style="199" customWidth="1"/>
    <col min="7939" max="7939" width="36.7109375" style="199" bestFit="1" customWidth="1"/>
    <col min="7940" max="7941" width="9.28515625" style="199" bestFit="1" customWidth="1"/>
    <col min="7942" max="7942" width="12" style="199" customWidth="1"/>
    <col min="7943" max="7943" width="8.42578125" style="199" bestFit="1" customWidth="1"/>
    <col min="7944" max="7944" width="9" style="199" customWidth="1"/>
    <col min="7945" max="7945" width="11.7109375" style="199" customWidth="1"/>
    <col min="7946" max="7946" width="9.28515625" style="199" bestFit="1" customWidth="1"/>
    <col min="7947" max="7947" width="8.42578125" style="199" bestFit="1" customWidth="1"/>
    <col min="7948" max="7948" width="11.7109375" style="199" customWidth="1"/>
    <col min="7949" max="7950" width="8.42578125" style="199" bestFit="1" customWidth="1"/>
    <col min="7951" max="7951" width="11.7109375" style="199" customWidth="1"/>
    <col min="7952" max="7952" width="9" style="199" customWidth="1"/>
    <col min="7953" max="7953" width="8.42578125" style="199" bestFit="1" customWidth="1"/>
    <col min="7954" max="7954" width="11.7109375" style="199" customWidth="1"/>
    <col min="7955" max="7956" width="8.42578125" style="199" bestFit="1" customWidth="1"/>
    <col min="7957" max="7957" width="11.7109375" style="199" customWidth="1"/>
    <col min="7958" max="7959" width="9" style="199" customWidth="1"/>
    <col min="7960" max="7960" width="12" style="199" customWidth="1"/>
    <col min="7961" max="7961" width="9" style="199" bestFit="1" customWidth="1"/>
    <col min="7962" max="7962" width="8" style="199" bestFit="1" customWidth="1"/>
    <col min="7963" max="7963" width="11.7109375" style="199" customWidth="1"/>
    <col min="7964" max="8191" width="11.42578125" style="199"/>
    <col min="8192" max="8192" width="1.5703125" style="199" customWidth="1"/>
    <col min="8193" max="8193" width="21.140625" style="199" customWidth="1"/>
    <col min="8194" max="8194" width="7.140625" style="199" customWidth="1"/>
    <col min="8195" max="8195" width="36.7109375" style="199" bestFit="1" customWidth="1"/>
    <col min="8196" max="8197" width="9.28515625" style="199" bestFit="1" customWidth="1"/>
    <col min="8198" max="8198" width="12" style="199" customWidth="1"/>
    <col min="8199" max="8199" width="8.42578125" style="199" bestFit="1" customWidth="1"/>
    <col min="8200" max="8200" width="9" style="199" customWidth="1"/>
    <col min="8201" max="8201" width="11.7109375" style="199" customWidth="1"/>
    <col min="8202" max="8202" width="9.28515625" style="199" bestFit="1" customWidth="1"/>
    <col min="8203" max="8203" width="8.42578125" style="199" bestFit="1" customWidth="1"/>
    <col min="8204" max="8204" width="11.7109375" style="199" customWidth="1"/>
    <col min="8205" max="8206" width="8.42578125" style="199" bestFit="1" customWidth="1"/>
    <col min="8207" max="8207" width="11.7109375" style="199" customWidth="1"/>
    <col min="8208" max="8208" width="9" style="199" customWidth="1"/>
    <col min="8209" max="8209" width="8.42578125" style="199" bestFit="1" customWidth="1"/>
    <col min="8210" max="8210" width="11.7109375" style="199" customWidth="1"/>
    <col min="8211" max="8212" width="8.42578125" style="199" bestFit="1" customWidth="1"/>
    <col min="8213" max="8213" width="11.7109375" style="199" customWidth="1"/>
    <col min="8214" max="8215" width="9" style="199" customWidth="1"/>
    <col min="8216" max="8216" width="12" style="199" customWidth="1"/>
    <col min="8217" max="8217" width="9" style="199" bestFit="1" customWidth="1"/>
    <col min="8218" max="8218" width="8" style="199" bestFit="1" customWidth="1"/>
    <col min="8219" max="8219" width="11.7109375" style="199" customWidth="1"/>
    <col min="8220" max="8447" width="11.42578125" style="199"/>
    <col min="8448" max="8448" width="1.5703125" style="199" customWidth="1"/>
    <col min="8449" max="8449" width="21.140625" style="199" customWidth="1"/>
    <col min="8450" max="8450" width="7.140625" style="199" customWidth="1"/>
    <col min="8451" max="8451" width="36.7109375" style="199" bestFit="1" customWidth="1"/>
    <col min="8452" max="8453" width="9.28515625" style="199" bestFit="1" customWidth="1"/>
    <col min="8454" max="8454" width="12" style="199" customWidth="1"/>
    <col min="8455" max="8455" width="8.42578125" style="199" bestFit="1" customWidth="1"/>
    <col min="8456" max="8456" width="9" style="199" customWidth="1"/>
    <col min="8457" max="8457" width="11.7109375" style="199" customWidth="1"/>
    <col min="8458" max="8458" width="9.28515625" style="199" bestFit="1" customWidth="1"/>
    <col min="8459" max="8459" width="8.42578125" style="199" bestFit="1" customWidth="1"/>
    <col min="8460" max="8460" width="11.7109375" style="199" customWidth="1"/>
    <col min="8461" max="8462" width="8.42578125" style="199" bestFit="1" customWidth="1"/>
    <col min="8463" max="8463" width="11.7109375" style="199" customWidth="1"/>
    <col min="8464" max="8464" width="9" style="199" customWidth="1"/>
    <col min="8465" max="8465" width="8.42578125" style="199" bestFit="1" customWidth="1"/>
    <col min="8466" max="8466" width="11.7109375" style="199" customWidth="1"/>
    <col min="8467" max="8468" width="8.42578125" style="199" bestFit="1" customWidth="1"/>
    <col min="8469" max="8469" width="11.7109375" style="199" customWidth="1"/>
    <col min="8470" max="8471" width="9" style="199" customWidth="1"/>
    <col min="8472" max="8472" width="12" style="199" customWidth="1"/>
    <col min="8473" max="8473" width="9" style="199" bestFit="1" customWidth="1"/>
    <col min="8474" max="8474" width="8" style="199" bestFit="1" customWidth="1"/>
    <col min="8475" max="8475" width="11.7109375" style="199" customWidth="1"/>
    <col min="8476" max="8703" width="11.42578125" style="199"/>
    <col min="8704" max="8704" width="1.5703125" style="199" customWidth="1"/>
    <col min="8705" max="8705" width="21.140625" style="199" customWidth="1"/>
    <col min="8706" max="8706" width="7.140625" style="199" customWidth="1"/>
    <col min="8707" max="8707" width="36.7109375" style="199" bestFit="1" customWidth="1"/>
    <col min="8708" max="8709" width="9.28515625" style="199" bestFit="1" customWidth="1"/>
    <col min="8710" max="8710" width="12" style="199" customWidth="1"/>
    <col min="8711" max="8711" width="8.42578125" style="199" bestFit="1" customWidth="1"/>
    <col min="8712" max="8712" width="9" style="199" customWidth="1"/>
    <col min="8713" max="8713" width="11.7109375" style="199" customWidth="1"/>
    <col min="8714" max="8714" width="9.28515625" style="199" bestFit="1" customWidth="1"/>
    <col min="8715" max="8715" width="8.42578125" style="199" bestFit="1" customWidth="1"/>
    <col min="8716" max="8716" width="11.7109375" style="199" customWidth="1"/>
    <col min="8717" max="8718" width="8.42578125" style="199" bestFit="1" customWidth="1"/>
    <col min="8719" max="8719" width="11.7109375" style="199" customWidth="1"/>
    <col min="8720" max="8720" width="9" style="199" customWidth="1"/>
    <col min="8721" max="8721" width="8.42578125" style="199" bestFit="1" customWidth="1"/>
    <col min="8722" max="8722" width="11.7109375" style="199" customWidth="1"/>
    <col min="8723" max="8724" width="8.42578125" style="199" bestFit="1" customWidth="1"/>
    <col min="8725" max="8725" width="11.7109375" style="199" customWidth="1"/>
    <col min="8726" max="8727" width="9" style="199" customWidth="1"/>
    <col min="8728" max="8728" width="12" style="199" customWidth="1"/>
    <col min="8729" max="8729" width="9" style="199" bestFit="1" customWidth="1"/>
    <col min="8730" max="8730" width="8" style="199" bestFit="1" customWidth="1"/>
    <col min="8731" max="8731" width="11.7109375" style="199" customWidth="1"/>
    <col min="8732" max="8959" width="11.42578125" style="199"/>
    <col min="8960" max="8960" width="1.5703125" style="199" customWidth="1"/>
    <col min="8961" max="8961" width="21.140625" style="199" customWidth="1"/>
    <col min="8962" max="8962" width="7.140625" style="199" customWidth="1"/>
    <col min="8963" max="8963" width="36.7109375" style="199" bestFit="1" customWidth="1"/>
    <col min="8964" max="8965" width="9.28515625" style="199" bestFit="1" customWidth="1"/>
    <col min="8966" max="8966" width="12" style="199" customWidth="1"/>
    <col min="8967" max="8967" width="8.42578125" style="199" bestFit="1" customWidth="1"/>
    <col min="8968" max="8968" width="9" style="199" customWidth="1"/>
    <col min="8969" max="8969" width="11.7109375" style="199" customWidth="1"/>
    <col min="8970" max="8970" width="9.28515625" style="199" bestFit="1" customWidth="1"/>
    <col min="8971" max="8971" width="8.42578125" style="199" bestFit="1" customWidth="1"/>
    <col min="8972" max="8972" width="11.7109375" style="199" customWidth="1"/>
    <col min="8973" max="8974" width="8.42578125" style="199" bestFit="1" customWidth="1"/>
    <col min="8975" max="8975" width="11.7109375" style="199" customWidth="1"/>
    <col min="8976" max="8976" width="9" style="199" customWidth="1"/>
    <col min="8977" max="8977" width="8.42578125" style="199" bestFit="1" customWidth="1"/>
    <col min="8978" max="8978" width="11.7109375" style="199" customWidth="1"/>
    <col min="8979" max="8980" width="8.42578125" style="199" bestFit="1" customWidth="1"/>
    <col min="8981" max="8981" width="11.7109375" style="199" customWidth="1"/>
    <col min="8982" max="8983" width="9" style="199" customWidth="1"/>
    <col min="8984" max="8984" width="12" style="199" customWidth="1"/>
    <col min="8985" max="8985" width="9" style="199" bestFit="1" customWidth="1"/>
    <col min="8986" max="8986" width="8" style="199" bestFit="1" customWidth="1"/>
    <col min="8987" max="8987" width="11.7109375" style="199" customWidth="1"/>
    <col min="8988" max="9215" width="11.42578125" style="199"/>
    <col min="9216" max="9216" width="1.5703125" style="199" customWidth="1"/>
    <col min="9217" max="9217" width="21.140625" style="199" customWidth="1"/>
    <col min="9218" max="9218" width="7.140625" style="199" customWidth="1"/>
    <col min="9219" max="9219" width="36.7109375" style="199" bestFit="1" customWidth="1"/>
    <col min="9220" max="9221" width="9.28515625" style="199" bestFit="1" customWidth="1"/>
    <col min="9222" max="9222" width="12" style="199" customWidth="1"/>
    <col min="9223" max="9223" width="8.42578125" style="199" bestFit="1" customWidth="1"/>
    <col min="9224" max="9224" width="9" style="199" customWidth="1"/>
    <col min="9225" max="9225" width="11.7109375" style="199" customWidth="1"/>
    <col min="9226" max="9226" width="9.28515625" style="199" bestFit="1" customWidth="1"/>
    <col min="9227" max="9227" width="8.42578125" style="199" bestFit="1" customWidth="1"/>
    <col min="9228" max="9228" width="11.7109375" style="199" customWidth="1"/>
    <col min="9229" max="9230" width="8.42578125" style="199" bestFit="1" customWidth="1"/>
    <col min="9231" max="9231" width="11.7109375" style="199" customWidth="1"/>
    <col min="9232" max="9232" width="9" style="199" customWidth="1"/>
    <col min="9233" max="9233" width="8.42578125" style="199" bestFit="1" customWidth="1"/>
    <col min="9234" max="9234" width="11.7109375" style="199" customWidth="1"/>
    <col min="9235" max="9236" width="8.42578125" style="199" bestFit="1" customWidth="1"/>
    <col min="9237" max="9237" width="11.7109375" style="199" customWidth="1"/>
    <col min="9238" max="9239" width="9" style="199" customWidth="1"/>
    <col min="9240" max="9240" width="12" style="199" customWidth="1"/>
    <col min="9241" max="9241" width="9" style="199" bestFit="1" customWidth="1"/>
    <col min="9242" max="9242" width="8" style="199" bestFit="1" customWidth="1"/>
    <col min="9243" max="9243" width="11.7109375" style="199" customWidth="1"/>
    <col min="9244" max="9471" width="11.42578125" style="199"/>
    <col min="9472" max="9472" width="1.5703125" style="199" customWidth="1"/>
    <col min="9473" max="9473" width="21.140625" style="199" customWidth="1"/>
    <col min="9474" max="9474" width="7.140625" style="199" customWidth="1"/>
    <col min="9475" max="9475" width="36.7109375" style="199" bestFit="1" customWidth="1"/>
    <col min="9476" max="9477" width="9.28515625" style="199" bestFit="1" customWidth="1"/>
    <col min="9478" max="9478" width="12" style="199" customWidth="1"/>
    <col min="9479" max="9479" width="8.42578125" style="199" bestFit="1" customWidth="1"/>
    <col min="9480" max="9480" width="9" style="199" customWidth="1"/>
    <col min="9481" max="9481" width="11.7109375" style="199" customWidth="1"/>
    <col min="9482" max="9482" width="9.28515625" style="199" bestFit="1" customWidth="1"/>
    <col min="9483" max="9483" width="8.42578125" style="199" bestFit="1" customWidth="1"/>
    <col min="9484" max="9484" width="11.7109375" style="199" customWidth="1"/>
    <col min="9485" max="9486" width="8.42578125" style="199" bestFit="1" customWidth="1"/>
    <col min="9487" max="9487" width="11.7109375" style="199" customWidth="1"/>
    <col min="9488" max="9488" width="9" style="199" customWidth="1"/>
    <col min="9489" max="9489" width="8.42578125" style="199" bestFit="1" customWidth="1"/>
    <col min="9490" max="9490" width="11.7109375" style="199" customWidth="1"/>
    <col min="9491" max="9492" width="8.42578125" style="199" bestFit="1" customWidth="1"/>
    <col min="9493" max="9493" width="11.7109375" style="199" customWidth="1"/>
    <col min="9494" max="9495" width="9" style="199" customWidth="1"/>
    <col min="9496" max="9496" width="12" style="199" customWidth="1"/>
    <col min="9497" max="9497" width="9" style="199" bestFit="1" customWidth="1"/>
    <col min="9498" max="9498" width="8" style="199" bestFit="1" customWidth="1"/>
    <col min="9499" max="9499" width="11.7109375" style="199" customWidth="1"/>
    <col min="9500" max="9727" width="11.42578125" style="199"/>
    <col min="9728" max="9728" width="1.5703125" style="199" customWidth="1"/>
    <col min="9729" max="9729" width="21.140625" style="199" customWidth="1"/>
    <col min="9730" max="9730" width="7.140625" style="199" customWidth="1"/>
    <col min="9731" max="9731" width="36.7109375" style="199" bestFit="1" customWidth="1"/>
    <col min="9732" max="9733" width="9.28515625" style="199" bestFit="1" customWidth="1"/>
    <col min="9734" max="9734" width="12" style="199" customWidth="1"/>
    <col min="9735" max="9735" width="8.42578125" style="199" bestFit="1" customWidth="1"/>
    <col min="9736" max="9736" width="9" style="199" customWidth="1"/>
    <col min="9737" max="9737" width="11.7109375" style="199" customWidth="1"/>
    <col min="9738" max="9738" width="9.28515625" style="199" bestFit="1" customWidth="1"/>
    <col min="9739" max="9739" width="8.42578125" style="199" bestFit="1" customWidth="1"/>
    <col min="9740" max="9740" width="11.7109375" style="199" customWidth="1"/>
    <col min="9741" max="9742" width="8.42578125" style="199" bestFit="1" customWidth="1"/>
    <col min="9743" max="9743" width="11.7109375" style="199" customWidth="1"/>
    <col min="9744" max="9744" width="9" style="199" customWidth="1"/>
    <col min="9745" max="9745" width="8.42578125" style="199" bestFit="1" customWidth="1"/>
    <col min="9746" max="9746" width="11.7109375" style="199" customWidth="1"/>
    <col min="9747" max="9748" width="8.42578125" style="199" bestFit="1" customWidth="1"/>
    <col min="9749" max="9749" width="11.7109375" style="199" customWidth="1"/>
    <col min="9750" max="9751" width="9" style="199" customWidth="1"/>
    <col min="9752" max="9752" width="12" style="199" customWidth="1"/>
    <col min="9753" max="9753" width="9" style="199" bestFit="1" customWidth="1"/>
    <col min="9754" max="9754" width="8" style="199" bestFit="1" customWidth="1"/>
    <col min="9755" max="9755" width="11.7109375" style="199" customWidth="1"/>
    <col min="9756" max="9983" width="11.42578125" style="199"/>
    <col min="9984" max="9984" width="1.5703125" style="199" customWidth="1"/>
    <col min="9985" max="9985" width="21.140625" style="199" customWidth="1"/>
    <col min="9986" max="9986" width="7.140625" style="199" customWidth="1"/>
    <col min="9987" max="9987" width="36.7109375" style="199" bestFit="1" customWidth="1"/>
    <col min="9988" max="9989" width="9.28515625" style="199" bestFit="1" customWidth="1"/>
    <col min="9990" max="9990" width="12" style="199" customWidth="1"/>
    <col min="9991" max="9991" width="8.42578125" style="199" bestFit="1" customWidth="1"/>
    <col min="9992" max="9992" width="9" style="199" customWidth="1"/>
    <col min="9993" max="9993" width="11.7109375" style="199" customWidth="1"/>
    <col min="9994" max="9994" width="9.28515625" style="199" bestFit="1" customWidth="1"/>
    <col min="9995" max="9995" width="8.42578125" style="199" bestFit="1" customWidth="1"/>
    <col min="9996" max="9996" width="11.7109375" style="199" customWidth="1"/>
    <col min="9997" max="9998" width="8.42578125" style="199" bestFit="1" customWidth="1"/>
    <col min="9999" max="9999" width="11.7109375" style="199" customWidth="1"/>
    <col min="10000" max="10000" width="9" style="199" customWidth="1"/>
    <col min="10001" max="10001" width="8.42578125" style="199" bestFit="1" customWidth="1"/>
    <col min="10002" max="10002" width="11.7109375" style="199" customWidth="1"/>
    <col min="10003" max="10004" width="8.42578125" style="199" bestFit="1" customWidth="1"/>
    <col min="10005" max="10005" width="11.7109375" style="199" customWidth="1"/>
    <col min="10006" max="10007" width="9" style="199" customWidth="1"/>
    <col min="10008" max="10008" width="12" style="199" customWidth="1"/>
    <col min="10009" max="10009" width="9" style="199" bestFit="1" customWidth="1"/>
    <col min="10010" max="10010" width="8" style="199" bestFit="1" customWidth="1"/>
    <col min="10011" max="10011" width="11.7109375" style="199" customWidth="1"/>
    <col min="10012" max="10239" width="11.42578125" style="199"/>
    <col min="10240" max="10240" width="1.5703125" style="199" customWidth="1"/>
    <col min="10241" max="10241" width="21.140625" style="199" customWidth="1"/>
    <col min="10242" max="10242" width="7.140625" style="199" customWidth="1"/>
    <col min="10243" max="10243" width="36.7109375" style="199" bestFit="1" customWidth="1"/>
    <col min="10244" max="10245" width="9.28515625" style="199" bestFit="1" customWidth="1"/>
    <col min="10246" max="10246" width="12" style="199" customWidth="1"/>
    <col min="10247" max="10247" width="8.42578125" style="199" bestFit="1" customWidth="1"/>
    <col min="10248" max="10248" width="9" style="199" customWidth="1"/>
    <col min="10249" max="10249" width="11.7109375" style="199" customWidth="1"/>
    <col min="10250" max="10250" width="9.28515625" style="199" bestFit="1" customWidth="1"/>
    <col min="10251" max="10251" width="8.42578125" style="199" bestFit="1" customWidth="1"/>
    <col min="10252" max="10252" width="11.7109375" style="199" customWidth="1"/>
    <col min="10253" max="10254" width="8.42578125" style="199" bestFit="1" customWidth="1"/>
    <col min="10255" max="10255" width="11.7109375" style="199" customWidth="1"/>
    <col min="10256" max="10256" width="9" style="199" customWidth="1"/>
    <col min="10257" max="10257" width="8.42578125" style="199" bestFit="1" customWidth="1"/>
    <col min="10258" max="10258" width="11.7109375" style="199" customWidth="1"/>
    <col min="10259" max="10260" width="8.42578125" style="199" bestFit="1" customWidth="1"/>
    <col min="10261" max="10261" width="11.7109375" style="199" customWidth="1"/>
    <col min="10262" max="10263" width="9" style="199" customWidth="1"/>
    <col min="10264" max="10264" width="12" style="199" customWidth="1"/>
    <col min="10265" max="10265" width="9" style="199" bestFit="1" customWidth="1"/>
    <col min="10266" max="10266" width="8" style="199" bestFit="1" customWidth="1"/>
    <col min="10267" max="10267" width="11.7109375" style="199" customWidth="1"/>
    <col min="10268" max="10495" width="11.42578125" style="199"/>
    <col min="10496" max="10496" width="1.5703125" style="199" customWidth="1"/>
    <col min="10497" max="10497" width="21.140625" style="199" customWidth="1"/>
    <col min="10498" max="10498" width="7.140625" style="199" customWidth="1"/>
    <col min="10499" max="10499" width="36.7109375" style="199" bestFit="1" customWidth="1"/>
    <col min="10500" max="10501" width="9.28515625" style="199" bestFit="1" customWidth="1"/>
    <col min="10502" max="10502" width="12" style="199" customWidth="1"/>
    <col min="10503" max="10503" width="8.42578125" style="199" bestFit="1" customWidth="1"/>
    <col min="10504" max="10504" width="9" style="199" customWidth="1"/>
    <col min="10505" max="10505" width="11.7109375" style="199" customWidth="1"/>
    <col min="10506" max="10506" width="9.28515625" style="199" bestFit="1" customWidth="1"/>
    <col min="10507" max="10507" width="8.42578125" style="199" bestFit="1" customWidth="1"/>
    <col min="10508" max="10508" width="11.7109375" style="199" customWidth="1"/>
    <col min="10509" max="10510" width="8.42578125" style="199" bestFit="1" customWidth="1"/>
    <col min="10511" max="10511" width="11.7109375" style="199" customWidth="1"/>
    <col min="10512" max="10512" width="9" style="199" customWidth="1"/>
    <col min="10513" max="10513" width="8.42578125" style="199" bestFit="1" customWidth="1"/>
    <col min="10514" max="10514" width="11.7109375" style="199" customWidth="1"/>
    <col min="10515" max="10516" width="8.42578125" style="199" bestFit="1" customWidth="1"/>
    <col min="10517" max="10517" width="11.7109375" style="199" customWidth="1"/>
    <col min="10518" max="10519" width="9" style="199" customWidth="1"/>
    <col min="10520" max="10520" width="12" style="199" customWidth="1"/>
    <col min="10521" max="10521" width="9" style="199" bestFit="1" customWidth="1"/>
    <col min="10522" max="10522" width="8" style="199" bestFit="1" customWidth="1"/>
    <col min="10523" max="10523" width="11.7109375" style="199" customWidth="1"/>
    <col min="10524" max="10751" width="11.42578125" style="199"/>
    <col min="10752" max="10752" width="1.5703125" style="199" customWidth="1"/>
    <col min="10753" max="10753" width="21.140625" style="199" customWidth="1"/>
    <col min="10754" max="10754" width="7.140625" style="199" customWidth="1"/>
    <col min="10755" max="10755" width="36.7109375" style="199" bestFit="1" customWidth="1"/>
    <col min="10756" max="10757" width="9.28515625" style="199" bestFit="1" customWidth="1"/>
    <col min="10758" max="10758" width="12" style="199" customWidth="1"/>
    <col min="10759" max="10759" width="8.42578125" style="199" bestFit="1" customWidth="1"/>
    <col min="10760" max="10760" width="9" style="199" customWidth="1"/>
    <col min="10761" max="10761" width="11.7109375" style="199" customWidth="1"/>
    <col min="10762" max="10762" width="9.28515625" style="199" bestFit="1" customWidth="1"/>
    <col min="10763" max="10763" width="8.42578125" style="199" bestFit="1" customWidth="1"/>
    <col min="10764" max="10764" width="11.7109375" style="199" customWidth="1"/>
    <col min="10765" max="10766" width="8.42578125" style="199" bestFit="1" customWidth="1"/>
    <col min="10767" max="10767" width="11.7109375" style="199" customWidth="1"/>
    <col min="10768" max="10768" width="9" style="199" customWidth="1"/>
    <col min="10769" max="10769" width="8.42578125" style="199" bestFit="1" customWidth="1"/>
    <col min="10770" max="10770" width="11.7109375" style="199" customWidth="1"/>
    <col min="10771" max="10772" width="8.42578125" style="199" bestFit="1" customWidth="1"/>
    <col min="10773" max="10773" width="11.7109375" style="199" customWidth="1"/>
    <col min="10774" max="10775" width="9" style="199" customWidth="1"/>
    <col min="10776" max="10776" width="12" style="199" customWidth="1"/>
    <col min="10777" max="10777" width="9" style="199" bestFit="1" customWidth="1"/>
    <col min="10778" max="10778" width="8" style="199" bestFit="1" customWidth="1"/>
    <col min="10779" max="10779" width="11.7109375" style="199" customWidth="1"/>
    <col min="10780" max="11007" width="11.42578125" style="199"/>
    <col min="11008" max="11008" width="1.5703125" style="199" customWidth="1"/>
    <col min="11009" max="11009" width="21.140625" style="199" customWidth="1"/>
    <col min="11010" max="11010" width="7.140625" style="199" customWidth="1"/>
    <col min="11011" max="11011" width="36.7109375" style="199" bestFit="1" customWidth="1"/>
    <col min="11012" max="11013" width="9.28515625" style="199" bestFit="1" customWidth="1"/>
    <col min="11014" max="11014" width="12" style="199" customWidth="1"/>
    <col min="11015" max="11015" width="8.42578125" style="199" bestFit="1" customWidth="1"/>
    <col min="11016" max="11016" width="9" style="199" customWidth="1"/>
    <col min="11017" max="11017" width="11.7109375" style="199" customWidth="1"/>
    <col min="11018" max="11018" width="9.28515625" style="199" bestFit="1" customWidth="1"/>
    <col min="11019" max="11019" width="8.42578125" style="199" bestFit="1" customWidth="1"/>
    <col min="11020" max="11020" width="11.7109375" style="199" customWidth="1"/>
    <col min="11021" max="11022" width="8.42578125" style="199" bestFit="1" customWidth="1"/>
    <col min="11023" max="11023" width="11.7109375" style="199" customWidth="1"/>
    <col min="11024" max="11024" width="9" style="199" customWidth="1"/>
    <col min="11025" max="11025" width="8.42578125" style="199" bestFit="1" customWidth="1"/>
    <col min="11026" max="11026" width="11.7109375" style="199" customWidth="1"/>
    <col min="11027" max="11028" width="8.42578125" style="199" bestFit="1" customWidth="1"/>
    <col min="11029" max="11029" width="11.7109375" style="199" customWidth="1"/>
    <col min="11030" max="11031" width="9" style="199" customWidth="1"/>
    <col min="11032" max="11032" width="12" style="199" customWidth="1"/>
    <col min="11033" max="11033" width="9" style="199" bestFit="1" customWidth="1"/>
    <col min="11034" max="11034" width="8" style="199" bestFit="1" customWidth="1"/>
    <col min="11035" max="11035" width="11.7109375" style="199" customWidth="1"/>
    <col min="11036" max="11263" width="11.42578125" style="199"/>
    <col min="11264" max="11264" width="1.5703125" style="199" customWidth="1"/>
    <col min="11265" max="11265" width="21.140625" style="199" customWidth="1"/>
    <col min="11266" max="11266" width="7.140625" style="199" customWidth="1"/>
    <col min="11267" max="11267" width="36.7109375" style="199" bestFit="1" customWidth="1"/>
    <col min="11268" max="11269" width="9.28515625" style="199" bestFit="1" customWidth="1"/>
    <col min="11270" max="11270" width="12" style="199" customWidth="1"/>
    <col min="11271" max="11271" width="8.42578125" style="199" bestFit="1" customWidth="1"/>
    <col min="11272" max="11272" width="9" style="199" customWidth="1"/>
    <col min="11273" max="11273" width="11.7109375" style="199" customWidth="1"/>
    <col min="11274" max="11274" width="9.28515625" style="199" bestFit="1" customWidth="1"/>
    <col min="11275" max="11275" width="8.42578125" style="199" bestFit="1" customWidth="1"/>
    <col min="11276" max="11276" width="11.7109375" style="199" customWidth="1"/>
    <col min="11277" max="11278" width="8.42578125" style="199" bestFit="1" customWidth="1"/>
    <col min="11279" max="11279" width="11.7109375" style="199" customWidth="1"/>
    <col min="11280" max="11280" width="9" style="199" customWidth="1"/>
    <col min="11281" max="11281" width="8.42578125" style="199" bestFit="1" customWidth="1"/>
    <col min="11282" max="11282" width="11.7109375" style="199" customWidth="1"/>
    <col min="11283" max="11284" width="8.42578125" style="199" bestFit="1" customWidth="1"/>
    <col min="11285" max="11285" width="11.7109375" style="199" customWidth="1"/>
    <col min="11286" max="11287" width="9" style="199" customWidth="1"/>
    <col min="11288" max="11288" width="12" style="199" customWidth="1"/>
    <col min="11289" max="11289" width="9" style="199" bestFit="1" customWidth="1"/>
    <col min="11290" max="11290" width="8" style="199" bestFit="1" customWidth="1"/>
    <col min="11291" max="11291" width="11.7109375" style="199" customWidth="1"/>
    <col min="11292" max="11519" width="11.42578125" style="199"/>
    <col min="11520" max="11520" width="1.5703125" style="199" customWidth="1"/>
    <col min="11521" max="11521" width="21.140625" style="199" customWidth="1"/>
    <col min="11522" max="11522" width="7.140625" style="199" customWidth="1"/>
    <col min="11523" max="11523" width="36.7109375" style="199" bestFit="1" customWidth="1"/>
    <col min="11524" max="11525" width="9.28515625" style="199" bestFit="1" customWidth="1"/>
    <col min="11526" max="11526" width="12" style="199" customWidth="1"/>
    <col min="11527" max="11527" width="8.42578125" style="199" bestFit="1" customWidth="1"/>
    <col min="11528" max="11528" width="9" style="199" customWidth="1"/>
    <col min="11529" max="11529" width="11.7109375" style="199" customWidth="1"/>
    <col min="11530" max="11530" width="9.28515625" style="199" bestFit="1" customWidth="1"/>
    <col min="11531" max="11531" width="8.42578125" style="199" bestFit="1" customWidth="1"/>
    <col min="11532" max="11532" width="11.7109375" style="199" customWidth="1"/>
    <col min="11533" max="11534" width="8.42578125" style="199" bestFit="1" customWidth="1"/>
    <col min="11535" max="11535" width="11.7109375" style="199" customWidth="1"/>
    <col min="11536" max="11536" width="9" style="199" customWidth="1"/>
    <col min="11537" max="11537" width="8.42578125" style="199" bestFit="1" customWidth="1"/>
    <col min="11538" max="11538" width="11.7109375" style="199" customWidth="1"/>
    <col min="11539" max="11540" width="8.42578125" style="199" bestFit="1" customWidth="1"/>
    <col min="11541" max="11541" width="11.7109375" style="199" customWidth="1"/>
    <col min="11542" max="11543" width="9" style="199" customWidth="1"/>
    <col min="11544" max="11544" width="12" style="199" customWidth="1"/>
    <col min="11545" max="11545" width="9" style="199" bestFit="1" customWidth="1"/>
    <col min="11546" max="11546" width="8" style="199" bestFit="1" customWidth="1"/>
    <col min="11547" max="11547" width="11.7109375" style="199" customWidth="1"/>
    <col min="11548" max="11775" width="11.42578125" style="199"/>
    <col min="11776" max="11776" width="1.5703125" style="199" customWidth="1"/>
    <col min="11777" max="11777" width="21.140625" style="199" customWidth="1"/>
    <col min="11778" max="11778" width="7.140625" style="199" customWidth="1"/>
    <col min="11779" max="11779" width="36.7109375" style="199" bestFit="1" customWidth="1"/>
    <col min="11780" max="11781" width="9.28515625" style="199" bestFit="1" customWidth="1"/>
    <col min="11782" max="11782" width="12" style="199" customWidth="1"/>
    <col min="11783" max="11783" width="8.42578125" style="199" bestFit="1" customWidth="1"/>
    <col min="11784" max="11784" width="9" style="199" customWidth="1"/>
    <col min="11785" max="11785" width="11.7109375" style="199" customWidth="1"/>
    <col min="11786" max="11786" width="9.28515625" style="199" bestFit="1" customWidth="1"/>
    <col min="11787" max="11787" width="8.42578125" style="199" bestFit="1" customWidth="1"/>
    <col min="11788" max="11788" width="11.7109375" style="199" customWidth="1"/>
    <col min="11789" max="11790" width="8.42578125" style="199" bestFit="1" customWidth="1"/>
    <col min="11791" max="11791" width="11.7109375" style="199" customWidth="1"/>
    <col min="11792" max="11792" width="9" style="199" customWidth="1"/>
    <col min="11793" max="11793" width="8.42578125" style="199" bestFit="1" customWidth="1"/>
    <col min="11794" max="11794" width="11.7109375" style="199" customWidth="1"/>
    <col min="11795" max="11796" width="8.42578125" style="199" bestFit="1" customWidth="1"/>
    <col min="11797" max="11797" width="11.7109375" style="199" customWidth="1"/>
    <col min="11798" max="11799" width="9" style="199" customWidth="1"/>
    <col min="11800" max="11800" width="12" style="199" customWidth="1"/>
    <col min="11801" max="11801" width="9" style="199" bestFit="1" customWidth="1"/>
    <col min="11802" max="11802" width="8" style="199" bestFit="1" customWidth="1"/>
    <col min="11803" max="11803" width="11.7109375" style="199" customWidth="1"/>
    <col min="11804" max="12031" width="11.42578125" style="199"/>
    <col min="12032" max="12032" width="1.5703125" style="199" customWidth="1"/>
    <col min="12033" max="12033" width="21.140625" style="199" customWidth="1"/>
    <col min="12034" max="12034" width="7.140625" style="199" customWidth="1"/>
    <col min="12035" max="12035" width="36.7109375" style="199" bestFit="1" customWidth="1"/>
    <col min="12036" max="12037" width="9.28515625" style="199" bestFit="1" customWidth="1"/>
    <col min="12038" max="12038" width="12" style="199" customWidth="1"/>
    <col min="12039" max="12039" width="8.42578125" style="199" bestFit="1" customWidth="1"/>
    <col min="12040" max="12040" width="9" style="199" customWidth="1"/>
    <col min="12041" max="12041" width="11.7109375" style="199" customWidth="1"/>
    <col min="12042" max="12042" width="9.28515625" style="199" bestFit="1" customWidth="1"/>
    <col min="12043" max="12043" width="8.42578125" style="199" bestFit="1" customWidth="1"/>
    <col min="12044" max="12044" width="11.7109375" style="199" customWidth="1"/>
    <col min="12045" max="12046" width="8.42578125" style="199" bestFit="1" customWidth="1"/>
    <col min="12047" max="12047" width="11.7109375" style="199" customWidth="1"/>
    <col min="12048" max="12048" width="9" style="199" customWidth="1"/>
    <col min="12049" max="12049" width="8.42578125" style="199" bestFit="1" customWidth="1"/>
    <col min="12050" max="12050" width="11.7109375" style="199" customWidth="1"/>
    <col min="12051" max="12052" width="8.42578125" style="199" bestFit="1" customWidth="1"/>
    <col min="12053" max="12053" width="11.7109375" style="199" customWidth="1"/>
    <col min="12054" max="12055" width="9" style="199" customWidth="1"/>
    <col min="12056" max="12056" width="12" style="199" customWidth="1"/>
    <col min="12057" max="12057" width="9" style="199" bestFit="1" customWidth="1"/>
    <col min="12058" max="12058" width="8" style="199" bestFit="1" customWidth="1"/>
    <col min="12059" max="12059" width="11.7109375" style="199" customWidth="1"/>
    <col min="12060" max="12287" width="11.42578125" style="199"/>
    <col min="12288" max="12288" width="1.5703125" style="199" customWidth="1"/>
    <col min="12289" max="12289" width="21.140625" style="199" customWidth="1"/>
    <col min="12290" max="12290" width="7.140625" style="199" customWidth="1"/>
    <col min="12291" max="12291" width="36.7109375" style="199" bestFit="1" customWidth="1"/>
    <col min="12292" max="12293" width="9.28515625" style="199" bestFit="1" customWidth="1"/>
    <col min="12294" max="12294" width="12" style="199" customWidth="1"/>
    <col min="12295" max="12295" width="8.42578125" style="199" bestFit="1" customWidth="1"/>
    <col min="12296" max="12296" width="9" style="199" customWidth="1"/>
    <col min="12297" max="12297" width="11.7109375" style="199" customWidth="1"/>
    <col min="12298" max="12298" width="9.28515625" style="199" bestFit="1" customWidth="1"/>
    <col min="12299" max="12299" width="8.42578125" style="199" bestFit="1" customWidth="1"/>
    <col min="12300" max="12300" width="11.7109375" style="199" customWidth="1"/>
    <col min="12301" max="12302" width="8.42578125" style="199" bestFit="1" customWidth="1"/>
    <col min="12303" max="12303" width="11.7109375" style="199" customWidth="1"/>
    <col min="12304" max="12304" width="9" style="199" customWidth="1"/>
    <col min="12305" max="12305" width="8.42578125" style="199" bestFit="1" customWidth="1"/>
    <col min="12306" max="12306" width="11.7109375" style="199" customWidth="1"/>
    <col min="12307" max="12308" width="8.42578125" style="199" bestFit="1" customWidth="1"/>
    <col min="12309" max="12309" width="11.7109375" style="199" customWidth="1"/>
    <col min="12310" max="12311" width="9" style="199" customWidth="1"/>
    <col min="12312" max="12312" width="12" style="199" customWidth="1"/>
    <col min="12313" max="12313" width="9" style="199" bestFit="1" customWidth="1"/>
    <col min="12314" max="12314" width="8" style="199" bestFit="1" customWidth="1"/>
    <col min="12315" max="12315" width="11.7109375" style="199" customWidth="1"/>
    <col min="12316" max="12543" width="11.42578125" style="199"/>
    <col min="12544" max="12544" width="1.5703125" style="199" customWidth="1"/>
    <col min="12545" max="12545" width="21.140625" style="199" customWidth="1"/>
    <col min="12546" max="12546" width="7.140625" style="199" customWidth="1"/>
    <col min="12547" max="12547" width="36.7109375" style="199" bestFit="1" customWidth="1"/>
    <col min="12548" max="12549" width="9.28515625" style="199" bestFit="1" customWidth="1"/>
    <col min="12550" max="12550" width="12" style="199" customWidth="1"/>
    <col min="12551" max="12551" width="8.42578125" style="199" bestFit="1" customWidth="1"/>
    <col min="12552" max="12552" width="9" style="199" customWidth="1"/>
    <col min="12553" max="12553" width="11.7109375" style="199" customWidth="1"/>
    <col min="12554" max="12554" width="9.28515625" style="199" bestFit="1" customWidth="1"/>
    <col min="12555" max="12555" width="8.42578125" style="199" bestFit="1" customWidth="1"/>
    <col min="12556" max="12556" width="11.7109375" style="199" customWidth="1"/>
    <col min="12557" max="12558" width="8.42578125" style="199" bestFit="1" customWidth="1"/>
    <col min="12559" max="12559" width="11.7109375" style="199" customWidth="1"/>
    <col min="12560" max="12560" width="9" style="199" customWidth="1"/>
    <col min="12561" max="12561" width="8.42578125" style="199" bestFit="1" customWidth="1"/>
    <col min="12562" max="12562" width="11.7109375" style="199" customWidth="1"/>
    <col min="12563" max="12564" width="8.42578125" style="199" bestFit="1" customWidth="1"/>
    <col min="12565" max="12565" width="11.7109375" style="199" customWidth="1"/>
    <col min="12566" max="12567" width="9" style="199" customWidth="1"/>
    <col min="12568" max="12568" width="12" style="199" customWidth="1"/>
    <col min="12569" max="12569" width="9" style="199" bestFit="1" customWidth="1"/>
    <col min="12570" max="12570" width="8" style="199" bestFit="1" customWidth="1"/>
    <col min="12571" max="12571" width="11.7109375" style="199" customWidth="1"/>
    <col min="12572" max="12799" width="11.42578125" style="199"/>
    <col min="12800" max="12800" width="1.5703125" style="199" customWidth="1"/>
    <col min="12801" max="12801" width="21.140625" style="199" customWidth="1"/>
    <col min="12802" max="12802" width="7.140625" style="199" customWidth="1"/>
    <col min="12803" max="12803" width="36.7109375" style="199" bestFit="1" customWidth="1"/>
    <col min="12804" max="12805" width="9.28515625" style="199" bestFit="1" customWidth="1"/>
    <col min="12806" max="12806" width="12" style="199" customWidth="1"/>
    <col min="12807" max="12807" width="8.42578125" style="199" bestFit="1" customWidth="1"/>
    <col min="12808" max="12808" width="9" style="199" customWidth="1"/>
    <col min="12809" max="12809" width="11.7109375" style="199" customWidth="1"/>
    <col min="12810" max="12810" width="9.28515625" style="199" bestFit="1" customWidth="1"/>
    <col min="12811" max="12811" width="8.42578125" style="199" bestFit="1" customWidth="1"/>
    <col min="12812" max="12812" width="11.7109375" style="199" customWidth="1"/>
    <col min="12813" max="12814" width="8.42578125" style="199" bestFit="1" customWidth="1"/>
    <col min="12815" max="12815" width="11.7109375" style="199" customWidth="1"/>
    <col min="12816" max="12816" width="9" style="199" customWidth="1"/>
    <col min="12817" max="12817" width="8.42578125" style="199" bestFit="1" customWidth="1"/>
    <col min="12818" max="12818" width="11.7109375" style="199" customWidth="1"/>
    <col min="12819" max="12820" width="8.42578125" style="199" bestFit="1" customWidth="1"/>
    <col min="12821" max="12821" width="11.7109375" style="199" customWidth="1"/>
    <col min="12822" max="12823" width="9" style="199" customWidth="1"/>
    <col min="12824" max="12824" width="12" style="199" customWidth="1"/>
    <col min="12825" max="12825" width="9" style="199" bestFit="1" customWidth="1"/>
    <col min="12826" max="12826" width="8" style="199" bestFit="1" customWidth="1"/>
    <col min="12827" max="12827" width="11.7109375" style="199" customWidth="1"/>
    <col min="12828" max="13055" width="11.42578125" style="199"/>
    <col min="13056" max="13056" width="1.5703125" style="199" customWidth="1"/>
    <col min="13057" max="13057" width="21.140625" style="199" customWidth="1"/>
    <col min="13058" max="13058" width="7.140625" style="199" customWidth="1"/>
    <col min="13059" max="13059" width="36.7109375" style="199" bestFit="1" customWidth="1"/>
    <col min="13060" max="13061" width="9.28515625" style="199" bestFit="1" customWidth="1"/>
    <col min="13062" max="13062" width="12" style="199" customWidth="1"/>
    <col min="13063" max="13063" width="8.42578125" style="199" bestFit="1" customWidth="1"/>
    <col min="13064" max="13064" width="9" style="199" customWidth="1"/>
    <col min="13065" max="13065" width="11.7109375" style="199" customWidth="1"/>
    <col min="13066" max="13066" width="9.28515625" style="199" bestFit="1" customWidth="1"/>
    <col min="13067" max="13067" width="8.42578125" style="199" bestFit="1" customWidth="1"/>
    <col min="13068" max="13068" width="11.7109375" style="199" customWidth="1"/>
    <col min="13069" max="13070" width="8.42578125" style="199" bestFit="1" customWidth="1"/>
    <col min="13071" max="13071" width="11.7109375" style="199" customWidth="1"/>
    <col min="13072" max="13072" width="9" style="199" customWidth="1"/>
    <col min="13073" max="13073" width="8.42578125" style="199" bestFit="1" customWidth="1"/>
    <col min="13074" max="13074" width="11.7109375" style="199" customWidth="1"/>
    <col min="13075" max="13076" width="8.42578125" style="199" bestFit="1" customWidth="1"/>
    <col min="13077" max="13077" width="11.7109375" style="199" customWidth="1"/>
    <col min="13078" max="13079" width="9" style="199" customWidth="1"/>
    <col min="13080" max="13080" width="12" style="199" customWidth="1"/>
    <col min="13081" max="13081" width="9" style="199" bestFit="1" customWidth="1"/>
    <col min="13082" max="13082" width="8" style="199" bestFit="1" customWidth="1"/>
    <col min="13083" max="13083" width="11.7109375" style="199" customWidth="1"/>
    <col min="13084" max="13311" width="11.42578125" style="199"/>
    <col min="13312" max="13312" width="1.5703125" style="199" customWidth="1"/>
    <col min="13313" max="13313" width="21.140625" style="199" customWidth="1"/>
    <col min="13314" max="13314" width="7.140625" style="199" customWidth="1"/>
    <col min="13315" max="13315" width="36.7109375" style="199" bestFit="1" customWidth="1"/>
    <col min="13316" max="13317" width="9.28515625" style="199" bestFit="1" customWidth="1"/>
    <col min="13318" max="13318" width="12" style="199" customWidth="1"/>
    <col min="13319" max="13319" width="8.42578125" style="199" bestFit="1" customWidth="1"/>
    <col min="13320" max="13320" width="9" style="199" customWidth="1"/>
    <col min="13321" max="13321" width="11.7109375" style="199" customWidth="1"/>
    <col min="13322" max="13322" width="9.28515625" style="199" bestFit="1" customWidth="1"/>
    <col min="13323" max="13323" width="8.42578125" style="199" bestFit="1" customWidth="1"/>
    <col min="13324" max="13324" width="11.7109375" style="199" customWidth="1"/>
    <col min="13325" max="13326" width="8.42578125" style="199" bestFit="1" customWidth="1"/>
    <col min="13327" max="13327" width="11.7109375" style="199" customWidth="1"/>
    <col min="13328" max="13328" width="9" style="199" customWidth="1"/>
    <col min="13329" max="13329" width="8.42578125" style="199" bestFit="1" customWidth="1"/>
    <col min="13330" max="13330" width="11.7109375" style="199" customWidth="1"/>
    <col min="13331" max="13332" width="8.42578125" style="199" bestFit="1" customWidth="1"/>
    <col min="13333" max="13333" width="11.7109375" style="199" customWidth="1"/>
    <col min="13334" max="13335" width="9" style="199" customWidth="1"/>
    <col min="13336" max="13336" width="12" style="199" customWidth="1"/>
    <col min="13337" max="13337" width="9" style="199" bestFit="1" customWidth="1"/>
    <col min="13338" max="13338" width="8" style="199" bestFit="1" customWidth="1"/>
    <col min="13339" max="13339" width="11.7109375" style="199" customWidth="1"/>
    <col min="13340" max="13567" width="11.42578125" style="199"/>
    <col min="13568" max="13568" width="1.5703125" style="199" customWidth="1"/>
    <col min="13569" max="13569" width="21.140625" style="199" customWidth="1"/>
    <col min="13570" max="13570" width="7.140625" style="199" customWidth="1"/>
    <col min="13571" max="13571" width="36.7109375" style="199" bestFit="1" customWidth="1"/>
    <col min="13572" max="13573" width="9.28515625" style="199" bestFit="1" customWidth="1"/>
    <col min="13574" max="13574" width="12" style="199" customWidth="1"/>
    <col min="13575" max="13575" width="8.42578125" style="199" bestFit="1" customWidth="1"/>
    <col min="13576" max="13576" width="9" style="199" customWidth="1"/>
    <col min="13577" max="13577" width="11.7109375" style="199" customWidth="1"/>
    <col min="13578" max="13578" width="9.28515625" style="199" bestFit="1" customWidth="1"/>
    <col min="13579" max="13579" width="8.42578125" style="199" bestFit="1" customWidth="1"/>
    <col min="13580" max="13580" width="11.7109375" style="199" customWidth="1"/>
    <col min="13581" max="13582" width="8.42578125" style="199" bestFit="1" customWidth="1"/>
    <col min="13583" max="13583" width="11.7109375" style="199" customWidth="1"/>
    <col min="13584" max="13584" width="9" style="199" customWidth="1"/>
    <col min="13585" max="13585" width="8.42578125" style="199" bestFit="1" customWidth="1"/>
    <col min="13586" max="13586" width="11.7109375" style="199" customWidth="1"/>
    <col min="13587" max="13588" width="8.42578125" style="199" bestFit="1" customWidth="1"/>
    <col min="13589" max="13589" width="11.7109375" style="199" customWidth="1"/>
    <col min="13590" max="13591" width="9" style="199" customWidth="1"/>
    <col min="13592" max="13592" width="12" style="199" customWidth="1"/>
    <col min="13593" max="13593" width="9" style="199" bestFit="1" customWidth="1"/>
    <col min="13594" max="13594" width="8" style="199" bestFit="1" customWidth="1"/>
    <col min="13595" max="13595" width="11.7109375" style="199" customWidth="1"/>
    <col min="13596" max="13823" width="11.42578125" style="199"/>
    <col min="13824" max="13824" width="1.5703125" style="199" customWidth="1"/>
    <col min="13825" max="13825" width="21.140625" style="199" customWidth="1"/>
    <col min="13826" max="13826" width="7.140625" style="199" customWidth="1"/>
    <col min="13827" max="13827" width="36.7109375" style="199" bestFit="1" customWidth="1"/>
    <col min="13828" max="13829" width="9.28515625" style="199" bestFit="1" customWidth="1"/>
    <col min="13830" max="13830" width="12" style="199" customWidth="1"/>
    <col min="13831" max="13831" width="8.42578125" style="199" bestFit="1" customWidth="1"/>
    <col min="13832" max="13832" width="9" style="199" customWidth="1"/>
    <col min="13833" max="13833" width="11.7109375" style="199" customWidth="1"/>
    <col min="13834" max="13834" width="9.28515625" style="199" bestFit="1" customWidth="1"/>
    <col min="13835" max="13835" width="8.42578125" style="199" bestFit="1" customWidth="1"/>
    <col min="13836" max="13836" width="11.7109375" style="199" customWidth="1"/>
    <col min="13837" max="13838" width="8.42578125" style="199" bestFit="1" customWidth="1"/>
    <col min="13839" max="13839" width="11.7109375" style="199" customWidth="1"/>
    <col min="13840" max="13840" width="9" style="199" customWidth="1"/>
    <col min="13841" max="13841" width="8.42578125" style="199" bestFit="1" customWidth="1"/>
    <col min="13842" max="13842" width="11.7109375" style="199" customWidth="1"/>
    <col min="13843" max="13844" width="8.42578125" style="199" bestFit="1" customWidth="1"/>
    <col min="13845" max="13845" width="11.7109375" style="199" customWidth="1"/>
    <col min="13846" max="13847" width="9" style="199" customWidth="1"/>
    <col min="13848" max="13848" width="12" style="199" customWidth="1"/>
    <col min="13849" max="13849" width="9" style="199" bestFit="1" customWidth="1"/>
    <col min="13850" max="13850" width="8" style="199" bestFit="1" customWidth="1"/>
    <col min="13851" max="13851" width="11.7109375" style="199" customWidth="1"/>
    <col min="13852" max="14079" width="11.42578125" style="199"/>
    <col min="14080" max="14080" width="1.5703125" style="199" customWidth="1"/>
    <col min="14081" max="14081" width="21.140625" style="199" customWidth="1"/>
    <col min="14082" max="14082" width="7.140625" style="199" customWidth="1"/>
    <col min="14083" max="14083" width="36.7109375" style="199" bestFit="1" customWidth="1"/>
    <col min="14084" max="14085" width="9.28515625" style="199" bestFit="1" customWidth="1"/>
    <col min="14086" max="14086" width="12" style="199" customWidth="1"/>
    <col min="14087" max="14087" width="8.42578125" style="199" bestFit="1" customWidth="1"/>
    <col min="14088" max="14088" width="9" style="199" customWidth="1"/>
    <col min="14089" max="14089" width="11.7109375" style="199" customWidth="1"/>
    <col min="14090" max="14090" width="9.28515625" style="199" bestFit="1" customWidth="1"/>
    <col min="14091" max="14091" width="8.42578125" style="199" bestFit="1" customWidth="1"/>
    <col min="14092" max="14092" width="11.7109375" style="199" customWidth="1"/>
    <col min="14093" max="14094" width="8.42578125" style="199" bestFit="1" customWidth="1"/>
    <col min="14095" max="14095" width="11.7109375" style="199" customWidth="1"/>
    <col min="14096" max="14096" width="9" style="199" customWidth="1"/>
    <col min="14097" max="14097" width="8.42578125" style="199" bestFit="1" customWidth="1"/>
    <col min="14098" max="14098" width="11.7109375" style="199" customWidth="1"/>
    <col min="14099" max="14100" width="8.42578125" style="199" bestFit="1" customWidth="1"/>
    <col min="14101" max="14101" width="11.7109375" style="199" customWidth="1"/>
    <col min="14102" max="14103" width="9" style="199" customWidth="1"/>
    <col min="14104" max="14104" width="12" style="199" customWidth="1"/>
    <col min="14105" max="14105" width="9" style="199" bestFit="1" customWidth="1"/>
    <col min="14106" max="14106" width="8" style="199" bestFit="1" customWidth="1"/>
    <col min="14107" max="14107" width="11.7109375" style="199" customWidth="1"/>
    <col min="14108" max="14335" width="11.42578125" style="199"/>
    <col min="14336" max="14336" width="1.5703125" style="199" customWidth="1"/>
    <col min="14337" max="14337" width="21.140625" style="199" customWidth="1"/>
    <col min="14338" max="14338" width="7.140625" style="199" customWidth="1"/>
    <col min="14339" max="14339" width="36.7109375" style="199" bestFit="1" customWidth="1"/>
    <col min="14340" max="14341" width="9.28515625" style="199" bestFit="1" customWidth="1"/>
    <col min="14342" max="14342" width="12" style="199" customWidth="1"/>
    <col min="14343" max="14343" width="8.42578125" style="199" bestFit="1" customWidth="1"/>
    <col min="14344" max="14344" width="9" style="199" customWidth="1"/>
    <col min="14345" max="14345" width="11.7109375" style="199" customWidth="1"/>
    <col min="14346" max="14346" width="9.28515625" style="199" bestFit="1" customWidth="1"/>
    <col min="14347" max="14347" width="8.42578125" style="199" bestFit="1" customWidth="1"/>
    <col min="14348" max="14348" width="11.7109375" style="199" customWidth="1"/>
    <col min="14349" max="14350" width="8.42578125" style="199" bestFit="1" customWidth="1"/>
    <col min="14351" max="14351" width="11.7109375" style="199" customWidth="1"/>
    <col min="14352" max="14352" width="9" style="199" customWidth="1"/>
    <col min="14353" max="14353" width="8.42578125" style="199" bestFit="1" customWidth="1"/>
    <col min="14354" max="14354" width="11.7109375" style="199" customWidth="1"/>
    <col min="14355" max="14356" width="8.42578125" style="199" bestFit="1" customWidth="1"/>
    <col min="14357" max="14357" width="11.7109375" style="199" customWidth="1"/>
    <col min="14358" max="14359" width="9" style="199" customWidth="1"/>
    <col min="14360" max="14360" width="12" style="199" customWidth="1"/>
    <col min="14361" max="14361" width="9" style="199" bestFit="1" customWidth="1"/>
    <col min="14362" max="14362" width="8" style="199" bestFit="1" customWidth="1"/>
    <col min="14363" max="14363" width="11.7109375" style="199" customWidth="1"/>
    <col min="14364" max="14591" width="11.42578125" style="199"/>
    <col min="14592" max="14592" width="1.5703125" style="199" customWidth="1"/>
    <col min="14593" max="14593" width="21.140625" style="199" customWidth="1"/>
    <col min="14594" max="14594" width="7.140625" style="199" customWidth="1"/>
    <col min="14595" max="14595" width="36.7109375" style="199" bestFit="1" customWidth="1"/>
    <col min="14596" max="14597" width="9.28515625" style="199" bestFit="1" customWidth="1"/>
    <col min="14598" max="14598" width="12" style="199" customWidth="1"/>
    <col min="14599" max="14599" width="8.42578125" style="199" bestFit="1" customWidth="1"/>
    <col min="14600" max="14600" width="9" style="199" customWidth="1"/>
    <col min="14601" max="14601" width="11.7109375" style="199" customWidth="1"/>
    <col min="14602" max="14602" width="9.28515625" style="199" bestFit="1" customWidth="1"/>
    <col min="14603" max="14603" width="8.42578125" style="199" bestFit="1" customWidth="1"/>
    <col min="14604" max="14604" width="11.7109375" style="199" customWidth="1"/>
    <col min="14605" max="14606" width="8.42578125" style="199" bestFit="1" customWidth="1"/>
    <col min="14607" max="14607" width="11.7109375" style="199" customWidth="1"/>
    <col min="14608" max="14608" width="9" style="199" customWidth="1"/>
    <col min="14609" max="14609" width="8.42578125" style="199" bestFit="1" customWidth="1"/>
    <col min="14610" max="14610" width="11.7109375" style="199" customWidth="1"/>
    <col min="14611" max="14612" width="8.42578125" style="199" bestFit="1" customWidth="1"/>
    <col min="14613" max="14613" width="11.7109375" style="199" customWidth="1"/>
    <col min="14614" max="14615" width="9" style="199" customWidth="1"/>
    <col min="14616" max="14616" width="12" style="199" customWidth="1"/>
    <col min="14617" max="14617" width="9" style="199" bestFit="1" customWidth="1"/>
    <col min="14618" max="14618" width="8" style="199" bestFit="1" customWidth="1"/>
    <col min="14619" max="14619" width="11.7109375" style="199" customWidth="1"/>
    <col min="14620" max="14847" width="11.42578125" style="199"/>
    <col min="14848" max="14848" width="1.5703125" style="199" customWidth="1"/>
    <col min="14849" max="14849" width="21.140625" style="199" customWidth="1"/>
    <col min="14850" max="14850" width="7.140625" style="199" customWidth="1"/>
    <col min="14851" max="14851" width="36.7109375" style="199" bestFit="1" customWidth="1"/>
    <col min="14852" max="14853" width="9.28515625" style="199" bestFit="1" customWidth="1"/>
    <col min="14854" max="14854" width="12" style="199" customWidth="1"/>
    <col min="14855" max="14855" width="8.42578125" style="199" bestFit="1" customWidth="1"/>
    <col min="14856" max="14856" width="9" style="199" customWidth="1"/>
    <col min="14857" max="14857" width="11.7109375" style="199" customWidth="1"/>
    <col min="14858" max="14858" width="9.28515625" style="199" bestFit="1" customWidth="1"/>
    <col min="14859" max="14859" width="8.42578125" style="199" bestFit="1" customWidth="1"/>
    <col min="14860" max="14860" width="11.7109375" style="199" customWidth="1"/>
    <col min="14861" max="14862" width="8.42578125" style="199" bestFit="1" customWidth="1"/>
    <col min="14863" max="14863" width="11.7109375" style="199" customWidth="1"/>
    <col min="14864" max="14864" width="9" style="199" customWidth="1"/>
    <col min="14865" max="14865" width="8.42578125" style="199" bestFit="1" customWidth="1"/>
    <col min="14866" max="14866" width="11.7109375" style="199" customWidth="1"/>
    <col min="14867" max="14868" width="8.42578125" style="199" bestFit="1" customWidth="1"/>
    <col min="14869" max="14869" width="11.7109375" style="199" customWidth="1"/>
    <col min="14870" max="14871" width="9" style="199" customWidth="1"/>
    <col min="14872" max="14872" width="12" style="199" customWidth="1"/>
    <col min="14873" max="14873" width="9" style="199" bestFit="1" customWidth="1"/>
    <col min="14874" max="14874" width="8" style="199" bestFit="1" customWidth="1"/>
    <col min="14875" max="14875" width="11.7109375" style="199" customWidth="1"/>
    <col min="14876" max="15103" width="11.42578125" style="199"/>
    <col min="15104" max="15104" width="1.5703125" style="199" customWidth="1"/>
    <col min="15105" max="15105" width="21.140625" style="199" customWidth="1"/>
    <col min="15106" max="15106" width="7.140625" style="199" customWidth="1"/>
    <col min="15107" max="15107" width="36.7109375" style="199" bestFit="1" customWidth="1"/>
    <col min="15108" max="15109" width="9.28515625" style="199" bestFit="1" customWidth="1"/>
    <col min="15110" max="15110" width="12" style="199" customWidth="1"/>
    <col min="15111" max="15111" width="8.42578125" style="199" bestFit="1" customWidth="1"/>
    <col min="15112" max="15112" width="9" style="199" customWidth="1"/>
    <col min="15113" max="15113" width="11.7109375" style="199" customWidth="1"/>
    <col min="15114" max="15114" width="9.28515625" style="199" bestFit="1" customWidth="1"/>
    <col min="15115" max="15115" width="8.42578125" style="199" bestFit="1" customWidth="1"/>
    <col min="15116" max="15116" width="11.7109375" style="199" customWidth="1"/>
    <col min="15117" max="15118" width="8.42578125" style="199" bestFit="1" customWidth="1"/>
    <col min="15119" max="15119" width="11.7109375" style="199" customWidth="1"/>
    <col min="15120" max="15120" width="9" style="199" customWidth="1"/>
    <col min="15121" max="15121" width="8.42578125" style="199" bestFit="1" customWidth="1"/>
    <col min="15122" max="15122" width="11.7109375" style="199" customWidth="1"/>
    <col min="15123" max="15124" width="8.42578125" style="199" bestFit="1" customWidth="1"/>
    <col min="15125" max="15125" width="11.7109375" style="199" customWidth="1"/>
    <col min="15126" max="15127" width="9" style="199" customWidth="1"/>
    <col min="15128" max="15128" width="12" style="199" customWidth="1"/>
    <col min="15129" max="15129" width="9" style="199" bestFit="1" customWidth="1"/>
    <col min="15130" max="15130" width="8" style="199" bestFit="1" customWidth="1"/>
    <col min="15131" max="15131" width="11.7109375" style="199" customWidth="1"/>
    <col min="15132" max="15359" width="11.42578125" style="199"/>
    <col min="15360" max="15360" width="1.5703125" style="199" customWidth="1"/>
    <col min="15361" max="15361" width="21.140625" style="199" customWidth="1"/>
    <col min="15362" max="15362" width="7.140625" style="199" customWidth="1"/>
    <col min="15363" max="15363" width="36.7109375" style="199" bestFit="1" customWidth="1"/>
    <col min="15364" max="15365" width="9.28515625" style="199" bestFit="1" customWidth="1"/>
    <col min="15366" max="15366" width="12" style="199" customWidth="1"/>
    <col min="15367" max="15367" width="8.42578125" style="199" bestFit="1" customWidth="1"/>
    <col min="15368" max="15368" width="9" style="199" customWidth="1"/>
    <col min="15369" max="15369" width="11.7109375" style="199" customWidth="1"/>
    <col min="15370" max="15370" width="9.28515625" style="199" bestFit="1" customWidth="1"/>
    <col min="15371" max="15371" width="8.42578125" style="199" bestFit="1" customWidth="1"/>
    <col min="15372" max="15372" width="11.7109375" style="199" customWidth="1"/>
    <col min="15373" max="15374" width="8.42578125" style="199" bestFit="1" customWidth="1"/>
    <col min="15375" max="15375" width="11.7109375" style="199" customWidth="1"/>
    <col min="15376" max="15376" width="9" style="199" customWidth="1"/>
    <col min="15377" max="15377" width="8.42578125" style="199" bestFit="1" customWidth="1"/>
    <col min="15378" max="15378" width="11.7109375" style="199" customWidth="1"/>
    <col min="15379" max="15380" width="8.42578125" style="199" bestFit="1" customWidth="1"/>
    <col min="15381" max="15381" width="11.7109375" style="199" customWidth="1"/>
    <col min="15382" max="15383" width="9" style="199" customWidth="1"/>
    <col min="15384" max="15384" width="12" style="199" customWidth="1"/>
    <col min="15385" max="15385" width="9" style="199" bestFit="1" customWidth="1"/>
    <col min="15386" max="15386" width="8" style="199" bestFit="1" customWidth="1"/>
    <col min="15387" max="15387" width="11.7109375" style="199" customWidth="1"/>
    <col min="15388" max="15615" width="11.42578125" style="199"/>
    <col min="15616" max="15616" width="1.5703125" style="199" customWidth="1"/>
    <col min="15617" max="15617" width="21.140625" style="199" customWidth="1"/>
    <col min="15618" max="15618" width="7.140625" style="199" customWidth="1"/>
    <col min="15619" max="15619" width="36.7109375" style="199" bestFit="1" customWidth="1"/>
    <col min="15620" max="15621" width="9.28515625" style="199" bestFit="1" customWidth="1"/>
    <col min="15622" max="15622" width="12" style="199" customWidth="1"/>
    <col min="15623" max="15623" width="8.42578125" style="199" bestFit="1" customWidth="1"/>
    <col min="15624" max="15624" width="9" style="199" customWidth="1"/>
    <col min="15625" max="15625" width="11.7109375" style="199" customWidth="1"/>
    <col min="15626" max="15626" width="9.28515625" style="199" bestFit="1" customWidth="1"/>
    <col min="15627" max="15627" width="8.42578125" style="199" bestFit="1" customWidth="1"/>
    <col min="15628" max="15628" width="11.7109375" style="199" customWidth="1"/>
    <col min="15629" max="15630" width="8.42578125" style="199" bestFit="1" customWidth="1"/>
    <col min="15631" max="15631" width="11.7109375" style="199" customWidth="1"/>
    <col min="15632" max="15632" width="9" style="199" customWidth="1"/>
    <col min="15633" max="15633" width="8.42578125" style="199" bestFit="1" customWidth="1"/>
    <col min="15634" max="15634" width="11.7109375" style="199" customWidth="1"/>
    <col min="15635" max="15636" width="8.42578125" style="199" bestFit="1" customWidth="1"/>
    <col min="15637" max="15637" width="11.7109375" style="199" customWidth="1"/>
    <col min="15638" max="15639" width="9" style="199" customWidth="1"/>
    <col min="15640" max="15640" width="12" style="199" customWidth="1"/>
    <col min="15641" max="15641" width="9" style="199" bestFit="1" customWidth="1"/>
    <col min="15642" max="15642" width="8" style="199" bestFit="1" customWidth="1"/>
    <col min="15643" max="15643" width="11.7109375" style="199" customWidth="1"/>
    <col min="15644" max="15871" width="11.42578125" style="199"/>
    <col min="15872" max="15872" width="1.5703125" style="199" customWidth="1"/>
    <col min="15873" max="15873" width="21.140625" style="199" customWidth="1"/>
    <col min="15874" max="15874" width="7.140625" style="199" customWidth="1"/>
    <col min="15875" max="15875" width="36.7109375" style="199" bestFit="1" customWidth="1"/>
    <col min="15876" max="15877" width="9.28515625" style="199" bestFit="1" customWidth="1"/>
    <col min="15878" max="15878" width="12" style="199" customWidth="1"/>
    <col min="15879" max="15879" width="8.42578125" style="199" bestFit="1" customWidth="1"/>
    <col min="15880" max="15880" width="9" style="199" customWidth="1"/>
    <col min="15881" max="15881" width="11.7109375" style="199" customWidth="1"/>
    <col min="15882" max="15882" width="9.28515625" style="199" bestFit="1" customWidth="1"/>
    <col min="15883" max="15883" width="8.42578125" style="199" bestFit="1" customWidth="1"/>
    <col min="15884" max="15884" width="11.7109375" style="199" customWidth="1"/>
    <col min="15885" max="15886" width="8.42578125" style="199" bestFit="1" customWidth="1"/>
    <col min="15887" max="15887" width="11.7109375" style="199" customWidth="1"/>
    <col min="15888" max="15888" width="9" style="199" customWidth="1"/>
    <col min="15889" max="15889" width="8.42578125" style="199" bestFit="1" customWidth="1"/>
    <col min="15890" max="15890" width="11.7109375" style="199" customWidth="1"/>
    <col min="15891" max="15892" width="8.42578125" style="199" bestFit="1" customWidth="1"/>
    <col min="15893" max="15893" width="11.7109375" style="199" customWidth="1"/>
    <col min="15894" max="15895" width="9" style="199" customWidth="1"/>
    <col min="15896" max="15896" width="12" style="199" customWidth="1"/>
    <col min="15897" max="15897" width="9" style="199" bestFit="1" customWidth="1"/>
    <col min="15898" max="15898" width="8" style="199" bestFit="1" customWidth="1"/>
    <col min="15899" max="15899" width="11.7109375" style="199" customWidth="1"/>
    <col min="15900" max="16127" width="11.42578125" style="199"/>
    <col min="16128" max="16128" width="1.5703125" style="199" customWidth="1"/>
    <col min="16129" max="16129" width="21.140625" style="199" customWidth="1"/>
    <col min="16130" max="16130" width="7.140625" style="199" customWidth="1"/>
    <col min="16131" max="16131" width="36.7109375" style="199" bestFit="1" customWidth="1"/>
    <col min="16132" max="16133" width="9.28515625" style="199" bestFit="1" customWidth="1"/>
    <col min="16134" max="16134" width="12" style="199" customWidth="1"/>
    <col min="16135" max="16135" width="8.42578125" style="199" bestFit="1" customWidth="1"/>
    <col min="16136" max="16136" width="9" style="199" customWidth="1"/>
    <col min="16137" max="16137" width="11.7109375" style="199" customWidth="1"/>
    <col min="16138" max="16138" width="9.28515625" style="199" bestFit="1" customWidth="1"/>
    <col min="16139" max="16139" width="8.42578125" style="199" bestFit="1" customWidth="1"/>
    <col min="16140" max="16140" width="11.7109375" style="199" customWidth="1"/>
    <col min="16141" max="16142" width="8.42578125" style="199" bestFit="1" customWidth="1"/>
    <col min="16143" max="16143" width="11.7109375" style="199" customWidth="1"/>
    <col min="16144" max="16144" width="9" style="199" customWidth="1"/>
    <col min="16145" max="16145" width="8.42578125" style="199" bestFit="1" customWidth="1"/>
    <col min="16146" max="16146" width="11.7109375" style="199" customWidth="1"/>
    <col min="16147" max="16148" width="8.42578125" style="199" bestFit="1" customWidth="1"/>
    <col min="16149" max="16149" width="11.7109375" style="199" customWidth="1"/>
    <col min="16150" max="16151" width="9" style="199" customWidth="1"/>
    <col min="16152" max="16152" width="12" style="199" customWidth="1"/>
    <col min="16153" max="16153" width="9" style="199" bestFit="1" customWidth="1"/>
    <col min="16154" max="16154" width="8" style="199" bestFit="1" customWidth="1"/>
    <col min="16155" max="16155" width="11.7109375" style="199" customWidth="1"/>
    <col min="16156" max="16384" width="11.42578125" style="199"/>
  </cols>
  <sheetData>
    <row r="1" spans="1:48" s="203" customFormat="1" ht="31.5" customHeight="1" x14ac:dyDescent="0.25">
      <c r="A1" s="5722" t="s">
        <v>1215</v>
      </c>
      <c r="B1" s="5722"/>
      <c r="C1" s="572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V1" s="242"/>
      <c r="W1" s="242"/>
      <c r="X1" s="242"/>
      <c r="Y1" s="242"/>
      <c r="Z1" s="242"/>
      <c r="AA1" s="242"/>
    </row>
    <row r="2" spans="1:48" s="203" customFormat="1" ht="15.75" x14ac:dyDescent="0.25">
      <c r="A2" s="205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</row>
    <row r="3" spans="1:48" ht="15" x14ac:dyDescent="0.2">
      <c r="A3" s="5723" t="s">
        <v>16</v>
      </c>
      <c r="B3" s="5723" t="s">
        <v>4</v>
      </c>
      <c r="C3" s="5723" t="s">
        <v>349</v>
      </c>
      <c r="D3" s="5641">
        <v>2003</v>
      </c>
      <c r="E3" s="5642"/>
      <c r="F3" s="5643"/>
      <c r="G3" s="5641">
        <v>2004</v>
      </c>
      <c r="H3" s="5642"/>
      <c r="I3" s="5643"/>
      <c r="J3" s="5641">
        <v>2005</v>
      </c>
      <c r="K3" s="5642"/>
      <c r="L3" s="5643"/>
      <c r="M3" s="5641">
        <v>2006</v>
      </c>
      <c r="N3" s="5642"/>
      <c r="O3" s="5643"/>
      <c r="P3" s="5641">
        <v>2007</v>
      </c>
      <c r="Q3" s="5642"/>
      <c r="R3" s="5643"/>
      <c r="S3" s="5641">
        <v>2008</v>
      </c>
      <c r="T3" s="5642"/>
      <c r="U3" s="5643"/>
      <c r="V3" s="5641">
        <v>2009</v>
      </c>
      <c r="W3" s="5642"/>
      <c r="X3" s="5643"/>
      <c r="Y3" s="5641">
        <v>2010</v>
      </c>
      <c r="Z3" s="5642"/>
      <c r="AA3" s="5643"/>
      <c r="AB3" s="5641">
        <v>2011</v>
      </c>
      <c r="AC3" s="5642"/>
      <c r="AD3" s="5643"/>
      <c r="AE3" s="5641">
        <v>2012</v>
      </c>
      <c r="AF3" s="5642"/>
      <c r="AG3" s="5643"/>
      <c r="AH3" s="5641">
        <v>2013</v>
      </c>
      <c r="AI3" s="5642"/>
      <c r="AJ3" s="5643"/>
      <c r="AK3" s="5641">
        <v>2014</v>
      </c>
      <c r="AL3" s="5642"/>
      <c r="AM3" s="5643"/>
      <c r="AN3" s="5641">
        <v>2015</v>
      </c>
      <c r="AO3" s="5642"/>
      <c r="AP3" s="5643"/>
      <c r="AQ3" s="5641">
        <v>2016</v>
      </c>
      <c r="AR3" s="5642"/>
      <c r="AS3" s="5643"/>
      <c r="AT3" s="5641">
        <v>2017</v>
      </c>
      <c r="AU3" s="5642"/>
      <c r="AV3" s="5643"/>
    </row>
    <row r="4" spans="1:48" s="196" customFormat="1" ht="15.75" x14ac:dyDescent="0.25">
      <c r="A4" s="5723"/>
      <c r="B4" s="5723"/>
      <c r="C4" s="5723"/>
      <c r="D4" s="557" t="s">
        <v>651</v>
      </c>
      <c r="E4" s="558" t="s">
        <v>652</v>
      </c>
      <c r="F4" s="996" t="s">
        <v>160</v>
      </c>
      <c r="G4" s="557" t="s">
        <v>651</v>
      </c>
      <c r="H4" s="558" t="s">
        <v>652</v>
      </c>
      <c r="I4" s="996" t="s">
        <v>160</v>
      </c>
      <c r="J4" s="557" t="s">
        <v>651</v>
      </c>
      <c r="K4" s="558" t="s">
        <v>652</v>
      </c>
      <c r="L4" s="996" t="s">
        <v>160</v>
      </c>
      <c r="M4" s="557" t="s">
        <v>651</v>
      </c>
      <c r="N4" s="558" t="s">
        <v>652</v>
      </c>
      <c r="O4" s="996" t="s">
        <v>160</v>
      </c>
      <c r="P4" s="557" t="s">
        <v>651</v>
      </c>
      <c r="Q4" s="558" t="s">
        <v>652</v>
      </c>
      <c r="R4" s="996" t="s">
        <v>160</v>
      </c>
      <c r="S4" s="557" t="s">
        <v>651</v>
      </c>
      <c r="T4" s="558" t="s">
        <v>652</v>
      </c>
      <c r="U4" s="996" t="s">
        <v>160</v>
      </c>
      <c r="V4" s="557" t="s">
        <v>651</v>
      </c>
      <c r="W4" s="558" t="s">
        <v>652</v>
      </c>
      <c r="X4" s="996" t="s">
        <v>160</v>
      </c>
      <c r="Y4" s="557" t="s">
        <v>651</v>
      </c>
      <c r="Z4" s="558" t="s">
        <v>652</v>
      </c>
      <c r="AA4" s="996" t="s">
        <v>160</v>
      </c>
      <c r="AB4" s="557" t="s">
        <v>651</v>
      </c>
      <c r="AC4" s="558" t="s">
        <v>652</v>
      </c>
      <c r="AD4" s="996" t="s">
        <v>160</v>
      </c>
      <c r="AE4" s="557" t="s">
        <v>651</v>
      </c>
      <c r="AF4" s="558" t="s">
        <v>652</v>
      </c>
      <c r="AG4" s="996" t="s">
        <v>160</v>
      </c>
      <c r="AH4" s="557" t="s">
        <v>651</v>
      </c>
      <c r="AI4" s="558" t="s">
        <v>652</v>
      </c>
      <c r="AJ4" s="996" t="s">
        <v>160</v>
      </c>
      <c r="AK4" s="557" t="s">
        <v>651</v>
      </c>
      <c r="AL4" s="558" t="s">
        <v>652</v>
      </c>
      <c r="AM4" s="996" t="s">
        <v>160</v>
      </c>
      <c r="AN4" s="557" t="s">
        <v>651</v>
      </c>
      <c r="AO4" s="558" t="s">
        <v>652</v>
      </c>
      <c r="AP4" s="996" t="s">
        <v>160</v>
      </c>
      <c r="AQ4" s="557" t="s">
        <v>651</v>
      </c>
      <c r="AR4" s="558" t="s">
        <v>652</v>
      </c>
      <c r="AS4" s="996" t="s">
        <v>160</v>
      </c>
      <c r="AT4" s="557" t="s">
        <v>651</v>
      </c>
      <c r="AU4" s="558" t="s">
        <v>652</v>
      </c>
      <c r="AV4" s="996" t="s">
        <v>160</v>
      </c>
    </row>
    <row r="5" spans="1:48" s="186" customFormat="1" ht="15" customHeight="1" x14ac:dyDescent="0.25">
      <c r="A5" s="5665" t="s">
        <v>161</v>
      </c>
      <c r="B5" s="5674" t="s">
        <v>5</v>
      </c>
      <c r="C5" s="793" t="s">
        <v>446</v>
      </c>
      <c r="D5" s="833">
        <v>34</v>
      </c>
      <c r="E5" s="834">
        <v>53</v>
      </c>
      <c r="F5" s="796">
        <v>87</v>
      </c>
      <c r="G5" s="833">
        <v>24</v>
      </c>
      <c r="H5" s="834">
        <v>82</v>
      </c>
      <c r="I5" s="796">
        <v>106</v>
      </c>
      <c r="J5" s="794">
        <v>21</v>
      </c>
      <c r="K5" s="795">
        <v>62</v>
      </c>
      <c r="L5" s="796">
        <v>83</v>
      </c>
      <c r="M5" s="794">
        <v>44</v>
      </c>
      <c r="N5" s="795">
        <v>71</v>
      </c>
      <c r="O5" s="796">
        <v>115</v>
      </c>
      <c r="P5" s="794">
        <v>38</v>
      </c>
      <c r="Q5" s="795">
        <v>114</v>
      </c>
      <c r="R5" s="796">
        <v>152</v>
      </c>
      <c r="S5" s="794">
        <v>67</v>
      </c>
      <c r="T5" s="795">
        <v>148</v>
      </c>
      <c r="U5" s="796">
        <v>215</v>
      </c>
      <c r="V5" s="794">
        <v>76</v>
      </c>
      <c r="W5" s="795">
        <v>126</v>
      </c>
      <c r="X5" s="796">
        <v>202</v>
      </c>
      <c r="Y5" s="794">
        <v>111</v>
      </c>
      <c r="Z5" s="795">
        <v>168</v>
      </c>
      <c r="AA5" s="796">
        <f>SUM(Y5:Z5)</f>
        <v>279</v>
      </c>
      <c r="AB5" s="794">
        <v>108</v>
      </c>
      <c r="AC5" s="795">
        <v>111</v>
      </c>
      <c r="AD5" s="796">
        <f>SUM(AB5:AC5)</f>
        <v>219</v>
      </c>
      <c r="AE5" s="794">
        <v>56</v>
      </c>
      <c r="AF5" s="795">
        <v>103</v>
      </c>
      <c r="AG5" s="796">
        <f>SUM(AE5:AF5)</f>
        <v>159</v>
      </c>
      <c r="AH5" s="794">
        <v>60</v>
      </c>
      <c r="AI5" s="795">
        <v>96</v>
      </c>
      <c r="AJ5" s="796">
        <f>SUM(AH5:AI5)</f>
        <v>156</v>
      </c>
      <c r="AK5" s="797">
        <v>47</v>
      </c>
      <c r="AL5" s="795">
        <v>105</v>
      </c>
      <c r="AM5" s="796">
        <f>SUM(AK5:AL5)</f>
        <v>152</v>
      </c>
      <c r="AN5" s="797">
        <v>40</v>
      </c>
      <c r="AO5" s="795">
        <v>83</v>
      </c>
      <c r="AP5" s="796">
        <f>SUM(AN5:AO5)</f>
        <v>123</v>
      </c>
      <c r="AQ5" s="797">
        <v>48</v>
      </c>
      <c r="AR5" s="795">
        <v>105</v>
      </c>
      <c r="AS5" s="796">
        <f>SUM(AQ5:AR5)</f>
        <v>153</v>
      </c>
      <c r="AT5" s="797">
        <v>60</v>
      </c>
      <c r="AU5" s="795">
        <v>96</v>
      </c>
      <c r="AV5" s="796">
        <f>SUM(AT5:AU5)</f>
        <v>156</v>
      </c>
    </row>
    <row r="6" spans="1:48" s="186" customFormat="1" ht="15" customHeight="1" x14ac:dyDescent="0.25">
      <c r="A6" s="5666"/>
      <c r="B6" s="5675"/>
      <c r="C6" s="799" t="s">
        <v>447</v>
      </c>
      <c r="D6" s="835">
        <v>35</v>
      </c>
      <c r="E6" s="836">
        <v>93</v>
      </c>
      <c r="F6" s="802">
        <v>128</v>
      </c>
      <c r="G6" s="835">
        <v>40</v>
      </c>
      <c r="H6" s="836">
        <v>135</v>
      </c>
      <c r="I6" s="802">
        <v>175</v>
      </c>
      <c r="J6" s="800">
        <v>68</v>
      </c>
      <c r="K6" s="801">
        <v>100</v>
      </c>
      <c r="L6" s="802">
        <v>168</v>
      </c>
      <c r="M6" s="800">
        <v>58</v>
      </c>
      <c r="N6" s="801">
        <v>140</v>
      </c>
      <c r="O6" s="802">
        <v>198</v>
      </c>
      <c r="P6" s="800">
        <v>57</v>
      </c>
      <c r="Q6" s="801">
        <v>162</v>
      </c>
      <c r="R6" s="802">
        <v>219</v>
      </c>
      <c r="S6" s="800">
        <v>83</v>
      </c>
      <c r="T6" s="801">
        <v>162</v>
      </c>
      <c r="U6" s="802">
        <v>245</v>
      </c>
      <c r="V6" s="800">
        <v>102</v>
      </c>
      <c r="W6" s="801">
        <v>157</v>
      </c>
      <c r="X6" s="802">
        <v>259</v>
      </c>
      <c r="Y6" s="800">
        <v>116</v>
      </c>
      <c r="Z6" s="801">
        <v>225</v>
      </c>
      <c r="AA6" s="802">
        <f t="shared" ref="AA6:AA68" si="0">SUM(Y6:Z6)</f>
        <v>341</v>
      </c>
      <c r="AB6" s="800">
        <v>114</v>
      </c>
      <c r="AC6" s="801">
        <v>115</v>
      </c>
      <c r="AD6" s="802">
        <f t="shared" ref="AD6:AD68" si="1">SUM(AB6:AC6)</f>
        <v>229</v>
      </c>
      <c r="AE6" s="800">
        <v>56</v>
      </c>
      <c r="AF6" s="801">
        <v>106</v>
      </c>
      <c r="AG6" s="802">
        <f t="shared" ref="AG6:AG82" si="2">SUM(AE6:AF6)</f>
        <v>162</v>
      </c>
      <c r="AH6" s="800">
        <v>60</v>
      </c>
      <c r="AI6" s="801">
        <v>97</v>
      </c>
      <c r="AJ6" s="802">
        <f t="shared" ref="AJ6:AJ14" si="3">SUM(AH6:AI6)</f>
        <v>157</v>
      </c>
      <c r="AK6" s="803">
        <v>47</v>
      </c>
      <c r="AL6" s="801">
        <v>115</v>
      </c>
      <c r="AM6" s="802">
        <f t="shared" ref="AM6:AM14" si="4">SUM(AK6:AL6)</f>
        <v>162</v>
      </c>
      <c r="AN6" s="803">
        <v>40</v>
      </c>
      <c r="AO6" s="801">
        <v>88</v>
      </c>
      <c r="AP6" s="802">
        <f t="shared" ref="AP6:AP14" si="5">SUM(AN6:AO6)</f>
        <v>128</v>
      </c>
      <c r="AQ6" s="803">
        <v>72</v>
      </c>
      <c r="AR6" s="801">
        <v>117</v>
      </c>
      <c r="AS6" s="802">
        <f t="shared" ref="AS6:AS14" si="6">SUM(AQ6:AR6)</f>
        <v>189</v>
      </c>
      <c r="AT6" s="803">
        <v>70</v>
      </c>
      <c r="AU6" s="801">
        <v>116</v>
      </c>
      <c r="AV6" s="802">
        <f t="shared" ref="AV6:AV14" si="7">SUM(AT6:AU6)</f>
        <v>186</v>
      </c>
    </row>
    <row r="7" spans="1:48" s="186" customFormat="1" ht="15" customHeight="1" x14ac:dyDescent="0.25">
      <c r="A7" s="5666"/>
      <c r="B7" s="5675"/>
      <c r="C7" s="799" t="s">
        <v>448</v>
      </c>
      <c r="D7" s="835">
        <v>24</v>
      </c>
      <c r="E7" s="836">
        <v>57</v>
      </c>
      <c r="F7" s="802">
        <v>81</v>
      </c>
      <c r="G7" s="835">
        <v>58</v>
      </c>
      <c r="H7" s="836">
        <v>80</v>
      </c>
      <c r="I7" s="802">
        <v>138</v>
      </c>
      <c r="J7" s="800">
        <v>20</v>
      </c>
      <c r="K7" s="801">
        <v>39</v>
      </c>
      <c r="L7" s="802">
        <v>59</v>
      </c>
      <c r="M7" s="800">
        <v>27</v>
      </c>
      <c r="N7" s="801">
        <v>50</v>
      </c>
      <c r="O7" s="802">
        <v>77</v>
      </c>
      <c r="P7" s="800">
        <v>33</v>
      </c>
      <c r="Q7" s="801">
        <v>57</v>
      </c>
      <c r="R7" s="802">
        <v>90</v>
      </c>
      <c r="S7" s="800">
        <v>35</v>
      </c>
      <c r="T7" s="801">
        <v>75</v>
      </c>
      <c r="U7" s="802">
        <v>110</v>
      </c>
      <c r="V7" s="800">
        <v>54</v>
      </c>
      <c r="W7" s="801">
        <v>84</v>
      </c>
      <c r="X7" s="802">
        <v>138</v>
      </c>
      <c r="Y7" s="800">
        <v>29</v>
      </c>
      <c r="Z7" s="801">
        <v>74</v>
      </c>
      <c r="AA7" s="802">
        <f t="shared" si="0"/>
        <v>103</v>
      </c>
      <c r="AB7" s="800">
        <v>97</v>
      </c>
      <c r="AC7" s="801">
        <v>77</v>
      </c>
      <c r="AD7" s="802">
        <f t="shared" si="1"/>
        <v>174</v>
      </c>
      <c r="AE7" s="800">
        <v>55</v>
      </c>
      <c r="AF7" s="801">
        <v>78</v>
      </c>
      <c r="AG7" s="802">
        <f t="shared" si="2"/>
        <v>133</v>
      </c>
      <c r="AH7" s="800">
        <v>61</v>
      </c>
      <c r="AI7" s="801">
        <v>85</v>
      </c>
      <c r="AJ7" s="802">
        <f t="shared" si="3"/>
        <v>146</v>
      </c>
      <c r="AK7" s="803">
        <v>32</v>
      </c>
      <c r="AL7" s="801">
        <v>75</v>
      </c>
      <c r="AM7" s="802">
        <f t="shared" si="4"/>
        <v>107</v>
      </c>
      <c r="AN7" s="803">
        <v>35</v>
      </c>
      <c r="AO7" s="801">
        <v>71</v>
      </c>
      <c r="AP7" s="802">
        <f t="shared" si="5"/>
        <v>106</v>
      </c>
      <c r="AQ7" s="803">
        <v>27</v>
      </c>
      <c r="AR7" s="801">
        <v>48</v>
      </c>
      <c r="AS7" s="802">
        <f t="shared" si="6"/>
        <v>75</v>
      </c>
      <c r="AT7" s="803">
        <v>45</v>
      </c>
      <c r="AU7" s="801">
        <v>64</v>
      </c>
      <c r="AV7" s="802">
        <f t="shared" si="7"/>
        <v>109</v>
      </c>
    </row>
    <row r="8" spans="1:48" s="186" customFormat="1" ht="15" customHeight="1" x14ac:dyDescent="0.25">
      <c r="A8" s="5666"/>
      <c r="B8" s="5675"/>
      <c r="C8" s="799" t="s">
        <v>449</v>
      </c>
      <c r="D8" s="835">
        <v>18</v>
      </c>
      <c r="E8" s="836">
        <v>41</v>
      </c>
      <c r="F8" s="802">
        <v>59</v>
      </c>
      <c r="G8" s="835">
        <v>30</v>
      </c>
      <c r="H8" s="836">
        <v>54</v>
      </c>
      <c r="I8" s="802">
        <v>84</v>
      </c>
      <c r="J8" s="800">
        <v>28</v>
      </c>
      <c r="K8" s="801">
        <v>54</v>
      </c>
      <c r="L8" s="802">
        <v>82</v>
      </c>
      <c r="M8" s="800">
        <v>16</v>
      </c>
      <c r="N8" s="801">
        <v>42</v>
      </c>
      <c r="O8" s="802">
        <v>58</v>
      </c>
      <c r="P8" s="800">
        <v>11</v>
      </c>
      <c r="Q8" s="801">
        <v>42</v>
      </c>
      <c r="R8" s="802">
        <v>53</v>
      </c>
      <c r="S8" s="800">
        <v>26</v>
      </c>
      <c r="T8" s="801">
        <v>61</v>
      </c>
      <c r="U8" s="802">
        <v>87</v>
      </c>
      <c r="V8" s="800">
        <v>28</v>
      </c>
      <c r="W8" s="801">
        <v>70</v>
      </c>
      <c r="X8" s="802">
        <v>98</v>
      </c>
      <c r="Y8" s="800">
        <v>38</v>
      </c>
      <c r="Z8" s="801">
        <v>94</v>
      </c>
      <c r="AA8" s="802">
        <f t="shared" si="0"/>
        <v>132</v>
      </c>
      <c r="AB8" s="800">
        <v>94</v>
      </c>
      <c r="AC8" s="801">
        <v>81</v>
      </c>
      <c r="AD8" s="802">
        <f t="shared" si="1"/>
        <v>175</v>
      </c>
      <c r="AE8" s="800">
        <v>45</v>
      </c>
      <c r="AF8" s="801">
        <v>87</v>
      </c>
      <c r="AG8" s="802">
        <f t="shared" si="2"/>
        <v>132</v>
      </c>
      <c r="AH8" s="800">
        <v>60</v>
      </c>
      <c r="AI8" s="801">
        <v>92</v>
      </c>
      <c r="AJ8" s="802">
        <f t="shared" si="3"/>
        <v>152</v>
      </c>
      <c r="AK8" s="803">
        <v>49</v>
      </c>
      <c r="AL8" s="801">
        <v>97</v>
      </c>
      <c r="AM8" s="802">
        <f t="shared" si="4"/>
        <v>146</v>
      </c>
      <c r="AN8" s="803">
        <v>40</v>
      </c>
      <c r="AO8" s="801">
        <v>90</v>
      </c>
      <c r="AP8" s="802">
        <f t="shared" si="5"/>
        <v>130</v>
      </c>
      <c r="AQ8" s="803">
        <v>42</v>
      </c>
      <c r="AR8" s="801">
        <v>77</v>
      </c>
      <c r="AS8" s="802">
        <f t="shared" si="6"/>
        <v>119</v>
      </c>
      <c r="AT8" s="803">
        <v>60</v>
      </c>
      <c r="AU8" s="801">
        <v>102</v>
      </c>
      <c r="AV8" s="802">
        <f t="shared" si="7"/>
        <v>162</v>
      </c>
    </row>
    <row r="9" spans="1:48" s="186" customFormat="1" ht="15" customHeight="1" x14ac:dyDescent="0.25">
      <c r="A9" s="5666"/>
      <c r="B9" s="5675"/>
      <c r="C9" s="799" t="s">
        <v>450</v>
      </c>
      <c r="D9" s="835">
        <v>90</v>
      </c>
      <c r="E9" s="836">
        <v>169</v>
      </c>
      <c r="F9" s="802">
        <v>259</v>
      </c>
      <c r="G9" s="835">
        <v>130</v>
      </c>
      <c r="H9" s="836">
        <v>168</v>
      </c>
      <c r="I9" s="802">
        <v>298</v>
      </c>
      <c r="J9" s="800">
        <v>101</v>
      </c>
      <c r="K9" s="801">
        <v>182</v>
      </c>
      <c r="L9" s="802">
        <v>283</v>
      </c>
      <c r="M9" s="800">
        <v>90</v>
      </c>
      <c r="N9" s="801">
        <v>231</v>
      </c>
      <c r="O9" s="802">
        <v>321</v>
      </c>
      <c r="P9" s="800">
        <v>123</v>
      </c>
      <c r="Q9" s="801">
        <v>230</v>
      </c>
      <c r="R9" s="802">
        <v>353</v>
      </c>
      <c r="S9" s="800">
        <v>98</v>
      </c>
      <c r="T9" s="801">
        <v>187</v>
      </c>
      <c r="U9" s="802">
        <v>285</v>
      </c>
      <c r="V9" s="800">
        <v>95</v>
      </c>
      <c r="W9" s="801">
        <v>131</v>
      </c>
      <c r="X9" s="802">
        <v>226</v>
      </c>
      <c r="Y9" s="800">
        <v>118</v>
      </c>
      <c r="Z9" s="801">
        <v>189</v>
      </c>
      <c r="AA9" s="802">
        <f t="shared" si="0"/>
        <v>307</v>
      </c>
      <c r="AB9" s="800">
        <v>112</v>
      </c>
      <c r="AC9" s="801">
        <v>107</v>
      </c>
      <c r="AD9" s="802">
        <f t="shared" si="1"/>
        <v>219</v>
      </c>
      <c r="AE9" s="800">
        <v>46</v>
      </c>
      <c r="AF9" s="801">
        <v>98</v>
      </c>
      <c r="AG9" s="802">
        <f t="shared" si="2"/>
        <v>144</v>
      </c>
      <c r="AH9" s="800">
        <v>60</v>
      </c>
      <c r="AI9" s="801">
        <v>103</v>
      </c>
      <c r="AJ9" s="802">
        <f t="shared" si="3"/>
        <v>163</v>
      </c>
      <c r="AK9" s="803">
        <v>47</v>
      </c>
      <c r="AL9" s="801">
        <v>100</v>
      </c>
      <c r="AM9" s="802">
        <f t="shared" si="4"/>
        <v>147</v>
      </c>
      <c r="AN9" s="803">
        <v>40</v>
      </c>
      <c r="AO9" s="801">
        <v>91</v>
      </c>
      <c r="AP9" s="802">
        <f t="shared" si="5"/>
        <v>131</v>
      </c>
      <c r="AQ9" s="803">
        <v>73</v>
      </c>
      <c r="AR9" s="801">
        <v>123</v>
      </c>
      <c r="AS9" s="802">
        <f t="shared" si="6"/>
        <v>196</v>
      </c>
      <c r="AT9" s="803">
        <v>70</v>
      </c>
      <c r="AU9" s="801">
        <v>125</v>
      </c>
      <c r="AV9" s="802">
        <f t="shared" si="7"/>
        <v>195</v>
      </c>
    </row>
    <row r="10" spans="1:48" s="186" customFormat="1" ht="15" customHeight="1" x14ac:dyDescent="0.25">
      <c r="A10" s="5666"/>
      <c r="B10" s="5675"/>
      <c r="C10" s="799" t="s">
        <v>451</v>
      </c>
      <c r="D10" s="835">
        <v>56</v>
      </c>
      <c r="E10" s="836">
        <v>133</v>
      </c>
      <c r="F10" s="802">
        <v>189</v>
      </c>
      <c r="G10" s="835">
        <v>69</v>
      </c>
      <c r="H10" s="836">
        <v>134</v>
      </c>
      <c r="I10" s="802">
        <v>203</v>
      </c>
      <c r="J10" s="800">
        <v>91</v>
      </c>
      <c r="K10" s="801">
        <v>144</v>
      </c>
      <c r="L10" s="802">
        <v>235</v>
      </c>
      <c r="M10" s="800">
        <v>102</v>
      </c>
      <c r="N10" s="801">
        <v>173</v>
      </c>
      <c r="O10" s="802">
        <v>275</v>
      </c>
      <c r="P10" s="800">
        <v>63</v>
      </c>
      <c r="Q10" s="801">
        <v>208</v>
      </c>
      <c r="R10" s="802">
        <v>271</v>
      </c>
      <c r="S10" s="800">
        <v>73</v>
      </c>
      <c r="T10" s="801">
        <v>165</v>
      </c>
      <c r="U10" s="802">
        <v>238</v>
      </c>
      <c r="V10" s="800">
        <v>87</v>
      </c>
      <c r="W10" s="801">
        <v>144</v>
      </c>
      <c r="X10" s="802">
        <v>231</v>
      </c>
      <c r="Y10" s="800">
        <v>111</v>
      </c>
      <c r="Z10" s="801">
        <v>167</v>
      </c>
      <c r="AA10" s="802">
        <f t="shared" si="0"/>
        <v>278</v>
      </c>
      <c r="AB10" s="800">
        <v>115</v>
      </c>
      <c r="AC10" s="801">
        <v>107</v>
      </c>
      <c r="AD10" s="802">
        <f t="shared" si="1"/>
        <v>222</v>
      </c>
      <c r="AE10" s="800">
        <v>45</v>
      </c>
      <c r="AF10" s="801">
        <v>92</v>
      </c>
      <c r="AG10" s="802">
        <f t="shared" si="2"/>
        <v>137</v>
      </c>
      <c r="AH10" s="800">
        <v>60</v>
      </c>
      <c r="AI10" s="801">
        <v>98</v>
      </c>
      <c r="AJ10" s="802">
        <f t="shared" si="3"/>
        <v>158</v>
      </c>
      <c r="AK10" s="803">
        <v>47</v>
      </c>
      <c r="AL10" s="801">
        <v>110</v>
      </c>
      <c r="AM10" s="802">
        <f t="shared" si="4"/>
        <v>157</v>
      </c>
      <c r="AN10" s="803">
        <v>40</v>
      </c>
      <c r="AO10" s="801">
        <v>88</v>
      </c>
      <c r="AP10" s="802">
        <f t="shared" si="5"/>
        <v>128</v>
      </c>
      <c r="AQ10" s="803">
        <v>72</v>
      </c>
      <c r="AR10" s="801">
        <v>116</v>
      </c>
      <c r="AS10" s="802">
        <f t="shared" si="6"/>
        <v>188</v>
      </c>
      <c r="AT10" s="803">
        <v>70</v>
      </c>
      <c r="AU10" s="801">
        <v>125</v>
      </c>
      <c r="AV10" s="802">
        <f t="shared" si="7"/>
        <v>195</v>
      </c>
    </row>
    <row r="11" spans="1:48" s="186" customFormat="1" ht="15" customHeight="1" x14ac:dyDescent="0.25">
      <c r="A11" s="5666"/>
      <c r="B11" s="5675"/>
      <c r="C11" s="799" t="s">
        <v>452</v>
      </c>
      <c r="D11" s="835">
        <v>4</v>
      </c>
      <c r="E11" s="836">
        <v>13</v>
      </c>
      <c r="F11" s="802">
        <v>17</v>
      </c>
      <c r="G11" s="835">
        <v>7</v>
      </c>
      <c r="H11" s="836">
        <v>29</v>
      </c>
      <c r="I11" s="802">
        <v>36</v>
      </c>
      <c r="J11" s="800">
        <v>13</v>
      </c>
      <c r="K11" s="801">
        <v>27</v>
      </c>
      <c r="L11" s="802">
        <v>40</v>
      </c>
      <c r="M11" s="800">
        <v>8</v>
      </c>
      <c r="N11" s="801">
        <v>39</v>
      </c>
      <c r="O11" s="802">
        <v>47</v>
      </c>
      <c r="P11" s="800">
        <v>14</v>
      </c>
      <c r="Q11" s="801">
        <v>29</v>
      </c>
      <c r="R11" s="802">
        <v>43</v>
      </c>
      <c r="S11" s="800">
        <v>12</v>
      </c>
      <c r="T11" s="801">
        <v>42</v>
      </c>
      <c r="U11" s="802">
        <v>54</v>
      </c>
      <c r="V11" s="800">
        <v>21</v>
      </c>
      <c r="W11" s="801">
        <v>59</v>
      </c>
      <c r="X11" s="802">
        <v>80</v>
      </c>
      <c r="Y11" s="800">
        <v>22</v>
      </c>
      <c r="Z11" s="801">
        <v>59</v>
      </c>
      <c r="AA11" s="802">
        <f t="shared" si="0"/>
        <v>81</v>
      </c>
      <c r="AB11" s="800">
        <v>96</v>
      </c>
      <c r="AC11" s="801">
        <v>51</v>
      </c>
      <c r="AD11" s="802">
        <f t="shared" si="1"/>
        <v>147</v>
      </c>
      <c r="AE11" s="800">
        <v>55</v>
      </c>
      <c r="AF11" s="801">
        <v>75</v>
      </c>
      <c r="AG11" s="802">
        <f t="shared" si="2"/>
        <v>130</v>
      </c>
      <c r="AH11" s="800">
        <v>60</v>
      </c>
      <c r="AI11" s="801">
        <v>93</v>
      </c>
      <c r="AJ11" s="802">
        <f t="shared" si="3"/>
        <v>153</v>
      </c>
      <c r="AK11" s="803">
        <v>39</v>
      </c>
      <c r="AL11" s="801">
        <v>84</v>
      </c>
      <c r="AM11" s="802">
        <f t="shared" si="4"/>
        <v>123</v>
      </c>
      <c r="AN11" s="803">
        <v>40</v>
      </c>
      <c r="AO11" s="801">
        <v>85</v>
      </c>
      <c r="AP11" s="802">
        <f t="shared" si="5"/>
        <v>125</v>
      </c>
      <c r="AQ11" s="803">
        <v>48</v>
      </c>
      <c r="AR11" s="801">
        <v>44</v>
      </c>
      <c r="AS11" s="802">
        <f t="shared" si="6"/>
        <v>92</v>
      </c>
      <c r="AT11" s="803">
        <v>40</v>
      </c>
      <c r="AU11" s="801">
        <v>61</v>
      </c>
      <c r="AV11" s="802">
        <f t="shared" si="7"/>
        <v>101</v>
      </c>
    </row>
    <row r="12" spans="1:48" s="186" customFormat="1" ht="15" customHeight="1" x14ac:dyDescent="0.25">
      <c r="A12" s="5666"/>
      <c r="B12" s="5675"/>
      <c r="C12" s="799" t="s">
        <v>453</v>
      </c>
      <c r="D12" s="835">
        <v>50</v>
      </c>
      <c r="E12" s="836">
        <v>131</v>
      </c>
      <c r="F12" s="802">
        <v>181</v>
      </c>
      <c r="G12" s="835">
        <v>50</v>
      </c>
      <c r="H12" s="836">
        <v>139</v>
      </c>
      <c r="I12" s="802">
        <v>189</v>
      </c>
      <c r="J12" s="800">
        <v>51</v>
      </c>
      <c r="K12" s="801">
        <v>126</v>
      </c>
      <c r="L12" s="802">
        <v>177</v>
      </c>
      <c r="M12" s="800">
        <v>74</v>
      </c>
      <c r="N12" s="801">
        <v>117</v>
      </c>
      <c r="O12" s="802">
        <v>191</v>
      </c>
      <c r="P12" s="800">
        <v>62</v>
      </c>
      <c r="Q12" s="801">
        <v>184</v>
      </c>
      <c r="R12" s="802">
        <v>246</v>
      </c>
      <c r="S12" s="800">
        <v>75</v>
      </c>
      <c r="T12" s="801">
        <v>155</v>
      </c>
      <c r="U12" s="802">
        <v>230</v>
      </c>
      <c r="V12" s="800">
        <v>81</v>
      </c>
      <c r="W12" s="801">
        <v>140</v>
      </c>
      <c r="X12" s="802">
        <v>221</v>
      </c>
      <c r="Y12" s="800">
        <v>117</v>
      </c>
      <c r="Z12" s="801">
        <v>155</v>
      </c>
      <c r="AA12" s="802">
        <f t="shared" si="0"/>
        <v>272</v>
      </c>
      <c r="AB12" s="800">
        <v>100</v>
      </c>
      <c r="AC12" s="801">
        <v>110</v>
      </c>
      <c r="AD12" s="802">
        <f t="shared" si="1"/>
        <v>210</v>
      </c>
      <c r="AE12" s="800">
        <v>55</v>
      </c>
      <c r="AF12" s="801">
        <v>96</v>
      </c>
      <c r="AG12" s="802">
        <f t="shared" si="2"/>
        <v>151</v>
      </c>
      <c r="AH12" s="800">
        <v>59</v>
      </c>
      <c r="AI12" s="801">
        <v>97</v>
      </c>
      <c r="AJ12" s="802">
        <f t="shared" si="3"/>
        <v>156</v>
      </c>
      <c r="AK12" s="803">
        <v>48</v>
      </c>
      <c r="AL12" s="801">
        <v>122</v>
      </c>
      <c r="AM12" s="802">
        <f t="shared" si="4"/>
        <v>170</v>
      </c>
      <c r="AN12" s="803">
        <v>40</v>
      </c>
      <c r="AO12" s="801">
        <v>91</v>
      </c>
      <c r="AP12" s="802">
        <f t="shared" si="5"/>
        <v>131</v>
      </c>
      <c r="AQ12" s="803">
        <v>72</v>
      </c>
      <c r="AR12" s="801">
        <v>114</v>
      </c>
      <c r="AS12" s="802">
        <f t="shared" si="6"/>
        <v>186</v>
      </c>
      <c r="AT12" s="803">
        <v>70</v>
      </c>
      <c r="AU12" s="801">
        <v>124</v>
      </c>
      <c r="AV12" s="802">
        <f t="shared" si="7"/>
        <v>194</v>
      </c>
    </row>
    <row r="13" spans="1:48" s="186" customFormat="1" ht="15" customHeight="1" x14ac:dyDescent="0.25">
      <c r="A13" s="5666"/>
      <c r="B13" s="5675"/>
      <c r="C13" s="799" t="s">
        <v>454</v>
      </c>
      <c r="D13" s="835">
        <v>109</v>
      </c>
      <c r="E13" s="836">
        <v>172</v>
      </c>
      <c r="F13" s="802">
        <v>281</v>
      </c>
      <c r="G13" s="835">
        <v>143</v>
      </c>
      <c r="H13" s="836">
        <v>187</v>
      </c>
      <c r="I13" s="802">
        <v>330</v>
      </c>
      <c r="J13" s="800">
        <v>161</v>
      </c>
      <c r="K13" s="801">
        <v>255</v>
      </c>
      <c r="L13" s="802">
        <v>416</v>
      </c>
      <c r="M13" s="800">
        <v>169</v>
      </c>
      <c r="N13" s="801">
        <v>200</v>
      </c>
      <c r="O13" s="802">
        <v>369</v>
      </c>
      <c r="P13" s="800">
        <v>144</v>
      </c>
      <c r="Q13" s="801">
        <v>175</v>
      </c>
      <c r="R13" s="802">
        <v>319</v>
      </c>
      <c r="S13" s="800">
        <v>76</v>
      </c>
      <c r="T13" s="801">
        <v>177</v>
      </c>
      <c r="U13" s="802">
        <v>253</v>
      </c>
      <c r="V13" s="800">
        <v>83</v>
      </c>
      <c r="W13" s="801">
        <v>167</v>
      </c>
      <c r="X13" s="802">
        <v>250</v>
      </c>
      <c r="Y13" s="800">
        <v>119</v>
      </c>
      <c r="Z13" s="801">
        <v>168</v>
      </c>
      <c r="AA13" s="802">
        <f t="shared" si="0"/>
        <v>287</v>
      </c>
      <c r="AB13" s="800">
        <v>111</v>
      </c>
      <c r="AC13" s="801">
        <v>110</v>
      </c>
      <c r="AD13" s="802">
        <f t="shared" si="1"/>
        <v>221</v>
      </c>
      <c r="AE13" s="800">
        <v>56</v>
      </c>
      <c r="AF13" s="801">
        <v>102</v>
      </c>
      <c r="AG13" s="802">
        <f t="shared" si="2"/>
        <v>158</v>
      </c>
      <c r="AH13" s="800">
        <v>60</v>
      </c>
      <c r="AI13" s="801">
        <v>95</v>
      </c>
      <c r="AJ13" s="802">
        <f t="shared" si="3"/>
        <v>155</v>
      </c>
      <c r="AK13" s="803">
        <v>48</v>
      </c>
      <c r="AL13" s="801">
        <v>95</v>
      </c>
      <c r="AM13" s="802">
        <f t="shared" si="4"/>
        <v>143</v>
      </c>
      <c r="AN13" s="803">
        <v>40</v>
      </c>
      <c r="AO13" s="801">
        <v>81</v>
      </c>
      <c r="AP13" s="802">
        <f t="shared" si="5"/>
        <v>121</v>
      </c>
      <c r="AQ13" s="803">
        <v>72</v>
      </c>
      <c r="AR13" s="801">
        <v>95</v>
      </c>
      <c r="AS13" s="802">
        <f t="shared" si="6"/>
        <v>167</v>
      </c>
      <c r="AT13" s="803">
        <v>55</v>
      </c>
      <c r="AU13" s="801">
        <v>113</v>
      </c>
      <c r="AV13" s="802">
        <f t="shared" si="7"/>
        <v>168</v>
      </c>
    </row>
    <row r="14" spans="1:48" s="186" customFormat="1" ht="15" customHeight="1" x14ac:dyDescent="0.25">
      <c r="A14" s="5666"/>
      <c r="B14" s="5675"/>
      <c r="C14" s="808" t="s">
        <v>455</v>
      </c>
      <c r="D14" s="809"/>
      <c r="E14" s="840">
        <v>132</v>
      </c>
      <c r="F14" s="811">
        <v>132</v>
      </c>
      <c r="G14" s="841">
        <v>225</v>
      </c>
      <c r="H14" s="840">
        <v>209</v>
      </c>
      <c r="I14" s="811">
        <v>434</v>
      </c>
      <c r="J14" s="809">
        <v>203</v>
      </c>
      <c r="K14" s="810">
        <v>277</v>
      </c>
      <c r="L14" s="811">
        <v>480</v>
      </c>
      <c r="M14" s="809">
        <v>214</v>
      </c>
      <c r="N14" s="810">
        <v>291</v>
      </c>
      <c r="O14" s="811">
        <v>505</v>
      </c>
      <c r="P14" s="809">
        <v>166</v>
      </c>
      <c r="Q14" s="810">
        <v>179</v>
      </c>
      <c r="R14" s="811">
        <v>345</v>
      </c>
      <c r="S14" s="809">
        <v>177</v>
      </c>
      <c r="T14" s="810">
        <v>226</v>
      </c>
      <c r="U14" s="811">
        <v>403</v>
      </c>
      <c r="V14" s="809">
        <v>157</v>
      </c>
      <c r="W14" s="810">
        <v>181</v>
      </c>
      <c r="X14" s="811">
        <v>338</v>
      </c>
      <c r="Y14" s="809">
        <v>144</v>
      </c>
      <c r="Z14" s="810">
        <v>161</v>
      </c>
      <c r="AA14" s="811">
        <f t="shared" si="0"/>
        <v>305</v>
      </c>
      <c r="AB14" s="812">
        <v>111</v>
      </c>
      <c r="AC14" s="810">
        <v>109</v>
      </c>
      <c r="AD14" s="811">
        <f t="shared" si="1"/>
        <v>220</v>
      </c>
      <c r="AE14" s="812">
        <v>46</v>
      </c>
      <c r="AF14" s="810">
        <v>97</v>
      </c>
      <c r="AG14" s="811">
        <f t="shared" si="2"/>
        <v>143</v>
      </c>
      <c r="AH14" s="812">
        <v>60</v>
      </c>
      <c r="AI14" s="810">
        <v>92</v>
      </c>
      <c r="AJ14" s="811">
        <f t="shared" si="3"/>
        <v>152</v>
      </c>
      <c r="AK14" s="803">
        <v>50</v>
      </c>
      <c r="AL14" s="810">
        <v>97</v>
      </c>
      <c r="AM14" s="811">
        <f t="shared" si="4"/>
        <v>147</v>
      </c>
      <c r="AN14" s="803">
        <v>40</v>
      </c>
      <c r="AO14" s="810">
        <v>86</v>
      </c>
      <c r="AP14" s="811">
        <f t="shared" si="5"/>
        <v>126</v>
      </c>
      <c r="AQ14" s="803">
        <v>72</v>
      </c>
      <c r="AR14" s="810">
        <v>131</v>
      </c>
      <c r="AS14" s="811">
        <f t="shared" si="6"/>
        <v>203</v>
      </c>
      <c r="AT14" s="803">
        <v>70</v>
      </c>
      <c r="AU14" s="810">
        <v>125</v>
      </c>
      <c r="AV14" s="811">
        <f t="shared" si="7"/>
        <v>195</v>
      </c>
    </row>
    <row r="15" spans="1:48" s="186" customFormat="1" ht="15" customHeight="1" x14ac:dyDescent="0.25">
      <c r="A15" s="5666"/>
      <c r="B15" s="5676"/>
      <c r="C15" s="4475" t="s">
        <v>160</v>
      </c>
      <c r="D15" s="4476">
        <f>SUM(D5:D14)</f>
        <v>420</v>
      </c>
      <c r="E15" s="4494">
        <f t="shared" ref="E15:AG15" si="8">SUM(E5:E14)</f>
        <v>994</v>
      </c>
      <c r="F15" s="4478">
        <f t="shared" si="8"/>
        <v>1414</v>
      </c>
      <c r="G15" s="4476">
        <f t="shared" si="8"/>
        <v>776</v>
      </c>
      <c r="H15" s="4494">
        <f t="shared" si="8"/>
        <v>1217</v>
      </c>
      <c r="I15" s="4478">
        <f t="shared" si="8"/>
        <v>1993</v>
      </c>
      <c r="J15" s="4476">
        <f t="shared" si="8"/>
        <v>757</v>
      </c>
      <c r="K15" s="4494">
        <f t="shared" si="8"/>
        <v>1266</v>
      </c>
      <c r="L15" s="4478">
        <f t="shared" si="8"/>
        <v>2023</v>
      </c>
      <c r="M15" s="4476">
        <f t="shared" si="8"/>
        <v>802</v>
      </c>
      <c r="N15" s="4494">
        <f t="shared" si="8"/>
        <v>1354</v>
      </c>
      <c r="O15" s="4478">
        <f t="shared" si="8"/>
        <v>2156</v>
      </c>
      <c r="P15" s="4476">
        <f t="shared" si="8"/>
        <v>711</v>
      </c>
      <c r="Q15" s="4494">
        <f t="shared" si="8"/>
        <v>1380</v>
      </c>
      <c r="R15" s="4478">
        <f t="shared" si="8"/>
        <v>2091</v>
      </c>
      <c r="S15" s="4476">
        <f t="shared" si="8"/>
        <v>722</v>
      </c>
      <c r="T15" s="4494">
        <f t="shared" si="8"/>
        <v>1398</v>
      </c>
      <c r="U15" s="4478">
        <f t="shared" si="8"/>
        <v>2120</v>
      </c>
      <c r="V15" s="4476">
        <f t="shared" si="8"/>
        <v>784</v>
      </c>
      <c r="W15" s="4494">
        <f t="shared" si="8"/>
        <v>1259</v>
      </c>
      <c r="X15" s="4478">
        <f t="shared" si="8"/>
        <v>2043</v>
      </c>
      <c r="Y15" s="4476">
        <f t="shared" si="8"/>
        <v>925</v>
      </c>
      <c r="Z15" s="4494">
        <f t="shared" si="8"/>
        <v>1460</v>
      </c>
      <c r="AA15" s="4478">
        <f t="shared" si="8"/>
        <v>2385</v>
      </c>
      <c r="AB15" s="4476">
        <f t="shared" si="8"/>
        <v>1058</v>
      </c>
      <c r="AC15" s="4494">
        <f t="shared" si="8"/>
        <v>978</v>
      </c>
      <c r="AD15" s="4478">
        <f t="shared" si="8"/>
        <v>2036</v>
      </c>
      <c r="AE15" s="4476">
        <f t="shared" si="8"/>
        <v>515</v>
      </c>
      <c r="AF15" s="4494">
        <f t="shared" si="8"/>
        <v>934</v>
      </c>
      <c r="AG15" s="4478">
        <f t="shared" si="8"/>
        <v>1449</v>
      </c>
      <c r="AH15" s="4476">
        <f t="shared" ref="AH15:AM15" si="9">SUM(AH5:AH14)</f>
        <v>600</v>
      </c>
      <c r="AI15" s="4477">
        <f t="shared" si="9"/>
        <v>948</v>
      </c>
      <c r="AJ15" s="4478">
        <f t="shared" si="9"/>
        <v>1548</v>
      </c>
      <c r="AK15" s="4479">
        <f>SUM(AK5:AK14)</f>
        <v>454</v>
      </c>
      <c r="AL15" s="4480">
        <f>SUM(AL5:AL14)</f>
        <v>1000</v>
      </c>
      <c r="AM15" s="4478">
        <f t="shared" si="9"/>
        <v>1454</v>
      </c>
      <c r="AN15" s="4479">
        <f t="shared" ref="AN15:AV15" si="10">SUM(AN5:AN14)</f>
        <v>395</v>
      </c>
      <c r="AO15" s="4480">
        <f t="shared" si="10"/>
        <v>854</v>
      </c>
      <c r="AP15" s="4478">
        <f t="shared" si="10"/>
        <v>1249</v>
      </c>
      <c r="AQ15" s="4479">
        <f t="shared" si="10"/>
        <v>598</v>
      </c>
      <c r="AR15" s="4480">
        <f t="shared" si="10"/>
        <v>970</v>
      </c>
      <c r="AS15" s="4478">
        <f t="shared" si="10"/>
        <v>1568</v>
      </c>
      <c r="AT15" s="4479">
        <f t="shared" si="10"/>
        <v>610</v>
      </c>
      <c r="AU15" s="4480">
        <f t="shared" si="10"/>
        <v>1051</v>
      </c>
      <c r="AV15" s="4478">
        <f t="shared" si="10"/>
        <v>1661</v>
      </c>
    </row>
    <row r="16" spans="1:48" s="186" customFormat="1" ht="15" customHeight="1" x14ac:dyDescent="0.25">
      <c r="A16" s="5666"/>
      <c r="B16" s="5674" t="s">
        <v>6</v>
      </c>
      <c r="C16" s="4481" t="s">
        <v>456</v>
      </c>
      <c r="D16" s="4495">
        <v>113</v>
      </c>
      <c r="E16" s="4496">
        <v>192</v>
      </c>
      <c r="F16" s="4484">
        <v>305</v>
      </c>
      <c r="G16" s="4495">
        <v>123</v>
      </c>
      <c r="H16" s="4496">
        <v>200</v>
      </c>
      <c r="I16" s="4484">
        <v>323</v>
      </c>
      <c r="J16" s="4482">
        <v>119</v>
      </c>
      <c r="K16" s="4483">
        <v>208</v>
      </c>
      <c r="L16" s="4484">
        <v>327</v>
      </c>
      <c r="M16" s="4482">
        <v>109</v>
      </c>
      <c r="N16" s="4483">
        <v>215</v>
      </c>
      <c r="O16" s="4484">
        <v>324</v>
      </c>
      <c r="P16" s="4482">
        <v>201</v>
      </c>
      <c r="Q16" s="4483">
        <v>181</v>
      </c>
      <c r="R16" s="4484">
        <v>382</v>
      </c>
      <c r="S16" s="4482">
        <v>165</v>
      </c>
      <c r="T16" s="4483">
        <v>187</v>
      </c>
      <c r="U16" s="4484">
        <v>352</v>
      </c>
      <c r="V16" s="4482">
        <v>154</v>
      </c>
      <c r="W16" s="4483">
        <v>204</v>
      </c>
      <c r="X16" s="4484">
        <v>358</v>
      </c>
      <c r="Y16" s="4482">
        <v>154</v>
      </c>
      <c r="Z16" s="4483">
        <v>180</v>
      </c>
      <c r="AA16" s="4484">
        <f t="shared" si="0"/>
        <v>334</v>
      </c>
      <c r="AB16" s="4482">
        <v>154</v>
      </c>
      <c r="AC16" s="4483">
        <v>185</v>
      </c>
      <c r="AD16" s="4484">
        <f t="shared" si="1"/>
        <v>339</v>
      </c>
      <c r="AE16" s="4482">
        <v>168</v>
      </c>
      <c r="AF16" s="4483">
        <v>219</v>
      </c>
      <c r="AG16" s="4484">
        <f t="shared" si="2"/>
        <v>387</v>
      </c>
      <c r="AH16" s="4482">
        <v>163</v>
      </c>
      <c r="AI16" s="4483">
        <v>215</v>
      </c>
      <c r="AJ16" s="4484">
        <f>SUM(AH16:AI16)</f>
        <v>378</v>
      </c>
      <c r="AK16" s="4485">
        <v>161</v>
      </c>
      <c r="AL16" s="4483">
        <v>197</v>
      </c>
      <c r="AM16" s="4484">
        <f>SUM(AK16:AL16)</f>
        <v>358</v>
      </c>
      <c r="AN16" s="4485">
        <v>176</v>
      </c>
      <c r="AO16" s="4483">
        <v>212</v>
      </c>
      <c r="AP16" s="4484">
        <f>SUM(AN16:AO16)</f>
        <v>388</v>
      </c>
      <c r="AQ16" s="4485">
        <v>163</v>
      </c>
      <c r="AR16" s="4483">
        <v>226</v>
      </c>
      <c r="AS16" s="4484">
        <f>SUM(AQ16:AR16)</f>
        <v>389</v>
      </c>
      <c r="AT16" s="4485">
        <v>144</v>
      </c>
      <c r="AU16" s="4483">
        <v>201</v>
      </c>
      <c r="AV16" s="4484">
        <f>SUM(AT16:AU16)</f>
        <v>345</v>
      </c>
    </row>
    <row r="17" spans="1:48" s="186" customFormat="1" ht="15" customHeight="1" x14ac:dyDescent="0.25">
      <c r="A17" s="5666"/>
      <c r="B17" s="5675"/>
      <c r="C17" s="799" t="s">
        <v>457</v>
      </c>
      <c r="D17" s="835">
        <v>176</v>
      </c>
      <c r="E17" s="836">
        <v>274</v>
      </c>
      <c r="F17" s="802">
        <v>450</v>
      </c>
      <c r="G17" s="835">
        <v>144</v>
      </c>
      <c r="H17" s="836">
        <v>281</v>
      </c>
      <c r="I17" s="802">
        <v>425</v>
      </c>
      <c r="J17" s="800">
        <v>183</v>
      </c>
      <c r="K17" s="801">
        <v>298</v>
      </c>
      <c r="L17" s="802">
        <v>481</v>
      </c>
      <c r="M17" s="800">
        <v>141</v>
      </c>
      <c r="N17" s="801">
        <v>298</v>
      </c>
      <c r="O17" s="802">
        <v>439</v>
      </c>
      <c r="P17" s="800">
        <v>218</v>
      </c>
      <c r="Q17" s="801">
        <v>237</v>
      </c>
      <c r="R17" s="802">
        <v>455</v>
      </c>
      <c r="S17" s="800">
        <v>246</v>
      </c>
      <c r="T17" s="801">
        <v>245</v>
      </c>
      <c r="U17" s="802">
        <v>491</v>
      </c>
      <c r="V17" s="800">
        <v>224</v>
      </c>
      <c r="W17" s="801">
        <v>314</v>
      </c>
      <c r="X17" s="802">
        <v>538</v>
      </c>
      <c r="Y17" s="800">
        <v>244</v>
      </c>
      <c r="Z17" s="801">
        <v>279</v>
      </c>
      <c r="AA17" s="802">
        <f t="shared" si="0"/>
        <v>523</v>
      </c>
      <c r="AB17" s="800">
        <v>248</v>
      </c>
      <c r="AC17" s="801">
        <v>281</v>
      </c>
      <c r="AD17" s="802">
        <f t="shared" si="1"/>
        <v>529</v>
      </c>
      <c r="AE17" s="800">
        <v>270</v>
      </c>
      <c r="AF17" s="801">
        <v>337</v>
      </c>
      <c r="AG17" s="802">
        <f t="shared" si="2"/>
        <v>607</v>
      </c>
      <c r="AH17" s="800">
        <v>251</v>
      </c>
      <c r="AI17" s="801">
        <v>316</v>
      </c>
      <c r="AJ17" s="802">
        <f>SUM(AH17:AI17)</f>
        <v>567</v>
      </c>
      <c r="AK17" s="803">
        <v>243</v>
      </c>
      <c r="AL17" s="801">
        <v>324</v>
      </c>
      <c r="AM17" s="802">
        <f>SUM(AK17:AL17)</f>
        <v>567</v>
      </c>
      <c r="AN17" s="803">
        <v>269</v>
      </c>
      <c r="AO17" s="801">
        <v>331</v>
      </c>
      <c r="AP17" s="802">
        <f>SUM(AN17:AO17)</f>
        <v>600</v>
      </c>
      <c r="AQ17" s="803">
        <v>262</v>
      </c>
      <c r="AR17" s="801">
        <v>337</v>
      </c>
      <c r="AS17" s="802">
        <f>SUM(AQ17:AR17)</f>
        <v>599</v>
      </c>
      <c r="AT17" s="803">
        <v>247</v>
      </c>
      <c r="AU17" s="801">
        <v>325</v>
      </c>
      <c r="AV17" s="802">
        <f>SUM(AT17:AU17)</f>
        <v>572</v>
      </c>
    </row>
    <row r="18" spans="1:48" s="186" customFormat="1" ht="15" customHeight="1" x14ac:dyDescent="0.25">
      <c r="A18" s="5666"/>
      <c r="B18" s="5675"/>
      <c r="C18" s="799" t="s">
        <v>458</v>
      </c>
      <c r="D18" s="835">
        <v>107</v>
      </c>
      <c r="E18" s="836">
        <v>118</v>
      </c>
      <c r="F18" s="802">
        <v>225</v>
      </c>
      <c r="G18" s="835">
        <v>96</v>
      </c>
      <c r="H18" s="836">
        <v>158</v>
      </c>
      <c r="I18" s="802">
        <v>254</v>
      </c>
      <c r="J18" s="800">
        <v>114</v>
      </c>
      <c r="K18" s="801">
        <v>114</v>
      </c>
      <c r="L18" s="802">
        <v>228</v>
      </c>
      <c r="M18" s="800">
        <v>99</v>
      </c>
      <c r="N18" s="801">
        <v>163</v>
      </c>
      <c r="O18" s="802">
        <v>262</v>
      </c>
      <c r="P18" s="800">
        <v>95</v>
      </c>
      <c r="Q18" s="801">
        <v>150</v>
      </c>
      <c r="R18" s="802">
        <v>245</v>
      </c>
      <c r="S18" s="800">
        <v>145</v>
      </c>
      <c r="T18" s="801">
        <v>143</v>
      </c>
      <c r="U18" s="802">
        <v>288</v>
      </c>
      <c r="V18" s="800">
        <v>129</v>
      </c>
      <c r="W18" s="801">
        <v>174</v>
      </c>
      <c r="X18" s="802">
        <v>303</v>
      </c>
      <c r="Y18" s="800">
        <v>110</v>
      </c>
      <c r="Z18" s="801">
        <v>140</v>
      </c>
      <c r="AA18" s="802">
        <f t="shared" si="0"/>
        <v>250</v>
      </c>
      <c r="AB18" s="800">
        <v>123</v>
      </c>
      <c r="AC18" s="801">
        <v>160</v>
      </c>
      <c r="AD18" s="802">
        <f t="shared" si="1"/>
        <v>283</v>
      </c>
      <c r="AE18" s="800">
        <v>134</v>
      </c>
      <c r="AF18" s="801">
        <v>175</v>
      </c>
      <c r="AG18" s="802">
        <f t="shared" si="2"/>
        <v>309</v>
      </c>
      <c r="AH18" s="800">
        <v>125</v>
      </c>
      <c r="AI18" s="801">
        <v>173</v>
      </c>
      <c r="AJ18" s="802">
        <f>SUM(AH18:AI18)</f>
        <v>298</v>
      </c>
      <c r="AK18" s="803">
        <v>117</v>
      </c>
      <c r="AL18" s="801">
        <v>150</v>
      </c>
      <c r="AM18" s="802">
        <f>SUM(AK18:AL18)</f>
        <v>267</v>
      </c>
      <c r="AN18" s="803">
        <v>142</v>
      </c>
      <c r="AO18" s="801">
        <v>204</v>
      </c>
      <c r="AP18" s="802">
        <f>SUM(AN18:AO18)</f>
        <v>346</v>
      </c>
      <c r="AQ18" s="803">
        <v>147</v>
      </c>
      <c r="AR18" s="801">
        <v>191</v>
      </c>
      <c r="AS18" s="802">
        <f>SUM(AQ18:AR18)</f>
        <v>338</v>
      </c>
      <c r="AT18" s="803">
        <v>171</v>
      </c>
      <c r="AU18" s="801">
        <v>220</v>
      </c>
      <c r="AV18" s="802">
        <f>SUM(AT18:AU18)</f>
        <v>391</v>
      </c>
    </row>
    <row r="19" spans="1:48" s="186" customFormat="1" ht="15" customHeight="1" x14ac:dyDescent="0.25">
      <c r="A19" s="5666"/>
      <c r="B19" s="5675"/>
      <c r="C19" s="808" t="s">
        <v>459</v>
      </c>
      <c r="D19" s="809">
        <v>111</v>
      </c>
      <c r="E19" s="840">
        <v>125</v>
      </c>
      <c r="F19" s="811">
        <v>236</v>
      </c>
      <c r="G19" s="841">
        <v>121</v>
      </c>
      <c r="H19" s="840">
        <v>154</v>
      </c>
      <c r="I19" s="811">
        <v>275</v>
      </c>
      <c r="J19" s="809">
        <v>126</v>
      </c>
      <c r="K19" s="810">
        <v>113</v>
      </c>
      <c r="L19" s="811">
        <v>239</v>
      </c>
      <c r="M19" s="809">
        <v>99</v>
      </c>
      <c r="N19" s="810">
        <v>124</v>
      </c>
      <c r="O19" s="811">
        <v>223</v>
      </c>
      <c r="P19" s="809">
        <v>107</v>
      </c>
      <c r="Q19" s="810">
        <v>145</v>
      </c>
      <c r="R19" s="811">
        <v>252</v>
      </c>
      <c r="S19" s="809">
        <v>146</v>
      </c>
      <c r="T19" s="810">
        <v>120</v>
      </c>
      <c r="U19" s="811">
        <v>266</v>
      </c>
      <c r="V19" s="809">
        <v>118</v>
      </c>
      <c r="W19" s="810">
        <v>125</v>
      </c>
      <c r="X19" s="811">
        <v>243</v>
      </c>
      <c r="Y19" s="809">
        <v>118</v>
      </c>
      <c r="Z19" s="810">
        <v>124</v>
      </c>
      <c r="AA19" s="811">
        <f t="shared" si="0"/>
        <v>242</v>
      </c>
      <c r="AB19" s="812">
        <v>124</v>
      </c>
      <c r="AC19" s="810">
        <v>130</v>
      </c>
      <c r="AD19" s="811">
        <f t="shared" si="1"/>
        <v>254</v>
      </c>
      <c r="AE19" s="812">
        <v>132</v>
      </c>
      <c r="AF19" s="810">
        <v>151</v>
      </c>
      <c r="AG19" s="811">
        <f t="shared" si="2"/>
        <v>283</v>
      </c>
      <c r="AH19" s="812">
        <v>122</v>
      </c>
      <c r="AI19" s="810">
        <v>147</v>
      </c>
      <c r="AJ19" s="811">
        <f>SUM(AH19:AI19)</f>
        <v>269</v>
      </c>
      <c r="AK19" s="803">
        <v>123</v>
      </c>
      <c r="AL19" s="810">
        <v>139</v>
      </c>
      <c r="AM19" s="811">
        <f>SUM(AK19:AL19)</f>
        <v>262</v>
      </c>
      <c r="AN19" s="803">
        <v>131</v>
      </c>
      <c r="AO19" s="810">
        <v>151</v>
      </c>
      <c r="AP19" s="811">
        <f>SUM(AN19:AO19)</f>
        <v>282</v>
      </c>
      <c r="AQ19" s="803">
        <v>114</v>
      </c>
      <c r="AR19" s="810">
        <v>142</v>
      </c>
      <c r="AS19" s="811">
        <f>SUM(AQ19:AR19)</f>
        <v>256</v>
      </c>
      <c r="AT19" s="803">
        <v>111</v>
      </c>
      <c r="AU19" s="810">
        <v>147</v>
      </c>
      <c r="AV19" s="811">
        <f>SUM(AT19:AU19)</f>
        <v>258</v>
      </c>
    </row>
    <row r="20" spans="1:48" s="186" customFormat="1" ht="15" customHeight="1" x14ac:dyDescent="0.25">
      <c r="A20" s="5666"/>
      <c r="B20" s="5676"/>
      <c r="C20" s="4475" t="s">
        <v>160</v>
      </c>
      <c r="D20" s="4476">
        <f>SUM(D16:D19)</f>
        <v>507</v>
      </c>
      <c r="E20" s="4494">
        <f t="shared" ref="E20:AG20" si="11">SUM(E16:E19)</f>
        <v>709</v>
      </c>
      <c r="F20" s="4478">
        <f t="shared" si="11"/>
        <v>1216</v>
      </c>
      <c r="G20" s="4476">
        <f t="shared" si="11"/>
        <v>484</v>
      </c>
      <c r="H20" s="4494">
        <f t="shared" si="11"/>
        <v>793</v>
      </c>
      <c r="I20" s="4478">
        <f t="shared" si="11"/>
        <v>1277</v>
      </c>
      <c r="J20" s="4476">
        <f t="shared" si="11"/>
        <v>542</v>
      </c>
      <c r="K20" s="4494">
        <f t="shared" si="11"/>
        <v>733</v>
      </c>
      <c r="L20" s="4478">
        <f t="shared" si="11"/>
        <v>1275</v>
      </c>
      <c r="M20" s="4476">
        <f t="shared" si="11"/>
        <v>448</v>
      </c>
      <c r="N20" s="4494">
        <f t="shared" si="11"/>
        <v>800</v>
      </c>
      <c r="O20" s="4478">
        <f t="shared" si="11"/>
        <v>1248</v>
      </c>
      <c r="P20" s="4476">
        <f t="shared" si="11"/>
        <v>621</v>
      </c>
      <c r="Q20" s="4494">
        <f t="shared" si="11"/>
        <v>713</v>
      </c>
      <c r="R20" s="4478">
        <f t="shared" si="11"/>
        <v>1334</v>
      </c>
      <c r="S20" s="4476">
        <f t="shared" si="11"/>
        <v>702</v>
      </c>
      <c r="T20" s="4494">
        <f t="shared" si="11"/>
        <v>695</v>
      </c>
      <c r="U20" s="4478">
        <f t="shared" si="11"/>
        <v>1397</v>
      </c>
      <c r="V20" s="4476">
        <f t="shared" si="11"/>
        <v>625</v>
      </c>
      <c r="W20" s="4494">
        <f t="shared" si="11"/>
        <v>817</v>
      </c>
      <c r="X20" s="4478">
        <f t="shared" si="11"/>
        <v>1442</v>
      </c>
      <c r="Y20" s="4476">
        <f t="shared" si="11"/>
        <v>626</v>
      </c>
      <c r="Z20" s="4494">
        <f t="shared" si="11"/>
        <v>723</v>
      </c>
      <c r="AA20" s="4478">
        <f t="shared" si="11"/>
        <v>1349</v>
      </c>
      <c r="AB20" s="4476">
        <f t="shared" si="11"/>
        <v>649</v>
      </c>
      <c r="AC20" s="4494">
        <f t="shared" si="11"/>
        <v>756</v>
      </c>
      <c r="AD20" s="4478">
        <f t="shared" si="11"/>
        <v>1405</v>
      </c>
      <c r="AE20" s="4476">
        <f t="shared" si="11"/>
        <v>704</v>
      </c>
      <c r="AF20" s="4494">
        <f t="shared" si="11"/>
        <v>882</v>
      </c>
      <c r="AG20" s="4478">
        <f t="shared" si="11"/>
        <v>1586</v>
      </c>
      <c r="AH20" s="4476">
        <f t="shared" ref="AH20:AM20" si="12">SUM(AH16:AH19)</f>
        <v>661</v>
      </c>
      <c r="AI20" s="4477">
        <f t="shared" si="12"/>
        <v>851</v>
      </c>
      <c r="AJ20" s="4478">
        <f t="shared" si="12"/>
        <v>1512</v>
      </c>
      <c r="AK20" s="4479">
        <f>SUM(AK16:AK19)</f>
        <v>644</v>
      </c>
      <c r="AL20" s="4480">
        <f>SUM(AL16:AL19)</f>
        <v>810</v>
      </c>
      <c r="AM20" s="4478">
        <f t="shared" si="12"/>
        <v>1454</v>
      </c>
      <c r="AN20" s="4479">
        <f t="shared" ref="AN20:AV20" si="13">SUM(AN16:AN19)</f>
        <v>718</v>
      </c>
      <c r="AO20" s="4480">
        <f t="shared" si="13"/>
        <v>898</v>
      </c>
      <c r="AP20" s="4478">
        <f t="shared" si="13"/>
        <v>1616</v>
      </c>
      <c r="AQ20" s="4479">
        <f t="shared" si="13"/>
        <v>686</v>
      </c>
      <c r="AR20" s="4480">
        <f t="shared" si="13"/>
        <v>896</v>
      </c>
      <c r="AS20" s="4478">
        <f t="shared" si="13"/>
        <v>1582</v>
      </c>
      <c r="AT20" s="4479">
        <f t="shared" si="13"/>
        <v>673</v>
      </c>
      <c r="AU20" s="4480">
        <f t="shared" si="13"/>
        <v>893</v>
      </c>
      <c r="AV20" s="4478">
        <f t="shared" si="13"/>
        <v>1566</v>
      </c>
    </row>
    <row r="21" spans="1:48" s="186" customFormat="1" ht="15" customHeight="1" x14ac:dyDescent="0.25">
      <c r="A21" s="5666"/>
      <c r="B21" s="5674" t="s">
        <v>7</v>
      </c>
      <c r="C21" s="4481" t="s">
        <v>460</v>
      </c>
      <c r="D21" s="4495">
        <v>128</v>
      </c>
      <c r="E21" s="4496">
        <v>229</v>
      </c>
      <c r="F21" s="4484">
        <v>357</v>
      </c>
      <c r="G21" s="4495">
        <v>141</v>
      </c>
      <c r="H21" s="4496">
        <v>220</v>
      </c>
      <c r="I21" s="4484">
        <v>361</v>
      </c>
      <c r="J21" s="4482">
        <v>152</v>
      </c>
      <c r="K21" s="4483">
        <v>186</v>
      </c>
      <c r="L21" s="4484">
        <v>338</v>
      </c>
      <c r="M21" s="4482">
        <v>135</v>
      </c>
      <c r="N21" s="4483">
        <v>206</v>
      </c>
      <c r="O21" s="4484">
        <v>341</v>
      </c>
      <c r="P21" s="4482">
        <v>159</v>
      </c>
      <c r="Q21" s="4483">
        <v>199</v>
      </c>
      <c r="R21" s="4484">
        <v>358</v>
      </c>
      <c r="S21" s="4482">
        <v>140</v>
      </c>
      <c r="T21" s="4483">
        <v>166</v>
      </c>
      <c r="U21" s="4484">
        <v>306</v>
      </c>
      <c r="V21" s="4482">
        <v>127</v>
      </c>
      <c r="W21" s="4483">
        <v>166</v>
      </c>
      <c r="X21" s="4484">
        <v>293</v>
      </c>
      <c r="Y21" s="4482">
        <v>119</v>
      </c>
      <c r="Z21" s="4483">
        <v>146</v>
      </c>
      <c r="AA21" s="4484">
        <f t="shared" si="0"/>
        <v>265</v>
      </c>
      <c r="AB21" s="4482">
        <v>108</v>
      </c>
      <c r="AC21" s="4483">
        <v>143</v>
      </c>
      <c r="AD21" s="4484">
        <f t="shared" si="1"/>
        <v>251</v>
      </c>
      <c r="AE21" s="4482">
        <v>107</v>
      </c>
      <c r="AF21" s="4483">
        <v>141</v>
      </c>
      <c r="AG21" s="4484">
        <f t="shared" si="2"/>
        <v>248</v>
      </c>
      <c r="AH21" s="4482">
        <v>109</v>
      </c>
      <c r="AI21" s="4483">
        <v>131</v>
      </c>
      <c r="AJ21" s="4484">
        <f>SUM(AH21:AI21)</f>
        <v>240</v>
      </c>
      <c r="AK21" s="4485">
        <v>105</v>
      </c>
      <c r="AL21" s="4483">
        <v>130</v>
      </c>
      <c r="AM21" s="4484">
        <f>SUM(AK21:AL21)</f>
        <v>235</v>
      </c>
      <c r="AN21" s="4485">
        <v>110</v>
      </c>
      <c r="AO21" s="4483">
        <v>119</v>
      </c>
      <c r="AP21" s="4484">
        <f>SUM(AN21:AO21)</f>
        <v>229</v>
      </c>
      <c r="AQ21" s="4485">
        <v>85</v>
      </c>
      <c r="AR21" s="4483">
        <v>131</v>
      </c>
      <c r="AS21" s="4484">
        <f>SUM(AQ21:AR21)</f>
        <v>216</v>
      </c>
      <c r="AT21" s="4485">
        <v>164</v>
      </c>
      <c r="AU21" s="4483">
        <v>193</v>
      </c>
      <c r="AV21" s="4484">
        <f>SUM(AT21:AU21)</f>
        <v>357</v>
      </c>
    </row>
    <row r="22" spans="1:48" s="186" customFormat="1" ht="15" customHeight="1" x14ac:dyDescent="0.25">
      <c r="A22" s="5666"/>
      <c r="B22" s="5675"/>
      <c r="C22" s="799" t="s">
        <v>461</v>
      </c>
      <c r="D22" s="835">
        <v>146</v>
      </c>
      <c r="E22" s="836">
        <v>145</v>
      </c>
      <c r="F22" s="802">
        <v>291</v>
      </c>
      <c r="G22" s="835">
        <v>146</v>
      </c>
      <c r="H22" s="836">
        <v>85</v>
      </c>
      <c r="I22" s="802">
        <v>231</v>
      </c>
      <c r="J22" s="800">
        <v>107</v>
      </c>
      <c r="K22" s="801">
        <v>124</v>
      </c>
      <c r="L22" s="802">
        <v>231</v>
      </c>
      <c r="M22" s="800">
        <v>83</v>
      </c>
      <c r="N22" s="801">
        <v>90</v>
      </c>
      <c r="O22" s="802">
        <v>173</v>
      </c>
      <c r="P22" s="800">
        <v>78</v>
      </c>
      <c r="Q22" s="801">
        <v>102</v>
      </c>
      <c r="R22" s="802">
        <v>180</v>
      </c>
      <c r="S22" s="800">
        <v>86</v>
      </c>
      <c r="T22" s="801">
        <v>99</v>
      </c>
      <c r="U22" s="802">
        <v>185</v>
      </c>
      <c r="V22" s="800">
        <v>91</v>
      </c>
      <c r="W22" s="801">
        <v>106</v>
      </c>
      <c r="X22" s="802">
        <v>197</v>
      </c>
      <c r="Y22" s="800">
        <v>92</v>
      </c>
      <c r="Z22" s="801">
        <v>104</v>
      </c>
      <c r="AA22" s="802">
        <f t="shared" si="0"/>
        <v>196</v>
      </c>
      <c r="AB22" s="800">
        <v>111</v>
      </c>
      <c r="AC22" s="801">
        <v>118</v>
      </c>
      <c r="AD22" s="802">
        <f t="shared" si="1"/>
        <v>229</v>
      </c>
      <c r="AE22" s="800">
        <v>105</v>
      </c>
      <c r="AF22" s="801">
        <v>115</v>
      </c>
      <c r="AG22" s="802">
        <f t="shared" si="2"/>
        <v>220</v>
      </c>
      <c r="AH22" s="800">
        <v>129</v>
      </c>
      <c r="AI22" s="801">
        <v>152</v>
      </c>
      <c r="AJ22" s="802">
        <f>SUM(AH22:AI22)</f>
        <v>281</v>
      </c>
      <c r="AK22" s="803">
        <v>127</v>
      </c>
      <c r="AL22" s="801">
        <v>140</v>
      </c>
      <c r="AM22" s="802">
        <f>SUM(AK22:AL22)</f>
        <v>267</v>
      </c>
      <c r="AN22" s="803">
        <v>134</v>
      </c>
      <c r="AO22" s="801">
        <v>165</v>
      </c>
      <c r="AP22" s="802">
        <f>SUM(AN22:AO22)</f>
        <v>299</v>
      </c>
      <c r="AQ22" s="803">
        <v>129</v>
      </c>
      <c r="AR22" s="801">
        <v>181</v>
      </c>
      <c r="AS22" s="802">
        <f>SUM(AQ22:AR22)</f>
        <v>310</v>
      </c>
      <c r="AT22" s="803">
        <v>124</v>
      </c>
      <c r="AU22" s="801">
        <v>138</v>
      </c>
      <c r="AV22" s="802">
        <f>SUM(AT22:AU22)</f>
        <v>262</v>
      </c>
    </row>
    <row r="23" spans="1:48" s="186" customFormat="1" ht="15.75" customHeight="1" x14ac:dyDescent="0.25">
      <c r="A23" s="5666"/>
      <c r="B23" s="5675"/>
      <c r="C23" s="808" t="s">
        <v>462</v>
      </c>
      <c r="D23" s="809">
        <v>74</v>
      </c>
      <c r="E23" s="840">
        <v>90</v>
      </c>
      <c r="F23" s="811">
        <v>164</v>
      </c>
      <c r="G23" s="841">
        <v>61</v>
      </c>
      <c r="H23" s="840">
        <v>74</v>
      </c>
      <c r="I23" s="811">
        <v>135</v>
      </c>
      <c r="J23" s="809">
        <v>69</v>
      </c>
      <c r="K23" s="810">
        <v>79</v>
      </c>
      <c r="L23" s="811">
        <v>148</v>
      </c>
      <c r="M23" s="809">
        <v>60</v>
      </c>
      <c r="N23" s="810">
        <v>74</v>
      </c>
      <c r="O23" s="811">
        <v>134</v>
      </c>
      <c r="P23" s="809">
        <v>56</v>
      </c>
      <c r="Q23" s="810">
        <v>69</v>
      </c>
      <c r="R23" s="811">
        <v>125</v>
      </c>
      <c r="S23" s="809">
        <v>60</v>
      </c>
      <c r="T23" s="810">
        <v>65</v>
      </c>
      <c r="U23" s="811">
        <v>125</v>
      </c>
      <c r="V23" s="809">
        <v>72</v>
      </c>
      <c r="W23" s="810">
        <v>85</v>
      </c>
      <c r="X23" s="811">
        <v>157</v>
      </c>
      <c r="Y23" s="809">
        <v>73</v>
      </c>
      <c r="Z23" s="810">
        <v>88</v>
      </c>
      <c r="AA23" s="811">
        <f t="shared" si="0"/>
        <v>161</v>
      </c>
      <c r="AB23" s="812">
        <v>81</v>
      </c>
      <c r="AC23" s="810">
        <v>97</v>
      </c>
      <c r="AD23" s="811">
        <f t="shared" si="1"/>
        <v>178</v>
      </c>
      <c r="AE23" s="812">
        <v>80</v>
      </c>
      <c r="AF23" s="810">
        <v>92</v>
      </c>
      <c r="AG23" s="811">
        <f t="shared" si="2"/>
        <v>172</v>
      </c>
      <c r="AH23" s="812">
        <v>79</v>
      </c>
      <c r="AI23" s="810">
        <v>91</v>
      </c>
      <c r="AJ23" s="811">
        <f>SUM(AH23:AI23)</f>
        <v>170</v>
      </c>
      <c r="AK23" s="803">
        <v>80</v>
      </c>
      <c r="AL23" s="810">
        <v>85</v>
      </c>
      <c r="AM23" s="811">
        <f>SUM(AK23:AL23)</f>
        <v>165</v>
      </c>
      <c r="AN23" s="803">
        <v>79</v>
      </c>
      <c r="AO23" s="810">
        <v>118</v>
      </c>
      <c r="AP23" s="811">
        <f>SUM(AN23:AO23)</f>
        <v>197</v>
      </c>
      <c r="AQ23" s="803">
        <v>85</v>
      </c>
      <c r="AR23" s="810">
        <v>112</v>
      </c>
      <c r="AS23" s="811">
        <f>SUM(AQ23:AR23)</f>
        <v>197</v>
      </c>
      <c r="AT23" s="803">
        <v>92</v>
      </c>
      <c r="AU23" s="810">
        <v>104</v>
      </c>
      <c r="AV23" s="811">
        <f>SUM(AT23:AU23)</f>
        <v>196</v>
      </c>
    </row>
    <row r="24" spans="1:48" s="186" customFormat="1" ht="15.75" customHeight="1" x14ac:dyDescent="0.25">
      <c r="A24" s="5666"/>
      <c r="B24" s="5675"/>
      <c r="C24" s="855" t="s">
        <v>160</v>
      </c>
      <c r="D24" s="856">
        <f>SUM(D21:D23)</f>
        <v>348</v>
      </c>
      <c r="E24" s="857">
        <f t="shared" ref="E24:AG24" si="14">SUM(E21:E23)</f>
        <v>464</v>
      </c>
      <c r="F24" s="577">
        <f t="shared" si="14"/>
        <v>812</v>
      </c>
      <c r="G24" s="856">
        <f t="shared" si="14"/>
        <v>348</v>
      </c>
      <c r="H24" s="857">
        <f t="shared" si="14"/>
        <v>379</v>
      </c>
      <c r="I24" s="577">
        <f t="shared" si="14"/>
        <v>727</v>
      </c>
      <c r="J24" s="856">
        <f t="shared" si="14"/>
        <v>328</v>
      </c>
      <c r="K24" s="857">
        <f t="shared" si="14"/>
        <v>389</v>
      </c>
      <c r="L24" s="577">
        <f t="shared" si="14"/>
        <v>717</v>
      </c>
      <c r="M24" s="856">
        <f t="shared" si="14"/>
        <v>278</v>
      </c>
      <c r="N24" s="857">
        <f t="shared" si="14"/>
        <v>370</v>
      </c>
      <c r="O24" s="577">
        <f t="shared" si="14"/>
        <v>648</v>
      </c>
      <c r="P24" s="856">
        <f t="shared" si="14"/>
        <v>293</v>
      </c>
      <c r="Q24" s="857">
        <f t="shared" si="14"/>
        <v>370</v>
      </c>
      <c r="R24" s="577">
        <f t="shared" si="14"/>
        <v>663</v>
      </c>
      <c r="S24" s="856">
        <f t="shared" si="14"/>
        <v>286</v>
      </c>
      <c r="T24" s="857">
        <f t="shared" si="14"/>
        <v>330</v>
      </c>
      <c r="U24" s="577">
        <f t="shared" si="14"/>
        <v>616</v>
      </c>
      <c r="V24" s="856">
        <f t="shared" si="14"/>
        <v>290</v>
      </c>
      <c r="W24" s="857">
        <f t="shared" si="14"/>
        <v>357</v>
      </c>
      <c r="X24" s="577">
        <f t="shared" si="14"/>
        <v>647</v>
      </c>
      <c r="Y24" s="856">
        <f t="shared" si="14"/>
        <v>284</v>
      </c>
      <c r="Z24" s="857">
        <f t="shared" si="14"/>
        <v>338</v>
      </c>
      <c r="AA24" s="577">
        <f t="shared" si="14"/>
        <v>622</v>
      </c>
      <c r="AB24" s="856">
        <f t="shared" si="14"/>
        <v>300</v>
      </c>
      <c r="AC24" s="857">
        <f t="shared" si="14"/>
        <v>358</v>
      </c>
      <c r="AD24" s="577">
        <f t="shared" si="14"/>
        <v>658</v>
      </c>
      <c r="AE24" s="856">
        <f t="shared" si="14"/>
        <v>292</v>
      </c>
      <c r="AF24" s="857">
        <f t="shared" si="14"/>
        <v>348</v>
      </c>
      <c r="AG24" s="577">
        <f t="shared" si="14"/>
        <v>640</v>
      </c>
      <c r="AH24" s="856">
        <f t="shared" ref="AH24:AM24" si="15">SUM(AH21:AH23)</f>
        <v>317</v>
      </c>
      <c r="AI24" s="1431">
        <f t="shared" si="15"/>
        <v>374</v>
      </c>
      <c r="AJ24" s="577">
        <f t="shared" si="15"/>
        <v>691</v>
      </c>
      <c r="AK24" s="2162">
        <f>SUM(AK21:AK23)</f>
        <v>312</v>
      </c>
      <c r="AL24" s="2167">
        <f>SUM(AL21:AL23)</f>
        <v>355</v>
      </c>
      <c r="AM24" s="577">
        <f t="shared" si="15"/>
        <v>667</v>
      </c>
      <c r="AN24" s="2162">
        <f t="shared" ref="AN24:AV24" si="16">SUM(AN21:AN23)</f>
        <v>323</v>
      </c>
      <c r="AO24" s="2167">
        <f t="shared" si="16"/>
        <v>402</v>
      </c>
      <c r="AP24" s="577">
        <f t="shared" si="16"/>
        <v>725</v>
      </c>
      <c r="AQ24" s="2162">
        <f t="shared" si="16"/>
        <v>299</v>
      </c>
      <c r="AR24" s="2167">
        <f t="shared" si="16"/>
        <v>424</v>
      </c>
      <c r="AS24" s="577">
        <f t="shared" si="16"/>
        <v>723</v>
      </c>
      <c r="AT24" s="2162">
        <f t="shared" si="16"/>
        <v>380</v>
      </c>
      <c r="AU24" s="2167">
        <f t="shared" si="16"/>
        <v>435</v>
      </c>
      <c r="AV24" s="577">
        <f t="shared" si="16"/>
        <v>815</v>
      </c>
    </row>
    <row r="25" spans="1:48" s="186" customFormat="1" ht="15.75" customHeight="1" x14ac:dyDescent="0.25">
      <c r="A25" s="5667"/>
      <c r="B25" s="3539"/>
      <c r="C25" s="2257" t="s">
        <v>444</v>
      </c>
      <c r="D25" s="2258">
        <f>SUM(D24,D20,D15)</f>
        <v>1275</v>
      </c>
      <c r="E25" s="2259">
        <f t="shared" ref="E25:AG25" si="17">SUM(E24,E20,E15)</f>
        <v>2167</v>
      </c>
      <c r="F25" s="2260">
        <f t="shared" si="17"/>
        <v>3442</v>
      </c>
      <c r="G25" s="2258">
        <f t="shared" si="17"/>
        <v>1608</v>
      </c>
      <c r="H25" s="2259">
        <f t="shared" si="17"/>
        <v>2389</v>
      </c>
      <c r="I25" s="2260">
        <f t="shared" si="17"/>
        <v>3997</v>
      </c>
      <c r="J25" s="2258">
        <f t="shared" si="17"/>
        <v>1627</v>
      </c>
      <c r="K25" s="2259">
        <f t="shared" si="17"/>
        <v>2388</v>
      </c>
      <c r="L25" s="2260">
        <f t="shared" si="17"/>
        <v>4015</v>
      </c>
      <c r="M25" s="2258">
        <f t="shared" si="17"/>
        <v>1528</v>
      </c>
      <c r="N25" s="2259">
        <f t="shared" si="17"/>
        <v>2524</v>
      </c>
      <c r="O25" s="2260">
        <f t="shared" si="17"/>
        <v>4052</v>
      </c>
      <c r="P25" s="2258">
        <f t="shared" si="17"/>
        <v>1625</v>
      </c>
      <c r="Q25" s="2259">
        <f t="shared" si="17"/>
        <v>2463</v>
      </c>
      <c r="R25" s="2260">
        <f t="shared" si="17"/>
        <v>4088</v>
      </c>
      <c r="S25" s="2258">
        <f t="shared" si="17"/>
        <v>1710</v>
      </c>
      <c r="T25" s="2259">
        <f t="shared" si="17"/>
        <v>2423</v>
      </c>
      <c r="U25" s="2260">
        <f t="shared" si="17"/>
        <v>4133</v>
      </c>
      <c r="V25" s="2258">
        <f t="shared" si="17"/>
        <v>1699</v>
      </c>
      <c r="W25" s="2259">
        <f t="shared" si="17"/>
        <v>2433</v>
      </c>
      <c r="X25" s="2260">
        <f t="shared" si="17"/>
        <v>4132</v>
      </c>
      <c r="Y25" s="2258">
        <f t="shared" si="17"/>
        <v>1835</v>
      </c>
      <c r="Z25" s="2259">
        <f t="shared" si="17"/>
        <v>2521</v>
      </c>
      <c r="AA25" s="2260">
        <f t="shared" si="17"/>
        <v>4356</v>
      </c>
      <c r="AB25" s="2258">
        <f t="shared" si="17"/>
        <v>2007</v>
      </c>
      <c r="AC25" s="2259">
        <f t="shared" si="17"/>
        <v>2092</v>
      </c>
      <c r="AD25" s="2260">
        <f t="shared" si="17"/>
        <v>4099</v>
      </c>
      <c r="AE25" s="2258">
        <f t="shared" si="17"/>
        <v>1511</v>
      </c>
      <c r="AF25" s="2259">
        <f t="shared" si="17"/>
        <v>2164</v>
      </c>
      <c r="AG25" s="2260">
        <f t="shared" si="17"/>
        <v>3675</v>
      </c>
      <c r="AH25" s="2258">
        <f t="shared" ref="AH25:AM25" si="18">SUM(AH24,AH20,AH15)</f>
        <v>1578</v>
      </c>
      <c r="AI25" s="2259">
        <f t="shared" si="18"/>
        <v>2173</v>
      </c>
      <c r="AJ25" s="2260">
        <f t="shared" si="18"/>
        <v>3751</v>
      </c>
      <c r="AK25" s="2258">
        <f t="shared" si="18"/>
        <v>1410</v>
      </c>
      <c r="AL25" s="2259">
        <f t="shared" si="18"/>
        <v>2165</v>
      </c>
      <c r="AM25" s="2260">
        <f t="shared" si="18"/>
        <v>3575</v>
      </c>
      <c r="AN25" s="2258">
        <f t="shared" ref="AN25:AV25" si="19">SUM(AN24,AN20,AN15)</f>
        <v>1436</v>
      </c>
      <c r="AO25" s="2259">
        <f t="shared" si="19"/>
        <v>2154</v>
      </c>
      <c r="AP25" s="2260">
        <f t="shared" si="19"/>
        <v>3590</v>
      </c>
      <c r="AQ25" s="2258">
        <f t="shared" si="19"/>
        <v>1583</v>
      </c>
      <c r="AR25" s="2259">
        <f t="shared" si="19"/>
        <v>2290</v>
      </c>
      <c r="AS25" s="2260">
        <f t="shared" si="19"/>
        <v>3873</v>
      </c>
      <c r="AT25" s="2258">
        <f t="shared" si="19"/>
        <v>1663</v>
      </c>
      <c r="AU25" s="2259">
        <f t="shared" si="19"/>
        <v>2379</v>
      </c>
      <c r="AV25" s="2260">
        <f t="shared" si="19"/>
        <v>4042</v>
      </c>
    </row>
    <row r="26" spans="1:48" s="186" customFormat="1" ht="15" customHeight="1" x14ac:dyDescent="0.25">
      <c r="A26" s="5668" t="s">
        <v>162</v>
      </c>
      <c r="B26" s="5677" t="s">
        <v>5</v>
      </c>
      <c r="C26" s="799" t="s">
        <v>463</v>
      </c>
      <c r="D26" s="835">
        <v>41</v>
      </c>
      <c r="E26" s="836">
        <v>92</v>
      </c>
      <c r="F26" s="802">
        <v>133</v>
      </c>
      <c r="G26" s="835">
        <v>35</v>
      </c>
      <c r="H26" s="836">
        <v>83</v>
      </c>
      <c r="I26" s="802">
        <v>118</v>
      </c>
      <c r="J26" s="800">
        <v>47</v>
      </c>
      <c r="K26" s="801">
        <v>106</v>
      </c>
      <c r="L26" s="802">
        <v>153</v>
      </c>
      <c r="M26" s="800">
        <v>63</v>
      </c>
      <c r="N26" s="801">
        <v>93</v>
      </c>
      <c r="O26" s="802">
        <v>156</v>
      </c>
      <c r="P26" s="800">
        <v>30</v>
      </c>
      <c r="Q26" s="801">
        <v>79</v>
      </c>
      <c r="R26" s="802">
        <v>109</v>
      </c>
      <c r="S26" s="800">
        <v>35</v>
      </c>
      <c r="T26" s="801">
        <v>85</v>
      </c>
      <c r="U26" s="802">
        <v>120</v>
      </c>
      <c r="V26" s="800">
        <v>30</v>
      </c>
      <c r="W26" s="801">
        <v>106</v>
      </c>
      <c r="X26" s="802">
        <v>136</v>
      </c>
      <c r="Y26" s="800"/>
      <c r="Z26" s="801">
        <v>136</v>
      </c>
      <c r="AA26" s="802">
        <f t="shared" si="0"/>
        <v>136</v>
      </c>
      <c r="AB26" s="800"/>
      <c r="AC26" s="801">
        <v>138</v>
      </c>
      <c r="AD26" s="802">
        <f t="shared" si="1"/>
        <v>138</v>
      </c>
      <c r="AE26" s="800"/>
      <c r="AF26" s="801">
        <v>162</v>
      </c>
      <c r="AG26" s="802">
        <f t="shared" si="2"/>
        <v>162</v>
      </c>
      <c r="AH26" s="800"/>
      <c r="AI26" s="801">
        <v>172</v>
      </c>
      <c r="AJ26" s="802">
        <f t="shared" ref="AJ26:AJ34" si="20">SUM(AH26:AI26)</f>
        <v>172</v>
      </c>
      <c r="AK26" s="797"/>
      <c r="AL26" s="801">
        <v>161</v>
      </c>
      <c r="AM26" s="802">
        <f t="shared" ref="AM26:AM34" si="21">SUM(AK26:AL26)</f>
        <v>161</v>
      </c>
      <c r="AN26" s="797"/>
      <c r="AO26" s="801">
        <v>151</v>
      </c>
      <c r="AP26" s="802">
        <f t="shared" ref="AP26:AP34" si="22">SUM(AN26:AO26)</f>
        <v>151</v>
      </c>
      <c r="AQ26" s="797"/>
      <c r="AR26" s="801">
        <v>160</v>
      </c>
      <c r="AS26" s="802">
        <f t="shared" ref="AS26:AS35" si="23">SUM(AQ26:AR26)</f>
        <v>160</v>
      </c>
      <c r="AT26" s="797"/>
      <c r="AU26" s="801">
        <v>133</v>
      </c>
      <c r="AV26" s="802">
        <f t="shared" ref="AV26:AV35" si="24">SUM(AT26:AU26)</f>
        <v>133</v>
      </c>
    </row>
    <row r="27" spans="1:48" s="186" customFormat="1" ht="15" customHeight="1" x14ac:dyDescent="0.25">
      <c r="A27" s="5669"/>
      <c r="B27" s="5678"/>
      <c r="C27" s="799" t="s">
        <v>464</v>
      </c>
      <c r="D27" s="835">
        <v>10</v>
      </c>
      <c r="E27" s="836">
        <v>10</v>
      </c>
      <c r="F27" s="802">
        <v>20</v>
      </c>
      <c r="G27" s="835">
        <v>6</v>
      </c>
      <c r="H27" s="836">
        <v>15</v>
      </c>
      <c r="I27" s="802">
        <v>21</v>
      </c>
      <c r="J27" s="800">
        <v>8</v>
      </c>
      <c r="K27" s="801">
        <v>15</v>
      </c>
      <c r="L27" s="802">
        <v>23</v>
      </c>
      <c r="M27" s="800">
        <v>9</v>
      </c>
      <c r="N27" s="801">
        <v>9</v>
      </c>
      <c r="O27" s="802">
        <v>18</v>
      </c>
      <c r="P27" s="800">
        <v>11</v>
      </c>
      <c r="Q27" s="801">
        <v>21</v>
      </c>
      <c r="R27" s="802">
        <v>32</v>
      </c>
      <c r="S27" s="800"/>
      <c r="T27" s="801">
        <v>31</v>
      </c>
      <c r="U27" s="802">
        <v>31</v>
      </c>
      <c r="V27" s="800"/>
      <c r="W27" s="801">
        <v>18</v>
      </c>
      <c r="X27" s="802">
        <v>18</v>
      </c>
      <c r="Y27" s="800"/>
      <c r="Z27" s="801">
        <v>24</v>
      </c>
      <c r="AA27" s="802">
        <f t="shared" si="0"/>
        <v>24</v>
      </c>
      <c r="AB27" s="800"/>
      <c r="AC27" s="801">
        <v>36</v>
      </c>
      <c r="AD27" s="802">
        <f t="shared" si="1"/>
        <v>36</v>
      </c>
      <c r="AE27" s="800"/>
      <c r="AF27" s="801">
        <v>46</v>
      </c>
      <c r="AG27" s="802">
        <f t="shared" si="2"/>
        <v>46</v>
      </c>
      <c r="AH27" s="800"/>
      <c r="AI27" s="801">
        <v>34</v>
      </c>
      <c r="AJ27" s="802">
        <f t="shared" si="20"/>
        <v>34</v>
      </c>
      <c r="AK27" s="803"/>
      <c r="AL27" s="801">
        <v>40</v>
      </c>
      <c r="AM27" s="802">
        <f t="shared" si="21"/>
        <v>40</v>
      </c>
      <c r="AN27" s="803"/>
      <c r="AO27" s="801">
        <v>35</v>
      </c>
      <c r="AP27" s="802">
        <f t="shared" si="22"/>
        <v>35</v>
      </c>
      <c r="AQ27" s="803"/>
      <c r="AR27" s="801">
        <v>25</v>
      </c>
      <c r="AS27" s="802">
        <f t="shared" si="23"/>
        <v>25</v>
      </c>
      <c r="AT27" s="803"/>
      <c r="AU27" s="801">
        <v>28</v>
      </c>
      <c r="AV27" s="802">
        <f t="shared" si="24"/>
        <v>28</v>
      </c>
    </row>
    <row r="28" spans="1:48" s="186" customFormat="1" ht="15" customHeight="1" x14ac:dyDescent="0.25">
      <c r="A28" s="5669"/>
      <c r="B28" s="5678"/>
      <c r="C28" s="799" t="s">
        <v>453</v>
      </c>
      <c r="D28" s="835">
        <v>21</v>
      </c>
      <c r="E28" s="836">
        <v>49</v>
      </c>
      <c r="F28" s="802">
        <v>70</v>
      </c>
      <c r="G28" s="835">
        <v>27</v>
      </c>
      <c r="H28" s="836">
        <v>63</v>
      </c>
      <c r="I28" s="802">
        <v>90</v>
      </c>
      <c r="J28" s="800">
        <v>28</v>
      </c>
      <c r="K28" s="801">
        <v>88</v>
      </c>
      <c r="L28" s="802">
        <v>116</v>
      </c>
      <c r="M28" s="800">
        <v>31</v>
      </c>
      <c r="N28" s="801">
        <v>85</v>
      </c>
      <c r="O28" s="802">
        <v>116</v>
      </c>
      <c r="P28" s="800">
        <v>29</v>
      </c>
      <c r="Q28" s="801">
        <v>67</v>
      </c>
      <c r="R28" s="802">
        <v>96</v>
      </c>
      <c r="S28" s="800">
        <v>36</v>
      </c>
      <c r="T28" s="801">
        <v>69</v>
      </c>
      <c r="U28" s="802">
        <v>105</v>
      </c>
      <c r="V28" s="800">
        <v>29</v>
      </c>
      <c r="W28" s="801">
        <v>75</v>
      </c>
      <c r="X28" s="802">
        <v>104</v>
      </c>
      <c r="Y28" s="800">
        <v>44</v>
      </c>
      <c r="Z28" s="801">
        <v>111</v>
      </c>
      <c r="AA28" s="802">
        <f t="shared" si="0"/>
        <v>155</v>
      </c>
      <c r="AB28" s="800">
        <v>43</v>
      </c>
      <c r="AC28" s="801">
        <v>94</v>
      </c>
      <c r="AD28" s="802">
        <f t="shared" si="1"/>
        <v>137</v>
      </c>
      <c r="AE28" s="800">
        <v>73</v>
      </c>
      <c r="AF28" s="801">
        <v>96</v>
      </c>
      <c r="AG28" s="802">
        <f t="shared" si="2"/>
        <v>169</v>
      </c>
      <c r="AH28" s="800">
        <v>82</v>
      </c>
      <c r="AI28" s="801">
        <v>113</v>
      </c>
      <c r="AJ28" s="802">
        <f t="shared" si="20"/>
        <v>195</v>
      </c>
      <c r="AK28" s="803">
        <v>55</v>
      </c>
      <c r="AL28" s="801">
        <v>78</v>
      </c>
      <c r="AM28" s="802">
        <f t="shared" si="21"/>
        <v>133</v>
      </c>
      <c r="AN28" s="803">
        <v>49</v>
      </c>
      <c r="AO28" s="801">
        <v>74</v>
      </c>
      <c r="AP28" s="802">
        <f t="shared" si="22"/>
        <v>123</v>
      </c>
      <c r="AQ28" s="803">
        <v>58</v>
      </c>
      <c r="AR28" s="801">
        <v>82</v>
      </c>
      <c r="AS28" s="802">
        <f t="shared" si="23"/>
        <v>140</v>
      </c>
      <c r="AT28" s="803"/>
      <c r="AU28" s="801">
        <v>103</v>
      </c>
      <c r="AV28" s="802">
        <f t="shared" si="24"/>
        <v>103</v>
      </c>
    </row>
    <row r="29" spans="1:48" s="186" customFormat="1" ht="15" customHeight="1" x14ac:dyDescent="0.25">
      <c r="A29" s="5669"/>
      <c r="B29" s="5678"/>
      <c r="C29" s="799" t="s">
        <v>465</v>
      </c>
      <c r="D29" s="835">
        <v>23</v>
      </c>
      <c r="E29" s="836">
        <v>42</v>
      </c>
      <c r="F29" s="802">
        <v>65</v>
      </c>
      <c r="G29" s="835">
        <v>20</v>
      </c>
      <c r="H29" s="836">
        <v>37</v>
      </c>
      <c r="I29" s="802">
        <v>57</v>
      </c>
      <c r="J29" s="800">
        <v>34</v>
      </c>
      <c r="K29" s="801">
        <v>39</v>
      </c>
      <c r="L29" s="802">
        <v>73</v>
      </c>
      <c r="M29" s="800">
        <v>25</v>
      </c>
      <c r="N29" s="801">
        <v>31</v>
      </c>
      <c r="O29" s="802">
        <v>56</v>
      </c>
      <c r="P29" s="800">
        <v>15</v>
      </c>
      <c r="Q29" s="801">
        <v>49</v>
      </c>
      <c r="R29" s="802">
        <v>64</v>
      </c>
      <c r="S29" s="800">
        <v>28</v>
      </c>
      <c r="T29" s="801">
        <v>49</v>
      </c>
      <c r="U29" s="802">
        <v>77</v>
      </c>
      <c r="V29" s="800">
        <v>24</v>
      </c>
      <c r="W29" s="801">
        <v>65</v>
      </c>
      <c r="X29" s="802">
        <v>89</v>
      </c>
      <c r="Y29" s="800">
        <v>44</v>
      </c>
      <c r="Z29" s="801">
        <v>57</v>
      </c>
      <c r="AA29" s="802">
        <f t="shared" si="0"/>
        <v>101</v>
      </c>
      <c r="AB29" s="800">
        <v>80</v>
      </c>
      <c r="AC29" s="801">
        <v>75</v>
      </c>
      <c r="AD29" s="802">
        <f t="shared" si="1"/>
        <v>155</v>
      </c>
      <c r="AE29" s="800">
        <v>53</v>
      </c>
      <c r="AF29" s="801">
        <v>77</v>
      </c>
      <c r="AG29" s="802">
        <f t="shared" si="2"/>
        <v>130</v>
      </c>
      <c r="AH29" s="800">
        <v>90</v>
      </c>
      <c r="AI29" s="801">
        <v>83</v>
      </c>
      <c r="AJ29" s="802">
        <f t="shared" si="20"/>
        <v>173</v>
      </c>
      <c r="AK29" s="803">
        <v>78</v>
      </c>
      <c r="AL29" s="801">
        <v>70</v>
      </c>
      <c r="AM29" s="802">
        <f t="shared" si="21"/>
        <v>148</v>
      </c>
      <c r="AN29" s="803">
        <v>63</v>
      </c>
      <c r="AO29" s="801">
        <v>67</v>
      </c>
      <c r="AP29" s="802">
        <f t="shared" si="22"/>
        <v>130</v>
      </c>
      <c r="AQ29" s="803">
        <v>53</v>
      </c>
      <c r="AR29" s="801">
        <v>63</v>
      </c>
      <c r="AS29" s="802">
        <f t="shared" si="23"/>
        <v>116</v>
      </c>
      <c r="AT29" s="803"/>
      <c r="AU29" s="801">
        <v>103</v>
      </c>
      <c r="AV29" s="802">
        <f t="shared" si="24"/>
        <v>103</v>
      </c>
    </row>
    <row r="30" spans="1:48" s="186" customFormat="1" ht="15" customHeight="1" x14ac:dyDescent="0.25">
      <c r="A30" s="5669"/>
      <c r="B30" s="5678"/>
      <c r="C30" s="799" t="s">
        <v>466</v>
      </c>
      <c r="D30" s="835">
        <v>10</v>
      </c>
      <c r="E30" s="836">
        <v>33</v>
      </c>
      <c r="F30" s="802">
        <v>43</v>
      </c>
      <c r="G30" s="835">
        <v>9</v>
      </c>
      <c r="H30" s="836">
        <v>39</v>
      </c>
      <c r="I30" s="802">
        <v>48</v>
      </c>
      <c r="J30" s="800">
        <v>14</v>
      </c>
      <c r="K30" s="801">
        <v>46</v>
      </c>
      <c r="L30" s="802">
        <v>60</v>
      </c>
      <c r="M30" s="800">
        <v>20</v>
      </c>
      <c r="N30" s="801">
        <v>35</v>
      </c>
      <c r="O30" s="802">
        <v>55</v>
      </c>
      <c r="P30" s="800">
        <v>20</v>
      </c>
      <c r="Q30" s="801">
        <v>47</v>
      </c>
      <c r="R30" s="802">
        <v>67</v>
      </c>
      <c r="S30" s="800">
        <v>17</v>
      </c>
      <c r="T30" s="801">
        <v>46</v>
      </c>
      <c r="U30" s="802">
        <v>63</v>
      </c>
      <c r="V30" s="800">
        <v>21</v>
      </c>
      <c r="W30" s="801">
        <v>53</v>
      </c>
      <c r="X30" s="802">
        <v>74</v>
      </c>
      <c r="Y30" s="800">
        <v>38</v>
      </c>
      <c r="Z30" s="801">
        <v>74</v>
      </c>
      <c r="AA30" s="802">
        <f t="shared" si="0"/>
        <v>112</v>
      </c>
      <c r="AB30" s="800">
        <v>49</v>
      </c>
      <c r="AC30" s="801">
        <v>107</v>
      </c>
      <c r="AD30" s="802">
        <f t="shared" si="1"/>
        <v>156</v>
      </c>
      <c r="AE30" s="800">
        <v>67</v>
      </c>
      <c r="AF30" s="801">
        <v>97</v>
      </c>
      <c r="AG30" s="802">
        <f t="shared" si="2"/>
        <v>164</v>
      </c>
      <c r="AH30" s="800">
        <v>67</v>
      </c>
      <c r="AI30" s="801">
        <v>89</v>
      </c>
      <c r="AJ30" s="802">
        <f t="shared" si="20"/>
        <v>156</v>
      </c>
      <c r="AK30" s="803">
        <v>52</v>
      </c>
      <c r="AL30" s="801">
        <v>84</v>
      </c>
      <c r="AM30" s="802">
        <f t="shared" si="21"/>
        <v>136</v>
      </c>
      <c r="AN30" s="803">
        <v>62</v>
      </c>
      <c r="AO30" s="801">
        <v>84</v>
      </c>
      <c r="AP30" s="802">
        <f t="shared" si="22"/>
        <v>146</v>
      </c>
      <c r="AQ30" s="803"/>
      <c r="AR30" s="801">
        <v>133</v>
      </c>
      <c r="AS30" s="802">
        <f t="shared" si="23"/>
        <v>133</v>
      </c>
      <c r="AT30" s="803"/>
      <c r="AU30" s="801">
        <v>117</v>
      </c>
      <c r="AV30" s="802">
        <f t="shared" si="24"/>
        <v>117</v>
      </c>
    </row>
    <row r="31" spans="1:48" s="186" customFormat="1" ht="15" customHeight="1" x14ac:dyDescent="0.25">
      <c r="A31" s="5669"/>
      <c r="B31" s="5678"/>
      <c r="C31" s="799" t="s">
        <v>454</v>
      </c>
      <c r="D31" s="835">
        <v>71</v>
      </c>
      <c r="E31" s="836">
        <v>76</v>
      </c>
      <c r="F31" s="802">
        <v>147</v>
      </c>
      <c r="G31" s="835">
        <v>57</v>
      </c>
      <c r="H31" s="836">
        <v>100</v>
      </c>
      <c r="I31" s="802">
        <v>157</v>
      </c>
      <c r="J31" s="800">
        <v>62</v>
      </c>
      <c r="K31" s="801">
        <v>105</v>
      </c>
      <c r="L31" s="802">
        <v>167</v>
      </c>
      <c r="M31" s="800">
        <v>88</v>
      </c>
      <c r="N31" s="801">
        <v>130</v>
      </c>
      <c r="O31" s="802">
        <v>218</v>
      </c>
      <c r="P31" s="800">
        <v>63</v>
      </c>
      <c r="Q31" s="801">
        <v>109</v>
      </c>
      <c r="R31" s="802">
        <v>172</v>
      </c>
      <c r="S31" s="800">
        <v>40</v>
      </c>
      <c r="T31" s="801">
        <v>97</v>
      </c>
      <c r="U31" s="802">
        <v>137</v>
      </c>
      <c r="V31" s="800">
        <v>50</v>
      </c>
      <c r="W31" s="801">
        <v>90</v>
      </c>
      <c r="X31" s="802">
        <v>140</v>
      </c>
      <c r="Y31" s="800"/>
      <c r="Z31" s="801">
        <v>144</v>
      </c>
      <c r="AA31" s="802">
        <f t="shared" si="0"/>
        <v>144</v>
      </c>
      <c r="AB31" s="800"/>
      <c r="AC31" s="801">
        <v>142</v>
      </c>
      <c r="AD31" s="802">
        <f t="shared" si="1"/>
        <v>142</v>
      </c>
      <c r="AE31" s="800"/>
      <c r="AF31" s="801">
        <v>130</v>
      </c>
      <c r="AG31" s="802">
        <f t="shared" si="2"/>
        <v>130</v>
      </c>
      <c r="AH31" s="800"/>
      <c r="AI31" s="801">
        <v>175</v>
      </c>
      <c r="AJ31" s="802">
        <f t="shared" si="20"/>
        <v>175</v>
      </c>
      <c r="AK31" s="803"/>
      <c r="AL31" s="801">
        <v>115</v>
      </c>
      <c r="AM31" s="802">
        <f t="shared" si="21"/>
        <v>115</v>
      </c>
      <c r="AN31" s="803"/>
      <c r="AO31" s="801">
        <v>103</v>
      </c>
      <c r="AP31" s="802">
        <f t="shared" si="22"/>
        <v>103</v>
      </c>
      <c r="AQ31" s="803"/>
      <c r="AR31" s="801">
        <v>121</v>
      </c>
      <c r="AS31" s="802">
        <f t="shared" si="23"/>
        <v>121</v>
      </c>
      <c r="AT31" s="803"/>
      <c r="AU31" s="801">
        <v>94</v>
      </c>
      <c r="AV31" s="802">
        <f t="shared" si="24"/>
        <v>94</v>
      </c>
    </row>
    <row r="32" spans="1:48" s="186" customFormat="1" ht="15" customHeight="1" x14ac:dyDescent="0.25">
      <c r="A32" s="5669"/>
      <c r="B32" s="5678"/>
      <c r="C32" s="799" t="s">
        <v>467</v>
      </c>
      <c r="D32" s="835">
        <v>39</v>
      </c>
      <c r="E32" s="836">
        <v>87</v>
      </c>
      <c r="F32" s="802">
        <v>126</v>
      </c>
      <c r="G32" s="835">
        <v>35</v>
      </c>
      <c r="H32" s="836">
        <v>92</v>
      </c>
      <c r="I32" s="802">
        <v>127</v>
      </c>
      <c r="J32" s="800">
        <v>23</v>
      </c>
      <c r="K32" s="801">
        <v>89</v>
      </c>
      <c r="L32" s="802">
        <v>112</v>
      </c>
      <c r="M32" s="800">
        <v>52</v>
      </c>
      <c r="N32" s="801">
        <v>85</v>
      </c>
      <c r="O32" s="802">
        <v>137</v>
      </c>
      <c r="P32" s="800">
        <v>30</v>
      </c>
      <c r="Q32" s="801">
        <v>66</v>
      </c>
      <c r="R32" s="802">
        <v>96</v>
      </c>
      <c r="S32" s="800">
        <v>43</v>
      </c>
      <c r="T32" s="801">
        <v>82</v>
      </c>
      <c r="U32" s="802">
        <v>125</v>
      </c>
      <c r="V32" s="800">
        <v>36</v>
      </c>
      <c r="W32" s="801">
        <v>79</v>
      </c>
      <c r="X32" s="802">
        <v>115</v>
      </c>
      <c r="Y32" s="800"/>
      <c r="Z32" s="801">
        <v>124</v>
      </c>
      <c r="AA32" s="802">
        <f t="shared" si="0"/>
        <v>124</v>
      </c>
      <c r="AB32" s="800"/>
      <c r="AC32" s="801">
        <v>84</v>
      </c>
      <c r="AD32" s="802">
        <f t="shared" si="1"/>
        <v>84</v>
      </c>
      <c r="AE32" s="800"/>
      <c r="AF32" s="801">
        <v>76</v>
      </c>
      <c r="AG32" s="802">
        <f t="shared" si="2"/>
        <v>76</v>
      </c>
      <c r="AH32" s="800"/>
      <c r="AI32" s="801">
        <v>112</v>
      </c>
      <c r="AJ32" s="802">
        <f t="shared" si="20"/>
        <v>112</v>
      </c>
      <c r="AK32" s="803"/>
      <c r="AL32" s="801">
        <v>112</v>
      </c>
      <c r="AM32" s="802">
        <f t="shared" si="21"/>
        <v>112</v>
      </c>
      <c r="AN32" s="803"/>
      <c r="AO32" s="801">
        <v>121</v>
      </c>
      <c r="AP32" s="802">
        <f t="shared" si="22"/>
        <v>121</v>
      </c>
      <c r="AQ32" s="803"/>
      <c r="AR32" s="801">
        <v>147</v>
      </c>
      <c r="AS32" s="802">
        <f t="shared" si="23"/>
        <v>147</v>
      </c>
      <c r="AT32" s="803"/>
      <c r="AU32" s="801">
        <v>117</v>
      </c>
      <c r="AV32" s="802">
        <f t="shared" si="24"/>
        <v>117</v>
      </c>
    </row>
    <row r="33" spans="1:48" s="186" customFormat="1" ht="15" customHeight="1" x14ac:dyDescent="0.25">
      <c r="A33" s="5669"/>
      <c r="B33" s="5678"/>
      <c r="C33" s="799" t="s">
        <v>468</v>
      </c>
      <c r="D33" s="835">
        <v>6</v>
      </c>
      <c r="E33" s="836">
        <v>19</v>
      </c>
      <c r="F33" s="802">
        <v>25</v>
      </c>
      <c r="G33" s="835">
        <v>6</v>
      </c>
      <c r="H33" s="836">
        <v>14</v>
      </c>
      <c r="I33" s="802">
        <v>20</v>
      </c>
      <c r="J33" s="800">
        <v>8</v>
      </c>
      <c r="K33" s="801">
        <v>33</v>
      </c>
      <c r="L33" s="802">
        <v>41</v>
      </c>
      <c r="M33" s="800">
        <v>8</v>
      </c>
      <c r="N33" s="801">
        <v>18</v>
      </c>
      <c r="O33" s="802">
        <v>26</v>
      </c>
      <c r="P33" s="800">
        <v>17</v>
      </c>
      <c r="Q33" s="801">
        <v>22</v>
      </c>
      <c r="R33" s="802">
        <v>39</v>
      </c>
      <c r="S33" s="800">
        <v>18</v>
      </c>
      <c r="T33" s="801">
        <v>44</v>
      </c>
      <c r="U33" s="802">
        <v>62</v>
      </c>
      <c r="V33" s="800">
        <v>10</v>
      </c>
      <c r="W33" s="801">
        <v>39</v>
      </c>
      <c r="X33" s="802">
        <v>49</v>
      </c>
      <c r="Y33" s="800">
        <v>11</v>
      </c>
      <c r="Z33" s="801">
        <v>36</v>
      </c>
      <c r="AA33" s="802">
        <f t="shared" si="0"/>
        <v>47</v>
      </c>
      <c r="AB33" s="800">
        <v>46</v>
      </c>
      <c r="AC33" s="801">
        <v>44</v>
      </c>
      <c r="AD33" s="802">
        <f t="shared" si="1"/>
        <v>90</v>
      </c>
      <c r="AE33" s="800">
        <v>23</v>
      </c>
      <c r="AF33" s="801">
        <v>60</v>
      </c>
      <c r="AG33" s="802">
        <f t="shared" si="2"/>
        <v>83</v>
      </c>
      <c r="AH33" s="800">
        <v>30</v>
      </c>
      <c r="AI33" s="801">
        <v>75</v>
      </c>
      <c r="AJ33" s="802">
        <f t="shared" si="20"/>
        <v>105</v>
      </c>
      <c r="AK33" s="803">
        <v>29</v>
      </c>
      <c r="AL33" s="801">
        <v>59</v>
      </c>
      <c r="AM33" s="802">
        <f t="shared" si="21"/>
        <v>88</v>
      </c>
      <c r="AN33" s="803">
        <v>23</v>
      </c>
      <c r="AO33" s="801">
        <v>54</v>
      </c>
      <c r="AP33" s="802">
        <f t="shared" si="22"/>
        <v>77</v>
      </c>
      <c r="AQ33" s="803">
        <v>43</v>
      </c>
      <c r="AR33" s="801">
        <v>54</v>
      </c>
      <c r="AS33" s="802">
        <f t="shared" si="23"/>
        <v>97</v>
      </c>
      <c r="AT33" s="803"/>
      <c r="AU33" s="801">
        <v>70</v>
      </c>
      <c r="AV33" s="802">
        <f t="shared" si="24"/>
        <v>70</v>
      </c>
    </row>
    <row r="34" spans="1:48" s="186" customFormat="1" ht="15" customHeight="1" x14ac:dyDescent="0.25">
      <c r="A34" s="5669"/>
      <c r="B34" s="5678"/>
      <c r="C34" s="799" t="s">
        <v>469</v>
      </c>
      <c r="D34" s="800">
        <v>100</v>
      </c>
      <c r="E34" s="836">
        <v>106</v>
      </c>
      <c r="F34" s="802">
        <v>206</v>
      </c>
      <c r="G34" s="835">
        <v>98</v>
      </c>
      <c r="H34" s="836">
        <v>115</v>
      </c>
      <c r="I34" s="802">
        <v>213</v>
      </c>
      <c r="J34" s="800">
        <v>94</v>
      </c>
      <c r="K34" s="801">
        <v>109</v>
      </c>
      <c r="L34" s="802">
        <v>203</v>
      </c>
      <c r="M34" s="800">
        <v>101</v>
      </c>
      <c r="N34" s="801">
        <v>119</v>
      </c>
      <c r="O34" s="802">
        <v>220</v>
      </c>
      <c r="P34" s="800">
        <v>81</v>
      </c>
      <c r="Q34" s="801">
        <v>106</v>
      </c>
      <c r="R34" s="802">
        <v>187</v>
      </c>
      <c r="S34" s="800">
        <v>89</v>
      </c>
      <c r="T34" s="801">
        <v>105</v>
      </c>
      <c r="U34" s="802">
        <v>194</v>
      </c>
      <c r="V34" s="800">
        <v>61</v>
      </c>
      <c r="W34" s="801">
        <v>100</v>
      </c>
      <c r="X34" s="802">
        <v>161</v>
      </c>
      <c r="Y34" s="800"/>
      <c r="Z34" s="801">
        <v>189</v>
      </c>
      <c r="AA34" s="802">
        <f t="shared" si="0"/>
        <v>189</v>
      </c>
      <c r="AB34" s="803"/>
      <c r="AC34" s="801">
        <v>160</v>
      </c>
      <c r="AD34" s="802">
        <f t="shared" si="1"/>
        <v>160</v>
      </c>
      <c r="AE34" s="803"/>
      <c r="AF34" s="801">
        <v>159</v>
      </c>
      <c r="AG34" s="802">
        <f t="shared" si="2"/>
        <v>159</v>
      </c>
      <c r="AH34" s="803"/>
      <c r="AI34" s="801">
        <v>168</v>
      </c>
      <c r="AJ34" s="802">
        <f t="shared" si="20"/>
        <v>168</v>
      </c>
      <c r="AK34" s="803"/>
      <c r="AL34" s="801">
        <v>119</v>
      </c>
      <c r="AM34" s="802">
        <f t="shared" si="21"/>
        <v>119</v>
      </c>
      <c r="AN34" s="803"/>
      <c r="AO34" s="801">
        <v>92</v>
      </c>
      <c r="AP34" s="802">
        <f t="shared" si="22"/>
        <v>92</v>
      </c>
      <c r="AQ34" s="803"/>
      <c r="AR34" s="801">
        <v>117</v>
      </c>
      <c r="AS34" s="802">
        <f t="shared" si="23"/>
        <v>117</v>
      </c>
      <c r="AT34" s="803"/>
      <c r="AU34" s="801">
        <v>110</v>
      </c>
      <c r="AV34" s="802">
        <f t="shared" si="24"/>
        <v>110</v>
      </c>
    </row>
    <row r="35" spans="1:48" s="186" customFormat="1" ht="15" customHeight="1" x14ac:dyDescent="0.25">
      <c r="A35" s="5669"/>
      <c r="B35" s="5678"/>
      <c r="C35" s="808" t="s">
        <v>1461</v>
      </c>
      <c r="D35" s="809"/>
      <c r="E35" s="840"/>
      <c r="F35" s="811"/>
      <c r="G35" s="841"/>
      <c r="H35" s="840"/>
      <c r="I35" s="811"/>
      <c r="J35" s="809"/>
      <c r="K35" s="810"/>
      <c r="L35" s="811"/>
      <c r="M35" s="809"/>
      <c r="N35" s="810"/>
      <c r="O35" s="811"/>
      <c r="P35" s="809"/>
      <c r="Q35" s="810"/>
      <c r="R35" s="811"/>
      <c r="S35" s="809"/>
      <c r="T35" s="810"/>
      <c r="U35" s="811"/>
      <c r="V35" s="809"/>
      <c r="W35" s="810"/>
      <c r="X35" s="811"/>
      <c r="Y35" s="809"/>
      <c r="Z35" s="810"/>
      <c r="AA35" s="811"/>
      <c r="AB35" s="812"/>
      <c r="AC35" s="810"/>
      <c r="AD35" s="811"/>
      <c r="AE35" s="812"/>
      <c r="AF35" s="810"/>
      <c r="AG35" s="811"/>
      <c r="AH35" s="812"/>
      <c r="AI35" s="810"/>
      <c r="AJ35" s="811"/>
      <c r="AK35" s="812"/>
      <c r="AL35" s="810"/>
      <c r="AM35" s="811"/>
      <c r="AN35" s="812"/>
      <c r="AO35" s="810"/>
      <c r="AP35" s="811"/>
      <c r="AQ35" s="812"/>
      <c r="AR35" s="810">
        <v>38</v>
      </c>
      <c r="AS35" s="802">
        <f t="shared" si="23"/>
        <v>38</v>
      </c>
      <c r="AT35" s="812"/>
      <c r="AU35" s="810">
        <v>32</v>
      </c>
      <c r="AV35" s="802">
        <f t="shared" si="24"/>
        <v>32</v>
      </c>
    </row>
    <row r="36" spans="1:48" s="186" customFormat="1" ht="15" customHeight="1" x14ac:dyDescent="0.25">
      <c r="A36" s="5669"/>
      <c r="B36" s="5678"/>
      <c r="C36" s="4475" t="s">
        <v>160</v>
      </c>
      <c r="D36" s="4476">
        <f>SUM(D26:D34)</f>
        <v>321</v>
      </c>
      <c r="E36" s="4494">
        <f t="shared" ref="E36:AG36" si="25">SUM(E26:E34)</f>
        <v>514</v>
      </c>
      <c r="F36" s="4478">
        <f t="shared" si="25"/>
        <v>835</v>
      </c>
      <c r="G36" s="4476">
        <f t="shared" si="25"/>
        <v>293</v>
      </c>
      <c r="H36" s="4494">
        <f t="shared" si="25"/>
        <v>558</v>
      </c>
      <c r="I36" s="4478">
        <f t="shared" si="25"/>
        <v>851</v>
      </c>
      <c r="J36" s="4476">
        <f t="shared" si="25"/>
        <v>318</v>
      </c>
      <c r="K36" s="4494">
        <f t="shared" si="25"/>
        <v>630</v>
      </c>
      <c r="L36" s="4478">
        <f t="shared" si="25"/>
        <v>948</v>
      </c>
      <c r="M36" s="4476">
        <f t="shared" si="25"/>
        <v>397</v>
      </c>
      <c r="N36" s="4494">
        <f t="shared" si="25"/>
        <v>605</v>
      </c>
      <c r="O36" s="4478">
        <f t="shared" si="25"/>
        <v>1002</v>
      </c>
      <c r="P36" s="4476">
        <f t="shared" si="25"/>
        <v>296</v>
      </c>
      <c r="Q36" s="4494">
        <f t="shared" si="25"/>
        <v>566</v>
      </c>
      <c r="R36" s="4478">
        <f t="shared" si="25"/>
        <v>862</v>
      </c>
      <c r="S36" s="4476">
        <f t="shared" si="25"/>
        <v>306</v>
      </c>
      <c r="T36" s="4494">
        <f t="shared" si="25"/>
        <v>608</v>
      </c>
      <c r="U36" s="4478">
        <f t="shared" si="25"/>
        <v>914</v>
      </c>
      <c r="V36" s="4476">
        <f t="shared" si="25"/>
        <v>261</v>
      </c>
      <c r="W36" s="4494">
        <f t="shared" si="25"/>
        <v>625</v>
      </c>
      <c r="X36" s="4478">
        <f t="shared" si="25"/>
        <v>886</v>
      </c>
      <c r="Y36" s="4476">
        <f t="shared" si="25"/>
        <v>137</v>
      </c>
      <c r="Z36" s="4494">
        <f t="shared" si="25"/>
        <v>895</v>
      </c>
      <c r="AA36" s="4478">
        <f t="shared" si="25"/>
        <v>1032</v>
      </c>
      <c r="AB36" s="4476">
        <f t="shared" si="25"/>
        <v>218</v>
      </c>
      <c r="AC36" s="4494">
        <f t="shared" si="25"/>
        <v>880</v>
      </c>
      <c r="AD36" s="4478">
        <f t="shared" si="25"/>
        <v>1098</v>
      </c>
      <c r="AE36" s="4476">
        <f t="shared" si="25"/>
        <v>216</v>
      </c>
      <c r="AF36" s="4494">
        <f t="shared" si="25"/>
        <v>903</v>
      </c>
      <c r="AG36" s="4478">
        <f t="shared" si="25"/>
        <v>1119</v>
      </c>
      <c r="AH36" s="4476">
        <f t="shared" ref="AH36:AM36" si="26">SUM(AH26:AH34)</f>
        <v>269</v>
      </c>
      <c r="AI36" s="4477">
        <f t="shared" si="26"/>
        <v>1021</v>
      </c>
      <c r="AJ36" s="4478">
        <f t="shared" si="26"/>
        <v>1290</v>
      </c>
      <c r="AK36" s="4479">
        <f>SUM(AK26:AK34)</f>
        <v>214</v>
      </c>
      <c r="AL36" s="4480">
        <f>SUM(AL26:AL34)</f>
        <v>838</v>
      </c>
      <c r="AM36" s="4478">
        <f t="shared" si="26"/>
        <v>1052</v>
      </c>
      <c r="AN36" s="4479">
        <f>SUM(AN26:AN34)</f>
        <v>197</v>
      </c>
      <c r="AO36" s="4480">
        <f>SUM(AO26:AO34)</f>
        <v>781</v>
      </c>
      <c r="AP36" s="4478">
        <f>SUM(AP26:AP34)</f>
        <v>978</v>
      </c>
      <c r="AQ36" s="4479">
        <f>SUM(AQ26:AQ34)</f>
        <v>154</v>
      </c>
      <c r="AR36" s="4480">
        <f>SUM(AR26:AR35)</f>
        <v>940</v>
      </c>
      <c r="AS36" s="4478">
        <f>SUM(AS26:AS35)</f>
        <v>1094</v>
      </c>
      <c r="AT36" s="4479">
        <f>SUM(AT26:AT34)</f>
        <v>0</v>
      </c>
      <c r="AU36" s="4480">
        <f>SUM(AU26:AU35)</f>
        <v>907</v>
      </c>
      <c r="AV36" s="4478">
        <f>SUM(AV26:AV35)</f>
        <v>907</v>
      </c>
    </row>
    <row r="37" spans="1:48" s="186" customFormat="1" ht="15" customHeight="1" x14ac:dyDescent="0.25">
      <c r="A37" s="5669"/>
      <c r="B37" s="5678" t="s">
        <v>6</v>
      </c>
      <c r="C37" s="4481" t="s">
        <v>456</v>
      </c>
      <c r="D37" s="4495">
        <v>113</v>
      </c>
      <c r="E37" s="4496">
        <v>134</v>
      </c>
      <c r="F37" s="4484">
        <v>247</v>
      </c>
      <c r="G37" s="4495">
        <v>135</v>
      </c>
      <c r="H37" s="4496">
        <v>141</v>
      </c>
      <c r="I37" s="4484">
        <v>276</v>
      </c>
      <c r="J37" s="4482">
        <v>115</v>
      </c>
      <c r="K37" s="4483">
        <v>159</v>
      </c>
      <c r="L37" s="4484">
        <v>274</v>
      </c>
      <c r="M37" s="4482">
        <v>134</v>
      </c>
      <c r="N37" s="4483">
        <v>163</v>
      </c>
      <c r="O37" s="4484">
        <v>297</v>
      </c>
      <c r="P37" s="4482">
        <v>156</v>
      </c>
      <c r="Q37" s="4483">
        <v>177</v>
      </c>
      <c r="R37" s="4484">
        <v>333</v>
      </c>
      <c r="S37" s="4482">
        <v>126</v>
      </c>
      <c r="T37" s="4483">
        <v>152</v>
      </c>
      <c r="U37" s="4484">
        <v>278</v>
      </c>
      <c r="V37" s="4482">
        <v>127</v>
      </c>
      <c r="W37" s="4483">
        <v>155</v>
      </c>
      <c r="X37" s="4484">
        <v>282</v>
      </c>
      <c r="Y37" s="4482">
        <v>115</v>
      </c>
      <c r="Z37" s="4483">
        <v>152</v>
      </c>
      <c r="AA37" s="4484">
        <f t="shared" si="0"/>
        <v>267</v>
      </c>
      <c r="AB37" s="4482">
        <v>116</v>
      </c>
      <c r="AC37" s="4483">
        <v>157</v>
      </c>
      <c r="AD37" s="4484">
        <f t="shared" si="1"/>
        <v>273</v>
      </c>
      <c r="AE37" s="4482">
        <v>118</v>
      </c>
      <c r="AF37" s="4483">
        <v>161</v>
      </c>
      <c r="AG37" s="4484">
        <f t="shared" si="2"/>
        <v>279</v>
      </c>
      <c r="AH37" s="4482">
        <v>95</v>
      </c>
      <c r="AI37" s="4483">
        <v>151</v>
      </c>
      <c r="AJ37" s="4484">
        <f t="shared" ref="AJ37:AJ47" si="27">SUM(AH37:AI37)</f>
        <v>246</v>
      </c>
      <c r="AK37" s="4485">
        <v>90</v>
      </c>
      <c r="AL37" s="4483">
        <v>151</v>
      </c>
      <c r="AM37" s="4484">
        <f t="shared" ref="AM37:AM47" si="28">SUM(AK37:AL37)</f>
        <v>241</v>
      </c>
      <c r="AN37" s="4485">
        <v>83</v>
      </c>
      <c r="AO37" s="4483">
        <v>137</v>
      </c>
      <c r="AP37" s="4484">
        <f t="shared" ref="AP37:AP47" si="29">SUM(AN37:AO37)</f>
        <v>220</v>
      </c>
      <c r="AQ37" s="4485">
        <v>95</v>
      </c>
      <c r="AR37" s="4483">
        <v>156</v>
      </c>
      <c r="AS37" s="4484">
        <f t="shared" ref="AS37:AS47" si="30">SUM(AQ37:AR37)</f>
        <v>251</v>
      </c>
      <c r="AT37" s="4485">
        <v>99</v>
      </c>
      <c r="AU37" s="4483">
        <v>151</v>
      </c>
      <c r="AV37" s="4484">
        <f t="shared" ref="AV37:AV47" si="31">SUM(AT37:AU37)</f>
        <v>250</v>
      </c>
    </row>
    <row r="38" spans="1:48" s="186" customFormat="1" ht="15" customHeight="1" x14ac:dyDescent="0.25">
      <c r="A38" s="5669"/>
      <c r="B38" s="5678"/>
      <c r="C38" s="799" t="s">
        <v>470</v>
      </c>
      <c r="D38" s="800"/>
      <c r="E38" s="836">
        <v>67</v>
      </c>
      <c r="F38" s="802">
        <v>67</v>
      </c>
      <c r="G38" s="837"/>
      <c r="H38" s="836">
        <v>70</v>
      </c>
      <c r="I38" s="802">
        <v>70</v>
      </c>
      <c r="J38" s="800"/>
      <c r="K38" s="801">
        <v>81</v>
      </c>
      <c r="L38" s="802">
        <v>81</v>
      </c>
      <c r="M38" s="800"/>
      <c r="N38" s="801">
        <v>68</v>
      </c>
      <c r="O38" s="802">
        <v>68</v>
      </c>
      <c r="P38" s="800"/>
      <c r="Q38" s="801">
        <v>86</v>
      </c>
      <c r="R38" s="802">
        <v>86</v>
      </c>
      <c r="S38" s="800"/>
      <c r="T38" s="801">
        <v>66</v>
      </c>
      <c r="U38" s="802">
        <v>66</v>
      </c>
      <c r="V38" s="800"/>
      <c r="W38" s="801">
        <v>74</v>
      </c>
      <c r="X38" s="802">
        <v>74</v>
      </c>
      <c r="Y38" s="800"/>
      <c r="Z38" s="801">
        <v>79</v>
      </c>
      <c r="AA38" s="802">
        <f t="shared" si="0"/>
        <v>79</v>
      </c>
      <c r="AB38" s="800"/>
      <c r="AC38" s="801">
        <v>83</v>
      </c>
      <c r="AD38" s="802">
        <f t="shared" si="1"/>
        <v>83</v>
      </c>
      <c r="AE38" s="800"/>
      <c r="AF38" s="801">
        <v>80</v>
      </c>
      <c r="AG38" s="802">
        <f t="shared" si="2"/>
        <v>80</v>
      </c>
      <c r="AH38" s="800"/>
      <c r="AI38" s="801">
        <v>74</v>
      </c>
      <c r="AJ38" s="802">
        <f t="shared" si="27"/>
        <v>74</v>
      </c>
      <c r="AK38" s="803"/>
      <c r="AL38" s="801">
        <v>74</v>
      </c>
      <c r="AM38" s="802">
        <f t="shared" si="28"/>
        <v>74</v>
      </c>
      <c r="AN38" s="803"/>
      <c r="AO38" s="801">
        <v>81</v>
      </c>
      <c r="AP38" s="802">
        <f t="shared" si="29"/>
        <v>81</v>
      </c>
      <c r="AQ38" s="803"/>
      <c r="AR38" s="801">
        <v>73</v>
      </c>
      <c r="AS38" s="802">
        <f t="shared" si="30"/>
        <v>73</v>
      </c>
      <c r="AT38" s="803"/>
      <c r="AU38" s="801">
        <v>81</v>
      </c>
      <c r="AV38" s="802">
        <f t="shared" si="31"/>
        <v>81</v>
      </c>
    </row>
    <row r="39" spans="1:48" s="186" customFormat="1" ht="15" customHeight="1" x14ac:dyDescent="0.25">
      <c r="A39" s="5669"/>
      <c r="B39" s="5678"/>
      <c r="C39" s="799" t="s">
        <v>471</v>
      </c>
      <c r="D39" s="805"/>
      <c r="E39" s="836">
        <v>64</v>
      </c>
      <c r="F39" s="802">
        <v>64</v>
      </c>
      <c r="G39" s="837"/>
      <c r="H39" s="836">
        <v>72</v>
      </c>
      <c r="I39" s="802">
        <v>72</v>
      </c>
      <c r="J39" s="805"/>
      <c r="K39" s="801">
        <v>82</v>
      </c>
      <c r="L39" s="802">
        <v>82</v>
      </c>
      <c r="M39" s="805"/>
      <c r="N39" s="801">
        <v>77</v>
      </c>
      <c r="O39" s="802">
        <v>77</v>
      </c>
      <c r="P39" s="800"/>
      <c r="Q39" s="801">
        <v>90</v>
      </c>
      <c r="R39" s="802">
        <v>90</v>
      </c>
      <c r="S39" s="800"/>
      <c r="T39" s="801">
        <v>72</v>
      </c>
      <c r="U39" s="802">
        <v>72</v>
      </c>
      <c r="V39" s="800"/>
      <c r="W39" s="801">
        <v>89</v>
      </c>
      <c r="X39" s="802">
        <v>89</v>
      </c>
      <c r="Y39" s="800"/>
      <c r="Z39" s="801">
        <v>94</v>
      </c>
      <c r="AA39" s="802">
        <f t="shared" si="0"/>
        <v>94</v>
      </c>
      <c r="AB39" s="800"/>
      <c r="AC39" s="801">
        <v>80</v>
      </c>
      <c r="AD39" s="802">
        <f t="shared" si="1"/>
        <v>80</v>
      </c>
      <c r="AE39" s="800"/>
      <c r="AF39" s="801">
        <v>86</v>
      </c>
      <c r="AG39" s="802">
        <f t="shared" si="2"/>
        <v>86</v>
      </c>
      <c r="AH39" s="800"/>
      <c r="AI39" s="801">
        <v>83</v>
      </c>
      <c r="AJ39" s="802">
        <f t="shared" si="27"/>
        <v>83</v>
      </c>
      <c r="AK39" s="803"/>
      <c r="AL39" s="801">
        <v>74</v>
      </c>
      <c r="AM39" s="802">
        <f t="shared" si="28"/>
        <v>74</v>
      </c>
      <c r="AN39" s="803"/>
      <c r="AO39" s="801">
        <v>84</v>
      </c>
      <c r="AP39" s="802">
        <f t="shared" si="29"/>
        <v>84</v>
      </c>
      <c r="AQ39" s="803"/>
      <c r="AR39" s="801">
        <v>89</v>
      </c>
      <c r="AS39" s="802">
        <f t="shared" si="30"/>
        <v>89</v>
      </c>
      <c r="AT39" s="803"/>
      <c r="AU39" s="801">
        <v>76</v>
      </c>
      <c r="AV39" s="802">
        <f t="shared" si="31"/>
        <v>76</v>
      </c>
    </row>
    <row r="40" spans="1:48" s="186" customFormat="1" ht="15" customHeight="1" x14ac:dyDescent="0.25">
      <c r="A40" s="5669"/>
      <c r="B40" s="5678"/>
      <c r="C40" s="799" t="s">
        <v>472</v>
      </c>
      <c r="D40" s="805"/>
      <c r="E40" s="836">
        <v>56</v>
      </c>
      <c r="F40" s="802">
        <v>56</v>
      </c>
      <c r="G40" s="837"/>
      <c r="H40" s="836">
        <v>85</v>
      </c>
      <c r="I40" s="802">
        <v>85</v>
      </c>
      <c r="J40" s="805"/>
      <c r="K40" s="801">
        <v>88</v>
      </c>
      <c r="L40" s="802">
        <v>88</v>
      </c>
      <c r="M40" s="805"/>
      <c r="N40" s="801">
        <v>94</v>
      </c>
      <c r="O40" s="802">
        <v>94</v>
      </c>
      <c r="P40" s="800"/>
      <c r="Q40" s="801">
        <v>89</v>
      </c>
      <c r="R40" s="802">
        <v>89</v>
      </c>
      <c r="S40" s="800"/>
      <c r="T40" s="801">
        <v>87</v>
      </c>
      <c r="U40" s="802">
        <v>87</v>
      </c>
      <c r="V40" s="800"/>
      <c r="W40" s="801">
        <v>92</v>
      </c>
      <c r="X40" s="802">
        <v>92</v>
      </c>
      <c r="Y40" s="800"/>
      <c r="Z40" s="801">
        <v>100</v>
      </c>
      <c r="AA40" s="802">
        <f t="shared" si="0"/>
        <v>100</v>
      </c>
      <c r="AB40" s="800"/>
      <c r="AC40" s="801">
        <v>93</v>
      </c>
      <c r="AD40" s="802">
        <f t="shared" si="1"/>
        <v>93</v>
      </c>
      <c r="AE40" s="800"/>
      <c r="AF40" s="801">
        <v>106</v>
      </c>
      <c r="AG40" s="802">
        <f t="shared" si="2"/>
        <v>106</v>
      </c>
      <c r="AH40" s="800"/>
      <c r="AI40" s="801">
        <v>90</v>
      </c>
      <c r="AJ40" s="802">
        <f t="shared" si="27"/>
        <v>90</v>
      </c>
      <c r="AK40" s="803"/>
      <c r="AL40" s="801">
        <v>94</v>
      </c>
      <c r="AM40" s="802">
        <f t="shared" si="28"/>
        <v>94</v>
      </c>
      <c r="AN40" s="803"/>
      <c r="AO40" s="801">
        <v>94</v>
      </c>
      <c r="AP40" s="802">
        <f t="shared" si="29"/>
        <v>94</v>
      </c>
      <c r="AQ40" s="803"/>
      <c r="AR40" s="801">
        <v>100</v>
      </c>
      <c r="AS40" s="802">
        <f t="shared" si="30"/>
        <v>100</v>
      </c>
      <c r="AT40" s="803"/>
      <c r="AU40" s="801">
        <v>112</v>
      </c>
      <c r="AV40" s="802">
        <f t="shared" si="31"/>
        <v>112</v>
      </c>
    </row>
    <row r="41" spans="1:48" s="186" customFormat="1" ht="15" customHeight="1" x14ac:dyDescent="0.25">
      <c r="A41" s="5669"/>
      <c r="B41" s="5678"/>
      <c r="C41" s="799" t="s">
        <v>458</v>
      </c>
      <c r="D41" s="800"/>
      <c r="E41" s="836">
        <v>87</v>
      </c>
      <c r="F41" s="802">
        <v>87</v>
      </c>
      <c r="G41" s="837"/>
      <c r="H41" s="836">
        <v>89</v>
      </c>
      <c r="I41" s="802">
        <v>89</v>
      </c>
      <c r="J41" s="800"/>
      <c r="K41" s="801">
        <v>135</v>
      </c>
      <c r="L41" s="802">
        <v>135</v>
      </c>
      <c r="M41" s="800"/>
      <c r="N41" s="801">
        <v>115</v>
      </c>
      <c r="O41" s="802">
        <v>115</v>
      </c>
      <c r="P41" s="800"/>
      <c r="Q41" s="801">
        <v>131</v>
      </c>
      <c r="R41" s="802">
        <v>131</v>
      </c>
      <c r="S41" s="800"/>
      <c r="T41" s="801">
        <v>142</v>
      </c>
      <c r="U41" s="802">
        <v>142</v>
      </c>
      <c r="V41" s="800"/>
      <c r="W41" s="801">
        <v>159</v>
      </c>
      <c r="X41" s="802">
        <v>159</v>
      </c>
      <c r="Y41" s="800"/>
      <c r="Z41" s="801">
        <v>156</v>
      </c>
      <c r="AA41" s="802">
        <f t="shared" si="0"/>
        <v>156</v>
      </c>
      <c r="AB41" s="800"/>
      <c r="AC41" s="801">
        <v>156</v>
      </c>
      <c r="AD41" s="802">
        <f t="shared" si="1"/>
        <v>156</v>
      </c>
      <c r="AE41" s="800"/>
      <c r="AF41" s="801">
        <v>153</v>
      </c>
      <c r="AG41" s="802">
        <f t="shared" si="2"/>
        <v>153</v>
      </c>
      <c r="AH41" s="800"/>
      <c r="AI41" s="801">
        <v>145</v>
      </c>
      <c r="AJ41" s="802">
        <f t="shared" si="27"/>
        <v>145</v>
      </c>
      <c r="AK41" s="803"/>
      <c r="AL41" s="801">
        <v>155</v>
      </c>
      <c r="AM41" s="802">
        <f t="shared" si="28"/>
        <v>155</v>
      </c>
      <c r="AN41" s="803"/>
      <c r="AO41" s="801">
        <v>144</v>
      </c>
      <c r="AP41" s="802">
        <f t="shared" si="29"/>
        <v>144</v>
      </c>
      <c r="AQ41" s="803"/>
      <c r="AR41" s="801">
        <v>156</v>
      </c>
      <c r="AS41" s="802">
        <f t="shared" si="30"/>
        <v>156</v>
      </c>
      <c r="AT41" s="803"/>
      <c r="AU41" s="801">
        <v>162</v>
      </c>
      <c r="AV41" s="802">
        <f t="shared" si="31"/>
        <v>162</v>
      </c>
    </row>
    <row r="42" spans="1:48" s="186" customFormat="1" ht="15" customHeight="1" x14ac:dyDescent="0.25">
      <c r="A42" s="5669"/>
      <c r="B42" s="5678"/>
      <c r="C42" s="799" t="s">
        <v>459</v>
      </c>
      <c r="D42" s="800"/>
      <c r="E42" s="836">
        <v>81</v>
      </c>
      <c r="F42" s="802">
        <v>81</v>
      </c>
      <c r="G42" s="837"/>
      <c r="H42" s="836">
        <v>92</v>
      </c>
      <c r="I42" s="802">
        <v>92</v>
      </c>
      <c r="J42" s="800"/>
      <c r="K42" s="801">
        <v>104</v>
      </c>
      <c r="L42" s="802">
        <v>104</v>
      </c>
      <c r="M42" s="800"/>
      <c r="N42" s="801">
        <v>101</v>
      </c>
      <c r="O42" s="802">
        <v>101</v>
      </c>
      <c r="P42" s="800"/>
      <c r="Q42" s="801">
        <v>94</v>
      </c>
      <c r="R42" s="802">
        <v>94</v>
      </c>
      <c r="S42" s="800"/>
      <c r="T42" s="801">
        <v>115</v>
      </c>
      <c r="U42" s="802">
        <v>115</v>
      </c>
      <c r="V42" s="800"/>
      <c r="W42" s="801">
        <v>116</v>
      </c>
      <c r="X42" s="802">
        <v>116</v>
      </c>
      <c r="Y42" s="800"/>
      <c r="Z42" s="801">
        <v>119</v>
      </c>
      <c r="AA42" s="802">
        <f t="shared" si="0"/>
        <v>119</v>
      </c>
      <c r="AB42" s="800"/>
      <c r="AC42" s="801">
        <v>114</v>
      </c>
      <c r="AD42" s="802">
        <f t="shared" si="1"/>
        <v>114</v>
      </c>
      <c r="AE42" s="800"/>
      <c r="AF42" s="801">
        <v>115</v>
      </c>
      <c r="AG42" s="802">
        <f t="shared" si="2"/>
        <v>115</v>
      </c>
      <c r="AH42" s="800"/>
      <c r="AI42" s="801">
        <v>114</v>
      </c>
      <c r="AJ42" s="802">
        <f t="shared" si="27"/>
        <v>114</v>
      </c>
      <c r="AK42" s="803"/>
      <c r="AL42" s="801">
        <v>113</v>
      </c>
      <c r="AM42" s="802">
        <f t="shared" si="28"/>
        <v>113</v>
      </c>
      <c r="AN42" s="803"/>
      <c r="AO42" s="801">
        <v>114</v>
      </c>
      <c r="AP42" s="802">
        <f t="shared" si="29"/>
        <v>114</v>
      </c>
      <c r="AQ42" s="803"/>
      <c r="AR42" s="801">
        <v>113</v>
      </c>
      <c r="AS42" s="802">
        <f t="shared" si="30"/>
        <v>113</v>
      </c>
      <c r="AT42" s="803"/>
      <c r="AU42" s="801">
        <v>96</v>
      </c>
      <c r="AV42" s="802">
        <f t="shared" si="31"/>
        <v>96</v>
      </c>
    </row>
    <row r="43" spans="1:48" s="186" customFormat="1" ht="15" customHeight="1" x14ac:dyDescent="0.25">
      <c r="A43" s="5669"/>
      <c r="B43" s="5678"/>
      <c r="C43" s="799" t="s">
        <v>473</v>
      </c>
      <c r="D43" s="800"/>
      <c r="E43" s="836">
        <v>86</v>
      </c>
      <c r="F43" s="802">
        <v>86</v>
      </c>
      <c r="G43" s="837"/>
      <c r="H43" s="836">
        <v>94</v>
      </c>
      <c r="I43" s="802">
        <v>94</v>
      </c>
      <c r="J43" s="800"/>
      <c r="K43" s="801">
        <v>105</v>
      </c>
      <c r="L43" s="802">
        <v>105</v>
      </c>
      <c r="M43" s="800"/>
      <c r="N43" s="801">
        <v>104</v>
      </c>
      <c r="O43" s="802">
        <v>104</v>
      </c>
      <c r="P43" s="800"/>
      <c r="Q43" s="801">
        <v>106</v>
      </c>
      <c r="R43" s="802">
        <v>106</v>
      </c>
      <c r="S43" s="800"/>
      <c r="T43" s="801">
        <v>97</v>
      </c>
      <c r="U43" s="802">
        <v>97</v>
      </c>
      <c r="V43" s="800"/>
      <c r="W43" s="801">
        <v>97</v>
      </c>
      <c r="X43" s="802">
        <v>97</v>
      </c>
      <c r="Y43" s="800"/>
      <c r="Z43" s="801">
        <v>114</v>
      </c>
      <c r="AA43" s="802">
        <f t="shared" si="0"/>
        <v>114</v>
      </c>
      <c r="AB43" s="800"/>
      <c r="AC43" s="801">
        <v>106</v>
      </c>
      <c r="AD43" s="802">
        <f t="shared" si="1"/>
        <v>106</v>
      </c>
      <c r="AE43" s="800"/>
      <c r="AF43" s="801">
        <v>112</v>
      </c>
      <c r="AG43" s="802">
        <f t="shared" si="2"/>
        <v>112</v>
      </c>
      <c r="AH43" s="800"/>
      <c r="AI43" s="801">
        <v>111</v>
      </c>
      <c r="AJ43" s="802">
        <f t="shared" si="27"/>
        <v>111</v>
      </c>
      <c r="AK43" s="803"/>
      <c r="AL43" s="801">
        <v>100</v>
      </c>
      <c r="AM43" s="802">
        <f t="shared" si="28"/>
        <v>100</v>
      </c>
      <c r="AN43" s="803"/>
      <c r="AO43" s="801">
        <v>109</v>
      </c>
      <c r="AP43" s="802">
        <f t="shared" si="29"/>
        <v>109</v>
      </c>
      <c r="AQ43" s="803"/>
      <c r="AR43" s="801">
        <v>108</v>
      </c>
      <c r="AS43" s="802">
        <f t="shared" si="30"/>
        <v>108</v>
      </c>
      <c r="AT43" s="803"/>
      <c r="AU43" s="801">
        <v>117</v>
      </c>
      <c r="AV43" s="802">
        <f t="shared" si="31"/>
        <v>117</v>
      </c>
    </row>
    <row r="44" spans="1:48" s="186" customFormat="1" ht="15" customHeight="1" x14ac:dyDescent="0.25">
      <c r="A44" s="5669"/>
      <c r="B44" s="5678"/>
      <c r="C44" s="799" t="s">
        <v>474</v>
      </c>
      <c r="D44" s="800"/>
      <c r="E44" s="836">
        <v>50</v>
      </c>
      <c r="F44" s="802">
        <v>50</v>
      </c>
      <c r="G44" s="837"/>
      <c r="H44" s="836">
        <v>48</v>
      </c>
      <c r="I44" s="802">
        <v>48</v>
      </c>
      <c r="J44" s="800"/>
      <c r="K44" s="801">
        <v>47</v>
      </c>
      <c r="L44" s="802">
        <v>47</v>
      </c>
      <c r="M44" s="800"/>
      <c r="N44" s="801">
        <v>50</v>
      </c>
      <c r="O44" s="802">
        <v>50</v>
      </c>
      <c r="P44" s="800"/>
      <c r="Q44" s="801">
        <v>52</v>
      </c>
      <c r="R44" s="802">
        <v>52</v>
      </c>
      <c r="S44" s="800"/>
      <c r="T44" s="801">
        <v>56</v>
      </c>
      <c r="U44" s="802">
        <v>56</v>
      </c>
      <c r="V44" s="800"/>
      <c r="W44" s="801">
        <v>59</v>
      </c>
      <c r="X44" s="802">
        <v>59</v>
      </c>
      <c r="Y44" s="800"/>
      <c r="Z44" s="801">
        <v>68</v>
      </c>
      <c r="AA44" s="802">
        <f t="shared" si="0"/>
        <v>68</v>
      </c>
      <c r="AB44" s="800"/>
      <c r="AC44" s="801">
        <v>67</v>
      </c>
      <c r="AD44" s="802">
        <f t="shared" si="1"/>
        <v>67</v>
      </c>
      <c r="AE44" s="800"/>
      <c r="AF44" s="801">
        <v>57</v>
      </c>
      <c r="AG44" s="802">
        <f t="shared" si="2"/>
        <v>57</v>
      </c>
      <c r="AH44" s="800"/>
      <c r="AI44" s="801">
        <v>67</v>
      </c>
      <c r="AJ44" s="802">
        <f t="shared" si="27"/>
        <v>67</v>
      </c>
      <c r="AK44" s="803"/>
      <c r="AL44" s="801">
        <v>64</v>
      </c>
      <c r="AM44" s="802">
        <f t="shared" si="28"/>
        <v>64</v>
      </c>
      <c r="AN44" s="803"/>
      <c r="AO44" s="801">
        <v>74</v>
      </c>
      <c r="AP44" s="802">
        <f t="shared" si="29"/>
        <v>74</v>
      </c>
      <c r="AQ44" s="803"/>
      <c r="AR44" s="801">
        <v>68</v>
      </c>
      <c r="AS44" s="802">
        <f t="shared" si="30"/>
        <v>68</v>
      </c>
      <c r="AT44" s="803"/>
      <c r="AU44" s="801">
        <v>77</v>
      </c>
      <c r="AV44" s="802">
        <f t="shared" si="31"/>
        <v>77</v>
      </c>
    </row>
    <row r="45" spans="1:48" s="186" customFormat="1" ht="15" customHeight="1" x14ac:dyDescent="0.25">
      <c r="A45" s="5669"/>
      <c r="B45" s="5678"/>
      <c r="C45" s="799" t="s">
        <v>475</v>
      </c>
      <c r="D45" s="800"/>
      <c r="E45" s="836">
        <v>113</v>
      </c>
      <c r="F45" s="802">
        <v>113</v>
      </c>
      <c r="G45" s="837"/>
      <c r="H45" s="836">
        <v>99</v>
      </c>
      <c r="I45" s="802">
        <v>99</v>
      </c>
      <c r="J45" s="800"/>
      <c r="K45" s="801">
        <v>104</v>
      </c>
      <c r="L45" s="802">
        <v>104</v>
      </c>
      <c r="M45" s="800"/>
      <c r="N45" s="801">
        <v>144</v>
      </c>
      <c r="O45" s="802">
        <v>144</v>
      </c>
      <c r="P45" s="800"/>
      <c r="Q45" s="801">
        <v>174</v>
      </c>
      <c r="R45" s="802">
        <v>174</v>
      </c>
      <c r="S45" s="800"/>
      <c r="T45" s="801">
        <v>112</v>
      </c>
      <c r="U45" s="802">
        <v>112</v>
      </c>
      <c r="V45" s="800"/>
      <c r="W45" s="801">
        <v>130</v>
      </c>
      <c r="X45" s="802">
        <v>130</v>
      </c>
      <c r="Y45" s="800"/>
      <c r="Z45" s="801">
        <v>129</v>
      </c>
      <c r="AA45" s="802">
        <f t="shared" si="0"/>
        <v>129</v>
      </c>
      <c r="AB45" s="800"/>
      <c r="AC45" s="801">
        <v>141</v>
      </c>
      <c r="AD45" s="802">
        <f t="shared" si="1"/>
        <v>141</v>
      </c>
      <c r="AE45" s="800"/>
      <c r="AF45" s="801">
        <v>134</v>
      </c>
      <c r="AG45" s="802">
        <f t="shared" si="2"/>
        <v>134</v>
      </c>
      <c r="AH45" s="800"/>
      <c r="AI45" s="801">
        <v>128</v>
      </c>
      <c r="AJ45" s="802">
        <f t="shared" si="27"/>
        <v>128</v>
      </c>
      <c r="AK45" s="803"/>
      <c r="AL45" s="801">
        <v>136</v>
      </c>
      <c r="AM45" s="802">
        <f t="shared" si="28"/>
        <v>136</v>
      </c>
      <c r="AN45" s="803"/>
      <c r="AO45" s="801">
        <v>126</v>
      </c>
      <c r="AP45" s="802">
        <f t="shared" si="29"/>
        <v>126</v>
      </c>
      <c r="AQ45" s="803"/>
      <c r="AR45" s="801">
        <v>130</v>
      </c>
      <c r="AS45" s="802">
        <f t="shared" si="30"/>
        <v>130</v>
      </c>
      <c r="AT45" s="803"/>
      <c r="AU45" s="801">
        <v>138</v>
      </c>
      <c r="AV45" s="802">
        <f t="shared" si="31"/>
        <v>138</v>
      </c>
    </row>
    <row r="46" spans="1:48" s="186" customFormat="1" ht="15" customHeight="1" x14ac:dyDescent="0.25">
      <c r="A46" s="5669"/>
      <c r="B46" s="5678"/>
      <c r="C46" s="799" t="s">
        <v>476</v>
      </c>
      <c r="D46" s="835">
        <v>63</v>
      </c>
      <c r="E46" s="836">
        <v>124</v>
      </c>
      <c r="F46" s="802">
        <v>187</v>
      </c>
      <c r="G46" s="835">
        <v>81</v>
      </c>
      <c r="H46" s="836">
        <v>142</v>
      </c>
      <c r="I46" s="802">
        <v>223</v>
      </c>
      <c r="J46" s="800">
        <v>63</v>
      </c>
      <c r="K46" s="801">
        <v>165</v>
      </c>
      <c r="L46" s="802">
        <v>228</v>
      </c>
      <c r="M46" s="800">
        <v>72</v>
      </c>
      <c r="N46" s="801">
        <v>150</v>
      </c>
      <c r="O46" s="802">
        <v>222</v>
      </c>
      <c r="P46" s="800">
        <v>83</v>
      </c>
      <c r="Q46" s="801">
        <v>187</v>
      </c>
      <c r="R46" s="802">
        <v>270</v>
      </c>
      <c r="S46" s="800">
        <v>85</v>
      </c>
      <c r="T46" s="801">
        <v>132</v>
      </c>
      <c r="U46" s="802">
        <v>217</v>
      </c>
      <c r="V46" s="800">
        <v>69</v>
      </c>
      <c r="W46" s="801">
        <v>150</v>
      </c>
      <c r="X46" s="802">
        <v>219</v>
      </c>
      <c r="Y46" s="800">
        <v>67</v>
      </c>
      <c r="Z46" s="801">
        <v>144</v>
      </c>
      <c r="AA46" s="802">
        <f t="shared" si="0"/>
        <v>211</v>
      </c>
      <c r="AB46" s="800">
        <v>67</v>
      </c>
      <c r="AC46" s="801">
        <v>142</v>
      </c>
      <c r="AD46" s="802">
        <f t="shared" si="1"/>
        <v>209</v>
      </c>
      <c r="AE46" s="800">
        <v>74</v>
      </c>
      <c r="AF46" s="801">
        <v>137</v>
      </c>
      <c r="AG46" s="802">
        <f t="shared" si="2"/>
        <v>211</v>
      </c>
      <c r="AH46" s="800">
        <v>66</v>
      </c>
      <c r="AI46" s="801">
        <v>133</v>
      </c>
      <c r="AJ46" s="802">
        <f t="shared" si="27"/>
        <v>199</v>
      </c>
      <c r="AK46" s="803">
        <v>69</v>
      </c>
      <c r="AL46" s="801">
        <v>142</v>
      </c>
      <c r="AM46" s="802">
        <f t="shared" si="28"/>
        <v>211</v>
      </c>
      <c r="AN46" s="803">
        <v>68</v>
      </c>
      <c r="AO46" s="801">
        <v>132</v>
      </c>
      <c r="AP46" s="802">
        <f t="shared" si="29"/>
        <v>200</v>
      </c>
      <c r="AQ46" s="803">
        <v>69</v>
      </c>
      <c r="AR46" s="801">
        <v>136</v>
      </c>
      <c r="AS46" s="802">
        <f t="shared" si="30"/>
        <v>205</v>
      </c>
      <c r="AT46" s="803">
        <v>63</v>
      </c>
      <c r="AU46" s="801">
        <v>139</v>
      </c>
      <c r="AV46" s="802">
        <f t="shared" si="31"/>
        <v>202</v>
      </c>
    </row>
    <row r="47" spans="1:48" s="186" customFormat="1" ht="15" customHeight="1" x14ac:dyDescent="0.25">
      <c r="A47" s="5669"/>
      <c r="B47" s="5678"/>
      <c r="C47" s="808" t="s">
        <v>477</v>
      </c>
      <c r="D47" s="809"/>
      <c r="E47" s="840">
        <v>42</v>
      </c>
      <c r="F47" s="811">
        <v>42</v>
      </c>
      <c r="G47" s="841"/>
      <c r="H47" s="840">
        <v>47</v>
      </c>
      <c r="I47" s="811">
        <v>47</v>
      </c>
      <c r="J47" s="809"/>
      <c r="K47" s="810">
        <v>51</v>
      </c>
      <c r="L47" s="811">
        <v>51</v>
      </c>
      <c r="M47" s="809"/>
      <c r="N47" s="810">
        <v>56</v>
      </c>
      <c r="O47" s="811">
        <v>56</v>
      </c>
      <c r="P47" s="809"/>
      <c r="Q47" s="810">
        <v>49</v>
      </c>
      <c r="R47" s="811">
        <v>49</v>
      </c>
      <c r="S47" s="809"/>
      <c r="T47" s="810">
        <v>49</v>
      </c>
      <c r="U47" s="811">
        <v>49</v>
      </c>
      <c r="V47" s="809"/>
      <c r="W47" s="810">
        <v>44</v>
      </c>
      <c r="X47" s="811">
        <v>44</v>
      </c>
      <c r="Y47" s="809"/>
      <c r="Z47" s="810">
        <v>55</v>
      </c>
      <c r="AA47" s="811">
        <f t="shared" si="0"/>
        <v>55</v>
      </c>
      <c r="AB47" s="812"/>
      <c r="AC47" s="810">
        <v>53</v>
      </c>
      <c r="AD47" s="811">
        <f t="shared" si="1"/>
        <v>53</v>
      </c>
      <c r="AE47" s="812"/>
      <c r="AF47" s="810">
        <v>52</v>
      </c>
      <c r="AG47" s="811">
        <f t="shared" si="2"/>
        <v>52</v>
      </c>
      <c r="AH47" s="812"/>
      <c r="AI47" s="810">
        <v>55</v>
      </c>
      <c r="AJ47" s="811">
        <f t="shared" si="27"/>
        <v>55</v>
      </c>
      <c r="AK47" s="803"/>
      <c r="AL47" s="810">
        <v>53</v>
      </c>
      <c r="AM47" s="811">
        <f t="shared" si="28"/>
        <v>53</v>
      </c>
      <c r="AN47" s="803"/>
      <c r="AO47" s="810">
        <v>60</v>
      </c>
      <c r="AP47" s="811">
        <f t="shared" si="29"/>
        <v>60</v>
      </c>
      <c r="AQ47" s="803"/>
      <c r="AR47" s="810">
        <v>57</v>
      </c>
      <c r="AS47" s="811">
        <f t="shared" si="30"/>
        <v>57</v>
      </c>
      <c r="AT47" s="803"/>
      <c r="AU47" s="810">
        <v>53</v>
      </c>
      <c r="AV47" s="811">
        <f t="shared" si="31"/>
        <v>53</v>
      </c>
    </row>
    <row r="48" spans="1:48" s="186" customFormat="1" ht="15" customHeight="1" x14ac:dyDescent="0.25">
      <c r="A48" s="5669"/>
      <c r="B48" s="5679"/>
      <c r="C48" s="4475" t="s">
        <v>160</v>
      </c>
      <c r="D48" s="4476">
        <f>SUM(D37:D47)</f>
        <v>176</v>
      </c>
      <c r="E48" s="4494">
        <f t="shared" ref="E48:AG48" si="32">SUM(E37:E47)</f>
        <v>904</v>
      </c>
      <c r="F48" s="4478">
        <f t="shared" si="32"/>
        <v>1080</v>
      </c>
      <c r="G48" s="4476">
        <f t="shared" si="32"/>
        <v>216</v>
      </c>
      <c r="H48" s="4494">
        <f t="shared" si="32"/>
        <v>979</v>
      </c>
      <c r="I48" s="4478">
        <f t="shared" si="32"/>
        <v>1195</v>
      </c>
      <c r="J48" s="4476">
        <f t="shared" si="32"/>
        <v>178</v>
      </c>
      <c r="K48" s="4494">
        <f t="shared" si="32"/>
        <v>1121</v>
      </c>
      <c r="L48" s="4478">
        <f t="shared" si="32"/>
        <v>1299</v>
      </c>
      <c r="M48" s="4476">
        <f t="shared" si="32"/>
        <v>206</v>
      </c>
      <c r="N48" s="4494">
        <f t="shared" si="32"/>
        <v>1122</v>
      </c>
      <c r="O48" s="4478">
        <f t="shared" si="32"/>
        <v>1328</v>
      </c>
      <c r="P48" s="4476">
        <f t="shared" si="32"/>
        <v>239</v>
      </c>
      <c r="Q48" s="4494">
        <f t="shared" si="32"/>
        <v>1235</v>
      </c>
      <c r="R48" s="4478">
        <f t="shared" si="32"/>
        <v>1474</v>
      </c>
      <c r="S48" s="4476">
        <f t="shared" si="32"/>
        <v>211</v>
      </c>
      <c r="T48" s="4494">
        <f t="shared" si="32"/>
        <v>1080</v>
      </c>
      <c r="U48" s="4478">
        <f t="shared" si="32"/>
        <v>1291</v>
      </c>
      <c r="V48" s="4476">
        <f t="shared" si="32"/>
        <v>196</v>
      </c>
      <c r="W48" s="4494">
        <f t="shared" si="32"/>
        <v>1165</v>
      </c>
      <c r="X48" s="4478">
        <f t="shared" si="32"/>
        <v>1361</v>
      </c>
      <c r="Y48" s="4476">
        <f t="shared" si="32"/>
        <v>182</v>
      </c>
      <c r="Z48" s="4494">
        <f t="shared" si="32"/>
        <v>1210</v>
      </c>
      <c r="AA48" s="4478">
        <f t="shared" si="32"/>
        <v>1392</v>
      </c>
      <c r="AB48" s="4476">
        <f t="shared" si="32"/>
        <v>183</v>
      </c>
      <c r="AC48" s="4494">
        <f t="shared" si="32"/>
        <v>1192</v>
      </c>
      <c r="AD48" s="4478">
        <f t="shared" si="32"/>
        <v>1375</v>
      </c>
      <c r="AE48" s="4476">
        <f t="shared" si="32"/>
        <v>192</v>
      </c>
      <c r="AF48" s="4494">
        <f t="shared" si="32"/>
        <v>1193</v>
      </c>
      <c r="AG48" s="4478">
        <f t="shared" si="32"/>
        <v>1385</v>
      </c>
      <c r="AH48" s="4476">
        <f t="shared" ref="AH48:AM48" si="33">SUM(AH37:AH47)</f>
        <v>161</v>
      </c>
      <c r="AI48" s="4477">
        <f t="shared" si="33"/>
        <v>1151</v>
      </c>
      <c r="AJ48" s="4478">
        <f t="shared" si="33"/>
        <v>1312</v>
      </c>
      <c r="AK48" s="4479">
        <f>SUM(AK37:AK47)</f>
        <v>159</v>
      </c>
      <c r="AL48" s="4480">
        <f>SUM(AL37:AL47)</f>
        <v>1156</v>
      </c>
      <c r="AM48" s="4478">
        <f t="shared" si="33"/>
        <v>1315</v>
      </c>
      <c r="AN48" s="4479">
        <f t="shared" ref="AN48:AV48" si="34">SUM(AN37:AN47)</f>
        <v>151</v>
      </c>
      <c r="AO48" s="4480">
        <f t="shared" si="34"/>
        <v>1155</v>
      </c>
      <c r="AP48" s="4478">
        <f t="shared" si="34"/>
        <v>1306</v>
      </c>
      <c r="AQ48" s="4479">
        <f t="shared" si="34"/>
        <v>164</v>
      </c>
      <c r="AR48" s="4480">
        <f t="shared" si="34"/>
        <v>1186</v>
      </c>
      <c r="AS48" s="4478">
        <f t="shared" si="34"/>
        <v>1350</v>
      </c>
      <c r="AT48" s="4479">
        <f t="shared" si="34"/>
        <v>162</v>
      </c>
      <c r="AU48" s="4480">
        <f t="shared" si="34"/>
        <v>1202</v>
      </c>
      <c r="AV48" s="4478">
        <f t="shared" si="34"/>
        <v>1364</v>
      </c>
    </row>
    <row r="49" spans="1:48" s="186" customFormat="1" ht="15" customHeight="1" x14ac:dyDescent="0.25">
      <c r="A49" s="5669"/>
      <c r="B49" s="5677" t="s">
        <v>11</v>
      </c>
      <c r="C49" s="4481" t="s">
        <v>478</v>
      </c>
      <c r="D49" s="4495">
        <v>30</v>
      </c>
      <c r="E49" s="4496">
        <v>63</v>
      </c>
      <c r="F49" s="4484">
        <v>93</v>
      </c>
      <c r="G49" s="4495">
        <v>38</v>
      </c>
      <c r="H49" s="4496">
        <v>77</v>
      </c>
      <c r="I49" s="4484">
        <v>115</v>
      </c>
      <c r="J49" s="4482">
        <v>58</v>
      </c>
      <c r="K49" s="4483">
        <v>95</v>
      </c>
      <c r="L49" s="4484">
        <v>153</v>
      </c>
      <c r="M49" s="4482">
        <v>84</v>
      </c>
      <c r="N49" s="4483">
        <v>89</v>
      </c>
      <c r="O49" s="4484">
        <v>173</v>
      </c>
      <c r="P49" s="4482">
        <v>66</v>
      </c>
      <c r="Q49" s="4483">
        <v>112</v>
      </c>
      <c r="R49" s="4484">
        <v>178</v>
      </c>
      <c r="S49" s="4482">
        <v>83</v>
      </c>
      <c r="T49" s="4483">
        <v>90</v>
      </c>
      <c r="U49" s="4484">
        <v>173</v>
      </c>
      <c r="V49" s="4482">
        <v>88</v>
      </c>
      <c r="W49" s="4483">
        <v>97</v>
      </c>
      <c r="X49" s="4484">
        <v>185</v>
      </c>
      <c r="Y49" s="4482">
        <v>78</v>
      </c>
      <c r="Z49" s="4483">
        <v>99</v>
      </c>
      <c r="AA49" s="4484">
        <f t="shared" si="0"/>
        <v>177</v>
      </c>
      <c r="AB49" s="4482">
        <v>81</v>
      </c>
      <c r="AC49" s="4483">
        <v>84</v>
      </c>
      <c r="AD49" s="4484">
        <f t="shared" si="1"/>
        <v>165</v>
      </c>
      <c r="AE49" s="4482">
        <v>71</v>
      </c>
      <c r="AF49" s="4483">
        <v>77</v>
      </c>
      <c r="AG49" s="4484">
        <f t="shared" si="2"/>
        <v>148</v>
      </c>
      <c r="AH49" s="4482">
        <v>71</v>
      </c>
      <c r="AI49" s="4483">
        <v>79</v>
      </c>
      <c r="AJ49" s="4484">
        <f t="shared" ref="AJ49:AJ54" si="35">SUM(AH49:AI49)</f>
        <v>150</v>
      </c>
      <c r="AK49" s="4485">
        <v>75</v>
      </c>
      <c r="AL49" s="4483">
        <v>84</v>
      </c>
      <c r="AM49" s="4484">
        <f t="shared" ref="AM49:AM54" si="36">SUM(AK49:AL49)</f>
        <v>159</v>
      </c>
      <c r="AN49" s="4485">
        <v>71</v>
      </c>
      <c r="AO49" s="4483">
        <v>79</v>
      </c>
      <c r="AP49" s="4484">
        <f t="shared" ref="AP49:AP54" si="37">SUM(AN49:AO49)</f>
        <v>150</v>
      </c>
      <c r="AQ49" s="4485">
        <v>76</v>
      </c>
      <c r="AR49" s="4483">
        <v>80</v>
      </c>
      <c r="AS49" s="4484">
        <f t="shared" ref="AS49:AS54" si="38">SUM(AQ49:AR49)</f>
        <v>156</v>
      </c>
      <c r="AT49" s="4485">
        <v>52</v>
      </c>
      <c r="AU49" s="4483">
        <v>76</v>
      </c>
      <c r="AV49" s="4484">
        <f t="shared" ref="AV49:AV54" si="39">SUM(AT49:AU49)</f>
        <v>128</v>
      </c>
    </row>
    <row r="50" spans="1:48" s="186" customFormat="1" ht="15" customHeight="1" x14ac:dyDescent="0.25">
      <c r="A50" s="5669"/>
      <c r="B50" s="5678"/>
      <c r="C50" s="799" t="s">
        <v>479</v>
      </c>
      <c r="D50" s="835">
        <v>44</v>
      </c>
      <c r="E50" s="836">
        <v>102</v>
      </c>
      <c r="F50" s="802">
        <v>146</v>
      </c>
      <c r="G50" s="835">
        <v>51</v>
      </c>
      <c r="H50" s="836">
        <v>69</v>
      </c>
      <c r="I50" s="802">
        <v>120</v>
      </c>
      <c r="J50" s="800">
        <v>39</v>
      </c>
      <c r="K50" s="801">
        <v>74</v>
      </c>
      <c r="L50" s="802">
        <v>113</v>
      </c>
      <c r="M50" s="800">
        <v>36</v>
      </c>
      <c r="N50" s="801">
        <v>60</v>
      </c>
      <c r="O50" s="802">
        <v>96</v>
      </c>
      <c r="P50" s="800">
        <v>43</v>
      </c>
      <c r="Q50" s="801">
        <v>79</v>
      </c>
      <c r="R50" s="802">
        <v>122</v>
      </c>
      <c r="S50" s="800">
        <v>50</v>
      </c>
      <c r="T50" s="801">
        <v>64</v>
      </c>
      <c r="U50" s="802">
        <v>114</v>
      </c>
      <c r="V50" s="800">
        <v>64</v>
      </c>
      <c r="W50" s="801">
        <v>68</v>
      </c>
      <c r="X50" s="802">
        <v>132</v>
      </c>
      <c r="Y50" s="800">
        <v>45</v>
      </c>
      <c r="Z50" s="801">
        <v>71</v>
      </c>
      <c r="AA50" s="802">
        <f t="shared" si="0"/>
        <v>116</v>
      </c>
      <c r="AB50" s="800">
        <v>55</v>
      </c>
      <c r="AC50" s="801">
        <v>80</v>
      </c>
      <c r="AD50" s="802">
        <f t="shared" si="1"/>
        <v>135</v>
      </c>
      <c r="AE50" s="800">
        <v>66</v>
      </c>
      <c r="AF50" s="801">
        <v>69</v>
      </c>
      <c r="AG50" s="802">
        <f t="shared" si="2"/>
        <v>135</v>
      </c>
      <c r="AH50" s="800">
        <v>70</v>
      </c>
      <c r="AI50" s="801">
        <v>76</v>
      </c>
      <c r="AJ50" s="802">
        <f t="shared" si="35"/>
        <v>146</v>
      </c>
      <c r="AK50" s="803">
        <v>60</v>
      </c>
      <c r="AL50" s="801">
        <v>78</v>
      </c>
      <c r="AM50" s="802">
        <f t="shared" si="36"/>
        <v>138</v>
      </c>
      <c r="AN50" s="803">
        <v>59</v>
      </c>
      <c r="AO50" s="801">
        <v>74</v>
      </c>
      <c r="AP50" s="802">
        <f t="shared" si="37"/>
        <v>133</v>
      </c>
      <c r="AQ50" s="803">
        <v>66</v>
      </c>
      <c r="AR50" s="801">
        <v>78</v>
      </c>
      <c r="AS50" s="802">
        <f t="shared" si="38"/>
        <v>144</v>
      </c>
      <c r="AT50" s="803">
        <v>53</v>
      </c>
      <c r="AU50" s="801">
        <v>85</v>
      </c>
      <c r="AV50" s="802">
        <f t="shared" si="39"/>
        <v>138</v>
      </c>
    </row>
    <row r="51" spans="1:48" s="186" customFormat="1" ht="15" customHeight="1" x14ac:dyDescent="0.25">
      <c r="A51" s="5669"/>
      <c r="B51" s="5678"/>
      <c r="C51" s="799" t="s">
        <v>480</v>
      </c>
      <c r="D51" s="800"/>
      <c r="E51" s="836">
        <v>48</v>
      </c>
      <c r="F51" s="802">
        <v>48</v>
      </c>
      <c r="G51" s="837"/>
      <c r="H51" s="836">
        <v>38</v>
      </c>
      <c r="I51" s="802">
        <v>38</v>
      </c>
      <c r="J51" s="800"/>
      <c r="K51" s="801">
        <v>53</v>
      </c>
      <c r="L51" s="802">
        <v>53</v>
      </c>
      <c r="M51" s="800"/>
      <c r="N51" s="801">
        <v>61</v>
      </c>
      <c r="O51" s="802">
        <v>61</v>
      </c>
      <c r="P51" s="800"/>
      <c r="Q51" s="801">
        <v>51</v>
      </c>
      <c r="R51" s="802">
        <v>51</v>
      </c>
      <c r="S51" s="800"/>
      <c r="T51" s="801">
        <v>56</v>
      </c>
      <c r="U51" s="802">
        <v>56</v>
      </c>
      <c r="V51" s="800"/>
      <c r="W51" s="801">
        <v>85</v>
      </c>
      <c r="X51" s="802">
        <v>85</v>
      </c>
      <c r="Y51" s="800">
        <v>56</v>
      </c>
      <c r="Z51" s="801">
        <v>63</v>
      </c>
      <c r="AA51" s="802">
        <f t="shared" si="0"/>
        <v>119</v>
      </c>
      <c r="AB51" s="800">
        <v>56</v>
      </c>
      <c r="AC51" s="801">
        <v>67</v>
      </c>
      <c r="AD51" s="802">
        <f t="shared" si="1"/>
        <v>123</v>
      </c>
      <c r="AE51" s="800">
        <v>59</v>
      </c>
      <c r="AF51" s="801">
        <v>58</v>
      </c>
      <c r="AG51" s="802">
        <f t="shared" si="2"/>
        <v>117</v>
      </c>
      <c r="AH51" s="800">
        <v>56</v>
      </c>
      <c r="AI51" s="801">
        <v>65</v>
      </c>
      <c r="AJ51" s="802">
        <f t="shared" si="35"/>
        <v>121</v>
      </c>
      <c r="AK51" s="803">
        <v>45</v>
      </c>
      <c r="AL51" s="801">
        <v>56</v>
      </c>
      <c r="AM51" s="802">
        <f t="shared" si="36"/>
        <v>101</v>
      </c>
      <c r="AN51" s="803">
        <v>43</v>
      </c>
      <c r="AO51" s="801">
        <v>53</v>
      </c>
      <c r="AP51" s="802">
        <f t="shared" si="37"/>
        <v>96</v>
      </c>
      <c r="AQ51" s="803">
        <v>26</v>
      </c>
      <c r="AR51" s="801">
        <v>57</v>
      </c>
      <c r="AS51" s="802">
        <f t="shared" si="38"/>
        <v>83</v>
      </c>
      <c r="AT51" s="803">
        <v>28</v>
      </c>
      <c r="AU51" s="801">
        <v>42</v>
      </c>
      <c r="AV51" s="802">
        <f t="shared" si="39"/>
        <v>70</v>
      </c>
    </row>
    <row r="52" spans="1:48" s="186" customFormat="1" ht="15" customHeight="1" x14ac:dyDescent="0.25">
      <c r="A52" s="5669"/>
      <c r="B52" s="5678"/>
      <c r="C52" s="799" t="s">
        <v>481</v>
      </c>
      <c r="D52" s="800"/>
      <c r="E52" s="836">
        <v>17</v>
      </c>
      <c r="F52" s="802">
        <v>17</v>
      </c>
      <c r="G52" s="837"/>
      <c r="H52" s="836">
        <v>20</v>
      </c>
      <c r="I52" s="802">
        <v>20</v>
      </c>
      <c r="J52" s="800"/>
      <c r="K52" s="801">
        <v>22</v>
      </c>
      <c r="L52" s="802">
        <v>22</v>
      </c>
      <c r="M52" s="800"/>
      <c r="N52" s="801">
        <v>18</v>
      </c>
      <c r="O52" s="802">
        <v>18</v>
      </c>
      <c r="P52" s="800"/>
      <c r="Q52" s="801">
        <v>35</v>
      </c>
      <c r="R52" s="802">
        <v>35</v>
      </c>
      <c r="S52" s="800"/>
      <c r="T52" s="801">
        <v>34</v>
      </c>
      <c r="U52" s="802">
        <v>34</v>
      </c>
      <c r="V52" s="800"/>
      <c r="W52" s="801">
        <v>45</v>
      </c>
      <c r="X52" s="802">
        <v>45</v>
      </c>
      <c r="Y52" s="800">
        <v>39</v>
      </c>
      <c r="Z52" s="801">
        <v>54</v>
      </c>
      <c r="AA52" s="802">
        <f t="shared" si="0"/>
        <v>93</v>
      </c>
      <c r="AB52" s="800">
        <v>54</v>
      </c>
      <c r="AC52" s="801">
        <v>38</v>
      </c>
      <c r="AD52" s="802">
        <f t="shared" si="1"/>
        <v>92</v>
      </c>
      <c r="AE52" s="800">
        <v>41</v>
      </c>
      <c r="AF52" s="801">
        <v>59</v>
      </c>
      <c r="AG52" s="802">
        <f t="shared" si="2"/>
        <v>100</v>
      </c>
      <c r="AH52" s="800">
        <v>41</v>
      </c>
      <c r="AI52" s="801">
        <v>56</v>
      </c>
      <c r="AJ52" s="802">
        <f t="shared" si="35"/>
        <v>97</v>
      </c>
      <c r="AK52" s="803">
        <v>35</v>
      </c>
      <c r="AL52" s="801">
        <v>41</v>
      </c>
      <c r="AM52" s="802">
        <f t="shared" si="36"/>
        <v>76</v>
      </c>
      <c r="AN52" s="803">
        <v>31</v>
      </c>
      <c r="AO52" s="801">
        <v>27</v>
      </c>
      <c r="AP52" s="802">
        <f t="shared" si="37"/>
        <v>58</v>
      </c>
      <c r="AQ52" s="803">
        <v>30</v>
      </c>
      <c r="AR52" s="801">
        <v>23</v>
      </c>
      <c r="AS52" s="802">
        <f t="shared" si="38"/>
        <v>53</v>
      </c>
      <c r="AT52" s="803">
        <v>19</v>
      </c>
      <c r="AU52" s="801">
        <v>27</v>
      </c>
      <c r="AV52" s="802">
        <f t="shared" si="39"/>
        <v>46</v>
      </c>
    </row>
    <row r="53" spans="1:48" s="186" customFormat="1" ht="15" customHeight="1" x14ac:dyDescent="0.25">
      <c r="A53" s="5669"/>
      <c r="B53" s="5678"/>
      <c r="C53" s="799" t="s">
        <v>482</v>
      </c>
      <c r="D53" s="835">
        <v>52</v>
      </c>
      <c r="E53" s="836">
        <v>77</v>
      </c>
      <c r="F53" s="802">
        <v>129</v>
      </c>
      <c r="G53" s="835">
        <v>39</v>
      </c>
      <c r="H53" s="836">
        <v>105</v>
      </c>
      <c r="I53" s="802">
        <v>144</v>
      </c>
      <c r="J53" s="800">
        <v>51</v>
      </c>
      <c r="K53" s="801">
        <v>89</v>
      </c>
      <c r="L53" s="802">
        <v>140</v>
      </c>
      <c r="M53" s="800">
        <v>51</v>
      </c>
      <c r="N53" s="801">
        <v>114</v>
      </c>
      <c r="O53" s="802">
        <v>165</v>
      </c>
      <c r="P53" s="800">
        <v>43</v>
      </c>
      <c r="Q53" s="801">
        <v>119</v>
      </c>
      <c r="R53" s="802">
        <v>162</v>
      </c>
      <c r="S53" s="800">
        <v>60</v>
      </c>
      <c r="T53" s="801">
        <v>113</v>
      </c>
      <c r="U53" s="802">
        <v>173</v>
      </c>
      <c r="V53" s="800">
        <v>107</v>
      </c>
      <c r="W53" s="801">
        <v>128</v>
      </c>
      <c r="X53" s="802">
        <v>235</v>
      </c>
      <c r="Y53" s="800">
        <v>87</v>
      </c>
      <c r="Z53" s="801">
        <v>134</v>
      </c>
      <c r="AA53" s="802">
        <f t="shared" si="0"/>
        <v>221</v>
      </c>
      <c r="AB53" s="800">
        <v>93</v>
      </c>
      <c r="AC53" s="801">
        <v>150</v>
      </c>
      <c r="AD53" s="802">
        <f t="shared" si="1"/>
        <v>243</v>
      </c>
      <c r="AE53" s="800">
        <v>116</v>
      </c>
      <c r="AF53" s="801">
        <v>139</v>
      </c>
      <c r="AG53" s="802">
        <f t="shared" si="2"/>
        <v>255</v>
      </c>
      <c r="AH53" s="800">
        <v>94</v>
      </c>
      <c r="AI53" s="801">
        <v>125</v>
      </c>
      <c r="AJ53" s="802">
        <f t="shared" si="35"/>
        <v>219</v>
      </c>
      <c r="AK53" s="803">
        <v>76</v>
      </c>
      <c r="AL53" s="801">
        <v>124</v>
      </c>
      <c r="AM53" s="802">
        <f t="shared" si="36"/>
        <v>200</v>
      </c>
      <c r="AN53" s="803">
        <v>69</v>
      </c>
      <c r="AO53" s="801">
        <v>121</v>
      </c>
      <c r="AP53" s="802">
        <f t="shared" si="37"/>
        <v>190</v>
      </c>
      <c r="AQ53" s="803">
        <v>72</v>
      </c>
      <c r="AR53" s="801">
        <v>126</v>
      </c>
      <c r="AS53" s="802">
        <f t="shared" si="38"/>
        <v>198</v>
      </c>
      <c r="AT53" s="803">
        <v>100</v>
      </c>
      <c r="AU53" s="801">
        <v>132</v>
      </c>
      <c r="AV53" s="802">
        <f t="shared" si="39"/>
        <v>232</v>
      </c>
    </row>
    <row r="54" spans="1:48" s="186" customFormat="1" ht="15" customHeight="1" x14ac:dyDescent="0.25">
      <c r="A54" s="5669"/>
      <c r="B54" s="5678"/>
      <c r="C54" s="808" t="s">
        <v>483</v>
      </c>
      <c r="D54" s="809">
        <v>49</v>
      </c>
      <c r="E54" s="840">
        <v>97</v>
      </c>
      <c r="F54" s="811">
        <v>146</v>
      </c>
      <c r="G54" s="841">
        <v>65</v>
      </c>
      <c r="H54" s="840">
        <v>124</v>
      </c>
      <c r="I54" s="811">
        <v>189</v>
      </c>
      <c r="J54" s="809">
        <v>65</v>
      </c>
      <c r="K54" s="810">
        <v>135</v>
      </c>
      <c r="L54" s="811">
        <v>200</v>
      </c>
      <c r="M54" s="809">
        <v>93</v>
      </c>
      <c r="N54" s="810">
        <v>147</v>
      </c>
      <c r="O54" s="811">
        <v>240</v>
      </c>
      <c r="P54" s="809">
        <v>80</v>
      </c>
      <c r="Q54" s="810">
        <v>129</v>
      </c>
      <c r="R54" s="811">
        <v>209</v>
      </c>
      <c r="S54" s="809">
        <v>87</v>
      </c>
      <c r="T54" s="810">
        <v>125</v>
      </c>
      <c r="U54" s="811">
        <v>212</v>
      </c>
      <c r="V54" s="809">
        <v>109</v>
      </c>
      <c r="W54" s="810">
        <v>128</v>
      </c>
      <c r="X54" s="811">
        <v>237</v>
      </c>
      <c r="Y54" s="809">
        <v>107</v>
      </c>
      <c r="Z54" s="810">
        <v>125</v>
      </c>
      <c r="AA54" s="811">
        <f t="shared" si="0"/>
        <v>232</v>
      </c>
      <c r="AB54" s="812">
        <v>114</v>
      </c>
      <c r="AC54" s="810">
        <v>134</v>
      </c>
      <c r="AD54" s="811">
        <f t="shared" si="1"/>
        <v>248</v>
      </c>
      <c r="AE54" s="812">
        <v>114</v>
      </c>
      <c r="AF54" s="810">
        <v>137</v>
      </c>
      <c r="AG54" s="811">
        <f t="shared" si="2"/>
        <v>251</v>
      </c>
      <c r="AH54" s="812">
        <v>110</v>
      </c>
      <c r="AI54" s="810">
        <v>125</v>
      </c>
      <c r="AJ54" s="811">
        <f t="shared" si="35"/>
        <v>235</v>
      </c>
      <c r="AK54" s="803">
        <v>74</v>
      </c>
      <c r="AL54" s="810">
        <v>113</v>
      </c>
      <c r="AM54" s="811">
        <f t="shared" si="36"/>
        <v>187</v>
      </c>
      <c r="AN54" s="803">
        <v>64</v>
      </c>
      <c r="AO54" s="810">
        <v>114</v>
      </c>
      <c r="AP54" s="811">
        <f t="shared" si="37"/>
        <v>178</v>
      </c>
      <c r="AQ54" s="803">
        <v>47</v>
      </c>
      <c r="AR54" s="810">
        <v>123</v>
      </c>
      <c r="AS54" s="811">
        <f t="shared" si="38"/>
        <v>170</v>
      </c>
      <c r="AT54" s="803">
        <v>64</v>
      </c>
      <c r="AU54" s="810">
        <v>132</v>
      </c>
      <c r="AV54" s="811">
        <f t="shared" si="39"/>
        <v>196</v>
      </c>
    </row>
    <row r="55" spans="1:48" s="186" customFormat="1" ht="15" customHeight="1" x14ac:dyDescent="0.25">
      <c r="A55" s="5669"/>
      <c r="B55" s="5678"/>
      <c r="C55" s="855" t="s">
        <v>160</v>
      </c>
      <c r="D55" s="856">
        <f>SUM(D49:D54)</f>
        <v>175</v>
      </c>
      <c r="E55" s="857">
        <f t="shared" ref="E55:AG55" si="40">SUM(E49:E54)</f>
        <v>404</v>
      </c>
      <c r="F55" s="577">
        <f t="shared" si="40"/>
        <v>579</v>
      </c>
      <c r="G55" s="856">
        <f t="shared" si="40"/>
        <v>193</v>
      </c>
      <c r="H55" s="857">
        <f t="shared" si="40"/>
        <v>433</v>
      </c>
      <c r="I55" s="577">
        <f t="shared" si="40"/>
        <v>626</v>
      </c>
      <c r="J55" s="856">
        <f t="shared" si="40"/>
        <v>213</v>
      </c>
      <c r="K55" s="857">
        <f t="shared" si="40"/>
        <v>468</v>
      </c>
      <c r="L55" s="577">
        <f t="shared" si="40"/>
        <v>681</v>
      </c>
      <c r="M55" s="856">
        <f t="shared" si="40"/>
        <v>264</v>
      </c>
      <c r="N55" s="857">
        <f t="shared" si="40"/>
        <v>489</v>
      </c>
      <c r="O55" s="577">
        <f t="shared" si="40"/>
        <v>753</v>
      </c>
      <c r="P55" s="856">
        <f t="shared" si="40"/>
        <v>232</v>
      </c>
      <c r="Q55" s="857">
        <f t="shared" si="40"/>
        <v>525</v>
      </c>
      <c r="R55" s="577">
        <f t="shared" si="40"/>
        <v>757</v>
      </c>
      <c r="S55" s="856">
        <f t="shared" si="40"/>
        <v>280</v>
      </c>
      <c r="T55" s="857">
        <f t="shared" si="40"/>
        <v>482</v>
      </c>
      <c r="U55" s="577">
        <f t="shared" si="40"/>
        <v>762</v>
      </c>
      <c r="V55" s="856">
        <f t="shared" si="40"/>
        <v>368</v>
      </c>
      <c r="W55" s="857">
        <f t="shared" si="40"/>
        <v>551</v>
      </c>
      <c r="X55" s="577">
        <f t="shared" si="40"/>
        <v>919</v>
      </c>
      <c r="Y55" s="856">
        <f t="shared" si="40"/>
        <v>412</v>
      </c>
      <c r="Z55" s="857">
        <f t="shared" si="40"/>
        <v>546</v>
      </c>
      <c r="AA55" s="577">
        <f t="shared" si="40"/>
        <v>958</v>
      </c>
      <c r="AB55" s="856">
        <f t="shared" si="40"/>
        <v>453</v>
      </c>
      <c r="AC55" s="857">
        <f t="shared" si="40"/>
        <v>553</v>
      </c>
      <c r="AD55" s="577">
        <f t="shared" si="40"/>
        <v>1006</v>
      </c>
      <c r="AE55" s="856">
        <f t="shared" si="40"/>
        <v>467</v>
      </c>
      <c r="AF55" s="857">
        <f t="shared" si="40"/>
        <v>539</v>
      </c>
      <c r="AG55" s="577">
        <f t="shared" si="40"/>
        <v>1006</v>
      </c>
      <c r="AH55" s="856">
        <f t="shared" ref="AH55:AM55" si="41">SUM(AH49:AH54)</f>
        <v>442</v>
      </c>
      <c r="AI55" s="1431">
        <f t="shared" si="41"/>
        <v>526</v>
      </c>
      <c r="AJ55" s="577">
        <f t="shared" si="41"/>
        <v>968</v>
      </c>
      <c r="AK55" s="2162">
        <f>SUM(AK49:AK54)</f>
        <v>365</v>
      </c>
      <c r="AL55" s="2167">
        <f>SUM(AL49:AL54)</f>
        <v>496</v>
      </c>
      <c r="AM55" s="577">
        <f t="shared" si="41"/>
        <v>861</v>
      </c>
      <c r="AN55" s="2162">
        <f t="shared" ref="AN55:AV55" si="42">SUM(AN49:AN54)</f>
        <v>337</v>
      </c>
      <c r="AO55" s="2167">
        <f t="shared" si="42"/>
        <v>468</v>
      </c>
      <c r="AP55" s="577">
        <f t="shared" si="42"/>
        <v>805</v>
      </c>
      <c r="AQ55" s="2162">
        <f t="shared" si="42"/>
        <v>317</v>
      </c>
      <c r="AR55" s="2167">
        <f t="shared" si="42"/>
        <v>487</v>
      </c>
      <c r="AS55" s="577">
        <f t="shared" si="42"/>
        <v>804</v>
      </c>
      <c r="AT55" s="2162">
        <f t="shared" si="42"/>
        <v>316</v>
      </c>
      <c r="AU55" s="2167">
        <f t="shared" si="42"/>
        <v>494</v>
      </c>
      <c r="AV55" s="577">
        <f t="shared" si="42"/>
        <v>810</v>
      </c>
    </row>
    <row r="56" spans="1:48" s="186" customFormat="1" ht="15" customHeight="1" x14ac:dyDescent="0.25">
      <c r="A56" s="5670"/>
      <c r="B56" s="3540"/>
      <c r="C56" s="2265" t="s">
        <v>444</v>
      </c>
      <c r="D56" s="2266">
        <f>SUM(D36,D48,D55)</f>
        <v>672</v>
      </c>
      <c r="E56" s="2267">
        <f t="shared" ref="E56:AG56" si="43">SUM(E36,E48,E55)</f>
        <v>1822</v>
      </c>
      <c r="F56" s="2268">
        <f t="shared" si="43"/>
        <v>2494</v>
      </c>
      <c r="G56" s="2266">
        <f t="shared" si="43"/>
        <v>702</v>
      </c>
      <c r="H56" s="2267">
        <f t="shared" si="43"/>
        <v>1970</v>
      </c>
      <c r="I56" s="2268">
        <f t="shared" si="43"/>
        <v>2672</v>
      </c>
      <c r="J56" s="2266">
        <f t="shared" si="43"/>
        <v>709</v>
      </c>
      <c r="K56" s="2267">
        <f t="shared" si="43"/>
        <v>2219</v>
      </c>
      <c r="L56" s="2268">
        <f t="shared" si="43"/>
        <v>2928</v>
      </c>
      <c r="M56" s="2266">
        <f t="shared" si="43"/>
        <v>867</v>
      </c>
      <c r="N56" s="2267">
        <f t="shared" si="43"/>
        <v>2216</v>
      </c>
      <c r="O56" s="2268">
        <f t="shared" si="43"/>
        <v>3083</v>
      </c>
      <c r="P56" s="2266">
        <f t="shared" si="43"/>
        <v>767</v>
      </c>
      <c r="Q56" s="2267">
        <f t="shared" si="43"/>
        <v>2326</v>
      </c>
      <c r="R56" s="2268">
        <f t="shared" si="43"/>
        <v>3093</v>
      </c>
      <c r="S56" s="2266">
        <f t="shared" si="43"/>
        <v>797</v>
      </c>
      <c r="T56" s="2267">
        <f t="shared" si="43"/>
        <v>2170</v>
      </c>
      <c r="U56" s="2268">
        <f t="shared" si="43"/>
        <v>2967</v>
      </c>
      <c r="V56" s="2266">
        <f t="shared" si="43"/>
        <v>825</v>
      </c>
      <c r="W56" s="2267">
        <f t="shared" si="43"/>
        <v>2341</v>
      </c>
      <c r="X56" s="2268">
        <f t="shared" si="43"/>
        <v>3166</v>
      </c>
      <c r="Y56" s="2266">
        <f t="shared" si="43"/>
        <v>731</v>
      </c>
      <c r="Z56" s="2267">
        <f t="shared" si="43"/>
        <v>2651</v>
      </c>
      <c r="AA56" s="2268">
        <f t="shared" si="43"/>
        <v>3382</v>
      </c>
      <c r="AB56" s="2266">
        <f t="shared" si="43"/>
        <v>854</v>
      </c>
      <c r="AC56" s="2267">
        <f t="shared" si="43"/>
        <v>2625</v>
      </c>
      <c r="AD56" s="2268">
        <f t="shared" si="43"/>
        <v>3479</v>
      </c>
      <c r="AE56" s="2266">
        <f t="shared" si="43"/>
        <v>875</v>
      </c>
      <c r="AF56" s="2267">
        <f t="shared" si="43"/>
        <v>2635</v>
      </c>
      <c r="AG56" s="2268">
        <f t="shared" si="43"/>
        <v>3510</v>
      </c>
      <c r="AH56" s="2266">
        <f t="shared" ref="AH56:AM56" si="44">SUM(AH36,AH48,AH55)</f>
        <v>872</v>
      </c>
      <c r="AI56" s="2267">
        <f t="shared" si="44"/>
        <v>2698</v>
      </c>
      <c r="AJ56" s="2268">
        <f t="shared" si="44"/>
        <v>3570</v>
      </c>
      <c r="AK56" s="2266">
        <f t="shared" si="44"/>
        <v>738</v>
      </c>
      <c r="AL56" s="2267">
        <f t="shared" si="44"/>
        <v>2490</v>
      </c>
      <c r="AM56" s="2268">
        <f t="shared" si="44"/>
        <v>3228</v>
      </c>
      <c r="AN56" s="2266">
        <f t="shared" ref="AN56:AV56" si="45">SUM(AN36,AN48,AN55)</f>
        <v>685</v>
      </c>
      <c r="AO56" s="2267">
        <f t="shared" si="45"/>
        <v>2404</v>
      </c>
      <c r="AP56" s="2268">
        <f t="shared" si="45"/>
        <v>3089</v>
      </c>
      <c r="AQ56" s="2266">
        <f t="shared" si="45"/>
        <v>635</v>
      </c>
      <c r="AR56" s="2267">
        <f t="shared" si="45"/>
        <v>2613</v>
      </c>
      <c r="AS56" s="2268">
        <f t="shared" si="45"/>
        <v>3248</v>
      </c>
      <c r="AT56" s="2266">
        <f t="shared" si="45"/>
        <v>478</v>
      </c>
      <c r="AU56" s="2267">
        <f t="shared" si="45"/>
        <v>2603</v>
      </c>
      <c r="AV56" s="2268">
        <f t="shared" si="45"/>
        <v>3081</v>
      </c>
    </row>
    <row r="57" spans="1:48" s="186" customFormat="1" ht="15" customHeight="1" x14ac:dyDescent="0.25">
      <c r="A57" s="5671" t="s">
        <v>163</v>
      </c>
      <c r="B57" s="5650" t="s">
        <v>6</v>
      </c>
      <c r="C57" s="799" t="s">
        <v>456</v>
      </c>
      <c r="D57" s="835">
        <v>99</v>
      </c>
      <c r="E57" s="836">
        <v>130</v>
      </c>
      <c r="F57" s="802">
        <v>229</v>
      </c>
      <c r="G57" s="835">
        <v>124</v>
      </c>
      <c r="H57" s="836">
        <v>117</v>
      </c>
      <c r="I57" s="802">
        <v>241</v>
      </c>
      <c r="J57" s="800">
        <v>136</v>
      </c>
      <c r="K57" s="801">
        <v>138</v>
      </c>
      <c r="L57" s="802">
        <v>274</v>
      </c>
      <c r="M57" s="800">
        <v>97</v>
      </c>
      <c r="N57" s="801">
        <v>148</v>
      </c>
      <c r="O57" s="802">
        <v>245</v>
      </c>
      <c r="P57" s="800">
        <v>154</v>
      </c>
      <c r="Q57" s="801">
        <v>143</v>
      </c>
      <c r="R57" s="802">
        <v>297</v>
      </c>
      <c r="S57" s="800">
        <v>120</v>
      </c>
      <c r="T57" s="801">
        <v>129</v>
      </c>
      <c r="U57" s="802">
        <v>249</v>
      </c>
      <c r="V57" s="800">
        <v>112</v>
      </c>
      <c r="W57" s="801">
        <v>152</v>
      </c>
      <c r="X57" s="802">
        <v>264</v>
      </c>
      <c r="Y57" s="800">
        <v>113</v>
      </c>
      <c r="Z57" s="801">
        <v>161</v>
      </c>
      <c r="AA57" s="802">
        <f t="shared" si="0"/>
        <v>274</v>
      </c>
      <c r="AB57" s="800">
        <v>129</v>
      </c>
      <c r="AC57" s="801">
        <v>161</v>
      </c>
      <c r="AD57" s="802">
        <f t="shared" si="1"/>
        <v>290</v>
      </c>
      <c r="AE57" s="800">
        <v>136</v>
      </c>
      <c r="AF57" s="801">
        <v>169</v>
      </c>
      <c r="AG57" s="802">
        <f t="shared" si="2"/>
        <v>305</v>
      </c>
      <c r="AH57" s="800">
        <v>125</v>
      </c>
      <c r="AI57" s="801">
        <v>160</v>
      </c>
      <c r="AJ57" s="802">
        <f t="shared" ref="AJ57:AJ62" si="46">SUM(AH57:AI57)</f>
        <v>285</v>
      </c>
      <c r="AK57" s="800">
        <v>130</v>
      </c>
      <c r="AL57" s="801">
        <v>153</v>
      </c>
      <c r="AM57" s="802">
        <f t="shared" ref="AM57:AM62" si="47">SUM(AK57:AL57)</f>
        <v>283</v>
      </c>
      <c r="AN57" s="800">
        <v>130</v>
      </c>
      <c r="AO57" s="801">
        <v>140</v>
      </c>
      <c r="AP57" s="802">
        <f t="shared" ref="AP57:AP62" si="48">SUM(AN57:AO57)</f>
        <v>270</v>
      </c>
      <c r="AQ57" s="800">
        <v>121</v>
      </c>
      <c r="AR57" s="801">
        <v>167</v>
      </c>
      <c r="AS57" s="802">
        <f t="shared" ref="AS57:AS62" si="49">SUM(AQ57:AR57)</f>
        <v>288</v>
      </c>
      <c r="AT57" s="800">
        <v>132</v>
      </c>
      <c r="AU57" s="801">
        <v>141</v>
      </c>
      <c r="AV57" s="802">
        <f t="shared" ref="AV57:AV62" si="50">SUM(AT57:AU57)</f>
        <v>273</v>
      </c>
    </row>
    <row r="58" spans="1:48" s="186" customFormat="1" ht="15" customHeight="1" x14ac:dyDescent="0.25">
      <c r="A58" s="5672"/>
      <c r="B58" s="5651"/>
      <c r="C58" s="799" t="s">
        <v>484</v>
      </c>
      <c r="D58" s="835">
        <v>120</v>
      </c>
      <c r="E58" s="836">
        <v>141</v>
      </c>
      <c r="F58" s="802">
        <v>261</v>
      </c>
      <c r="G58" s="835">
        <v>162</v>
      </c>
      <c r="H58" s="836">
        <v>140</v>
      </c>
      <c r="I58" s="802">
        <v>302</v>
      </c>
      <c r="J58" s="800">
        <v>148</v>
      </c>
      <c r="K58" s="801">
        <v>172</v>
      </c>
      <c r="L58" s="802">
        <v>320</v>
      </c>
      <c r="M58" s="800">
        <v>116</v>
      </c>
      <c r="N58" s="801">
        <v>159</v>
      </c>
      <c r="O58" s="802">
        <v>275</v>
      </c>
      <c r="P58" s="800">
        <v>130</v>
      </c>
      <c r="Q58" s="801">
        <v>158</v>
      </c>
      <c r="R58" s="802">
        <v>288</v>
      </c>
      <c r="S58" s="800">
        <v>123</v>
      </c>
      <c r="T58" s="801">
        <v>130</v>
      </c>
      <c r="U58" s="802">
        <v>253</v>
      </c>
      <c r="V58" s="800">
        <v>122</v>
      </c>
      <c r="W58" s="801">
        <v>128</v>
      </c>
      <c r="X58" s="802">
        <v>250</v>
      </c>
      <c r="Y58" s="800">
        <v>128</v>
      </c>
      <c r="Z58" s="801">
        <v>146</v>
      </c>
      <c r="AA58" s="802">
        <f t="shared" si="0"/>
        <v>274</v>
      </c>
      <c r="AB58" s="800">
        <v>123</v>
      </c>
      <c r="AC58" s="801">
        <v>134</v>
      </c>
      <c r="AD58" s="802">
        <f t="shared" si="1"/>
        <v>257</v>
      </c>
      <c r="AE58" s="800">
        <v>130</v>
      </c>
      <c r="AF58" s="801">
        <v>139</v>
      </c>
      <c r="AG58" s="802">
        <f t="shared" si="2"/>
        <v>269</v>
      </c>
      <c r="AH58" s="800">
        <v>121</v>
      </c>
      <c r="AI58" s="801">
        <v>134</v>
      </c>
      <c r="AJ58" s="802">
        <f t="shared" si="46"/>
        <v>255</v>
      </c>
      <c r="AK58" s="800">
        <v>124</v>
      </c>
      <c r="AL58" s="801">
        <v>132</v>
      </c>
      <c r="AM58" s="802">
        <f t="shared" si="47"/>
        <v>256</v>
      </c>
      <c r="AN58" s="800">
        <v>126</v>
      </c>
      <c r="AO58" s="801">
        <v>139</v>
      </c>
      <c r="AP58" s="802">
        <f t="shared" si="48"/>
        <v>265</v>
      </c>
      <c r="AQ58" s="800">
        <v>121</v>
      </c>
      <c r="AR58" s="801">
        <v>160</v>
      </c>
      <c r="AS58" s="802">
        <f t="shared" si="49"/>
        <v>281</v>
      </c>
      <c r="AT58" s="800">
        <v>126</v>
      </c>
      <c r="AU58" s="801">
        <v>150</v>
      </c>
      <c r="AV58" s="802">
        <f t="shared" si="50"/>
        <v>276</v>
      </c>
    </row>
    <row r="59" spans="1:48" s="186" customFormat="1" ht="15" customHeight="1" x14ac:dyDescent="0.25">
      <c r="A59" s="5672"/>
      <c r="B59" s="5651"/>
      <c r="C59" s="799" t="s">
        <v>458</v>
      </c>
      <c r="D59" s="835">
        <v>97</v>
      </c>
      <c r="E59" s="836">
        <v>119</v>
      </c>
      <c r="F59" s="802">
        <v>216</v>
      </c>
      <c r="G59" s="835">
        <v>125</v>
      </c>
      <c r="H59" s="836">
        <v>119</v>
      </c>
      <c r="I59" s="802">
        <v>244</v>
      </c>
      <c r="J59" s="800">
        <v>121</v>
      </c>
      <c r="K59" s="801">
        <v>148</v>
      </c>
      <c r="L59" s="802">
        <v>269</v>
      </c>
      <c r="M59" s="800">
        <v>105</v>
      </c>
      <c r="N59" s="801">
        <v>157</v>
      </c>
      <c r="O59" s="802">
        <v>262</v>
      </c>
      <c r="P59" s="800">
        <v>118</v>
      </c>
      <c r="Q59" s="801">
        <v>156</v>
      </c>
      <c r="R59" s="802">
        <v>274</v>
      </c>
      <c r="S59" s="800">
        <v>116</v>
      </c>
      <c r="T59" s="801">
        <v>127</v>
      </c>
      <c r="U59" s="802">
        <v>243</v>
      </c>
      <c r="V59" s="800">
        <v>108</v>
      </c>
      <c r="W59" s="801">
        <v>135</v>
      </c>
      <c r="X59" s="802">
        <v>243</v>
      </c>
      <c r="Y59" s="800">
        <v>117</v>
      </c>
      <c r="Z59" s="801">
        <v>151</v>
      </c>
      <c r="AA59" s="802">
        <f t="shared" si="0"/>
        <v>268</v>
      </c>
      <c r="AB59" s="800">
        <v>121</v>
      </c>
      <c r="AC59" s="801">
        <v>147</v>
      </c>
      <c r="AD59" s="802">
        <f t="shared" si="1"/>
        <v>268</v>
      </c>
      <c r="AE59" s="800">
        <v>127</v>
      </c>
      <c r="AF59" s="801">
        <v>151</v>
      </c>
      <c r="AG59" s="802">
        <f t="shared" si="2"/>
        <v>278</v>
      </c>
      <c r="AH59" s="800">
        <v>115</v>
      </c>
      <c r="AI59" s="801">
        <v>154</v>
      </c>
      <c r="AJ59" s="802">
        <f t="shared" si="46"/>
        <v>269</v>
      </c>
      <c r="AK59" s="800">
        <v>118</v>
      </c>
      <c r="AL59" s="801">
        <v>137</v>
      </c>
      <c r="AM59" s="802">
        <f t="shared" si="47"/>
        <v>255</v>
      </c>
      <c r="AN59" s="800">
        <v>132</v>
      </c>
      <c r="AO59" s="801">
        <v>159</v>
      </c>
      <c r="AP59" s="802">
        <f t="shared" si="48"/>
        <v>291</v>
      </c>
      <c r="AQ59" s="800">
        <v>122</v>
      </c>
      <c r="AR59" s="801">
        <v>168</v>
      </c>
      <c r="AS59" s="802">
        <f t="shared" si="49"/>
        <v>290</v>
      </c>
      <c r="AT59" s="800">
        <v>137</v>
      </c>
      <c r="AU59" s="801">
        <v>150</v>
      </c>
      <c r="AV59" s="802">
        <f t="shared" si="50"/>
        <v>287</v>
      </c>
    </row>
    <row r="60" spans="1:48" s="186" customFormat="1" ht="15" customHeight="1" x14ac:dyDescent="0.25">
      <c r="A60" s="5672"/>
      <c r="B60" s="5651"/>
      <c r="C60" s="799" t="s">
        <v>485</v>
      </c>
      <c r="D60" s="835">
        <v>220</v>
      </c>
      <c r="E60" s="836">
        <v>240</v>
      </c>
      <c r="F60" s="802">
        <v>460</v>
      </c>
      <c r="G60" s="835">
        <v>279</v>
      </c>
      <c r="H60" s="836">
        <v>266</v>
      </c>
      <c r="I60" s="802">
        <v>545</v>
      </c>
      <c r="J60" s="800">
        <v>291</v>
      </c>
      <c r="K60" s="801">
        <v>323</v>
      </c>
      <c r="L60" s="802">
        <v>614</v>
      </c>
      <c r="M60" s="800">
        <v>210</v>
      </c>
      <c r="N60" s="801">
        <v>251</v>
      </c>
      <c r="O60" s="802">
        <v>461</v>
      </c>
      <c r="P60" s="800">
        <v>214</v>
      </c>
      <c r="Q60" s="801">
        <v>268</v>
      </c>
      <c r="R60" s="802">
        <v>482</v>
      </c>
      <c r="S60" s="800">
        <v>219</v>
      </c>
      <c r="T60" s="801">
        <v>237</v>
      </c>
      <c r="U60" s="802">
        <v>456</v>
      </c>
      <c r="V60" s="800">
        <v>218</v>
      </c>
      <c r="W60" s="801">
        <v>261</v>
      </c>
      <c r="X60" s="802">
        <v>479</v>
      </c>
      <c r="Y60" s="800">
        <v>220</v>
      </c>
      <c r="Z60" s="801">
        <v>247</v>
      </c>
      <c r="AA60" s="802">
        <f t="shared" si="0"/>
        <v>467</v>
      </c>
      <c r="AB60" s="800">
        <v>223</v>
      </c>
      <c r="AC60" s="801">
        <v>236</v>
      </c>
      <c r="AD60" s="802">
        <f t="shared" si="1"/>
        <v>459</v>
      </c>
      <c r="AE60" s="800">
        <v>223</v>
      </c>
      <c r="AF60" s="801">
        <v>240</v>
      </c>
      <c r="AG60" s="802">
        <f t="shared" si="2"/>
        <v>463</v>
      </c>
      <c r="AH60" s="800">
        <v>193</v>
      </c>
      <c r="AI60" s="801">
        <v>215</v>
      </c>
      <c r="AJ60" s="802">
        <f t="shared" si="46"/>
        <v>408</v>
      </c>
      <c r="AK60" s="800">
        <v>187</v>
      </c>
      <c r="AL60" s="801">
        <v>224</v>
      </c>
      <c r="AM60" s="802">
        <f t="shared" si="47"/>
        <v>411</v>
      </c>
      <c r="AN60" s="800">
        <v>202</v>
      </c>
      <c r="AO60" s="801">
        <v>193</v>
      </c>
      <c r="AP60" s="802">
        <f t="shared" si="48"/>
        <v>395</v>
      </c>
      <c r="AQ60" s="800">
        <v>205</v>
      </c>
      <c r="AR60" s="801">
        <v>245</v>
      </c>
      <c r="AS60" s="802">
        <f t="shared" si="49"/>
        <v>450</v>
      </c>
      <c r="AT60" s="800">
        <v>208</v>
      </c>
      <c r="AU60" s="801">
        <v>222</v>
      </c>
      <c r="AV60" s="802">
        <f t="shared" si="50"/>
        <v>430</v>
      </c>
    </row>
    <row r="61" spans="1:48" s="186" customFormat="1" ht="15" customHeight="1" x14ac:dyDescent="0.25">
      <c r="A61" s="5672"/>
      <c r="B61" s="5651"/>
      <c r="C61" s="799" t="s">
        <v>459</v>
      </c>
      <c r="D61" s="835">
        <v>117</v>
      </c>
      <c r="E61" s="836">
        <v>161</v>
      </c>
      <c r="F61" s="802">
        <v>278</v>
      </c>
      <c r="G61" s="835">
        <v>144</v>
      </c>
      <c r="H61" s="836">
        <v>135</v>
      </c>
      <c r="I61" s="802">
        <v>279</v>
      </c>
      <c r="J61" s="800">
        <v>112</v>
      </c>
      <c r="K61" s="801">
        <v>133</v>
      </c>
      <c r="L61" s="802">
        <v>245</v>
      </c>
      <c r="M61" s="800">
        <v>119</v>
      </c>
      <c r="N61" s="801">
        <v>144</v>
      </c>
      <c r="O61" s="802">
        <v>263</v>
      </c>
      <c r="P61" s="800">
        <v>122</v>
      </c>
      <c r="Q61" s="801">
        <v>138</v>
      </c>
      <c r="R61" s="802">
        <v>260</v>
      </c>
      <c r="S61" s="800">
        <v>116</v>
      </c>
      <c r="T61" s="801">
        <v>116</v>
      </c>
      <c r="U61" s="802">
        <v>232</v>
      </c>
      <c r="V61" s="800">
        <v>109</v>
      </c>
      <c r="W61" s="801">
        <v>118</v>
      </c>
      <c r="X61" s="802">
        <v>227</v>
      </c>
      <c r="Y61" s="800">
        <v>110</v>
      </c>
      <c r="Z61" s="801">
        <v>130</v>
      </c>
      <c r="AA61" s="802">
        <f t="shared" si="0"/>
        <v>240</v>
      </c>
      <c r="AB61" s="800">
        <v>111</v>
      </c>
      <c r="AC61" s="801">
        <v>131</v>
      </c>
      <c r="AD61" s="802">
        <f t="shared" si="1"/>
        <v>242</v>
      </c>
      <c r="AE61" s="800">
        <v>119</v>
      </c>
      <c r="AF61" s="801">
        <v>131</v>
      </c>
      <c r="AG61" s="802">
        <f t="shared" si="2"/>
        <v>250</v>
      </c>
      <c r="AH61" s="800">
        <v>106</v>
      </c>
      <c r="AI61" s="801">
        <v>132</v>
      </c>
      <c r="AJ61" s="802">
        <f t="shared" si="46"/>
        <v>238</v>
      </c>
      <c r="AK61" s="800">
        <v>112</v>
      </c>
      <c r="AL61" s="801">
        <v>117</v>
      </c>
      <c r="AM61" s="802">
        <f t="shared" si="47"/>
        <v>229</v>
      </c>
      <c r="AN61" s="800">
        <v>117</v>
      </c>
      <c r="AO61" s="801">
        <v>126</v>
      </c>
      <c r="AP61" s="802">
        <f t="shared" si="48"/>
        <v>243</v>
      </c>
      <c r="AQ61" s="800">
        <v>112</v>
      </c>
      <c r="AR61" s="801">
        <v>137</v>
      </c>
      <c r="AS61" s="802">
        <f t="shared" si="49"/>
        <v>249</v>
      </c>
      <c r="AT61" s="800">
        <v>120</v>
      </c>
      <c r="AU61" s="801">
        <v>134</v>
      </c>
      <c r="AV61" s="802">
        <f t="shared" si="50"/>
        <v>254</v>
      </c>
    </row>
    <row r="62" spans="1:48" s="186" customFormat="1" ht="15" customHeight="1" x14ac:dyDescent="0.25">
      <c r="A62" s="5672"/>
      <c r="B62" s="5651"/>
      <c r="C62" s="808" t="s">
        <v>486</v>
      </c>
      <c r="D62" s="809">
        <v>36</v>
      </c>
      <c r="E62" s="840">
        <v>53</v>
      </c>
      <c r="F62" s="811">
        <v>89</v>
      </c>
      <c r="G62" s="841">
        <v>54</v>
      </c>
      <c r="H62" s="840">
        <v>46</v>
      </c>
      <c r="I62" s="811">
        <v>100</v>
      </c>
      <c r="J62" s="809">
        <v>49</v>
      </c>
      <c r="K62" s="810">
        <v>46</v>
      </c>
      <c r="L62" s="811">
        <v>95</v>
      </c>
      <c r="M62" s="809">
        <v>38</v>
      </c>
      <c r="N62" s="810">
        <v>67</v>
      </c>
      <c r="O62" s="811">
        <v>105</v>
      </c>
      <c r="P62" s="809">
        <v>47</v>
      </c>
      <c r="Q62" s="810">
        <v>68</v>
      </c>
      <c r="R62" s="811">
        <v>115</v>
      </c>
      <c r="S62" s="809">
        <v>43</v>
      </c>
      <c r="T62" s="810">
        <v>48</v>
      </c>
      <c r="U62" s="811">
        <v>91</v>
      </c>
      <c r="V62" s="809">
        <v>39</v>
      </c>
      <c r="W62" s="810">
        <v>44</v>
      </c>
      <c r="X62" s="811">
        <v>83</v>
      </c>
      <c r="Y62" s="809">
        <v>41</v>
      </c>
      <c r="Z62" s="810">
        <v>52</v>
      </c>
      <c r="AA62" s="811">
        <f t="shared" si="0"/>
        <v>93</v>
      </c>
      <c r="AB62" s="812">
        <v>42</v>
      </c>
      <c r="AC62" s="810">
        <v>53</v>
      </c>
      <c r="AD62" s="811">
        <f t="shared" si="1"/>
        <v>95</v>
      </c>
      <c r="AE62" s="812">
        <v>40</v>
      </c>
      <c r="AF62" s="810">
        <v>58</v>
      </c>
      <c r="AG62" s="811">
        <f t="shared" si="2"/>
        <v>98</v>
      </c>
      <c r="AH62" s="812">
        <v>40</v>
      </c>
      <c r="AI62" s="810">
        <v>52</v>
      </c>
      <c r="AJ62" s="811">
        <f t="shared" si="46"/>
        <v>92</v>
      </c>
      <c r="AK62" s="812">
        <v>63</v>
      </c>
      <c r="AL62" s="810">
        <v>75</v>
      </c>
      <c r="AM62" s="811">
        <f t="shared" si="47"/>
        <v>138</v>
      </c>
      <c r="AN62" s="812">
        <v>67</v>
      </c>
      <c r="AO62" s="810">
        <v>75</v>
      </c>
      <c r="AP62" s="811">
        <f t="shared" si="48"/>
        <v>142</v>
      </c>
      <c r="AQ62" s="812">
        <v>75</v>
      </c>
      <c r="AR62" s="810">
        <v>85</v>
      </c>
      <c r="AS62" s="811">
        <f t="shared" si="49"/>
        <v>160</v>
      </c>
      <c r="AT62" s="812">
        <v>67</v>
      </c>
      <c r="AU62" s="810">
        <v>71</v>
      </c>
      <c r="AV62" s="811">
        <f t="shared" si="50"/>
        <v>138</v>
      </c>
    </row>
    <row r="63" spans="1:48" s="186" customFormat="1" ht="15" customHeight="1" x14ac:dyDescent="0.25">
      <c r="A63" s="5672"/>
      <c r="B63" s="5652"/>
      <c r="C63" s="4475" t="s">
        <v>160</v>
      </c>
      <c r="D63" s="4476">
        <f>SUM(D57:D62)</f>
        <v>689</v>
      </c>
      <c r="E63" s="4494">
        <f t="shared" ref="E63:AG63" si="51">SUM(E57:E62)</f>
        <v>844</v>
      </c>
      <c r="F63" s="4478">
        <f t="shared" si="51"/>
        <v>1533</v>
      </c>
      <c r="G63" s="4476">
        <f t="shared" si="51"/>
        <v>888</v>
      </c>
      <c r="H63" s="4494">
        <f t="shared" si="51"/>
        <v>823</v>
      </c>
      <c r="I63" s="4478">
        <f t="shared" si="51"/>
        <v>1711</v>
      </c>
      <c r="J63" s="4476">
        <f t="shared" si="51"/>
        <v>857</v>
      </c>
      <c r="K63" s="4494">
        <f t="shared" si="51"/>
        <v>960</v>
      </c>
      <c r="L63" s="4478">
        <f t="shared" si="51"/>
        <v>1817</v>
      </c>
      <c r="M63" s="4476">
        <f t="shared" si="51"/>
        <v>685</v>
      </c>
      <c r="N63" s="4494">
        <f t="shared" si="51"/>
        <v>926</v>
      </c>
      <c r="O63" s="4478">
        <f t="shared" si="51"/>
        <v>1611</v>
      </c>
      <c r="P63" s="4476">
        <f t="shared" si="51"/>
        <v>785</v>
      </c>
      <c r="Q63" s="4494">
        <f t="shared" si="51"/>
        <v>931</v>
      </c>
      <c r="R63" s="4478">
        <f t="shared" si="51"/>
        <v>1716</v>
      </c>
      <c r="S63" s="4476">
        <f t="shared" si="51"/>
        <v>737</v>
      </c>
      <c r="T63" s="4494">
        <f t="shared" si="51"/>
        <v>787</v>
      </c>
      <c r="U63" s="4478">
        <f t="shared" si="51"/>
        <v>1524</v>
      </c>
      <c r="V63" s="4476">
        <f t="shared" si="51"/>
        <v>708</v>
      </c>
      <c r="W63" s="4494">
        <f t="shared" si="51"/>
        <v>838</v>
      </c>
      <c r="X63" s="4478">
        <f t="shared" si="51"/>
        <v>1546</v>
      </c>
      <c r="Y63" s="4476">
        <f t="shared" si="51"/>
        <v>729</v>
      </c>
      <c r="Z63" s="4494">
        <f t="shared" si="51"/>
        <v>887</v>
      </c>
      <c r="AA63" s="4478">
        <f t="shared" si="51"/>
        <v>1616</v>
      </c>
      <c r="AB63" s="4476">
        <f t="shared" si="51"/>
        <v>749</v>
      </c>
      <c r="AC63" s="4494">
        <f t="shared" si="51"/>
        <v>862</v>
      </c>
      <c r="AD63" s="4478">
        <f t="shared" si="51"/>
        <v>1611</v>
      </c>
      <c r="AE63" s="4476">
        <f t="shared" si="51"/>
        <v>775</v>
      </c>
      <c r="AF63" s="4494">
        <f t="shared" si="51"/>
        <v>888</v>
      </c>
      <c r="AG63" s="4478">
        <f t="shared" si="51"/>
        <v>1663</v>
      </c>
      <c r="AH63" s="4476">
        <f t="shared" ref="AH63:AM63" si="52">SUM(AH57:AH62)</f>
        <v>700</v>
      </c>
      <c r="AI63" s="4477">
        <f t="shared" si="52"/>
        <v>847</v>
      </c>
      <c r="AJ63" s="4478">
        <f t="shared" si="52"/>
        <v>1547</v>
      </c>
      <c r="AK63" s="4479">
        <f>SUM(AK57:AK62)</f>
        <v>734</v>
      </c>
      <c r="AL63" s="4480">
        <f>SUM(AL57:AL62)</f>
        <v>838</v>
      </c>
      <c r="AM63" s="4478">
        <f t="shared" si="52"/>
        <v>1572</v>
      </c>
      <c r="AN63" s="4479">
        <f t="shared" ref="AN63:AV63" si="53">SUM(AN57:AN62)</f>
        <v>774</v>
      </c>
      <c r="AO63" s="4480">
        <f t="shared" si="53"/>
        <v>832</v>
      </c>
      <c r="AP63" s="4478">
        <f t="shared" si="53"/>
        <v>1606</v>
      </c>
      <c r="AQ63" s="4479">
        <f t="shared" si="53"/>
        <v>756</v>
      </c>
      <c r="AR63" s="4480">
        <f t="shared" si="53"/>
        <v>962</v>
      </c>
      <c r="AS63" s="4478">
        <f t="shared" si="53"/>
        <v>1718</v>
      </c>
      <c r="AT63" s="4479">
        <f t="shared" si="53"/>
        <v>790</v>
      </c>
      <c r="AU63" s="4480">
        <f t="shared" si="53"/>
        <v>868</v>
      </c>
      <c r="AV63" s="4478">
        <f t="shared" si="53"/>
        <v>1658</v>
      </c>
    </row>
    <row r="64" spans="1:48" s="186" customFormat="1" ht="15" customHeight="1" x14ac:dyDescent="0.25">
      <c r="A64" s="5672"/>
      <c r="B64" s="5650" t="s">
        <v>11</v>
      </c>
      <c r="C64" s="4481" t="s">
        <v>478</v>
      </c>
      <c r="D64" s="4495">
        <v>102</v>
      </c>
      <c r="E64" s="4496">
        <v>137</v>
      </c>
      <c r="F64" s="4484">
        <v>239</v>
      </c>
      <c r="G64" s="4495">
        <v>104</v>
      </c>
      <c r="H64" s="4496">
        <v>149</v>
      </c>
      <c r="I64" s="4484">
        <v>253</v>
      </c>
      <c r="J64" s="4482">
        <v>141</v>
      </c>
      <c r="K64" s="4483">
        <v>200</v>
      </c>
      <c r="L64" s="4484">
        <v>341</v>
      </c>
      <c r="M64" s="4482">
        <v>133</v>
      </c>
      <c r="N64" s="4483">
        <v>181</v>
      </c>
      <c r="O64" s="4484">
        <v>314</v>
      </c>
      <c r="P64" s="4482">
        <v>129</v>
      </c>
      <c r="Q64" s="4483">
        <v>153</v>
      </c>
      <c r="R64" s="4484">
        <v>282</v>
      </c>
      <c r="S64" s="4482">
        <v>122</v>
      </c>
      <c r="T64" s="4483">
        <v>124</v>
      </c>
      <c r="U64" s="4484">
        <v>246</v>
      </c>
      <c r="V64" s="4482">
        <v>111</v>
      </c>
      <c r="W64" s="4483">
        <v>138</v>
      </c>
      <c r="X64" s="4484">
        <v>249</v>
      </c>
      <c r="Y64" s="4482">
        <v>111</v>
      </c>
      <c r="Z64" s="4483">
        <v>138</v>
      </c>
      <c r="AA64" s="4484">
        <f t="shared" si="0"/>
        <v>249</v>
      </c>
      <c r="AB64" s="4482">
        <v>115</v>
      </c>
      <c r="AC64" s="4483">
        <v>132</v>
      </c>
      <c r="AD64" s="4484">
        <f t="shared" si="1"/>
        <v>247</v>
      </c>
      <c r="AE64" s="4482">
        <v>119</v>
      </c>
      <c r="AF64" s="4483">
        <v>134</v>
      </c>
      <c r="AG64" s="4484">
        <f t="shared" si="2"/>
        <v>253</v>
      </c>
      <c r="AH64" s="4482">
        <v>113</v>
      </c>
      <c r="AI64" s="4483">
        <v>144</v>
      </c>
      <c r="AJ64" s="4484">
        <f t="shared" ref="AJ64:AJ71" si="54">SUM(AH64:AI64)</f>
        <v>257</v>
      </c>
      <c r="AK64" s="4485">
        <v>110</v>
      </c>
      <c r="AL64" s="4483">
        <v>127</v>
      </c>
      <c r="AM64" s="4484">
        <f t="shared" ref="AM64:AM71" si="55">SUM(AK64:AL64)</f>
        <v>237</v>
      </c>
      <c r="AN64" s="4485">
        <v>121</v>
      </c>
      <c r="AO64" s="4483">
        <v>134</v>
      </c>
      <c r="AP64" s="4484">
        <f t="shared" ref="AP64:AP71" si="56">SUM(AN64:AO64)</f>
        <v>255</v>
      </c>
      <c r="AQ64" s="4485">
        <v>121</v>
      </c>
      <c r="AR64" s="4483">
        <v>153</v>
      </c>
      <c r="AS64" s="4484">
        <f t="shared" ref="AS64:AS71" si="57">SUM(AQ64:AR64)</f>
        <v>274</v>
      </c>
      <c r="AT64" s="4485">
        <v>138</v>
      </c>
      <c r="AU64" s="4483">
        <v>138</v>
      </c>
      <c r="AV64" s="4484">
        <f t="shared" ref="AV64:AV71" si="58">SUM(AT64:AU64)</f>
        <v>276</v>
      </c>
    </row>
    <row r="65" spans="1:48" s="186" customFormat="1" ht="15" customHeight="1" x14ac:dyDescent="0.25">
      <c r="A65" s="5672"/>
      <c r="B65" s="5651"/>
      <c r="C65" s="799" t="s">
        <v>487</v>
      </c>
      <c r="D65" s="835">
        <v>76</v>
      </c>
      <c r="E65" s="836">
        <v>100</v>
      </c>
      <c r="F65" s="802">
        <v>176</v>
      </c>
      <c r="G65" s="835">
        <v>113</v>
      </c>
      <c r="H65" s="836">
        <v>96</v>
      </c>
      <c r="I65" s="802">
        <v>209</v>
      </c>
      <c r="J65" s="800">
        <v>109</v>
      </c>
      <c r="K65" s="801">
        <v>134</v>
      </c>
      <c r="L65" s="802">
        <v>243</v>
      </c>
      <c r="M65" s="800">
        <v>104</v>
      </c>
      <c r="N65" s="801">
        <v>120</v>
      </c>
      <c r="O65" s="802">
        <v>224</v>
      </c>
      <c r="P65" s="800">
        <v>88</v>
      </c>
      <c r="Q65" s="801">
        <v>100</v>
      </c>
      <c r="R65" s="802">
        <v>188</v>
      </c>
      <c r="S65" s="800">
        <v>89</v>
      </c>
      <c r="T65" s="801">
        <v>105</v>
      </c>
      <c r="U65" s="802">
        <v>194</v>
      </c>
      <c r="V65" s="800">
        <v>98</v>
      </c>
      <c r="W65" s="801">
        <v>104</v>
      </c>
      <c r="X65" s="802">
        <v>202</v>
      </c>
      <c r="Y65" s="800">
        <v>97</v>
      </c>
      <c r="Z65" s="801">
        <v>109</v>
      </c>
      <c r="AA65" s="802">
        <f t="shared" si="0"/>
        <v>206</v>
      </c>
      <c r="AB65" s="800">
        <v>91</v>
      </c>
      <c r="AC65" s="801">
        <v>113</v>
      </c>
      <c r="AD65" s="802">
        <f t="shared" si="1"/>
        <v>204</v>
      </c>
      <c r="AE65" s="800">
        <v>90</v>
      </c>
      <c r="AF65" s="801">
        <v>100</v>
      </c>
      <c r="AG65" s="802">
        <f t="shared" si="2"/>
        <v>190</v>
      </c>
      <c r="AH65" s="800">
        <v>78</v>
      </c>
      <c r="AI65" s="801">
        <v>104</v>
      </c>
      <c r="AJ65" s="802">
        <f t="shared" si="54"/>
        <v>182</v>
      </c>
      <c r="AK65" s="800">
        <v>77</v>
      </c>
      <c r="AL65" s="801">
        <v>78</v>
      </c>
      <c r="AM65" s="802">
        <f t="shared" si="55"/>
        <v>155</v>
      </c>
      <c r="AN65" s="800">
        <v>83</v>
      </c>
      <c r="AO65" s="801">
        <v>86</v>
      </c>
      <c r="AP65" s="802">
        <f t="shared" si="56"/>
        <v>169</v>
      </c>
      <c r="AQ65" s="800">
        <v>96</v>
      </c>
      <c r="AR65" s="801">
        <v>98</v>
      </c>
      <c r="AS65" s="802">
        <f t="shared" si="57"/>
        <v>194</v>
      </c>
      <c r="AT65" s="800">
        <v>104</v>
      </c>
      <c r="AU65" s="801">
        <v>102</v>
      </c>
      <c r="AV65" s="802">
        <f t="shared" si="58"/>
        <v>206</v>
      </c>
    </row>
    <row r="66" spans="1:48" s="186" customFormat="1" ht="15" customHeight="1" x14ac:dyDescent="0.25">
      <c r="A66" s="5672"/>
      <c r="B66" s="5651"/>
      <c r="C66" s="799" t="s">
        <v>488</v>
      </c>
      <c r="D66" s="835">
        <v>107</v>
      </c>
      <c r="E66" s="836">
        <v>152</v>
      </c>
      <c r="F66" s="802">
        <v>259</v>
      </c>
      <c r="G66" s="835">
        <v>166</v>
      </c>
      <c r="H66" s="836">
        <v>157</v>
      </c>
      <c r="I66" s="802">
        <v>323</v>
      </c>
      <c r="J66" s="800">
        <v>162</v>
      </c>
      <c r="K66" s="801">
        <v>172</v>
      </c>
      <c r="L66" s="802">
        <v>334</v>
      </c>
      <c r="M66" s="800">
        <v>128</v>
      </c>
      <c r="N66" s="801">
        <v>156</v>
      </c>
      <c r="O66" s="802">
        <v>284</v>
      </c>
      <c r="P66" s="800">
        <v>100</v>
      </c>
      <c r="Q66" s="801">
        <v>132</v>
      </c>
      <c r="R66" s="802">
        <v>232</v>
      </c>
      <c r="S66" s="800">
        <v>97</v>
      </c>
      <c r="T66" s="801">
        <v>104</v>
      </c>
      <c r="U66" s="802">
        <v>201</v>
      </c>
      <c r="V66" s="800">
        <v>99</v>
      </c>
      <c r="W66" s="801">
        <v>114</v>
      </c>
      <c r="X66" s="802">
        <v>213</v>
      </c>
      <c r="Y66" s="800">
        <v>113</v>
      </c>
      <c r="Z66" s="801">
        <v>128</v>
      </c>
      <c r="AA66" s="802">
        <f t="shared" si="0"/>
        <v>241</v>
      </c>
      <c r="AB66" s="800">
        <v>102</v>
      </c>
      <c r="AC66" s="801">
        <v>113</v>
      </c>
      <c r="AD66" s="802">
        <f t="shared" si="1"/>
        <v>215</v>
      </c>
      <c r="AE66" s="800">
        <v>110</v>
      </c>
      <c r="AF66" s="801">
        <v>129</v>
      </c>
      <c r="AG66" s="802">
        <f t="shared" si="2"/>
        <v>239</v>
      </c>
      <c r="AH66" s="800">
        <v>100</v>
      </c>
      <c r="AI66" s="801">
        <v>123</v>
      </c>
      <c r="AJ66" s="802">
        <f t="shared" si="54"/>
        <v>223</v>
      </c>
      <c r="AK66" s="800">
        <v>102</v>
      </c>
      <c r="AL66" s="801">
        <v>120</v>
      </c>
      <c r="AM66" s="802">
        <f t="shared" si="55"/>
        <v>222</v>
      </c>
      <c r="AN66" s="800">
        <v>118</v>
      </c>
      <c r="AO66" s="801">
        <v>127</v>
      </c>
      <c r="AP66" s="802">
        <f t="shared" si="56"/>
        <v>245</v>
      </c>
      <c r="AQ66" s="800">
        <v>122</v>
      </c>
      <c r="AR66" s="801">
        <v>152</v>
      </c>
      <c r="AS66" s="802">
        <f t="shared" si="57"/>
        <v>274</v>
      </c>
      <c r="AT66" s="800">
        <v>138</v>
      </c>
      <c r="AU66" s="801">
        <v>148</v>
      </c>
      <c r="AV66" s="802">
        <f t="shared" si="58"/>
        <v>286</v>
      </c>
    </row>
    <row r="67" spans="1:48" s="186" customFormat="1" ht="15" customHeight="1" x14ac:dyDescent="0.25">
      <c r="A67" s="5672"/>
      <c r="B67" s="5651"/>
      <c r="C67" s="799" t="s">
        <v>489</v>
      </c>
      <c r="D67" s="835">
        <v>141</v>
      </c>
      <c r="E67" s="836">
        <v>184</v>
      </c>
      <c r="F67" s="802">
        <v>325</v>
      </c>
      <c r="G67" s="835">
        <v>203</v>
      </c>
      <c r="H67" s="836">
        <v>184</v>
      </c>
      <c r="I67" s="802">
        <v>387</v>
      </c>
      <c r="J67" s="800">
        <v>192</v>
      </c>
      <c r="K67" s="801">
        <v>210</v>
      </c>
      <c r="L67" s="802">
        <v>402</v>
      </c>
      <c r="M67" s="800">
        <v>160</v>
      </c>
      <c r="N67" s="801">
        <v>203</v>
      </c>
      <c r="O67" s="802">
        <v>363</v>
      </c>
      <c r="P67" s="800">
        <v>153</v>
      </c>
      <c r="Q67" s="801">
        <v>188</v>
      </c>
      <c r="R67" s="802">
        <v>341</v>
      </c>
      <c r="S67" s="800">
        <v>141</v>
      </c>
      <c r="T67" s="801">
        <v>159</v>
      </c>
      <c r="U67" s="802">
        <v>300</v>
      </c>
      <c r="V67" s="800">
        <v>138</v>
      </c>
      <c r="W67" s="801">
        <v>168</v>
      </c>
      <c r="X67" s="802">
        <v>306</v>
      </c>
      <c r="Y67" s="800">
        <v>147</v>
      </c>
      <c r="Z67" s="801">
        <v>199</v>
      </c>
      <c r="AA67" s="802">
        <f t="shared" si="0"/>
        <v>346</v>
      </c>
      <c r="AB67" s="800">
        <v>145</v>
      </c>
      <c r="AC67" s="801">
        <v>185</v>
      </c>
      <c r="AD67" s="802">
        <f t="shared" si="1"/>
        <v>330</v>
      </c>
      <c r="AE67" s="800">
        <v>153</v>
      </c>
      <c r="AF67" s="801">
        <v>177</v>
      </c>
      <c r="AG67" s="802">
        <f t="shared" si="2"/>
        <v>330</v>
      </c>
      <c r="AH67" s="800">
        <v>163</v>
      </c>
      <c r="AI67" s="801">
        <v>205</v>
      </c>
      <c r="AJ67" s="802">
        <f t="shared" si="54"/>
        <v>368</v>
      </c>
      <c r="AK67" s="800">
        <v>162</v>
      </c>
      <c r="AL67" s="801">
        <v>182</v>
      </c>
      <c r="AM67" s="802">
        <f t="shared" si="55"/>
        <v>344</v>
      </c>
      <c r="AN67" s="800">
        <v>176</v>
      </c>
      <c r="AO67" s="801">
        <v>180</v>
      </c>
      <c r="AP67" s="802">
        <f t="shared" si="56"/>
        <v>356</v>
      </c>
      <c r="AQ67" s="800">
        <v>171</v>
      </c>
      <c r="AR67" s="801">
        <v>222</v>
      </c>
      <c r="AS67" s="802">
        <f t="shared" si="57"/>
        <v>393</v>
      </c>
      <c r="AT67" s="800">
        <v>189</v>
      </c>
      <c r="AU67" s="801">
        <v>222</v>
      </c>
      <c r="AV67" s="802">
        <f t="shared" si="58"/>
        <v>411</v>
      </c>
    </row>
    <row r="68" spans="1:48" s="186" customFormat="1" ht="15" customHeight="1" x14ac:dyDescent="0.25">
      <c r="A68" s="5672"/>
      <c r="B68" s="5651"/>
      <c r="C68" s="799" t="s">
        <v>490</v>
      </c>
      <c r="D68" s="835">
        <v>164</v>
      </c>
      <c r="E68" s="836">
        <v>203</v>
      </c>
      <c r="F68" s="802">
        <v>367</v>
      </c>
      <c r="G68" s="835">
        <v>202</v>
      </c>
      <c r="H68" s="836">
        <v>213</v>
      </c>
      <c r="I68" s="802">
        <v>415</v>
      </c>
      <c r="J68" s="800">
        <v>176</v>
      </c>
      <c r="K68" s="801">
        <v>238</v>
      </c>
      <c r="L68" s="802">
        <v>414</v>
      </c>
      <c r="M68" s="800">
        <v>177</v>
      </c>
      <c r="N68" s="801">
        <v>229</v>
      </c>
      <c r="O68" s="802">
        <v>406</v>
      </c>
      <c r="P68" s="800">
        <v>174</v>
      </c>
      <c r="Q68" s="801">
        <v>205</v>
      </c>
      <c r="R68" s="802">
        <v>379</v>
      </c>
      <c r="S68" s="800">
        <v>136</v>
      </c>
      <c r="T68" s="801">
        <v>160</v>
      </c>
      <c r="U68" s="802">
        <v>296</v>
      </c>
      <c r="V68" s="800">
        <v>155</v>
      </c>
      <c r="W68" s="801">
        <v>145</v>
      </c>
      <c r="X68" s="802">
        <v>300</v>
      </c>
      <c r="Y68" s="800">
        <v>134</v>
      </c>
      <c r="Z68" s="801">
        <v>182</v>
      </c>
      <c r="AA68" s="802">
        <f t="shared" si="0"/>
        <v>316</v>
      </c>
      <c r="AB68" s="800">
        <v>153</v>
      </c>
      <c r="AC68" s="801">
        <v>162</v>
      </c>
      <c r="AD68" s="802">
        <f t="shared" si="1"/>
        <v>315</v>
      </c>
      <c r="AE68" s="800">
        <v>147</v>
      </c>
      <c r="AF68" s="801">
        <v>172</v>
      </c>
      <c r="AG68" s="802">
        <f t="shared" si="2"/>
        <v>319</v>
      </c>
      <c r="AH68" s="800">
        <v>155</v>
      </c>
      <c r="AI68" s="801">
        <v>184</v>
      </c>
      <c r="AJ68" s="802">
        <f t="shared" si="54"/>
        <v>339</v>
      </c>
      <c r="AK68" s="800">
        <v>144</v>
      </c>
      <c r="AL68" s="801">
        <v>164</v>
      </c>
      <c r="AM68" s="802">
        <f t="shared" si="55"/>
        <v>308</v>
      </c>
      <c r="AN68" s="800">
        <v>148</v>
      </c>
      <c r="AO68" s="801">
        <v>163</v>
      </c>
      <c r="AP68" s="802">
        <f t="shared" si="56"/>
        <v>311</v>
      </c>
      <c r="AQ68" s="800">
        <v>152</v>
      </c>
      <c r="AR68" s="801">
        <v>168</v>
      </c>
      <c r="AS68" s="802">
        <f t="shared" si="57"/>
        <v>320</v>
      </c>
      <c r="AT68" s="800">
        <v>165</v>
      </c>
      <c r="AU68" s="801">
        <v>166</v>
      </c>
      <c r="AV68" s="802">
        <f t="shared" si="58"/>
        <v>331</v>
      </c>
    </row>
    <row r="69" spans="1:48" s="186" customFormat="1" ht="15" customHeight="1" x14ac:dyDescent="0.25">
      <c r="A69" s="5672"/>
      <c r="B69" s="5651"/>
      <c r="C69" s="799" t="s">
        <v>491</v>
      </c>
      <c r="D69" s="835">
        <v>92</v>
      </c>
      <c r="E69" s="836">
        <v>143</v>
      </c>
      <c r="F69" s="802">
        <v>235</v>
      </c>
      <c r="G69" s="835">
        <v>102</v>
      </c>
      <c r="H69" s="836">
        <v>125</v>
      </c>
      <c r="I69" s="802">
        <v>227</v>
      </c>
      <c r="J69" s="800">
        <v>64</v>
      </c>
      <c r="K69" s="801">
        <v>98</v>
      </c>
      <c r="L69" s="802">
        <v>162</v>
      </c>
      <c r="M69" s="800">
        <v>109</v>
      </c>
      <c r="N69" s="801">
        <v>93</v>
      </c>
      <c r="O69" s="802">
        <v>202</v>
      </c>
      <c r="P69" s="800">
        <v>105</v>
      </c>
      <c r="Q69" s="801">
        <v>132</v>
      </c>
      <c r="R69" s="802">
        <v>237</v>
      </c>
      <c r="S69" s="800">
        <v>109</v>
      </c>
      <c r="T69" s="801">
        <v>114</v>
      </c>
      <c r="U69" s="802">
        <v>223</v>
      </c>
      <c r="V69" s="800">
        <v>97</v>
      </c>
      <c r="W69" s="801">
        <v>131</v>
      </c>
      <c r="X69" s="802">
        <v>228</v>
      </c>
      <c r="Y69" s="800">
        <v>136</v>
      </c>
      <c r="Z69" s="801">
        <v>166</v>
      </c>
      <c r="AA69" s="802">
        <f t="shared" ref="AA69:AA91" si="59">SUM(Y69:Z69)</f>
        <v>302</v>
      </c>
      <c r="AB69" s="800">
        <v>143</v>
      </c>
      <c r="AC69" s="801">
        <v>162</v>
      </c>
      <c r="AD69" s="802">
        <f t="shared" ref="AD69:AD100" si="60">SUM(AB69:AC69)</f>
        <v>305</v>
      </c>
      <c r="AE69" s="800">
        <v>127</v>
      </c>
      <c r="AF69" s="801">
        <v>147</v>
      </c>
      <c r="AG69" s="802">
        <f t="shared" si="2"/>
        <v>274</v>
      </c>
      <c r="AH69" s="800">
        <v>117</v>
      </c>
      <c r="AI69" s="801">
        <v>131</v>
      </c>
      <c r="AJ69" s="802">
        <f t="shared" si="54"/>
        <v>248</v>
      </c>
      <c r="AK69" s="800">
        <v>103</v>
      </c>
      <c r="AL69" s="801">
        <v>118</v>
      </c>
      <c r="AM69" s="802">
        <f t="shared" si="55"/>
        <v>221</v>
      </c>
      <c r="AN69" s="800">
        <v>109</v>
      </c>
      <c r="AO69" s="801">
        <v>118</v>
      </c>
      <c r="AP69" s="802">
        <f t="shared" si="56"/>
        <v>227</v>
      </c>
      <c r="AQ69" s="800">
        <v>112</v>
      </c>
      <c r="AR69" s="801">
        <v>138</v>
      </c>
      <c r="AS69" s="802">
        <f t="shared" si="57"/>
        <v>250</v>
      </c>
      <c r="AT69" s="800">
        <v>120</v>
      </c>
      <c r="AU69" s="801">
        <v>140</v>
      </c>
      <c r="AV69" s="802">
        <f t="shared" si="58"/>
        <v>260</v>
      </c>
    </row>
    <row r="70" spans="1:48" s="186" customFormat="1" ht="15" customHeight="1" x14ac:dyDescent="0.25">
      <c r="A70" s="5672"/>
      <c r="B70" s="5651"/>
      <c r="C70" s="799" t="s">
        <v>492</v>
      </c>
      <c r="D70" s="835">
        <v>117</v>
      </c>
      <c r="E70" s="836">
        <v>148</v>
      </c>
      <c r="F70" s="802">
        <v>265</v>
      </c>
      <c r="G70" s="835">
        <v>160</v>
      </c>
      <c r="H70" s="836">
        <v>130</v>
      </c>
      <c r="I70" s="802">
        <v>290</v>
      </c>
      <c r="J70" s="800">
        <v>153</v>
      </c>
      <c r="K70" s="801">
        <v>177</v>
      </c>
      <c r="L70" s="802">
        <v>330</v>
      </c>
      <c r="M70" s="800">
        <v>147</v>
      </c>
      <c r="N70" s="801">
        <v>194</v>
      </c>
      <c r="O70" s="802">
        <v>341</v>
      </c>
      <c r="P70" s="800">
        <v>115</v>
      </c>
      <c r="Q70" s="801">
        <v>156</v>
      </c>
      <c r="R70" s="802">
        <v>271</v>
      </c>
      <c r="S70" s="800">
        <v>139</v>
      </c>
      <c r="T70" s="801">
        <v>160</v>
      </c>
      <c r="U70" s="802">
        <v>299</v>
      </c>
      <c r="V70" s="800">
        <v>134</v>
      </c>
      <c r="W70" s="801">
        <v>189</v>
      </c>
      <c r="X70" s="802">
        <v>323</v>
      </c>
      <c r="Y70" s="800">
        <v>138</v>
      </c>
      <c r="Z70" s="801">
        <v>190</v>
      </c>
      <c r="AA70" s="802">
        <f t="shared" si="59"/>
        <v>328</v>
      </c>
      <c r="AB70" s="800">
        <v>134</v>
      </c>
      <c r="AC70" s="801">
        <v>178</v>
      </c>
      <c r="AD70" s="802">
        <f t="shared" si="60"/>
        <v>312</v>
      </c>
      <c r="AE70" s="800">
        <v>137</v>
      </c>
      <c r="AF70" s="801">
        <v>166</v>
      </c>
      <c r="AG70" s="802">
        <f t="shared" si="2"/>
        <v>303</v>
      </c>
      <c r="AH70" s="800">
        <v>121</v>
      </c>
      <c r="AI70" s="801">
        <v>170</v>
      </c>
      <c r="AJ70" s="802">
        <f t="shared" si="54"/>
        <v>291</v>
      </c>
      <c r="AK70" s="800">
        <v>131</v>
      </c>
      <c r="AL70" s="801">
        <v>158</v>
      </c>
      <c r="AM70" s="802">
        <f t="shared" si="55"/>
        <v>289</v>
      </c>
      <c r="AN70" s="800">
        <v>138</v>
      </c>
      <c r="AO70" s="801">
        <v>148</v>
      </c>
      <c r="AP70" s="802">
        <f t="shared" si="56"/>
        <v>286</v>
      </c>
      <c r="AQ70" s="800">
        <v>143</v>
      </c>
      <c r="AR70" s="801">
        <v>190</v>
      </c>
      <c r="AS70" s="802">
        <f t="shared" si="57"/>
        <v>333</v>
      </c>
      <c r="AT70" s="800">
        <v>125</v>
      </c>
      <c r="AU70" s="801">
        <v>175</v>
      </c>
      <c r="AV70" s="802">
        <f t="shared" si="58"/>
        <v>300</v>
      </c>
    </row>
    <row r="71" spans="1:48" s="186" customFormat="1" ht="15" customHeight="1" x14ac:dyDescent="0.25">
      <c r="A71" s="5672"/>
      <c r="B71" s="5651"/>
      <c r="C71" s="808" t="s">
        <v>493</v>
      </c>
      <c r="D71" s="809">
        <v>65</v>
      </c>
      <c r="E71" s="840">
        <v>70</v>
      </c>
      <c r="F71" s="811">
        <v>135</v>
      </c>
      <c r="G71" s="841">
        <v>79</v>
      </c>
      <c r="H71" s="840">
        <v>76</v>
      </c>
      <c r="I71" s="811">
        <v>155</v>
      </c>
      <c r="J71" s="809">
        <v>89</v>
      </c>
      <c r="K71" s="810">
        <v>90</v>
      </c>
      <c r="L71" s="811">
        <v>179</v>
      </c>
      <c r="M71" s="809">
        <v>72</v>
      </c>
      <c r="N71" s="810">
        <v>105</v>
      </c>
      <c r="O71" s="811">
        <v>177</v>
      </c>
      <c r="P71" s="809">
        <v>77</v>
      </c>
      <c r="Q71" s="810">
        <v>85</v>
      </c>
      <c r="R71" s="811">
        <v>162</v>
      </c>
      <c r="S71" s="809">
        <v>63</v>
      </c>
      <c r="T71" s="810">
        <v>72</v>
      </c>
      <c r="U71" s="811">
        <v>135</v>
      </c>
      <c r="V71" s="809">
        <v>60</v>
      </c>
      <c r="W71" s="810">
        <v>76</v>
      </c>
      <c r="X71" s="811">
        <v>136</v>
      </c>
      <c r="Y71" s="809">
        <v>69</v>
      </c>
      <c r="Z71" s="810">
        <v>93</v>
      </c>
      <c r="AA71" s="811">
        <f t="shared" si="59"/>
        <v>162</v>
      </c>
      <c r="AB71" s="812">
        <v>72</v>
      </c>
      <c r="AC71" s="810">
        <v>81</v>
      </c>
      <c r="AD71" s="811">
        <f t="shared" si="60"/>
        <v>153</v>
      </c>
      <c r="AE71" s="812">
        <v>73</v>
      </c>
      <c r="AF71" s="810">
        <v>86</v>
      </c>
      <c r="AG71" s="811">
        <f t="shared" si="2"/>
        <v>159</v>
      </c>
      <c r="AH71" s="812">
        <v>80</v>
      </c>
      <c r="AI71" s="810">
        <v>99</v>
      </c>
      <c r="AJ71" s="811">
        <f t="shared" si="54"/>
        <v>179</v>
      </c>
      <c r="AK71" s="812">
        <v>80</v>
      </c>
      <c r="AL71" s="810">
        <v>88</v>
      </c>
      <c r="AM71" s="811">
        <f t="shared" si="55"/>
        <v>168</v>
      </c>
      <c r="AN71" s="812">
        <v>80</v>
      </c>
      <c r="AO71" s="810">
        <v>89</v>
      </c>
      <c r="AP71" s="811">
        <f t="shared" si="56"/>
        <v>169</v>
      </c>
      <c r="AQ71" s="812">
        <v>81</v>
      </c>
      <c r="AR71" s="810">
        <v>99</v>
      </c>
      <c r="AS71" s="811">
        <f t="shared" si="57"/>
        <v>180</v>
      </c>
      <c r="AT71" s="812">
        <v>84</v>
      </c>
      <c r="AU71" s="810">
        <v>99</v>
      </c>
      <c r="AV71" s="811">
        <f t="shared" si="58"/>
        <v>183</v>
      </c>
    </row>
    <row r="72" spans="1:48" s="186" customFormat="1" ht="15" customHeight="1" x14ac:dyDescent="0.25">
      <c r="A72" s="5672"/>
      <c r="B72" s="5652"/>
      <c r="C72" s="4475" t="s">
        <v>160</v>
      </c>
      <c r="D72" s="4476">
        <f>SUM(D64:D71)</f>
        <v>864</v>
      </c>
      <c r="E72" s="4494">
        <f t="shared" ref="E72:AG72" si="61">SUM(E64:E71)</f>
        <v>1137</v>
      </c>
      <c r="F72" s="4478">
        <f t="shared" si="61"/>
        <v>2001</v>
      </c>
      <c r="G72" s="4476">
        <f t="shared" si="61"/>
        <v>1129</v>
      </c>
      <c r="H72" s="4494">
        <f t="shared" si="61"/>
        <v>1130</v>
      </c>
      <c r="I72" s="4478">
        <f t="shared" si="61"/>
        <v>2259</v>
      </c>
      <c r="J72" s="4476">
        <f t="shared" si="61"/>
        <v>1086</v>
      </c>
      <c r="K72" s="4494">
        <f t="shared" si="61"/>
        <v>1319</v>
      </c>
      <c r="L72" s="4478">
        <f t="shared" si="61"/>
        <v>2405</v>
      </c>
      <c r="M72" s="4476">
        <f t="shared" si="61"/>
        <v>1030</v>
      </c>
      <c r="N72" s="4494">
        <f t="shared" si="61"/>
        <v>1281</v>
      </c>
      <c r="O72" s="4478">
        <f t="shared" si="61"/>
        <v>2311</v>
      </c>
      <c r="P72" s="4476">
        <f t="shared" si="61"/>
        <v>941</v>
      </c>
      <c r="Q72" s="4494">
        <f t="shared" si="61"/>
        <v>1151</v>
      </c>
      <c r="R72" s="4478">
        <f t="shared" si="61"/>
        <v>2092</v>
      </c>
      <c r="S72" s="4476">
        <f t="shared" si="61"/>
        <v>896</v>
      </c>
      <c r="T72" s="4494">
        <f t="shared" si="61"/>
        <v>998</v>
      </c>
      <c r="U72" s="4478">
        <f t="shared" si="61"/>
        <v>1894</v>
      </c>
      <c r="V72" s="4476">
        <f t="shared" si="61"/>
        <v>892</v>
      </c>
      <c r="W72" s="4494">
        <f t="shared" si="61"/>
        <v>1065</v>
      </c>
      <c r="X72" s="4478">
        <f t="shared" si="61"/>
        <v>1957</v>
      </c>
      <c r="Y72" s="4476">
        <f t="shared" si="61"/>
        <v>945</v>
      </c>
      <c r="Z72" s="4494">
        <f t="shared" si="61"/>
        <v>1205</v>
      </c>
      <c r="AA72" s="4478">
        <f t="shared" si="61"/>
        <v>2150</v>
      </c>
      <c r="AB72" s="4476">
        <f t="shared" si="61"/>
        <v>955</v>
      </c>
      <c r="AC72" s="4494">
        <f t="shared" si="61"/>
        <v>1126</v>
      </c>
      <c r="AD72" s="4478">
        <f t="shared" si="61"/>
        <v>2081</v>
      </c>
      <c r="AE72" s="4476">
        <f t="shared" si="61"/>
        <v>956</v>
      </c>
      <c r="AF72" s="4494">
        <f t="shared" si="61"/>
        <v>1111</v>
      </c>
      <c r="AG72" s="4478">
        <f t="shared" si="61"/>
        <v>2067</v>
      </c>
      <c r="AH72" s="4476">
        <f t="shared" ref="AH72:AM72" si="62">SUM(AH64:AH71)</f>
        <v>927</v>
      </c>
      <c r="AI72" s="4477">
        <f t="shared" si="62"/>
        <v>1160</v>
      </c>
      <c r="AJ72" s="4478">
        <f t="shared" si="62"/>
        <v>2087</v>
      </c>
      <c r="AK72" s="4479">
        <f>SUM(AK64:AK71)</f>
        <v>909</v>
      </c>
      <c r="AL72" s="4480">
        <f>SUM(AL64:AL71)</f>
        <v>1035</v>
      </c>
      <c r="AM72" s="4478">
        <f t="shared" si="62"/>
        <v>1944</v>
      </c>
      <c r="AN72" s="4479">
        <f t="shared" ref="AN72:AV72" si="63">SUM(AN64:AN71)</f>
        <v>973</v>
      </c>
      <c r="AO72" s="4480">
        <f t="shared" si="63"/>
        <v>1045</v>
      </c>
      <c r="AP72" s="4478">
        <f t="shared" si="63"/>
        <v>2018</v>
      </c>
      <c r="AQ72" s="4479">
        <f t="shared" si="63"/>
        <v>998</v>
      </c>
      <c r="AR72" s="4480">
        <f t="shared" si="63"/>
        <v>1220</v>
      </c>
      <c r="AS72" s="4478">
        <f t="shared" si="63"/>
        <v>2218</v>
      </c>
      <c r="AT72" s="4479">
        <f t="shared" si="63"/>
        <v>1063</v>
      </c>
      <c r="AU72" s="4480">
        <f t="shared" si="63"/>
        <v>1190</v>
      </c>
      <c r="AV72" s="4478">
        <f t="shared" si="63"/>
        <v>2253</v>
      </c>
    </row>
    <row r="73" spans="1:48" s="186" customFormat="1" ht="15" customHeight="1" x14ac:dyDescent="0.25">
      <c r="A73" s="5672"/>
      <c r="B73" s="5650" t="s">
        <v>7</v>
      </c>
      <c r="C73" s="4481" t="s">
        <v>460</v>
      </c>
      <c r="D73" s="4495">
        <v>162</v>
      </c>
      <c r="E73" s="4496">
        <v>224</v>
      </c>
      <c r="F73" s="4484">
        <v>386</v>
      </c>
      <c r="G73" s="4495">
        <v>172</v>
      </c>
      <c r="H73" s="4496">
        <v>194</v>
      </c>
      <c r="I73" s="4484">
        <v>366</v>
      </c>
      <c r="J73" s="4482">
        <v>177</v>
      </c>
      <c r="K73" s="4483">
        <v>239</v>
      </c>
      <c r="L73" s="4484">
        <v>416</v>
      </c>
      <c r="M73" s="4482">
        <v>159</v>
      </c>
      <c r="N73" s="4483">
        <v>221</v>
      </c>
      <c r="O73" s="4484">
        <v>380</v>
      </c>
      <c r="P73" s="4482">
        <v>175</v>
      </c>
      <c r="Q73" s="4483">
        <v>244</v>
      </c>
      <c r="R73" s="4484">
        <v>419</v>
      </c>
      <c r="S73" s="4482">
        <v>174</v>
      </c>
      <c r="T73" s="4483">
        <v>187</v>
      </c>
      <c r="U73" s="4484">
        <v>361</v>
      </c>
      <c r="V73" s="4482">
        <v>143</v>
      </c>
      <c r="W73" s="4483">
        <v>196</v>
      </c>
      <c r="X73" s="4484">
        <v>339</v>
      </c>
      <c r="Y73" s="4482">
        <v>151</v>
      </c>
      <c r="Z73" s="4483">
        <v>179</v>
      </c>
      <c r="AA73" s="4484">
        <f t="shared" si="59"/>
        <v>330</v>
      </c>
      <c r="AB73" s="4482">
        <v>150</v>
      </c>
      <c r="AC73" s="4483">
        <v>176</v>
      </c>
      <c r="AD73" s="4484">
        <f t="shared" si="60"/>
        <v>326</v>
      </c>
      <c r="AE73" s="4482">
        <v>149</v>
      </c>
      <c r="AF73" s="4483">
        <v>181</v>
      </c>
      <c r="AG73" s="4484">
        <f t="shared" si="2"/>
        <v>330</v>
      </c>
      <c r="AH73" s="4482">
        <v>147</v>
      </c>
      <c r="AI73" s="4483">
        <v>169</v>
      </c>
      <c r="AJ73" s="4484">
        <f>SUM(AH73:AI73)</f>
        <v>316</v>
      </c>
      <c r="AK73" s="4485">
        <v>143</v>
      </c>
      <c r="AL73" s="4483">
        <v>155</v>
      </c>
      <c r="AM73" s="4484">
        <f>SUM(AK73:AL73)</f>
        <v>298</v>
      </c>
      <c r="AN73" s="4485">
        <v>155</v>
      </c>
      <c r="AO73" s="4483">
        <v>165</v>
      </c>
      <c r="AP73" s="4484">
        <f>SUM(AN73:AO73)</f>
        <v>320</v>
      </c>
      <c r="AQ73" s="4485">
        <v>142</v>
      </c>
      <c r="AR73" s="4483">
        <v>191</v>
      </c>
      <c r="AS73" s="4484">
        <f>SUM(AQ73:AR73)</f>
        <v>333</v>
      </c>
      <c r="AT73" s="4485">
        <v>153</v>
      </c>
      <c r="AU73" s="4483">
        <v>158</v>
      </c>
      <c r="AV73" s="4484">
        <f>SUM(AT73:AU73)</f>
        <v>311</v>
      </c>
    </row>
    <row r="74" spans="1:48" s="186" customFormat="1" ht="15" customHeight="1" x14ac:dyDescent="0.25">
      <c r="A74" s="5672"/>
      <c r="B74" s="5651"/>
      <c r="C74" s="799" t="s">
        <v>461</v>
      </c>
      <c r="D74" s="835">
        <v>80</v>
      </c>
      <c r="E74" s="836">
        <v>99</v>
      </c>
      <c r="F74" s="802">
        <v>179</v>
      </c>
      <c r="G74" s="835">
        <v>76</v>
      </c>
      <c r="H74" s="836">
        <v>90</v>
      </c>
      <c r="I74" s="802">
        <v>166</v>
      </c>
      <c r="J74" s="800">
        <v>85</v>
      </c>
      <c r="K74" s="801">
        <v>113</v>
      </c>
      <c r="L74" s="802">
        <v>198</v>
      </c>
      <c r="M74" s="800">
        <v>66</v>
      </c>
      <c r="N74" s="801">
        <v>81</v>
      </c>
      <c r="O74" s="802">
        <v>147</v>
      </c>
      <c r="P74" s="800">
        <v>65</v>
      </c>
      <c r="Q74" s="801">
        <v>74</v>
      </c>
      <c r="R74" s="802">
        <v>139</v>
      </c>
      <c r="S74" s="800">
        <v>65</v>
      </c>
      <c r="T74" s="801">
        <v>74</v>
      </c>
      <c r="U74" s="802">
        <v>139</v>
      </c>
      <c r="V74" s="800">
        <v>59</v>
      </c>
      <c r="W74" s="801">
        <v>73</v>
      </c>
      <c r="X74" s="802">
        <v>132</v>
      </c>
      <c r="Y74" s="800">
        <v>63</v>
      </c>
      <c r="Z74" s="801">
        <v>70</v>
      </c>
      <c r="AA74" s="802">
        <f t="shared" si="59"/>
        <v>133</v>
      </c>
      <c r="AB74" s="800">
        <v>75</v>
      </c>
      <c r="AC74" s="801">
        <v>80</v>
      </c>
      <c r="AD74" s="802">
        <f t="shared" si="60"/>
        <v>155</v>
      </c>
      <c r="AE74" s="800">
        <v>65</v>
      </c>
      <c r="AF74" s="801">
        <v>76</v>
      </c>
      <c r="AG74" s="802">
        <f t="shared" si="2"/>
        <v>141</v>
      </c>
      <c r="AH74" s="800">
        <v>63</v>
      </c>
      <c r="AI74" s="801">
        <v>73</v>
      </c>
      <c r="AJ74" s="802">
        <f>SUM(AH74:AI74)</f>
        <v>136</v>
      </c>
      <c r="AK74" s="800">
        <v>64</v>
      </c>
      <c r="AL74" s="801">
        <v>69</v>
      </c>
      <c r="AM74" s="802">
        <f>SUM(AK74:AL74)</f>
        <v>133</v>
      </c>
      <c r="AN74" s="800">
        <v>69</v>
      </c>
      <c r="AO74" s="801">
        <v>74</v>
      </c>
      <c r="AP74" s="802">
        <f>SUM(AN74:AO74)</f>
        <v>143</v>
      </c>
      <c r="AQ74" s="800">
        <v>67</v>
      </c>
      <c r="AR74" s="801">
        <v>83</v>
      </c>
      <c r="AS74" s="802">
        <f>SUM(AQ74:AR74)</f>
        <v>150</v>
      </c>
      <c r="AT74" s="800">
        <v>66</v>
      </c>
      <c r="AU74" s="801">
        <v>78</v>
      </c>
      <c r="AV74" s="802">
        <f>SUM(AT74:AU74)</f>
        <v>144</v>
      </c>
    </row>
    <row r="75" spans="1:48" s="186" customFormat="1" ht="15" customHeight="1" x14ac:dyDescent="0.25">
      <c r="A75" s="5672"/>
      <c r="B75" s="5651"/>
      <c r="C75" s="799" t="s">
        <v>462</v>
      </c>
      <c r="D75" s="835">
        <v>75</v>
      </c>
      <c r="E75" s="836">
        <v>89</v>
      </c>
      <c r="F75" s="802">
        <v>164</v>
      </c>
      <c r="G75" s="835">
        <v>87</v>
      </c>
      <c r="H75" s="836">
        <v>86</v>
      </c>
      <c r="I75" s="802">
        <v>173</v>
      </c>
      <c r="J75" s="800">
        <v>84</v>
      </c>
      <c r="K75" s="801">
        <v>110</v>
      </c>
      <c r="L75" s="802">
        <v>194</v>
      </c>
      <c r="M75" s="800">
        <v>72</v>
      </c>
      <c r="N75" s="801">
        <v>99</v>
      </c>
      <c r="O75" s="802">
        <v>171</v>
      </c>
      <c r="P75" s="800">
        <v>71</v>
      </c>
      <c r="Q75" s="801">
        <v>78</v>
      </c>
      <c r="R75" s="802">
        <v>149</v>
      </c>
      <c r="S75" s="800">
        <v>73</v>
      </c>
      <c r="T75" s="801">
        <v>74</v>
      </c>
      <c r="U75" s="802">
        <v>147</v>
      </c>
      <c r="V75" s="800">
        <v>65</v>
      </c>
      <c r="W75" s="801">
        <v>73</v>
      </c>
      <c r="X75" s="802">
        <v>138</v>
      </c>
      <c r="Y75" s="800">
        <v>61</v>
      </c>
      <c r="Z75" s="801">
        <v>82</v>
      </c>
      <c r="AA75" s="802">
        <f t="shared" si="59"/>
        <v>143</v>
      </c>
      <c r="AB75" s="800">
        <v>69</v>
      </c>
      <c r="AC75" s="801">
        <v>81</v>
      </c>
      <c r="AD75" s="802">
        <f t="shared" si="60"/>
        <v>150</v>
      </c>
      <c r="AE75" s="800">
        <v>70</v>
      </c>
      <c r="AF75" s="801">
        <v>86</v>
      </c>
      <c r="AG75" s="802">
        <f t="shared" si="2"/>
        <v>156</v>
      </c>
      <c r="AH75" s="800">
        <v>62</v>
      </c>
      <c r="AI75" s="801">
        <v>70</v>
      </c>
      <c r="AJ75" s="802">
        <f>SUM(AH75:AI75)</f>
        <v>132</v>
      </c>
      <c r="AK75" s="800">
        <v>66</v>
      </c>
      <c r="AL75" s="801">
        <v>68</v>
      </c>
      <c r="AM75" s="802">
        <f>SUM(AK75:AL75)</f>
        <v>134</v>
      </c>
      <c r="AN75" s="800">
        <v>69</v>
      </c>
      <c r="AO75" s="801">
        <v>78</v>
      </c>
      <c r="AP75" s="802">
        <f>SUM(AN75:AO75)</f>
        <v>147</v>
      </c>
      <c r="AQ75" s="800">
        <v>70</v>
      </c>
      <c r="AR75" s="801">
        <v>84</v>
      </c>
      <c r="AS75" s="802">
        <f>SUM(AQ75:AR75)</f>
        <v>154</v>
      </c>
      <c r="AT75" s="800">
        <v>66</v>
      </c>
      <c r="AU75" s="801">
        <v>77</v>
      </c>
      <c r="AV75" s="802">
        <f>SUM(AT75:AU75)</f>
        <v>143</v>
      </c>
    </row>
    <row r="76" spans="1:48" s="186" customFormat="1" ht="15" customHeight="1" x14ac:dyDescent="0.25">
      <c r="A76" s="5672"/>
      <c r="B76" s="5651"/>
      <c r="C76" s="808" t="s">
        <v>494</v>
      </c>
      <c r="D76" s="809">
        <v>52</v>
      </c>
      <c r="E76" s="840">
        <v>78</v>
      </c>
      <c r="F76" s="811">
        <v>130</v>
      </c>
      <c r="G76" s="841">
        <v>53</v>
      </c>
      <c r="H76" s="840">
        <v>66</v>
      </c>
      <c r="I76" s="811">
        <v>119</v>
      </c>
      <c r="J76" s="809">
        <v>68</v>
      </c>
      <c r="K76" s="810">
        <v>71</v>
      </c>
      <c r="L76" s="811">
        <v>139</v>
      </c>
      <c r="M76" s="809">
        <v>64</v>
      </c>
      <c r="N76" s="810">
        <v>85</v>
      </c>
      <c r="O76" s="811">
        <v>149</v>
      </c>
      <c r="P76" s="809">
        <v>68</v>
      </c>
      <c r="Q76" s="810">
        <v>92</v>
      </c>
      <c r="R76" s="811">
        <v>160</v>
      </c>
      <c r="S76" s="809">
        <v>65</v>
      </c>
      <c r="T76" s="810">
        <v>71</v>
      </c>
      <c r="U76" s="811">
        <v>136</v>
      </c>
      <c r="V76" s="809">
        <v>63</v>
      </c>
      <c r="W76" s="810">
        <v>62</v>
      </c>
      <c r="X76" s="811">
        <v>125</v>
      </c>
      <c r="Y76" s="809">
        <v>67</v>
      </c>
      <c r="Z76" s="810">
        <v>71</v>
      </c>
      <c r="AA76" s="811">
        <f t="shared" si="59"/>
        <v>138</v>
      </c>
      <c r="AB76" s="812">
        <v>70</v>
      </c>
      <c r="AC76" s="810">
        <v>75</v>
      </c>
      <c r="AD76" s="811">
        <f t="shared" si="60"/>
        <v>145</v>
      </c>
      <c r="AE76" s="812">
        <v>66</v>
      </c>
      <c r="AF76" s="810">
        <v>78</v>
      </c>
      <c r="AG76" s="811">
        <f t="shared" si="2"/>
        <v>144</v>
      </c>
      <c r="AH76" s="812">
        <v>62</v>
      </c>
      <c r="AI76" s="810">
        <v>72</v>
      </c>
      <c r="AJ76" s="811">
        <f>SUM(AH76:AI76)</f>
        <v>134</v>
      </c>
      <c r="AK76" s="812">
        <v>63</v>
      </c>
      <c r="AL76" s="810">
        <v>68</v>
      </c>
      <c r="AM76" s="811">
        <f>SUM(AK76:AL76)</f>
        <v>131</v>
      </c>
      <c r="AN76" s="812">
        <v>66</v>
      </c>
      <c r="AO76" s="810">
        <v>74</v>
      </c>
      <c r="AP76" s="811">
        <f>SUM(AN76:AO76)</f>
        <v>140</v>
      </c>
      <c r="AQ76" s="812">
        <v>62</v>
      </c>
      <c r="AR76" s="810">
        <v>95</v>
      </c>
      <c r="AS76" s="811">
        <f>SUM(AQ76:AR76)</f>
        <v>157</v>
      </c>
      <c r="AT76" s="812">
        <v>66</v>
      </c>
      <c r="AU76" s="810">
        <v>86</v>
      </c>
      <c r="AV76" s="811">
        <f>SUM(AT76:AU76)</f>
        <v>152</v>
      </c>
    </row>
    <row r="77" spans="1:48" s="186" customFormat="1" ht="15" customHeight="1" x14ac:dyDescent="0.25">
      <c r="A77" s="5672"/>
      <c r="B77" s="5651"/>
      <c r="C77" s="855" t="s">
        <v>160</v>
      </c>
      <c r="D77" s="856">
        <f>SUM(D73:D76)</f>
        <v>369</v>
      </c>
      <c r="E77" s="857">
        <f t="shared" ref="E77:AG77" si="64">SUM(E73:E76)</f>
        <v>490</v>
      </c>
      <c r="F77" s="577">
        <f t="shared" si="64"/>
        <v>859</v>
      </c>
      <c r="G77" s="856">
        <f t="shared" si="64"/>
        <v>388</v>
      </c>
      <c r="H77" s="857">
        <f t="shared" si="64"/>
        <v>436</v>
      </c>
      <c r="I77" s="577">
        <f t="shared" si="64"/>
        <v>824</v>
      </c>
      <c r="J77" s="856">
        <f t="shared" si="64"/>
        <v>414</v>
      </c>
      <c r="K77" s="857">
        <f t="shared" si="64"/>
        <v>533</v>
      </c>
      <c r="L77" s="577">
        <f t="shared" si="64"/>
        <v>947</v>
      </c>
      <c r="M77" s="856">
        <f t="shared" si="64"/>
        <v>361</v>
      </c>
      <c r="N77" s="857">
        <f t="shared" si="64"/>
        <v>486</v>
      </c>
      <c r="O77" s="577">
        <f t="shared" si="64"/>
        <v>847</v>
      </c>
      <c r="P77" s="856">
        <f t="shared" si="64"/>
        <v>379</v>
      </c>
      <c r="Q77" s="857">
        <f t="shared" si="64"/>
        <v>488</v>
      </c>
      <c r="R77" s="577">
        <f t="shared" si="64"/>
        <v>867</v>
      </c>
      <c r="S77" s="856">
        <f t="shared" si="64"/>
        <v>377</v>
      </c>
      <c r="T77" s="857">
        <f t="shared" si="64"/>
        <v>406</v>
      </c>
      <c r="U77" s="577">
        <f t="shared" si="64"/>
        <v>783</v>
      </c>
      <c r="V77" s="856">
        <f t="shared" si="64"/>
        <v>330</v>
      </c>
      <c r="W77" s="857">
        <f t="shared" si="64"/>
        <v>404</v>
      </c>
      <c r="X77" s="577">
        <f t="shared" si="64"/>
        <v>734</v>
      </c>
      <c r="Y77" s="856">
        <f t="shared" si="64"/>
        <v>342</v>
      </c>
      <c r="Z77" s="857">
        <f t="shared" si="64"/>
        <v>402</v>
      </c>
      <c r="AA77" s="577">
        <f t="shared" si="64"/>
        <v>744</v>
      </c>
      <c r="AB77" s="856">
        <f t="shared" si="64"/>
        <v>364</v>
      </c>
      <c r="AC77" s="857">
        <f t="shared" si="64"/>
        <v>412</v>
      </c>
      <c r="AD77" s="577">
        <f t="shared" si="64"/>
        <v>776</v>
      </c>
      <c r="AE77" s="856">
        <f t="shared" si="64"/>
        <v>350</v>
      </c>
      <c r="AF77" s="857">
        <f t="shared" si="64"/>
        <v>421</v>
      </c>
      <c r="AG77" s="577">
        <f t="shared" si="64"/>
        <v>771</v>
      </c>
      <c r="AH77" s="856">
        <f t="shared" ref="AH77:AM77" si="65">SUM(AH73:AH76)</f>
        <v>334</v>
      </c>
      <c r="AI77" s="1431">
        <f t="shared" si="65"/>
        <v>384</v>
      </c>
      <c r="AJ77" s="577">
        <f t="shared" si="65"/>
        <v>718</v>
      </c>
      <c r="AK77" s="1955">
        <f>SUM(AK73:AK76)</f>
        <v>336</v>
      </c>
      <c r="AL77" s="1958">
        <f>SUM(AL73:AL76)</f>
        <v>360</v>
      </c>
      <c r="AM77" s="577">
        <f t="shared" si="65"/>
        <v>696</v>
      </c>
      <c r="AN77" s="1955">
        <f t="shared" ref="AN77:AV77" si="66">SUM(AN73:AN76)</f>
        <v>359</v>
      </c>
      <c r="AO77" s="1958">
        <f t="shared" si="66"/>
        <v>391</v>
      </c>
      <c r="AP77" s="577">
        <f t="shared" si="66"/>
        <v>750</v>
      </c>
      <c r="AQ77" s="1955">
        <f t="shared" si="66"/>
        <v>341</v>
      </c>
      <c r="AR77" s="1958">
        <f t="shared" si="66"/>
        <v>453</v>
      </c>
      <c r="AS77" s="577">
        <f t="shared" si="66"/>
        <v>794</v>
      </c>
      <c r="AT77" s="1955">
        <f t="shared" si="66"/>
        <v>351</v>
      </c>
      <c r="AU77" s="1958">
        <f t="shared" si="66"/>
        <v>399</v>
      </c>
      <c r="AV77" s="577">
        <f t="shared" si="66"/>
        <v>750</v>
      </c>
    </row>
    <row r="78" spans="1:48" s="186" customFormat="1" ht="15" customHeight="1" x14ac:dyDescent="0.25">
      <c r="A78" s="5673"/>
      <c r="B78" s="3541"/>
      <c r="C78" s="2273" t="s">
        <v>444</v>
      </c>
      <c r="D78" s="2274">
        <f>SUM(D77,D72,D63)</f>
        <v>1922</v>
      </c>
      <c r="E78" s="2275">
        <f t="shared" ref="E78:AG78" si="67">SUM(E77,E72,E63)</f>
        <v>2471</v>
      </c>
      <c r="F78" s="2276">
        <f t="shared" si="67"/>
        <v>4393</v>
      </c>
      <c r="G78" s="2274">
        <f t="shared" si="67"/>
        <v>2405</v>
      </c>
      <c r="H78" s="2275">
        <f t="shared" si="67"/>
        <v>2389</v>
      </c>
      <c r="I78" s="2276">
        <f t="shared" si="67"/>
        <v>4794</v>
      </c>
      <c r="J78" s="2274">
        <f t="shared" si="67"/>
        <v>2357</v>
      </c>
      <c r="K78" s="2275">
        <f t="shared" si="67"/>
        <v>2812</v>
      </c>
      <c r="L78" s="2276">
        <f t="shared" si="67"/>
        <v>5169</v>
      </c>
      <c r="M78" s="2274">
        <f t="shared" si="67"/>
        <v>2076</v>
      </c>
      <c r="N78" s="2275">
        <f t="shared" si="67"/>
        <v>2693</v>
      </c>
      <c r="O78" s="2276">
        <f t="shared" si="67"/>
        <v>4769</v>
      </c>
      <c r="P78" s="2274">
        <f t="shared" si="67"/>
        <v>2105</v>
      </c>
      <c r="Q78" s="2275">
        <f t="shared" si="67"/>
        <v>2570</v>
      </c>
      <c r="R78" s="2276">
        <f t="shared" si="67"/>
        <v>4675</v>
      </c>
      <c r="S78" s="2274">
        <f t="shared" si="67"/>
        <v>2010</v>
      </c>
      <c r="T78" s="2275">
        <f t="shared" si="67"/>
        <v>2191</v>
      </c>
      <c r="U78" s="2276">
        <f t="shared" si="67"/>
        <v>4201</v>
      </c>
      <c r="V78" s="2274">
        <f t="shared" si="67"/>
        <v>1930</v>
      </c>
      <c r="W78" s="2275">
        <f t="shared" si="67"/>
        <v>2307</v>
      </c>
      <c r="X78" s="2276">
        <f t="shared" si="67"/>
        <v>4237</v>
      </c>
      <c r="Y78" s="2274">
        <f t="shared" si="67"/>
        <v>2016</v>
      </c>
      <c r="Z78" s="2275">
        <f t="shared" si="67"/>
        <v>2494</v>
      </c>
      <c r="AA78" s="2276">
        <f t="shared" si="67"/>
        <v>4510</v>
      </c>
      <c r="AB78" s="2274">
        <f t="shared" si="67"/>
        <v>2068</v>
      </c>
      <c r="AC78" s="2275">
        <f t="shared" si="67"/>
        <v>2400</v>
      </c>
      <c r="AD78" s="2276">
        <f t="shared" si="67"/>
        <v>4468</v>
      </c>
      <c r="AE78" s="2274">
        <f t="shared" si="67"/>
        <v>2081</v>
      </c>
      <c r="AF78" s="2275">
        <f t="shared" si="67"/>
        <v>2420</v>
      </c>
      <c r="AG78" s="2276">
        <f t="shared" si="67"/>
        <v>4501</v>
      </c>
      <c r="AH78" s="2274">
        <f t="shared" ref="AH78:AM78" si="68">SUM(AH77,AH72,AH63)</f>
        <v>1961</v>
      </c>
      <c r="AI78" s="2275">
        <f t="shared" si="68"/>
        <v>2391</v>
      </c>
      <c r="AJ78" s="2276">
        <f t="shared" si="68"/>
        <v>4352</v>
      </c>
      <c r="AK78" s="2274">
        <f t="shared" si="68"/>
        <v>1979</v>
      </c>
      <c r="AL78" s="2275">
        <f t="shared" si="68"/>
        <v>2233</v>
      </c>
      <c r="AM78" s="2276">
        <f t="shared" si="68"/>
        <v>4212</v>
      </c>
      <c r="AN78" s="2274">
        <f t="shared" ref="AN78:AV78" si="69">SUM(AN77,AN72,AN63)</f>
        <v>2106</v>
      </c>
      <c r="AO78" s="2275">
        <f t="shared" si="69"/>
        <v>2268</v>
      </c>
      <c r="AP78" s="2276">
        <f t="shared" si="69"/>
        <v>4374</v>
      </c>
      <c r="AQ78" s="2274">
        <f t="shared" si="69"/>
        <v>2095</v>
      </c>
      <c r="AR78" s="2275">
        <f t="shared" si="69"/>
        <v>2635</v>
      </c>
      <c r="AS78" s="2276">
        <f t="shared" si="69"/>
        <v>4730</v>
      </c>
      <c r="AT78" s="2274">
        <f t="shared" si="69"/>
        <v>2204</v>
      </c>
      <c r="AU78" s="2275">
        <f t="shared" si="69"/>
        <v>2457</v>
      </c>
      <c r="AV78" s="2276">
        <f t="shared" si="69"/>
        <v>4661</v>
      </c>
    </row>
    <row r="79" spans="1:48" s="186" customFormat="1" ht="15" customHeight="1" x14ac:dyDescent="0.25">
      <c r="A79" s="5658" t="s">
        <v>407</v>
      </c>
      <c r="B79" s="5647" t="s">
        <v>6</v>
      </c>
      <c r="C79" s="799" t="s">
        <v>456</v>
      </c>
      <c r="D79" s="805"/>
      <c r="E79" s="806"/>
      <c r="F79" s="802"/>
      <c r="G79" s="837"/>
      <c r="H79" s="806"/>
      <c r="I79" s="802"/>
      <c r="J79" s="805"/>
      <c r="K79" s="807">
        <v>68</v>
      </c>
      <c r="L79" s="802">
        <f t="shared" ref="L79:L91" si="70">SUM(J79:K79)</f>
        <v>68</v>
      </c>
      <c r="M79" s="805"/>
      <c r="N79" s="838">
        <v>52</v>
      </c>
      <c r="O79" s="802">
        <f t="shared" ref="O79:O91" si="71">SUM(M79:N79)</f>
        <v>52</v>
      </c>
      <c r="P79" s="805"/>
      <c r="Q79" s="807">
        <v>71</v>
      </c>
      <c r="R79" s="802">
        <f t="shared" ref="R79:R91" si="72">SUM(P79:Q79)</f>
        <v>71</v>
      </c>
      <c r="S79" s="805"/>
      <c r="T79" s="807">
        <v>66</v>
      </c>
      <c r="U79" s="802">
        <f t="shared" ref="U79:U91" si="73">SUM(S79:T79)</f>
        <v>66</v>
      </c>
      <c r="V79" s="805"/>
      <c r="W79" s="807">
        <v>33</v>
      </c>
      <c r="X79" s="802">
        <f t="shared" ref="X79:X91" si="74">SUM(V79:W79)</f>
        <v>33</v>
      </c>
      <c r="Y79" s="805"/>
      <c r="Z79" s="807">
        <v>36</v>
      </c>
      <c r="AA79" s="802">
        <f t="shared" si="59"/>
        <v>36</v>
      </c>
      <c r="AB79" s="805"/>
      <c r="AC79" s="807">
        <v>37</v>
      </c>
      <c r="AD79" s="802">
        <f t="shared" si="60"/>
        <v>37</v>
      </c>
      <c r="AE79" s="805"/>
      <c r="AF79" s="807">
        <v>38</v>
      </c>
      <c r="AG79" s="802">
        <f t="shared" si="2"/>
        <v>38</v>
      </c>
      <c r="AH79" s="805"/>
      <c r="AI79" s="807">
        <v>44</v>
      </c>
      <c r="AJ79" s="802">
        <f>SUM(AH79:AI79)</f>
        <v>44</v>
      </c>
      <c r="AK79" s="2163">
        <v>31</v>
      </c>
      <c r="AL79" s="807">
        <v>45</v>
      </c>
      <c r="AM79" s="802">
        <f>SUM(AK79:AL79)</f>
        <v>76</v>
      </c>
      <c r="AN79" s="2163">
        <v>34</v>
      </c>
      <c r="AO79" s="807">
        <v>44</v>
      </c>
      <c r="AP79" s="802">
        <f>SUM(AN79:AO79)</f>
        <v>78</v>
      </c>
      <c r="AQ79" s="2163">
        <v>36</v>
      </c>
      <c r="AR79" s="807">
        <v>41</v>
      </c>
      <c r="AS79" s="802">
        <f>SUM(AQ79:AR79)</f>
        <v>77</v>
      </c>
      <c r="AT79" s="2163">
        <v>38</v>
      </c>
      <c r="AU79" s="807">
        <v>38</v>
      </c>
      <c r="AV79" s="802">
        <f>SUM(AT79:AU79)</f>
        <v>76</v>
      </c>
    </row>
    <row r="80" spans="1:48" s="186" customFormat="1" ht="15" customHeight="1" x14ac:dyDescent="0.25">
      <c r="A80" s="5659"/>
      <c r="B80" s="5648"/>
      <c r="C80" s="799" t="s">
        <v>457</v>
      </c>
      <c r="D80" s="805"/>
      <c r="E80" s="806"/>
      <c r="F80" s="802"/>
      <c r="G80" s="837"/>
      <c r="H80" s="806"/>
      <c r="I80" s="802"/>
      <c r="J80" s="805"/>
      <c r="K80" s="807">
        <v>66</v>
      </c>
      <c r="L80" s="802">
        <f t="shared" si="70"/>
        <v>66</v>
      </c>
      <c r="M80" s="805"/>
      <c r="N80" s="839"/>
      <c r="O80" s="802">
        <f t="shared" si="71"/>
        <v>0</v>
      </c>
      <c r="P80" s="805"/>
      <c r="Q80" s="807"/>
      <c r="R80" s="802">
        <f t="shared" si="72"/>
        <v>0</v>
      </c>
      <c r="S80" s="805"/>
      <c r="T80" s="807"/>
      <c r="U80" s="802">
        <f t="shared" si="73"/>
        <v>0</v>
      </c>
      <c r="V80" s="805"/>
      <c r="W80" s="807"/>
      <c r="X80" s="802">
        <f t="shared" si="74"/>
        <v>0</v>
      </c>
      <c r="Y80" s="805"/>
      <c r="Z80" s="807"/>
      <c r="AA80" s="802">
        <f t="shared" si="59"/>
        <v>0</v>
      </c>
      <c r="AB80" s="805"/>
      <c r="AC80" s="807"/>
      <c r="AD80" s="802">
        <f t="shared" si="60"/>
        <v>0</v>
      </c>
      <c r="AE80" s="805"/>
      <c r="AF80" s="807"/>
      <c r="AG80" s="802">
        <f t="shared" si="2"/>
        <v>0</v>
      </c>
      <c r="AH80" s="805"/>
      <c r="AI80" s="807"/>
      <c r="AJ80" s="802"/>
      <c r="AK80" s="2164"/>
      <c r="AL80" s="807"/>
      <c r="AM80" s="802"/>
      <c r="AN80" s="2164"/>
      <c r="AO80" s="807">
        <v>43</v>
      </c>
      <c r="AP80" s="802">
        <f>SUM(AN80:AO80)</f>
        <v>43</v>
      </c>
      <c r="AQ80" s="2164"/>
      <c r="AR80" s="807">
        <v>43</v>
      </c>
      <c r="AS80" s="802">
        <f>SUM(AQ80:AR80)</f>
        <v>43</v>
      </c>
      <c r="AT80" s="2164"/>
      <c r="AU80" s="807">
        <v>44</v>
      </c>
      <c r="AV80" s="802">
        <f>SUM(AT80:AU80)</f>
        <v>44</v>
      </c>
    </row>
    <row r="81" spans="1:48" s="186" customFormat="1" ht="15" customHeight="1" x14ac:dyDescent="0.2">
      <c r="A81" s="5659"/>
      <c r="B81" s="5648"/>
      <c r="C81" s="799" t="s">
        <v>495</v>
      </c>
      <c r="D81" s="805"/>
      <c r="E81" s="806"/>
      <c r="F81" s="802"/>
      <c r="G81" s="837"/>
      <c r="H81" s="806"/>
      <c r="I81" s="802"/>
      <c r="J81" s="805"/>
      <c r="K81" s="807"/>
      <c r="L81" s="802">
        <f t="shared" si="70"/>
        <v>0</v>
      </c>
      <c r="M81" s="805"/>
      <c r="N81" s="807"/>
      <c r="O81" s="802">
        <f t="shared" si="71"/>
        <v>0</v>
      </c>
      <c r="P81" s="805"/>
      <c r="Q81" s="807">
        <v>30</v>
      </c>
      <c r="R81" s="802">
        <f t="shared" si="72"/>
        <v>30</v>
      </c>
      <c r="S81" s="805"/>
      <c r="T81" s="807">
        <v>22</v>
      </c>
      <c r="U81" s="802">
        <f t="shared" si="73"/>
        <v>22</v>
      </c>
      <c r="V81" s="805"/>
      <c r="W81" s="807">
        <v>25</v>
      </c>
      <c r="X81" s="802">
        <f t="shared" si="74"/>
        <v>25</v>
      </c>
      <c r="Y81" s="805"/>
      <c r="Z81" s="807">
        <v>44</v>
      </c>
      <c r="AA81" s="802">
        <f t="shared" si="59"/>
        <v>44</v>
      </c>
      <c r="AB81" s="805"/>
      <c r="AC81" s="807">
        <v>29</v>
      </c>
      <c r="AD81" s="802">
        <f t="shared" si="60"/>
        <v>29</v>
      </c>
      <c r="AE81" s="805"/>
      <c r="AF81" s="807">
        <v>32</v>
      </c>
      <c r="AG81" s="802">
        <f t="shared" si="2"/>
        <v>32</v>
      </c>
      <c r="AH81" s="805"/>
      <c r="AI81" s="807">
        <v>40</v>
      </c>
      <c r="AJ81" s="802">
        <f>SUM(AH81:AI81)</f>
        <v>40</v>
      </c>
      <c r="AK81" s="2164">
        <v>36</v>
      </c>
      <c r="AL81" s="807">
        <v>40</v>
      </c>
      <c r="AM81" s="802">
        <f>SUM(AK81:AL81)</f>
        <v>76</v>
      </c>
      <c r="AN81" s="2164">
        <v>36</v>
      </c>
      <c r="AO81" s="807">
        <v>43</v>
      </c>
      <c r="AP81" s="802">
        <f>SUM(AN81:AO81)</f>
        <v>79</v>
      </c>
      <c r="AQ81" s="2164">
        <v>35</v>
      </c>
      <c r="AR81" s="807">
        <v>36</v>
      </c>
      <c r="AS81" s="802">
        <f>SUM(AQ81:AR81)</f>
        <v>71</v>
      </c>
      <c r="AT81" s="2164">
        <v>34</v>
      </c>
      <c r="AU81" s="807">
        <v>39</v>
      </c>
      <c r="AV81" s="802">
        <f>SUM(AT81:AU81)</f>
        <v>73</v>
      </c>
    </row>
    <row r="82" spans="1:48" s="186" customFormat="1" ht="15" customHeight="1" x14ac:dyDescent="0.25">
      <c r="A82" s="5659"/>
      <c r="B82" s="5648"/>
      <c r="C82" s="808" t="s">
        <v>496</v>
      </c>
      <c r="D82" s="809"/>
      <c r="E82" s="840"/>
      <c r="F82" s="811"/>
      <c r="G82" s="841"/>
      <c r="H82" s="840"/>
      <c r="I82" s="811"/>
      <c r="J82" s="809"/>
      <c r="K82" s="810"/>
      <c r="L82" s="811">
        <f t="shared" si="70"/>
        <v>0</v>
      </c>
      <c r="M82" s="809"/>
      <c r="N82" s="810"/>
      <c r="O82" s="811">
        <f t="shared" si="71"/>
        <v>0</v>
      </c>
      <c r="P82" s="809"/>
      <c r="Q82" s="810">
        <v>36</v>
      </c>
      <c r="R82" s="811">
        <f t="shared" si="72"/>
        <v>36</v>
      </c>
      <c r="S82" s="809"/>
      <c r="T82" s="810">
        <v>34</v>
      </c>
      <c r="U82" s="811">
        <f t="shared" si="73"/>
        <v>34</v>
      </c>
      <c r="V82" s="809"/>
      <c r="W82" s="810">
        <v>32</v>
      </c>
      <c r="X82" s="811">
        <f t="shared" si="74"/>
        <v>32</v>
      </c>
      <c r="Y82" s="809"/>
      <c r="Z82" s="810">
        <v>36</v>
      </c>
      <c r="AA82" s="811">
        <f t="shared" si="59"/>
        <v>36</v>
      </c>
      <c r="AB82" s="812"/>
      <c r="AC82" s="810">
        <v>39</v>
      </c>
      <c r="AD82" s="811">
        <f t="shared" si="60"/>
        <v>39</v>
      </c>
      <c r="AE82" s="812"/>
      <c r="AF82" s="810">
        <v>36</v>
      </c>
      <c r="AG82" s="811">
        <f t="shared" si="2"/>
        <v>36</v>
      </c>
      <c r="AH82" s="812"/>
      <c r="AI82" s="810">
        <v>39</v>
      </c>
      <c r="AJ82" s="811">
        <f>SUM(AH82:AI82)</f>
        <v>39</v>
      </c>
      <c r="AK82" s="812">
        <v>38</v>
      </c>
      <c r="AL82" s="810">
        <v>37</v>
      </c>
      <c r="AM82" s="811">
        <f>SUM(AK82:AL82)</f>
        <v>75</v>
      </c>
      <c r="AN82" s="812">
        <v>34</v>
      </c>
      <c r="AO82" s="810">
        <v>41</v>
      </c>
      <c r="AP82" s="811">
        <f>SUM(AN82:AO82)</f>
        <v>75</v>
      </c>
      <c r="AQ82" s="812">
        <v>36</v>
      </c>
      <c r="AR82" s="810">
        <v>41</v>
      </c>
      <c r="AS82" s="811">
        <f>SUM(AQ82:AR82)</f>
        <v>77</v>
      </c>
      <c r="AT82" s="812">
        <v>35</v>
      </c>
      <c r="AU82" s="810">
        <v>38</v>
      </c>
      <c r="AV82" s="802">
        <f>SUM(AT82:AU82)</f>
        <v>73</v>
      </c>
    </row>
    <row r="83" spans="1:48" s="186" customFormat="1" ht="15" customHeight="1" x14ac:dyDescent="0.25">
      <c r="A83" s="5659"/>
      <c r="B83" s="5649"/>
      <c r="C83" s="4475" t="s">
        <v>160</v>
      </c>
      <c r="D83" s="4476"/>
      <c r="E83" s="4494"/>
      <c r="F83" s="4478"/>
      <c r="G83" s="4476"/>
      <c r="H83" s="4494"/>
      <c r="I83" s="4478"/>
      <c r="J83" s="4476">
        <f t="shared" ref="J83:AG83" si="75">SUM(J79:J82)</f>
        <v>0</v>
      </c>
      <c r="K83" s="4494">
        <f t="shared" si="75"/>
        <v>134</v>
      </c>
      <c r="L83" s="4478">
        <f t="shared" si="75"/>
        <v>134</v>
      </c>
      <c r="M83" s="4476">
        <f t="shared" si="75"/>
        <v>0</v>
      </c>
      <c r="N83" s="4494">
        <f t="shared" si="75"/>
        <v>52</v>
      </c>
      <c r="O83" s="4478">
        <f t="shared" si="75"/>
        <v>52</v>
      </c>
      <c r="P83" s="4476">
        <f t="shared" si="75"/>
        <v>0</v>
      </c>
      <c r="Q83" s="4494">
        <f t="shared" si="75"/>
        <v>137</v>
      </c>
      <c r="R83" s="4478">
        <f t="shared" si="75"/>
        <v>137</v>
      </c>
      <c r="S83" s="4476">
        <f t="shared" si="75"/>
        <v>0</v>
      </c>
      <c r="T83" s="4494">
        <f t="shared" si="75"/>
        <v>122</v>
      </c>
      <c r="U83" s="4478">
        <f t="shared" si="75"/>
        <v>122</v>
      </c>
      <c r="V83" s="4476">
        <f t="shared" si="75"/>
        <v>0</v>
      </c>
      <c r="W83" s="4494">
        <f t="shared" si="75"/>
        <v>90</v>
      </c>
      <c r="X83" s="4478">
        <f t="shared" si="75"/>
        <v>90</v>
      </c>
      <c r="Y83" s="4476">
        <f t="shared" si="75"/>
        <v>0</v>
      </c>
      <c r="Z83" s="4494">
        <f t="shared" si="75"/>
        <v>116</v>
      </c>
      <c r="AA83" s="4478">
        <f t="shared" si="75"/>
        <v>116</v>
      </c>
      <c r="AB83" s="4476">
        <f t="shared" si="75"/>
        <v>0</v>
      </c>
      <c r="AC83" s="4494">
        <f t="shared" si="75"/>
        <v>105</v>
      </c>
      <c r="AD83" s="4478">
        <f t="shared" si="75"/>
        <v>105</v>
      </c>
      <c r="AE83" s="4476">
        <f t="shared" si="75"/>
        <v>0</v>
      </c>
      <c r="AF83" s="4494">
        <f t="shared" si="75"/>
        <v>106</v>
      </c>
      <c r="AG83" s="4478">
        <f t="shared" si="75"/>
        <v>106</v>
      </c>
      <c r="AH83" s="4476">
        <f t="shared" ref="AH83:AM83" si="76">SUM(AH79:AH82)</f>
        <v>0</v>
      </c>
      <c r="AI83" s="4477">
        <f t="shared" si="76"/>
        <v>123</v>
      </c>
      <c r="AJ83" s="4478">
        <f t="shared" si="76"/>
        <v>123</v>
      </c>
      <c r="AK83" s="4479">
        <f t="shared" si="76"/>
        <v>105</v>
      </c>
      <c r="AL83" s="4480">
        <f t="shared" si="76"/>
        <v>122</v>
      </c>
      <c r="AM83" s="4478">
        <f t="shared" si="76"/>
        <v>227</v>
      </c>
      <c r="AN83" s="4479">
        <f t="shared" ref="AN83:AV83" si="77">SUM(AN79:AN82)</f>
        <v>104</v>
      </c>
      <c r="AO83" s="4480">
        <f t="shared" si="77"/>
        <v>171</v>
      </c>
      <c r="AP83" s="4478">
        <f t="shared" si="77"/>
        <v>275</v>
      </c>
      <c r="AQ83" s="4479">
        <f t="shared" si="77"/>
        <v>107</v>
      </c>
      <c r="AR83" s="4480">
        <f t="shared" si="77"/>
        <v>161</v>
      </c>
      <c r="AS83" s="4478">
        <f t="shared" si="77"/>
        <v>268</v>
      </c>
      <c r="AT83" s="4479">
        <f t="shared" si="77"/>
        <v>107</v>
      </c>
      <c r="AU83" s="4480">
        <f t="shared" si="77"/>
        <v>159</v>
      </c>
      <c r="AV83" s="4478">
        <f t="shared" si="77"/>
        <v>266</v>
      </c>
    </row>
    <row r="84" spans="1:48" s="186" customFormat="1" ht="15" customHeight="1" x14ac:dyDescent="0.25">
      <c r="A84" s="5659"/>
      <c r="B84" s="5647" t="s">
        <v>9</v>
      </c>
      <c r="C84" s="4481" t="s">
        <v>497</v>
      </c>
      <c r="D84" s="4495"/>
      <c r="E84" s="4496"/>
      <c r="F84" s="4484"/>
      <c r="G84" s="4495"/>
      <c r="H84" s="4496"/>
      <c r="I84" s="4484"/>
      <c r="J84" s="4482"/>
      <c r="K84" s="4483">
        <v>41</v>
      </c>
      <c r="L84" s="4484">
        <f t="shared" si="70"/>
        <v>41</v>
      </c>
      <c r="M84" s="4482"/>
      <c r="N84" s="4483">
        <v>37</v>
      </c>
      <c r="O84" s="4484">
        <f t="shared" si="71"/>
        <v>37</v>
      </c>
      <c r="P84" s="4482"/>
      <c r="Q84" s="4483">
        <v>67</v>
      </c>
      <c r="R84" s="4484">
        <f t="shared" si="72"/>
        <v>67</v>
      </c>
      <c r="S84" s="4482"/>
      <c r="T84" s="4483">
        <v>59</v>
      </c>
      <c r="U84" s="4484">
        <f t="shared" si="73"/>
        <v>59</v>
      </c>
      <c r="V84" s="4482"/>
      <c r="W84" s="4483">
        <v>30</v>
      </c>
      <c r="X84" s="4484">
        <f t="shared" si="74"/>
        <v>30</v>
      </c>
      <c r="Y84" s="4482"/>
      <c r="Z84" s="4483">
        <v>46</v>
      </c>
      <c r="AA84" s="4484">
        <f t="shared" si="59"/>
        <v>46</v>
      </c>
      <c r="AB84" s="4482"/>
      <c r="AC84" s="4483">
        <v>49</v>
      </c>
      <c r="AD84" s="4484">
        <f t="shared" si="60"/>
        <v>49</v>
      </c>
      <c r="AE84" s="4482"/>
      <c r="AF84" s="4483">
        <v>48</v>
      </c>
      <c r="AG84" s="4484">
        <f t="shared" ref="AG84:AG100" si="78">SUM(AE84:AF84)</f>
        <v>48</v>
      </c>
      <c r="AH84" s="4482"/>
      <c r="AI84" s="4483">
        <v>50</v>
      </c>
      <c r="AJ84" s="4484">
        <f>SUM(AH84:AI84)</f>
        <v>50</v>
      </c>
      <c r="AK84" s="4485"/>
      <c r="AL84" s="4483">
        <v>64</v>
      </c>
      <c r="AM84" s="4484">
        <f>SUM(AK84:AL84)</f>
        <v>64</v>
      </c>
      <c r="AN84" s="4485"/>
      <c r="AO84" s="4483">
        <v>71</v>
      </c>
      <c r="AP84" s="4484">
        <f>SUM(AN84:AO84)</f>
        <v>71</v>
      </c>
      <c r="AQ84" s="4485"/>
      <c r="AR84" s="4483">
        <v>84</v>
      </c>
      <c r="AS84" s="4484">
        <f>SUM(AQ84:AR84)</f>
        <v>84</v>
      </c>
      <c r="AT84" s="4485"/>
      <c r="AU84" s="4483">
        <v>82</v>
      </c>
      <c r="AV84" s="4484">
        <f>SUM(AT84:AU84)</f>
        <v>82</v>
      </c>
    </row>
    <row r="85" spans="1:48" s="186" customFormat="1" ht="15" customHeight="1" x14ac:dyDescent="0.2">
      <c r="A85" s="5659"/>
      <c r="B85" s="5648"/>
      <c r="C85" s="799" t="s">
        <v>498</v>
      </c>
      <c r="D85" s="805"/>
      <c r="E85" s="806"/>
      <c r="F85" s="802"/>
      <c r="G85" s="837"/>
      <c r="H85" s="806"/>
      <c r="I85" s="802"/>
      <c r="J85" s="805"/>
      <c r="K85" s="807"/>
      <c r="L85" s="802">
        <f t="shared" si="70"/>
        <v>0</v>
      </c>
      <c r="M85" s="805"/>
      <c r="N85" s="807"/>
      <c r="O85" s="802">
        <f t="shared" si="71"/>
        <v>0</v>
      </c>
      <c r="P85" s="805"/>
      <c r="Q85" s="807">
        <v>30</v>
      </c>
      <c r="R85" s="802">
        <f t="shared" si="72"/>
        <v>30</v>
      </c>
      <c r="S85" s="805"/>
      <c r="T85" s="807">
        <v>28</v>
      </c>
      <c r="U85" s="802">
        <f t="shared" si="73"/>
        <v>28</v>
      </c>
      <c r="V85" s="805"/>
      <c r="W85" s="807">
        <v>49</v>
      </c>
      <c r="X85" s="802">
        <f t="shared" si="74"/>
        <v>49</v>
      </c>
      <c r="Y85" s="805"/>
      <c r="Z85" s="807">
        <v>45</v>
      </c>
      <c r="AA85" s="802">
        <f t="shared" si="59"/>
        <v>45</v>
      </c>
      <c r="AB85" s="805"/>
      <c r="AC85" s="807">
        <v>49</v>
      </c>
      <c r="AD85" s="802">
        <f t="shared" si="60"/>
        <v>49</v>
      </c>
      <c r="AE85" s="805"/>
      <c r="AF85" s="807">
        <v>44</v>
      </c>
      <c r="AG85" s="802">
        <f t="shared" si="78"/>
        <v>44</v>
      </c>
      <c r="AH85" s="805"/>
      <c r="AI85" s="807">
        <v>49</v>
      </c>
      <c r="AJ85" s="802">
        <f>SUM(AH85:AI85)</f>
        <v>49</v>
      </c>
      <c r="AK85" s="805"/>
      <c r="AL85" s="807">
        <v>48</v>
      </c>
      <c r="AM85" s="802">
        <f>SUM(AK85:AL85)</f>
        <v>48</v>
      </c>
      <c r="AN85" s="805"/>
      <c r="AO85" s="807">
        <v>61</v>
      </c>
      <c r="AP85" s="802">
        <f>SUM(AN85:AO85)</f>
        <v>61</v>
      </c>
      <c r="AQ85" s="805"/>
      <c r="AR85" s="807">
        <v>63</v>
      </c>
      <c r="AS85" s="802">
        <f>SUM(AQ85:AR85)</f>
        <v>63</v>
      </c>
      <c r="AT85" s="805"/>
      <c r="AU85" s="807">
        <v>67</v>
      </c>
      <c r="AV85" s="802">
        <f>SUM(AT85:AU85)</f>
        <v>67</v>
      </c>
    </row>
    <row r="86" spans="1:48" s="186" customFormat="1" ht="15" customHeight="1" x14ac:dyDescent="0.25">
      <c r="A86" s="5659"/>
      <c r="B86" s="5648"/>
      <c r="C86" s="808" t="s">
        <v>499</v>
      </c>
      <c r="D86" s="809"/>
      <c r="E86" s="840"/>
      <c r="F86" s="811"/>
      <c r="G86" s="841"/>
      <c r="H86" s="840"/>
      <c r="I86" s="811"/>
      <c r="J86" s="809"/>
      <c r="K86" s="810"/>
      <c r="L86" s="811">
        <f t="shared" si="70"/>
        <v>0</v>
      </c>
      <c r="M86" s="809"/>
      <c r="N86" s="810"/>
      <c r="O86" s="811">
        <f t="shared" si="71"/>
        <v>0</v>
      </c>
      <c r="P86" s="809"/>
      <c r="Q86" s="810">
        <v>66</v>
      </c>
      <c r="R86" s="811">
        <f t="shared" si="72"/>
        <v>66</v>
      </c>
      <c r="S86" s="809"/>
      <c r="T86" s="810">
        <v>57</v>
      </c>
      <c r="U86" s="811">
        <f t="shared" si="73"/>
        <v>57</v>
      </c>
      <c r="V86" s="809"/>
      <c r="W86" s="810">
        <v>43</v>
      </c>
      <c r="X86" s="811">
        <f t="shared" si="74"/>
        <v>43</v>
      </c>
      <c r="Y86" s="809"/>
      <c r="Z86" s="810">
        <v>46</v>
      </c>
      <c r="AA86" s="811">
        <f t="shared" si="59"/>
        <v>46</v>
      </c>
      <c r="AB86" s="812"/>
      <c r="AC86" s="810">
        <v>60</v>
      </c>
      <c r="AD86" s="811">
        <f t="shared" si="60"/>
        <v>60</v>
      </c>
      <c r="AE86" s="812"/>
      <c r="AF86" s="810">
        <v>61</v>
      </c>
      <c r="AG86" s="811">
        <f t="shared" si="78"/>
        <v>61</v>
      </c>
      <c r="AH86" s="812"/>
      <c r="AI86" s="810">
        <v>59</v>
      </c>
      <c r="AJ86" s="811">
        <f>SUM(AH86:AI86)</f>
        <v>59</v>
      </c>
      <c r="AK86" s="812"/>
      <c r="AL86" s="810">
        <v>77</v>
      </c>
      <c r="AM86" s="811">
        <f>SUM(AK86:AL86)</f>
        <v>77</v>
      </c>
      <c r="AN86" s="812"/>
      <c r="AO86" s="810">
        <v>102</v>
      </c>
      <c r="AP86" s="811">
        <f>SUM(AN86:AO86)</f>
        <v>102</v>
      </c>
      <c r="AQ86" s="812"/>
      <c r="AR86" s="810">
        <v>104</v>
      </c>
      <c r="AS86" s="811">
        <f>SUM(AQ86:AR86)</f>
        <v>104</v>
      </c>
      <c r="AT86" s="812"/>
      <c r="AU86" s="810">
        <v>108</v>
      </c>
      <c r="AV86" s="811">
        <f>SUM(AT86:AU86)</f>
        <v>108</v>
      </c>
    </row>
    <row r="87" spans="1:48" s="186" customFormat="1" ht="15" customHeight="1" x14ac:dyDescent="0.25">
      <c r="A87" s="5659"/>
      <c r="B87" s="5649"/>
      <c r="C87" s="4475" t="s">
        <v>160</v>
      </c>
      <c r="D87" s="4476"/>
      <c r="E87" s="4494"/>
      <c r="F87" s="4478"/>
      <c r="G87" s="4476"/>
      <c r="H87" s="4494"/>
      <c r="I87" s="4478"/>
      <c r="J87" s="4476">
        <f t="shared" ref="J87:AG87" si="79">SUM(J84:J86)</f>
        <v>0</v>
      </c>
      <c r="K87" s="4494">
        <f t="shared" si="79"/>
        <v>41</v>
      </c>
      <c r="L87" s="4478">
        <f t="shared" si="79"/>
        <v>41</v>
      </c>
      <c r="M87" s="4476">
        <f t="shared" si="79"/>
        <v>0</v>
      </c>
      <c r="N87" s="4494">
        <f t="shared" si="79"/>
        <v>37</v>
      </c>
      <c r="O87" s="4478">
        <f t="shared" si="79"/>
        <v>37</v>
      </c>
      <c r="P87" s="4476">
        <f t="shared" si="79"/>
        <v>0</v>
      </c>
      <c r="Q87" s="4494">
        <f t="shared" si="79"/>
        <v>163</v>
      </c>
      <c r="R87" s="4478">
        <f t="shared" si="79"/>
        <v>163</v>
      </c>
      <c r="S87" s="4476">
        <f t="shared" si="79"/>
        <v>0</v>
      </c>
      <c r="T87" s="4494">
        <f t="shared" si="79"/>
        <v>144</v>
      </c>
      <c r="U87" s="4478">
        <f t="shared" si="79"/>
        <v>144</v>
      </c>
      <c r="V87" s="4476">
        <f t="shared" si="79"/>
        <v>0</v>
      </c>
      <c r="W87" s="4494">
        <f t="shared" si="79"/>
        <v>122</v>
      </c>
      <c r="X87" s="4478">
        <f t="shared" si="79"/>
        <v>122</v>
      </c>
      <c r="Y87" s="4476">
        <f t="shared" si="79"/>
        <v>0</v>
      </c>
      <c r="Z87" s="4494">
        <f t="shared" si="79"/>
        <v>137</v>
      </c>
      <c r="AA87" s="4478">
        <f t="shared" si="79"/>
        <v>137</v>
      </c>
      <c r="AB87" s="4476">
        <f t="shared" si="79"/>
        <v>0</v>
      </c>
      <c r="AC87" s="4494">
        <f t="shared" si="79"/>
        <v>158</v>
      </c>
      <c r="AD87" s="4478">
        <f t="shared" si="79"/>
        <v>158</v>
      </c>
      <c r="AE87" s="4476">
        <f t="shared" si="79"/>
        <v>0</v>
      </c>
      <c r="AF87" s="4494">
        <f t="shared" si="79"/>
        <v>153</v>
      </c>
      <c r="AG87" s="4478">
        <f t="shared" si="79"/>
        <v>153</v>
      </c>
      <c r="AH87" s="4476">
        <f t="shared" ref="AH87:AM87" si="80">SUM(AH84:AH86)</f>
        <v>0</v>
      </c>
      <c r="AI87" s="4477">
        <f t="shared" si="80"/>
        <v>158</v>
      </c>
      <c r="AJ87" s="4478">
        <f t="shared" si="80"/>
        <v>158</v>
      </c>
      <c r="AK87" s="4479">
        <f t="shared" si="80"/>
        <v>0</v>
      </c>
      <c r="AL87" s="4480">
        <f t="shared" si="80"/>
        <v>189</v>
      </c>
      <c r="AM87" s="4478">
        <f t="shared" si="80"/>
        <v>189</v>
      </c>
      <c r="AN87" s="4479">
        <f>SUM(AN84:AN86)</f>
        <v>0</v>
      </c>
      <c r="AO87" s="4480">
        <f>SUM(AO84:AO86)</f>
        <v>234</v>
      </c>
      <c r="AP87" s="4478">
        <f>SUM(AP84:AP86)</f>
        <v>234</v>
      </c>
      <c r="AQ87" s="4479">
        <f>SUM(AQ84:AQ86)</f>
        <v>0</v>
      </c>
      <c r="AR87" s="4480">
        <v>251</v>
      </c>
      <c r="AS87" s="4478">
        <f>SUM(AS84:AS86)</f>
        <v>251</v>
      </c>
      <c r="AT87" s="4479">
        <f>SUM(AT84:AT86)</f>
        <v>0</v>
      </c>
      <c r="AU87" s="4480">
        <f>SUM(AU84:AU86)</f>
        <v>257</v>
      </c>
      <c r="AV87" s="4478">
        <f>SUM(AV84:AV86)</f>
        <v>257</v>
      </c>
    </row>
    <row r="88" spans="1:48" s="186" customFormat="1" ht="15" customHeight="1" x14ac:dyDescent="0.25">
      <c r="A88" s="5659"/>
      <c r="B88" s="5647" t="s">
        <v>74</v>
      </c>
      <c r="C88" s="4481" t="s">
        <v>455</v>
      </c>
      <c r="D88" s="4495"/>
      <c r="E88" s="4496"/>
      <c r="F88" s="4484"/>
      <c r="G88" s="4495"/>
      <c r="H88" s="4496"/>
      <c r="I88" s="4484"/>
      <c r="J88" s="4482"/>
      <c r="K88" s="4483">
        <v>62</v>
      </c>
      <c r="L88" s="4484">
        <f t="shared" si="70"/>
        <v>62</v>
      </c>
      <c r="M88" s="4482"/>
      <c r="N88" s="4483">
        <v>26</v>
      </c>
      <c r="O88" s="4484">
        <f t="shared" si="71"/>
        <v>26</v>
      </c>
      <c r="P88" s="4482"/>
      <c r="Q88" s="4483">
        <v>53</v>
      </c>
      <c r="R88" s="4484">
        <f t="shared" si="72"/>
        <v>53</v>
      </c>
      <c r="S88" s="4482"/>
      <c r="T88" s="4483">
        <v>78</v>
      </c>
      <c r="U88" s="4484">
        <f t="shared" si="73"/>
        <v>78</v>
      </c>
      <c r="V88" s="4482"/>
      <c r="W88" s="4483">
        <v>41</v>
      </c>
      <c r="X88" s="4484">
        <f t="shared" si="74"/>
        <v>41</v>
      </c>
      <c r="Y88" s="4482"/>
      <c r="Z88" s="4483">
        <v>43</v>
      </c>
      <c r="AA88" s="4484">
        <f t="shared" si="59"/>
        <v>43</v>
      </c>
      <c r="AB88" s="4482"/>
      <c r="AC88" s="4483">
        <v>50</v>
      </c>
      <c r="AD88" s="4484">
        <f t="shared" si="60"/>
        <v>50</v>
      </c>
      <c r="AE88" s="4482"/>
      <c r="AF88" s="4483">
        <v>43</v>
      </c>
      <c r="AG88" s="4484">
        <f t="shared" si="78"/>
        <v>43</v>
      </c>
      <c r="AH88" s="4482"/>
      <c r="AI88" s="4483">
        <v>67</v>
      </c>
      <c r="AJ88" s="4484">
        <f>SUM(AH88:AI88)</f>
        <v>67</v>
      </c>
      <c r="AK88" s="4485"/>
      <c r="AL88" s="4483">
        <v>83</v>
      </c>
      <c r="AM88" s="4484">
        <f>SUM(AK88:AL88)</f>
        <v>83</v>
      </c>
      <c r="AN88" s="4485"/>
      <c r="AO88" s="4483">
        <v>72</v>
      </c>
      <c r="AP88" s="4484">
        <f>SUM(AN88:AO88)</f>
        <v>72</v>
      </c>
      <c r="AQ88" s="4485"/>
      <c r="AR88" s="4483">
        <v>85</v>
      </c>
      <c r="AS88" s="4484">
        <f>SUM(AQ88:AR88)</f>
        <v>85</v>
      </c>
      <c r="AT88" s="4485"/>
      <c r="AU88" s="4483">
        <v>90</v>
      </c>
      <c r="AV88" s="4484">
        <f>SUM(AT88:AU88)</f>
        <v>90</v>
      </c>
    </row>
    <row r="89" spans="1:48" s="186" customFormat="1" ht="15" customHeight="1" x14ac:dyDescent="0.25">
      <c r="A89" s="5659"/>
      <c r="B89" s="5648"/>
      <c r="C89" s="799" t="s">
        <v>500</v>
      </c>
      <c r="D89" s="805"/>
      <c r="E89" s="806"/>
      <c r="F89" s="802"/>
      <c r="G89" s="837"/>
      <c r="H89" s="806"/>
      <c r="I89" s="802"/>
      <c r="J89" s="805"/>
      <c r="K89" s="807">
        <v>15</v>
      </c>
      <c r="L89" s="802">
        <f t="shared" si="70"/>
        <v>15</v>
      </c>
      <c r="M89" s="805"/>
      <c r="N89" s="838">
        <v>8</v>
      </c>
      <c r="O89" s="802">
        <f t="shared" si="71"/>
        <v>8</v>
      </c>
      <c r="P89" s="805"/>
      <c r="Q89" s="807">
        <v>29</v>
      </c>
      <c r="R89" s="802">
        <f t="shared" si="72"/>
        <v>29</v>
      </c>
      <c r="S89" s="805"/>
      <c r="T89" s="807">
        <v>34</v>
      </c>
      <c r="U89" s="802">
        <f t="shared" si="73"/>
        <v>34</v>
      </c>
      <c r="V89" s="805"/>
      <c r="W89" s="807">
        <v>32</v>
      </c>
      <c r="X89" s="802">
        <f t="shared" si="74"/>
        <v>32</v>
      </c>
      <c r="Y89" s="805"/>
      <c r="Z89" s="807">
        <v>31</v>
      </c>
      <c r="AA89" s="802">
        <f t="shared" si="59"/>
        <v>31</v>
      </c>
      <c r="AB89" s="805"/>
      <c r="AC89" s="807">
        <v>42</v>
      </c>
      <c r="AD89" s="802">
        <f t="shared" si="60"/>
        <v>42</v>
      </c>
      <c r="AE89" s="805"/>
      <c r="AF89" s="807">
        <v>39</v>
      </c>
      <c r="AG89" s="802">
        <f t="shared" si="78"/>
        <v>39</v>
      </c>
      <c r="AH89" s="805"/>
      <c r="AI89" s="807">
        <v>43</v>
      </c>
      <c r="AJ89" s="802">
        <f>SUM(AH89:AI89)</f>
        <v>43</v>
      </c>
      <c r="AK89" s="805"/>
      <c r="AL89" s="807">
        <v>50</v>
      </c>
      <c r="AM89" s="802">
        <f>SUM(AK89:AL89)</f>
        <v>50</v>
      </c>
      <c r="AN89" s="805"/>
      <c r="AO89" s="807">
        <v>52</v>
      </c>
      <c r="AP89" s="802">
        <f>SUM(AN89:AO89)</f>
        <v>52</v>
      </c>
      <c r="AQ89" s="805"/>
      <c r="AR89" s="807">
        <v>52</v>
      </c>
      <c r="AS89" s="802">
        <f>SUM(AQ89:AR89)</f>
        <v>52</v>
      </c>
      <c r="AT89" s="805"/>
      <c r="AU89" s="807">
        <v>54</v>
      </c>
      <c r="AV89" s="802">
        <f>SUM(AT89:AU89)</f>
        <v>54</v>
      </c>
    </row>
    <row r="90" spans="1:48" s="186" customFormat="1" ht="15" customHeight="1" x14ac:dyDescent="0.25">
      <c r="A90" s="5659"/>
      <c r="B90" s="5648"/>
      <c r="C90" s="799" t="s">
        <v>501</v>
      </c>
      <c r="D90" s="805"/>
      <c r="E90" s="806"/>
      <c r="F90" s="802"/>
      <c r="G90" s="837"/>
      <c r="H90" s="806"/>
      <c r="I90" s="802"/>
      <c r="J90" s="805"/>
      <c r="K90" s="807"/>
      <c r="L90" s="802">
        <f t="shared" si="70"/>
        <v>0</v>
      </c>
      <c r="M90" s="805"/>
      <c r="N90" s="838"/>
      <c r="O90" s="802">
        <f t="shared" si="71"/>
        <v>0</v>
      </c>
      <c r="P90" s="805"/>
      <c r="Q90" s="807"/>
      <c r="R90" s="802">
        <f t="shared" si="72"/>
        <v>0</v>
      </c>
      <c r="S90" s="805"/>
      <c r="T90" s="807">
        <v>25</v>
      </c>
      <c r="U90" s="802">
        <f t="shared" si="73"/>
        <v>25</v>
      </c>
      <c r="V90" s="805"/>
      <c r="W90" s="807">
        <v>30</v>
      </c>
      <c r="X90" s="802">
        <f t="shared" si="74"/>
        <v>30</v>
      </c>
      <c r="Y90" s="805"/>
      <c r="Z90" s="807">
        <v>35</v>
      </c>
      <c r="AA90" s="802">
        <f t="shared" si="59"/>
        <v>35</v>
      </c>
      <c r="AB90" s="805"/>
      <c r="AC90" s="807">
        <v>20</v>
      </c>
      <c r="AD90" s="802">
        <f t="shared" si="60"/>
        <v>20</v>
      </c>
      <c r="AE90" s="805"/>
      <c r="AF90" s="807">
        <v>19</v>
      </c>
      <c r="AG90" s="802">
        <f t="shared" si="78"/>
        <v>19</v>
      </c>
      <c r="AH90" s="805"/>
      <c r="AI90" s="807">
        <v>40</v>
      </c>
      <c r="AJ90" s="802">
        <f>SUM(AH90:AI90)</f>
        <v>40</v>
      </c>
      <c r="AK90" s="805"/>
      <c r="AL90" s="807">
        <v>68</v>
      </c>
      <c r="AM90" s="802">
        <f>SUM(AK90:AL90)</f>
        <v>68</v>
      </c>
      <c r="AN90" s="805"/>
      <c r="AO90" s="807">
        <v>65</v>
      </c>
      <c r="AP90" s="802">
        <f>SUM(AN90:AO90)</f>
        <v>65</v>
      </c>
      <c r="AQ90" s="805"/>
      <c r="AR90" s="807">
        <v>86</v>
      </c>
      <c r="AS90" s="802">
        <f>SUM(AQ90:AR90)</f>
        <v>86</v>
      </c>
      <c r="AT90" s="805"/>
      <c r="AU90" s="807">
        <v>82</v>
      </c>
      <c r="AV90" s="802">
        <f>SUM(AT90:AU90)</f>
        <v>82</v>
      </c>
    </row>
    <row r="91" spans="1:48" s="186" customFormat="1" ht="15" customHeight="1" x14ac:dyDescent="0.25">
      <c r="A91" s="5659"/>
      <c r="B91" s="5648"/>
      <c r="C91" s="808" t="s">
        <v>502</v>
      </c>
      <c r="D91" s="809"/>
      <c r="E91" s="840"/>
      <c r="F91" s="811"/>
      <c r="G91" s="841"/>
      <c r="H91" s="840"/>
      <c r="I91" s="811"/>
      <c r="J91" s="809"/>
      <c r="K91" s="810"/>
      <c r="L91" s="811">
        <f t="shared" si="70"/>
        <v>0</v>
      </c>
      <c r="M91" s="809"/>
      <c r="N91" s="810"/>
      <c r="O91" s="811">
        <f t="shared" si="71"/>
        <v>0</v>
      </c>
      <c r="P91" s="809"/>
      <c r="Q91" s="810"/>
      <c r="R91" s="811">
        <f t="shared" si="72"/>
        <v>0</v>
      </c>
      <c r="S91" s="809"/>
      <c r="T91" s="810"/>
      <c r="U91" s="811">
        <f t="shared" si="73"/>
        <v>0</v>
      </c>
      <c r="V91" s="809"/>
      <c r="W91" s="810"/>
      <c r="X91" s="811">
        <f t="shared" si="74"/>
        <v>0</v>
      </c>
      <c r="Y91" s="809"/>
      <c r="Z91" s="810">
        <v>37</v>
      </c>
      <c r="AA91" s="811">
        <f t="shared" si="59"/>
        <v>37</v>
      </c>
      <c r="AB91" s="812"/>
      <c r="AC91" s="810">
        <v>54</v>
      </c>
      <c r="AD91" s="811">
        <f t="shared" si="60"/>
        <v>54</v>
      </c>
      <c r="AE91" s="812"/>
      <c r="AF91" s="810">
        <v>74</v>
      </c>
      <c r="AG91" s="811">
        <f t="shared" si="78"/>
        <v>74</v>
      </c>
      <c r="AH91" s="812"/>
      <c r="AI91" s="810">
        <v>72</v>
      </c>
      <c r="AJ91" s="811">
        <f>SUM(AH91:AI91)</f>
        <v>72</v>
      </c>
      <c r="AK91" s="812"/>
      <c r="AL91" s="810">
        <v>92</v>
      </c>
      <c r="AM91" s="811">
        <f>SUM(AK91:AL91)</f>
        <v>92</v>
      </c>
      <c r="AN91" s="812"/>
      <c r="AO91" s="810">
        <v>94</v>
      </c>
      <c r="AP91" s="811">
        <f>SUM(AN91:AO91)</f>
        <v>94</v>
      </c>
      <c r="AQ91" s="812"/>
      <c r="AR91" s="810">
        <v>87</v>
      </c>
      <c r="AS91" s="811">
        <f>SUM(AQ91:AR91)</f>
        <v>87</v>
      </c>
      <c r="AT91" s="812"/>
      <c r="AU91" s="810">
        <v>96</v>
      </c>
      <c r="AV91" s="811">
        <f>SUM(AT91:AU91)</f>
        <v>96</v>
      </c>
    </row>
    <row r="92" spans="1:48" s="186" customFormat="1" ht="15" customHeight="1" x14ac:dyDescent="0.25">
      <c r="A92" s="5659"/>
      <c r="B92" s="5649"/>
      <c r="C92" s="855" t="s">
        <v>160</v>
      </c>
      <c r="D92" s="856"/>
      <c r="E92" s="857"/>
      <c r="F92" s="577"/>
      <c r="G92" s="856"/>
      <c r="H92" s="857"/>
      <c r="I92" s="577"/>
      <c r="J92" s="856">
        <f t="shared" ref="J92:AG92" si="81">SUM(J88:J91)</f>
        <v>0</v>
      </c>
      <c r="K92" s="857">
        <f t="shared" si="81"/>
        <v>77</v>
      </c>
      <c r="L92" s="577">
        <f t="shared" si="81"/>
        <v>77</v>
      </c>
      <c r="M92" s="856">
        <f t="shared" si="81"/>
        <v>0</v>
      </c>
      <c r="N92" s="857">
        <f t="shared" si="81"/>
        <v>34</v>
      </c>
      <c r="O92" s="577">
        <f t="shared" si="81"/>
        <v>34</v>
      </c>
      <c r="P92" s="856">
        <f t="shared" si="81"/>
        <v>0</v>
      </c>
      <c r="Q92" s="857">
        <f t="shared" si="81"/>
        <v>82</v>
      </c>
      <c r="R92" s="577">
        <f t="shared" si="81"/>
        <v>82</v>
      </c>
      <c r="S92" s="856">
        <f t="shared" si="81"/>
        <v>0</v>
      </c>
      <c r="T92" s="857">
        <f t="shared" si="81"/>
        <v>137</v>
      </c>
      <c r="U92" s="577">
        <f t="shared" si="81"/>
        <v>137</v>
      </c>
      <c r="V92" s="856">
        <f t="shared" si="81"/>
        <v>0</v>
      </c>
      <c r="W92" s="857">
        <f t="shared" si="81"/>
        <v>103</v>
      </c>
      <c r="X92" s="577">
        <f t="shared" si="81"/>
        <v>103</v>
      </c>
      <c r="Y92" s="856">
        <f t="shared" si="81"/>
        <v>0</v>
      </c>
      <c r="Z92" s="857">
        <f t="shared" si="81"/>
        <v>146</v>
      </c>
      <c r="AA92" s="577">
        <f t="shared" si="81"/>
        <v>146</v>
      </c>
      <c r="AB92" s="856">
        <f t="shared" si="81"/>
        <v>0</v>
      </c>
      <c r="AC92" s="857">
        <f t="shared" si="81"/>
        <v>166</v>
      </c>
      <c r="AD92" s="577">
        <f t="shared" si="81"/>
        <v>166</v>
      </c>
      <c r="AE92" s="856">
        <f t="shared" si="81"/>
        <v>0</v>
      </c>
      <c r="AF92" s="857">
        <f t="shared" si="81"/>
        <v>175</v>
      </c>
      <c r="AG92" s="577">
        <f t="shared" si="81"/>
        <v>175</v>
      </c>
      <c r="AH92" s="856">
        <f t="shared" ref="AH92:AM92" si="82">SUM(AH88:AH91)</f>
        <v>0</v>
      </c>
      <c r="AI92" s="1431">
        <f t="shared" si="82"/>
        <v>222</v>
      </c>
      <c r="AJ92" s="577">
        <f t="shared" si="82"/>
        <v>222</v>
      </c>
      <c r="AK92" s="1955">
        <f t="shared" si="82"/>
        <v>0</v>
      </c>
      <c r="AL92" s="1958">
        <f t="shared" si="82"/>
        <v>293</v>
      </c>
      <c r="AM92" s="577">
        <f t="shared" si="82"/>
        <v>293</v>
      </c>
      <c r="AN92" s="1955">
        <f t="shared" ref="AN92:AV92" si="83">SUM(AN88:AN91)</f>
        <v>0</v>
      </c>
      <c r="AO92" s="1958">
        <f t="shared" si="83"/>
        <v>283</v>
      </c>
      <c r="AP92" s="577">
        <f t="shared" si="83"/>
        <v>283</v>
      </c>
      <c r="AQ92" s="1955">
        <f t="shared" si="83"/>
        <v>0</v>
      </c>
      <c r="AR92" s="1958">
        <f t="shared" si="83"/>
        <v>310</v>
      </c>
      <c r="AS92" s="577">
        <f t="shared" si="83"/>
        <v>310</v>
      </c>
      <c r="AT92" s="1955">
        <f t="shared" si="83"/>
        <v>0</v>
      </c>
      <c r="AU92" s="1958">
        <f t="shared" si="83"/>
        <v>322</v>
      </c>
      <c r="AV92" s="577">
        <f t="shared" si="83"/>
        <v>322</v>
      </c>
    </row>
    <row r="93" spans="1:48" s="186" customFormat="1" ht="15" customHeight="1" x14ac:dyDescent="0.25">
      <c r="A93" s="5660"/>
      <c r="B93" s="3543"/>
      <c r="C93" s="2261" t="s">
        <v>444</v>
      </c>
      <c r="D93" s="2262"/>
      <c r="E93" s="2263"/>
      <c r="F93" s="2264"/>
      <c r="G93" s="2262"/>
      <c r="H93" s="2263"/>
      <c r="I93" s="2264"/>
      <c r="J93" s="2262">
        <f t="shared" ref="J93:AG93" si="84">SUM(J92,J87,J83)</f>
        <v>0</v>
      </c>
      <c r="K93" s="2263">
        <f t="shared" si="84"/>
        <v>252</v>
      </c>
      <c r="L93" s="2264">
        <f t="shared" si="84"/>
        <v>252</v>
      </c>
      <c r="M93" s="2262">
        <f t="shared" si="84"/>
        <v>0</v>
      </c>
      <c r="N93" s="2263">
        <f t="shared" si="84"/>
        <v>123</v>
      </c>
      <c r="O93" s="2264">
        <f t="shared" si="84"/>
        <v>123</v>
      </c>
      <c r="P93" s="2262">
        <f t="shared" si="84"/>
        <v>0</v>
      </c>
      <c r="Q93" s="2263">
        <f t="shared" si="84"/>
        <v>382</v>
      </c>
      <c r="R93" s="2264">
        <f t="shared" si="84"/>
        <v>382</v>
      </c>
      <c r="S93" s="2262">
        <f t="shared" si="84"/>
        <v>0</v>
      </c>
      <c r="T93" s="2263">
        <f t="shared" si="84"/>
        <v>403</v>
      </c>
      <c r="U93" s="2264">
        <f t="shared" si="84"/>
        <v>403</v>
      </c>
      <c r="V93" s="2262">
        <f t="shared" si="84"/>
        <v>0</v>
      </c>
      <c r="W93" s="2263">
        <f t="shared" si="84"/>
        <v>315</v>
      </c>
      <c r="X93" s="2264">
        <f t="shared" si="84"/>
        <v>315</v>
      </c>
      <c r="Y93" s="2262">
        <f t="shared" si="84"/>
        <v>0</v>
      </c>
      <c r="Z93" s="2263">
        <f t="shared" si="84"/>
        <v>399</v>
      </c>
      <c r="AA93" s="2264">
        <f t="shared" si="84"/>
        <v>399</v>
      </c>
      <c r="AB93" s="2262">
        <f t="shared" si="84"/>
        <v>0</v>
      </c>
      <c r="AC93" s="2263">
        <f t="shared" si="84"/>
        <v>429</v>
      </c>
      <c r="AD93" s="2264">
        <f t="shared" si="84"/>
        <v>429</v>
      </c>
      <c r="AE93" s="2262">
        <f t="shared" si="84"/>
        <v>0</v>
      </c>
      <c r="AF93" s="2263">
        <f t="shared" si="84"/>
        <v>434</v>
      </c>
      <c r="AG93" s="2264">
        <f t="shared" si="84"/>
        <v>434</v>
      </c>
      <c r="AH93" s="2262">
        <f t="shared" ref="AH93:AM93" si="85">SUM(AH92,AH87,AH83)</f>
        <v>0</v>
      </c>
      <c r="AI93" s="2263">
        <f t="shared" si="85"/>
        <v>503</v>
      </c>
      <c r="AJ93" s="2264">
        <f t="shared" si="85"/>
        <v>503</v>
      </c>
      <c r="AK93" s="2262">
        <f t="shared" si="85"/>
        <v>105</v>
      </c>
      <c r="AL93" s="2263">
        <f t="shared" si="85"/>
        <v>604</v>
      </c>
      <c r="AM93" s="2264">
        <f t="shared" si="85"/>
        <v>709</v>
      </c>
      <c r="AN93" s="2262">
        <f t="shared" ref="AN93:AV93" si="86">SUM(AN92,AN87,AN83)</f>
        <v>104</v>
      </c>
      <c r="AO93" s="2263">
        <f t="shared" si="86"/>
        <v>688</v>
      </c>
      <c r="AP93" s="2264">
        <f t="shared" si="86"/>
        <v>792</v>
      </c>
      <c r="AQ93" s="2262">
        <f t="shared" si="86"/>
        <v>107</v>
      </c>
      <c r="AR93" s="2263">
        <f t="shared" si="86"/>
        <v>722</v>
      </c>
      <c r="AS93" s="2264">
        <f t="shared" si="86"/>
        <v>829</v>
      </c>
      <c r="AT93" s="2262">
        <f t="shared" si="86"/>
        <v>107</v>
      </c>
      <c r="AU93" s="2263">
        <f t="shared" si="86"/>
        <v>738</v>
      </c>
      <c r="AV93" s="2264">
        <f t="shared" si="86"/>
        <v>845</v>
      </c>
    </row>
    <row r="94" spans="1:48" s="186" customFormat="1" ht="15" customHeight="1" x14ac:dyDescent="0.2">
      <c r="A94" s="5661" t="s">
        <v>408</v>
      </c>
      <c r="B94" s="5644" t="s">
        <v>5</v>
      </c>
      <c r="C94" s="4497" t="s">
        <v>503</v>
      </c>
      <c r="D94" s="4487"/>
      <c r="E94" s="4487"/>
      <c r="F94" s="4488"/>
      <c r="G94" s="1948"/>
      <c r="H94" s="4487"/>
      <c r="I94" s="4489"/>
      <c r="J94" s="4487"/>
      <c r="K94" s="4487"/>
      <c r="L94" s="4488"/>
      <c r="M94" s="1948"/>
      <c r="N94" s="4487"/>
      <c r="O94" s="4489"/>
      <c r="P94" s="4487"/>
      <c r="Q94" s="4487"/>
      <c r="R94" s="4488"/>
      <c r="S94" s="1948"/>
      <c r="T94" s="4487"/>
      <c r="U94" s="4489"/>
      <c r="V94" s="4487"/>
      <c r="W94" s="4487"/>
      <c r="X94" s="4488"/>
      <c r="Y94" s="1948"/>
      <c r="Z94" s="4487"/>
      <c r="AA94" s="4489"/>
      <c r="AB94" s="1948">
        <v>37</v>
      </c>
      <c r="AC94" s="4487">
        <v>40</v>
      </c>
      <c r="AD94" s="4489">
        <f t="shared" si="60"/>
        <v>77</v>
      </c>
      <c r="AE94" s="1948"/>
      <c r="AF94" s="4487">
        <v>32</v>
      </c>
      <c r="AG94" s="4489">
        <f t="shared" si="78"/>
        <v>32</v>
      </c>
      <c r="AH94" s="1948">
        <v>35</v>
      </c>
      <c r="AI94" s="4487">
        <v>38</v>
      </c>
      <c r="AJ94" s="4489">
        <f>SUM(AH94:AI94)</f>
        <v>73</v>
      </c>
      <c r="AK94" s="1948">
        <v>21</v>
      </c>
      <c r="AL94" s="4487">
        <v>35</v>
      </c>
      <c r="AM94" s="4489">
        <f>SUM(AK94:AL94)</f>
        <v>56</v>
      </c>
      <c r="AN94" s="1948">
        <v>23</v>
      </c>
      <c r="AO94" s="4487">
        <v>56</v>
      </c>
      <c r="AP94" s="4489">
        <f>SUM(AN94:AO94)</f>
        <v>79</v>
      </c>
      <c r="AQ94" s="1948">
        <v>19</v>
      </c>
      <c r="AR94" s="4487">
        <v>43</v>
      </c>
      <c r="AS94" s="4489">
        <f>SUM(AQ94:AR94)</f>
        <v>62</v>
      </c>
      <c r="AT94" s="1948">
        <v>24</v>
      </c>
      <c r="AU94" s="4487">
        <v>37</v>
      </c>
      <c r="AV94" s="4489">
        <f>SUM(AT94:AU94)</f>
        <v>61</v>
      </c>
    </row>
    <row r="95" spans="1:48" s="186" customFormat="1" ht="15" customHeight="1" x14ac:dyDescent="0.2">
      <c r="A95" s="5662"/>
      <c r="B95" s="5645"/>
      <c r="C95" s="808" t="s">
        <v>1579</v>
      </c>
      <c r="D95" s="5122"/>
      <c r="E95" s="5122"/>
      <c r="F95" s="585"/>
      <c r="G95" s="1956"/>
      <c r="H95" s="5122"/>
      <c r="I95" s="586"/>
      <c r="J95" s="5122"/>
      <c r="K95" s="5122"/>
      <c r="L95" s="585"/>
      <c r="M95" s="1956"/>
      <c r="N95" s="5122"/>
      <c r="O95" s="586"/>
      <c r="P95" s="5122"/>
      <c r="Q95" s="5122"/>
      <c r="R95" s="585"/>
      <c r="S95" s="1956"/>
      <c r="T95" s="5122"/>
      <c r="U95" s="586"/>
      <c r="V95" s="5122"/>
      <c r="W95" s="5122"/>
      <c r="X95" s="585"/>
      <c r="Y95" s="1956"/>
      <c r="Z95" s="5122"/>
      <c r="AA95" s="586"/>
      <c r="AB95" s="1956"/>
      <c r="AC95" s="5122"/>
      <c r="AD95" s="586"/>
      <c r="AE95" s="1956"/>
      <c r="AF95" s="5122"/>
      <c r="AG95" s="586"/>
      <c r="AH95" s="1956"/>
      <c r="AI95" s="5122"/>
      <c r="AJ95" s="586"/>
      <c r="AK95" s="1956"/>
      <c r="AL95" s="5122"/>
      <c r="AM95" s="586"/>
      <c r="AN95" s="1956"/>
      <c r="AO95" s="5122"/>
      <c r="AP95" s="586"/>
      <c r="AQ95" s="1956"/>
      <c r="AR95" s="5122"/>
      <c r="AS95" s="586"/>
      <c r="AT95" s="1956">
        <v>35</v>
      </c>
      <c r="AU95" s="5122">
        <v>38</v>
      </c>
      <c r="AV95" s="586">
        <f>SUM(AT95:AU95)</f>
        <v>73</v>
      </c>
    </row>
    <row r="96" spans="1:48" s="186" customFormat="1" ht="15" customHeight="1" x14ac:dyDescent="0.25">
      <c r="A96" s="5662"/>
      <c r="B96" s="5646"/>
      <c r="C96" s="4498" t="s">
        <v>160</v>
      </c>
      <c r="D96" s="4499"/>
      <c r="E96" s="4500"/>
      <c r="F96" s="4501"/>
      <c r="G96" s="4506"/>
      <c r="H96" s="4500"/>
      <c r="I96" s="4502"/>
      <c r="J96" s="4499"/>
      <c r="K96" s="4500"/>
      <c r="L96" s="4501"/>
      <c r="M96" s="4506"/>
      <c r="N96" s="4500"/>
      <c r="O96" s="4502"/>
      <c r="P96" s="4499"/>
      <c r="Q96" s="4500"/>
      <c r="R96" s="4501"/>
      <c r="S96" s="4506"/>
      <c r="T96" s="4500"/>
      <c r="U96" s="4502"/>
      <c r="V96" s="4499"/>
      <c r="W96" s="4500"/>
      <c r="X96" s="4501"/>
      <c r="Y96" s="4506"/>
      <c r="Z96" s="4500"/>
      <c r="AA96" s="4502"/>
      <c r="AB96" s="4476">
        <f>SUM(AB94)</f>
        <v>37</v>
      </c>
      <c r="AC96" s="4494">
        <f t="shared" ref="AC96:AS96" si="87">SUM(AC94)</f>
        <v>40</v>
      </c>
      <c r="AD96" s="4478">
        <f t="shared" si="87"/>
        <v>77</v>
      </c>
      <c r="AE96" s="4476">
        <f t="shared" si="87"/>
        <v>0</v>
      </c>
      <c r="AF96" s="4494">
        <f t="shared" si="87"/>
        <v>32</v>
      </c>
      <c r="AG96" s="4478">
        <f t="shared" si="87"/>
        <v>32</v>
      </c>
      <c r="AH96" s="4476">
        <f t="shared" si="87"/>
        <v>35</v>
      </c>
      <c r="AI96" s="4477">
        <f t="shared" si="87"/>
        <v>38</v>
      </c>
      <c r="AJ96" s="4478">
        <f t="shared" si="87"/>
        <v>73</v>
      </c>
      <c r="AK96" s="4479">
        <f t="shared" si="87"/>
        <v>21</v>
      </c>
      <c r="AL96" s="4480">
        <f t="shared" si="87"/>
        <v>35</v>
      </c>
      <c r="AM96" s="4478">
        <f t="shared" si="87"/>
        <v>56</v>
      </c>
      <c r="AN96" s="4479">
        <f t="shared" si="87"/>
        <v>23</v>
      </c>
      <c r="AO96" s="4480">
        <f t="shared" si="87"/>
        <v>56</v>
      </c>
      <c r="AP96" s="4478">
        <f t="shared" si="87"/>
        <v>79</v>
      </c>
      <c r="AQ96" s="4479">
        <f t="shared" si="87"/>
        <v>19</v>
      </c>
      <c r="AR96" s="4480">
        <f>SUM(AR94)</f>
        <v>43</v>
      </c>
      <c r="AS96" s="4478">
        <f t="shared" si="87"/>
        <v>62</v>
      </c>
      <c r="AT96" s="4479">
        <f>SUM(AT94:AT95)</f>
        <v>59</v>
      </c>
      <c r="AU96" s="4480">
        <f>SUM(AU94:AU95)</f>
        <v>75</v>
      </c>
      <c r="AV96" s="4478">
        <f>SUM(AV94:AV95)</f>
        <v>134</v>
      </c>
    </row>
    <row r="97" spans="1:48" s="186" customFormat="1" ht="15" customHeight="1" x14ac:dyDescent="0.25">
      <c r="A97" s="5662"/>
      <c r="B97" s="5680" t="s">
        <v>6</v>
      </c>
      <c r="C97" s="4481" t="s">
        <v>504</v>
      </c>
      <c r="D97" s="4495"/>
      <c r="E97" s="4496"/>
      <c r="F97" s="4503"/>
      <c r="G97" s="4495"/>
      <c r="H97" s="4496"/>
      <c r="I97" s="4484"/>
      <c r="J97" s="4483"/>
      <c r="K97" s="4483"/>
      <c r="L97" s="4503"/>
      <c r="M97" s="4482"/>
      <c r="N97" s="4483"/>
      <c r="O97" s="4484"/>
      <c r="P97" s="4483"/>
      <c r="Q97" s="4483"/>
      <c r="R97" s="4503"/>
      <c r="S97" s="4482"/>
      <c r="T97" s="4483"/>
      <c r="U97" s="4484"/>
      <c r="V97" s="4483"/>
      <c r="W97" s="4483"/>
      <c r="X97" s="4503"/>
      <c r="Y97" s="4482"/>
      <c r="Z97" s="4483"/>
      <c r="AA97" s="4484"/>
      <c r="AB97" s="4482">
        <v>38</v>
      </c>
      <c r="AC97" s="4483">
        <v>43</v>
      </c>
      <c r="AD97" s="4484">
        <f t="shared" si="60"/>
        <v>81</v>
      </c>
      <c r="AE97" s="4482"/>
      <c r="AF97" s="4483">
        <v>37</v>
      </c>
      <c r="AG97" s="4484">
        <f t="shared" si="78"/>
        <v>37</v>
      </c>
      <c r="AH97" s="4482">
        <v>27</v>
      </c>
      <c r="AI97" s="4483">
        <v>39</v>
      </c>
      <c r="AJ97" s="4484">
        <f>SUM(AH97:AI97)</f>
        <v>66</v>
      </c>
      <c r="AK97" s="4485"/>
      <c r="AL97" s="4483">
        <v>40</v>
      </c>
      <c r="AM97" s="4484">
        <f>SUM(AK97:AL97)</f>
        <v>40</v>
      </c>
      <c r="AN97" s="4485"/>
      <c r="AO97" s="4483">
        <v>50</v>
      </c>
      <c r="AP97" s="4484">
        <f>SUM(AN97:AO97)</f>
        <v>50</v>
      </c>
      <c r="AQ97" s="4485">
        <v>32</v>
      </c>
      <c r="AR97" s="4483">
        <v>42</v>
      </c>
      <c r="AS97" s="4484">
        <f>SUM(AQ97:AR97)</f>
        <v>74</v>
      </c>
      <c r="AT97" s="4485">
        <v>33</v>
      </c>
      <c r="AU97" s="4483">
        <v>46</v>
      </c>
      <c r="AV97" s="4484">
        <f>SUM(AT97:AU97)</f>
        <v>79</v>
      </c>
    </row>
    <row r="98" spans="1:48" s="186" customFormat="1" ht="15" customHeight="1" x14ac:dyDescent="0.2">
      <c r="A98" s="5662"/>
      <c r="B98" s="5645"/>
      <c r="C98" s="808" t="s">
        <v>612</v>
      </c>
      <c r="D98" s="809"/>
      <c r="E98" s="810"/>
      <c r="F98" s="1435"/>
      <c r="G98" s="809"/>
      <c r="H98" s="810"/>
      <c r="I98" s="811"/>
      <c r="J98" s="810"/>
      <c r="K98" s="810"/>
      <c r="L98" s="1435"/>
      <c r="M98" s="809"/>
      <c r="N98" s="810"/>
      <c r="O98" s="811"/>
      <c r="P98" s="810"/>
      <c r="Q98" s="810"/>
      <c r="R98" s="1435"/>
      <c r="S98" s="809"/>
      <c r="T98" s="810"/>
      <c r="U98" s="811"/>
      <c r="V98" s="810"/>
      <c r="W98" s="810"/>
      <c r="X98" s="1435"/>
      <c r="Y98" s="809"/>
      <c r="Z98" s="810"/>
      <c r="AA98" s="811"/>
      <c r="AB98" s="809"/>
      <c r="AC98" s="810"/>
      <c r="AD98" s="811"/>
      <c r="AE98" s="809"/>
      <c r="AF98" s="810"/>
      <c r="AG98" s="811"/>
      <c r="AH98" s="809"/>
      <c r="AI98" s="810">
        <v>22</v>
      </c>
      <c r="AJ98" s="802">
        <f>SUM(AH98:AI98)</f>
        <v>22</v>
      </c>
      <c r="AK98" s="809"/>
      <c r="AL98" s="810">
        <v>25</v>
      </c>
      <c r="AM98" s="802">
        <f>SUM(AK98:AL98)</f>
        <v>25</v>
      </c>
      <c r="AN98" s="809"/>
      <c r="AO98" s="810">
        <v>26</v>
      </c>
      <c r="AP98" s="802">
        <f>SUM(AN98:AO98)</f>
        <v>26</v>
      </c>
      <c r="AQ98" s="809"/>
      <c r="AR98" s="810">
        <v>31</v>
      </c>
      <c r="AS98" s="802">
        <f>SUM(AQ98:AR98)</f>
        <v>31</v>
      </c>
      <c r="AT98" s="809"/>
      <c r="AU98" s="810">
        <v>42</v>
      </c>
      <c r="AV98" s="802">
        <f>SUM(AT98:AU98)</f>
        <v>42</v>
      </c>
    </row>
    <row r="99" spans="1:48" s="186" customFormat="1" ht="15" customHeight="1" x14ac:dyDescent="0.25">
      <c r="A99" s="5662"/>
      <c r="B99" s="5646"/>
      <c r="C99" s="4475" t="s">
        <v>160</v>
      </c>
      <c r="D99" s="4476"/>
      <c r="E99" s="4494"/>
      <c r="F99" s="4504"/>
      <c r="G99" s="4476"/>
      <c r="H99" s="4494"/>
      <c r="I99" s="4478"/>
      <c r="J99" s="4507"/>
      <c r="K99" s="4494"/>
      <c r="L99" s="4504"/>
      <c r="M99" s="4476"/>
      <c r="N99" s="4494"/>
      <c r="O99" s="4478"/>
      <c r="P99" s="4507"/>
      <c r="Q99" s="4494"/>
      <c r="R99" s="4504"/>
      <c r="S99" s="4476"/>
      <c r="T99" s="4494"/>
      <c r="U99" s="4478"/>
      <c r="V99" s="4507"/>
      <c r="W99" s="4494"/>
      <c r="X99" s="4504"/>
      <c r="Y99" s="4476"/>
      <c r="Z99" s="4494"/>
      <c r="AA99" s="4478"/>
      <c r="AB99" s="4476">
        <f>SUM(AB97:AB98)</f>
        <v>38</v>
      </c>
      <c r="AC99" s="4494">
        <f t="shared" ref="AC99:AS99" si="88">SUM(AC97:AC98)</f>
        <v>43</v>
      </c>
      <c r="AD99" s="4478">
        <f t="shared" si="88"/>
        <v>81</v>
      </c>
      <c r="AE99" s="4476">
        <f t="shared" si="88"/>
        <v>0</v>
      </c>
      <c r="AF99" s="4494">
        <f t="shared" si="88"/>
        <v>37</v>
      </c>
      <c r="AG99" s="4478">
        <f t="shared" si="88"/>
        <v>37</v>
      </c>
      <c r="AH99" s="4476">
        <f t="shared" si="88"/>
        <v>27</v>
      </c>
      <c r="AI99" s="4477">
        <f t="shared" si="88"/>
        <v>61</v>
      </c>
      <c r="AJ99" s="4478">
        <f t="shared" si="88"/>
        <v>88</v>
      </c>
      <c r="AK99" s="4479">
        <f t="shared" si="88"/>
        <v>0</v>
      </c>
      <c r="AL99" s="4480">
        <f t="shared" si="88"/>
        <v>65</v>
      </c>
      <c r="AM99" s="4478">
        <f t="shared" si="88"/>
        <v>65</v>
      </c>
      <c r="AN99" s="4479">
        <f t="shared" si="88"/>
        <v>0</v>
      </c>
      <c r="AO99" s="4480">
        <f t="shared" si="88"/>
        <v>76</v>
      </c>
      <c r="AP99" s="4478">
        <f t="shared" si="88"/>
        <v>76</v>
      </c>
      <c r="AQ99" s="4479">
        <f t="shared" si="88"/>
        <v>32</v>
      </c>
      <c r="AR99" s="4480">
        <f>SUM(AR97:AR98)</f>
        <v>73</v>
      </c>
      <c r="AS99" s="4478">
        <f t="shared" si="88"/>
        <v>105</v>
      </c>
      <c r="AT99" s="4479">
        <f>SUM(AT97:AT98)</f>
        <v>33</v>
      </c>
      <c r="AU99" s="4480">
        <f>SUM(AU97:AU98)</f>
        <v>88</v>
      </c>
      <c r="AV99" s="4478">
        <f>SUM(AV97:AV98)</f>
        <v>121</v>
      </c>
    </row>
    <row r="100" spans="1:48" s="186" customFormat="1" ht="15" customHeight="1" x14ac:dyDescent="0.25">
      <c r="A100" s="5663"/>
      <c r="B100" s="5644" t="s">
        <v>11</v>
      </c>
      <c r="C100" s="4481" t="s">
        <v>505</v>
      </c>
      <c r="D100" s="4495"/>
      <c r="E100" s="4496"/>
      <c r="F100" s="4503"/>
      <c r="G100" s="4495"/>
      <c r="H100" s="4496"/>
      <c r="I100" s="4484"/>
      <c r="J100" s="4483"/>
      <c r="K100" s="4483"/>
      <c r="L100" s="4503"/>
      <c r="M100" s="4482"/>
      <c r="N100" s="4483"/>
      <c r="O100" s="4484"/>
      <c r="P100" s="4483"/>
      <c r="Q100" s="4483"/>
      <c r="R100" s="4503"/>
      <c r="S100" s="4482"/>
      <c r="T100" s="4483"/>
      <c r="U100" s="4484"/>
      <c r="V100" s="4483"/>
      <c r="W100" s="4483"/>
      <c r="X100" s="4503"/>
      <c r="Y100" s="4482"/>
      <c r="Z100" s="4483"/>
      <c r="AA100" s="4484"/>
      <c r="AB100" s="4482">
        <v>39</v>
      </c>
      <c r="AC100" s="4483">
        <v>41</v>
      </c>
      <c r="AD100" s="4484">
        <f t="shared" si="60"/>
        <v>80</v>
      </c>
      <c r="AE100" s="4482"/>
      <c r="AF100" s="4483">
        <v>38</v>
      </c>
      <c r="AG100" s="4484">
        <f t="shared" si="78"/>
        <v>38</v>
      </c>
      <c r="AH100" s="4482">
        <v>25</v>
      </c>
      <c r="AI100" s="4483">
        <v>48</v>
      </c>
      <c r="AJ100" s="4484">
        <f>SUM(AH100:AI100)</f>
        <v>73</v>
      </c>
      <c r="AK100" s="4485">
        <v>35</v>
      </c>
      <c r="AL100" s="4483">
        <v>31</v>
      </c>
      <c r="AM100" s="4484">
        <f>SUM(AK100:AL100)</f>
        <v>66</v>
      </c>
      <c r="AN100" s="4485">
        <v>38</v>
      </c>
      <c r="AO100" s="4483">
        <v>47</v>
      </c>
      <c r="AP100" s="4484">
        <f>SUM(AN100:AO100)</f>
        <v>85</v>
      </c>
      <c r="AQ100" s="4485">
        <v>33</v>
      </c>
      <c r="AR100" s="4483">
        <v>66</v>
      </c>
      <c r="AS100" s="4484">
        <f>SUM(AQ100:AR100)</f>
        <v>99</v>
      </c>
      <c r="AT100" s="4485">
        <v>47</v>
      </c>
      <c r="AU100" s="4483">
        <v>40</v>
      </c>
      <c r="AV100" s="4484">
        <f>SUM(AT100:AU100)</f>
        <v>87</v>
      </c>
    </row>
    <row r="101" spans="1:48" s="186" customFormat="1" ht="15" customHeight="1" x14ac:dyDescent="0.2">
      <c r="A101" s="5663"/>
      <c r="B101" s="5645"/>
      <c r="C101" s="808" t="s">
        <v>1582</v>
      </c>
      <c r="D101" s="809"/>
      <c r="E101" s="810"/>
      <c r="F101" s="1435"/>
      <c r="G101" s="809"/>
      <c r="H101" s="810"/>
      <c r="I101" s="811"/>
      <c r="J101" s="810"/>
      <c r="K101" s="810"/>
      <c r="L101" s="1435"/>
      <c r="M101" s="809"/>
      <c r="N101" s="810"/>
      <c r="O101" s="811"/>
      <c r="P101" s="810"/>
      <c r="Q101" s="810"/>
      <c r="R101" s="1435"/>
      <c r="S101" s="809"/>
      <c r="T101" s="810"/>
      <c r="U101" s="811"/>
      <c r="V101" s="810"/>
      <c r="W101" s="810"/>
      <c r="X101" s="1435"/>
      <c r="Y101" s="809"/>
      <c r="Z101" s="810"/>
      <c r="AA101" s="811"/>
      <c r="AB101" s="809"/>
      <c r="AC101" s="810"/>
      <c r="AD101" s="811"/>
      <c r="AE101" s="809"/>
      <c r="AF101" s="810"/>
      <c r="AG101" s="811"/>
      <c r="AH101" s="809"/>
      <c r="AI101" s="810"/>
      <c r="AJ101" s="802"/>
      <c r="AK101" s="809"/>
      <c r="AL101" s="810"/>
      <c r="AM101" s="802"/>
      <c r="AN101" s="809"/>
      <c r="AO101" s="810"/>
      <c r="AP101" s="802"/>
      <c r="AQ101" s="809"/>
      <c r="AR101" s="810"/>
      <c r="AS101" s="802"/>
      <c r="AT101" s="809"/>
      <c r="AU101" s="810">
        <v>38</v>
      </c>
      <c r="AV101" s="802">
        <f>SUM(AT101:AU101)</f>
        <v>38</v>
      </c>
    </row>
    <row r="102" spans="1:48" s="186" customFormat="1" ht="15" customHeight="1" x14ac:dyDescent="0.25">
      <c r="A102" s="5663"/>
      <c r="B102" s="5646"/>
      <c r="C102" s="4475" t="s">
        <v>160</v>
      </c>
      <c r="D102" s="1955"/>
      <c r="E102" s="1958"/>
      <c r="F102" s="576"/>
      <c r="G102" s="1955"/>
      <c r="H102" s="1958"/>
      <c r="I102" s="577"/>
      <c r="J102" s="1958"/>
      <c r="K102" s="1958"/>
      <c r="L102" s="576"/>
      <c r="M102" s="1955"/>
      <c r="N102" s="1958"/>
      <c r="O102" s="577"/>
      <c r="P102" s="1958"/>
      <c r="Q102" s="1958"/>
      <c r="R102" s="576"/>
      <c r="S102" s="1955"/>
      <c r="T102" s="1958"/>
      <c r="U102" s="577"/>
      <c r="V102" s="1958"/>
      <c r="W102" s="1958"/>
      <c r="X102" s="576"/>
      <c r="Y102" s="1955"/>
      <c r="Z102" s="1958"/>
      <c r="AA102" s="577"/>
      <c r="AB102" s="4476">
        <f>SUM(AB100)</f>
        <v>39</v>
      </c>
      <c r="AC102" s="4494">
        <f t="shared" ref="AC102:AS102" si="89">SUM(AC100)</f>
        <v>41</v>
      </c>
      <c r="AD102" s="4478">
        <f t="shared" si="89"/>
        <v>80</v>
      </c>
      <c r="AE102" s="4476">
        <f t="shared" si="89"/>
        <v>0</v>
      </c>
      <c r="AF102" s="4494">
        <f t="shared" si="89"/>
        <v>38</v>
      </c>
      <c r="AG102" s="4478">
        <f t="shared" si="89"/>
        <v>38</v>
      </c>
      <c r="AH102" s="4476">
        <f t="shared" si="89"/>
        <v>25</v>
      </c>
      <c r="AI102" s="4477">
        <f t="shared" si="89"/>
        <v>48</v>
      </c>
      <c r="AJ102" s="4478">
        <f t="shared" si="89"/>
        <v>73</v>
      </c>
      <c r="AK102" s="4479">
        <f t="shared" si="89"/>
        <v>35</v>
      </c>
      <c r="AL102" s="4480">
        <f t="shared" si="89"/>
        <v>31</v>
      </c>
      <c r="AM102" s="4478">
        <f t="shared" si="89"/>
        <v>66</v>
      </c>
      <c r="AN102" s="4479">
        <f t="shared" si="89"/>
        <v>38</v>
      </c>
      <c r="AO102" s="4480">
        <f t="shared" si="89"/>
        <v>47</v>
      </c>
      <c r="AP102" s="4478">
        <f t="shared" si="89"/>
        <v>85</v>
      </c>
      <c r="AQ102" s="4479">
        <f t="shared" si="89"/>
        <v>33</v>
      </c>
      <c r="AR102" s="4480">
        <f t="shared" si="89"/>
        <v>66</v>
      </c>
      <c r="AS102" s="4478">
        <f t="shared" si="89"/>
        <v>99</v>
      </c>
      <c r="AT102" s="4479">
        <f>SUM(AT100:AT101)</f>
        <v>47</v>
      </c>
      <c r="AU102" s="4480">
        <f>SUM(AU100:AU101)</f>
        <v>78</v>
      </c>
      <c r="AV102" s="4478">
        <f>SUM(AV100:AV101)</f>
        <v>125</v>
      </c>
    </row>
    <row r="103" spans="1:48" s="186" customFormat="1" ht="15" customHeight="1" x14ac:dyDescent="0.25">
      <c r="A103" s="5664"/>
      <c r="B103" s="3542"/>
      <c r="C103" s="2269" t="s">
        <v>444</v>
      </c>
      <c r="D103" s="2270"/>
      <c r="E103" s="2271"/>
      <c r="F103" s="2272"/>
      <c r="G103" s="2270"/>
      <c r="H103" s="2271"/>
      <c r="I103" s="2272"/>
      <c r="J103" s="2270"/>
      <c r="K103" s="2271"/>
      <c r="L103" s="2272"/>
      <c r="M103" s="2270"/>
      <c r="N103" s="2271"/>
      <c r="O103" s="2272"/>
      <c r="P103" s="2270"/>
      <c r="Q103" s="2271"/>
      <c r="R103" s="2272"/>
      <c r="S103" s="2270"/>
      <c r="T103" s="2271"/>
      <c r="U103" s="2272"/>
      <c r="V103" s="2270"/>
      <c r="W103" s="2271"/>
      <c r="X103" s="2272"/>
      <c r="Y103" s="2270"/>
      <c r="Z103" s="2271"/>
      <c r="AA103" s="4505"/>
      <c r="AB103" s="2270">
        <f>SUM(AB102,AB99,AB96)</f>
        <v>114</v>
      </c>
      <c r="AC103" s="2271">
        <f t="shared" ref="AC103:AS103" si="90">SUM(AC102,AC99,AC96)</f>
        <v>124</v>
      </c>
      <c r="AD103" s="2272">
        <f t="shared" si="90"/>
        <v>238</v>
      </c>
      <c r="AE103" s="2270">
        <f t="shared" si="90"/>
        <v>0</v>
      </c>
      <c r="AF103" s="2271">
        <f t="shared" si="90"/>
        <v>107</v>
      </c>
      <c r="AG103" s="2272">
        <f t="shared" si="90"/>
        <v>107</v>
      </c>
      <c r="AH103" s="2270">
        <f t="shared" si="90"/>
        <v>87</v>
      </c>
      <c r="AI103" s="2271">
        <f t="shared" si="90"/>
        <v>147</v>
      </c>
      <c r="AJ103" s="2272">
        <f t="shared" si="90"/>
        <v>234</v>
      </c>
      <c r="AK103" s="2270">
        <f t="shared" si="90"/>
        <v>56</v>
      </c>
      <c r="AL103" s="2271">
        <f t="shared" si="90"/>
        <v>131</v>
      </c>
      <c r="AM103" s="2272">
        <f t="shared" si="90"/>
        <v>187</v>
      </c>
      <c r="AN103" s="2270">
        <f t="shared" si="90"/>
        <v>61</v>
      </c>
      <c r="AO103" s="2271">
        <f t="shared" si="90"/>
        <v>179</v>
      </c>
      <c r="AP103" s="2272">
        <f t="shared" si="90"/>
        <v>240</v>
      </c>
      <c r="AQ103" s="2270">
        <f t="shared" si="90"/>
        <v>84</v>
      </c>
      <c r="AR103" s="2271">
        <f t="shared" si="90"/>
        <v>182</v>
      </c>
      <c r="AS103" s="2272">
        <f t="shared" si="90"/>
        <v>266</v>
      </c>
      <c r="AT103" s="2270">
        <f>SUM(AT96,AT99,AT102)</f>
        <v>139</v>
      </c>
      <c r="AU103" s="2271">
        <f>SUM(AU96,AU99,AU102)</f>
        <v>241</v>
      </c>
      <c r="AV103" s="2272">
        <f>SUM(AV96,AV99,AV102)</f>
        <v>380</v>
      </c>
    </row>
    <row r="104" spans="1:48" s="186" customFormat="1" ht="15" customHeight="1" x14ac:dyDescent="0.2"/>
    <row r="105" spans="1:48" s="197" customFormat="1" ht="15" x14ac:dyDescent="0.25">
      <c r="A105" s="5655" t="s">
        <v>76</v>
      </c>
      <c r="B105" s="5656"/>
      <c r="C105" s="5657"/>
      <c r="D105" s="861">
        <f>SUM(D25,D56,D78,D93,D103)</f>
        <v>3869</v>
      </c>
      <c r="E105" s="862">
        <f t="shared" ref="E105:AG105" si="91">SUM(E25,E56,E78,E93,E103)</f>
        <v>6460</v>
      </c>
      <c r="F105" s="863">
        <f t="shared" si="91"/>
        <v>10329</v>
      </c>
      <c r="G105" s="861">
        <f t="shared" si="91"/>
        <v>4715</v>
      </c>
      <c r="H105" s="862">
        <f t="shared" si="91"/>
        <v>6748</v>
      </c>
      <c r="I105" s="863">
        <f t="shared" si="91"/>
        <v>11463</v>
      </c>
      <c r="J105" s="861">
        <f t="shared" si="91"/>
        <v>4693</v>
      </c>
      <c r="K105" s="862">
        <f t="shared" si="91"/>
        <v>7671</v>
      </c>
      <c r="L105" s="863">
        <f t="shared" si="91"/>
        <v>12364</v>
      </c>
      <c r="M105" s="861">
        <f t="shared" si="91"/>
        <v>4471</v>
      </c>
      <c r="N105" s="862">
        <f t="shared" si="91"/>
        <v>7556</v>
      </c>
      <c r="O105" s="863">
        <f t="shared" si="91"/>
        <v>12027</v>
      </c>
      <c r="P105" s="861">
        <f t="shared" si="91"/>
        <v>4497</v>
      </c>
      <c r="Q105" s="862">
        <f t="shared" si="91"/>
        <v>7741</v>
      </c>
      <c r="R105" s="863">
        <f t="shared" si="91"/>
        <v>12238</v>
      </c>
      <c r="S105" s="861">
        <f t="shared" si="91"/>
        <v>4517</v>
      </c>
      <c r="T105" s="862">
        <f t="shared" si="91"/>
        <v>7187</v>
      </c>
      <c r="U105" s="863">
        <f t="shared" si="91"/>
        <v>11704</v>
      </c>
      <c r="V105" s="861">
        <f t="shared" si="91"/>
        <v>4454</v>
      </c>
      <c r="W105" s="862">
        <f t="shared" si="91"/>
        <v>7396</v>
      </c>
      <c r="X105" s="863">
        <f t="shared" si="91"/>
        <v>11850</v>
      </c>
      <c r="Y105" s="861">
        <f t="shared" si="91"/>
        <v>4582</v>
      </c>
      <c r="Z105" s="862">
        <f t="shared" si="91"/>
        <v>8065</v>
      </c>
      <c r="AA105" s="863">
        <f t="shared" si="91"/>
        <v>12647</v>
      </c>
      <c r="AB105" s="861">
        <f t="shared" si="91"/>
        <v>5043</v>
      </c>
      <c r="AC105" s="862">
        <f t="shared" si="91"/>
        <v>7670</v>
      </c>
      <c r="AD105" s="863">
        <f t="shared" si="91"/>
        <v>12713</v>
      </c>
      <c r="AE105" s="861">
        <f>SUM(AE25,AE56,AE78,AE93,AE103)</f>
        <v>4467</v>
      </c>
      <c r="AF105" s="862">
        <f t="shared" si="91"/>
        <v>7760</v>
      </c>
      <c r="AG105" s="863">
        <f t="shared" si="91"/>
        <v>12227</v>
      </c>
      <c r="AH105" s="861">
        <f t="shared" ref="AH105:AM105" si="92">SUM(AH25,AH56,AH78,AH93,AH103)</f>
        <v>4498</v>
      </c>
      <c r="AI105" s="862">
        <f t="shared" si="92"/>
        <v>7912</v>
      </c>
      <c r="AJ105" s="863">
        <f t="shared" si="92"/>
        <v>12410</v>
      </c>
      <c r="AK105" s="861">
        <f>SUM(AK25,AK56,AK78,AK93,AK103)</f>
        <v>4288</v>
      </c>
      <c r="AL105" s="862">
        <f t="shared" si="92"/>
        <v>7623</v>
      </c>
      <c r="AM105" s="863">
        <f t="shared" si="92"/>
        <v>11911</v>
      </c>
      <c r="AN105" s="861">
        <f t="shared" ref="AN105:AV105" si="93">SUM(AN25,AN56,AN78,AN93,AN103)</f>
        <v>4392</v>
      </c>
      <c r="AO105" s="862">
        <f t="shared" si="93"/>
        <v>7693</v>
      </c>
      <c r="AP105" s="863">
        <f t="shared" si="93"/>
        <v>12085</v>
      </c>
      <c r="AQ105" s="861">
        <f t="shared" si="93"/>
        <v>4504</v>
      </c>
      <c r="AR105" s="862">
        <f t="shared" si="93"/>
        <v>8442</v>
      </c>
      <c r="AS105" s="863">
        <f t="shared" si="93"/>
        <v>12946</v>
      </c>
      <c r="AT105" s="861">
        <f t="shared" si="93"/>
        <v>4591</v>
      </c>
      <c r="AU105" s="862">
        <f t="shared" si="93"/>
        <v>8418</v>
      </c>
      <c r="AV105" s="863">
        <f t="shared" si="93"/>
        <v>13009</v>
      </c>
    </row>
    <row r="106" spans="1:48" s="198" customFormat="1" ht="15" x14ac:dyDescent="0.25">
      <c r="B106" s="371" t="s">
        <v>1238</v>
      </c>
      <c r="C106" s="572"/>
      <c r="D106" s="573"/>
      <c r="E106" s="573"/>
      <c r="F106" s="573"/>
      <c r="G106" s="573"/>
      <c r="H106" s="573"/>
      <c r="I106" s="573"/>
      <c r="X106" s="399"/>
    </row>
    <row r="107" spans="1:48" x14ac:dyDescent="0.2">
      <c r="B107" s="240" t="s">
        <v>648</v>
      </c>
      <c r="C107" s="578"/>
      <c r="D107" s="578"/>
      <c r="E107" s="578"/>
      <c r="F107" s="578"/>
      <c r="G107" s="578"/>
      <c r="H107" s="578"/>
      <c r="I107" s="578"/>
    </row>
    <row r="108" spans="1:48" ht="13.5" x14ac:dyDescent="0.2">
      <c r="B108" s="5721"/>
      <c r="C108" s="5721"/>
      <c r="D108" s="5721"/>
      <c r="E108" s="5721"/>
    </row>
  </sheetData>
  <sheetProtection algorithmName="SHA-512" hashValue="UJeAWjGt9/GVx7UOCgv0L7PhTygUCTFjfEJa1QntKrhJ/8n1cjp2UueAGLlSb6r4W+Galmv86ERd0Qmur/aeUQ==" saltValue="dj4NKxkrG3tQ61Th8AOlEA==" spinCount="100000" sheet="1" objects="1" scenarios="1"/>
  <mergeCells count="41">
    <mergeCell ref="A1:C1"/>
    <mergeCell ref="A26:A56"/>
    <mergeCell ref="J3:L3"/>
    <mergeCell ref="M3:O3"/>
    <mergeCell ref="P3:R3"/>
    <mergeCell ref="A3:A4"/>
    <mergeCell ref="B3:B4"/>
    <mergeCell ref="C3:C4"/>
    <mergeCell ref="D3:F3"/>
    <mergeCell ref="B37:B48"/>
    <mergeCell ref="B5:B15"/>
    <mergeCell ref="B16:B20"/>
    <mergeCell ref="B21:B24"/>
    <mergeCell ref="A5:A25"/>
    <mergeCell ref="B26:B36"/>
    <mergeCell ref="B108:E108"/>
    <mergeCell ref="A105:C105"/>
    <mergeCell ref="A57:A78"/>
    <mergeCell ref="B57:B63"/>
    <mergeCell ref="B64:B72"/>
    <mergeCell ref="B73:B77"/>
    <mergeCell ref="A79:A93"/>
    <mergeCell ref="A94:A103"/>
    <mergeCell ref="B79:B83"/>
    <mergeCell ref="B84:B87"/>
    <mergeCell ref="B88:B92"/>
    <mergeCell ref="AT3:AV3"/>
    <mergeCell ref="AQ3:AS3"/>
    <mergeCell ref="B100:B102"/>
    <mergeCell ref="B94:B96"/>
    <mergeCell ref="AN3:AP3"/>
    <mergeCell ref="AK3:AM3"/>
    <mergeCell ref="B97:B99"/>
    <mergeCell ref="B49:B55"/>
    <mergeCell ref="G3:I3"/>
    <mergeCell ref="Y3:AA3"/>
    <mergeCell ref="AB3:AD3"/>
    <mergeCell ref="AE3:AG3"/>
    <mergeCell ref="S3:U3"/>
    <mergeCell ref="V3:X3"/>
    <mergeCell ref="AH3:AJ3"/>
  </mergeCells>
  <printOptions horizontalCentered="1" verticalCentered="1"/>
  <pageMargins left="0.43307086614173229" right="0.27559055118110237" top="0.31496062992125984" bottom="0.19685039370078741" header="0" footer="0.31496062992125984"/>
  <pageSetup scale="60" pageOrder="overThenDown" orientation="landscape" horizontalDpi="1200" verticalDpi="1200" r:id="rId1"/>
  <headerFooter alignWithMargins="0"/>
  <rowBreaks count="1" manualBreakCount="1">
    <brk id="56" max="16383" man="1"/>
  </rowBreaks>
  <colBreaks count="2" manualBreakCount="2">
    <brk id="21" max="1048575" man="1"/>
    <brk id="39" max="101" man="1"/>
  </colBreaks>
  <ignoredErrors>
    <ignoredError sqref="AD88:AD91 AA88:AA91 AA5:AA14 AA21:AA23 AA26:AA34 AA49:AA54 AA57:AA62 AA73:AA76 AA79:AA82 AD79:AD82 AO87 AO88:AP94" formulaRange="1"/>
    <ignoredError sqref="AD84:AD86 AA84:AA86 AA64:AA71 AA37:AA47 AA16:AA19 AP87 AO97:AP98 AT99:AV99 AR92:AT92 AV92" formula="1" formulaRange="1"/>
    <ignoredError sqref="AA83:AH83 AA87:AH87 AB84:AC86 AE84:AH86 AA63:AH63 AA72:AH72 AB64:AH71 AA36:AH36 AA48:AH48 AB37:AH47 AA15:AH15 AA20:AH20 AB16:AH19 AJ15:AJ20 AJ83:AJ87 AJ36:AJ48 AJ63:AJ72 AM15:AM20 AM36:AM48 AM63:AM72 AM83:AM87 AP83 AP63:AP72 AP36:AP48 AP15:AP20 AN87 L83:R87 AD96:AQ96 AD99:AQ99 AD97:AN98 AQ98 AS37:AS82 AS15:AS34 AS99 AS96 AS83:AS87 AS97:AS98 AR88:AV91 AR99 AR97:AR98 AT97:AV98 AR83:AR87 AT84:AV86 AR96 AT96:AV96 AR93:AV95 AT83 AV83 AT87 AV87" formula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K266"/>
  <sheetViews>
    <sheetView showGridLines="0" zoomScaleNormal="100" workbookViewId="0">
      <pane xSplit="3" ySplit="4" topLeftCell="D71" activePane="bottomRight" state="frozen"/>
      <selection pane="topRight" activeCell="D1" sqref="D1"/>
      <selection pane="bottomLeft" activeCell="A5" sqref="A5"/>
      <selection pane="bottomRight" activeCell="R12" sqref="R12"/>
    </sheetView>
  </sheetViews>
  <sheetFormatPr baseColWidth="10" defaultColWidth="5.7109375" defaultRowHeight="9" x14ac:dyDescent="0.15"/>
  <cols>
    <col min="1" max="1" width="8.5703125" style="2735" customWidth="1"/>
    <col min="2" max="2" width="8.140625" style="2735" bestFit="1" customWidth="1"/>
    <col min="3" max="3" width="45.42578125" style="2735" bestFit="1" customWidth="1"/>
    <col min="4" max="8" width="10.7109375" style="2735" customWidth="1"/>
    <col min="9" max="9" width="10.7109375" style="2736" customWidth="1"/>
    <col min="10" max="11" width="10.7109375" style="2735" customWidth="1"/>
    <col min="12" max="16384" width="5.7109375" style="2735"/>
  </cols>
  <sheetData>
    <row r="1" spans="1:11" ht="24" customHeight="1" x14ac:dyDescent="0.15">
      <c r="A1" s="3697" t="s">
        <v>1201</v>
      </c>
      <c r="I1" s="3698"/>
      <c r="J1" s="3699"/>
    </row>
    <row r="2" spans="1:11" ht="12" customHeight="1" x14ac:dyDescent="0.15">
      <c r="I2" s="3698"/>
      <c r="J2" s="3699"/>
    </row>
    <row r="3" spans="1:11" ht="15" x14ac:dyDescent="0.15">
      <c r="A3" s="6738" t="s">
        <v>51</v>
      </c>
      <c r="B3" s="6738" t="s">
        <v>685</v>
      </c>
      <c r="C3" s="6738" t="s">
        <v>816</v>
      </c>
      <c r="D3" s="6732">
        <v>2014</v>
      </c>
      <c r="E3" s="6733"/>
      <c r="F3" s="6664">
        <v>2015</v>
      </c>
      <c r="G3" s="6665"/>
      <c r="H3" s="6664">
        <v>2016</v>
      </c>
      <c r="I3" s="6665"/>
      <c r="J3" s="6664">
        <v>2017</v>
      </c>
      <c r="K3" s="6665"/>
    </row>
    <row r="4" spans="1:11" ht="12.75" customHeight="1" x14ac:dyDescent="0.15">
      <c r="A4" s="6739"/>
      <c r="B4" s="6739"/>
      <c r="C4" s="6739"/>
      <c r="D4" s="4064" t="s">
        <v>630</v>
      </c>
      <c r="E4" s="4065" t="s">
        <v>631</v>
      </c>
      <c r="F4" s="1326" t="s">
        <v>630</v>
      </c>
      <c r="G4" s="1327" t="s">
        <v>631</v>
      </c>
      <c r="H4" s="1326" t="s">
        <v>630</v>
      </c>
      <c r="I4" s="1327" t="s">
        <v>631</v>
      </c>
      <c r="J4" s="1326" t="s">
        <v>630</v>
      </c>
      <c r="K4" s="1327" t="s">
        <v>631</v>
      </c>
    </row>
    <row r="5" spans="1:11" ht="15" customHeight="1" x14ac:dyDescent="0.15">
      <c r="A5" s="6721" t="s">
        <v>161</v>
      </c>
      <c r="B5" s="6729" t="s">
        <v>5</v>
      </c>
      <c r="C5" s="4066" t="s">
        <v>446</v>
      </c>
      <c r="D5" s="1158">
        <v>38</v>
      </c>
      <c r="E5" s="1160">
        <v>38</v>
      </c>
      <c r="F5" s="1158">
        <v>15</v>
      </c>
      <c r="G5" s="1160">
        <v>53</v>
      </c>
      <c r="H5" s="1158">
        <v>6</v>
      </c>
      <c r="I5" s="1160">
        <v>15</v>
      </c>
      <c r="J5" s="1158">
        <v>3</v>
      </c>
      <c r="K5" s="1160">
        <v>3</v>
      </c>
    </row>
    <row r="6" spans="1:11" ht="15" customHeight="1" x14ac:dyDescent="0.15">
      <c r="A6" s="6722"/>
      <c r="B6" s="6729"/>
      <c r="C6" s="2737" t="s">
        <v>447</v>
      </c>
      <c r="D6" s="1161">
        <v>30</v>
      </c>
      <c r="E6" s="1163">
        <v>29</v>
      </c>
      <c r="F6" s="1161">
        <v>9</v>
      </c>
      <c r="G6" s="1163">
        <v>39</v>
      </c>
      <c r="H6" s="1161">
        <v>2</v>
      </c>
      <c r="I6" s="1163">
        <v>10</v>
      </c>
      <c r="J6" s="1161"/>
      <c r="K6" s="1163"/>
    </row>
    <row r="7" spans="1:11" ht="15" customHeight="1" x14ac:dyDescent="0.15">
      <c r="A7" s="6722"/>
      <c r="B7" s="6729"/>
      <c r="C7" s="2737" t="s">
        <v>506</v>
      </c>
      <c r="D7" s="1161">
        <v>4</v>
      </c>
      <c r="E7" s="1163">
        <v>4</v>
      </c>
      <c r="F7" s="1161">
        <v>1</v>
      </c>
      <c r="G7" s="1163">
        <v>5</v>
      </c>
      <c r="H7" s="1161">
        <v>2</v>
      </c>
      <c r="I7" s="1163">
        <v>11</v>
      </c>
      <c r="J7" s="1161">
        <v>1</v>
      </c>
      <c r="K7" s="1163">
        <v>1</v>
      </c>
    </row>
    <row r="8" spans="1:11" ht="15" customHeight="1" x14ac:dyDescent="0.15">
      <c r="A8" s="6722"/>
      <c r="B8" s="6729"/>
      <c r="C8" s="2737" t="s">
        <v>448</v>
      </c>
      <c r="D8" s="1161">
        <v>14</v>
      </c>
      <c r="E8" s="1163">
        <v>14</v>
      </c>
      <c r="F8" s="1161">
        <v>6</v>
      </c>
      <c r="G8" s="1163">
        <v>20</v>
      </c>
      <c r="H8" s="1161">
        <v>2</v>
      </c>
      <c r="I8" s="1163">
        <v>2</v>
      </c>
      <c r="J8" s="1161">
        <v>1</v>
      </c>
      <c r="K8" s="1163">
        <v>1</v>
      </c>
    </row>
    <row r="9" spans="1:11" ht="15" customHeight="1" x14ac:dyDescent="0.15">
      <c r="A9" s="6722"/>
      <c r="B9" s="6729"/>
      <c r="C9" s="2737" t="s">
        <v>454</v>
      </c>
      <c r="D9" s="1161">
        <v>29</v>
      </c>
      <c r="E9" s="1163">
        <v>29</v>
      </c>
      <c r="F9" s="1161">
        <v>11</v>
      </c>
      <c r="G9" s="1163">
        <v>40</v>
      </c>
      <c r="H9" s="1161">
        <v>7</v>
      </c>
      <c r="I9" s="1163">
        <v>11</v>
      </c>
      <c r="J9" s="1161"/>
      <c r="K9" s="1163"/>
    </row>
    <row r="10" spans="1:11" ht="15" customHeight="1" x14ac:dyDescent="0.15">
      <c r="A10" s="6722"/>
      <c r="B10" s="6729"/>
      <c r="C10" s="2737" t="s">
        <v>449</v>
      </c>
      <c r="D10" s="1161">
        <v>10</v>
      </c>
      <c r="E10" s="1163">
        <v>10</v>
      </c>
      <c r="F10" s="1161">
        <v>8</v>
      </c>
      <c r="G10" s="1163">
        <v>18</v>
      </c>
      <c r="H10" s="1161"/>
      <c r="I10" s="1163">
        <v>7</v>
      </c>
      <c r="J10" s="1161"/>
      <c r="K10" s="1163"/>
    </row>
    <row r="11" spans="1:11" ht="15" customHeight="1" x14ac:dyDescent="0.15">
      <c r="A11" s="6722"/>
      <c r="B11" s="6729"/>
      <c r="C11" s="2737" t="s">
        <v>450</v>
      </c>
      <c r="D11" s="1161">
        <v>24</v>
      </c>
      <c r="E11" s="1163">
        <v>24</v>
      </c>
      <c r="F11" s="1161">
        <v>11</v>
      </c>
      <c r="G11" s="1163">
        <v>35</v>
      </c>
      <c r="H11" s="1161">
        <v>4</v>
      </c>
      <c r="I11" s="1163">
        <v>9</v>
      </c>
      <c r="J11" s="1161">
        <v>1</v>
      </c>
      <c r="K11" s="1163">
        <v>1</v>
      </c>
    </row>
    <row r="12" spans="1:11" ht="15" customHeight="1" x14ac:dyDescent="0.15">
      <c r="A12" s="6722"/>
      <c r="B12" s="6729"/>
      <c r="C12" s="2737" t="s">
        <v>451</v>
      </c>
      <c r="D12" s="1161">
        <v>14</v>
      </c>
      <c r="E12" s="1163">
        <v>14</v>
      </c>
      <c r="F12" s="1161">
        <v>7</v>
      </c>
      <c r="G12" s="1163">
        <v>21</v>
      </c>
      <c r="H12" s="1161">
        <v>3</v>
      </c>
      <c r="I12" s="1163">
        <v>6</v>
      </c>
      <c r="J12" s="1161">
        <v>1</v>
      </c>
      <c r="K12" s="1163">
        <v>1</v>
      </c>
    </row>
    <row r="13" spans="1:11" ht="15" customHeight="1" x14ac:dyDescent="0.15">
      <c r="A13" s="6722"/>
      <c r="B13" s="6729"/>
      <c r="C13" s="2737" t="s">
        <v>452</v>
      </c>
      <c r="D13" s="1161">
        <v>3</v>
      </c>
      <c r="E13" s="1163">
        <v>3</v>
      </c>
      <c r="F13" s="1161">
        <v>5</v>
      </c>
      <c r="G13" s="1163">
        <v>8</v>
      </c>
      <c r="H13" s="1161">
        <v>1</v>
      </c>
      <c r="I13" s="1163">
        <v>6</v>
      </c>
      <c r="J13" s="1161">
        <v>1</v>
      </c>
      <c r="K13" s="1163">
        <v>1</v>
      </c>
    </row>
    <row r="14" spans="1:11" ht="15" customHeight="1" x14ac:dyDescent="0.15">
      <c r="A14" s="6722"/>
      <c r="B14" s="6729"/>
      <c r="C14" s="2737" t="s">
        <v>453</v>
      </c>
      <c r="D14" s="1161">
        <v>20</v>
      </c>
      <c r="E14" s="1163">
        <v>18</v>
      </c>
      <c r="F14" s="1161">
        <v>10</v>
      </c>
      <c r="G14" s="1163">
        <v>30</v>
      </c>
      <c r="H14" s="1161">
        <v>7</v>
      </c>
      <c r="I14" s="1163">
        <v>14</v>
      </c>
      <c r="J14" s="1161">
        <v>2</v>
      </c>
      <c r="K14" s="1163">
        <v>2</v>
      </c>
    </row>
    <row r="15" spans="1:11" ht="15" customHeight="1" x14ac:dyDescent="0.15">
      <c r="A15" s="6722"/>
      <c r="B15" s="6729"/>
      <c r="C15" s="2738" t="s">
        <v>160</v>
      </c>
      <c r="D15" s="4669">
        <f t="shared" ref="D15:I15" si="0">SUM(D5:D14)</f>
        <v>186</v>
      </c>
      <c r="E15" s="4670">
        <f t="shared" si="0"/>
        <v>183</v>
      </c>
      <c r="F15" s="4669">
        <f t="shared" si="0"/>
        <v>83</v>
      </c>
      <c r="G15" s="4670">
        <f t="shared" si="0"/>
        <v>269</v>
      </c>
      <c r="H15" s="4669">
        <f t="shared" si="0"/>
        <v>34</v>
      </c>
      <c r="I15" s="4670">
        <f t="shared" si="0"/>
        <v>91</v>
      </c>
      <c r="J15" s="4669">
        <f t="shared" ref="J15:K15" si="1">SUM(J5:J14)</f>
        <v>10</v>
      </c>
      <c r="K15" s="4670">
        <f t="shared" si="1"/>
        <v>10</v>
      </c>
    </row>
    <row r="16" spans="1:11" ht="15" customHeight="1" x14ac:dyDescent="0.15">
      <c r="A16" s="6722"/>
      <c r="B16" s="6729" t="s">
        <v>6</v>
      </c>
      <c r="C16" s="2737" t="s">
        <v>456</v>
      </c>
      <c r="D16" s="1161">
        <v>106</v>
      </c>
      <c r="E16" s="1163">
        <v>104</v>
      </c>
      <c r="F16" s="1161">
        <v>62</v>
      </c>
      <c r="G16" s="1163">
        <v>166</v>
      </c>
      <c r="H16" s="1161">
        <v>26</v>
      </c>
      <c r="I16" s="1163">
        <v>75</v>
      </c>
      <c r="J16" s="1161">
        <v>2</v>
      </c>
      <c r="K16" s="1163">
        <v>2</v>
      </c>
    </row>
    <row r="17" spans="1:11" ht="15" customHeight="1" x14ac:dyDescent="0.15">
      <c r="A17" s="6722"/>
      <c r="B17" s="6729"/>
      <c r="C17" s="2737" t="s">
        <v>457</v>
      </c>
      <c r="D17" s="1161">
        <v>182</v>
      </c>
      <c r="E17" s="1163">
        <v>182</v>
      </c>
      <c r="F17" s="1161">
        <v>135</v>
      </c>
      <c r="G17" s="1163">
        <v>317</v>
      </c>
      <c r="H17" s="1161">
        <v>19</v>
      </c>
      <c r="I17" s="1163">
        <v>136</v>
      </c>
      <c r="J17" s="1161">
        <v>1</v>
      </c>
      <c r="K17" s="1163">
        <v>1</v>
      </c>
    </row>
    <row r="18" spans="1:11" ht="15" customHeight="1" x14ac:dyDescent="0.15">
      <c r="A18" s="6722"/>
      <c r="B18" s="6729"/>
      <c r="C18" s="2737" t="s">
        <v>458</v>
      </c>
      <c r="D18" s="1161">
        <v>37</v>
      </c>
      <c r="E18" s="1163">
        <v>37</v>
      </c>
      <c r="F18" s="1161">
        <v>18</v>
      </c>
      <c r="G18" s="1163">
        <v>55</v>
      </c>
      <c r="H18" s="1161">
        <v>3</v>
      </c>
      <c r="I18" s="1163">
        <v>12</v>
      </c>
      <c r="J18" s="1161"/>
      <c r="K18" s="1163"/>
    </row>
    <row r="19" spans="1:11" ht="15" customHeight="1" x14ac:dyDescent="0.15">
      <c r="A19" s="6722"/>
      <c r="B19" s="6729"/>
      <c r="C19" s="2737" t="s">
        <v>459</v>
      </c>
      <c r="D19" s="1161">
        <v>50</v>
      </c>
      <c r="E19" s="1163">
        <v>50</v>
      </c>
      <c r="F19" s="1161">
        <v>45</v>
      </c>
      <c r="G19" s="1163">
        <v>95</v>
      </c>
      <c r="H19" s="1161">
        <v>7</v>
      </c>
      <c r="I19" s="1163">
        <v>41</v>
      </c>
      <c r="J19" s="1161">
        <v>1</v>
      </c>
      <c r="K19" s="1163">
        <v>1</v>
      </c>
    </row>
    <row r="20" spans="1:11" ht="15" customHeight="1" x14ac:dyDescent="0.15">
      <c r="A20" s="6722"/>
      <c r="B20" s="6729"/>
      <c r="C20" s="2738" t="s">
        <v>160</v>
      </c>
      <c r="D20" s="4669">
        <f t="shared" ref="D20:I20" si="2">SUM(D16:D19)</f>
        <v>375</v>
      </c>
      <c r="E20" s="4670">
        <f t="shared" si="2"/>
        <v>373</v>
      </c>
      <c r="F20" s="4669">
        <f t="shared" si="2"/>
        <v>260</v>
      </c>
      <c r="G20" s="4670">
        <f t="shared" si="2"/>
        <v>633</v>
      </c>
      <c r="H20" s="4669">
        <f t="shared" si="2"/>
        <v>55</v>
      </c>
      <c r="I20" s="4670">
        <f t="shared" si="2"/>
        <v>264</v>
      </c>
      <c r="J20" s="4669">
        <f t="shared" ref="J20:K20" si="3">SUM(J16:J19)</f>
        <v>4</v>
      </c>
      <c r="K20" s="4670">
        <f t="shared" si="3"/>
        <v>4</v>
      </c>
    </row>
    <row r="21" spans="1:11" ht="15" customHeight="1" x14ac:dyDescent="0.15">
      <c r="A21" s="6722"/>
      <c r="B21" s="6729" t="s">
        <v>7</v>
      </c>
      <c r="C21" s="2737" t="s">
        <v>460</v>
      </c>
      <c r="D21" s="1161">
        <v>51</v>
      </c>
      <c r="E21" s="1163">
        <v>48</v>
      </c>
      <c r="F21" s="1161">
        <v>25</v>
      </c>
      <c r="G21" s="1163">
        <v>76</v>
      </c>
      <c r="H21" s="1161">
        <v>10</v>
      </c>
      <c r="I21" s="1163">
        <v>28</v>
      </c>
      <c r="J21" s="1161">
        <v>1</v>
      </c>
      <c r="K21" s="1163">
        <v>1</v>
      </c>
    </row>
    <row r="22" spans="1:11" ht="15" customHeight="1" x14ac:dyDescent="0.15">
      <c r="A22" s="6722"/>
      <c r="B22" s="6729"/>
      <c r="C22" s="2737" t="s">
        <v>570</v>
      </c>
      <c r="D22" s="1161">
        <v>96</v>
      </c>
      <c r="E22" s="1163">
        <v>92</v>
      </c>
      <c r="F22" s="1161">
        <v>47</v>
      </c>
      <c r="G22" s="1163">
        <v>143</v>
      </c>
      <c r="H22" s="1161">
        <v>6</v>
      </c>
      <c r="I22" s="1163">
        <v>50</v>
      </c>
      <c r="J22" s="1161">
        <v>12</v>
      </c>
      <c r="K22" s="1163">
        <v>12</v>
      </c>
    </row>
    <row r="23" spans="1:11" ht="15" customHeight="1" x14ac:dyDescent="0.15">
      <c r="A23" s="6722"/>
      <c r="B23" s="6729"/>
      <c r="C23" s="2737" t="s">
        <v>462</v>
      </c>
      <c r="D23" s="1161">
        <v>32</v>
      </c>
      <c r="E23" s="1163">
        <v>31</v>
      </c>
      <c r="F23" s="1161">
        <v>29</v>
      </c>
      <c r="G23" s="1163">
        <v>61</v>
      </c>
      <c r="H23" s="1161">
        <v>12</v>
      </c>
      <c r="I23" s="1163">
        <v>39</v>
      </c>
      <c r="J23" s="1161">
        <v>5</v>
      </c>
      <c r="K23" s="1163">
        <v>5</v>
      </c>
    </row>
    <row r="24" spans="1:11" ht="15" customHeight="1" x14ac:dyDescent="0.15">
      <c r="A24" s="6722"/>
      <c r="B24" s="6729"/>
      <c r="C24" s="2740" t="s">
        <v>160</v>
      </c>
      <c r="D24" s="4671">
        <f t="shared" ref="D24:I24" si="4">SUM(D21:D23)</f>
        <v>179</v>
      </c>
      <c r="E24" s="4672">
        <f t="shared" si="4"/>
        <v>171</v>
      </c>
      <c r="F24" s="4671">
        <f t="shared" si="4"/>
        <v>101</v>
      </c>
      <c r="G24" s="4672">
        <f t="shared" si="4"/>
        <v>280</v>
      </c>
      <c r="H24" s="4671">
        <f t="shared" si="4"/>
        <v>28</v>
      </c>
      <c r="I24" s="4672">
        <f t="shared" si="4"/>
        <v>117</v>
      </c>
      <c r="J24" s="4671">
        <f t="shared" ref="J24:K24" si="5">SUM(J21:J23)</f>
        <v>18</v>
      </c>
      <c r="K24" s="4672">
        <f t="shared" si="5"/>
        <v>18</v>
      </c>
    </row>
    <row r="25" spans="1:11" ht="15" customHeight="1" x14ac:dyDescent="0.15">
      <c r="A25" s="6723"/>
      <c r="B25" s="6734" t="s">
        <v>444</v>
      </c>
      <c r="C25" s="6735"/>
      <c r="D25" s="4914">
        <f t="shared" ref="D25:I25" si="6">SUM(D24,D20,D15)</f>
        <v>740</v>
      </c>
      <c r="E25" s="4711">
        <f t="shared" si="6"/>
        <v>727</v>
      </c>
      <c r="F25" s="4914">
        <f t="shared" si="6"/>
        <v>444</v>
      </c>
      <c r="G25" s="4711">
        <f t="shared" si="6"/>
        <v>1182</v>
      </c>
      <c r="H25" s="4914">
        <f t="shared" si="6"/>
        <v>117</v>
      </c>
      <c r="I25" s="4711">
        <f t="shared" si="6"/>
        <v>472</v>
      </c>
      <c r="J25" s="4914">
        <f t="shared" ref="J25:K25" si="7">SUM(J24,J20,J15)</f>
        <v>32</v>
      </c>
      <c r="K25" s="4711">
        <f t="shared" si="7"/>
        <v>32</v>
      </c>
    </row>
    <row r="26" spans="1:11" ht="15" customHeight="1" x14ac:dyDescent="0.15">
      <c r="A26" s="6740" t="s">
        <v>162</v>
      </c>
      <c r="B26" s="6326" t="s">
        <v>5</v>
      </c>
      <c r="C26" s="1294" t="s">
        <v>469</v>
      </c>
      <c r="D26" s="1181">
        <v>6</v>
      </c>
      <c r="E26" s="1183">
        <v>6</v>
      </c>
      <c r="F26" s="1181">
        <v>2</v>
      </c>
      <c r="G26" s="1183">
        <v>8</v>
      </c>
      <c r="H26" s="1181">
        <v>0</v>
      </c>
      <c r="I26" s="1183">
        <v>1</v>
      </c>
      <c r="J26" s="1181"/>
      <c r="K26" s="1183"/>
    </row>
    <row r="27" spans="1:11" ht="15" customHeight="1" x14ac:dyDescent="0.15">
      <c r="A27" s="6741"/>
      <c r="B27" s="6309"/>
      <c r="C27" s="2737" t="s">
        <v>466</v>
      </c>
      <c r="D27" s="1161">
        <v>5</v>
      </c>
      <c r="E27" s="1163">
        <v>5</v>
      </c>
      <c r="F27" s="1161">
        <v>7</v>
      </c>
      <c r="G27" s="1163">
        <v>12</v>
      </c>
      <c r="H27" s="1161">
        <v>4</v>
      </c>
      <c r="I27" s="1163">
        <v>11</v>
      </c>
      <c r="J27" s="1161">
        <v>1</v>
      </c>
      <c r="K27" s="1163">
        <v>1</v>
      </c>
    </row>
    <row r="28" spans="1:11" ht="15" customHeight="1" x14ac:dyDescent="0.15">
      <c r="A28" s="6741"/>
      <c r="B28" s="6309"/>
      <c r="C28" s="2737" t="s">
        <v>463</v>
      </c>
      <c r="D28" s="1161">
        <v>2</v>
      </c>
      <c r="E28" s="1163">
        <v>2</v>
      </c>
      <c r="F28" s="1161">
        <v>3</v>
      </c>
      <c r="G28" s="1163">
        <v>5</v>
      </c>
      <c r="H28" s="1161">
        <v>3</v>
      </c>
      <c r="I28" s="1163">
        <v>6</v>
      </c>
      <c r="J28" s="1161">
        <v>1</v>
      </c>
      <c r="K28" s="1163">
        <v>1</v>
      </c>
    </row>
    <row r="29" spans="1:11" ht="15" customHeight="1" x14ac:dyDescent="0.15">
      <c r="A29" s="6741"/>
      <c r="B29" s="6309"/>
      <c r="C29" s="2737" t="s">
        <v>454</v>
      </c>
      <c r="D29" s="1161">
        <v>11</v>
      </c>
      <c r="E29" s="1163">
        <v>11</v>
      </c>
      <c r="F29" s="1161">
        <v>2</v>
      </c>
      <c r="G29" s="1163">
        <v>13</v>
      </c>
      <c r="H29" s="1161">
        <v>0</v>
      </c>
      <c r="I29" s="1163">
        <v>1</v>
      </c>
      <c r="J29" s="1161"/>
      <c r="K29" s="1163"/>
    </row>
    <row r="30" spans="1:11" ht="15" customHeight="1" x14ac:dyDescent="0.15">
      <c r="A30" s="6741"/>
      <c r="B30" s="6309"/>
      <c r="C30" s="2737" t="s">
        <v>465</v>
      </c>
      <c r="D30" s="1161">
        <v>11</v>
      </c>
      <c r="E30" s="1163">
        <v>11</v>
      </c>
      <c r="F30" s="1161">
        <v>6</v>
      </c>
      <c r="G30" s="1163">
        <v>17</v>
      </c>
      <c r="H30" s="1161">
        <v>1</v>
      </c>
      <c r="I30" s="1163">
        <v>5</v>
      </c>
      <c r="J30" s="1161"/>
      <c r="K30" s="1163"/>
    </row>
    <row r="31" spans="1:11" ht="15" customHeight="1" x14ac:dyDescent="0.15">
      <c r="A31" s="6741"/>
      <c r="B31" s="6309"/>
      <c r="C31" s="2737" t="s">
        <v>464</v>
      </c>
      <c r="D31" s="1161">
        <v>1</v>
      </c>
      <c r="E31" s="1163">
        <v>1</v>
      </c>
      <c r="F31" s="1161">
        <v>2</v>
      </c>
      <c r="G31" s="1163">
        <v>3</v>
      </c>
      <c r="H31" s="1161">
        <v>0</v>
      </c>
      <c r="I31" s="1163">
        <v>2</v>
      </c>
      <c r="J31" s="1161"/>
      <c r="K31" s="1163"/>
    </row>
    <row r="32" spans="1:11" ht="15" customHeight="1" x14ac:dyDescent="0.15">
      <c r="A32" s="6741"/>
      <c r="B32" s="6309"/>
      <c r="C32" s="2737" t="s">
        <v>453</v>
      </c>
      <c r="D32" s="1161">
        <v>10</v>
      </c>
      <c r="E32" s="1163">
        <v>10</v>
      </c>
      <c r="F32" s="1161">
        <v>3</v>
      </c>
      <c r="G32" s="1163">
        <v>13</v>
      </c>
      <c r="H32" s="1161">
        <v>1</v>
      </c>
      <c r="I32" s="1163">
        <v>3</v>
      </c>
      <c r="J32" s="1161">
        <v>1</v>
      </c>
      <c r="K32" s="1163">
        <v>1</v>
      </c>
    </row>
    <row r="33" spans="1:11" ht="15" customHeight="1" x14ac:dyDescent="0.15">
      <c r="A33" s="6741"/>
      <c r="B33" s="6309"/>
      <c r="C33" s="2737" t="s">
        <v>467</v>
      </c>
      <c r="D33" s="1161">
        <v>3</v>
      </c>
      <c r="E33" s="1163">
        <v>3</v>
      </c>
      <c r="F33" s="1161">
        <v>1</v>
      </c>
      <c r="G33" s="1163">
        <v>4</v>
      </c>
      <c r="H33" s="1161">
        <v>1</v>
      </c>
      <c r="I33" s="1163">
        <v>1</v>
      </c>
      <c r="J33" s="1161"/>
      <c r="K33" s="1163"/>
    </row>
    <row r="34" spans="1:11" ht="15" customHeight="1" x14ac:dyDescent="0.15">
      <c r="A34" s="6741"/>
      <c r="B34" s="6309"/>
      <c r="C34" s="2737" t="s">
        <v>468</v>
      </c>
      <c r="D34" s="1161">
        <v>3</v>
      </c>
      <c r="E34" s="1163">
        <v>3</v>
      </c>
      <c r="F34" s="1161">
        <v>3</v>
      </c>
      <c r="G34" s="1163">
        <v>6</v>
      </c>
      <c r="H34" s="1161">
        <v>2</v>
      </c>
      <c r="I34" s="1163">
        <v>5</v>
      </c>
      <c r="J34" s="1161"/>
      <c r="K34" s="1163"/>
    </row>
    <row r="35" spans="1:11" ht="15" customHeight="1" x14ac:dyDescent="0.15">
      <c r="A35" s="6741"/>
      <c r="B35" s="6310"/>
      <c r="C35" s="2738" t="s">
        <v>160</v>
      </c>
      <c r="D35" s="4669">
        <f t="shared" ref="D35:I35" si="8">SUM(D26:D34)</f>
        <v>52</v>
      </c>
      <c r="E35" s="4670">
        <f t="shared" si="8"/>
        <v>52</v>
      </c>
      <c r="F35" s="4669">
        <f t="shared" si="8"/>
        <v>29</v>
      </c>
      <c r="G35" s="4670">
        <f t="shared" si="8"/>
        <v>81</v>
      </c>
      <c r="H35" s="4669">
        <f t="shared" si="8"/>
        <v>12</v>
      </c>
      <c r="I35" s="4670">
        <f t="shared" si="8"/>
        <v>35</v>
      </c>
      <c r="J35" s="4669">
        <f t="shared" ref="J35:K35" si="9">SUM(J26:J34)</f>
        <v>3</v>
      </c>
      <c r="K35" s="4670">
        <f t="shared" si="9"/>
        <v>3</v>
      </c>
    </row>
    <row r="36" spans="1:11" ht="15" customHeight="1" x14ac:dyDescent="0.15">
      <c r="A36" s="6741"/>
      <c r="B36" s="6729" t="s">
        <v>6</v>
      </c>
      <c r="C36" s="2737" t="s">
        <v>456</v>
      </c>
      <c r="D36" s="1161">
        <v>100</v>
      </c>
      <c r="E36" s="1163">
        <v>99</v>
      </c>
      <c r="F36" s="1161">
        <v>78</v>
      </c>
      <c r="G36" s="1163">
        <v>178</v>
      </c>
      <c r="H36" s="1161">
        <v>6</v>
      </c>
      <c r="I36" s="1163">
        <v>73</v>
      </c>
      <c r="J36" s="1161">
        <v>1</v>
      </c>
      <c r="K36" s="1163">
        <v>1</v>
      </c>
    </row>
    <row r="37" spans="1:11" ht="15" customHeight="1" x14ac:dyDescent="0.15">
      <c r="A37" s="6741"/>
      <c r="B37" s="6729"/>
      <c r="C37" s="2737" t="s">
        <v>470</v>
      </c>
      <c r="D37" s="1161">
        <v>13</v>
      </c>
      <c r="E37" s="1163">
        <v>13</v>
      </c>
      <c r="F37" s="1161">
        <v>15</v>
      </c>
      <c r="G37" s="1163">
        <v>28</v>
      </c>
      <c r="H37" s="1161">
        <v>1</v>
      </c>
      <c r="I37" s="1163">
        <v>12</v>
      </c>
      <c r="J37" s="1161">
        <v>1</v>
      </c>
      <c r="K37" s="1163">
        <v>1</v>
      </c>
    </row>
    <row r="38" spans="1:11" ht="15" customHeight="1" x14ac:dyDescent="0.15">
      <c r="A38" s="6741"/>
      <c r="B38" s="6729"/>
      <c r="C38" s="2737" t="s">
        <v>475</v>
      </c>
      <c r="D38" s="1161">
        <v>38</v>
      </c>
      <c r="E38" s="1163">
        <v>37</v>
      </c>
      <c r="F38" s="1161">
        <v>34</v>
      </c>
      <c r="G38" s="1163">
        <v>72</v>
      </c>
      <c r="H38" s="1161">
        <v>7</v>
      </c>
      <c r="I38" s="1163">
        <v>34</v>
      </c>
      <c r="J38" s="1161">
        <v>2</v>
      </c>
      <c r="K38" s="1163">
        <v>2</v>
      </c>
    </row>
    <row r="39" spans="1:11" ht="15" customHeight="1" x14ac:dyDescent="0.15">
      <c r="A39" s="6741"/>
      <c r="B39" s="6729"/>
      <c r="C39" s="2737" t="s">
        <v>458</v>
      </c>
      <c r="D39" s="1161">
        <v>21</v>
      </c>
      <c r="E39" s="1163">
        <v>21</v>
      </c>
      <c r="F39" s="1161">
        <v>9</v>
      </c>
      <c r="G39" s="1163">
        <v>30</v>
      </c>
      <c r="H39" s="1161">
        <v>0</v>
      </c>
      <c r="I39" s="1163">
        <v>5</v>
      </c>
      <c r="J39" s="1161"/>
      <c r="K39" s="1163"/>
    </row>
    <row r="40" spans="1:11" ht="15" customHeight="1" x14ac:dyDescent="0.15">
      <c r="A40" s="6741"/>
      <c r="B40" s="6729"/>
      <c r="C40" s="2737" t="s">
        <v>472</v>
      </c>
      <c r="D40" s="1161">
        <v>18</v>
      </c>
      <c r="E40" s="1163">
        <v>18</v>
      </c>
      <c r="F40" s="1161">
        <v>8</v>
      </c>
      <c r="G40" s="1163">
        <v>26</v>
      </c>
      <c r="H40" s="1161">
        <v>0</v>
      </c>
      <c r="I40" s="1163">
        <v>5</v>
      </c>
      <c r="J40" s="1161">
        <v>1</v>
      </c>
      <c r="K40" s="1163">
        <v>1</v>
      </c>
    </row>
    <row r="41" spans="1:11" ht="15" customHeight="1" x14ac:dyDescent="0.15">
      <c r="A41" s="6741"/>
      <c r="B41" s="6729"/>
      <c r="C41" s="2737" t="s">
        <v>477</v>
      </c>
      <c r="D41" s="1161">
        <v>6</v>
      </c>
      <c r="E41" s="1163">
        <v>6</v>
      </c>
      <c r="F41" s="1161">
        <v>4</v>
      </c>
      <c r="G41" s="1163">
        <v>10</v>
      </c>
      <c r="H41" s="1161">
        <v>0</v>
      </c>
      <c r="I41" s="1163">
        <v>2</v>
      </c>
      <c r="J41" s="1161"/>
      <c r="K41" s="1163"/>
    </row>
    <row r="42" spans="1:11" ht="15" customHeight="1" x14ac:dyDescent="0.15">
      <c r="A42" s="6741"/>
      <c r="B42" s="6729"/>
      <c r="C42" s="2737" t="s">
        <v>473</v>
      </c>
      <c r="D42" s="1161">
        <v>22</v>
      </c>
      <c r="E42" s="1163">
        <v>22</v>
      </c>
      <c r="F42" s="1161">
        <v>11</v>
      </c>
      <c r="G42" s="1163">
        <v>33</v>
      </c>
      <c r="H42" s="1161">
        <v>1</v>
      </c>
      <c r="I42" s="1163">
        <v>11</v>
      </c>
      <c r="J42" s="1161">
        <v>2</v>
      </c>
      <c r="K42" s="1163">
        <v>2</v>
      </c>
    </row>
    <row r="43" spans="1:11" ht="15" customHeight="1" x14ac:dyDescent="0.15">
      <c r="A43" s="6741"/>
      <c r="B43" s="6729"/>
      <c r="C43" s="2737" t="s">
        <v>471</v>
      </c>
      <c r="D43" s="1161">
        <v>12</v>
      </c>
      <c r="E43" s="1163">
        <v>12</v>
      </c>
      <c r="F43" s="1161">
        <v>4</v>
      </c>
      <c r="G43" s="1163">
        <v>16</v>
      </c>
      <c r="H43" s="1161">
        <v>0</v>
      </c>
      <c r="I43" s="1163">
        <v>3</v>
      </c>
      <c r="J43" s="1161">
        <v>3</v>
      </c>
      <c r="K43" s="1163">
        <v>3</v>
      </c>
    </row>
    <row r="44" spans="1:11" ht="15" customHeight="1" x14ac:dyDescent="0.15">
      <c r="A44" s="6741"/>
      <c r="B44" s="6729"/>
      <c r="C44" s="2737" t="s">
        <v>474</v>
      </c>
      <c r="D44" s="1161">
        <v>7</v>
      </c>
      <c r="E44" s="1163">
        <v>7</v>
      </c>
      <c r="F44" s="1161">
        <v>8</v>
      </c>
      <c r="G44" s="1163">
        <v>15</v>
      </c>
      <c r="H44" s="1161">
        <v>1</v>
      </c>
      <c r="I44" s="1163">
        <v>8</v>
      </c>
      <c r="J44" s="1161">
        <v>1</v>
      </c>
      <c r="K44" s="1163">
        <v>1</v>
      </c>
    </row>
    <row r="45" spans="1:11" ht="15" customHeight="1" x14ac:dyDescent="0.15">
      <c r="A45" s="6741"/>
      <c r="B45" s="6729"/>
      <c r="C45" s="2737" t="s">
        <v>476</v>
      </c>
      <c r="D45" s="1161">
        <v>39</v>
      </c>
      <c r="E45" s="1163">
        <v>39</v>
      </c>
      <c r="F45" s="1161">
        <v>32</v>
      </c>
      <c r="G45" s="1163">
        <v>71</v>
      </c>
      <c r="H45" s="1161">
        <v>2</v>
      </c>
      <c r="I45" s="1163">
        <v>33</v>
      </c>
      <c r="J45" s="1161">
        <v>1</v>
      </c>
      <c r="K45" s="1163">
        <v>1</v>
      </c>
    </row>
    <row r="46" spans="1:11" ht="15" customHeight="1" x14ac:dyDescent="0.15">
      <c r="A46" s="6741"/>
      <c r="B46" s="6729"/>
      <c r="C46" s="2737" t="s">
        <v>459</v>
      </c>
      <c r="D46" s="1161">
        <v>32</v>
      </c>
      <c r="E46" s="1163">
        <v>32</v>
      </c>
      <c r="F46" s="1161">
        <v>14</v>
      </c>
      <c r="G46" s="1163">
        <v>46</v>
      </c>
      <c r="H46" s="1161">
        <v>4</v>
      </c>
      <c r="I46" s="1163">
        <v>17</v>
      </c>
      <c r="J46" s="1161"/>
      <c r="K46" s="1163"/>
    </row>
    <row r="47" spans="1:11" ht="15" customHeight="1" x14ac:dyDescent="0.15">
      <c r="A47" s="6741"/>
      <c r="B47" s="6729"/>
      <c r="C47" s="2738" t="s">
        <v>160</v>
      </c>
      <c r="D47" s="4669">
        <f t="shared" ref="D47:I47" si="10">SUM(D36:D46)</f>
        <v>308</v>
      </c>
      <c r="E47" s="4670">
        <f t="shared" si="10"/>
        <v>306</v>
      </c>
      <c r="F47" s="4669">
        <f t="shared" si="10"/>
        <v>217</v>
      </c>
      <c r="G47" s="4670">
        <f t="shared" si="10"/>
        <v>525</v>
      </c>
      <c r="H47" s="4669">
        <f t="shared" si="10"/>
        <v>22</v>
      </c>
      <c r="I47" s="4670">
        <f t="shared" si="10"/>
        <v>203</v>
      </c>
      <c r="J47" s="4669">
        <f t="shared" ref="J47:K47" si="11">SUM(J36:J46)</f>
        <v>12</v>
      </c>
      <c r="K47" s="4670">
        <f t="shared" si="11"/>
        <v>12</v>
      </c>
    </row>
    <row r="48" spans="1:11" ht="15" customHeight="1" x14ac:dyDescent="0.15">
      <c r="A48" s="6741"/>
      <c r="B48" s="6729" t="s">
        <v>11</v>
      </c>
      <c r="C48" s="2737" t="s">
        <v>478</v>
      </c>
      <c r="D48" s="1161">
        <v>39</v>
      </c>
      <c r="E48" s="1163">
        <v>39</v>
      </c>
      <c r="F48" s="1161">
        <v>10</v>
      </c>
      <c r="G48" s="1163">
        <v>49</v>
      </c>
      <c r="H48" s="1161">
        <v>0</v>
      </c>
      <c r="I48" s="1163">
        <v>9</v>
      </c>
      <c r="J48" s="1161">
        <v>2</v>
      </c>
      <c r="K48" s="1163">
        <v>2</v>
      </c>
    </row>
    <row r="49" spans="1:11" ht="15" customHeight="1" x14ac:dyDescent="0.15">
      <c r="A49" s="6741"/>
      <c r="B49" s="6729"/>
      <c r="C49" s="2737" t="s">
        <v>479</v>
      </c>
      <c r="D49" s="1161">
        <v>18</v>
      </c>
      <c r="E49" s="1163">
        <v>18</v>
      </c>
      <c r="F49" s="1161">
        <v>18</v>
      </c>
      <c r="G49" s="1163">
        <v>36</v>
      </c>
      <c r="H49" s="1161">
        <v>3</v>
      </c>
      <c r="I49" s="1163">
        <v>12</v>
      </c>
      <c r="J49" s="1161"/>
      <c r="K49" s="1163"/>
    </row>
    <row r="50" spans="1:11" ht="15" customHeight="1" x14ac:dyDescent="0.15">
      <c r="A50" s="6741"/>
      <c r="B50" s="6729"/>
      <c r="C50" s="2737" t="s">
        <v>480</v>
      </c>
      <c r="D50" s="1161">
        <v>1</v>
      </c>
      <c r="E50" s="1163">
        <v>1</v>
      </c>
      <c r="F50" s="1161">
        <v>6</v>
      </c>
      <c r="G50" s="1163">
        <v>7</v>
      </c>
      <c r="H50" s="1161">
        <v>5</v>
      </c>
      <c r="I50" s="1163">
        <v>9</v>
      </c>
      <c r="J50" s="1161"/>
      <c r="K50" s="1163"/>
    </row>
    <row r="51" spans="1:11" ht="15" customHeight="1" x14ac:dyDescent="0.15">
      <c r="A51" s="6741"/>
      <c r="B51" s="6729"/>
      <c r="C51" s="2737" t="s">
        <v>482</v>
      </c>
      <c r="D51" s="1161">
        <v>36</v>
      </c>
      <c r="E51" s="1163">
        <v>35</v>
      </c>
      <c r="F51" s="1161">
        <v>10</v>
      </c>
      <c r="G51" s="1163">
        <v>46</v>
      </c>
      <c r="H51" s="1161">
        <v>1</v>
      </c>
      <c r="I51" s="1163">
        <v>7</v>
      </c>
      <c r="J51" s="1161"/>
      <c r="K51" s="1163"/>
    </row>
    <row r="52" spans="1:11" ht="15" customHeight="1" x14ac:dyDescent="0.15">
      <c r="A52" s="6741"/>
      <c r="B52" s="6729"/>
      <c r="C52" s="2737" t="s">
        <v>483</v>
      </c>
      <c r="D52" s="1161">
        <v>19</v>
      </c>
      <c r="E52" s="1163">
        <v>19</v>
      </c>
      <c r="F52" s="1161">
        <v>4</v>
      </c>
      <c r="G52" s="1163">
        <v>23</v>
      </c>
      <c r="H52" s="1161">
        <v>1</v>
      </c>
      <c r="I52" s="1163">
        <v>3</v>
      </c>
      <c r="J52" s="1161">
        <v>1</v>
      </c>
      <c r="K52" s="1163">
        <v>1</v>
      </c>
    </row>
    <row r="53" spans="1:11" ht="15" customHeight="1" x14ac:dyDescent="0.15">
      <c r="A53" s="6741"/>
      <c r="B53" s="6729"/>
      <c r="C53" s="2737" t="s">
        <v>481</v>
      </c>
      <c r="D53" s="1161">
        <v>3</v>
      </c>
      <c r="E53" s="1163">
        <v>3</v>
      </c>
      <c r="F53" s="1161">
        <v>9</v>
      </c>
      <c r="G53" s="1163">
        <v>12</v>
      </c>
      <c r="H53" s="1161">
        <v>0</v>
      </c>
      <c r="I53" s="1163">
        <v>9</v>
      </c>
      <c r="J53" s="1161"/>
      <c r="K53" s="1163"/>
    </row>
    <row r="54" spans="1:11" ht="15" customHeight="1" x14ac:dyDescent="0.15">
      <c r="A54" s="6741"/>
      <c r="B54" s="6326"/>
      <c r="C54" s="2740" t="s">
        <v>160</v>
      </c>
      <c r="D54" s="4671">
        <f t="shared" ref="D54:I54" si="12">SUM(D48:D53)</f>
        <v>116</v>
      </c>
      <c r="E54" s="4672">
        <f t="shared" si="12"/>
        <v>115</v>
      </c>
      <c r="F54" s="4671">
        <f t="shared" si="12"/>
        <v>57</v>
      </c>
      <c r="G54" s="4672">
        <f t="shared" si="12"/>
        <v>173</v>
      </c>
      <c r="H54" s="4671">
        <f t="shared" si="12"/>
        <v>10</v>
      </c>
      <c r="I54" s="4672">
        <f t="shared" si="12"/>
        <v>49</v>
      </c>
      <c r="J54" s="4671">
        <f t="shared" ref="J54:K54" si="13">SUM(J48:J53)</f>
        <v>3</v>
      </c>
      <c r="K54" s="4672">
        <f t="shared" si="13"/>
        <v>3</v>
      </c>
    </row>
    <row r="55" spans="1:11" ht="15" customHeight="1" x14ac:dyDescent="0.15">
      <c r="A55" s="6742"/>
      <c r="B55" s="6736" t="s">
        <v>444</v>
      </c>
      <c r="C55" s="6737"/>
      <c r="D55" s="4915">
        <f t="shared" ref="D55:I55" si="14">SUM(D54,D47,D35)</f>
        <v>476</v>
      </c>
      <c r="E55" s="4720">
        <f t="shared" si="14"/>
        <v>473</v>
      </c>
      <c r="F55" s="4915">
        <f t="shared" si="14"/>
        <v>303</v>
      </c>
      <c r="G55" s="4720">
        <f t="shared" si="14"/>
        <v>779</v>
      </c>
      <c r="H55" s="4915">
        <f t="shared" si="14"/>
        <v>44</v>
      </c>
      <c r="I55" s="4720">
        <f t="shared" si="14"/>
        <v>287</v>
      </c>
      <c r="J55" s="4915">
        <f t="shared" ref="J55:K55" si="15">SUM(J54,J47,J35)</f>
        <v>18</v>
      </c>
      <c r="K55" s="4720">
        <f t="shared" si="15"/>
        <v>18</v>
      </c>
    </row>
    <row r="56" spans="1:11" ht="15" customHeight="1" x14ac:dyDescent="0.15">
      <c r="A56" s="6724" t="s">
        <v>163</v>
      </c>
      <c r="B56" s="6729" t="s">
        <v>6</v>
      </c>
      <c r="C56" s="1294" t="s">
        <v>456</v>
      </c>
      <c r="D56" s="1181">
        <v>40</v>
      </c>
      <c r="E56" s="1183">
        <v>40</v>
      </c>
      <c r="F56" s="1181">
        <v>24</v>
      </c>
      <c r="G56" s="1183">
        <v>64</v>
      </c>
      <c r="H56" s="1181">
        <v>5</v>
      </c>
      <c r="I56" s="1183">
        <v>27</v>
      </c>
      <c r="J56" s="1181"/>
      <c r="K56" s="1183"/>
    </row>
    <row r="57" spans="1:11" ht="15" customHeight="1" x14ac:dyDescent="0.15">
      <c r="A57" s="6725"/>
      <c r="B57" s="6729"/>
      <c r="C57" s="2737" t="s">
        <v>484</v>
      </c>
      <c r="D57" s="1161">
        <v>101</v>
      </c>
      <c r="E57" s="1163">
        <v>100</v>
      </c>
      <c r="F57" s="1161">
        <v>68</v>
      </c>
      <c r="G57" s="1163">
        <v>169</v>
      </c>
      <c r="H57" s="1161">
        <v>16</v>
      </c>
      <c r="I57" s="1163">
        <v>76</v>
      </c>
      <c r="J57" s="1161">
        <v>6</v>
      </c>
      <c r="K57" s="1163">
        <v>6</v>
      </c>
    </row>
    <row r="58" spans="1:11" ht="15" customHeight="1" x14ac:dyDescent="0.15">
      <c r="A58" s="6725"/>
      <c r="B58" s="6729"/>
      <c r="C58" s="2737" t="s">
        <v>458</v>
      </c>
      <c r="D58" s="1161">
        <v>17</v>
      </c>
      <c r="E58" s="1163">
        <v>17</v>
      </c>
      <c r="F58" s="1161">
        <v>14</v>
      </c>
      <c r="G58" s="1163">
        <v>31</v>
      </c>
      <c r="H58" s="1161">
        <v>2</v>
      </c>
      <c r="I58" s="1163">
        <v>10</v>
      </c>
      <c r="J58" s="1161"/>
      <c r="K58" s="1163"/>
    </row>
    <row r="59" spans="1:11" ht="15" customHeight="1" x14ac:dyDescent="0.15">
      <c r="A59" s="6725"/>
      <c r="B59" s="6729"/>
      <c r="C59" s="2737" t="s">
        <v>486</v>
      </c>
      <c r="D59" s="1161">
        <v>15</v>
      </c>
      <c r="E59" s="1163">
        <v>15</v>
      </c>
      <c r="F59" s="1161">
        <v>13</v>
      </c>
      <c r="G59" s="1163">
        <v>28</v>
      </c>
      <c r="H59" s="1161">
        <v>1</v>
      </c>
      <c r="I59" s="1163">
        <v>13</v>
      </c>
      <c r="J59" s="1161">
        <v>1</v>
      </c>
      <c r="K59" s="1163">
        <v>1</v>
      </c>
    </row>
    <row r="60" spans="1:11" ht="15" customHeight="1" x14ac:dyDescent="0.15">
      <c r="A60" s="6725"/>
      <c r="B60" s="6729"/>
      <c r="C60" s="2737" t="s">
        <v>568</v>
      </c>
      <c r="D60" s="1161">
        <v>186</v>
      </c>
      <c r="E60" s="1163">
        <v>186</v>
      </c>
      <c r="F60" s="1161">
        <v>107</v>
      </c>
      <c r="G60" s="1163">
        <v>293</v>
      </c>
      <c r="H60" s="1161">
        <v>11</v>
      </c>
      <c r="I60" s="1163">
        <v>108</v>
      </c>
      <c r="J60" s="1161">
        <v>19</v>
      </c>
      <c r="K60" s="1163">
        <v>19</v>
      </c>
    </row>
    <row r="61" spans="1:11" ht="15" customHeight="1" x14ac:dyDescent="0.15">
      <c r="A61" s="6725"/>
      <c r="B61" s="6729"/>
      <c r="C61" s="2737" t="s">
        <v>459</v>
      </c>
      <c r="D61" s="1161">
        <v>58</v>
      </c>
      <c r="E61" s="1163">
        <v>56</v>
      </c>
      <c r="F61" s="1161">
        <v>32</v>
      </c>
      <c r="G61" s="1163">
        <v>90</v>
      </c>
      <c r="H61" s="1161">
        <v>9</v>
      </c>
      <c r="I61" s="1163">
        <v>39</v>
      </c>
      <c r="J61" s="1161">
        <v>3</v>
      </c>
      <c r="K61" s="1163">
        <v>3</v>
      </c>
    </row>
    <row r="62" spans="1:11" ht="15" customHeight="1" x14ac:dyDescent="0.15">
      <c r="A62" s="6725"/>
      <c r="B62" s="6729"/>
      <c r="C62" s="2738" t="s">
        <v>160</v>
      </c>
      <c r="D62" s="4669">
        <f t="shared" ref="D62:I62" si="16">SUM(D56:D61)</f>
        <v>417</v>
      </c>
      <c r="E62" s="4670">
        <f t="shared" si="16"/>
        <v>414</v>
      </c>
      <c r="F62" s="4669">
        <f t="shared" si="16"/>
        <v>258</v>
      </c>
      <c r="G62" s="4670">
        <f t="shared" si="16"/>
        <v>675</v>
      </c>
      <c r="H62" s="4669">
        <f t="shared" si="16"/>
        <v>44</v>
      </c>
      <c r="I62" s="4670">
        <f t="shared" si="16"/>
        <v>273</v>
      </c>
      <c r="J62" s="4669">
        <f t="shared" ref="J62:K62" si="17">SUM(J56:J61)</f>
        <v>29</v>
      </c>
      <c r="K62" s="4670">
        <f t="shared" si="17"/>
        <v>29</v>
      </c>
    </row>
    <row r="63" spans="1:11" ht="15" customHeight="1" x14ac:dyDescent="0.15">
      <c r="A63" s="6725"/>
      <c r="B63" s="6729" t="s">
        <v>11</v>
      </c>
      <c r="C63" s="2737" t="s">
        <v>491</v>
      </c>
      <c r="D63" s="1161">
        <v>28</v>
      </c>
      <c r="E63" s="1163">
        <v>27</v>
      </c>
      <c r="F63" s="1161">
        <v>26</v>
      </c>
      <c r="G63" s="1163">
        <v>54</v>
      </c>
      <c r="H63" s="1161">
        <v>8</v>
      </c>
      <c r="I63" s="1163">
        <v>28</v>
      </c>
      <c r="J63" s="1161">
        <v>1</v>
      </c>
      <c r="K63" s="1163">
        <v>1</v>
      </c>
    </row>
    <row r="64" spans="1:11" ht="15" customHeight="1" x14ac:dyDescent="0.15">
      <c r="A64" s="6725"/>
      <c r="B64" s="6729"/>
      <c r="C64" s="2737" t="s">
        <v>478</v>
      </c>
      <c r="D64" s="1161">
        <v>60</v>
      </c>
      <c r="E64" s="1163">
        <v>59</v>
      </c>
      <c r="F64" s="1161">
        <v>31</v>
      </c>
      <c r="G64" s="1163">
        <v>91</v>
      </c>
      <c r="H64" s="1161">
        <v>12</v>
      </c>
      <c r="I64" s="1163">
        <v>41</v>
      </c>
      <c r="J64" s="1161">
        <v>5</v>
      </c>
      <c r="K64" s="1163">
        <v>5</v>
      </c>
    </row>
    <row r="65" spans="1:11" ht="15" customHeight="1" x14ac:dyDescent="0.15">
      <c r="A65" s="6725"/>
      <c r="B65" s="6729"/>
      <c r="C65" s="2737" t="s">
        <v>487</v>
      </c>
      <c r="D65" s="1161">
        <v>64</v>
      </c>
      <c r="E65" s="1163">
        <v>64</v>
      </c>
      <c r="F65" s="1161">
        <v>26</v>
      </c>
      <c r="G65" s="1163">
        <v>90</v>
      </c>
      <c r="H65" s="1161">
        <v>12</v>
      </c>
      <c r="I65" s="1163">
        <v>36</v>
      </c>
      <c r="J65" s="1161">
        <v>1</v>
      </c>
      <c r="K65" s="1163">
        <v>1</v>
      </c>
    </row>
    <row r="66" spans="1:11" ht="15" customHeight="1" x14ac:dyDescent="0.15">
      <c r="A66" s="6725"/>
      <c r="B66" s="6729"/>
      <c r="C66" s="2737" t="s">
        <v>488</v>
      </c>
      <c r="D66" s="1161">
        <v>47</v>
      </c>
      <c r="E66" s="1163">
        <v>47</v>
      </c>
      <c r="F66" s="1161">
        <v>52</v>
      </c>
      <c r="G66" s="1163">
        <v>99</v>
      </c>
      <c r="H66" s="1161">
        <v>9</v>
      </c>
      <c r="I66" s="1163">
        <v>59</v>
      </c>
      <c r="J66" s="1161">
        <v>4</v>
      </c>
      <c r="K66" s="1163">
        <v>4</v>
      </c>
    </row>
    <row r="67" spans="1:11" ht="15" customHeight="1" x14ac:dyDescent="0.15">
      <c r="A67" s="6725"/>
      <c r="B67" s="6729"/>
      <c r="C67" s="2737" t="s">
        <v>490</v>
      </c>
      <c r="D67" s="1161">
        <v>57</v>
      </c>
      <c r="E67" s="1163">
        <v>54</v>
      </c>
      <c r="F67" s="1161">
        <v>51</v>
      </c>
      <c r="G67" s="1163">
        <v>107</v>
      </c>
      <c r="H67" s="1161">
        <v>7</v>
      </c>
      <c r="I67" s="1163">
        <v>25</v>
      </c>
      <c r="J67" s="1161">
        <v>2</v>
      </c>
      <c r="K67" s="1163">
        <v>2</v>
      </c>
    </row>
    <row r="68" spans="1:11" ht="15" customHeight="1" x14ac:dyDescent="0.15">
      <c r="A68" s="6725"/>
      <c r="B68" s="6729"/>
      <c r="C68" s="2737" t="s">
        <v>492</v>
      </c>
      <c r="D68" s="1161">
        <v>26</v>
      </c>
      <c r="E68" s="1163">
        <v>26</v>
      </c>
      <c r="F68" s="1161">
        <v>18</v>
      </c>
      <c r="G68" s="1163">
        <v>44</v>
      </c>
      <c r="H68" s="1161">
        <v>9</v>
      </c>
      <c r="I68" s="1163">
        <v>51</v>
      </c>
      <c r="J68" s="1161">
        <v>3</v>
      </c>
      <c r="K68" s="1163">
        <v>3</v>
      </c>
    </row>
    <row r="69" spans="1:11" ht="15" customHeight="1" x14ac:dyDescent="0.15">
      <c r="A69" s="6725"/>
      <c r="B69" s="6729"/>
      <c r="C69" s="2737" t="s">
        <v>493</v>
      </c>
      <c r="D69" s="1161">
        <v>58</v>
      </c>
      <c r="E69" s="1163">
        <v>58</v>
      </c>
      <c r="F69" s="1161">
        <v>24</v>
      </c>
      <c r="G69" s="1163">
        <v>82</v>
      </c>
      <c r="H69" s="1161">
        <v>8</v>
      </c>
      <c r="I69" s="1163">
        <v>30</v>
      </c>
      <c r="J69" s="1161">
        <v>2</v>
      </c>
      <c r="K69" s="1163">
        <v>2</v>
      </c>
    </row>
    <row r="70" spans="1:11" ht="15" customHeight="1" x14ac:dyDescent="0.15">
      <c r="A70" s="6725"/>
      <c r="B70" s="6729"/>
      <c r="C70" s="2737" t="s">
        <v>489</v>
      </c>
      <c r="D70" s="1161">
        <v>52</v>
      </c>
      <c r="E70" s="1163">
        <v>52</v>
      </c>
      <c r="F70" s="1161">
        <v>22</v>
      </c>
      <c r="G70" s="1163">
        <v>74</v>
      </c>
      <c r="H70" s="1161">
        <v>10</v>
      </c>
      <c r="I70" s="1163">
        <v>26</v>
      </c>
      <c r="J70" s="1161">
        <v>3</v>
      </c>
      <c r="K70" s="1163">
        <v>3</v>
      </c>
    </row>
    <row r="71" spans="1:11" ht="15" customHeight="1" x14ac:dyDescent="0.15">
      <c r="A71" s="6725"/>
      <c r="B71" s="6729"/>
      <c r="C71" s="2738" t="s">
        <v>160</v>
      </c>
      <c r="D71" s="4669">
        <f t="shared" ref="D71:I71" si="18">SUM(D63:D70)</f>
        <v>392</v>
      </c>
      <c r="E71" s="4670">
        <f t="shared" si="18"/>
        <v>387</v>
      </c>
      <c r="F71" s="4669">
        <f t="shared" si="18"/>
        <v>250</v>
      </c>
      <c r="G71" s="4670">
        <f t="shared" si="18"/>
        <v>641</v>
      </c>
      <c r="H71" s="4669">
        <f t="shared" si="18"/>
        <v>75</v>
      </c>
      <c r="I71" s="4670">
        <f t="shared" si="18"/>
        <v>296</v>
      </c>
      <c r="J71" s="4669">
        <f t="shared" ref="J71:K71" si="19">SUM(J63:J70)</f>
        <v>21</v>
      </c>
      <c r="K71" s="4670">
        <f t="shared" si="19"/>
        <v>21</v>
      </c>
    </row>
    <row r="72" spans="1:11" ht="15" customHeight="1" x14ac:dyDescent="0.15">
      <c r="A72" s="6725"/>
      <c r="B72" s="6729" t="s">
        <v>7</v>
      </c>
      <c r="C72" s="2737" t="s">
        <v>460</v>
      </c>
      <c r="D72" s="1161">
        <v>97</v>
      </c>
      <c r="E72" s="1163">
        <v>95</v>
      </c>
      <c r="F72" s="1161">
        <v>32</v>
      </c>
      <c r="G72" s="1163">
        <v>129</v>
      </c>
      <c r="H72" s="1161">
        <v>11</v>
      </c>
      <c r="I72" s="1163">
        <v>39</v>
      </c>
      <c r="J72" s="1161">
        <v>6</v>
      </c>
      <c r="K72" s="1163">
        <v>6</v>
      </c>
    </row>
    <row r="73" spans="1:11" ht="15" customHeight="1" x14ac:dyDescent="0.15">
      <c r="A73" s="6725"/>
      <c r="B73" s="6729"/>
      <c r="C73" s="2737" t="s">
        <v>570</v>
      </c>
      <c r="D73" s="1161">
        <v>58</v>
      </c>
      <c r="E73" s="1163">
        <v>56</v>
      </c>
      <c r="F73" s="1161">
        <v>45</v>
      </c>
      <c r="G73" s="1163">
        <v>103</v>
      </c>
      <c r="H73" s="1161">
        <v>5</v>
      </c>
      <c r="I73" s="1163">
        <v>42</v>
      </c>
      <c r="J73" s="1161">
        <v>7</v>
      </c>
      <c r="K73" s="1163">
        <v>7</v>
      </c>
    </row>
    <row r="74" spans="1:11" ht="15" customHeight="1" x14ac:dyDescent="0.15">
      <c r="A74" s="6725"/>
      <c r="B74" s="6729"/>
      <c r="C74" s="2737" t="s">
        <v>462</v>
      </c>
      <c r="D74" s="1161">
        <v>28</v>
      </c>
      <c r="E74" s="1163">
        <v>28</v>
      </c>
      <c r="F74" s="1161">
        <v>18</v>
      </c>
      <c r="G74" s="1163">
        <v>46</v>
      </c>
      <c r="H74" s="1161">
        <v>8</v>
      </c>
      <c r="I74" s="1163">
        <v>26</v>
      </c>
      <c r="J74" s="1161">
        <v>8</v>
      </c>
      <c r="K74" s="1163">
        <v>8</v>
      </c>
    </row>
    <row r="75" spans="1:11" ht="15" customHeight="1" x14ac:dyDescent="0.15">
      <c r="A75" s="6725"/>
      <c r="B75" s="6729"/>
      <c r="C75" s="2737" t="s">
        <v>494</v>
      </c>
      <c r="D75" s="1161">
        <v>36</v>
      </c>
      <c r="E75" s="1163">
        <v>36</v>
      </c>
      <c r="F75" s="1161">
        <v>15</v>
      </c>
      <c r="G75" s="1163">
        <v>51</v>
      </c>
      <c r="H75" s="1161">
        <v>0</v>
      </c>
      <c r="I75" s="1163">
        <v>15</v>
      </c>
      <c r="J75" s="1161">
        <v>8</v>
      </c>
      <c r="K75" s="1163">
        <v>7</v>
      </c>
    </row>
    <row r="76" spans="1:11" ht="15" customHeight="1" x14ac:dyDescent="0.15">
      <c r="A76" s="6725"/>
      <c r="B76" s="6326"/>
      <c r="C76" s="2740" t="s">
        <v>7</v>
      </c>
      <c r="D76" s="4671">
        <f t="shared" ref="D76:I76" si="20">SUM(D72:D75)</f>
        <v>219</v>
      </c>
      <c r="E76" s="4672">
        <f t="shared" si="20"/>
        <v>215</v>
      </c>
      <c r="F76" s="4671">
        <f t="shared" si="20"/>
        <v>110</v>
      </c>
      <c r="G76" s="4672">
        <f t="shared" si="20"/>
        <v>329</v>
      </c>
      <c r="H76" s="4671">
        <f t="shared" si="20"/>
        <v>24</v>
      </c>
      <c r="I76" s="4672">
        <f t="shared" si="20"/>
        <v>122</v>
      </c>
      <c r="J76" s="4671">
        <f t="shared" ref="J76:K76" si="21">SUM(J72:J75)</f>
        <v>29</v>
      </c>
      <c r="K76" s="4672">
        <f t="shared" si="21"/>
        <v>28</v>
      </c>
    </row>
    <row r="77" spans="1:11" ht="15" customHeight="1" x14ac:dyDescent="0.15">
      <c r="A77" s="6726"/>
      <c r="B77" s="6750" t="s">
        <v>444</v>
      </c>
      <c r="C77" s="6751"/>
      <c r="D77" s="4916">
        <f t="shared" ref="D77:I77" si="22">SUM(D76,D71,D62)</f>
        <v>1028</v>
      </c>
      <c r="E77" s="4723">
        <f t="shared" si="22"/>
        <v>1016</v>
      </c>
      <c r="F77" s="4916">
        <f t="shared" si="22"/>
        <v>618</v>
      </c>
      <c r="G77" s="4723">
        <f t="shared" si="22"/>
        <v>1645</v>
      </c>
      <c r="H77" s="4916">
        <f t="shared" si="22"/>
        <v>143</v>
      </c>
      <c r="I77" s="4723">
        <f t="shared" si="22"/>
        <v>691</v>
      </c>
      <c r="J77" s="4916">
        <f t="shared" ref="J77:K77" si="23">SUM(J76,J71,J62)</f>
        <v>79</v>
      </c>
      <c r="K77" s="4723">
        <f t="shared" si="23"/>
        <v>78</v>
      </c>
    </row>
    <row r="78" spans="1:11" ht="15" customHeight="1" x14ac:dyDescent="0.15">
      <c r="A78" s="6727" t="s">
        <v>407</v>
      </c>
      <c r="B78" s="6744" t="s">
        <v>6</v>
      </c>
      <c r="C78" s="2743" t="s">
        <v>456</v>
      </c>
      <c r="D78" s="1161">
        <v>18</v>
      </c>
      <c r="E78" s="1163">
        <v>18</v>
      </c>
      <c r="F78" s="1161">
        <v>3</v>
      </c>
      <c r="G78" s="1163">
        <v>21</v>
      </c>
      <c r="H78" s="1161">
        <v>13</v>
      </c>
      <c r="I78" s="1163">
        <v>13</v>
      </c>
      <c r="J78" s="1161">
        <v>1</v>
      </c>
      <c r="K78" s="1163">
        <v>1</v>
      </c>
    </row>
    <row r="79" spans="1:11" ht="15" customHeight="1" x14ac:dyDescent="0.15">
      <c r="A79" s="6261"/>
      <c r="B79" s="6744"/>
      <c r="C79" s="2743" t="s">
        <v>496</v>
      </c>
      <c r="D79" s="1161">
        <v>1</v>
      </c>
      <c r="E79" s="1163">
        <v>1</v>
      </c>
      <c r="F79" s="1161">
        <v>4</v>
      </c>
      <c r="G79" s="1163">
        <v>5</v>
      </c>
      <c r="H79" s="1161">
        <v>3</v>
      </c>
      <c r="I79" s="1163">
        <v>5</v>
      </c>
      <c r="J79" s="1161"/>
      <c r="K79" s="1163"/>
    </row>
    <row r="80" spans="1:11" ht="15" customHeight="1" x14ac:dyDescent="0.15">
      <c r="A80" s="6261"/>
      <c r="B80" s="6744"/>
      <c r="C80" s="2743" t="s">
        <v>495</v>
      </c>
      <c r="D80" s="1161">
        <v>8</v>
      </c>
      <c r="E80" s="1163">
        <v>8</v>
      </c>
      <c r="F80" s="1161">
        <v>1</v>
      </c>
      <c r="G80" s="1163">
        <v>9</v>
      </c>
      <c r="H80" s="1161"/>
      <c r="I80" s="1163">
        <v>1</v>
      </c>
      <c r="J80" s="1161">
        <v>1</v>
      </c>
      <c r="K80" s="1163">
        <v>1</v>
      </c>
    </row>
    <row r="81" spans="1:11" ht="15" customHeight="1" x14ac:dyDescent="0.15">
      <c r="A81" s="6261"/>
      <c r="B81" s="6744"/>
      <c r="C81" s="2740" t="s">
        <v>160</v>
      </c>
      <c r="D81" s="4671">
        <f t="shared" ref="D81:I81" si="24">SUM(D78:D80)</f>
        <v>27</v>
      </c>
      <c r="E81" s="4672">
        <f t="shared" si="24"/>
        <v>27</v>
      </c>
      <c r="F81" s="4671">
        <f t="shared" si="24"/>
        <v>8</v>
      </c>
      <c r="G81" s="4672">
        <f t="shared" si="24"/>
        <v>35</v>
      </c>
      <c r="H81" s="4671">
        <f t="shared" si="24"/>
        <v>16</v>
      </c>
      <c r="I81" s="4672">
        <f t="shared" si="24"/>
        <v>19</v>
      </c>
      <c r="J81" s="4671">
        <f t="shared" ref="J81:K81" si="25">SUM(J78:J80)</f>
        <v>2</v>
      </c>
      <c r="K81" s="4672">
        <f t="shared" si="25"/>
        <v>2</v>
      </c>
    </row>
    <row r="82" spans="1:11" ht="15" customHeight="1" x14ac:dyDescent="0.15">
      <c r="A82" s="6261"/>
      <c r="B82" s="6729" t="s">
        <v>9</v>
      </c>
      <c r="C82" s="2744" t="s">
        <v>569</v>
      </c>
      <c r="D82" s="1181">
        <v>24</v>
      </c>
      <c r="E82" s="1183">
        <v>23</v>
      </c>
      <c r="F82" s="1181">
        <v>13</v>
      </c>
      <c r="G82" s="1183">
        <v>37</v>
      </c>
      <c r="H82" s="1181">
        <v>4</v>
      </c>
      <c r="I82" s="1183">
        <v>9</v>
      </c>
      <c r="J82" s="1181">
        <v>1</v>
      </c>
      <c r="K82" s="1183">
        <v>1</v>
      </c>
    </row>
    <row r="83" spans="1:11" ht="15" customHeight="1" x14ac:dyDescent="0.15">
      <c r="A83" s="6261"/>
      <c r="B83" s="6729"/>
      <c r="C83" s="2743" t="s">
        <v>499</v>
      </c>
      <c r="D83" s="1161">
        <v>12</v>
      </c>
      <c r="E83" s="1163">
        <v>12</v>
      </c>
      <c r="F83" s="1161">
        <v>9</v>
      </c>
      <c r="G83" s="1163">
        <v>21</v>
      </c>
      <c r="H83" s="1161">
        <v>4</v>
      </c>
      <c r="I83" s="1163">
        <v>9</v>
      </c>
      <c r="J83" s="1161">
        <v>1</v>
      </c>
      <c r="K83" s="1163">
        <v>1</v>
      </c>
    </row>
    <row r="84" spans="1:11" ht="15" customHeight="1" x14ac:dyDescent="0.15">
      <c r="A84" s="6261"/>
      <c r="B84" s="6729"/>
      <c r="C84" s="2743" t="s">
        <v>498</v>
      </c>
      <c r="D84" s="1161">
        <v>2</v>
      </c>
      <c r="E84" s="1163">
        <v>2</v>
      </c>
      <c r="F84" s="1161">
        <v>0</v>
      </c>
      <c r="G84" s="1163">
        <v>2</v>
      </c>
      <c r="H84" s="1161"/>
      <c r="I84" s="1163"/>
      <c r="J84" s="1161"/>
      <c r="K84" s="1163"/>
    </row>
    <row r="85" spans="1:11" ht="15" customHeight="1" x14ac:dyDescent="0.15">
      <c r="A85" s="6261"/>
      <c r="B85" s="6729"/>
      <c r="C85" s="2740" t="s">
        <v>160</v>
      </c>
      <c r="D85" s="4671">
        <f t="shared" ref="D85:I85" si="26">SUM(D82:D84)</f>
        <v>38</v>
      </c>
      <c r="E85" s="4672">
        <f t="shared" si="26"/>
        <v>37</v>
      </c>
      <c r="F85" s="4671">
        <f t="shared" si="26"/>
        <v>22</v>
      </c>
      <c r="G85" s="4672">
        <f t="shared" si="26"/>
        <v>60</v>
      </c>
      <c r="H85" s="4671">
        <f t="shared" si="26"/>
        <v>8</v>
      </c>
      <c r="I85" s="4672">
        <f t="shared" si="26"/>
        <v>18</v>
      </c>
      <c r="J85" s="4671">
        <f t="shared" ref="J85:K85" si="27">SUM(J82:J84)</f>
        <v>2</v>
      </c>
      <c r="K85" s="4672">
        <f t="shared" si="27"/>
        <v>2</v>
      </c>
    </row>
    <row r="86" spans="1:11" ht="15" customHeight="1" x14ac:dyDescent="0.15">
      <c r="A86" s="6261"/>
      <c r="B86" s="6729" t="s">
        <v>74</v>
      </c>
      <c r="C86" s="2743" t="s">
        <v>455</v>
      </c>
      <c r="D86" s="1161"/>
      <c r="E86" s="1163"/>
      <c r="F86" s="1161">
        <v>1</v>
      </c>
      <c r="G86" s="1163">
        <v>1</v>
      </c>
      <c r="H86" s="1161"/>
      <c r="I86" s="1163">
        <v>1</v>
      </c>
      <c r="J86" s="1161"/>
      <c r="K86" s="1163"/>
    </row>
    <row r="87" spans="1:11" ht="15" customHeight="1" x14ac:dyDescent="0.15">
      <c r="A87" s="6261"/>
      <c r="B87" s="6729"/>
      <c r="C87" s="2743" t="s">
        <v>501</v>
      </c>
      <c r="D87" s="1161">
        <v>6</v>
      </c>
      <c r="E87" s="1163">
        <v>6</v>
      </c>
      <c r="F87" s="1161">
        <v>4</v>
      </c>
      <c r="G87" s="1163">
        <v>10</v>
      </c>
      <c r="H87" s="1161"/>
      <c r="I87" s="1163"/>
      <c r="J87" s="1161">
        <v>1</v>
      </c>
      <c r="K87" s="1163">
        <v>1</v>
      </c>
    </row>
    <row r="88" spans="1:11" ht="15" customHeight="1" x14ac:dyDescent="0.15">
      <c r="A88" s="6261"/>
      <c r="B88" s="6729"/>
      <c r="C88" s="2743" t="s">
        <v>500</v>
      </c>
      <c r="D88" s="1161"/>
      <c r="E88" s="1163"/>
      <c r="F88" s="1161">
        <v>2</v>
      </c>
      <c r="G88" s="1163">
        <v>2</v>
      </c>
      <c r="H88" s="1161"/>
      <c r="I88" s="1163"/>
      <c r="J88" s="1161">
        <v>2</v>
      </c>
      <c r="K88" s="1163">
        <v>2</v>
      </c>
    </row>
    <row r="89" spans="1:11" ht="15" customHeight="1" x14ac:dyDescent="0.15">
      <c r="A89" s="6261"/>
      <c r="B89" s="6729"/>
      <c r="C89" s="2743" t="s">
        <v>571</v>
      </c>
      <c r="D89" s="1161">
        <v>3</v>
      </c>
      <c r="E89" s="1163">
        <v>3</v>
      </c>
      <c r="F89" s="1161">
        <v>0</v>
      </c>
      <c r="G89" s="1163">
        <v>3</v>
      </c>
      <c r="H89" s="1161">
        <v>1</v>
      </c>
      <c r="I89" s="1163">
        <v>4</v>
      </c>
      <c r="J89" s="1161">
        <v>1</v>
      </c>
      <c r="K89" s="1163">
        <v>1</v>
      </c>
    </row>
    <row r="90" spans="1:11" ht="15" customHeight="1" x14ac:dyDescent="0.15">
      <c r="A90" s="6261"/>
      <c r="B90" s="6326"/>
      <c r="C90" s="2740" t="s">
        <v>74</v>
      </c>
      <c r="D90" s="4671">
        <f t="shared" ref="D90:I90" si="28">SUM(D86:D89)</f>
        <v>9</v>
      </c>
      <c r="E90" s="4672">
        <f t="shared" si="28"/>
        <v>9</v>
      </c>
      <c r="F90" s="4671">
        <f t="shared" si="28"/>
        <v>7</v>
      </c>
      <c r="G90" s="4672">
        <f t="shared" si="28"/>
        <v>16</v>
      </c>
      <c r="H90" s="4671">
        <f t="shared" si="28"/>
        <v>1</v>
      </c>
      <c r="I90" s="4672">
        <f t="shared" si="28"/>
        <v>5</v>
      </c>
      <c r="J90" s="4671">
        <f t="shared" ref="J90:K90" si="29">SUM(J86:J89)</f>
        <v>4</v>
      </c>
      <c r="K90" s="4672">
        <f t="shared" si="29"/>
        <v>4</v>
      </c>
    </row>
    <row r="91" spans="1:11" ht="15" customHeight="1" x14ac:dyDescent="0.15">
      <c r="A91" s="6728"/>
      <c r="B91" s="6748" t="s">
        <v>444</v>
      </c>
      <c r="C91" s="6749"/>
      <c r="D91" s="4917">
        <f t="shared" ref="D91:I91" si="30">SUM(D90,D85,D81)</f>
        <v>74</v>
      </c>
      <c r="E91" s="4717">
        <f t="shared" si="30"/>
        <v>73</v>
      </c>
      <c r="F91" s="4917">
        <f t="shared" si="30"/>
        <v>37</v>
      </c>
      <c r="G91" s="4717">
        <f t="shared" si="30"/>
        <v>111</v>
      </c>
      <c r="H91" s="4917">
        <f t="shared" si="30"/>
        <v>25</v>
      </c>
      <c r="I91" s="4717">
        <f t="shared" si="30"/>
        <v>42</v>
      </c>
      <c r="J91" s="4917">
        <f t="shared" ref="J91:K91" si="31">SUM(J90,J85,J81)</f>
        <v>8</v>
      </c>
      <c r="K91" s="4717">
        <f t="shared" si="31"/>
        <v>8</v>
      </c>
    </row>
    <row r="92" spans="1:11" ht="15" customHeight="1" x14ac:dyDescent="0.15">
      <c r="A92" s="6730" t="s">
        <v>408</v>
      </c>
      <c r="B92" s="6729" t="s">
        <v>5</v>
      </c>
      <c r="C92" s="3324" t="s">
        <v>503</v>
      </c>
      <c r="D92" s="1181">
        <v>17</v>
      </c>
      <c r="E92" s="1183">
        <v>17</v>
      </c>
      <c r="F92" s="1181">
        <v>5</v>
      </c>
      <c r="G92" s="1183">
        <v>22</v>
      </c>
      <c r="H92" s="1181">
        <v>1</v>
      </c>
      <c r="I92" s="1183">
        <v>3</v>
      </c>
      <c r="J92" s="1181"/>
      <c r="K92" s="1183"/>
    </row>
    <row r="93" spans="1:11" ht="15" customHeight="1" x14ac:dyDescent="0.15">
      <c r="A93" s="6731"/>
      <c r="B93" s="6743"/>
      <c r="C93" s="3324" t="s">
        <v>1579</v>
      </c>
      <c r="D93" s="5363"/>
      <c r="E93" s="5364"/>
      <c r="F93" s="5363"/>
      <c r="G93" s="5364"/>
      <c r="H93" s="5363"/>
      <c r="I93" s="5364"/>
      <c r="J93" s="5363"/>
      <c r="K93" s="5364"/>
    </row>
    <row r="94" spans="1:11" ht="15" customHeight="1" x14ac:dyDescent="0.15">
      <c r="A94" s="6731"/>
      <c r="B94" s="6729"/>
      <c r="C94" s="3318" t="s">
        <v>160</v>
      </c>
      <c r="D94" s="4671">
        <f t="shared" ref="D94:I94" si="32">SUM(D92)</f>
        <v>17</v>
      </c>
      <c r="E94" s="4672">
        <f t="shared" si="32"/>
        <v>17</v>
      </c>
      <c r="F94" s="4671">
        <f t="shared" si="32"/>
        <v>5</v>
      </c>
      <c r="G94" s="4672">
        <f t="shared" si="32"/>
        <v>22</v>
      </c>
      <c r="H94" s="4671">
        <f t="shared" si="32"/>
        <v>1</v>
      </c>
      <c r="I94" s="4672">
        <f t="shared" si="32"/>
        <v>3</v>
      </c>
      <c r="J94" s="4671">
        <f>SUM(J92:J93)</f>
        <v>0</v>
      </c>
      <c r="K94" s="4672">
        <f>SUM(K92:K93)</f>
        <v>0</v>
      </c>
    </row>
    <row r="95" spans="1:11" ht="15" customHeight="1" x14ac:dyDescent="0.15">
      <c r="A95" s="6731"/>
      <c r="B95" s="6744" t="s">
        <v>6</v>
      </c>
      <c r="C95" s="3315" t="s">
        <v>504</v>
      </c>
      <c r="D95" s="1161">
        <v>30</v>
      </c>
      <c r="E95" s="1163">
        <v>30</v>
      </c>
      <c r="F95" s="1161">
        <v>6</v>
      </c>
      <c r="G95" s="1163">
        <v>36</v>
      </c>
      <c r="H95" s="1161">
        <v>7</v>
      </c>
      <c r="I95" s="1163">
        <v>12</v>
      </c>
      <c r="J95" s="1161"/>
      <c r="K95" s="1163"/>
    </row>
    <row r="96" spans="1:11" ht="15" customHeight="1" x14ac:dyDescent="0.15">
      <c r="A96" s="6731"/>
      <c r="B96" s="6744"/>
      <c r="C96" s="3315" t="s">
        <v>629</v>
      </c>
      <c r="D96" s="1161"/>
      <c r="E96" s="1163"/>
      <c r="F96" s="1161"/>
      <c r="G96" s="1163"/>
      <c r="H96" s="1161"/>
      <c r="I96" s="1163"/>
      <c r="J96" s="1161"/>
      <c r="K96" s="1163"/>
    </row>
    <row r="97" spans="1:11" ht="15" customHeight="1" x14ac:dyDescent="0.15">
      <c r="A97" s="6731"/>
      <c r="B97" s="6744"/>
      <c r="C97" s="3318" t="s">
        <v>160</v>
      </c>
      <c r="D97" s="4671">
        <f t="shared" ref="D97:I97" si="33">SUM(D95:D96)</f>
        <v>30</v>
      </c>
      <c r="E97" s="4672">
        <f t="shared" si="33"/>
        <v>30</v>
      </c>
      <c r="F97" s="4671">
        <f t="shared" si="33"/>
        <v>6</v>
      </c>
      <c r="G97" s="4672">
        <f t="shared" si="33"/>
        <v>36</v>
      </c>
      <c r="H97" s="4671">
        <f t="shared" si="33"/>
        <v>7</v>
      </c>
      <c r="I97" s="4672">
        <f t="shared" si="33"/>
        <v>12</v>
      </c>
      <c r="J97" s="4671">
        <f t="shared" ref="J97:K97" si="34">SUM(J95:J96)</f>
        <v>0</v>
      </c>
      <c r="K97" s="4672">
        <f t="shared" si="34"/>
        <v>0</v>
      </c>
    </row>
    <row r="98" spans="1:11" ht="15" customHeight="1" x14ac:dyDescent="0.15">
      <c r="A98" s="6731"/>
      <c r="B98" s="6729" t="s">
        <v>11</v>
      </c>
      <c r="C98" s="3315" t="s">
        <v>505</v>
      </c>
      <c r="D98" s="1161">
        <v>6</v>
      </c>
      <c r="E98" s="1163">
        <v>5</v>
      </c>
      <c r="F98" s="1161">
        <v>2</v>
      </c>
      <c r="G98" s="1163">
        <v>8</v>
      </c>
      <c r="H98" s="1161">
        <v>4</v>
      </c>
      <c r="I98" s="1163">
        <v>4</v>
      </c>
      <c r="J98" s="1161">
        <v>2</v>
      </c>
      <c r="K98" s="1163">
        <v>2</v>
      </c>
    </row>
    <row r="99" spans="1:11" ht="15" customHeight="1" x14ac:dyDescent="0.15">
      <c r="A99" s="6731"/>
      <c r="B99" s="6745"/>
      <c r="C99" s="5360" t="s">
        <v>1582</v>
      </c>
      <c r="D99" s="1376"/>
      <c r="E99" s="1210"/>
      <c r="F99" s="1376"/>
      <c r="G99" s="1210"/>
      <c r="H99" s="1376"/>
      <c r="I99" s="1210"/>
      <c r="J99" s="1376"/>
      <c r="K99" s="1210"/>
    </row>
    <row r="100" spans="1:11" ht="15" x14ac:dyDescent="0.15">
      <c r="A100" s="6731"/>
      <c r="B100" s="6326"/>
      <c r="C100" s="4252" t="s">
        <v>160</v>
      </c>
      <c r="D100" s="4671">
        <f t="shared" ref="D100:I100" si="35">SUM(D98)</f>
        <v>6</v>
      </c>
      <c r="E100" s="4672">
        <f t="shared" si="35"/>
        <v>5</v>
      </c>
      <c r="F100" s="4671">
        <f t="shared" si="35"/>
        <v>2</v>
      </c>
      <c r="G100" s="4672">
        <f t="shared" si="35"/>
        <v>8</v>
      </c>
      <c r="H100" s="4671">
        <f t="shared" si="35"/>
        <v>4</v>
      </c>
      <c r="I100" s="4672">
        <f t="shared" si="35"/>
        <v>4</v>
      </c>
      <c r="J100" s="4671">
        <f>SUM(J98:J99)</f>
        <v>2</v>
      </c>
      <c r="K100" s="4672">
        <f>SUM(K98:K99)</f>
        <v>2</v>
      </c>
    </row>
    <row r="101" spans="1:11" ht="15" customHeight="1" x14ac:dyDescent="0.15">
      <c r="A101" s="5987"/>
      <c r="B101" s="6746" t="s">
        <v>444</v>
      </c>
      <c r="C101" s="6747"/>
      <c r="D101" s="4918">
        <f t="shared" ref="D101:I101" si="36">SUM(D100,D97,D94)</f>
        <v>53</v>
      </c>
      <c r="E101" s="4919">
        <f t="shared" si="36"/>
        <v>52</v>
      </c>
      <c r="F101" s="4918">
        <f t="shared" si="36"/>
        <v>13</v>
      </c>
      <c r="G101" s="4919">
        <f t="shared" si="36"/>
        <v>66</v>
      </c>
      <c r="H101" s="4918">
        <f t="shared" si="36"/>
        <v>12</v>
      </c>
      <c r="I101" s="4919">
        <f t="shared" si="36"/>
        <v>19</v>
      </c>
      <c r="J101" s="4918">
        <f t="shared" ref="J101:K101" si="37">SUM(J100,J97,J94)</f>
        <v>2</v>
      </c>
      <c r="K101" s="4919">
        <f t="shared" si="37"/>
        <v>2</v>
      </c>
    </row>
    <row r="102" spans="1:11" ht="15" customHeight="1" x14ac:dyDescent="0.15">
      <c r="A102" s="6330" t="s">
        <v>573</v>
      </c>
      <c r="B102" s="6331"/>
      <c r="C102" s="6332"/>
      <c r="D102" s="4920">
        <f t="shared" ref="D102:I102" si="38">SUM(D101,D91,D77,D55,D25)</f>
        <v>2371</v>
      </c>
      <c r="E102" s="4921">
        <f t="shared" si="38"/>
        <v>2341</v>
      </c>
      <c r="F102" s="4920">
        <f t="shared" si="38"/>
        <v>1415</v>
      </c>
      <c r="G102" s="4921">
        <f t="shared" si="38"/>
        <v>3783</v>
      </c>
      <c r="H102" s="4920">
        <f t="shared" si="38"/>
        <v>341</v>
      </c>
      <c r="I102" s="4921">
        <f t="shared" si="38"/>
        <v>1511</v>
      </c>
      <c r="J102" s="4920">
        <f t="shared" ref="J102:K102" si="39">SUM(J101,J91,J77,J55,J25)</f>
        <v>139</v>
      </c>
      <c r="K102" s="4921">
        <f t="shared" si="39"/>
        <v>138</v>
      </c>
    </row>
    <row r="103" spans="1:11" ht="15" customHeight="1" x14ac:dyDescent="0.15">
      <c r="I103" s="2735"/>
    </row>
    <row r="104" spans="1:11" ht="15" customHeight="1" x14ac:dyDescent="0.15">
      <c r="I104" s="2735"/>
    </row>
    <row r="105" spans="1:11" ht="15" customHeight="1" x14ac:dyDescent="0.15">
      <c r="I105" s="2735"/>
    </row>
    <row r="106" spans="1:11" ht="15" customHeight="1" x14ac:dyDescent="0.15">
      <c r="I106" s="2735"/>
    </row>
    <row r="107" spans="1:11" ht="15" customHeight="1" x14ac:dyDescent="0.15">
      <c r="I107" s="2735"/>
    </row>
    <row r="108" spans="1:11" ht="15" customHeight="1" x14ac:dyDescent="0.15">
      <c r="I108" s="2735"/>
    </row>
    <row r="109" spans="1:11" ht="15" customHeight="1" x14ac:dyDescent="0.15">
      <c r="I109" s="2735"/>
    </row>
    <row r="110" spans="1:11" ht="15" customHeight="1" x14ac:dyDescent="0.15">
      <c r="I110" s="2735"/>
    </row>
    <row r="111" spans="1:11" ht="15" customHeight="1" x14ac:dyDescent="0.15">
      <c r="I111" s="2735"/>
    </row>
    <row r="112" spans="1:11" ht="15" customHeight="1" x14ac:dyDescent="0.15"/>
    <row r="113" ht="15" customHeight="1" x14ac:dyDescent="0.15"/>
    <row r="114" ht="15" customHeight="1" x14ac:dyDescent="0.15"/>
    <row r="115" ht="15" customHeight="1" x14ac:dyDescent="0.15"/>
    <row r="116" ht="15" customHeight="1" x14ac:dyDescent="0.15"/>
    <row r="117" ht="15" customHeight="1" x14ac:dyDescent="0.15"/>
    <row r="118" ht="15" customHeight="1" x14ac:dyDescent="0.15"/>
    <row r="119" ht="15" customHeight="1" x14ac:dyDescent="0.15"/>
    <row r="120" ht="15" customHeight="1" x14ac:dyDescent="0.15"/>
    <row r="121" ht="15" customHeight="1" x14ac:dyDescent="0.15"/>
    <row r="122" ht="15" customHeight="1" x14ac:dyDescent="0.15"/>
    <row r="123" ht="15" customHeight="1" x14ac:dyDescent="0.15"/>
    <row r="124" ht="15" customHeight="1" x14ac:dyDescent="0.15"/>
    <row r="125" ht="15" customHeight="1" x14ac:dyDescent="0.15"/>
    <row r="126" ht="15" customHeight="1" x14ac:dyDescent="0.15"/>
    <row r="127" ht="15" customHeight="1" x14ac:dyDescent="0.15"/>
    <row r="128" ht="15" customHeight="1" x14ac:dyDescent="0.15"/>
    <row r="129" ht="15" customHeight="1" x14ac:dyDescent="0.15"/>
    <row r="130" ht="15" customHeight="1" x14ac:dyDescent="0.15"/>
    <row r="131" ht="15" customHeight="1" x14ac:dyDescent="0.15"/>
    <row r="132" ht="15" customHeight="1" x14ac:dyDescent="0.15"/>
    <row r="133" ht="15" customHeight="1" x14ac:dyDescent="0.15"/>
    <row r="134" ht="15" customHeight="1" x14ac:dyDescent="0.15"/>
    <row r="135" ht="15" customHeight="1" x14ac:dyDescent="0.15"/>
    <row r="136" ht="15" customHeight="1" x14ac:dyDescent="0.15"/>
    <row r="137" ht="15" customHeight="1" x14ac:dyDescent="0.15"/>
    <row r="138" ht="15" customHeight="1" x14ac:dyDescent="0.15"/>
    <row r="139" ht="15" customHeight="1" x14ac:dyDescent="0.15"/>
    <row r="140" ht="15" customHeight="1" x14ac:dyDescent="0.15"/>
    <row r="141" ht="15" customHeight="1" x14ac:dyDescent="0.15"/>
    <row r="142" ht="15" customHeight="1" x14ac:dyDescent="0.15"/>
    <row r="143" ht="15" customHeight="1" x14ac:dyDescent="0.15"/>
    <row r="144" ht="15" customHeight="1" x14ac:dyDescent="0.15"/>
    <row r="145" ht="15" customHeight="1" x14ac:dyDescent="0.15"/>
    <row r="146" ht="15" customHeight="1" x14ac:dyDescent="0.15"/>
    <row r="147" ht="15" customHeight="1" x14ac:dyDescent="0.15"/>
    <row r="148" ht="15" customHeight="1" x14ac:dyDescent="0.15"/>
    <row r="149" ht="15" customHeight="1" x14ac:dyDescent="0.15"/>
    <row r="150" ht="15" customHeight="1" x14ac:dyDescent="0.15"/>
    <row r="151" ht="15" customHeight="1" x14ac:dyDescent="0.15"/>
    <row r="152" ht="15" customHeight="1" x14ac:dyDescent="0.15"/>
    <row r="153" ht="15" customHeight="1" x14ac:dyDescent="0.15"/>
    <row r="154" ht="15" customHeight="1" x14ac:dyDescent="0.15"/>
    <row r="155" ht="15" customHeight="1" x14ac:dyDescent="0.15"/>
    <row r="156" ht="15" customHeight="1" x14ac:dyDescent="0.15"/>
    <row r="157" ht="15" customHeight="1" x14ac:dyDescent="0.15"/>
    <row r="158" ht="15" customHeight="1" x14ac:dyDescent="0.15"/>
    <row r="159" ht="15" customHeight="1" x14ac:dyDescent="0.15"/>
    <row r="160" ht="15" customHeight="1" x14ac:dyDescent="0.15"/>
    <row r="161" ht="15" customHeight="1" x14ac:dyDescent="0.15"/>
    <row r="162" ht="15" customHeight="1" x14ac:dyDescent="0.15"/>
    <row r="163" ht="15" customHeight="1" x14ac:dyDescent="0.15"/>
    <row r="164" ht="15" customHeight="1" x14ac:dyDescent="0.15"/>
    <row r="165" ht="15" customHeight="1" x14ac:dyDescent="0.15"/>
    <row r="166" ht="15" customHeight="1" x14ac:dyDescent="0.15"/>
    <row r="167" ht="15" customHeight="1" x14ac:dyDescent="0.15"/>
    <row r="168" ht="15" customHeight="1" x14ac:dyDescent="0.15"/>
    <row r="169" ht="15" customHeight="1" x14ac:dyDescent="0.15"/>
    <row r="170" ht="15" customHeight="1" x14ac:dyDescent="0.15"/>
    <row r="171" ht="15" customHeight="1" x14ac:dyDescent="0.15"/>
    <row r="172" ht="15" customHeight="1" x14ac:dyDescent="0.15"/>
    <row r="173" ht="15" customHeight="1" x14ac:dyDescent="0.15"/>
    <row r="174" ht="15" customHeight="1" x14ac:dyDescent="0.15"/>
    <row r="175" ht="15" customHeight="1" x14ac:dyDescent="0.15"/>
    <row r="176" ht="15" customHeight="1" x14ac:dyDescent="0.15"/>
    <row r="177" ht="15" customHeight="1" x14ac:dyDescent="0.15"/>
    <row r="178" ht="15" customHeight="1" x14ac:dyDescent="0.15"/>
    <row r="179" ht="15" customHeight="1" x14ac:dyDescent="0.15"/>
    <row r="180" ht="15" customHeight="1" x14ac:dyDescent="0.15"/>
    <row r="181" ht="15" customHeight="1" x14ac:dyDescent="0.15"/>
    <row r="182" ht="15" customHeight="1" x14ac:dyDescent="0.15"/>
    <row r="183" ht="15" customHeight="1" x14ac:dyDescent="0.15"/>
    <row r="184" ht="15" customHeight="1" x14ac:dyDescent="0.15"/>
    <row r="185" ht="15" customHeight="1" x14ac:dyDescent="0.15"/>
    <row r="186" ht="15" customHeight="1" x14ac:dyDescent="0.15"/>
    <row r="187" ht="15" customHeight="1" x14ac:dyDescent="0.15"/>
    <row r="188" ht="15" customHeight="1" x14ac:dyDescent="0.15"/>
    <row r="189" ht="15" customHeight="1" x14ac:dyDescent="0.15"/>
    <row r="190" ht="15" customHeight="1" x14ac:dyDescent="0.15"/>
    <row r="191" ht="15" customHeight="1" x14ac:dyDescent="0.15"/>
    <row r="192" ht="15" customHeight="1" x14ac:dyDescent="0.15"/>
    <row r="193" ht="15" customHeight="1" x14ac:dyDescent="0.15"/>
    <row r="194" ht="15" customHeight="1" x14ac:dyDescent="0.15"/>
    <row r="195" ht="15" customHeight="1" x14ac:dyDescent="0.15"/>
    <row r="196" ht="15" customHeight="1" x14ac:dyDescent="0.15"/>
    <row r="197" ht="15" customHeight="1" x14ac:dyDescent="0.15"/>
    <row r="198" ht="15" customHeight="1" x14ac:dyDescent="0.15"/>
    <row r="199" ht="15" customHeight="1" x14ac:dyDescent="0.15"/>
    <row r="200" ht="15" customHeight="1" x14ac:dyDescent="0.15"/>
    <row r="201" ht="15" customHeight="1" x14ac:dyDescent="0.15"/>
    <row r="202" ht="15" customHeight="1" x14ac:dyDescent="0.15"/>
    <row r="203" ht="15" customHeight="1" x14ac:dyDescent="0.15"/>
    <row r="204" ht="15" customHeight="1" x14ac:dyDescent="0.15"/>
    <row r="205" ht="15" customHeight="1" x14ac:dyDescent="0.15"/>
    <row r="206" ht="15" customHeight="1" x14ac:dyDescent="0.15"/>
    <row r="207" ht="15" customHeight="1" x14ac:dyDescent="0.15"/>
    <row r="208" ht="15" customHeight="1" x14ac:dyDescent="0.15"/>
    <row r="209" ht="15" customHeight="1" x14ac:dyDescent="0.15"/>
    <row r="210" ht="15" customHeight="1" x14ac:dyDescent="0.15"/>
    <row r="211" ht="15" customHeight="1" x14ac:dyDescent="0.15"/>
    <row r="212" ht="15" customHeight="1" x14ac:dyDescent="0.15"/>
    <row r="213" ht="15" customHeight="1" x14ac:dyDescent="0.15"/>
    <row r="214" ht="15" customHeight="1" x14ac:dyDescent="0.15"/>
    <row r="215" ht="15" customHeight="1" x14ac:dyDescent="0.15"/>
    <row r="216" ht="15" customHeight="1" x14ac:dyDescent="0.15"/>
    <row r="217" ht="15" customHeight="1" x14ac:dyDescent="0.15"/>
    <row r="218" ht="15" customHeight="1" x14ac:dyDescent="0.15"/>
    <row r="219" ht="15" customHeight="1" x14ac:dyDescent="0.15"/>
    <row r="220" ht="15" customHeight="1" x14ac:dyDescent="0.15"/>
    <row r="221" ht="15" customHeight="1" x14ac:dyDescent="0.15"/>
    <row r="222" ht="15" customHeight="1" x14ac:dyDescent="0.15"/>
    <row r="223" ht="15" customHeight="1" x14ac:dyDescent="0.15"/>
    <row r="224" ht="15" customHeight="1" x14ac:dyDescent="0.15"/>
    <row r="225" ht="15" customHeight="1" x14ac:dyDescent="0.15"/>
    <row r="226" ht="15" customHeight="1" x14ac:dyDescent="0.15"/>
    <row r="227" ht="15" customHeight="1" x14ac:dyDescent="0.15"/>
    <row r="228" ht="15" customHeight="1" x14ac:dyDescent="0.15"/>
    <row r="229" ht="15" customHeight="1" x14ac:dyDescent="0.15"/>
    <row r="230" ht="15" customHeight="1" x14ac:dyDescent="0.15"/>
    <row r="231" ht="15" customHeight="1" x14ac:dyDescent="0.15"/>
    <row r="232" ht="15" customHeight="1" x14ac:dyDescent="0.15"/>
    <row r="233" ht="15" customHeight="1" x14ac:dyDescent="0.15"/>
    <row r="234" ht="15" customHeight="1" x14ac:dyDescent="0.15"/>
    <row r="235" ht="15" customHeight="1" x14ac:dyDescent="0.15"/>
    <row r="236" ht="15" customHeight="1" x14ac:dyDescent="0.15"/>
    <row r="237" ht="15" customHeight="1" x14ac:dyDescent="0.15"/>
    <row r="238" ht="15" customHeight="1" x14ac:dyDescent="0.15"/>
    <row r="239" ht="15" customHeight="1" x14ac:dyDescent="0.15"/>
    <row r="240" ht="15" customHeight="1" x14ac:dyDescent="0.15"/>
    <row r="241" ht="15" customHeight="1" x14ac:dyDescent="0.15"/>
    <row r="242" ht="15" customHeight="1" x14ac:dyDescent="0.15"/>
    <row r="243" ht="15" customHeight="1" x14ac:dyDescent="0.15"/>
    <row r="244" ht="15" customHeight="1" x14ac:dyDescent="0.15"/>
    <row r="245" ht="15" customHeight="1" x14ac:dyDescent="0.15"/>
    <row r="246" ht="15" customHeight="1" x14ac:dyDescent="0.15"/>
    <row r="247" ht="15" customHeight="1" x14ac:dyDescent="0.15"/>
    <row r="248" ht="15" customHeight="1" x14ac:dyDescent="0.15"/>
    <row r="249" ht="15" customHeight="1" x14ac:dyDescent="0.15"/>
    <row r="250" ht="15" customHeight="1" x14ac:dyDescent="0.15"/>
    <row r="251" ht="15" customHeight="1" x14ac:dyDescent="0.15"/>
    <row r="252" ht="15" customHeight="1" x14ac:dyDescent="0.15"/>
    <row r="253" ht="15" customHeight="1" x14ac:dyDescent="0.15"/>
    <row r="254" ht="15" customHeight="1" x14ac:dyDescent="0.15"/>
    <row r="255" ht="15" customHeight="1" x14ac:dyDescent="0.15"/>
    <row r="256" ht="15" customHeight="1" x14ac:dyDescent="0.15"/>
    <row r="257" ht="15" customHeight="1" x14ac:dyDescent="0.15"/>
    <row r="258" ht="15" customHeight="1" x14ac:dyDescent="0.15"/>
    <row r="259" ht="15" customHeight="1" x14ac:dyDescent="0.15"/>
    <row r="260" ht="15" customHeight="1" x14ac:dyDescent="0.15"/>
    <row r="261" ht="15" customHeight="1" x14ac:dyDescent="0.15"/>
    <row r="262" ht="15" customHeight="1" x14ac:dyDescent="0.15"/>
    <row r="263" ht="15" customHeight="1" x14ac:dyDescent="0.15"/>
    <row r="264" ht="15" customHeight="1" x14ac:dyDescent="0.15"/>
    <row r="265" ht="15" customHeight="1" x14ac:dyDescent="0.15"/>
    <row r="266" ht="15" customHeight="1" x14ac:dyDescent="0.15"/>
  </sheetData>
  <sheetProtection algorithmName="SHA-512" hashValue="plZdolF1NxBdZtqiHY3w3KWYifM7Q1G8fKnmCts6wgpn5fKjmn50k9DJ+2Pzvk9Csr4N7Z2X/UhfrPLbhJ1h0w==" saltValue="HfuxmtyAlI5NmhxZiIlPSA==" spinCount="100000" sheet="1" objects="1" scenarios="1"/>
  <mergeCells count="33">
    <mergeCell ref="J3:K3"/>
    <mergeCell ref="A102:C102"/>
    <mergeCell ref="B26:B35"/>
    <mergeCell ref="A26:A55"/>
    <mergeCell ref="B92:B94"/>
    <mergeCell ref="B95:B97"/>
    <mergeCell ref="B98:B100"/>
    <mergeCell ref="B101:C101"/>
    <mergeCell ref="B78:B81"/>
    <mergeCell ref="B82:B85"/>
    <mergeCell ref="B86:B90"/>
    <mergeCell ref="B91:C91"/>
    <mergeCell ref="B56:B62"/>
    <mergeCell ref="B63:B71"/>
    <mergeCell ref="B72:B76"/>
    <mergeCell ref="B77:C77"/>
    <mergeCell ref="A92:A101"/>
    <mergeCell ref="D3:E3"/>
    <mergeCell ref="B5:B15"/>
    <mergeCell ref="B16:B20"/>
    <mergeCell ref="B21:B24"/>
    <mergeCell ref="B25:C25"/>
    <mergeCell ref="B48:B54"/>
    <mergeCell ref="B55:C55"/>
    <mergeCell ref="A3:A4"/>
    <mergeCell ref="B3:B4"/>
    <mergeCell ref="C3:C4"/>
    <mergeCell ref="H3:I3"/>
    <mergeCell ref="F3:G3"/>
    <mergeCell ref="A5:A25"/>
    <mergeCell ref="A56:A77"/>
    <mergeCell ref="A78:A91"/>
    <mergeCell ref="B36:B47"/>
  </mergeCells>
  <printOptions horizontalCentered="1" verticalCentered="1"/>
  <pageMargins left="0.74803149606299213" right="0.74803149606299213" top="0.39370078740157483" bottom="0.39370078740157483" header="0" footer="0"/>
  <pageSetup scale="69" orientation="landscape" r:id="rId1"/>
  <headerFooter alignWithMargins="0"/>
  <rowBreaks count="1" manualBreakCount="1">
    <brk id="55" max="16383" man="1"/>
  </rowBreaks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J37"/>
  <sheetViews>
    <sheetView showGridLines="0" zoomScaleNormal="100" workbookViewId="0">
      <selection activeCell="L28" sqref="L28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8" width="10.7109375" customWidth="1"/>
  </cols>
  <sheetData>
    <row r="1" spans="1:10" ht="15.75" x14ac:dyDescent="0.25">
      <c r="A1" s="139" t="s">
        <v>1201</v>
      </c>
    </row>
    <row r="3" spans="1:10" ht="15" x14ac:dyDescent="0.2">
      <c r="A3" s="5653" t="s">
        <v>16</v>
      </c>
      <c r="B3" s="5653" t="s">
        <v>4</v>
      </c>
      <c r="C3" s="6664">
        <v>2014</v>
      </c>
      <c r="D3" s="6665"/>
      <c r="E3" s="6664">
        <v>2015</v>
      </c>
      <c r="F3" s="6665"/>
      <c r="G3" s="6664">
        <v>2016</v>
      </c>
      <c r="H3" s="6665"/>
      <c r="I3" s="6664">
        <v>2017</v>
      </c>
      <c r="J3" s="6665"/>
    </row>
    <row r="4" spans="1:10" x14ac:dyDescent="0.2">
      <c r="A4" s="5654"/>
      <c r="B4" s="5654"/>
      <c r="C4" s="1326" t="s">
        <v>630</v>
      </c>
      <c r="D4" s="1327" t="s">
        <v>631</v>
      </c>
      <c r="E4" s="1326" t="s">
        <v>630</v>
      </c>
      <c r="F4" s="1327" t="s">
        <v>631</v>
      </c>
      <c r="G4" s="1326" t="s">
        <v>630</v>
      </c>
      <c r="H4" s="1327" t="s">
        <v>631</v>
      </c>
      <c r="I4" s="1326" t="s">
        <v>630</v>
      </c>
      <c r="J4" s="1327" t="s">
        <v>631</v>
      </c>
    </row>
    <row r="5" spans="1:10" ht="15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</row>
    <row r="6" spans="1:10" ht="15" x14ac:dyDescent="0.2">
      <c r="A6" s="5778" t="s">
        <v>161</v>
      </c>
      <c r="B6" s="263" t="s">
        <v>5</v>
      </c>
      <c r="C6" s="264">
        <f>SUM('2 Excelencia_plan'!D15)</f>
        <v>186</v>
      </c>
      <c r="D6" s="266">
        <f>SUM('2 Excelencia_plan'!E15)</f>
        <v>183</v>
      </c>
      <c r="E6" s="264">
        <f>SUM('2 Excelencia_plan'!F15)</f>
        <v>83</v>
      </c>
      <c r="F6" s="266">
        <f>SUM('2 Excelencia_plan'!G15)</f>
        <v>269</v>
      </c>
      <c r="G6" s="264">
        <f>SUM('2 Excelencia_plan'!H15)</f>
        <v>34</v>
      </c>
      <c r="H6" s="266">
        <f>SUM('2 Excelencia_plan'!I15)</f>
        <v>91</v>
      </c>
      <c r="I6" s="264">
        <f>SUM('2 Excelencia_plan'!J15)</f>
        <v>10</v>
      </c>
      <c r="J6" s="266">
        <f>SUM('2 Excelencia_plan'!K15)</f>
        <v>10</v>
      </c>
    </row>
    <row r="7" spans="1:10" ht="15" x14ac:dyDescent="0.2">
      <c r="A7" s="5779"/>
      <c r="B7" s="267" t="s">
        <v>6</v>
      </c>
      <c r="C7" s="268">
        <f>SUM('2 Excelencia_plan'!D20)</f>
        <v>375</v>
      </c>
      <c r="D7" s="270">
        <f>SUM('2 Excelencia_plan'!E20)</f>
        <v>373</v>
      </c>
      <c r="E7" s="268">
        <f>SUM('2 Excelencia_plan'!F20)</f>
        <v>260</v>
      </c>
      <c r="F7" s="270">
        <f>SUM('2 Excelencia_plan'!G20)</f>
        <v>633</v>
      </c>
      <c r="G7" s="268">
        <f>SUM('2 Excelencia_plan'!H20)</f>
        <v>55</v>
      </c>
      <c r="H7" s="270">
        <f>SUM('2 Excelencia_plan'!I20)</f>
        <v>264</v>
      </c>
      <c r="I7" s="268">
        <f>SUM('2 Excelencia_plan'!J20)</f>
        <v>4</v>
      </c>
      <c r="J7" s="270">
        <f>SUM('2 Excelencia_plan'!K20)</f>
        <v>4</v>
      </c>
    </row>
    <row r="8" spans="1:10" ht="15" x14ac:dyDescent="0.2">
      <c r="A8" s="5779"/>
      <c r="B8" s="267" t="s">
        <v>7</v>
      </c>
      <c r="C8" s="2761">
        <f>SUM('2 Excelencia_plan'!D24)</f>
        <v>179</v>
      </c>
      <c r="D8" s="2763">
        <f>SUM('2 Excelencia_plan'!E24)</f>
        <v>171</v>
      </c>
      <c r="E8" s="2761">
        <f>SUM('2 Excelencia_plan'!F24)</f>
        <v>101</v>
      </c>
      <c r="F8" s="2763">
        <f>SUM('2 Excelencia_plan'!G24)</f>
        <v>280</v>
      </c>
      <c r="G8" s="2761">
        <f>SUM('2 Excelencia_plan'!H24)</f>
        <v>28</v>
      </c>
      <c r="H8" s="2763">
        <f>SUM('2 Excelencia_plan'!I24)</f>
        <v>117</v>
      </c>
      <c r="I8" s="2761">
        <f>SUM('2 Excelencia_plan'!J24)</f>
        <v>18</v>
      </c>
      <c r="J8" s="2763">
        <f>SUM('2 Excelencia_plan'!K24)</f>
        <v>18</v>
      </c>
    </row>
    <row r="9" spans="1:10" ht="15" x14ac:dyDescent="0.2">
      <c r="A9" s="5780"/>
      <c r="B9" s="2231" t="s">
        <v>160</v>
      </c>
      <c r="C9" s="2285">
        <f t="shared" ref="C9:H9" si="0">SUM(C6:C8)</f>
        <v>740</v>
      </c>
      <c r="D9" s="2287">
        <f t="shared" si="0"/>
        <v>727</v>
      </c>
      <c r="E9" s="2285">
        <f t="shared" si="0"/>
        <v>444</v>
      </c>
      <c r="F9" s="2287">
        <f t="shared" si="0"/>
        <v>1182</v>
      </c>
      <c r="G9" s="2285">
        <f t="shared" si="0"/>
        <v>117</v>
      </c>
      <c r="H9" s="2287">
        <f t="shared" si="0"/>
        <v>472</v>
      </c>
      <c r="I9" s="2285">
        <f t="shared" ref="I9:J9" si="1">SUM(I6:I8)</f>
        <v>32</v>
      </c>
      <c r="J9" s="2287">
        <f t="shared" si="1"/>
        <v>32</v>
      </c>
    </row>
    <row r="10" spans="1:10" ht="15.75" x14ac:dyDescent="0.25">
      <c r="A10" s="1781"/>
      <c r="B10" s="209"/>
      <c r="C10" s="216"/>
      <c r="D10" s="216"/>
      <c r="E10" s="216"/>
      <c r="F10" s="216"/>
      <c r="G10" s="216"/>
      <c r="H10" s="216"/>
      <c r="I10" s="216"/>
      <c r="J10" s="216"/>
    </row>
    <row r="11" spans="1:10" ht="15" x14ac:dyDescent="0.2">
      <c r="A11" s="5781" t="s">
        <v>407</v>
      </c>
      <c r="B11" s="263" t="s">
        <v>6</v>
      </c>
      <c r="C11" s="264">
        <f>SUM('2 Excelencia_plan'!D81)</f>
        <v>27</v>
      </c>
      <c r="D11" s="266">
        <f>SUM('2 Excelencia_plan'!E81)</f>
        <v>27</v>
      </c>
      <c r="E11" s="264">
        <f>SUM('2 Excelencia_plan'!F81)</f>
        <v>8</v>
      </c>
      <c r="F11" s="266">
        <f>SUM('2 Excelencia_plan'!G81)</f>
        <v>35</v>
      </c>
      <c r="G11" s="264">
        <f>SUM('2 Excelencia_plan'!H81)</f>
        <v>16</v>
      </c>
      <c r="H11" s="266">
        <f>SUM('2 Excelencia_plan'!I81)</f>
        <v>19</v>
      </c>
      <c r="I11" s="264">
        <f>SUM('2 Excelencia_plan'!J81)</f>
        <v>2</v>
      </c>
      <c r="J11" s="266">
        <f>SUM('2 Excelencia_plan'!K81)</f>
        <v>2</v>
      </c>
    </row>
    <row r="12" spans="1:10" ht="15" x14ac:dyDescent="0.2">
      <c r="A12" s="5782"/>
      <c r="B12" s="267" t="s">
        <v>9</v>
      </c>
      <c r="C12" s="268">
        <f>SUM('2 Excelencia_plan'!D85)</f>
        <v>38</v>
      </c>
      <c r="D12" s="270">
        <f>SUM('2 Excelencia_plan'!E85)</f>
        <v>37</v>
      </c>
      <c r="E12" s="268">
        <f>SUM('2 Excelencia_plan'!F85)</f>
        <v>22</v>
      </c>
      <c r="F12" s="270">
        <f>SUM('2 Excelencia_plan'!G85)</f>
        <v>60</v>
      </c>
      <c r="G12" s="268">
        <f>SUM('2 Excelencia_plan'!H85)</f>
        <v>8</v>
      </c>
      <c r="H12" s="270">
        <f>SUM('2 Excelencia_plan'!I85)</f>
        <v>18</v>
      </c>
      <c r="I12" s="268">
        <f>SUM('2 Excelencia_plan'!J85)</f>
        <v>2</v>
      </c>
      <c r="J12" s="270">
        <f>SUM('2 Excelencia_plan'!K85)</f>
        <v>2</v>
      </c>
    </row>
    <row r="13" spans="1:10" ht="15" x14ac:dyDescent="0.2">
      <c r="A13" s="5782"/>
      <c r="B13" s="267" t="s">
        <v>74</v>
      </c>
      <c r="C13" s="2761">
        <f>SUM('2 Excelencia_plan'!D90)</f>
        <v>9</v>
      </c>
      <c r="D13" s="2763">
        <f>SUM('2 Excelencia_plan'!E90)</f>
        <v>9</v>
      </c>
      <c r="E13" s="2761">
        <f>SUM('2 Excelencia_plan'!F90)</f>
        <v>7</v>
      </c>
      <c r="F13" s="2763">
        <f>SUM('2 Excelencia_plan'!G90)</f>
        <v>16</v>
      </c>
      <c r="G13" s="2761">
        <f>SUM('2 Excelencia_plan'!H90)</f>
        <v>1</v>
      </c>
      <c r="H13" s="2763">
        <f>SUM('2 Excelencia_plan'!I90)</f>
        <v>5</v>
      </c>
      <c r="I13" s="2761">
        <f>SUM('2 Excelencia_plan'!J90)</f>
        <v>4</v>
      </c>
      <c r="J13" s="2763">
        <f>SUM('2 Excelencia_plan'!K90)</f>
        <v>4</v>
      </c>
    </row>
    <row r="14" spans="1:10" ht="15" x14ac:dyDescent="0.2">
      <c r="A14" s="5783"/>
      <c r="B14" s="2228" t="s">
        <v>160</v>
      </c>
      <c r="C14" s="2278">
        <f t="shared" ref="C14:H14" si="2">SUM(C11:C13)</f>
        <v>74</v>
      </c>
      <c r="D14" s="2280">
        <f t="shared" si="2"/>
        <v>73</v>
      </c>
      <c r="E14" s="2278">
        <f t="shared" si="2"/>
        <v>37</v>
      </c>
      <c r="F14" s="2280">
        <f t="shared" si="2"/>
        <v>111</v>
      </c>
      <c r="G14" s="2278">
        <f t="shared" si="2"/>
        <v>25</v>
      </c>
      <c r="H14" s="2280">
        <f t="shared" si="2"/>
        <v>42</v>
      </c>
      <c r="I14" s="2278">
        <f t="shared" ref="I14:J14" si="3">SUM(I11:I13)</f>
        <v>8</v>
      </c>
      <c r="J14" s="2280">
        <f t="shared" si="3"/>
        <v>8</v>
      </c>
    </row>
    <row r="15" spans="1:10" ht="15.75" x14ac:dyDescent="0.25">
      <c r="A15" s="1781"/>
      <c r="B15" s="689"/>
      <c r="C15" s="689"/>
      <c r="D15" s="689"/>
      <c r="E15" s="689"/>
      <c r="F15" s="689"/>
      <c r="G15" s="689"/>
      <c r="H15" s="689"/>
      <c r="I15" s="689"/>
      <c r="J15" s="689"/>
    </row>
    <row r="16" spans="1:10" ht="15" x14ac:dyDescent="0.2">
      <c r="A16" s="5772" t="s">
        <v>162</v>
      </c>
      <c r="B16" s="263" t="s">
        <v>5</v>
      </c>
      <c r="C16" s="264">
        <f>SUM('2 Excelencia_plan'!D35)</f>
        <v>52</v>
      </c>
      <c r="D16" s="266">
        <f>SUM('2 Excelencia_plan'!E35)</f>
        <v>52</v>
      </c>
      <c r="E16" s="264">
        <f>SUM('2 Excelencia_plan'!F35)</f>
        <v>29</v>
      </c>
      <c r="F16" s="266">
        <f>SUM('2 Excelencia_plan'!G35)</f>
        <v>81</v>
      </c>
      <c r="G16" s="264">
        <f>SUM('2 Excelencia_plan'!H35)</f>
        <v>12</v>
      </c>
      <c r="H16" s="266">
        <f>SUM('2 Excelencia_plan'!I35)</f>
        <v>35</v>
      </c>
      <c r="I16" s="264">
        <f>SUM('2 Excelencia_plan'!J35)</f>
        <v>3</v>
      </c>
      <c r="J16" s="266">
        <f>SUM('2 Excelencia_plan'!K35)</f>
        <v>3</v>
      </c>
    </row>
    <row r="17" spans="1:10" ht="15" x14ac:dyDescent="0.2">
      <c r="A17" s="5773"/>
      <c r="B17" s="267" t="s">
        <v>6</v>
      </c>
      <c r="C17" s="268">
        <f>SUM('2 Excelencia_plan'!D47)</f>
        <v>308</v>
      </c>
      <c r="D17" s="270">
        <f>SUM('2 Excelencia_plan'!E47)</f>
        <v>306</v>
      </c>
      <c r="E17" s="268">
        <f>SUM('2 Excelencia_plan'!F47)</f>
        <v>217</v>
      </c>
      <c r="F17" s="270">
        <f>SUM('2 Excelencia_plan'!G47)</f>
        <v>525</v>
      </c>
      <c r="G17" s="268">
        <f>SUM('2 Excelencia_plan'!H47)</f>
        <v>22</v>
      </c>
      <c r="H17" s="270">
        <f>SUM('2 Excelencia_plan'!I47)</f>
        <v>203</v>
      </c>
      <c r="I17" s="268">
        <f>SUM('2 Excelencia_plan'!J47)</f>
        <v>12</v>
      </c>
      <c r="J17" s="270">
        <f>SUM('2 Excelencia_plan'!K47)</f>
        <v>12</v>
      </c>
    </row>
    <row r="18" spans="1:10" ht="15" x14ac:dyDescent="0.2">
      <c r="A18" s="5773"/>
      <c r="B18" s="267" t="s">
        <v>11</v>
      </c>
      <c r="C18" s="2761">
        <f>+'2 Excelencia_plan'!D54</f>
        <v>116</v>
      </c>
      <c r="D18" s="2763">
        <f>+'2 Excelencia_plan'!E54</f>
        <v>115</v>
      </c>
      <c r="E18" s="2761">
        <f>+'2 Excelencia_plan'!F54</f>
        <v>57</v>
      </c>
      <c r="F18" s="2763">
        <f>+'2 Excelencia_plan'!G54</f>
        <v>173</v>
      </c>
      <c r="G18" s="2761">
        <f>+'2 Excelencia_plan'!H54</f>
        <v>10</v>
      </c>
      <c r="H18" s="2763">
        <f>+'2 Excelencia_plan'!I54</f>
        <v>49</v>
      </c>
      <c r="I18" s="2761">
        <f>+'2 Excelencia_plan'!J54</f>
        <v>3</v>
      </c>
      <c r="J18" s="2763">
        <f>+'2 Excelencia_plan'!K54</f>
        <v>3</v>
      </c>
    </row>
    <row r="19" spans="1:10" ht="15" x14ac:dyDescent="0.2">
      <c r="A19" s="5774"/>
      <c r="B19" s="2225" t="s">
        <v>160</v>
      </c>
      <c r="C19" s="2226">
        <f t="shared" ref="C19:H19" si="4">SUM(C16:C18)</f>
        <v>476</v>
      </c>
      <c r="D19" s="2314">
        <f t="shared" si="4"/>
        <v>473</v>
      </c>
      <c r="E19" s="2226">
        <f t="shared" si="4"/>
        <v>303</v>
      </c>
      <c r="F19" s="2314">
        <f t="shared" si="4"/>
        <v>779</v>
      </c>
      <c r="G19" s="2226">
        <f t="shared" si="4"/>
        <v>44</v>
      </c>
      <c r="H19" s="2314">
        <f t="shared" si="4"/>
        <v>287</v>
      </c>
      <c r="I19" s="2226">
        <f t="shared" ref="I19:J19" si="5">SUM(I16:I18)</f>
        <v>18</v>
      </c>
      <c r="J19" s="2314">
        <f t="shared" si="5"/>
        <v>18</v>
      </c>
    </row>
    <row r="20" spans="1:10" ht="15" x14ac:dyDescent="0.2">
      <c r="A20" s="195"/>
      <c r="B20" s="689"/>
      <c r="C20" s="689"/>
      <c r="D20" s="689"/>
      <c r="E20" s="689"/>
      <c r="F20" s="689"/>
      <c r="G20" s="689"/>
      <c r="H20" s="689"/>
      <c r="I20" s="689"/>
      <c r="J20" s="689"/>
    </row>
    <row r="21" spans="1:10" ht="15" x14ac:dyDescent="0.2">
      <c r="A21" s="5775" t="s">
        <v>408</v>
      </c>
      <c r="B21" s="263" t="s">
        <v>5</v>
      </c>
      <c r="C21" s="264">
        <f>SUM('2 Excelencia_plan'!D94)</f>
        <v>17</v>
      </c>
      <c r="D21" s="266">
        <f>SUM('2 Excelencia_plan'!E94)</f>
        <v>17</v>
      </c>
      <c r="E21" s="264">
        <f>SUM('2 Excelencia_plan'!F94)</f>
        <v>5</v>
      </c>
      <c r="F21" s="266">
        <f>SUM('2 Excelencia_plan'!G94)</f>
        <v>22</v>
      </c>
      <c r="G21" s="264">
        <f>SUM('2 Excelencia_plan'!H94)</f>
        <v>1</v>
      </c>
      <c r="H21" s="266">
        <f>SUM('2 Excelencia_plan'!I94)</f>
        <v>3</v>
      </c>
      <c r="I21" s="264">
        <f>SUM('2 Excelencia_plan'!J94)</f>
        <v>0</v>
      </c>
      <c r="J21" s="266">
        <f>SUM('2 Excelencia_plan'!K94)</f>
        <v>0</v>
      </c>
    </row>
    <row r="22" spans="1:10" ht="15" x14ac:dyDescent="0.2">
      <c r="A22" s="5776"/>
      <c r="B22" s="267" t="s">
        <v>6</v>
      </c>
      <c r="C22" s="268">
        <f>SUM('2 Excelencia_plan'!D97)</f>
        <v>30</v>
      </c>
      <c r="D22" s="270">
        <f>SUM('2 Excelencia_plan'!E97)</f>
        <v>30</v>
      </c>
      <c r="E22" s="268">
        <f>SUM('2 Excelencia_plan'!F97)</f>
        <v>6</v>
      </c>
      <c r="F22" s="270">
        <f>SUM('2 Excelencia_plan'!G97)</f>
        <v>36</v>
      </c>
      <c r="G22" s="268">
        <f>SUM('2 Excelencia_plan'!H97)</f>
        <v>7</v>
      </c>
      <c r="H22" s="270">
        <f>SUM('2 Excelencia_plan'!I97)</f>
        <v>12</v>
      </c>
      <c r="I22" s="268">
        <f>SUM('2 Excelencia_plan'!J97)</f>
        <v>0</v>
      </c>
      <c r="J22" s="270">
        <f>SUM('2 Excelencia_plan'!K97)</f>
        <v>0</v>
      </c>
    </row>
    <row r="23" spans="1:10" ht="15" x14ac:dyDescent="0.2">
      <c r="A23" s="5776"/>
      <c r="B23" s="267" t="s">
        <v>11</v>
      </c>
      <c r="C23" s="2761">
        <f>SUM('2 Excelencia_plan'!D100)</f>
        <v>6</v>
      </c>
      <c r="D23" s="2763">
        <f>SUM('2 Excelencia_plan'!E100)</f>
        <v>5</v>
      </c>
      <c r="E23" s="2761">
        <f>SUM('2 Excelencia_plan'!F100)</f>
        <v>2</v>
      </c>
      <c r="F23" s="2763">
        <f>SUM('2 Excelencia_plan'!G100)</f>
        <v>8</v>
      </c>
      <c r="G23" s="2761">
        <f>SUM('2 Excelencia_plan'!H100)</f>
        <v>4</v>
      </c>
      <c r="H23" s="2763">
        <f>SUM('2 Excelencia_plan'!I100)</f>
        <v>4</v>
      </c>
      <c r="I23" s="2761">
        <f>SUM('2 Excelencia_plan'!J100)</f>
        <v>2</v>
      </c>
      <c r="J23" s="2763">
        <f>SUM('2 Excelencia_plan'!K100)</f>
        <v>2</v>
      </c>
    </row>
    <row r="24" spans="1:10" ht="15" x14ac:dyDescent="0.2">
      <c r="A24" s="5777"/>
      <c r="B24" s="2223" t="s">
        <v>160</v>
      </c>
      <c r="C24" s="2224">
        <f t="shared" ref="C24:H24" si="6">SUM(C21:C23)</f>
        <v>53</v>
      </c>
      <c r="D24" s="2234">
        <f t="shared" si="6"/>
        <v>52</v>
      </c>
      <c r="E24" s="2224">
        <f t="shared" si="6"/>
        <v>13</v>
      </c>
      <c r="F24" s="2234">
        <f t="shared" si="6"/>
        <v>66</v>
      </c>
      <c r="G24" s="2224">
        <f t="shared" si="6"/>
        <v>12</v>
      </c>
      <c r="H24" s="2234">
        <f t="shared" si="6"/>
        <v>19</v>
      </c>
      <c r="I24" s="2224">
        <f t="shared" ref="I24:J24" si="7">SUM(I21:I23)</f>
        <v>2</v>
      </c>
      <c r="J24" s="2234">
        <f t="shared" si="7"/>
        <v>2</v>
      </c>
    </row>
    <row r="25" spans="1:10" ht="15.75" x14ac:dyDescent="0.25">
      <c r="A25" s="1781"/>
      <c r="B25" s="209"/>
      <c r="C25" s="216"/>
      <c r="D25" s="216"/>
      <c r="E25" s="216"/>
      <c r="F25" s="216"/>
      <c r="G25" s="216"/>
      <c r="H25" s="216"/>
      <c r="I25" s="216"/>
      <c r="J25" s="216"/>
    </row>
    <row r="26" spans="1:10" ht="15" x14ac:dyDescent="0.2">
      <c r="A26" s="5784" t="s">
        <v>163</v>
      </c>
      <c r="B26" s="263" t="s">
        <v>6</v>
      </c>
      <c r="C26" s="264">
        <f>SUM('2 Excelencia_plan'!D62)</f>
        <v>417</v>
      </c>
      <c r="D26" s="266">
        <f>SUM('2 Excelencia_plan'!E62)</f>
        <v>414</v>
      </c>
      <c r="E26" s="264">
        <f>SUM('2 Excelencia_plan'!F62)</f>
        <v>258</v>
      </c>
      <c r="F26" s="266">
        <f>SUM('2 Excelencia_plan'!G62)</f>
        <v>675</v>
      </c>
      <c r="G26" s="264">
        <f>SUM('2 Excelencia_plan'!H62)</f>
        <v>44</v>
      </c>
      <c r="H26" s="266">
        <f>SUM('2 Excelencia_plan'!I62)</f>
        <v>273</v>
      </c>
      <c r="I26" s="264">
        <f>SUM('2 Excelencia_plan'!J62)</f>
        <v>29</v>
      </c>
      <c r="J26" s="266">
        <f>SUM('2 Excelencia_plan'!K62)</f>
        <v>29</v>
      </c>
    </row>
    <row r="27" spans="1:10" ht="15" x14ac:dyDescent="0.2">
      <c r="A27" s="5785"/>
      <c r="B27" s="267" t="s">
        <v>11</v>
      </c>
      <c r="C27" s="268">
        <f>SUM('2 Excelencia_plan'!D71)</f>
        <v>392</v>
      </c>
      <c r="D27" s="270">
        <f>SUM('2 Excelencia_plan'!E71)</f>
        <v>387</v>
      </c>
      <c r="E27" s="268">
        <f>SUM('2 Excelencia_plan'!F71)</f>
        <v>250</v>
      </c>
      <c r="F27" s="270">
        <f>SUM('2 Excelencia_plan'!G71)</f>
        <v>641</v>
      </c>
      <c r="G27" s="268">
        <f>SUM('2 Excelencia_plan'!H71)</f>
        <v>75</v>
      </c>
      <c r="H27" s="270">
        <f>SUM('2 Excelencia_plan'!I71)</f>
        <v>296</v>
      </c>
      <c r="I27" s="268">
        <f>SUM('2 Excelencia_plan'!J71)</f>
        <v>21</v>
      </c>
      <c r="J27" s="270">
        <f>SUM('2 Excelencia_plan'!K71)</f>
        <v>21</v>
      </c>
    </row>
    <row r="28" spans="1:10" ht="15" x14ac:dyDescent="0.2">
      <c r="A28" s="5785"/>
      <c r="B28" s="267" t="s">
        <v>7</v>
      </c>
      <c r="C28" s="2761">
        <f>SUM('2 Excelencia_plan'!D76)</f>
        <v>219</v>
      </c>
      <c r="D28" s="2763">
        <f>SUM('2 Excelencia_plan'!E76)</f>
        <v>215</v>
      </c>
      <c r="E28" s="2761">
        <f>SUM('2 Excelencia_plan'!F76)</f>
        <v>110</v>
      </c>
      <c r="F28" s="2763">
        <f>SUM('2 Excelencia_plan'!G76)</f>
        <v>329</v>
      </c>
      <c r="G28" s="2761">
        <f>SUM('2 Excelencia_plan'!H76)</f>
        <v>24</v>
      </c>
      <c r="H28" s="2763">
        <f>SUM('2 Excelencia_plan'!I76)</f>
        <v>122</v>
      </c>
      <c r="I28" s="2761">
        <f>SUM('2 Excelencia_plan'!J76)</f>
        <v>29</v>
      </c>
      <c r="J28" s="2763">
        <f>SUM('2 Excelencia_plan'!K76)</f>
        <v>28</v>
      </c>
    </row>
    <row r="29" spans="1:10" ht="15" x14ac:dyDescent="0.2">
      <c r="A29" s="5786"/>
      <c r="B29" s="2235" t="s">
        <v>160</v>
      </c>
      <c r="C29" s="2236">
        <f t="shared" ref="C29:H29" si="8">SUM(C26:C28)</f>
        <v>1028</v>
      </c>
      <c r="D29" s="2312">
        <f t="shared" si="8"/>
        <v>1016</v>
      </c>
      <c r="E29" s="2236">
        <f t="shared" si="8"/>
        <v>618</v>
      </c>
      <c r="F29" s="2312">
        <f t="shared" si="8"/>
        <v>1645</v>
      </c>
      <c r="G29" s="2236">
        <f t="shared" si="8"/>
        <v>143</v>
      </c>
      <c r="H29" s="2312">
        <f t="shared" si="8"/>
        <v>691</v>
      </c>
      <c r="I29" s="2236">
        <f t="shared" ref="I29:J29" si="9">SUM(I26:I28)</f>
        <v>79</v>
      </c>
      <c r="J29" s="2312">
        <f t="shared" si="9"/>
        <v>78</v>
      </c>
    </row>
    <row r="30" spans="1:10" x14ac:dyDescent="0.2">
      <c r="A30" s="209"/>
      <c r="B30" s="209"/>
      <c r="C30" s="216"/>
      <c r="D30" s="216"/>
      <c r="E30" s="216"/>
      <c r="F30" s="216"/>
      <c r="G30" s="216"/>
      <c r="H30" s="216"/>
      <c r="I30" s="216"/>
      <c r="J30" s="216"/>
    </row>
    <row r="31" spans="1:10" ht="15" x14ac:dyDescent="0.2">
      <c r="A31" s="5683" t="s">
        <v>60</v>
      </c>
      <c r="B31" s="263" t="s">
        <v>5</v>
      </c>
      <c r="C31" s="264">
        <f t="shared" ref="C31:H31" si="10">SUM(C6,C16,C21)</f>
        <v>255</v>
      </c>
      <c r="D31" s="266">
        <f t="shared" si="10"/>
        <v>252</v>
      </c>
      <c r="E31" s="264">
        <f t="shared" si="10"/>
        <v>117</v>
      </c>
      <c r="F31" s="266">
        <f t="shared" si="10"/>
        <v>372</v>
      </c>
      <c r="G31" s="264">
        <f t="shared" si="10"/>
        <v>47</v>
      </c>
      <c r="H31" s="266">
        <f t="shared" si="10"/>
        <v>129</v>
      </c>
      <c r="I31" s="264">
        <f t="shared" ref="I31:J31" si="11">SUM(I6,I16,I21)</f>
        <v>13</v>
      </c>
      <c r="J31" s="266">
        <f t="shared" si="11"/>
        <v>13</v>
      </c>
    </row>
    <row r="32" spans="1:10" ht="15" x14ac:dyDescent="0.2">
      <c r="A32" s="5684"/>
      <c r="B32" s="267" t="s">
        <v>6</v>
      </c>
      <c r="C32" s="268">
        <f t="shared" ref="C32:H32" si="12">SUM(C7,C11,C17,C26,C22)</f>
        <v>1157</v>
      </c>
      <c r="D32" s="270">
        <f t="shared" si="12"/>
        <v>1150</v>
      </c>
      <c r="E32" s="268">
        <f t="shared" si="12"/>
        <v>749</v>
      </c>
      <c r="F32" s="270">
        <f t="shared" si="12"/>
        <v>1904</v>
      </c>
      <c r="G32" s="268">
        <f t="shared" si="12"/>
        <v>144</v>
      </c>
      <c r="H32" s="270">
        <f t="shared" si="12"/>
        <v>771</v>
      </c>
      <c r="I32" s="268">
        <f t="shared" ref="I32:J32" si="13">SUM(I7,I11,I17,I26,I22)</f>
        <v>47</v>
      </c>
      <c r="J32" s="270">
        <f t="shared" si="13"/>
        <v>47</v>
      </c>
    </row>
    <row r="33" spans="1:10" ht="15" x14ac:dyDescent="0.2">
      <c r="A33" s="5684"/>
      <c r="B33" s="267" t="s">
        <v>11</v>
      </c>
      <c r="C33" s="268">
        <f t="shared" ref="C33:H33" si="14">SUM(C18,C27,C23)</f>
        <v>514</v>
      </c>
      <c r="D33" s="270">
        <f t="shared" si="14"/>
        <v>507</v>
      </c>
      <c r="E33" s="268">
        <f t="shared" si="14"/>
        <v>309</v>
      </c>
      <c r="F33" s="270">
        <f t="shared" si="14"/>
        <v>822</v>
      </c>
      <c r="G33" s="268">
        <f t="shared" si="14"/>
        <v>89</v>
      </c>
      <c r="H33" s="270">
        <f t="shared" si="14"/>
        <v>349</v>
      </c>
      <c r="I33" s="268">
        <f t="shared" ref="I33:J33" si="15">SUM(I18,I27,I23)</f>
        <v>26</v>
      </c>
      <c r="J33" s="270">
        <f t="shared" si="15"/>
        <v>26</v>
      </c>
    </row>
    <row r="34" spans="1:10" ht="15" x14ac:dyDescent="0.2">
      <c r="A34" s="5684"/>
      <c r="B34" s="267" t="s">
        <v>7</v>
      </c>
      <c r="C34" s="268">
        <f t="shared" ref="C34:H34" si="16">SUM(C8,C28)</f>
        <v>398</v>
      </c>
      <c r="D34" s="270">
        <f t="shared" si="16"/>
        <v>386</v>
      </c>
      <c r="E34" s="268">
        <f t="shared" si="16"/>
        <v>211</v>
      </c>
      <c r="F34" s="270">
        <f t="shared" si="16"/>
        <v>609</v>
      </c>
      <c r="G34" s="268">
        <f t="shared" si="16"/>
        <v>52</v>
      </c>
      <c r="H34" s="270">
        <f t="shared" si="16"/>
        <v>239</v>
      </c>
      <c r="I34" s="268">
        <f t="shared" ref="I34:J34" si="17">SUM(I8,I28)</f>
        <v>47</v>
      </c>
      <c r="J34" s="270">
        <f t="shared" si="17"/>
        <v>46</v>
      </c>
    </row>
    <row r="35" spans="1:10" ht="15" x14ac:dyDescent="0.2">
      <c r="A35" s="5684"/>
      <c r="B35" s="267" t="s">
        <v>9</v>
      </c>
      <c r="C35" s="268">
        <f t="shared" ref="C35:H36" si="18">SUM(C12)</f>
        <v>38</v>
      </c>
      <c r="D35" s="270">
        <f t="shared" si="18"/>
        <v>37</v>
      </c>
      <c r="E35" s="268">
        <f t="shared" si="18"/>
        <v>22</v>
      </c>
      <c r="F35" s="270">
        <f t="shared" si="18"/>
        <v>60</v>
      </c>
      <c r="G35" s="268">
        <f t="shared" si="18"/>
        <v>8</v>
      </c>
      <c r="H35" s="270">
        <f t="shared" si="18"/>
        <v>18</v>
      </c>
      <c r="I35" s="268">
        <f t="shared" ref="I35:J35" si="19">SUM(I12)</f>
        <v>2</v>
      </c>
      <c r="J35" s="270">
        <f t="shared" si="19"/>
        <v>2</v>
      </c>
    </row>
    <row r="36" spans="1:10" ht="15" x14ac:dyDescent="0.2">
      <c r="A36" s="5684"/>
      <c r="B36" s="277" t="s">
        <v>74</v>
      </c>
      <c r="C36" s="2761">
        <f t="shared" si="18"/>
        <v>9</v>
      </c>
      <c r="D36" s="2763">
        <f t="shared" si="18"/>
        <v>9</v>
      </c>
      <c r="E36" s="2761">
        <f t="shared" si="18"/>
        <v>7</v>
      </c>
      <c r="F36" s="2763">
        <f t="shared" si="18"/>
        <v>16</v>
      </c>
      <c r="G36" s="2761">
        <f t="shared" si="18"/>
        <v>1</v>
      </c>
      <c r="H36" s="2763">
        <f t="shared" si="18"/>
        <v>5</v>
      </c>
      <c r="I36" s="2761">
        <f t="shared" ref="I36:J36" si="20">SUM(I13)</f>
        <v>4</v>
      </c>
      <c r="J36" s="2763">
        <f t="shared" si="20"/>
        <v>4</v>
      </c>
    </row>
    <row r="37" spans="1:10" ht="15" x14ac:dyDescent="0.2">
      <c r="A37" s="5685"/>
      <c r="B37" s="568" t="s">
        <v>160</v>
      </c>
      <c r="C37" s="565">
        <f t="shared" ref="C37:H37" si="21">SUM(C31:C36)</f>
        <v>2371</v>
      </c>
      <c r="D37" s="567">
        <f t="shared" si="21"/>
        <v>2341</v>
      </c>
      <c r="E37" s="565">
        <f t="shared" si="21"/>
        <v>1415</v>
      </c>
      <c r="F37" s="567">
        <f t="shared" si="21"/>
        <v>3783</v>
      </c>
      <c r="G37" s="565">
        <f t="shared" si="21"/>
        <v>341</v>
      </c>
      <c r="H37" s="567">
        <f t="shared" si="21"/>
        <v>1511</v>
      </c>
      <c r="I37" s="565">
        <f t="shared" ref="I37:J37" si="22">SUM(I31:I36)</f>
        <v>139</v>
      </c>
      <c r="J37" s="567">
        <f t="shared" si="22"/>
        <v>138</v>
      </c>
    </row>
  </sheetData>
  <sheetProtection algorithmName="SHA-512" hashValue="05mG1Q8GiQVaYxn4NJ1NEfok0OVo8EuIVOC+Fsit1B2aC8J04E88Z3kLHdFMG+kWCyZaxhorfNSVzg39tJU8tg==" saltValue="WCC9uj7Ze3SGAlmzOGCznw==" spinCount="100000" sheet="1" objects="1" scenarios="1"/>
  <mergeCells count="12">
    <mergeCell ref="I3:J3"/>
    <mergeCell ref="G3:H3"/>
    <mergeCell ref="A26:A29"/>
    <mergeCell ref="A31:A37"/>
    <mergeCell ref="E3:F3"/>
    <mergeCell ref="A3:A4"/>
    <mergeCell ref="B3:B4"/>
    <mergeCell ref="A6:A9"/>
    <mergeCell ref="A11:A14"/>
    <mergeCell ref="A16:A19"/>
    <mergeCell ref="A21:A24"/>
    <mergeCell ref="C3:D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37:F37" evalError="1"/>
  </ignoredError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O70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Q72" sqref="Q72"/>
    </sheetView>
  </sheetViews>
  <sheetFormatPr baseColWidth="10" defaultRowHeight="12.75" x14ac:dyDescent="0.2"/>
  <cols>
    <col min="1" max="1" width="8.140625" style="184" customWidth="1"/>
    <col min="2" max="2" width="8.140625" style="184" bestFit="1" customWidth="1"/>
    <col min="3" max="3" width="36.85546875" style="184" bestFit="1" customWidth="1"/>
    <col min="4" max="4" width="8.5703125" style="184" customWidth="1"/>
    <col min="5" max="5" width="9.42578125" style="184" customWidth="1"/>
    <col min="6" max="6" width="7.7109375" style="184" customWidth="1"/>
    <col min="7" max="7" width="8.5703125" style="184" customWidth="1"/>
    <col min="8" max="8" width="9.42578125" style="184" customWidth="1"/>
    <col min="9" max="9" width="7.7109375" style="184" customWidth="1"/>
    <col min="10" max="10" width="8.5703125" style="184" customWidth="1"/>
    <col min="11" max="11" width="9.42578125" style="184" customWidth="1"/>
    <col min="12" max="12" width="7.7109375" style="184" customWidth="1"/>
    <col min="13" max="13" width="8.5703125" style="184" customWidth="1"/>
    <col min="14" max="14" width="9.42578125" style="184" bestFit="1" customWidth="1"/>
    <col min="15" max="15" width="7.7109375" style="184" customWidth="1"/>
    <col min="16" max="16384" width="11.42578125" style="184"/>
  </cols>
  <sheetData>
    <row r="1" spans="1:15" ht="18.75" x14ac:dyDescent="0.2">
      <c r="A1" s="3697" t="s">
        <v>846</v>
      </c>
    </row>
    <row r="2" spans="1:15" ht="18.75" x14ac:dyDescent="0.2">
      <c r="A2" s="3697"/>
    </row>
    <row r="3" spans="1:15" ht="13.5" customHeight="1" x14ac:dyDescent="0.2">
      <c r="A3" s="6738" t="s">
        <v>51</v>
      </c>
      <c r="B3" s="6738" t="s">
        <v>685</v>
      </c>
      <c r="C3" s="6738" t="s">
        <v>816</v>
      </c>
      <c r="D3" s="6762">
        <v>2014</v>
      </c>
      <c r="E3" s="6763"/>
      <c r="F3" s="6764"/>
      <c r="G3" s="6762">
        <v>2015</v>
      </c>
      <c r="H3" s="6763"/>
      <c r="I3" s="6764"/>
      <c r="J3" s="6762">
        <v>2016</v>
      </c>
      <c r="K3" s="6763"/>
      <c r="L3" s="6764"/>
      <c r="M3" s="6762">
        <v>2017</v>
      </c>
      <c r="N3" s="6763"/>
      <c r="O3" s="6764"/>
    </row>
    <row r="4" spans="1:15" ht="15" x14ac:dyDescent="0.2">
      <c r="A4" s="6739"/>
      <c r="B4" s="6739"/>
      <c r="C4" s="6739"/>
      <c r="D4" s="4683" t="s">
        <v>658</v>
      </c>
      <c r="E4" s="4683" t="s">
        <v>659</v>
      </c>
      <c r="F4" s="4140" t="s">
        <v>160</v>
      </c>
      <c r="G4" s="4683" t="s">
        <v>658</v>
      </c>
      <c r="H4" s="4684" t="s">
        <v>659</v>
      </c>
      <c r="I4" s="4140" t="s">
        <v>160</v>
      </c>
      <c r="J4" s="4683" t="s">
        <v>658</v>
      </c>
      <c r="K4" s="4684" t="s">
        <v>659</v>
      </c>
      <c r="L4" s="4140" t="s">
        <v>160</v>
      </c>
      <c r="M4" s="4683" t="s">
        <v>658</v>
      </c>
      <c r="N4" s="4684" t="s">
        <v>659</v>
      </c>
      <c r="O4" s="4140" t="s">
        <v>160</v>
      </c>
    </row>
    <row r="5" spans="1:15" ht="15" x14ac:dyDescent="0.2">
      <c r="A5" s="6765" t="s">
        <v>161</v>
      </c>
      <c r="B5" s="6752" t="s">
        <v>5</v>
      </c>
      <c r="C5" s="1293" t="s">
        <v>1505</v>
      </c>
      <c r="D5" s="4089"/>
      <c r="E5" s="4090"/>
      <c r="F5" s="2751"/>
      <c r="G5" s="4089"/>
      <c r="H5" s="4090"/>
      <c r="I5" s="2751"/>
      <c r="J5" s="4089">
        <v>1</v>
      </c>
      <c r="K5" s="4090"/>
      <c r="L5" s="2752">
        <f t="shared" ref="L5:L11" si="0">SUM(J5:K5)</f>
        <v>1</v>
      </c>
      <c r="M5" s="4089">
        <v>1</v>
      </c>
      <c r="N5" s="4090"/>
      <c r="O5" s="2752">
        <f t="shared" ref="O5:O11" si="1">SUM(M5:N5)</f>
        <v>1</v>
      </c>
    </row>
    <row r="6" spans="1:15" ht="15" customHeight="1" x14ac:dyDescent="0.2">
      <c r="A6" s="6722"/>
      <c r="B6" s="6309"/>
      <c r="C6" s="2745" t="s">
        <v>1354</v>
      </c>
      <c r="D6" s="4091">
        <v>2</v>
      </c>
      <c r="E6" s="4092">
        <v>1</v>
      </c>
      <c r="F6" s="2752">
        <f>SUM(D6:E6)</f>
        <v>3</v>
      </c>
      <c r="G6" s="4091">
        <v>2</v>
      </c>
      <c r="H6" s="4092">
        <v>1</v>
      </c>
      <c r="I6" s="2752">
        <f>SUM(G6:H6)</f>
        <v>3</v>
      </c>
      <c r="J6" s="4091">
        <v>1</v>
      </c>
      <c r="K6" s="4092">
        <v>2</v>
      </c>
      <c r="L6" s="2752">
        <f t="shared" si="0"/>
        <v>3</v>
      </c>
      <c r="M6" s="4091"/>
      <c r="N6" s="4092">
        <v>2</v>
      </c>
      <c r="O6" s="2752">
        <f t="shared" si="1"/>
        <v>2</v>
      </c>
    </row>
    <row r="7" spans="1:15" ht="15" customHeight="1" x14ac:dyDescent="0.25">
      <c r="A7" s="6722"/>
      <c r="B7" s="6309"/>
      <c r="C7" s="4053" t="s">
        <v>817</v>
      </c>
      <c r="D7" s="4079"/>
      <c r="E7" s="4080"/>
      <c r="F7" s="2746">
        <f t="shared" ref="F7:F57" si="2">SUM(D7:E7)</f>
        <v>0</v>
      </c>
      <c r="G7" s="4079"/>
      <c r="H7" s="4080">
        <v>1</v>
      </c>
      <c r="I7" s="2746">
        <f t="shared" ref="I7:I64" si="3">SUM(G7:H7)</f>
        <v>1</v>
      </c>
      <c r="J7" s="4079">
        <v>0</v>
      </c>
      <c r="K7" s="4080">
        <v>1</v>
      </c>
      <c r="L7" s="2746">
        <f t="shared" si="0"/>
        <v>1</v>
      </c>
      <c r="M7" s="4079"/>
      <c r="N7" s="4080"/>
      <c r="O7" s="2746">
        <f t="shared" si="1"/>
        <v>0</v>
      </c>
    </row>
    <row r="8" spans="1:15" ht="15" customHeight="1" x14ac:dyDescent="0.2">
      <c r="A8" s="6722"/>
      <c r="B8" s="6309"/>
      <c r="C8" s="2745" t="s">
        <v>1356</v>
      </c>
      <c r="D8" s="4081"/>
      <c r="E8" s="4082">
        <v>1</v>
      </c>
      <c r="F8" s="2746">
        <f t="shared" si="2"/>
        <v>1</v>
      </c>
      <c r="G8" s="4081"/>
      <c r="H8" s="4082">
        <v>1</v>
      </c>
      <c r="I8" s="2746">
        <f t="shared" si="3"/>
        <v>1</v>
      </c>
      <c r="J8" s="4081">
        <v>0</v>
      </c>
      <c r="K8" s="4082">
        <v>1</v>
      </c>
      <c r="L8" s="2746">
        <f t="shared" si="0"/>
        <v>1</v>
      </c>
      <c r="M8" s="4081"/>
      <c r="N8" s="4082">
        <v>1</v>
      </c>
      <c r="O8" s="2746">
        <f t="shared" si="1"/>
        <v>1</v>
      </c>
    </row>
    <row r="9" spans="1:15" ht="15" customHeight="1" x14ac:dyDescent="0.2">
      <c r="A9" s="6722"/>
      <c r="B9" s="6309"/>
      <c r="C9" s="2745" t="s">
        <v>1363</v>
      </c>
      <c r="D9" s="4081"/>
      <c r="E9" s="4082">
        <v>2</v>
      </c>
      <c r="F9" s="2746">
        <f t="shared" si="2"/>
        <v>2</v>
      </c>
      <c r="G9" s="4081"/>
      <c r="H9" s="4082">
        <v>1</v>
      </c>
      <c r="I9" s="2746">
        <f t="shared" si="3"/>
        <v>1</v>
      </c>
      <c r="J9" s="4081"/>
      <c r="K9" s="4082"/>
      <c r="L9" s="2746">
        <f t="shared" si="0"/>
        <v>0</v>
      </c>
      <c r="M9" s="4081"/>
      <c r="N9" s="4082"/>
      <c r="O9" s="2746">
        <f t="shared" si="1"/>
        <v>0</v>
      </c>
    </row>
    <row r="10" spans="1:15" ht="15" customHeight="1" x14ac:dyDescent="0.2">
      <c r="A10" s="6722"/>
      <c r="B10" s="6309"/>
      <c r="C10" s="2745" t="s">
        <v>1357</v>
      </c>
      <c r="D10" s="4081">
        <v>1</v>
      </c>
      <c r="E10" s="4082"/>
      <c r="F10" s="2746">
        <f t="shared" si="2"/>
        <v>1</v>
      </c>
      <c r="G10" s="4081"/>
      <c r="H10" s="4082"/>
      <c r="I10" s="2746">
        <f t="shared" si="3"/>
        <v>0</v>
      </c>
      <c r="J10" s="4081"/>
      <c r="K10" s="4082"/>
      <c r="L10" s="2746">
        <f t="shared" si="0"/>
        <v>0</v>
      </c>
      <c r="M10" s="4081"/>
      <c r="N10" s="4082"/>
      <c r="O10" s="2746">
        <f t="shared" si="1"/>
        <v>0</v>
      </c>
    </row>
    <row r="11" spans="1:15" ht="15" customHeight="1" x14ac:dyDescent="0.2">
      <c r="A11" s="6722"/>
      <c r="B11" s="6309"/>
      <c r="C11" s="2745" t="s">
        <v>1358</v>
      </c>
      <c r="D11" s="4081">
        <v>1</v>
      </c>
      <c r="E11" s="4082">
        <v>1</v>
      </c>
      <c r="F11" s="2746">
        <f t="shared" si="2"/>
        <v>2</v>
      </c>
      <c r="G11" s="4081">
        <v>1</v>
      </c>
      <c r="H11" s="4082">
        <v>1</v>
      </c>
      <c r="I11" s="2746">
        <f t="shared" si="3"/>
        <v>2</v>
      </c>
      <c r="J11" s="4081"/>
      <c r="K11" s="4082">
        <v>1</v>
      </c>
      <c r="L11" s="2746">
        <f t="shared" si="0"/>
        <v>1</v>
      </c>
      <c r="M11" s="4081"/>
      <c r="N11" s="4082">
        <v>1</v>
      </c>
      <c r="O11" s="2746">
        <f t="shared" si="1"/>
        <v>1</v>
      </c>
    </row>
    <row r="12" spans="1:15" ht="15" customHeight="1" x14ac:dyDescent="0.2">
      <c r="A12" s="6722"/>
      <c r="B12" s="6310"/>
      <c r="C12" s="2747" t="s">
        <v>5</v>
      </c>
      <c r="D12" s="4083">
        <f t="shared" ref="D12:I12" si="4">SUM(D6:D11)</f>
        <v>4</v>
      </c>
      <c r="E12" s="4084">
        <f t="shared" si="4"/>
        <v>5</v>
      </c>
      <c r="F12" s="2748">
        <f t="shared" si="4"/>
        <v>9</v>
      </c>
      <c r="G12" s="4083">
        <f t="shared" si="4"/>
        <v>3</v>
      </c>
      <c r="H12" s="4084">
        <f t="shared" si="4"/>
        <v>5</v>
      </c>
      <c r="I12" s="2748">
        <f t="shared" si="4"/>
        <v>8</v>
      </c>
      <c r="J12" s="4083">
        <f t="shared" ref="J12:O12" si="5">SUM(J5:J11)</f>
        <v>2</v>
      </c>
      <c r="K12" s="4084">
        <f t="shared" si="5"/>
        <v>5</v>
      </c>
      <c r="L12" s="2748">
        <f t="shared" si="5"/>
        <v>7</v>
      </c>
      <c r="M12" s="4083">
        <f t="shared" si="5"/>
        <v>1</v>
      </c>
      <c r="N12" s="4084">
        <f t="shared" si="5"/>
        <v>4</v>
      </c>
      <c r="O12" s="2748">
        <f t="shared" si="5"/>
        <v>5</v>
      </c>
    </row>
    <row r="13" spans="1:15" ht="15" customHeight="1" x14ac:dyDescent="0.2">
      <c r="A13" s="6722"/>
      <c r="B13" s="6752" t="s">
        <v>6</v>
      </c>
      <c r="C13" s="2745" t="s">
        <v>181</v>
      </c>
      <c r="D13" s="4081">
        <v>1</v>
      </c>
      <c r="E13" s="4082">
        <v>1</v>
      </c>
      <c r="F13" s="2746">
        <f t="shared" si="2"/>
        <v>2</v>
      </c>
      <c r="G13" s="4081">
        <v>1</v>
      </c>
      <c r="H13" s="4082">
        <v>1</v>
      </c>
      <c r="I13" s="2746">
        <f t="shared" si="3"/>
        <v>2</v>
      </c>
      <c r="J13" s="4081">
        <v>2</v>
      </c>
      <c r="K13" s="4082">
        <v>2</v>
      </c>
      <c r="L13" s="2746">
        <f>SUM(J13:K13)</f>
        <v>4</v>
      </c>
      <c r="M13" s="4081">
        <v>2</v>
      </c>
      <c r="N13" s="4082">
        <v>1</v>
      </c>
      <c r="O13" s="2746">
        <f>SUM(M13:N13)</f>
        <v>3</v>
      </c>
    </row>
    <row r="14" spans="1:15" ht="15" customHeight="1" x14ac:dyDescent="0.2">
      <c r="A14" s="6722"/>
      <c r="B14" s="6309"/>
      <c r="C14" s="2745" t="s">
        <v>182</v>
      </c>
      <c r="D14" s="4081">
        <v>6</v>
      </c>
      <c r="E14" s="4082">
        <v>1</v>
      </c>
      <c r="F14" s="2746">
        <f t="shared" si="2"/>
        <v>7</v>
      </c>
      <c r="G14" s="4081">
        <v>5</v>
      </c>
      <c r="H14" s="4082">
        <v>2</v>
      </c>
      <c r="I14" s="2746">
        <f t="shared" si="3"/>
        <v>7</v>
      </c>
      <c r="J14" s="4081">
        <v>3</v>
      </c>
      <c r="K14" s="4082">
        <v>1</v>
      </c>
      <c r="L14" s="2746">
        <f>SUM(J14:K14)</f>
        <v>4</v>
      </c>
      <c r="M14" s="4081">
        <v>3</v>
      </c>
      <c r="N14" s="4082"/>
      <c r="O14" s="2746">
        <f>SUM(M14:N14)</f>
        <v>3</v>
      </c>
    </row>
    <row r="15" spans="1:15" ht="15" customHeight="1" x14ac:dyDescent="0.2">
      <c r="A15" s="6722"/>
      <c r="B15" s="6309"/>
      <c r="C15" s="2745" t="s">
        <v>183</v>
      </c>
      <c r="D15" s="4081">
        <v>1</v>
      </c>
      <c r="E15" s="4082"/>
      <c r="F15" s="2746">
        <f t="shared" si="2"/>
        <v>1</v>
      </c>
      <c r="G15" s="4081"/>
      <c r="H15" s="4082"/>
      <c r="I15" s="2746">
        <f t="shared" si="3"/>
        <v>0</v>
      </c>
      <c r="J15" s="4081"/>
      <c r="K15" s="4082"/>
      <c r="L15" s="2746">
        <f>SUM(J15:K15)</f>
        <v>0</v>
      </c>
      <c r="M15" s="4081"/>
      <c r="N15" s="4082"/>
      <c r="O15" s="2746">
        <f>SUM(M15:N15)</f>
        <v>0</v>
      </c>
    </row>
    <row r="16" spans="1:15" ht="15" customHeight="1" x14ac:dyDescent="0.2">
      <c r="A16" s="6722"/>
      <c r="B16" s="6309"/>
      <c r="C16" s="2745" t="s">
        <v>818</v>
      </c>
      <c r="D16" s="4081">
        <v>1</v>
      </c>
      <c r="E16" s="4082">
        <v>1</v>
      </c>
      <c r="F16" s="2746">
        <f t="shared" si="2"/>
        <v>2</v>
      </c>
      <c r="G16" s="4081">
        <v>1</v>
      </c>
      <c r="H16" s="4082">
        <v>1</v>
      </c>
      <c r="I16" s="2746">
        <f t="shared" si="3"/>
        <v>2</v>
      </c>
      <c r="J16" s="4081"/>
      <c r="K16" s="4082">
        <v>2</v>
      </c>
      <c r="L16" s="2746">
        <f>SUM(J16:K16)</f>
        <v>2</v>
      </c>
      <c r="M16" s="4081"/>
      <c r="N16" s="4082">
        <v>1</v>
      </c>
      <c r="O16" s="2746">
        <f>SUM(M16:N16)</f>
        <v>1</v>
      </c>
    </row>
    <row r="17" spans="1:15" ht="15" customHeight="1" x14ac:dyDescent="0.2">
      <c r="A17" s="6722"/>
      <c r="B17" s="6310"/>
      <c r="C17" s="2749" t="s">
        <v>6</v>
      </c>
      <c r="D17" s="4085">
        <f t="shared" ref="D17:L17" si="6">SUM(D13:D16)</f>
        <v>9</v>
      </c>
      <c r="E17" s="4086">
        <f t="shared" si="6"/>
        <v>3</v>
      </c>
      <c r="F17" s="2750">
        <f t="shared" si="6"/>
        <v>12</v>
      </c>
      <c r="G17" s="4085">
        <f t="shared" si="6"/>
        <v>7</v>
      </c>
      <c r="H17" s="4086">
        <f t="shared" si="6"/>
        <v>4</v>
      </c>
      <c r="I17" s="2750">
        <f t="shared" si="6"/>
        <v>11</v>
      </c>
      <c r="J17" s="4085">
        <f t="shared" si="6"/>
        <v>5</v>
      </c>
      <c r="K17" s="4086">
        <f t="shared" si="6"/>
        <v>5</v>
      </c>
      <c r="L17" s="2750">
        <f t="shared" si="6"/>
        <v>10</v>
      </c>
      <c r="M17" s="4085">
        <f t="shared" ref="M17:O17" si="7">SUM(M13:M16)</f>
        <v>5</v>
      </c>
      <c r="N17" s="4086">
        <f t="shared" si="7"/>
        <v>2</v>
      </c>
      <c r="O17" s="2750">
        <f t="shared" si="7"/>
        <v>7</v>
      </c>
    </row>
    <row r="18" spans="1:15" ht="15" customHeight="1" x14ac:dyDescent="0.2">
      <c r="A18" s="6722"/>
      <c r="B18" s="6752" t="s">
        <v>7</v>
      </c>
      <c r="C18" s="2745" t="s">
        <v>1506</v>
      </c>
      <c r="D18" s="4081"/>
      <c r="E18" s="4082"/>
      <c r="F18" s="2746"/>
      <c r="G18" s="4081"/>
      <c r="H18" s="4082"/>
      <c r="I18" s="2746"/>
      <c r="J18" s="4081">
        <v>1</v>
      </c>
      <c r="K18" s="4082"/>
      <c r="L18" s="2746">
        <f>SUM(J18:K18)</f>
        <v>1</v>
      </c>
      <c r="M18" s="4081">
        <v>1</v>
      </c>
      <c r="N18" s="4082"/>
      <c r="O18" s="2746">
        <f>SUM(M18:N18)</f>
        <v>1</v>
      </c>
    </row>
    <row r="19" spans="1:15" ht="15" customHeight="1" x14ac:dyDescent="0.2">
      <c r="A19" s="6722"/>
      <c r="B19" s="6310"/>
      <c r="C19" s="1188"/>
      <c r="D19" s="4922"/>
      <c r="E19" s="4923"/>
      <c r="F19" s="4924"/>
      <c r="G19" s="4922"/>
      <c r="H19" s="4923"/>
      <c r="I19" s="4924"/>
      <c r="J19" s="4922">
        <f t="shared" ref="J19:O19" si="8">SUM(J18)</f>
        <v>1</v>
      </c>
      <c r="K19" s="4923">
        <f t="shared" si="8"/>
        <v>0</v>
      </c>
      <c r="L19" s="4924">
        <f t="shared" si="8"/>
        <v>1</v>
      </c>
      <c r="M19" s="4922">
        <f t="shared" si="8"/>
        <v>1</v>
      </c>
      <c r="N19" s="4923">
        <f t="shared" si="8"/>
        <v>0</v>
      </c>
      <c r="O19" s="4924">
        <f t="shared" si="8"/>
        <v>1</v>
      </c>
    </row>
    <row r="20" spans="1:15" ht="15" customHeight="1" x14ac:dyDescent="0.2">
      <c r="A20" s="6723"/>
      <c r="B20" s="6734" t="s">
        <v>444</v>
      </c>
      <c r="C20" s="6735"/>
      <c r="D20" s="4087">
        <f t="shared" ref="D20:I20" si="9">SUM(D17,D12)</f>
        <v>13</v>
      </c>
      <c r="E20" s="4088">
        <f t="shared" si="9"/>
        <v>8</v>
      </c>
      <c r="F20" s="4074">
        <f t="shared" si="9"/>
        <v>21</v>
      </c>
      <c r="G20" s="4087">
        <f t="shared" si="9"/>
        <v>10</v>
      </c>
      <c r="H20" s="4088">
        <f t="shared" si="9"/>
        <v>9</v>
      </c>
      <c r="I20" s="4074">
        <f t="shared" si="9"/>
        <v>19</v>
      </c>
      <c r="J20" s="4087">
        <f>SUM(J19,J17,J12)</f>
        <v>8</v>
      </c>
      <c r="K20" s="4088">
        <f>SUM(K19,K17,K12)</f>
        <v>10</v>
      </c>
      <c r="L20" s="4074">
        <f>SUM(L12,L17,L19)</f>
        <v>18</v>
      </c>
      <c r="M20" s="4087">
        <f>SUM(M19,M17,M12)</f>
        <v>7</v>
      </c>
      <c r="N20" s="4088">
        <f>SUM(N19,N17,N12)</f>
        <v>6</v>
      </c>
      <c r="O20" s="4074">
        <f>SUM(O12,O17,O19)</f>
        <v>13</v>
      </c>
    </row>
    <row r="21" spans="1:15" ht="15" customHeight="1" x14ac:dyDescent="0.2">
      <c r="A21" s="6740" t="s">
        <v>162</v>
      </c>
      <c r="B21" s="6326" t="s">
        <v>5</v>
      </c>
      <c r="C21" s="1293" t="s">
        <v>201</v>
      </c>
      <c r="D21" s="4089">
        <v>1</v>
      </c>
      <c r="E21" s="4090"/>
      <c r="F21" s="2751">
        <f t="shared" si="2"/>
        <v>1</v>
      </c>
      <c r="G21" s="4089"/>
      <c r="H21" s="4090"/>
      <c r="I21" s="2751">
        <f t="shared" si="3"/>
        <v>0</v>
      </c>
      <c r="J21" s="4089"/>
      <c r="K21" s="4090"/>
      <c r="L21" s="2751">
        <f>SUM(J21:K21)</f>
        <v>0</v>
      </c>
      <c r="M21" s="4089"/>
      <c r="N21" s="4090"/>
      <c r="O21" s="2751">
        <f>SUM(M21:N21)</f>
        <v>0</v>
      </c>
    </row>
    <row r="22" spans="1:15" ht="15" customHeight="1" x14ac:dyDescent="0.2">
      <c r="A22" s="6741"/>
      <c r="B22" s="6309"/>
      <c r="C22" s="2745" t="s">
        <v>1355</v>
      </c>
      <c r="D22" s="4091"/>
      <c r="E22" s="4092">
        <v>1</v>
      </c>
      <c r="F22" s="2752">
        <f t="shared" si="2"/>
        <v>1</v>
      </c>
      <c r="G22" s="4091"/>
      <c r="H22" s="4092">
        <v>1</v>
      </c>
      <c r="I22" s="2752">
        <f t="shared" si="3"/>
        <v>1</v>
      </c>
      <c r="J22" s="4091"/>
      <c r="K22" s="4092">
        <v>1</v>
      </c>
      <c r="L22" s="2752">
        <f>SUM(J22:K22)</f>
        <v>1</v>
      </c>
      <c r="M22" s="4091"/>
      <c r="N22" s="4092"/>
      <c r="O22" s="2752">
        <f>SUM(M22:N22)</f>
        <v>0</v>
      </c>
    </row>
    <row r="23" spans="1:15" ht="15" customHeight="1" x14ac:dyDescent="0.2">
      <c r="A23" s="6741"/>
      <c r="B23" s="6309"/>
      <c r="C23" s="2745" t="s">
        <v>1359</v>
      </c>
      <c r="D23" s="4091"/>
      <c r="E23" s="4092">
        <v>2</v>
      </c>
      <c r="F23" s="2752">
        <f t="shared" si="2"/>
        <v>2</v>
      </c>
      <c r="G23" s="4091"/>
      <c r="H23" s="4092"/>
      <c r="I23" s="2752">
        <f t="shared" si="3"/>
        <v>0</v>
      </c>
      <c r="J23" s="4091"/>
      <c r="K23" s="4092"/>
      <c r="L23" s="2752">
        <f>SUM(J23:K23)</f>
        <v>0</v>
      </c>
      <c r="M23" s="4091"/>
      <c r="N23" s="4092"/>
      <c r="O23" s="2752">
        <f>SUM(M23:N23)</f>
        <v>0</v>
      </c>
    </row>
    <row r="24" spans="1:15" ht="15" customHeight="1" x14ac:dyDescent="0.2">
      <c r="A24" s="6741"/>
      <c r="B24" s="6309"/>
      <c r="C24" s="2745" t="s">
        <v>1358</v>
      </c>
      <c r="D24" s="4091"/>
      <c r="E24" s="4092">
        <v>1</v>
      </c>
      <c r="F24" s="2752">
        <f t="shared" si="2"/>
        <v>1</v>
      </c>
      <c r="G24" s="4091"/>
      <c r="H24" s="4092">
        <v>1</v>
      </c>
      <c r="I24" s="2752">
        <f t="shared" si="3"/>
        <v>1</v>
      </c>
      <c r="J24" s="4091"/>
      <c r="K24" s="4092">
        <v>1</v>
      </c>
      <c r="L24" s="2752">
        <f>SUM(J24:K24)</f>
        <v>1</v>
      </c>
      <c r="M24" s="4091"/>
      <c r="N24" s="4092"/>
      <c r="O24" s="2752">
        <f>SUM(M24:N24)</f>
        <v>0</v>
      </c>
    </row>
    <row r="25" spans="1:15" ht="15" customHeight="1" x14ac:dyDescent="0.2">
      <c r="A25" s="6741"/>
      <c r="B25" s="6309"/>
      <c r="C25" s="2745" t="s">
        <v>199</v>
      </c>
      <c r="D25" s="4091">
        <v>1</v>
      </c>
      <c r="E25" s="4092">
        <v>1</v>
      </c>
      <c r="F25" s="2752">
        <f t="shared" si="2"/>
        <v>2</v>
      </c>
      <c r="G25" s="4091">
        <v>1</v>
      </c>
      <c r="H25" s="4092"/>
      <c r="I25" s="2752">
        <f t="shared" si="3"/>
        <v>1</v>
      </c>
      <c r="J25" s="4091"/>
      <c r="K25" s="4092"/>
      <c r="L25" s="2752">
        <f>SUM(J25:K25)</f>
        <v>0</v>
      </c>
      <c r="M25" s="4091"/>
      <c r="N25" s="4092"/>
      <c r="O25" s="2752">
        <f>SUM(M25:N25)</f>
        <v>0</v>
      </c>
    </row>
    <row r="26" spans="1:15" ht="15" customHeight="1" x14ac:dyDescent="0.2">
      <c r="A26" s="6741"/>
      <c r="B26" s="6310"/>
      <c r="C26" s="2747" t="s">
        <v>5</v>
      </c>
      <c r="D26" s="4083">
        <f t="shared" ref="D26:L26" si="10">SUM(D21:D25)</f>
        <v>2</v>
      </c>
      <c r="E26" s="4084">
        <f t="shared" si="10"/>
        <v>5</v>
      </c>
      <c r="F26" s="2748">
        <f t="shared" si="10"/>
        <v>7</v>
      </c>
      <c r="G26" s="4083">
        <f t="shared" si="10"/>
        <v>1</v>
      </c>
      <c r="H26" s="4084">
        <f t="shared" si="10"/>
        <v>2</v>
      </c>
      <c r="I26" s="2748">
        <f t="shared" si="10"/>
        <v>3</v>
      </c>
      <c r="J26" s="4083">
        <f t="shared" si="10"/>
        <v>0</v>
      </c>
      <c r="K26" s="4084">
        <f t="shared" si="10"/>
        <v>2</v>
      </c>
      <c r="L26" s="2748">
        <f t="shared" si="10"/>
        <v>2</v>
      </c>
      <c r="M26" s="4083">
        <f t="shared" ref="M26:O26" si="11">SUM(M21:M25)</f>
        <v>0</v>
      </c>
      <c r="N26" s="4084">
        <f t="shared" si="11"/>
        <v>0</v>
      </c>
      <c r="O26" s="2748">
        <f t="shared" si="11"/>
        <v>0</v>
      </c>
    </row>
    <row r="27" spans="1:15" ht="15" customHeight="1" x14ac:dyDescent="0.2">
      <c r="A27" s="6741"/>
      <c r="B27" s="6326" t="s">
        <v>6</v>
      </c>
      <c r="C27" s="2745" t="s">
        <v>181</v>
      </c>
      <c r="D27" s="4091">
        <v>1</v>
      </c>
      <c r="E27" s="4092"/>
      <c r="F27" s="2752">
        <f t="shared" ref="F27:F33" si="12">SUM(D27:E27)</f>
        <v>1</v>
      </c>
      <c r="G27" s="4091">
        <v>2</v>
      </c>
      <c r="H27" s="4092"/>
      <c r="I27" s="2752">
        <f t="shared" si="3"/>
        <v>2</v>
      </c>
      <c r="J27" s="4091">
        <v>1</v>
      </c>
      <c r="K27" s="4092"/>
      <c r="L27" s="2752">
        <f t="shared" ref="L27:L33" si="13">SUM(J27:K27)</f>
        <v>1</v>
      </c>
      <c r="M27" s="4091">
        <v>1</v>
      </c>
      <c r="N27" s="4092"/>
      <c r="O27" s="2752">
        <f t="shared" ref="O27:O33" si="14">SUM(M27:N27)</f>
        <v>1</v>
      </c>
    </row>
    <row r="28" spans="1:15" ht="15" customHeight="1" x14ac:dyDescent="0.2">
      <c r="A28" s="6741"/>
      <c r="B28" s="6309"/>
      <c r="C28" s="2745" t="s">
        <v>1350</v>
      </c>
      <c r="D28" s="4091"/>
      <c r="E28" s="4092"/>
      <c r="F28" s="2752">
        <f t="shared" si="12"/>
        <v>0</v>
      </c>
      <c r="G28" s="4091">
        <v>1</v>
      </c>
      <c r="H28" s="4092"/>
      <c r="I28" s="2752">
        <f t="shared" si="3"/>
        <v>1</v>
      </c>
      <c r="J28" s="4091">
        <v>1</v>
      </c>
      <c r="K28" s="4092"/>
      <c r="L28" s="2752">
        <f t="shared" si="13"/>
        <v>1</v>
      </c>
      <c r="M28" s="4091">
        <v>1</v>
      </c>
      <c r="N28" s="4092"/>
      <c r="O28" s="2752">
        <f t="shared" si="14"/>
        <v>1</v>
      </c>
    </row>
    <row r="29" spans="1:15" ht="15" customHeight="1" x14ac:dyDescent="0.2">
      <c r="A29" s="6741"/>
      <c r="B29" s="6309"/>
      <c r="C29" s="2745" t="s">
        <v>183</v>
      </c>
      <c r="D29" s="4091">
        <v>1</v>
      </c>
      <c r="E29" s="4092"/>
      <c r="F29" s="2752">
        <f t="shared" si="12"/>
        <v>1</v>
      </c>
      <c r="G29" s="4091">
        <v>1</v>
      </c>
      <c r="H29" s="4092"/>
      <c r="I29" s="2752">
        <f t="shared" si="3"/>
        <v>1</v>
      </c>
      <c r="J29" s="4091"/>
      <c r="K29" s="4092"/>
      <c r="L29" s="2752">
        <f t="shared" si="13"/>
        <v>0</v>
      </c>
      <c r="M29" s="4091"/>
      <c r="N29" s="4092"/>
      <c r="O29" s="2752">
        <f t="shared" si="14"/>
        <v>0</v>
      </c>
    </row>
    <row r="30" spans="1:15" ht="15" customHeight="1" x14ac:dyDescent="0.2">
      <c r="A30" s="6741"/>
      <c r="B30" s="6309"/>
      <c r="C30" s="2745" t="s">
        <v>211</v>
      </c>
      <c r="D30" s="4091"/>
      <c r="E30" s="4092">
        <v>1</v>
      </c>
      <c r="F30" s="2752">
        <f t="shared" si="12"/>
        <v>1</v>
      </c>
      <c r="G30" s="4091"/>
      <c r="H30" s="4092">
        <v>1</v>
      </c>
      <c r="I30" s="2752">
        <f t="shared" si="3"/>
        <v>1</v>
      </c>
      <c r="J30" s="4091"/>
      <c r="K30" s="4092">
        <v>1</v>
      </c>
      <c r="L30" s="2752">
        <f t="shared" si="13"/>
        <v>1</v>
      </c>
      <c r="M30" s="4091"/>
      <c r="N30" s="4092">
        <v>1</v>
      </c>
      <c r="O30" s="2752">
        <f t="shared" si="14"/>
        <v>1</v>
      </c>
    </row>
    <row r="31" spans="1:15" ht="15" customHeight="1" x14ac:dyDescent="0.2">
      <c r="A31" s="6741"/>
      <c r="B31" s="6309"/>
      <c r="C31" s="2745" t="s">
        <v>209</v>
      </c>
      <c r="D31" s="4091"/>
      <c r="E31" s="4092"/>
      <c r="F31" s="2752"/>
      <c r="G31" s="4091"/>
      <c r="H31" s="4092"/>
      <c r="I31" s="2752"/>
      <c r="J31" s="4091"/>
      <c r="K31" s="4092"/>
      <c r="L31" s="2752"/>
      <c r="M31" s="4091"/>
      <c r="N31" s="4092"/>
      <c r="O31" s="2752">
        <f t="shared" si="14"/>
        <v>0</v>
      </c>
    </row>
    <row r="32" spans="1:15" ht="15" customHeight="1" x14ac:dyDescent="0.2">
      <c r="A32" s="6741"/>
      <c r="B32" s="6309"/>
      <c r="C32" s="2745" t="s">
        <v>821</v>
      </c>
      <c r="D32" s="4091">
        <v>1</v>
      </c>
      <c r="E32" s="4092"/>
      <c r="F32" s="2752">
        <f t="shared" si="12"/>
        <v>1</v>
      </c>
      <c r="G32" s="4091">
        <v>1</v>
      </c>
      <c r="H32" s="4092"/>
      <c r="I32" s="2752">
        <f t="shared" si="3"/>
        <v>1</v>
      </c>
      <c r="J32" s="4091">
        <v>1</v>
      </c>
      <c r="K32" s="4092"/>
      <c r="L32" s="2752">
        <f t="shared" si="13"/>
        <v>1</v>
      </c>
      <c r="M32" s="4091">
        <v>1</v>
      </c>
      <c r="N32" s="4092"/>
      <c r="O32" s="2752">
        <f t="shared" si="14"/>
        <v>1</v>
      </c>
    </row>
    <row r="33" spans="1:15" ht="15" customHeight="1" x14ac:dyDescent="0.2">
      <c r="A33" s="6741"/>
      <c r="B33" s="6309"/>
      <c r="C33" s="2745" t="s">
        <v>214</v>
      </c>
      <c r="D33" s="4091"/>
      <c r="E33" s="4092">
        <v>1</v>
      </c>
      <c r="F33" s="2752">
        <f t="shared" si="12"/>
        <v>1</v>
      </c>
      <c r="G33" s="4091"/>
      <c r="H33" s="4092">
        <v>1</v>
      </c>
      <c r="I33" s="2752">
        <f t="shared" si="3"/>
        <v>1</v>
      </c>
      <c r="J33" s="4091"/>
      <c r="K33" s="4092">
        <v>1</v>
      </c>
      <c r="L33" s="2752">
        <f t="shared" si="13"/>
        <v>1</v>
      </c>
      <c r="M33" s="4091"/>
      <c r="N33" s="4092">
        <v>1</v>
      </c>
      <c r="O33" s="2752">
        <f t="shared" si="14"/>
        <v>1</v>
      </c>
    </row>
    <row r="34" spans="1:15" ht="15" customHeight="1" x14ac:dyDescent="0.2">
      <c r="A34" s="6741"/>
      <c r="B34" s="6310"/>
      <c r="C34" s="2747" t="s">
        <v>6</v>
      </c>
      <c r="D34" s="4083">
        <f t="shared" ref="D34:L34" si="15">SUM(D27:D33)</f>
        <v>3</v>
      </c>
      <c r="E34" s="4084">
        <f t="shared" si="15"/>
        <v>2</v>
      </c>
      <c r="F34" s="2748">
        <f t="shared" si="15"/>
        <v>5</v>
      </c>
      <c r="G34" s="4083">
        <f t="shared" si="15"/>
        <v>5</v>
      </c>
      <c r="H34" s="4084">
        <f t="shared" si="15"/>
        <v>2</v>
      </c>
      <c r="I34" s="2748">
        <f t="shared" si="15"/>
        <v>7</v>
      </c>
      <c r="J34" s="4083">
        <f t="shared" si="15"/>
        <v>3</v>
      </c>
      <c r="K34" s="4084">
        <f t="shared" si="15"/>
        <v>2</v>
      </c>
      <c r="L34" s="2748">
        <f t="shared" si="15"/>
        <v>5</v>
      </c>
      <c r="M34" s="4083">
        <f t="shared" ref="M34:O34" si="16">SUM(M27:M33)</f>
        <v>3</v>
      </c>
      <c r="N34" s="4084">
        <f t="shared" si="16"/>
        <v>2</v>
      </c>
      <c r="O34" s="2748">
        <f t="shared" si="16"/>
        <v>5</v>
      </c>
    </row>
    <row r="35" spans="1:15" ht="15" customHeight="1" x14ac:dyDescent="0.2">
      <c r="A35" s="6741"/>
      <c r="B35" s="6326" t="s">
        <v>11</v>
      </c>
      <c r="C35" s="2745" t="s">
        <v>202</v>
      </c>
      <c r="D35" s="4091">
        <v>1</v>
      </c>
      <c r="E35" s="4092"/>
      <c r="F35" s="2752">
        <f t="shared" si="2"/>
        <v>1</v>
      </c>
      <c r="G35" s="4091">
        <v>1</v>
      </c>
      <c r="H35" s="4092"/>
      <c r="I35" s="2752">
        <f t="shared" si="3"/>
        <v>1</v>
      </c>
      <c r="J35" s="4091"/>
      <c r="K35" s="4092"/>
      <c r="L35" s="2752">
        <f>SUM(J35:K35)</f>
        <v>0</v>
      </c>
      <c r="M35" s="4091"/>
      <c r="N35" s="4092"/>
      <c r="O35" s="2752">
        <f>SUM(M35:N35)</f>
        <v>0</v>
      </c>
    </row>
    <row r="36" spans="1:15" ht="15" customHeight="1" x14ac:dyDescent="0.2">
      <c r="A36" s="6741"/>
      <c r="B36" s="6309"/>
      <c r="C36" s="2745" t="s">
        <v>204</v>
      </c>
      <c r="D36" s="4091">
        <v>2</v>
      </c>
      <c r="E36" s="4092"/>
      <c r="F36" s="2752">
        <f t="shared" si="2"/>
        <v>2</v>
      </c>
      <c r="G36" s="4091">
        <v>2</v>
      </c>
      <c r="H36" s="4092"/>
      <c r="I36" s="2752">
        <f t="shared" si="3"/>
        <v>2</v>
      </c>
      <c r="J36" s="4091">
        <v>1</v>
      </c>
      <c r="K36" s="4092"/>
      <c r="L36" s="2752">
        <f>SUM(J36:K36)</f>
        <v>1</v>
      </c>
      <c r="M36" s="4091">
        <v>1</v>
      </c>
      <c r="N36" s="4092"/>
      <c r="O36" s="2752">
        <f>SUM(M36:N36)</f>
        <v>1</v>
      </c>
    </row>
    <row r="37" spans="1:15" ht="15" customHeight="1" x14ac:dyDescent="0.2">
      <c r="A37" s="6741"/>
      <c r="B37" s="6309"/>
      <c r="C37" s="2745" t="s">
        <v>1360</v>
      </c>
      <c r="D37" s="4091">
        <v>1</v>
      </c>
      <c r="E37" s="4092"/>
      <c r="F37" s="2752">
        <f t="shared" si="2"/>
        <v>1</v>
      </c>
      <c r="G37" s="4091">
        <v>1</v>
      </c>
      <c r="H37" s="4092"/>
      <c r="I37" s="2752">
        <f t="shared" si="3"/>
        <v>1</v>
      </c>
      <c r="J37" s="4091">
        <v>1</v>
      </c>
      <c r="K37" s="4092"/>
      <c r="L37" s="2752">
        <f>SUM(J37:K37)</f>
        <v>1</v>
      </c>
      <c r="M37" s="4091">
        <v>1</v>
      </c>
      <c r="N37" s="4092"/>
      <c r="O37" s="2752">
        <f>SUM(M37:N37)</f>
        <v>1</v>
      </c>
    </row>
    <row r="38" spans="1:15" ht="15" customHeight="1" x14ac:dyDescent="0.2">
      <c r="A38" s="6741"/>
      <c r="B38" s="6309"/>
      <c r="C38" s="2745" t="s">
        <v>205</v>
      </c>
      <c r="D38" s="4091">
        <v>1</v>
      </c>
      <c r="E38" s="4092"/>
      <c r="F38" s="2752">
        <f t="shared" si="2"/>
        <v>1</v>
      </c>
      <c r="G38" s="4091"/>
      <c r="H38" s="4092"/>
      <c r="I38" s="2752">
        <f t="shared" si="3"/>
        <v>0</v>
      </c>
      <c r="J38" s="4091"/>
      <c r="K38" s="4092"/>
      <c r="L38" s="2752">
        <f>SUM(J38:K38)</f>
        <v>0</v>
      </c>
      <c r="M38" s="4091"/>
      <c r="N38" s="4092"/>
      <c r="O38" s="2752">
        <f>SUM(M38:N38)</f>
        <v>0</v>
      </c>
    </row>
    <row r="39" spans="1:15" ht="15" customHeight="1" x14ac:dyDescent="0.2">
      <c r="A39" s="6741"/>
      <c r="B39" s="6310"/>
      <c r="C39" s="2747" t="s">
        <v>11</v>
      </c>
      <c r="D39" s="4083">
        <f t="shared" ref="D39:L39" si="17">SUM(D35:D38)</f>
        <v>5</v>
      </c>
      <c r="E39" s="4084">
        <f t="shared" si="17"/>
        <v>0</v>
      </c>
      <c r="F39" s="2748">
        <f t="shared" si="17"/>
        <v>5</v>
      </c>
      <c r="G39" s="4083">
        <f t="shared" si="17"/>
        <v>4</v>
      </c>
      <c r="H39" s="4084">
        <f t="shared" si="17"/>
        <v>0</v>
      </c>
      <c r="I39" s="2748">
        <f t="shared" si="17"/>
        <v>4</v>
      </c>
      <c r="J39" s="4083">
        <f t="shared" si="17"/>
        <v>2</v>
      </c>
      <c r="K39" s="4084">
        <f t="shared" si="17"/>
        <v>0</v>
      </c>
      <c r="L39" s="2748">
        <f t="shared" si="17"/>
        <v>2</v>
      </c>
      <c r="M39" s="4083">
        <f t="shared" ref="M39:O39" si="18">SUM(M35:M38)</f>
        <v>2</v>
      </c>
      <c r="N39" s="4084">
        <f t="shared" si="18"/>
        <v>0</v>
      </c>
      <c r="O39" s="2748">
        <f t="shared" si="18"/>
        <v>2</v>
      </c>
    </row>
    <row r="40" spans="1:15" ht="15" customHeight="1" x14ac:dyDescent="0.2">
      <c r="A40" s="6742"/>
      <c r="B40" s="6736" t="s">
        <v>444</v>
      </c>
      <c r="C40" s="6737" t="s">
        <v>75</v>
      </c>
      <c r="D40" s="4093">
        <f t="shared" ref="D40:L40" si="19">SUM(D39,D34,D26)</f>
        <v>10</v>
      </c>
      <c r="E40" s="4094">
        <f t="shared" si="19"/>
        <v>7</v>
      </c>
      <c r="F40" s="4075">
        <f t="shared" si="19"/>
        <v>17</v>
      </c>
      <c r="G40" s="4093">
        <f t="shared" si="19"/>
        <v>10</v>
      </c>
      <c r="H40" s="4094">
        <f t="shared" si="19"/>
        <v>4</v>
      </c>
      <c r="I40" s="4075">
        <f t="shared" si="19"/>
        <v>14</v>
      </c>
      <c r="J40" s="4093">
        <f t="shared" si="19"/>
        <v>5</v>
      </c>
      <c r="K40" s="4094">
        <f t="shared" si="19"/>
        <v>4</v>
      </c>
      <c r="L40" s="4075">
        <f t="shared" si="19"/>
        <v>9</v>
      </c>
      <c r="M40" s="4093">
        <f t="shared" ref="M40:O40" si="20">SUM(M39,M34,M26)</f>
        <v>5</v>
      </c>
      <c r="N40" s="4094">
        <f t="shared" si="20"/>
        <v>2</v>
      </c>
      <c r="O40" s="4075">
        <f t="shared" si="20"/>
        <v>7</v>
      </c>
    </row>
    <row r="41" spans="1:15" ht="15" customHeight="1" x14ac:dyDescent="0.2">
      <c r="A41" s="6724" t="s">
        <v>163</v>
      </c>
      <c r="B41" s="6326" t="s">
        <v>6</v>
      </c>
      <c r="C41" s="2745" t="s">
        <v>181</v>
      </c>
      <c r="D41" s="4081">
        <v>1</v>
      </c>
      <c r="E41" s="4082"/>
      <c r="F41" s="2746">
        <f t="shared" si="2"/>
        <v>1</v>
      </c>
      <c r="G41" s="4079">
        <v>1</v>
      </c>
      <c r="H41" s="4080"/>
      <c r="I41" s="2746">
        <f t="shared" si="3"/>
        <v>1</v>
      </c>
      <c r="J41" s="4079">
        <v>1</v>
      </c>
      <c r="K41" s="4080"/>
      <c r="L41" s="2746">
        <f>SUM(J41:K41)</f>
        <v>1</v>
      </c>
      <c r="M41" s="4079"/>
      <c r="N41" s="4080"/>
      <c r="O41" s="2746">
        <f>SUM(M41:N41)</f>
        <v>0</v>
      </c>
    </row>
    <row r="42" spans="1:15" ht="15" customHeight="1" x14ac:dyDescent="0.2">
      <c r="A42" s="6725"/>
      <c r="B42" s="6309"/>
      <c r="C42" s="2745" t="s">
        <v>183</v>
      </c>
      <c r="D42" s="4081">
        <v>1</v>
      </c>
      <c r="E42" s="4082">
        <v>1</v>
      </c>
      <c r="F42" s="2746">
        <f t="shared" si="2"/>
        <v>2</v>
      </c>
      <c r="G42" s="4081">
        <v>1</v>
      </c>
      <c r="H42" s="4082">
        <v>2</v>
      </c>
      <c r="I42" s="2746">
        <f t="shared" si="3"/>
        <v>3</v>
      </c>
      <c r="J42" s="4081"/>
      <c r="K42" s="4082">
        <v>1</v>
      </c>
      <c r="L42" s="2746">
        <f>SUM(J42:K42)</f>
        <v>1</v>
      </c>
      <c r="M42" s="4081"/>
      <c r="N42" s="4082"/>
      <c r="O42" s="2746">
        <f>SUM(M42:N42)</f>
        <v>0</v>
      </c>
    </row>
    <row r="43" spans="1:15" ht="15" customHeight="1" x14ac:dyDescent="0.2">
      <c r="A43" s="6725"/>
      <c r="B43" s="6309"/>
      <c r="C43" s="2745" t="s">
        <v>1361</v>
      </c>
      <c r="D43" s="4081">
        <v>1</v>
      </c>
      <c r="E43" s="4082"/>
      <c r="F43" s="2746">
        <f t="shared" si="2"/>
        <v>1</v>
      </c>
      <c r="G43" s="4081">
        <v>1</v>
      </c>
      <c r="H43" s="4082"/>
      <c r="I43" s="2746">
        <f t="shared" si="3"/>
        <v>1</v>
      </c>
      <c r="J43" s="4081">
        <v>1</v>
      </c>
      <c r="K43" s="4082"/>
      <c r="L43" s="2746">
        <f>SUM(J43:K43)</f>
        <v>1</v>
      </c>
      <c r="M43" s="4081">
        <v>1</v>
      </c>
      <c r="N43" s="4082"/>
      <c r="O43" s="2746">
        <f>SUM(M43:N43)</f>
        <v>1</v>
      </c>
    </row>
    <row r="44" spans="1:15" ht="15" customHeight="1" x14ac:dyDescent="0.2">
      <c r="A44" s="6725"/>
      <c r="B44" s="6309"/>
      <c r="C44" s="2745" t="s">
        <v>822</v>
      </c>
      <c r="D44" s="4081">
        <v>3</v>
      </c>
      <c r="E44" s="4082"/>
      <c r="F44" s="2746">
        <f t="shared" si="2"/>
        <v>3</v>
      </c>
      <c r="G44" s="4081">
        <v>3</v>
      </c>
      <c r="H44" s="4082"/>
      <c r="I44" s="2746">
        <f t="shared" si="3"/>
        <v>3</v>
      </c>
      <c r="J44" s="4081">
        <v>2</v>
      </c>
      <c r="K44" s="4082"/>
      <c r="L44" s="2746">
        <f>SUM(J44:K44)</f>
        <v>2</v>
      </c>
      <c r="M44" s="4081">
        <v>2</v>
      </c>
      <c r="N44" s="4082"/>
      <c r="O44" s="2746">
        <f>SUM(M44:N44)</f>
        <v>2</v>
      </c>
    </row>
    <row r="45" spans="1:15" ht="15" customHeight="1" x14ac:dyDescent="0.2">
      <c r="A45" s="6725"/>
      <c r="B45" s="6310"/>
      <c r="C45" s="2747" t="s">
        <v>6</v>
      </c>
      <c r="D45" s="4083">
        <f t="shared" ref="D45:L45" si="21">SUM(D41:D44)</f>
        <v>6</v>
      </c>
      <c r="E45" s="4084">
        <f t="shared" si="21"/>
        <v>1</v>
      </c>
      <c r="F45" s="2748">
        <f t="shared" si="21"/>
        <v>7</v>
      </c>
      <c r="G45" s="4083">
        <f t="shared" si="21"/>
        <v>6</v>
      </c>
      <c r="H45" s="4084">
        <f t="shared" si="21"/>
        <v>2</v>
      </c>
      <c r="I45" s="2748">
        <f t="shared" si="21"/>
        <v>8</v>
      </c>
      <c r="J45" s="4083">
        <f t="shared" si="21"/>
        <v>4</v>
      </c>
      <c r="K45" s="4084">
        <f t="shared" si="21"/>
        <v>1</v>
      </c>
      <c r="L45" s="2748">
        <f t="shared" si="21"/>
        <v>5</v>
      </c>
      <c r="M45" s="4083">
        <f t="shared" ref="M45:O45" si="22">SUM(M41:M44)</f>
        <v>3</v>
      </c>
      <c r="N45" s="4084">
        <f t="shared" si="22"/>
        <v>0</v>
      </c>
      <c r="O45" s="2748">
        <f t="shared" si="22"/>
        <v>3</v>
      </c>
    </row>
    <row r="46" spans="1:15" ht="15" customHeight="1" x14ac:dyDescent="0.2">
      <c r="A46" s="6725"/>
      <c r="B46" s="6326" t="s">
        <v>11</v>
      </c>
      <c r="C46" s="2745" t="s">
        <v>221</v>
      </c>
      <c r="D46" s="4081">
        <v>4</v>
      </c>
      <c r="E46" s="4082">
        <v>1</v>
      </c>
      <c r="F46" s="2746">
        <f t="shared" si="2"/>
        <v>5</v>
      </c>
      <c r="G46" s="4081">
        <v>3</v>
      </c>
      <c r="H46" s="4082">
        <v>1</v>
      </c>
      <c r="I46" s="2746">
        <f t="shared" si="3"/>
        <v>4</v>
      </c>
      <c r="J46" s="4081">
        <v>4</v>
      </c>
      <c r="K46" s="4082">
        <v>1</v>
      </c>
      <c r="L46" s="2746">
        <f t="shared" ref="L46:L52" si="23">SUM(J46:K46)</f>
        <v>5</v>
      </c>
      <c r="M46" s="4081">
        <v>3</v>
      </c>
      <c r="N46" s="4082"/>
      <c r="O46" s="2746">
        <f t="shared" ref="O46:O52" si="24">SUM(M46:N46)</f>
        <v>3</v>
      </c>
    </row>
    <row r="47" spans="1:15" ht="15" customHeight="1" x14ac:dyDescent="0.2">
      <c r="A47" s="6725"/>
      <c r="B47" s="6309"/>
      <c r="C47" s="2745" t="s">
        <v>202</v>
      </c>
      <c r="D47" s="4081"/>
      <c r="E47" s="4082"/>
      <c r="F47" s="2746">
        <f t="shared" si="2"/>
        <v>0</v>
      </c>
      <c r="G47" s="4081"/>
      <c r="H47" s="4082">
        <v>1</v>
      </c>
      <c r="I47" s="2746">
        <f t="shared" si="3"/>
        <v>1</v>
      </c>
      <c r="J47" s="4081"/>
      <c r="K47" s="4082">
        <v>1</v>
      </c>
      <c r="L47" s="2746">
        <f t="shared" si="23"/>
        <v>1</v>
      </c>
      <c r="M47" s="4081"/>
      <c r="N47" s="4082">
        <v>1</v>
      </c>
      <c r="O47" s="2746">
        <f t="shared" si="24"/>
        <v>1</v>
      </c>
    </row>
    <row r="48" spans="1:15" ht="15" customHeight="1" x14ac:dyDescent="0.2">
      <c r="A48" s="6725"/>
      <c r="B48" s="6309"/>
      <c r="C48" s="2745" t="s">
        <v>217</v>
      </c>
      <c r="D48" s="4081">
        <v>1</v>
      </c>
      <c r="E48" s="4082"/>
      <c r="F48" s="2746">
        <f t="shared" si="2"/>
        <v>1</v>
      </c>
      <c r="G48" s="4081">
        <v>1</v>
      </c>
      <c r="H48" s="4082"/>
      <c r="I48" s="2746">
        <f t="shared" si="3"/>
        <v>1</v>
      </c>
      <c r="J48" s="4081">
        <v>3</v>
      </c>
      <c r="K48" s="4082"/>
      <c r="L48" s="2746">
        <f t="shared" si="23"/>
        <v>3</v>
      </c>
      <c r="M48" s="4081">
        <v>2</v>
      </c>
      <c r="N48" s="4082"/>
      <c r="O48" s="2746">
        <f t="shared" si="24"/>
        <v>2</v>
      </c>
    </row>
    <row r="49" spans="1:15" ht="15" customHeight="1" x14ac:dyDescent="0.2">
      <c r="A49" s="6725"/>
      <c r="B49" s="6309"/>
      <c r="C49" s="2745" t="s">
        <v>218</v>
      </c>
      <c r="D49" s="4081">
        <v>1</v>
      </c>
      <c r="E49" s="4082"/>
      <c r="F49" s="2746">
        <f t="shared" si="2"/>
        <v>1</v>
      </c>
      <c r="G49" s="4081">
        <v>1</v>
      </c>
      <c r="H49" s="4082">
        <v>1</v>
      </c>
      <c r="I49" s="2746">
        <f t="shared" si="3"/>
        <v>2</v>
      </c>
      <c r="J49" s="4081"/>
      <c r="K49" s="4082">
        <v>1</v>
      </c>
      <c r="L49" s="2746">
        <f t="shared" si="23"/>
        <v>1</v>
      </c>
      <c r="M49" s="4081">
        <v>1</v>
      </c>
      <c r="N49" s="4082"/>
      <c r="O49" s="2746">
        <f t="shared" si="24"/>
        <v>1</v>
      </c>
    </row>
    <row r="50" spans="1:15" ht="15" customHeight="1" x14ac:dyDescent="0.2">
      <c r="A50" s="6725"/>
      <c r="B50" s="6309"/>
      <c r="C50" s="2745" t="s">
        <v>222</v>
      </c>
      <c r="D50" s="4081"/>
      <c r="E50" s="4082">
        <v>1</v>
      </c>
      <c r="F50" s="2746">
        <f t="shared" si="2"/>
        <v>1</v>
      </c>
      <c r="G50" s="4081"/>
      <c r="H50" s="4082">
        <v>1</v>
      </c>
      <c r="I50" s="2746">
        <f t="shared" si="3"/>
        <v>1</v>
      </c>
      <c r="J50" s="4081"/>
      <c r="K50" s="4082">
        <v>1</v>
      </c>
      <c r="L50" s="2746">
        <f t="shared" si="23"/>
        <v>1</v>
      </c>
      <c r="M50" s="4081"/>
      <c r="N50" s="4082">
        <v>1</v>
      </c>
      <c r="O50" s="2746">
        <f t="shared" si="24"/>
        <v>1</v>
      </c>
    </row>
    <row r="51" spans="1:15" ht="15" customHeight="1" x14ac:dyDescent="0.2">
      <c r="A51" s="6725"/>
      <c r="B51" s="6309"/>
      <c r="C51" s="2745" t="s">
        <v>824</v>
      </c>
      <c r="D51" s="4081"/>
      <c r="E51" s="4082"/>
      <c r="F51" s="2746">
        <f t="shared" si="2"/>
        <v>0</v>
      </c>
      <c r="G51" s="4081">
        <v>1</v>
      </c>
      <c r="H51" s="4082"/>
      <c r="I51" s="2746">
        <f t="shared" si="3"/>
        <v>1</v>
      </c>
      <c r="J51" s="4081">
        <v>1</v>
      </c>
      <c r="K51" s="4082"/>
      <c r="L51" s="2746">
        <f t="shared" si="23"/>
        <v>1</v>
      </c>
      <c r="M51" s="4081">
        <v>1</v>
      </c>
      <c r="N51" s="4082"/>
      <c r="O51" s="2746">
        <f t="shared" si="24"/>
        <v>1</v>
      </c>
    </row>
    <row r="52" spans="1:15" ht="15" customHeight="1" x14ac:dyDescent="0.2">
      <c r="A52" s="6725"/>
      <c r="B52" s="6309"/>
      <c r="C52" s="2745" t="s">
        <v>1353</v>
      </c>
      <c r="D52" s="4081"/>
      <c r="E52" s="4082"/>
      <c r="F52" s="2746">
        <f t="shared" si="2"/>
        <v>0</v>
      </c>
      <c r="G52" s="4081">
        <v>1</v>
      </c>
      <c r="H52" s="4082"/>
      <c r="I52" s="2746">
        <f t="shared" si="3"/>
        <v>1</v>
      </c>
      <c r="J52" s="4081">
        <v>1</v>
      </c>
      <c r="K52" s="4082"/>
      <c r="L52" s="2746">
        <f t="shared" si="23"/>
        <v>1</v>
      </c>
      <c r="M52" s="4081">
        <v>1</v>
      </c>
      <c r="N52" s="4082"/>
      <c r="O52" s="2746">
        <f t="shared" si="24"/>
        <v>1</v>
      </c>
    </row>
    <row r="53" spans="1:15" ht="15" customHeight="1" x14ac:dyDescent="0.2">
      <c r="A53" s="6725"/>
      <c r="B53" s="6310"/>
      <c r="C53" s="2747" t="s">
        <v>11</v>
      </c>
      <c r="D53" s="4083">
        <f t="shared" ref="D53:L53" si="25">SUM(D46:D52)</f>
        <v>6</v>
      </c>
      <c r="E53" s="4084">
        <f t="shared" si="25"/>
        <v>2</v>
      </c>
      <c r="F53" s="2748">
        <f t="shared" si="25"/>
        <v>8</v>
      </c>
      <c r="G53" s="4083">
        <f t="shared" si="25"/>
        <v>7</v>
      </c>
      <c r="H53" s="4084">
        <f t="shared" si="25"/>
        <v>4</v>
      </c>
      <c r="I53" s="2748">
        <f t="shared" si="25"/>
        <v>11</v>
      </c>
      <c r="J53" s="4083">
        <f t="shared" si="25"/>
        <v>9</v>
      </c>
      <c r="K53" s="4084">
        <f t="shared" si="25"/>
        <v>4</v>
      </c>
      <c r="L53" s="2748">
        <f t="shared" si="25"/>
        <v>13</v>
      </c>
      <c r="M53" s="4083">
        <f t="shared" ref="M53:O53" si="26">SUM(M46:M52)</f>
        <v>8</v>
      </c>
      <c r="N53" s="4084">
        <f t="shared" si="26"/>
        <v>2</v>
      </c>
      <c r="O53" s="2748">
        <f t="shared" si="26"/>
        <v>10</v>
      </c>
    </row>
    <row r="54" spans="1:15" ht="15" customHeight="1" x14ac:dyDescent="0.2">
      <c r="A54" s="6725"/>
      <c r="B54" s="6326" t="s">
        <v>7</v>
      </c>
      <c r="C54" s="2745" t="s">
        <v>168</v>
      </c>
      <c r="D54" s="4091"/>
      <c r="E54" s="4092">
        <v>1</v>
      </c>
      <c r="F54" s="2752">
        <f t="shared" si="2"/>
        <v>1</v>
      </c>
      <c r="G54" s="4091"/>
      <c r="H54" s="4092">
        <v>1</v>
      </c>
      <c r="I54" s="2752">
        <f t="shared" si="3"/>
        <v>1</v>
      </c>
      <c r="J54" s="4091">
        <v>1</v>
      </c>
      <c r="K54" s="4092"/>
      <c r="L54" s="2752">
        <f>SUM(J54:K54)</f>
        <v>1</v>
      </c>
      <c r="M54" s="4091">
        <v>1</v>
      </c>
      <c r="N54" s="4092"/>
      <c r="O54" s="2752">
        <f>SUM(M54:N54)</f>
        <v>1</v>
      </c>
    </row>
    <row r="55" spans="1:15" ht="15" customHeight="1" x14ac:dyDescent="0.2">
      <c r="A55" s="6725"/>
      <c r="B55" s="6309"/>
      <c r="C55" s="2745" t="s">
        <v>819</v>
      </c>
      <c r="D55" s="4091">
        <v>1</v>
      </c>
      <c r="E55" s="4092"/>
      <c r="F55" s="2752">
        <f t="shared" si="2"/>
        <v>1</v>
      </c>
      <c r="G55" s="4091">
        <v>2</v>
      </c>
      <c r="H55" s="4092"/>
      <c r="I55" s="2752">
        <f t="shared" si="3"/>
        <v>2</v>
      </c>
      <c r="J55" s="4091">
        <v>2</v>
      </c>
      <c r="K55" s="4092"/>
      <c r="L55" s="2752">
        <f>SUM(J55:K55)</f>
        <v>2</v>
      </c>
      <c r="M55" s="4091">
        <v>1</v>
      </c>
      <c r="N55" s="4092"/>
      <c r="O55" s="2752">
        <f>SUM(M55:N55)</f>
        <v>1</v>
      </c>
    </row>
    <row r="56" spans="1:15" ht="15" customHeight="1" x14ac:dyDescent="0.2">
      <c r="A56" s="6725"/>
      <c r="B56" s="6309"/>
      <c r="C56" s="2745" t="s">
        <v>170</v>
      </c>
      <c r="D56" s="4091">
        <v>1</v>
      </c>
      <c r="E56" s="4092"/>
      <c r="F56" s="2752">
        <f t="shared" si="2"/>
        <v>1</v>
      </c>
      <c r="G56" s="4091">
        <v>1</v>
      </c>
      <c r="H56" s="4092"/>
      <c r="I56" s="2752">
        <f t="shared" si="3"/>
        <v>1</v>
      </c>
      <c r="J56" s="4091">
        <v>1</v>
      </c>
      <c r="K56" s="4092"/>
      <c r="L56" s="2752">
        <f>SUM(J56:K56)</f>
        <v>1</v>
      </c>
      <c r="M56" s="4091">
        <v>1</v>
      </c>
      <c r="N56" s="4092"/>
      <c r="O56" s="2752">
        <f>SUM(M56:N56)</f>
        <v>1</v>
      </c>
    </row>
    <row r="57" spans="1:15" ht="15" customHeight="1" x14ac:dyDescent="0.2">
      <c r="A57" s="6725"/>
      <c r="B57" s="6309"/>
      <c r="C57" s="2745" t="s">
        <v>1352</v>
      </c>
      <c r="D57" s="4095"/>
      <c r="E57" s="4092"/>
      <c r="F57" s="2752">
        <f t="shared" si="2"/>
        <v>0</v>
      </c>
      <c r="G57" s="4095"/>
      <c r="H57" s="4104">
        <v>1</v>
      </c>
      <c r="I57" s="2752">
        <f t="shared" si="3"/>
        <v>1</v>
      </c>
      <c r="J57" s="4095"/>
      <c r="K57" s="4104"/>
      <c r="L57" s="2752">
        <f>SUM(J57:K57)</f>
        <v>0</v>
      </c>
      <c r="M57" s="4095"/>
      <c r="N57" s="4104"/>
      <c r="O57" s="2752">
        <f>SUM(M57:N57)</f>
        <v>0</v>
      </c>
    </row>
    <row r="58" spans="1:15" ht="15" customHeight="1" x14ac:dyDescent="0.2">
      <c r="A58" s="6725"/>
      <c r="B58" s="6310"/>
      <c r="C58" s="2749" t="s">
        <v>7</v>
      </c>
      <c r="D58" s="4085">
        <f t="shared" ref="D58:L58" si="27">SUM(D54:D57)</f>
        <v>2</v>
      </c>
      <c r="E58" s="4086">
        <f t="shared" si="27"/>
        <v>1</v>
      </c>
      <c r="F58" s="2750">
        <f t="shared" si="27"/>
        <v>3</v>
      </c>
      <c r="G58" s="4085">
        <f t="shared" si="27"/>
        <v>3</v>
      </c>
      <c r="H58" s="4086">
        <f t="shared" si="27"/>
        <v>2</v>
      </c>
      <c r="I58" s="2750">
        <f t="shared" si="27"/>
        <v>5</v>
      </c>
      <c r="J58" s="4085">
        <f t="shared" si="27"/>
        <v>4</v>
      </c>
      <c r="K58" s="4086">
        <f t="shared" si="27"/>
        <v>0</v>
      </c>
      <c r="L58" s="2750">
        <f t="shared" si="27"/>
        <v>4</v>
      </c>
      <c r="M58" s="4085">
        <f t="shared" ref="M58:O58" si="28">SUM(M54:M57)</f>
        <v>3</v>
      </c>
      <c r="N58" s="4086">
        <f t="shared" si="28"/>
        <v>0</v>
      </c>
      <c r="O58" s="2750">
        <f t="shared" si="28"/>
        <v>3</v>
      </c>
    </row>
    <row r="59" spans="1:15" ht="15" customHeight="1" x14ac:dyDescent="0.2">
      <c r="A59" s="6726"/>
      <c r="B59" s="6750" t="s">
        <v>444</v>
      </c>
      <c r="C59" s="6751"/>
      <c r="D59" s="4096">
        <f t="shared" ref="D59:L59" si="29">SUM(D58,D53,D45)</f>
        <v>14</v>
      </c>
      <c r="E59" s="4097">
        <f t="shared" si="29"/>
        <v>4</v>
      </c>
      <c r="F59" s="4076">
        <f t="shared" si="29"/>
        <v>18</v>
      </c>
      <c r="G59" s="4096">
        <f t="shared" si="29"/>
        <v>16</v>
      </c>
      <c r="H59" s="4097">
        <f t="shared" si="29"/>
        <v>8</v>
      </c>
      <c r="I59" s="4076">
        <f t="shared" si="29"/>
        <v>24</v>
      </c>
      <c r="J59" s="4096">
        <f t="shared" si="29"/>
        <v>17</v>
      </c>
      <c r="K59" s="4097">
        <f t="shared" si="29"/>
        <v>5</v>
      </c>
      <c r="L59" s="4076">
        <f t="shared" si="29"/>
        <v>22</v>
      </c>
      <c r="M59" s="4096">
        <f t="shared" ref="M59:O59" si="30">SUM(M58,M53,M45)</f>
        <v>14</v>
      </c>
      <c r="N59" s="4097">
        <f t="shared" si="30"/>
        <v>2</v>
      </c>
      <c r="O59" s="4076">
        <f t="shared" si="30"/>
        <v>16</v>
      </c>
    </row>
    <row r="60" spans="1:15" ht="15" customHeight="1" x14ac:dyDescent="0.2">
      <c r="A60" s="6757" t="s">
        <v>407</v>
      </c>
      <c r="B60" s="6760" t="s">
        <v>6</v>
      </c>
      <c r="C60" s="2753" t="s">
        <v>826</v>
      </c>
      <c r="D60" s="4081">
        <v>0</v>
      </c>
      <c r="E60" s="4082">
        <v>1</v>
      </c>
      <c r="F60" s="2746">
        <f>SUM(D60:E60)</f>
        <v>1</v>
      </c>
      <c r="G60" s="4081"/>
      <c r="H60" s="4082"/>
      <c r="I60" s="2746">
        <f t="shared" si="3"/>
        <v>0</v>
      </c>
      <c r="J60" s="4081"/>
      <c r="K60" s="4082"/>
      <c r="L60" s="2746">
        <f>SUM(J60:K60)</f>
        <v>0</v>
      </c>
      <c r="M60" s="4081"/>
      <c r="N60" s="4082"/>
      <c r="O60" s="2746">
        <f>SUM(M60:N60)</f>
        <v>0</v>
      </c>
    </row>
    <row r="61" spans="1:15" ht="15" customHeight="1" x14ac:dyDescent="0.2">
      <c r="A61" s="6758"/>
      <c r="B61" s="6761"/>
      <c r="C61" s="2753" t="s">
        <v>191</v>
      </c>
      <c r="D61" s="4081">
        <v>1</v>
      </c>
      <c r="E61" s="4082">
        <v>0</v>
      </c>
      <c r="F61" s="2746">
        <f>SUM(D61:E61)</f>
        <v>1</v>
      </c>
      <c r="G61" s="4081">
        <v>1</v>
      </c>
      <c r="H61" s="4082"/>
      <c r="I61" s="2746">
        <f t="shared" si="3"/>
        <v>1</v>
      </c>
      <c r="J61" s="4081">
        <v>1</v>
      </c>
      <c r="K61" s="4082"/>
      <c r="L61" s="2746">
        <f>SUM(J61:K61)</f>
        <v>1</v>
      </c>
      <c r="M61" s="4081">
        <v>1</v>
      </c>
      <c r="N61" s="4082"/>
      <c r="O61" s="2746">
        <f>SUM(M61:N61)</f>
        <v>1</v>
      </c>
    </row>
    <row r="62" spans="1:15" ht="15" customHeight="1" x14ac:dyDescent="0.2">
      <c r="A62" s="6758"/>
      <c r="B62" s="6761"/>
      <c r="C62" s="2749" t="s">
        <v>6</v>
      </c>
      <c r="D62" s="4085">
        <f t="shared" ref="D62:L62" si="31">SUM(D60:D61)</f>
        <v>1</v>
      </c>
      <c r="E62" s="4086">
        <f t="shared" si="31"/>
        <v>1</v>
      </c>
      <c r="F62" s="2750">
        <f t="shared" si="31"/>
        <v>2</v>
      </c>
      <c r="G62" s="4085">
        <f t="shared" si="31"/>
        <v>1</v>
      </c>
      <c r="H62" s="4086">
        <f t="shared" si="31"/>
        <v>0</v>
      </c>
      <c r="I62" s="2750">
        <f t="shared" si="31"/>
        <v>1</v>
      </c>
      <c r="J62" s="4085">
        <f t="shared" si="31"/>
        <v>1</v>
      </c>
      <c r="K62" s="4086">
        <f t="shared" si="31"/>
        <v>0</v>
      </c>
      <c r="L62" s="2750">
        <f t="shared" si="31"/>
        <v>1</v>
      </c>
      <c r="M62" s="4085">
        <f t="shared" ref="M62:O62" si="32">SUM(M60:M61)</f>
        <v>1</v>
      </c>
      <c r="N62" s="4086">
        <f t="shared" si="32"/>
        <v>0</v>
      </c>
      <c r="O62" s="2750">
        <f t="shared" si="32"/>
        <v>1</v>
      </c>
    </row>
    <row r="63" spans="1:15" ht="15" customHeight="1" x14ac:dyDescent="0.2">
      <c r="A63" s="6758"/>
      <c r="B63" s="6326" t="s">
        <v>74</v>
      </c>
      <c r="C63" s="2754" t="s">
        <v>1364</v>
      </c>
      <c r="D63" s="4079">
        <v>1</v>
      </c>
      <c r="E63" s="4080">
        <v>2</v>
      </c>
      <c r="F63" s="2755">
        <f>SUM(D63:E63)</f>
        <v>3</v>
      </c>
      <c r="G63" s="4079">
        <v>2</v>
      </c>
      <c r="H63" s="4080">
        <v>2</v>
      </c>
      <c r="I63" s="2755">
        <f t="shared" si="3"/>
        <v>4</v>
      </c>
      <c r="J63" s="4079">
        <v>2</v>
      </c>
      <c r="K63" s="4080">
        <v>2</v>
      </c>
      <c r="L63" s="2755">
        <f>SUM(J63:K63)</f>
        <v>4</v>
      </c>
      <c r="M63" s="4079">
        <v>1</v>
      </c>
      <c r="N63" s="4080">
        <v>1</v>
      </c>
      <c r="O63" s="2755">
        <f>SUM(M63:N63)</f>
        <v>2</v>
      </c>
    </row>
    <row r="64" spans="1:15" ht="15" customHeight="1" x14ac:dyDescent="0.2">
      <c r="A64" s="6758"/>
      <c r="B64" s="6309"/>
      <c r="C64" s="2753" t="s">
        <v>830</v>
      </c>
      <c r="D64" s="4081">
        <v>1</v>
      </c>
      <c r="E64" s="4082">
        <v>0</v>
      </c>
      <c r="F64" s="2746">
        <f>SUM(D64:E64)</f>
        <v>1</v>
      </c>
      <c r="G64" s="4081">
        <v>1</v>
      </c>
      <c r="H64" s="4082"/>
      <c r="I64" s="2746">
        <f t="shared" si="3"/>
        <v>1</v>
      </c>
      <c r="J64" s="4081"/>
      <c r="K64" s="4082"/>
      <c r="L64" s="2746">
        <f>SUM(J64:K64)</f>
        <v>0</v>
      </c>
      <c r="M64" s="4081"/>
      <c r="N64" s="4082"/>
      <c r="O64" s="2746">
        <f>SUM(M64:N64)</f>
        <v>0</v>
      </c>
    </row>
    <row r="65" spans="1:15" ht="15" x14ac:dyDescent="0.2">
      <c r="A65" s="6758"/>
      <c r="B65" s="6309"/>
      <c r="C65" s="2749" t="s">
        <v>74</v>
      </c>
      <c r="D65" s="4085">
        <f t="shared" ref="D65:L65" si="33">SUM(D63:D64)</f>
        <v>2</v>
      </c>
      <c r="E65" s="4086">
        <f t="shared" si="33"/>
        <v>2</v>
      </c>
      <c r="F65" s="2750">
        <f t="shared" si="33"/>
        <v>4</v>
      </c>
      <c r="G65" s="4085">
        <f t="shared" si="33"/>
        <v>3</v>
      </c>
      <c r="H65" s="4086">
        <f t="shared" si="33"/>
        <v>2</v>
      </c>
      <c r="I65" s="2750">
        <f t="shared" si="33"/>
        <v>5</v>
      </c>
      <c r="J65" s="4085">
        <f t="shared" si="33"/>
        <v>2</v>
      </c>
      <c r="K65" s="4086">
        <f t="shared" si="33"/>
        <v>2</v>
      </c>
      <c r="L65" s="2750">
        <f t="shared" si="33"/>
        <v>4</v>
      </c>
      <c r="M65" s="4085">
        <f t="shared" ref="M65:O65" si="34">SUM(M63:M64)</f>
        <v>1</v>
      </c>
      <c r="N65" s="4086">
        <f t="shared" si="34"/>
        <v>1</v>
      </c>
      <c r="O65" s="2750">
        <f t="shared" si="34"/>
        <v>2</v>
      </c>
    </row>
    <row r="66" spans="1:15" ht="15" x14ac:dyDescent="0.2">
      <c r="A66" s="6759"/>
      <c r="B66" s="6748" t="s">
        <v>444</v>
      </c>
      <c r="C66" s="6749"/>
      <c r="D66" s="4098">
        <f t="shared" ref="D66:L66" si="35">SUM(D65,D62)</f>
        <v>3</v>
      </c>
      <c r="E66" s="4099">
        <f t="shared" si="35"/>
        <v>3</v>
      </c>
      <c r="F66" s="4077">
        <f t="shared" si="35"/>
        <v>6</v>
      </c>
      <c r="G66" s="4098">
        <f t="shared" si="35"/>
        <v>4</v>
      </c>
      <c r="H66" s="4099">
        <f t="shared" si="35"/>
        <v>2</v>
      </c>
      <c r="I66" s="4077">
        <f t="shared" si="35"/>
        <v>6</v>
      </c>
      <c r="J66" s="4098">
        <f t="shared" si="35"/>
        <v>3</v>
      </c>
      <c r="K66" s="4099">
        <f t="shared" si="35"/>
        <v>2</v>
      </c>
      <c r="L66" s="4077">
        <f t="shared" si="35"/>
        <v>5</v>
      </c>
      <c r="M66" s="4098">
        <f t="shared" ref="M66:O66" si="36">SUM(M65,M62)</f>
        <v>2</v>
      </c>
      <c r="N66" s="4099">
        <f t="shared" si="36"/>
        <v>1</v>
      </c>
      <c r="O66" s="4077">
        <f t="shared" si="36"/>
        <v>3</v>
      </c>
    </row>
    <row r="67" spans="1:15" ht="15" x14ac:dyDescent="0.2">
      <c r="A67" s="6753" t="s">
        <v>408</v>
      </c>
      <c r="B67" s="6234" t="s">
        <v>11</v>
      </c>
      <c r="C67" s="2745" t="s">
        <v>1351</v>
      </c>
      <c r="D67" s="4091"/>
      <c r="E67" s="4092"/>
      <c r="F67" s="2752"/>
      <c r="G67" s="4091"/>
      <c r="H67" s="4092">
        <v>1</v>
      </c>
      <c r="I67" s="2752">
        <f>SUM(G67:H67)</f>
        <v>1</v>
      </c>
      <c r="J67" s="4091"/>
      <c r="K67" s="4092">
        <v>1</v>
      </c>
      <c r="L67" s="2752">
        <f>SUM(J67:K67)</f>
        <v>1</v>
      </c>
      <c r="M67" s="4091"/>
      <c r="N67" s="4092"/>
      <c r="O67" s="2752">
        <f>SUM(M67:N67)</f>
        <v>0</v>
      </c>
    </row>
    <row r="68" spans="1:15" ht="15" x14ac:dyDescent="0.2">
      <c r="A68" s="6754"/>
      <c r="B68" s="6756"/>
      <c r="C68" s="2747" t="s">
        <v>11</v>
      </c>
      <c r="D68" s="4083"/>
      <c r="E68" s="4084"/>
      <c r="F68" s="2748"/>
      <c r="G68" s="4083">
        <f t="shared" ref="G68:L69" si="37">SUM(G67)</f>
        <v>0</v>
      </c>
      <c r="H68" s="4084">
        <f t="shared" si="37"/>
        <v>1</v>
      </c>
      <c r="I68" s="2748">
        <f t="shared" si="37"/>
        <v>1</v>
      </c>
      <c r="J68" s="4083">
        <f t="shared" si="37"/>
        <v>0</v>
      </c>
      <c r="K68" s="4084">
        <f t="shared" si="37"/>
        <v>1</v>
      </c>
      <c r="L68" s="2748">
        <f t="shared" si="37"/>
        <v>1</v>
      </c>
      <c r="M68" s="4083">
        <f t="shared" ref="M68:O68" si="38">SUM(M67)</f>
        <v>0</v>
      </c>
      <c r="N68" s="4084">
        <f t="shared" si="38"/>
        <v>0</v>
      </c>
      <c r="O68" s="2748">
        <f t="shared" si="38"/>
        <v>0</v>
      </c>
    </row>
    <row r="69" spans="1:15" ht="15" x14ac:dyDescent="0.2">
      <c r="A69" s="6755"/>
      <c r="B69" s="4061"/>
      <c r="C69" s="4054" t="s">
        <v>444</v>
      </c>
      <c r="D69" s="4100"/>
      <c r="E69" s="4101"/>
      <c r="F69" s="4055"/>
      <c r="G69" s="4105">
        <f t="shared" si="37"/>
        <v>0</v>
      </c>
      <c r="H69" s="4101">
        <f t="shared" si="37"/>
        <v>1</v>
      </c>
      <c r="I69" s="4055">
        <f t="shared" si="37"/>
        <v>1</v>
      </c>
      <c r="J69" s="4105">
        <f t="shared" si="37"/>
        <v>0</v>
      </c>
      <c r="K69" s="4101">
        <f t="shared" si="37"/>
        <v>1</v>
      </c>
      <c r="L69" s="4055">
        <f t="shared" si="37"/>
        <v>1</v>
      </c>
      <c r="M69" s="4105">
        <f t="shared" ref="M69:O69" si="39">SUM(M68)</f>
        <v>0</v>
      </c>
      <c r="N69" s="4101">
        <f t="shared" si="39"/>
        <v>0</v>
      </c>
      <c r="O69" s="4055">
        <f t="shared" si="39"/>
        <v>0</v>
      </c>
    </row>
    <row r="70" spans="1:15" ht="15" x14ac:dyDescent="0.2">
      <c r="A70" s="6330" t="s">
        <v>573</v>
      </c>
      <c r="B70" s="6331"/>
      <c r="C70" s="6332"/>
      <c r="D70" s="4102">
        <f t="shared" ref="D70:L70" si="40">SUM(D69,D66,D59,D40,D20)</f>
        <v>40</v>
      </c>
      <c r="E70" s="4103">
        <f t="shared" si="40"/>
        <v>22</v>
      </c>
      <c r="F70" s="4078">
        <f t="shared" si="40"/>
        <v>62</v>
      </c>
      <c r="G70" s="4102">
        <f t="shared" si="40"/>
        <v>40</v>
      </c>
      <c r="H70" s="4103">
        <f t="shared" si="40"/>
        <v>24</v>
      </c>
      <c r="I70" s="4078">
        <f t="shared" si="40"/>
        <v>64</v>
      </c>
      <c r="J70" s="4102">
        <f t="shared" si="40"/>
        <v>33</v>
      </c>
      <c r="K70" s="4103">
        <f t="shared" si="40"/>
        <v>22</v>
      </c>
      <c r="L70" s="4078">
        <f t="shared" si="40"/>
        <v>55</v>
      </c>
      <c r="M70" s="4102">
        <f t="shared" ref="M70:O70" si="41">SUM(M69,M66,M59,M40,M20)</f>
        <v>28</v>
      </c>
      <c r="N70" s="4103">
        <f t="shared" si="41"/>
        <v>11</v>
      </c>
      <c r="O70" s="4078">
        <f t="shared" si="41"/>
        <v>39</v>
      </c>
    </row>
  </sheetData>
  <sheetProtection algorithmName="SHA-512" hashValue="skP+hhGCiDgpq7vRhTei6jAuulHmXmeSAaI3HbGmjInm+qaS1vNRSuIR0FcjUg6wj/CQUrbj/NR6dZZOsxJQ6w==" saltValue="x2JHDmJpG6RzEKLukwKofA==" spinCount="100000" sheet="1" objects="1" scenarios="1"/>
  <mergeCells count="29">
    <mergeCell ref="M3:O3"/>
    <mergeCell ref="G3:I3"/>
    <mergeCell ref="A3:A4"/>
    <mergeCell ref="A21:A40"/>
    <mergeCell ref="B27:B34"/>
    <mergeCell ref="B3:B4"/>
    <mergeCell ref="C3:C4"/>
    <mergeCell ref="D3:F3"/>
    <mergeCell ref="B13:B17"/>
    <mergeCell ref="B20:C20"/>
    <mergeCell ref="B21:B26"/>
    <mergeCell ref="B35:B39"/>
    <mergeCell ref="B40:C40"/>
    <mergeCell ref="J3:L3"/>
    <mergeCell ref="A5:A20"/>
    <mergeCell ref="B5:B12"/>
    <mergeCell ref="B18:B19"/>
    <mergeCell ref="A70:C70"/>
    <mergeCell ref="A67:A69"/>
    <mergeCell ref="B67:B68"/>
    <mergeCell ref="B41:B45"/>
    <mergeCell ref="B59:C59"/>
    <mergeCell ref="B46:B53"/>
    <mergeCell ref="A41:A59"/>
    <mergeCell ref="B54:B58"/>
    <mergeCell ref="A60:A66"/>
    <mergeCell ref="B60:B62"/>
    <mergeCell ref="B63:B65"/>
    <mergeCell ref="B66:C66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54" orientation="landscape" r:id="rId1"/>
  <ignoredErrors>
    <ignoredError sqref="F12 I12 I26 F32:F34 I34 F45:I53 F62:I62 L12:L17 L53:L62 L32:L34 L26:L30 F26:F30 O45:O62 L45 O12:O30 L20 O32:O34" formula="1"/>
  </ignoredError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42"/>
  <sheetViews>
    <sheetView showGridLines="0" zoomScaleNormal="100" workbookViewId="0">
      <selection activeCell="C1" sqref="C1:K1048576"/>
    </sheetView>
  </sheetViews>
  <sheetFormatPr baseColWidth="10" defaultRowHeight="12.75" x14ac:dyDescent="0.2"/>
  <cols>
    <col min="1" max="1" width="13.7109375" bestFit="1" customWidth="1"/>
    <col min="2" max="2" width="9.140625" bestFit="1" customWidth="1"/>
    <col min="3" max="3" width="8.5703125" bestFit="1" customWidth="1"/>
    <col min="4" max="5" width="9.42578125" customWidth="1"/>
    <col min="6" max="6" width="8.5703125" bestFit="1" customWidth="1"/>
    <col min="7" max="8" width="9.42578125" customWidth="1"/>
    <col min="9" max="9" width="8.5703125" bestFit="1" customWidth="1"/>
    <col min="10" max="10" width="9.42578125" customWidth="1"/>
    <col min="11" max="11" width="7.7109375" customWidth="1"/>
    <col min="12" max="12" width="8.5703125" bestFit="1" customWidth="1"/>
    <col min="13" max="13" width="9.42578125" bestFit="1" customWidth="1"/>
    <col min="14" max="14" width="8.7109375" customWidth="1"/>
  </cols>
  <sheetData>
    <row r="1" spans="1:14" ht="15.75" x14ac:dyDescent="0.25">
      <c r="A1" s="139" t="s">
        <v>846</v>
      </c>
    </row>
    <row r="3" spans="1:14" ht="15" x14ac:dyDescent="0.2">
      <c r="A3" s="5653" t="s">
        <v>16</v>
      </c>
      <c r="B3" s="5653" t="s">
        <v>4</v>
      </c>
      <c r="C3" s="6707">
        <v>2014</v>
      </c>
      <c r="D3" s="6707"/>
      <c r="E3" s="6766"/>
      <c r="F3" s="6707">
        <v>2015</v>
      </c>
      <c r="G3" s="6707"/>
      <c r="H3" s="6766"/>
      <c r="I3" s="6707">
        <v>2016</v>
      </c>
      <c r="J3" s="6707"/>
      <c r="K3" s="6766"/>
      <c r="L3" s="6707">
        <v>2017</v>
      </c>
      <c r="M3" s="6707"/>
      <c r="N3" s="6766"/>
    </row>
    <row r="4" spans="1:14" x14ac:dyDescent="0.2">
      <c r="A4" s="5654"/>
      <c r="B4" s="5654"/>
      <c r="C4" s="1326" t="s">
        <v>658</v>
      </c>
      <c r="D4" s="1327" t="s">
        <v>659</v>
      </c>
      <c r="E4" s="4141" t="s">
        <v>160</v>
      </c>
      <c r="F4" s="1326" t="s">
        <v>658</v>
      </c>
      <c r="G4" s="1327" t="s">
        <v>659</v>
      </c>
      <c r="H4" s="4141" t="s">
        <v>160</v>
      </c>
      <c r="I4" s="1326" t="s">
        <v>658</v>
      </c>
      <c r="J4" s="1327" t="s">
        <v>659</v>
      </c>
      <c r="K4" s="4141" t="s">
        <v>160</v>
      </c>
      <c r="L4" s="1326" t="s">
        <v>658</v>
      </c>
      <c r="M4" s="1327" t="s">
        <v>659</v>
      </c>
      <c r="N4" s="4141" t="s">
        <v>160</v>
      </c>
    </row>
    <row r="5" spans="1:14" ht="15" x14ac:dyDescent="0.2">
      <c r="A5" s="262"/>
      <c r="B5" s="262"/>
      <c r="C5" s="262"/>
      <c r="D5" s="262"/>
      <c r="F5" s="262"/>
      <c r="G5" s="262"/>
      <c r="I5" s="262"/>
      <c r="J5" s="262"/>
      <c r="L5" s="262"/>
      <c r="M5" s="262"/>
    </row>
    <row r="6" spans="1:14" ht="15" x14ac:dyDescent="0.2">
      <c r="A6" s="5778" t="s">
        <v>161</v>
      </c>
      <c r="B6" s="263" t="s">
        <v>5</v>
      </c>
      <c r="C6" s="264">
        <f>+'3 Gpos Vuln_plan'!D12</f>
        <v>4</v>
      </c>
      <c r="D6" s="265">
        <f>+'3 Gpos Vuln_plan'!E12</f>
        <v>5</v>
      </c>
      <c r="E6" s="266">
        <f>+'3 Gpos Vuln_plan'!F12</f>
        <v>9</v>
      </c>
      <c r="F6" s="264">
        <f>+'3 Gpos Vuln_plan'!G12</f>
        <v>3</v>
      </c>
      <c r="G6" s="265">
        <f>+'3 Gpos Vuln_plan'!H12</f>
        <v>5</v>
      </c>
      <c r="H6" s="266">
        <f>+'3 Gpos Vuln_plan'!I12</f>
        <v>8</v>
      </c>
      <c r="I6" s="264">
        <f>+'3 Gpos Vuln_plan'!J12</f>
        <v>2</v>
      </c>
      <c r="J6" s="265">
        <f>+'3 Gpos Vuln_plan'!K12</f>
        <v>5</v>
      </c>
      <c r="K6" s="266">
        <f>+'3 Gpos Vuln_plan'!L12</f>
        <v>7</v>
      </c>
      <c r="L6" s="264">
        <f>+'3 Gpos Vuln_plan'!M12</f>
        <v>1</v>
      </c>
      <c r="M6" s="265">
        <f>+'3 Gpos Vuln_plan'!N12</f>
        <v>4</v>
      </c>
      <c r="N6" s="266">
        <f>+'3 Gpos Vuln_plan'!O12</f>
        <v>5</v>
      </c>
    </row>
    <row r="7" spans="1:14" ht="15" x14ac:dyDescent="0.2">
      <c r="A7" s="5779"/>
      <c r="B7" s="267" t="s">
        <v>6</v>
      </c>
      <c r="C7" s="268">
        <f>+'3 Gpos Vuln_plan'!D17</f>
        <v>9</v>
      </c>
      <c r="D7" s="269">
        <f>+'3 Gpos Vuln_plan'!E17</f>
        <v>3</v>
      </c>
      <c r="E7" s="270">
        <f>+'3 Gpos Vuln_plan'!F17</f>
        <v>12</v>
      </c>
      <c r="F7" s="268">
        <f>+'3 Gpos Vuln_plan'!G17</f>
        <v>7</v>
      </c>
      <c r="G7" s="269">
        <f>+'3 Gpos Vuln_plan'!H17</f>
        <v>4</v>
      </c>
      <c r="H7" s="270">
        <f>+'3 Gpos Vuln_plan'!I17</f>
        <v>11</v>
      </c>
      <c r="I7" s="268">
        <f>+'3 Gpos Vuln_plan'!J17</f>
        <v>5</v>
      </c>
      <c r="J7" s="269">
        <f>+'3 Gpos Vuln_plan'!K17</f>
        <v>5</v>
      </c>
      <c r="K7" s="270">
        <f>+'3 Gpos Vuln_plan'!L17</f>
        <v>10</v>
      </c>
      <c r="L7" s="268">
        <f>+'3 Gpos Vuln_plan'!M17</f>
        <v>5</v>
      </c>
      <c r="M7" s="269">
        <f>+'3 Gpos Vuln_plan'!N17</f>
        <v>2</v>
      </c>
      <c r="N7" s="270">
        <f>+'3 Gpos Vuln_plan'!O17</f>
        <v>7</v>
      </c>
    </row>
    <row r="8" spans="1:14" ht="15" x14ac:dyDescent="0.2">
      <c r="A8" s="5779"/>
      <c r="B8" s="267" t="s">
        <v>7</v>
      </c>
      <c r="C8" s="2761"/>
      <c r="D8" s="2762"/>
      <c r="E8" s="2763">
        <f>SUM(C8:D8)</f>
        <v>0</v>
      </c>
      <c r="F8" s="2761"/>
      <c r="G8" s="2762"/>
      <c r="H8" s="2763">
        <f>SUM(F8:G8)</f>
        <v>0</v>
      </c>
      <c r="I8" s="2761">
        <f>SUM('3 Gpos Vuln_plan'!J19)</f>
        <v>1</v>
      </c>
      <c r="J8" s="2762">
        <f>SUM('3 Gpos Vuln_plan'!K19)</f>
        <v>0</v>
      </c>
      <c r="K8" s="2763">
        <f>SUM(I8:J8)</f>
        <v>1</v>
      </c>
      <c r="L8" s="2761">
        <f>SUM('3 Gpos Vuln_plan'!M19)</f>
        <v>1</v>
      </c>
      <c r="M8" s="2762">
        <f>SUM('3 Gpos Vuln_plan'!N19)</f>
        <v>0</v>
      </c>
      <c r="N8" s="2763">
        <f>SUM(L8:M8)</f>
        <v>1</v>
      </c>
    </row>
    <row r="9" spans="1:14" ht="15" x14ac:dyDescent="0.2">
      <c r="A9" s="5780"/>
      <c r="B9" s="2231" t="s">
        <v>160</v>
      </c>
      <c r="C9" s="2285">
        <f t="shared" ref="C9:H9" si="0">SUM(C6:C8)</f>
        <v>13</v>
      </c>
      <c r="D9" s="2286">
        <f t="shared" si="0"/>
        <v>8</v>
      </c>
      <c r="E9" s="2287">
        <f t="shared" si="0"/>
        <v>21</v>
      </c>
      <c r="F9" s="2285">
        <f t="shared" si="0"/>
        <v>10</v>
      </c>
      <c r="G9" s="2286">
        <f t="shared" si="0"/>
        <v>9</v>
      </c>
      <c r="H9" s="2287">
        <f t="shared" si="0"/>
        <v>19</v>
      </c>
      <c r="I9" s="2285">
        <f t="shared" ref="I9:N9" si="1">SUM(I6:I8)</f>
        <v>8</v>
      </c>
      <c r="J9" s="2286">
        <f t="shared" si="1"/>
        <v>10</v>
      </c>
      <c r="K9" s="2287">
        <f t="shared" si="1"/>
        <v>18</v>
      </c>
      <c r="L9" s="2285">
        <f t="shared" si="1"/>
        <v>7</v>
      </c>
      <c r="M9" s="2286">
        <f t="shared" si="1"/>
        <v>6</v>
      </c>
      <c r="N9" s="2287">
        <f t="shared" si="1"/>
        <v>13</v>
      </c>
    </row>
    <row r="10" spans="1:14" ht="15.75" x14ac:dyDescent="0.25">
      <c r="A10" s="1781"/>
      <c r="B10" s="209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</row>
    <row r="11" spans="1:14" ht="15" x14ac:dyDescent="0.2">
      <c r="A11" s="5781" t="s">
        <v>407</v>
      </c>
      <c r="B11" s="263" t="s">
        <v>6</v>
      </c>
      <c r="C11" s="264">
        <f>+'3 Gpos Vuln_plan'!D62</f>
        <v>1</v>
      </c>
      <c r="D11" s="265">
        <f>+'3 Gpos Vuln_plan'!E62</f>
        <v>1</v>
      </c>
      <c r="E11" s="266">
        <f>+'3 Gpos Vuln_plan'!F62</f>
        <v>2</v>
      </c>
      <c r="F11" s="264">
        <f>+'3 Gpos Vuln_plan'!G62</f>
        <v>1</v>
      </c>
      <c r="G11" s="265">
        <f>+'3 Gpos Vuln_plan'!H62</f>
        <v>0</v>
      </c>
      <c r="H11" s="266">
        <f>+'3 Gpos Vuln_plan'!I62</f>
        <v>1</v>
      </c>
      <c r="I11" s="264">
        <f>+'3 Gpos Vuln_plan'!J62</f>
        <v>1</v>
      </c>
      <c r="J11" s="265">
        <f>+'3 Gpos Vuln_plan'!K62</f>
        <v>0</v>
      </c>
      <c r="K11" s="266">
        <f>+'3 Gpos Vuln_plan'!L62</f>
        <v>1</v>
      </c>
      <c r="L11" s="264">
        <f>+'3 Gpos Vuln_plan'!M62</f>
        <v>1</v>
      </c>
      <c r="M11" s="265">
        <f>+'3 Gpos Vuln_plan'!N62</f>
        <v>0</v>
      </c>
      <c r="N11" s="266">
        <f>+'3 Gpos Vuln_plan'!O62</f>
        <v>1</v>
      </c>
    </row>
    <row r="12" spans="1:14" ht="15" x14ac:dyDescent="0.2">
      <c r="A12" s="5782"/>
      <c r="B12" s="267" t="s">
        <v>9</v>
      </c>
      <c r="C12" s="268"/>
      <c r="D12" s="269"/>
      <c r="E12" s="270">
        <f>SUM(C12:D12)</f>
        <v>0</v>
      </c>
      <c r="F12" s="268"/>
      <c r="G12" s="269"/>
      <c r="H12" s="270">
        <f>SUM(F12:G12)</f>
        <v>0</v>
      </c>
      <c r="I12" s="268"/>
      <c r="J12" s="269"/>
      <c r="K12" s="270">
        <f>SUM(I12:J12)</f>
        <v>0</v>
      </c>
      <c r="L12" s="268"/>
      <c r="M12" s="269"/>
      <c r="N12" s="270">
        <f>SUM(L12:M12)</f>
        <v>0</v>
      </c>
    </row>
    <row r="13" spans="1:14" ht="15" x14ac:dyDescent="0.2">
      <c r="A13" s="5782"/>
      <c r="B13" s="267" t="s">
        <v>74</v>
      </c>
      <c r="C13" s="2761">
        <f>+'3 Gpos Vuln_plan'!D65</f>
        <v>2</v>
      </c>
      <c r="D13" s="2762">
        <f>+'3 Gpos Vuln_plan'!E65</f>
        <v>2</v>
      </c>
      <c r="E13" s="2763">
        <f>+'3 Gpos Vuln_plan'!F65</f>
        <v>4</v>
      </c>
      <c r="F13" s="2761">
        <f>+'3 Gpos Vuln_plan'!G65</f>
        <v>3</v>
      </c>
      <c r="G13" s="2762">
        <f>+'3 Gpos Vuln_plan'!H65</f>
        <v>2</v>
      </c>
      <c r="H13" s="2763">
        <f>+'3 Gpos Vuln_plan'!I65</f>
        <v>5</v>
      </c>
      <c r="I13" s="2761">
        <f>+'3 Gpos Vuln_plan'!J65</f>
        <v>2</v>
      </c>
      <c r="J13" s="2762">
        <f>+'3 Gpos Vuln_plan'!K65</f>
        <v>2</v>
      </c>
      <c r="K13" s="2763">
        <f>+'3 Gpos Vuln_plan'!L65</f>
        <v>4</v>
      </c>
      <c r="L13" s="2761">
        <f>+'3 Gpos Vuln_plan'!M65</f>
        <v>1</v>
      </c>
      <c r="M13" s="2762">
        <f>+'3 Gpos Vuln_plan'!N65</f>
        <v>1</v>
      </c>
      <c r="N13" s="2763">
        <f>+'3 Gpos Vuln_plan'!O65</f>
        <v>2</v>
      </c>
    </row>
    <row r="14" spans="1:14" ht="15" x14ac:dyDescent="0.2">
      <c r="A14" s="5783"/>
      <c r="B14" s="2228" t="s">
        <v>160</v>
      </c>
      <c r="C14" s="2278">
        <f t="shared" ref="C14:H14" si="2">SUM(C11:C13)</f>
        <v>3</v>
      </c>
      <c r="D14" s="2279">
        <f t="shared" si="2"/>
        <v>3</v>
      </c>
      <c r="E14" s="2280">
        <f t="shared" si="2"/>
        <v>6</v>
      </c>
      <c r="F14" s="2278">
        <f t="shared" si="2"/>
        <v>4</v>
      </c>
      <c r="G14" s="2279">
        <f t="shared" si="2"/>
        <v>2</v>
      </c>
      <c r="H14" s="2280">
        <f t="shared" si="2"/>
        <v>6</v>
      </c>
      <c r="I14" s="2278">
        <f t="shared" ref="I14:N14" si="3">SUM(I11:I13)</f>
        <v>3</v>
      </c>
      <c r="J14" s="2279">
        <f t="shared" si="3"/>
        <v>2</v>
      </c>
      <c r="K14" s="2280">
        <f t="shared" si="3"/>
        <v>5</v>
      </c>
      <c r="L14" s="2278">
        <f t="shared" si="3"/>
        <v>2</v>
      </c>
      <c r="M14" s="2279">
        <f t="shared" si="3"/>
        <v>1</v>
      </c>
      <c r="N14" s="2280">
        <f t="shared" si="3"/>
        <v>3</v>
      </c>
    </row>
    <row r="15" spans="1:14" ht="15.75" x14ac:dyDescent="0.25">
      <c r="A15" s="1781"/>
      <c r="B15" s="68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</row>
    <row r="16" spans="1:14" ht="15" x14ac:dyDescent="0.2">
      <c r="A16" s="5772" t="s">
        <v>162</v>
      </c>
      <c r="B16" s="263" t="s">
        <v>5</v>
      </c>
      <c r="C16" s="264">
        <f>+'3 Gpos Vuln_plan'!D26</f>
        <v>2</v>
      </c>
      <c r="D16" s="265">
        <f>+'3 Gpos Vuln_plan'!E26</f>
        <v>5</v>
      </c>
      <c r="E16" s="266">
        <f>+'3 Gpos Vuln_plan'!F26</f>
        <v>7</v>
      </c>
      <c r="F16" s="264">
        <f>+'3 Gpos Vuln_plan'!G26</f>
        <v>1</v>
      </c>
      <c r="G16" s="265">
        <f>+'3 Gpos Vuln_plan'!H26</f>
        <v>2</v>
      </c>
      <c r="H16" s="266">
        <f>+'3 Gpos Vuln_plan'!I26</f>
        <v>3</v>
      </c>
      <c r="I16" s="264">
        <f>+'3 Gpos Vuln_plan'!J26</f>
        <v>0</v>
      </c>
      <c r="J16" s="265">
        <f>+'3 Gpos Vuln_plan'!K26</f>
        <v>2</v>
      </c>
      <c r="K16" s="266">
        <f>+'3 Gpos Vuln_plan'!L26</f>
        <v>2</v>
      </c>
      <c r="L16" s="264">
        <f>+'3 Gpos Vuln_plan'!M26</f>
        <v>0</v>
      </c>
      <c r="M16" s="265">
        <f>+'3 Gpos Vuln_plan'!N26</f>
        <v>0</v>
      </c>
      <c r="N16" s="266">
        <f>+'3 Gpos Vuln_plan'!O26</f>
        <v>0</v>
      </c>
    </row>
    <row r="17" spans="1:14" ht="15" x14ac:dyDescent="0.2">
      <c r="A17" s="5773"/>
      <c r="B17" s="267" t="s">
        <v>6</v>
      </c>
      <c r="C17" s="268">
        <f>+'3 Gpos Vuln_plan'!D34</f>
        <v>3</v>
      </c>
      <c r="D17" s="269">
        <f>+'3 Gpos Vuln_plan'!E34</f>
        <v>2</v>
      </c>
      <c r="E17" s="270">
        <f>+'3 Gpos Vuln_plan'!F34</f>
        <v>5</v>
      </c>
      <c r="F17" s="268">
        <f>+'3 Gpos Vuln_plan'!G34</f>
        <v>5</v>
      </c>
      <c r="G17" s="269">
        <f>+'3 Gpos Vuln_plan'!H34</f>
        <v>2</v>
      </c>
      <c r="H17" s="270">
        <f>+'3 Gpos Vuln_plan'!I34</f>
        <v>7</v>
      </c>
      <c r="I17" s="268">
        <f>+'3 Gpos Vuln_plan'!J34</f>
        <v>3</v>
      </c>
      <c r="J17" s="269">
        <f>+'3 Gpos Vuln_plan'!K34</f>
        <v>2</v>
      </c>
      <c r="K17" s="270">
        <f>+'3 Gpos Vuln_plan'!L34</f>
        <v>5</v>
      </c>
      <c r="L17" s="268">
        <f>+'3 Gpos Vuln_plan'!M34</f>
        <v>3</v>
      </c>
      <c r="M17" s="269">
        <f>+'3 Gpos Vuln_plan'!N34</f>
        <v>2</v>
      </c>
      <c r="N17" s="270">
        <f>+'3 Gpos Vuln_plan'!O34</f>
        <v>5</v>
      </c>
    </row>
    <row r="18" spans="1:14" ht="15" x14ac:dyDescent="0.2">
      <c r="A18" s="5773"/>
      <c r="B18" s="267" t="s">
        <v>11</v>
      </c>
      <c r="C18" s="2761">
        <f>+'3 Gpos Vuln_plan'!D39</f>
        <v>5</v>
      </c>
      <c r="D18" s="2762">
        <f>+'3 Gpos Vuln_plan'!E39</f>
        <v>0</v>
      </c>
      <c r="E18" s="2763">
        <f>+'3 Gpos Vuln_plan'!F39</f>
        <v>5</v>
      </c>
      <c r="F18" s="2761">
        <f>+'3 Gpos Vuln_plan'!G39</f>
        <v>4</v>
      </c>
      <c r="G18" s="2762">
        <f>+'3 Gpos Vuln_plan'!H39</f>
        <v>0</v>
      </c>
      <c r="H18" s="2763">
        <f>+'3 Gpos Vuln_plan'!I39</f>
        <v>4</v>
      </c>
      <c r="I18" s="2761">
        <f>+'3 Gpos Vuln_plan'!J39</f>
        <v>2</v>
      </c>
      <c r="J18" s="2762">
        <f>+'3 Gpos Vuln_plan'!K39</f>
        <v>0</v>
      </c>
      <c r="K18" s="2763">
        <f>+'3 Gpos Vuln_plan'!L39</f>
        <v>2</v>
      </c>
      <c r="L18" s="2761">
        <f>+'3 Gpos Vuln_plan'!M39</f>
        <v>2</v>
      </c>
      <c r="M18" s="2762">
        <f>+'3 Gpos Vuln_plan'!N39</f>
        <v>0</v>
      </c>
      <c r="N18" s="2763">
        <f>+'3 Gpos Vuln_plan'!O39</f>
        <v>2</v>
      </c>
    </row>
    <row r="19" spans="1:14" ht="15" x14ac:dyDescent="0.2">
      <c r="A19" s="5774"/>
      <c r="B19" s="2225" t="s">
        <v>160</v>
      </c>
      <c r="C19" s="2226">
        <f t="shared" ref="C19:H19" si="4">SUM(C16:C18)</f>
        <v>10</v>
      </c>
      <c r="D19" s="2313">
        <f t="shared" si="4"/>
        <v>7</v>
      </c>
      <c r="E19" s="2314">
        <f t="shared" si="4"/>
        <v>17</v>
      </c>
      <c r="F19" s="2226">
        <f t="shared" si="4"/>
        <v>10</v>
      </c>
      <c r="G19" s="2313">
        <f t="shared" si="4"/>
        <v>4</v>
      </c>
      <c r="H19" s="2314">
        <f t="shared" si="4"/>
        <v>14</v>
      </c>
      <c r="I19" s="2226">
        <f t="shared" ref="I19:N19" si="5">SUM(I16:I18)</f>
        <v>5</v>
      </c>
      <c r="J19" s="2313">
        <f t="shared" si="5"/>
        <v>4</v>
      </c>
      <c r="K19" s="2314">
        <f t="shared" si="5"/>
        <v>9</v>
      </c>
      <c r="L19" s="2226">
        <f t="shared" si="5"/>
        <v>5</v>
      </c>
      <c r="M19" s="2313">
        <f t="shared" si="5"/>
        <v>2</v>
      </c>
      <c r="N19" s="2314">
        <f t="shared" si="5"/>
        <v>7</v>
      </c>
    </row>
    <row r="20" spans="1:14" ht="15" hidden="1" x14ac:dyDescent="0.2">
      <c r="A20" s="195"/>
      <c r="B20" s="68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89"/>
      <c r="N20" s="689"/>
    </row>
    <row r="21" spans="1:14" ht="15" hidden="1" x14ac:dyDescent="0.2">
      <c r="A21" s="5775" t="s">
        <v>408</v>
      </c>
      <c r="B21" s="263" t="s">
        <v>5</v>
      </c>
      <c r="C21" s="264"/>
      <c r="D21" s="265"/>
      <c r="E21" s="266">
        <f>SUM(C21:D21)</f>
        <v>0</v>
      </c>
      <c r="F21" s="264"/>
      <c r="G21" s="265"/>
      <c r="H21" s="266">
        <f>SUM(F21:G21)</f>
        <v>0</v>
      </c>
      <c r="I21" s="264"/>
      <c r="J21" s="265"/>
      <c r="K21" s="266">
        <f>SUM(I21:J21)</f>
        <v>0</v>
      </c>
      <c r="L21" s="264"/>
      <c r="M21" s="265"/>
      <c r="N21" s="266">
        <f>SUM(L21:M21)</f>
        <v>0</v>
      </c>
    </row>
    <row r="22" spans="1:14" ht="15" hidden="1" x14ac:dyDescent="0.2">
      <c r="A22" s="5776"/>
      <c r="B22" s="267" t="s">
        <v>6</v>
      </c>
      <c r="C22" s="268"/>
      <c r="D22" s="269"/>
      <c r="E22" s="270">
        <f>SUM(C22:D22)</f>
        <v>0</v>
      </c>
      <c r="F22" s="268"/>
      <c r="G22" s="269"/>
      <c r="H22" s="270">
        <f>SUM(F22:G22)</f>
        <v>0</v>
      </c>
      <c r="I22" s="268"/>
      <c r="J22" s="269"/>
      <c r="K22" s="270">
        <f>SUM(I22:J22)</f>
        <v>0</v>
      </c>
      <c r="L22" s="268"/>
      <c r="M22" s="269"/>
      <c r="N22" s="270">
        <f>SUM(L22:M22)</f>
        <v>0</v>
      </c>
    </row>
    <row r="23" spans="1:14" ht="15" hidden="1" x14ac:dyDescent="0.2">
      <c r="A23" s="5776"/>
      <c r="B23" s="267" t="s">
        <v>11</v>
      </c>
      <c r="C23" s="2761"/>
      <c r="D23" s="2762"/>
      <c r="E23" s="2763">
        <f>SUM(C23:D23)</f>
        <v>0</v>
      </c>
      <c r="F23" s="2761"/>
      <c r="G23" s="2762"/>
      <c r="H23" s="2763">
        <f>SUM(F23:G23)</f>
        <v>0</v>
      </c>
      <c r="I23" s="2761"/>
      <c r="J23" s="2762"/>
      <c r="K23" s="2763">
        <f>SUM(I23:J23)</f>
        <v>0</v>
      </c>
      <c r="L23" s="2761"/>
      <c r="M23" s="2762"/>
      <c r="N23" s="2763">
        <f>SUM(L23:M23)</f>
        <v>0</v>
      </c>
    </row>
    <row r="24" spans="1:14" ht="15" hidden="1" x14ac:dyDescent="0.2">
      <c r="A24" s="5777"/>
      <c r="B24" s="2223" t="s">
        <v>12</v>
      </c>
      <c r="C24" s="2224">
        <f t="shared" ref="C24:H24" si="6">SUM(C21:C23)</f>
        <v>0</v>
      </c>
      <c r="D24" s="2319">
        <f t="shared" si="6"/>
        <v>0</v>
      </c>
      <c r="E24" s="2234">
        <f t="shared" si="6"/>
        <v>0</v>
      </c>
      <c r="F24" s="2224">
        <f t="shared" si="6"/>
        <v>0</v>
      </c>
      <c r="G24" s="2319">
        <f t="shared" si="6"/>
        <v>0</v>
      </c>
      <c r="H24" s="2234">
        <f t="shared" si="6"/>
        <v>0</v>
      </c>
      <c r="I24" s="2224">
        <f t="shared" ref="I24:N24" si="7">SUM(I21:I23)</f>
        <v>0</v>
      </c>
      <c r="J24" s="2319">
        <f t="shared" si="7"/>
        <v>0</v>
      </c>
      <c r="K24" s="2234">
        <f t="shared" si="7"/>
        <v>0</v>
      </c>
      <c r="L24" s="2224">
        <f t="shared" si="7"/>
        <v>0</v>
      </c>
      <c r="M24" s="2319">
        <f t="shared" si="7"/>
        <v>0</v>
      </c>
      <c r="N24" s="2234">
        <f t="shared" si="7"/>
        <v>0</v>
      </c>
    </row>
    <row r="26" spans="1:14" ht="15" x14ac:dyDescent="0.2">
      <c r="A26" s="5775" t="s">
        <v>408</v>
      </c>
      <c r="B26" s="263" t="s">
        <v>5</v>
      </c>
      <c r="C26" s="264"/>
      <c r="D26" s="265"/>
      <c r="E26" s="266">
        <f>SUM(C26:D26)</f>
        <v>0</v>
      </c>
      <c r="F26" s="264"/>
      <c r="G26" s="265"/>
      <c r="H26" s="266">
        <f>SUM(F26:G26)</f>
        <v>0</v>
      </c>
      <c r="I26" s="264"/>
      <c r="J26" s="265"/>
      <c r="K26" s="266">
        <f>SUM(I26:J26)</f>
        <v>0</v>
      </c>
      <c r="L26" s="264"/>
      <c r="M26" s="265"/>
      <c r="N26" s="266">
        <f>SUM(L26:M26)</f>
        <v>0</v>
      </c>
    </row>
    <row r="27" spans="1:14" ht="15" x14ac:dyDescent="0.2">
      <c r="A27" s="5776"/>
      <c r="B27" s="267" t="s">
        <v>6</v>
      </c>
      <c r="C27" s="268"/>
      <c r="D27" s="269"/>
      <c r="E27" s="270">
        <f>SUM(C27:D27)</f>
        <v>0</v>
      </c>
      <c r="F27" s="268"/>
      <c r="G27" s="269"/>
      <c r="H27" s="270">
        <f>SUM(F27:G27)</f>
        <v>0</v>
      </c>
      <c r="I27" s="268"/>
      <c r="J27" s="269"/>
      <c r="K27" s="270">
        <f>SUM(I27:J27)</f>
        <v>0</v>
      </c>
      <c r="L27" s="268"/>
      <c r="M27" s="269"/>
      <c r="N27" s="270">
        <f>SUM(L27:M27)</f>
        <v>0</v>
      </c>
    </row>
    <row r="28" spans="1:14" ht="15" x14ac:dyDescent="0.2">
      <c r="A28" s="5776"/>
      <c r="B28" s="267" t="s">
        <v>11</v>
      </c>
      <c r="C28" s="2761">
        <f>+'3 Gpos Vuln_plan'!D68</f>
        <v>0</v>
      </c>
      <c r="D28" s="2762">
        <f>+'3 Gpos Vuln_plan'!E68</f>
        <v>0</v>
      </c>
      <c r="E28" s="2763">
        <f>+'3 Gpos Vuln_plan'!F68</f>
        <v>0</v>
      </c>
      <c r="F28" s="2761">
        <f>+'3 Gpos Vuln_plan'!G68</f>
        <v>0</v>
      </c>
      <c r="G28" s="2762">
        <f>+'3 Gpos Vuln_plan'!H68</f>
        <v>1</v>
      </c>
      <c r="H28" s="2763">
        <f>+'3 Gpos Vuln_plan'!I68</f>
        <v>1</v>
      </c>
      <c r="I28" s="2761">
        <f>+'3 Gpos Vuln_plan'!J68</f>
        <v>0</v>
      </c>
      <c r="J28" s="2762">
        <f>+'3 Gpos Vuln_plan'!K68</f>
        <v>1</v>
      </c>
      <c r="K28" s="2763">
        <f>+'3 Gpos Vuln_plan'!L68</f>
        <v>1</v>
      </c>
      <c r="L28" s="2761">
        <f>+'3 Gpos Vuln_plan'!M68</f>
        <v>0</v>
      </c>
      <c r="M28" s="2762">
        <f>+'3 Gpos Vuln_plan'!N68</f>
        <v>0</v>
      </c>
      <c r="N28" s="2763">
        <f>+'3 Gpos Vuln_plan'!O68</f>
        <v>0</v>
      </c>
    </row>
    <row r="29" spans="1:14" ht="15" x14ac:dyDescent="0.2">
      <c r="A29" s="5777"/>
      <c r="B29" s="2223" t="s">
        <v>160</v>
      </c>
      <c r="C29" s="2224">
        <f t="shared" ref="C29:H29" si="8">SUM(C26:C28)</f>
        <v>0</v>
      </c>
      <c r="D29" s="2319">
        <f t="shared" si="8"/>
        <v>0</v>
      </c>
      <c r="E29" s="2234">
        <f t="shared" si="8"/>
        <v>0</v>
      </c>
      <c r="F29" s="2224">
        <f t="shared" si="8"/>
        <v>0</v>
      </c>
      <c r="G29" s="2319">
        <f t="shared" si="8"/>
        <v>1</v>
      </c>
      <c r="H29" s="2234">
        <f t="shared" si="8"/>
        <v>1</v>
      </c>
      <c r="I29" s="2224">
        <f t="shared" ref="I29:N29" si="9">SUM(I26:I28)</f>
        <v>0</v>
      </c>
      <c r="J29" s="2319">
        <f t="shared" si="9"/>
        <v>1</v>
      </c>
      <c r="K29" s="2234">
        <f t="shared" si="9"/>
        <v>1</v>
      </c>
      <c r="L29" s="2224">
        <f t="shared" si="9"/>
        <v>0</v>
      </c>
      <c r="M29" s="2319">
        <f t="shared" si="9"/>
        <v>0</v>
      </c>
      <c r="N29" s="2234">
        <f t="shared" si="9"/>
        <v>0</v>
      </c>
    </row>
    <row r="30" spans="1:14" ht="15.75" x14ac:dyDescent="0.25">
      <c r="A30" s="1781"/>
      <c r="B30" s="209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</row>
    <row r="31" spans="1:14" ht="15" x14ac:dyDescent="0.2">
      <c r="A31" s="5784" t="s">
        <v>163</v>
      </c>
      <c r="B31" s="263" t="s">
        <v>6</v>
      </c>
      <c r="C31" s="264">
        <f>+'3 Gpos Vuln_plan'!D45</f>
        <v>6</v>
      </c>
      <c r="D31" s="265">
        <f>+'3 Gpos Vuln_plan'!E45</f>
        <v>1</v>
      </c>
      <c r="E31" s="266">
        <f>+'3 Gpos Vuln_plan'!F45</f>
        <v>7</v>
      </c>
      <c r="F31" s="264">
        <f>+'3 Gpos Vuln_plan'!G45</f>
        <v>6</v>
      </c>
      <c r="G31" s="265">
        <f>+'3 Gpos Vuln_plan'!H45</f>
        <v>2</v>
      </c>
      <c r="H31" s="266">
        <f>+'3 Gpos Vuln_plan'!I45</f>
        <v>8</v>
      </c>
      <c r="I31" s="264">
        <f>+'3 Gpos Vuln_plan'!J45</f>
        <v>4</v>
      </c>
      <c r="J31" s="265">
        <f>+'3 Gpos Vuln_plan'!K45</f>
        <v>1</v>
      </c>
      <c r="K31" s="266">
        <f>+'3 Gpos Vuln_plan'!L45</f>
        <v>5</v>
      </c>
      <c r="L31" s="264">
        <f>+'3 Gpos Vuln_plan'!M45</f>
        <v>3</v>
      </c>
      <c r="M31" s="265">
        <f>+'3 Gpos Vuln_plan'!N45</f>
        <v>0</v>
      </c>
      <c r="N31" s="266">
        <f>+'3 Gpos Vuln_plan'!O45</f>
        <v>3</v>
      </c>
    </row>
    <row r="32" spans="1:14" ht="15" x14ac:dyDescent="0.2">
      <c r="A32" s="5785"/>
      <c r="B32" s="267" t="s">
        <v>11</v>
      </c>
      <c r="C32" s="268">
        <f>+'3 Gpos Vuln_plan'!D53</f>
        <v>6</v>
      </c>
      <c r="D32" s="269">
        <f>+'3 Gpos Vuln_plan'!E53</f>
        <v>2</v>
      </c>
      <c r="E32" s="270">
        <f>+'3 Gpos Vuln_plan'!F53</f>
        <v>8</v>
      </c>
      <c r="F32" s="268">
        <f>+'3 Gpos Vuln_plan'!G53</f>
        <v>7</v>
      </c>
      <c r="G32" s="269">
        <f>+'3 Gpos Vuln_plan'!H53</f>
        <v>4</v>
      </c>
      <c r="H32" s="270">
        <f>+'3 Gpos Vuln_plan'!I53</f>
        <v>11</v>
      </c>
      <c r="I32" s="268">
        <f>+'3 Gpos Vuln_plan'!J53</f>
        <v>9</v>
      </c>
      <c r="J32" s="269">
        <f>+'3 Gpos Vuln_plan'!K53</f>
        <v>4</v>
      </c>
      <c r="K32" s="270">
        <f>+'3 Gpos Vuln_plan'!L53</f>
        <v>13</v>
      </c>
      <c r="L32" s="268">
        <f>+'3 Gpos Vuln_plan'!M53</f>
        <v>8</v>
      </c>
      <c r="M32" s="269">
        <f>+'3 Gpos Vuln_plan'!N53</f>
        <v>2</v>
      </c>
      <c r="N32" s="270">
        <f>+'3 Gpos Vuln_plan'!O53</f>
        <v>10</v>
      </c>
    </row>
    <row r="33" spans="1:14" ht="15" x14ac:dyDescent="0.2">
      <c r="A33" s="5785"/>
      <c r="B33" s="267" t="s">
        <v>7</v>
      </c>
      <c r="C33" s="2761">
        <f>+'3 Gpos Vuln_plan'!D58</f>
        <v>2</v>
      </c>
      <c r="D33" s="2762">
        <f>+'3 Gpos Vuln_plan'!E58</f>
        <v>1</v>
      </c>
      <c r="E33" s="2763">
        <f>+'3 Gpos Vuln_plan'!F58</f>
        <v>3</v>
      </c>
      <c r="F33" s="2761">
        <f>+'3 Gpos Vuln_plan'!G58</f>
        <v>3</v>
      </c>
      <c r="G33" s="2762">
        <f>+'3 Gpos Vuln_plan'!H58</f>
        <v>2</v>
      </c>
      <c r="H33" s="2763">
        <f>+'3 Gpos Vuln_plan'!I58</f>
        <v>5</v>
      </c>
      <c r="I33" s="2761">
        <f>+'3 Gpos Vuln_plan'!J58</f>
        <v>4</v>
      </c>
      <c r="J33" s="2762">
        <f>+'3 Gpos Vuln_plan'!K58</f>
        <v>0</v>
      </c>
      <c r="K33" s="2763">
        <f>+'3 Gpos Vuln_plan'!L58</f>
        <v>4</v>
      </c>
      <c r="L33" s="2761">
        <f>+'3 Gpos Vuln_plan'!M58</f>
        <v>3</v>
      </c>
      <c r="M33" s="2762">
        <f>+'3 Gpos Vuln_plan'!N58</f>
        <v>0</v>
      </c>
      <c r="N33" s="2763">
        <f>+'3 Gpos Vuln_plan'!O58</f>
        <v>3</v>
      </c>
    </row>
    <row r="34" spans="1:14" ht="15" x14ac:dyDescent="0.2">
      <c r="A34" s="5786"/>
      <c r="B34" s="2235" t="s">
        <v>160</v>
      </c>
      <c r="C34" s="2236">
        <f t="shared" ref="C34:H34" si="10">SUM(C31:C33)</f>
        <v>14</v>
      </c>
      <c r="D34" s="2311">
        <f t="shared" si="10"/>
        <v>4</v>
      </c>
      <c r="E34" s="2312">
        <f t="shared" si="10"/>
        <v>18</v>
      </c>
      <c r="F34" s="2236">
        <f t="shared" si="10"/>
        <v>16</v>
      </c>
      <c r="G34" s="2311">
        <f t="shared" si="10"/>
        <v>8</v>
      </c>
      <c r="H34" s="2312">
        <f t="shared" si="10"/>
        <v>24</v>
      </c>
      <c r="I34" s="2236">
        <f t="shared" ref="I34:N34" si="11">SUM(I31:I33)</f>
        <v>17</v>
      </c>
      <c r="J34" s="2311">
        <f t="shared" si="11"/>
        <v>5</v>
      </c>
      <c r="K34" s="2312">
        <f t="shared" si="11"/>
        <v>22</v>
      </c>
      <c r="L34" s="2236">
        <f t="shared" si="11"/>
        <v>14</v>
      </c>
      <c r="M34" s="2311">
        <f t="shared" si="11"/>
        <v>2</v>
      </c>
      <c r="N34" s="2312">
        <f t="shared" si="11"/>
        <v>16</v>
      </c>
    </row>
    <row r="35" spans="1:14" x14ac:dyDescent="0.2">
      <c r="A35" s="209"/>
      <c r="B35" s="209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</row>
    <row r="36" spans="1:14" ht="15" x14ac:dyDescent="0.2">
      <c r="A36" s="5683" t="s">
        <v>60</v>
      </c>
      <c r="B36" s="263" t="s">
        <v>5</v>
      </c>
      <c r="C36" s="264">
        <f>SUM(C6,C16,C26)</f>
        <v>6</v>
      </c>
      <c r="D36" s="265">
        <f>SUM(D6,D16,D26)</f>
        <v>10</v>
      </c>
      <c r="E36" s="266">
        <f t="shared" ref="E36:E41" si="12">SUM(C36:D36)</f>
        <v>16</v>
      </c>
      <c r="F36" s="264">
        <f>SUM(F6,F16,F26)</f>
        <v>4</v>
      </c>
      <c r="G36" s="265">
        <f>SUM(G6,G16,G26)</f>
        <v>7</v>
      </c>
      <c r="H36" s="266">
        <f t="shared" ref="H36:H41" si="13">SUM(F36:G36)</f>
        <v>11</v>
      </c>
      <c r="I36" s="264">
        <f>SUM(I6,I16,I26)</f>
        <v>2</v>
      </c>
      <c r="J36" s="265">
        <f>SUM(J6,J16,J26)</f>
        <v>7</v>
      </c>
      <c r="K36" s="266">
        <f t="shared" ref="K36:K41" si="14">SUM(I36:J36)</f>
        <v>9</v>
      </c>
      <c r="L36" s="264">
        <f>SUM(L6,L16,L26)</f>
        <v>1</v>
      </c>
      <c r="M36" s="265">
        <f>SUM(M6,M16,M26)</f>
        <v>4</v>
      </c>
      <c r="N36" s="266">
        <f t="shared" ref="N36:N41" si="15">SUM(L36:M36)</f>
        <v>5</v>
      </c>
    </row>
    <row r="37" spans="1:14" ht="15" x14ac:dyDescent="0.2">
      <c r="A37" s="5684"/>
      <c r="B37" s="267" t="s">
        <v>6</v>
      </c>
      <c r="C37" s="268">
        <f>SUM(C7,C11,C17,C27,C31)</f>
        <v>19</v>
      </c>
      <c r="D37" s="269">
        <f>SUM(D7,D11,D17,D27,D31)</f>
        <v>7</v>
      </c>
      <c r="E37" s="270">
        <f t="shared" si="12"/>
        <v>26</v>
      </c>
      <c r="F37" s="268">
        <f>SUM(F7,F11,F17,F27,F31)</f>
        <v>19</v>
      </c>
      <c r="G37" s="269">
        <f>SUM(G7,G11,G17,G27,G31)</f>
        <v>8</v>
      </c>
      <c r="H37" s="270">
        <f t="shared" si="13"/>
        <v>27</v>
      </c>
      <c r="I37" s="268">
        <f>SUM(I7,I11,I17,I27,I31)</f>
        <v>13</v>
      </c>
      <c r="J37" s="269">
        <f>SUM(J7,J11,J17,J27,J31)</f>
        <v>8</v>
      </c>
      <c r="K37" s="270">
        <f t="shared" si="14"/>
        <v>21</v>
      </c>
      <c r="L37" s="268">
        <f>SUM(L7,L11,L17,L27,L31)</f>
        <v>12</v>
      </c>
      <c r="M37" s="269">
        <f>SUM(M7,M11,M17,M27,M31)</f>
        <v>4</v>
      </c>
      <c r="N37" s="270">
        <f t="shared" si="15"/>
        <v>16</v>
      </c>
    </row>
    <row r="38" spans="1:14" ht="15" x14ac:dyDescent="0.2">
      <c r="A38" s="5684"/>
      <c r="B38" s="267" t="s">
        <v>11</v>
      </c>
      <c r="C38" s="268">
        <f>SUM(C18,C28,C32)</f>
        <v>11</v>
      </c>
      <c r="D38" s="269">
        <f>SUM(D18,D28,D32)</f>
        <v>2</v>
      </c>
      <c r="E38" s="270">
        <f t="shared" si="12"/>
        <v>13</v>
      </c>
      <c r="F38" s="268">
        <f>SUM(F18,F28,F32)</f>
        <v>11</v>
      </c>
      <c r="G38" s="269">
        <f>SUM(G18,G28,G32)</f>
        <v>5</v>
      </c>
      <c r="H38" s="270">
        <f t="shared" si="13"/>
        <v>16</v>
      </c>
      <c r="I38" s="268">
        <f>SUM(I18,I28,I32)</f>
        <v>11</v>
      </c>
      <c r="J38" s="269">
        <f>SUM(J18,J28,J32)</f>
        <v>5</v>
      </c>
      <c r="K38" s="270">
        <f t="shared" si="14"/>
        <v>16</v>
      </c>
      <c r="L38" s="268">
        <f>SUM(L18,L28,L32)</f>
        <v>10</v>
      </c>
      <c r="M38" s="269">
        <f>SUM(M18,M28,M32)</f>
        <v>2</v>
      </c>
      <c r="N38" s="270">
        <f t="shared" si="15"/>
        <v>12</v>
      </c>
    </row>
    <row r="39" spans="1:14" ht="15" x14ac:dyDescent="0.2">
      <c r="A39" s="5684"/>
      <c r="B39" s="267" t="s">
        <v>7</v>
      </c>
      <c r="C39" s="268">
        <f>SUM(C8,C33)</f>
        <v>2</v>
      </c>
      <c r="D39" s="269">
        <f>SUM(D8,D33)</f>
        <v>1</v>
      </c>
      <c r="E39" s="270">
        <f t="shared" si="12"/>
        <v>3</v>
      </c>
      <c r="F39" s="268">
        <f>SUM(F8,F33)</f>
        <v>3</v>
      </c>
      <c r="G39" s="269">
        <f>SUM(G8,G33)</f>
        <v>2</v>
      </c>
      <c r="H39" s="270">
        <f t="shared" si="13"/>
        <v>5</v>
      </c>
      <c r="I39" s="268">
        <f>SUM(I8,I33)</f>
        <v>5</v>
      </c>
      <c r="J39" s="269">
        <f>SUM(J8,J33)</f>
        <v>0</v>
      </c>
      <c r="K39" s="270">
        <f t="shared" si="14"/>
        <v>5</v>
      </c>
      <c r="L39" s="268">
        <f>SUM(L8,L33)</f>
        <v>4</v>
      </c>
      <c r="M39" s="269">
        <f>SUM(M8,M33)</f>
        <v>0</v>
      </c>
      <c r="N39" s="270">
        <f t="shared" si="15"/>
        <v>4</v>
      </c>
    </row>
    <row r="40" spans="1:14" ht="15" x14ac:dyDescent="0.2">
      <c r="A40" s="5684"/>
      <c r="B40" s="267" t="s">
        <v>9</v>
      </c>
      <c r="C40" s="268">
        <f>SUM(C12)</f>
        <v>0</v>
      </c>
      <c r="D40" s="269">
        <f>SUM(D12)</f>
        <v>0</v>
      </c>
      <c r="E40" s="270">
        <f t="shared" si="12"/>
        <v>0</v>
      </c>
      <c r="F40" s="268">
        <f>SUM(F12)</f>
        <v>0</v>
      </c>
      <c r="G40" s="269">
        <f>SUM(G12)</f>
        <v>0</v>
      </c>
      <c r="H40" s="270">
        <f t="shared" si="13"/>
        <v>0</v>
      </c>
      <c r="I40" s="268">
        <f>SUM(I12)</f>
        <v>0</v>
      </c>
      <c r="J40" s="269">
        <f>SUM(J12)</f>
        <v>0</v>
      </c>
      <c r="K40" s="270">
        <f t="shared" si="14"/>
        <v>0</v>
      </c>
      <c r="L40" s="268">
        <f>SUM(L12)</f>
        <v>0</v>
      </c>
      <c r="M40" s="269">
        <f>SUM(M12)</f>
        <v>0</v>
      </c>
      <c r="N40" s="270">
        <f t="shared" si="15"/>
        <v>0</v>
      </c>
    </row>
    <row r="41" spans="1:14" ht="15" x14ac:dyDescent="0.2">
      <c r="A41" s="5684"/>
      <c r="B41" s="4056" t="s">
        <v>74</v>
      </c>
      <c r="C41" s="2761">
        <f>SUM(C13)</f>
        <v>2</v>
      </c>
      <c r="D41" s="2762">
        <f>SUM(D13)</f>
        <v>2</v>
      </c>
      <c r="E41" s="2763">
        <f t="shared" si="12"/>
        <v>4</v>
      </c>
      <c r="F41" s="2761">
        <f>SUM(F13)</f>
        <v>3</v>
      </c>
      <c r="G41" s="2762">
        <f>SUM(G13)</f>
        <v>2</v>
      </c>
      <c r="H41" s="2763">
        <f t="shared" si="13"/>
        <v>5</v>
      </c>
      <c r="I41" s="2761">
        <f>SUM(I13)</f>
        <v>2</v>
      </c>
      <c r="J41" s="2762">
        <f>SUM(J13)</f>
        <v>2</v>
      </c>
      <c r="K41" s="2763">
        <f t="shared" si="14"/>
        <v>4</v>
      </c>
      <c r="L41" s="2761">
        <f>SUM(L13)</f>
        <v>1</v>
      </c>
      <c r="M41" s="2762">
        <f>SUM(M13)</f>
        <v>1</v>
      </c>
      <c r="N41" s="2763">
        <f t="shared" si="15"/>
        <v>2</v>
      </c>
    </row>
    <row r="42" spans="1:14" ht="15" x14ac:dyDescent="0.2">
      <c r="A42" s="5685"/>
      <c r="B42" s="574" t="s">
        <v>160</v>
      </c>
      <c r="C42" s="569">
        <f t="shared" ref="C42:H42" si="16">SUM(C9,C14,C19,C29,C34)</f>
        <v>40</v>
      </c>
      <c r="D42" s="570">
        <f t="shared" si="16"/>
        <v>22</v>
      </c>
      <c r="E42" s="571">
        <f t="shared" si="16"/>
        <v>62</v>
      </c>
      <c r="F42" s="569">
        <f t="shared" si="16"/>
        <v>40</v>
      </c>
      <c r="G42" s="570">
        <f t="shared" si="16"/>
        <v>24</v>
      </c>
      <c r="H42" s="571">
        <f t="shared" si="16"/>
        <v>64</v>
      </c>
      <c r="I42" s="569">
        <f t="shared" ref="I42:N42" si="17">SUM(I9,I14,I19,I29,I34)</f>
        <v>33</v>
      </c>
      <c r="J42" s="570">
        <f t="shared" si="17"/>
        <v>22</v>
      </c>
      <c r="K42" s="571">
        <f t="shared" si="17"/>
        <v>55</v>
      </c>
      <c r="L42" s="569">
        <f t="shared" si="17"/>
        <v>28</v>
      </c>
      <c r="M42" s="570">
        <f t="shared" si="17"/>
        <v>11</v>
      </c>
      <c r="N42" s="571">
        <f t="shared" si="17"/>
        <v>39</v>
      </c>
    </row>
  </sheetData>
  <sheetProtection algorithmName="SHA-512" hashValue="Ns0P7QGa/27/7cDFk81DG34qxu3NiDAKhApsRyB7RjlptF6Zb51gjkTc5kesgpaPDT4gws2WBPBA7hEqM9PYvg==" saltValue="T2Q+cVwzAffs5MW5Vd8jrQ==" spinCount="100000" sheet="1" objects="1" scenarios="1"/>
  <mergeCells count="13">
    <mergeCell ref="L3:N3"/>
    <mergeCell ref="I3:K3"/>
    <mergeCell ref="F3:H3"/>
    <mergeCell ref="A31:A34"/>
    <mergeCell ref="A36:A42"/>
    <mergeCell ref="A3:A4"/>
    <mergeCell ref="B3:B4"/>
    <mergeCell ref="C3:E3"/>
    <mergeCell ref="A6:A9"/>
    <mergeCell ref="A11:A14"/>
    <mergeCell ref="A16:A19"/>
    <mergeCell ref="A21:A24"/>
    <mergeCell ref="A26:A2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4" orientation="landscape" r:id="rId1"/>
  <ignoredErrors>
    <ignoredError sqref="C42:H42 C41:D41 F41:G41" evalError="1"/>
    <ignoredError sqref="E41 H41" evalError="1" formula="1"/>
    <ignoredError sqref="E36:E40 H36:H40 K36:K41" formula="1"/>
  </ignoredError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U103"/>
  <sheetViews>
    <sheetView showGridLines="0" zoomScaleNormal="10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W18" sqref="W18"/>
    </sheetView>
  </sheetViews>
  <sheetFormatPr baseColWidth="10" defaultRowHeight="15" x14ac:dyDescent="0.25"/>
  <cols>
    <col min="1" max="1" width="7" customWidth="1"/>
    <col min="2" max="2" width="8.140625" bestFit="1" customWidth="1"/>
    <col min="3" max="3" width="40.85546875" bestFit="1" customWidth="1"/>
    <col min="4" max="5" width="9.42578125" style="250" hidden="1" customWidth="1"/>
    <col min="6" max="6" width="7.7109375" style="250" hidden="1" customWidth="1"/>
    <col min="7" max="8" width="9.42578125" style="250" hidden="1" customWidth="1"/>
    <col min="9" max="9" width="7.7109375" hidden="1" customWidth="1"/>
    <col min="10" max="10" width="8.5703125" hidden="1" customWidth="1"/>
    <col min="11" max="11" width="9.42578125" hidden="1" customWidth="1"/>
    <col min="12" max="12" width="7.7109375" hidden="1" customWidth="1"/>
    <col min="13" max="13" width="8.5703125" hidden="1" customWidth="1"/>
    <col min="14" max="14" width="9.42578125" hidden="1" customWidth="1"/>
    <col min="15" max="15" width="7.7109375" hidden="1" customWidth="1"/>
    <col min="16" max="16" width="8.5703125" bestFit="1" customWidth="1"/>
    <col min="17" max="17" width="9.42578125" bestFit="1" customWidth="1"/>
    <col min="18" max="18" width="7.7109375" customWidth="1"/>
    <col min="19" max="19" width="8.5703125" bestFit="1" customWidth="1"/>
    <col min="20" max="20" width="9.42578125" bestFit="1" customWidth="1"/>
    <col min="21" max="21" width="7.7109375" customWidth="1"/>
  </cols>
  <sheetData>
    <row r="1" spans="1:21" ht="18.75" x14ac:dyDescent="0.25">
      <c r="A1" s="4146" t="s">
        <v>1366</v>
      </c>
    </row>
    <row r="2" spans="1:21" ht="18.75" x14ac:dyDescent="0.25">
      <c r="A2" s="4146"/>
    </row>
    <row r="3" spans="1:21" ht="15" customHeight="1" x14ac:dyDescent="0.2">
      <c r="A3" s="4146"/>
      <c r="D3" s="6771">
        <v>2015</v>
      </c>
      <c r="E3" s="6771"/>
      <c r="F3" s="6771"/>
      <c r="G3" s="6771"/>
      <c r="H3" s="6771"/>
      <c r="I3" s="6771"/>
      <c r="J3" s="6771">
        <v>2016</v>
      </c>
      <c r="K3" s="6771"/>
      <c r="L3" s="6771"/>
      <c r="M3" s="6771"/>
      <c r="N3" s="6771"/>
      <c r="O3" s="6771"/>
      <c r="P3" s="6771">
        <v>2017</v>
      </c>
      <c r="Q3" s="6771"/>
      <c r="R3" s="6771"/>
      <c r="S3" s="6771"/>
      <c r="T3" s="6771"/>
      <c r="U3" s="6771"/>
    </row>
    <row r="4" spans="1:21" ht="15.75" customHeight="1" x14ac:dyDescent="0.2">
      <c r="A4" s="6738" t="s">
        <v>51</v>
      </c>
      <c r="B4" s="6738" t="s">
        <v>685</v>
      </c>
      <c r="C4" s="6738" t="s">
        <v>816</v>
      </c>
      <c r="D4" s="6016" t="s">
        <v>630</v>
      </c>
      <c r="E4" s="6767"/>
      <c r="F4" s="6768"/>
      <c r="G4" s="6769" t="s">
        <v>631</v>
      </c>
      <c r="H4" s="6770"/>
      <c r="I4" s="6768"/>
      <c r="J4" s="6016" t="s">
        <v>630</v>
      </c>
      <c r="K4" s="6767"/>
      <c r="L4" s="6768"/>
      <c r="M4" s="6769" t="s">
        <v>631</v>
      </c>
      <c r="N4" s="6770"/>
      <c r="O4" s="6768"/>
      <c r="P4" s="6016" t="s">
        <v>1653</v>
      </c>
      <c r="Q4" s="6767"/>
      <c r="R4" s="6768"/>
      <c r="S4" s="6769" t="s">
        <v>1654</v>
      </c>
      <c r="T4" s="6770"/>
      <c r="U4" s="6768"/>
    </row>
    <row r="5" spans="1:21" ht="15.75" customHeight="1" x14ac:dyDescent="0.25">
      <c r="A5" s="6739"/>
      <c r="B5" s="6739"/>
      <c r="C5" s="6739"/>
      <c r="D5" s="4153" t="s">
        <v>658</v>
      </c>
      <c r="E5" s="4153" t="s">
        <v>659</v>
      </c>
      <c r="F5" s="4152" t="s">
        <v>160</v>
      </c>
      <c r="G5" s="4153" t="s">
        <v>658</v>
      </c>
      <c r="H5" s="4153" t="s">
        <v>659</v>
      </c>
      <c r="I5" s="4152" t="s">
        <v>160</v>
      </c>
      <c r="J5" s="4153" t="s">
        <v>658</v>
      </c>
      <c r="K5" s="4153" t="s">
        <v>659</v>
      </c>
      <c r="L5" s="4152" t="s">
        <v>160</v>
      </c>
      <c r="M5" s="4153" t="s">
        <v>658</v>
      </c>
      <c r="N5" s="4153" t="s">
        <v>659</v>
      </c>
      <c r="O5" s="4152" t="s">
        <v>160</v>
      </c>
      <c r="P5" s="4153" t="s">
        <v>658</v>
      </c>
      <c r="Q5" s="4153" t="s">
        <v>659</v>
      </c>
      <c r="R5" s="4152" t="s">
        <v>160</v>
      </c>
      <c r="S5" s="4153" t="s">
        <v>658</v>
      </c>
      <c r="T5" s="4153" t="s">
        <v>659</v>
      </c>
      <c r="U5" s="4152" t="s">
        <v>160</v>
      </c>
    </row>
    <row r="6" spans="1:21" ht="12.75" customHeight="1" x14ac:dyDescent="0.2">
      <c r="A6" s="6721" t="s">
        <v>3</v>
      </c>
      <c r="B6" s="6729" t="s">
        <v>5</v>
      </c>
      <c r="C6" s="4066" t="s">
        <v>171</v>
      </c>
      <c r="D6" s="1158">
        <v>1</v>
      </c>
      <c r="E6" s="1160">
        <v>1</v>
      </c>
      <c r="F6" s="4067">
        <f>SUM(D6:E6)</f>
        <v>2</v>
      </c>
      <c r="G6" s="1158">
        <v>1</v>
      </c>
      <c r="H6" s="1160">
        <v>1</v>
      </c>
      <c r="I6" s="4067">
        <f>SUM(G6:H6)</f>
        <v>2</v>
      </c>
      <c r="J6" s="1158">
        <v>5</v>
      </c>
      <c r="K6" s="1160">
        <v>1</v>
      </c>
      <c r="L6" s="4067">
        <f>SUM(J6:K6)</f>
        <v>6</v>
      </c>
      <c r="M6" s="1158">
        <v>4</v>
      </c>
      <c r="N6" s="1160">
        <v>1</v>
      </c>
      <c r="O6" s="4067">
        <f>SUM(M6:N6)</f>
        <v>5</v>
      </c>
      <c r="P6" s="1158">
        <v>1</v>
      </c>
      <c r="Q6" s="1160"/>
      <c r="R6" s="4067">
        <f>SUM(P6:Q6)</f>
        <v>1</v>
      </c>
      <c r="S6" s="1158">
        <v>1</v>
      </c>
      <c r="T6" s="1160"/>
      <c r="U6" s="4067">
        <f>SUM(S6:T6)</f>
        <v>1</v>
      </c>
    </row>
    <row r="7" spans="1:21" x14ac:dyDescent="0.2">
      <c r="A7" s="6722" t="s">
        <v>440</v>
      </c>
      <c r="B7" s="6729" t="s">
        <v>5</v>
      </c>
      <c r="C7" s="2737" t="s">
        <v>172</v>
      </c>
      <c r="D7" s="1161"/>
      <c r="E7" s="1163"/>
      <c r="F7" s="1215">
        <f t="shared" ref="F7:F71" si="0">SUM(D7:E7)</f>
        <v>0</v>
      </c>
      <c r="G7" s="1161"/>
      <c r="H7" s="1163"/>
      <c r="I7" s="1215">
        <f t="shared" ref="I7:I71" si="1">SUM(G7:H7)</f>
        <v>0</v>
      </c>
      <c r="J7" s="1161">
        <v>1</v>
      </c>
      <c r="K7" s="1163">
        <v>1</v>
      </c>
      <c r="L7" s="1215">
        <f t="shared" ref="L7:L71" si="2">SUM(J7:K7)</f>
        <v>2</v>
      </c>
      <c r="M7" s="1161">
        <v>1</v>
      </c>
      <c r="N7" s="1163">
        <v>1</v>
      </c>
      <c r="O7" s="1215">
        <f t="shared" ref="O7:O71" si="3">SUM(M7:N7)</f>
        <v>2</v>
      </c>
      <c r="P7" s="1161">
        <v>1</v>
      </c>
      <c r="Q7" s="1163"/>
      <c r="R7" s="1215">
        <f t="shared" ref="R7:R71" si="4">SUM(P7:Q7)</f>
        <v>1</v>
      </c>
      <c r="S7" s="1161">
        <v>1</v>
      </c>
      <c r="T7" s="1163"/>
      <c r="U7" s="1215">
        <f t="shared" ref="U7:U71" si="5">SUM(S7:T7)</f>
        <v>1</v>
      </c>
    </row>
    <row r="8" spans="1:21" ht="15" customHeight="1" x14ac:dyDescent="0.2">
      <c r="A8" s="6722" t="s">
        <v>440</v>
      </c>
      <c r="B8" s="6729" t="s">
        <v>5</v>
      </c>
      <c r="C8" s="2737" t="s">
        <v>1380</v>
      </c>
      <c r="D8" s="1161"/>
      <c r="E8" s="1163"/>
      <c r="F8" s="1215">
        <f t="shared" si="0"/>
        <v>0</v>
      </c>
      <c r="G8" s="1161"/>
      <c r="H8" s="1163"/>
      <c r="I8" s="1215">
        <f t="shared" si="1"/>
        <v>0</v>
      </c>
      <c r="J8" s="1161"/>
      <c r="K8" s="1163"/>
      <c r="L8" s="1215">
        <f t="shared" si="2"/>
        <v>0</v>
      </c>
      <c r="M8" s="1161"/>
      <c r="N8" s="1163"/>
      <c r="O8" s="1215">
        <f t="shared" si="3"/>
        <v>0</v>
      </c>
      <c r="P8" s="1161"/>
      <c r="Q8" s="1163"/>
      <c r="R8" s="1215">
        <f t="shared" si="4"/>
        <v>0</v>
      </c>
      <c r="S8" s="1161"/>
      <c r="T8" s="1163"/>
      <c r="U8" s="1215">
        <f t="shared" si="5"/>
        <v>0</v>
      </c>
    </row>
    <row r="9" spans="1:21" x14ac:dyDescent="0.2">
      <c r="A9" s="6722" t="s">
        <v>440</v>
      </c>
      <c r="B9" s="6729" t="s">
        <v>5</v>
      </c>
      <c r="C9" s="2737" t="s">
        <v>1381</v>
      </c>
      <c r="D9" s="1161"/>
      <c r="E9" s="1163"/>
      <c r="F9" s="1215">
        <f t="shared" si="0"/>
        <v>0</v>
      </c>
      <c r="G9" s="1161"/>
      <c r="H9" s="1163"/>
      <c r="I9" s="1215">
        <f t="shared" si="1"/>
        <v>0</v>
      </c>
      <c r="J9" s="1161"/>
      <c r="K9" s="1163">
        <v>3</v>
      </c>
      <c r="L9" s="1215">
        <f t="shared" si="2"/>
        <v>3</v>
      </c>
      <c r="M9" s="1161"/>
      <c r="N9" s="1163">
        <v>3</v>
      </c>
      <c r="O9" s="1215">
        <f t="shared" si="3"/>
        <v>3</v>
      </c>
      <c r="P9" s="1161"/>
      <c r="Q9" s="1163"/>
      <c r="R9" s="1215">
        <f t="shared" si="4"/>
        <v>0</v>
      </c>
      <c r="S9" s="1161"/>
      <c r="T9" s="1163"/>
      <c r="U9" s="1215">
        <f t="shared" si="5"/>
        <v>0</v>
      </c>
    </row>
    <row r="10" spans="1:21" x14ac:dyDescent="0.2">
      <c r="A10" s="6722" t="s">
        <v>440</v>
      </c>
      <c r="B10" s="6729" t="s">
        <v>5</v>
      </c>
      <c r="C10" s="2737" t="s">
        <v>180</v>
      </c>
      <c r="D10" s="1161"/>
      <c r="E10" s="1163">
        <v>1</v>
      </c>
      <c r="F10" s="1215">
        <f t="shared" si="0"/>
        <v>1</v>
      </c>
      <c r="G10" s="1161"/>
      <c r="H10" s="1163">
        <v>1</v>
      </c>
      <c r="I10" s="1215">
        <f t="shared" si="1"/>
        <v>1</v>
      </c>
      <c r="J10" s="1161">
        <v>2</v>
      </c>
      <c r="K10" s="1163">
        <v>2</v>
      </c>
      <c r="L10" s="1215">
        <f t="shared" si="2"/>
        <v>4</v>
      </c>
      <c r="M10" s="1161">
        <v>2</v>
      </c>
      <c r="N10" s="1163">
        <v>2</v>
      </c>
      <c r="O10" s="1215">
        <f t="shared" si="3"/>
        <v>4</v>
      </c>
      <c r="P10" s="1161"/>
      <c r="Q10" s="1163"/>
      <c r="R10" s="1215">
        <f t="shared" si="4"/>
        <v>0</v>
      </c>
      <c r="S10" s="1161"/>
      <c r="T10" s="1163"/>
      <c r="U10" s="1215">
        <f t="shared" si="5"/>
        <v>0</v>
      </c>
    </row>
    <row r="11" spans="1:21" x14ac:dyDescent="0.2">
      <c r="A11" s="6722" t="s">
        <v>440</v>
      </c>
      <c r="B11" s="6729" t="s">
        <v>5</v>
      </c>
      <c r="C11" s="2737" t="s">
        <v>174</v>
      </c>
      <c r="D11" s="1161"/>
      <c r="E11" s="1163"/>
      <c r="F11" s="1215">
        <f t="shared" si="0"/>
        <v>0</v>
      </c>
      <c r="G11" s="1161"/>
      <c r="H11" s="1163"/>
      <c r="I11" s="1215">
        <f t="shared" si="1"/>
        <v>0</v>
      </c>
      <c r="J11" s="1161"/>
      <c r="K11" s="1163">
        <v>3</v>
      </c>
      <c r="L11" s="1215">
        <f t="shared" si="2"/>
        <v>3</v>
      </c>
      <c r="M11" s="1161"/>
      <c r="N11" s="1163">
        <v>3</v>
      </c>
      <c r="O11" s="1215">
        <f t="shared" si="3"/>
        <v>3</v>
      </c>
      <c r="P11" s="1161"/>
      <c r="Q11" s="1163"/>
      <c r="R11" s="1215">
        <f t="shared" si="4"/>
        <v>0</v>
      </c>
      <c r="S11" s="1161"/>
      <c r="T11" s="1163"/>
      <c r="U11" s="1215">
        <f t="shared" si="5"/>
        <v>0</v>
      </c>
    </row>
    <row r="12" spans="1:21" x14ac:dyDescent="0.2">
      <c r="A12" s="6722" t="s">
        <v>440</v>
      </c>
      <c r="B12" s="6729" t="s">
        <v>5</v>
      </c>
      <c r="C12" s="2737" t="s">
        <v>175</v>
      </c>
      <c r="D12" s="1161"/>
      <c r="E12" s="1163"/>
      <c r="F12" s="1215">
        <f t="shared" si="0"/>
        <v>0</v>
      </c>
      <c r="G12" s="1161"/>
      <c r="H12" s="1163"/>
      <c r="I12" s="1215">
        <f t="shared" si="1"/>
        <v>0</v>
      </c>
      <c r="J12" s="1161">
        <v>2</v>
      </c>
      <c r="K12" s="1163"/>
      <c r="L12" s="1215">
        <f t="shared" si="2"/>
        <v>2</v>
      </c>
      <c r="M12" s="1161">
        <v>2</v>
      </c>
      <c r="N12" s="1163"/>
      <c r="O12" s="1215">
        <f t="shared" si="3"/>
        <v>2</v>
      </c>
      <c r="P12" s="1161"/>
      <c r="Q12" s="1163"/>
      <c r="R12" s="1215">
        <f t="shared" si="4"/>
        <v>0</v>
      </c>
      <c r="S12" s="1161"/>
      <c r="T12" s="1163"/>
      <c r="U12" s="1215">
        <f t="shared" si="5"/>
        <v>0</v>
      </c>
    </row>
    <row r="13" spans="1:21" x14ac:dyDescent="0.2">
      <c r="A13" s="6722" t="s">
        <v>440</v>
      </c>
      <c r="B13" s="6729" t="s">
        <v>5</v>
      </c>
      <c r="C13" s="2737" t="s">
        <v>1382</v>
      </c>
      <c r="D13" s="1161"/>
      <c r="E13" s="1163">
        <v>1</v>
      </c>
      <c r="F13" s="1215">
        <f t="shared" si="0"/>
        <v>1</v>
      </c>
      <c r="G13" s="1161"/>
      <c r="H13" s="1163">
        <v>1</v>
      </c>
      <c r="I13" s="1215">
        <f t="shared" si="1"/>
        <v>1</v>
      </c>
      <c r="J13" s="1161"/>
      <c r="K13" s="1163">
        <v>2</v>
      </c>
      <c r="L13" s="1215">
        <f t="shared" si="2"/>
        <v>2</v>
      </c>
      <c r="M13" s="1161"/>
      <c r="N13" s="1163">
        <v>2</v>
      </c>
      <c r="O13" s="1215">
        <f t="shared" si="3"/>
        <v>2</v>
      </c>
      <c r="P13" s="1161"/>
      <c r="Q13" s="1163"/>
      <c r="R13" s="1215">
        <f t="shared" si="4"/>
        <v>0</v>
      </c>
      <c r="S13" s="1161"/>
      <c r="T13" s="1163"/>
      <c r="U13" s="1215">
        <f t="shared" si="5"/>
        <v>0</v>
      </c>
    </row>
    <row r="14" spans="1:21" x14ac:dyDescent="0.2">
      <c r="A14" s="6722" t="s">
        <v>440</v>
      </c>
      <c r="B14" s="6729" t="s">
        <v>5</v>
      </c>
      <c r="C14" s="2737" t="s">
        <v>1383</v>
      </c>
      <c r="D14" s="1161"/>
      <c r="E14" s="1163"/>
      <c r="F14" s="1215">
        <f t="shared" si="0"/>
        <v>0</v>
      </c>
      <c r="G14" s="1161"/>
      <c r="H14" s="1163"/>
      <c r="I14" s="1215">
        <f t="shared" si="1"/>
        <v>0</v>
      </c>
      <c r="J14" s="1161"/>
      <c r="K14" s="1163">
        <v>1</v>
      </c>
      <c r="L14" s="1215">
        <f t="shared" si="2"/>
        <v>1</v>
      </c>
      <c r="M14" s="1161"/>
      <c r="N14" s="1163">
        <v>1</v>
      </c>
      <c r="O14" s="1215">
        <f t="shared" si="3"/>
        <v>1</v>
      </c>
      <c r="P14" s="1161"/>
      <c r="Q14" s="1163"/>
      <c r="R14" s="1215">
        <f t="shared" si="4"/>
        <v>0</v>
      </c>
      <c r="S14" s="1161"/>
      <c r="T14" s="1163"/>
      <c r="U14" s="1215">
        <f t="shared" si="5"/>
        <v>0</v>
      </c>
    </row>
    <row r="15" spans="1:21" x14ac:dyDescent="0.2">
      <c r="A15" s="6722" t="s">
        <v>440</v>
      </c>
      <c r="B15" s="6729" t="s">
        <v>5</v>
      </c>
      <c r="C15" s="2737" t="s">
        <v>1384</v>
      </c>
      <c r="D15" s="1161">
        <v>1</v>
      </c>
      <c r="E15" s="1163"/>
      <c r="F15" s="1215">
        <f t="shared" si="0"/>
        <v>1</v>
      </c>
      <c r="G15" s="1161">
        <v>1</v>
      </c>
      <c r="H15" s="1163"/>
      <c r="I15" s="1215">
        <f t="shared" si="1"/>
        <v>1</v>
      </c>
      <c r="J15" s="1161"/>
      <c r="K15" s="1163">
        <v>1</v>
      </c>
      <c r="L15" s="1215">
        <f t="shared" si="2"/>
        <v>1</v>
      </c>
      <c r="M15" s="1161"/>
      <c r="N15" s="1163">
        <v>1</v>
      </c>
      <c r="O15" s="1215">
        <f t="shared" si="3"/>
        <v>1</v>
      </c>
      <c r="P15" s="1161"/>
      <c r="Q15" s="1163"/>
      <c r="R15" s="1215">
        <f t="shared" si="4"/>
        <v>0</v>
      </c>
      <c r="S15" s="1161"/>
      <c r="T15" s="1163"/>
      <c r="U15" s="1215">
        <f t="shared" si="5"/>
        <v>0</v>
      </c>
    </row>
    <row r="16" spans="1:21" x14ac:dyDescent="0.2">
      <c r="A16" s="6722"/>
      <c r="B16" s="6729"/>
      <c r="C16" s="2738" t="s">
        <v>5</v>
      </c>
      <c r="D16" s="4669">
        <f>SUM(D6:D15)</f>
        <v>2</v>
      </c>
      <c r="E16" s="4670">
        <f>SUM(E6:E15)</f>
        <v>3</v>
      </c>
      <c r="F16" s="2739">
        <f t="shared" si="0"/>
        <v>5</v>
      </c>
      <c r="G16" s="4669">
        <f>SUM(G6:G15)</f>
        <v>2</v>
      </c>
      <c r="H16" s="4670">
        <f>SUM(H6:H15)</f>
        <v>3</v>
      </c>
      <c r="I16" s="2739">
        <f t="shared" si="1"/>
        <v>5</v>
      </c>
      <c r="J16" s="4669">
        <f>SUM(J6:J15)</f>
        <v>10</v>
      </c>
      <c r="K16" s="4670">
        <f>SUM(K6:K15)</f>
        <v>14</v>
      </c>
      <c r="L16" s="2739">
        <f t="shared" si="2"/>
        <v>24</v>
      </c>
      <c r="M16" s="4669">
        <f>SUM(M6:M15)</f>
        <v>9</v>
      </c>
      <c r="N16" s="4670">
        <f>SUM(N6:N15)</f>
        <v>14</v>
      </c>
      <c r="O16" s="2739">
        <f t="shared" si="3"/>
        <v>23</v>
      </c>
      <c r="P16" s="4669">
        <f>SUM(P6:P15)</f>
        <v>2</v>
      </c>
      <c r="Q16" s="4670">
        <f>SUM(Q6:Q15)</f>
        <v>0</v>
      </c>
      <c r="R16" s="2739">
        <f t="shared" si="4"/>
        <v>2</v>
      </c>
      <c r="S16" s="4669">
        <f>SUM(S6:S15)</f>
        <v>2</v>
      </c>
      <c r="T16" s="4670">
        <f>SUM(T6:T15)</f>
        <v>0</v>
      </c>
      <c r="U16" s="2739">
        <f t="shared" si="5"/>
        <v>2</v>
      </c>
    </row>
    <row r="17" spans="1:21" x14ac:dyDescent="0.2">
      <c r="A17" s="6722" t="s">
        <v>440</v>
      </c>
      <c r="B17" s="6729" t="s">
        <v>6</v>
      </c>
      <c r="C17" s="2737" t="s">
        <v>181</v>
      </c>
      <c r="D17" s="1161">
        <v>1</v>
      </c>
      <c r="E17" s="1163">
        <v>4</v>
      </c>
      <c r="F17" s="1215">
        <f t="shared" si="0"/>
        <v>5</v>
      </c>
      <c r="G17" s="1161">
        <v>1</v>
      </c>
      <c r="H17" s="1163">
        <v>4</v>
      </c>
      <c r="I17" s="1215">
        <f t="shared" si="1"/>
        <v>5</v>
      </c>
      <c r="J17" s="1161">
        <v>10</v>
      </c>
      <c r="K17" s="1163">
        <v>4</v>
      </c>
      <c r="L17" s="1215">
        <f t="shared" si="2"/>
        <v>14</v>
      </c>
      <c r="M17" s="1161">
        <v>10</v>
      </c>
      <c r="N17" s="1163">
        <v>4</v>
      </c>
      <c r="O17" s="1215">
        <f t="shared" si="3"/>
        <v>14</v>
      </c>
      <c r="P17" s="1161">
        <v>1</v>
      </c>
      <c r="Q17" s="1163"/>
      <c r="R17" s="1215">
        <f t="shared" si="4"/>
        <v>1</v>
      </c>
      <c r="S17" s="1161">
        <v>1</v>
      </c>
      <c r="T17" s="1163"/>
      <c r="U17" s="1215">
        <f t="shared" si="5"/>
        <v>1</v>
      </c>
    </row>
    <row r="18" spans="1:21" x14ac:dyDescent="0.2">
      <c r="A18" s="6722" t="s">
        <v>440</v>
      </c>
      <c r="B18" s="6729" t="s">
        <v>6</v>
      </c>
      <c r="C18" s="2737" t="s">
        <v>182</v>
      </c>
      <c r="D18" s="1161">
        <v>6</v>
      </c>
      <c r="E18" s="1163">
        <v>5</v>
      </c>
      <c r="F18" s="1215">
        <f t="shared" si="0"/>
        <v>11</v>
      </c>
      <c r="G18" s="1161">
        <v>6</v>
      </c>
      <c r="H18" s="1163">
        <v>4</v>
      </c>
      <c r="I18" s="1215">
        <f t="shared" si="1"/>
        <v>10</v>
      </c>
      <c r="J18" s="1161">
        <v>24</v>
      </c>
      <c r="K18" s="1163">
        <v>8</v>
      </c>
      <c r="L18" s="1215">
        <f t="shared" si="2"/>
        <v>32</v>
      </c>
      <c r="M18" s="1161">
        <v>25</v>
      </c>
      <c r="N18" s="1163">
        <v>10</v>
      </c>
      <c r="O18" s="1215">
        <f t="shared" si="3"/>
        <v>35</v>
      </c>
      <c r="P18" s="1161"/>
      <c r="Q18" s="1163"/>
      <c r="R18" s="1215">
        <f t="shared" si="4"/>
        <v>0</v>
      </c>
      <c r="S18" s="1161"/>
      <c r="T18" s="1163"/>
      <c r="U18" s="1215">
        <f t="shared" si="5"/>
        <v>0</v>
      </c>
    </row>
    <row r="19" spans="1:21" x14ac:dyDescent="0.2">
      <c r="A19" s="6722" t="s">
        <v>440</v>
      </c>
      <c r="B19" s="6729" t="s">
        <v>6</v>
      </c>
      <c r="C19" s="2737" t="s">
        <v>183</v>
      </c>
      <c r="D19" s="1161">
        <v>2</v>
      </c>
      <c r="E19" s="1163"/>
      <c r="F19" s="1215">
        <f t="shared" si="0"/>
        <v>2</v>
      </c>
      <c r="G19" s="1161">
        <v>2</v>
      </c>
      <c r="H19" s="1163"/>
      <c r="I19" s="1215">
        <f t="shared" si="1"/>
        <v>2</v>
      </c>
      <c r="J19" s="1161">
        <v>1</v>
      </c>
      <c r="K19" s="1163">
        <v>0</v>
      </c>
      <c r="L19" s="1215">
        <f t="shared" si="2"/>
        <v>1</v>
      </c>
      <c r="M19" s="1161">
        <v>1</v>
      </c>
      <c r="N19" s="1163">
        <v>0</v>
      </c>
      <c r="O19" s="1215">
        <f t="shared" si="3"/>
        <v>1</v>
      </c>
      <c r="P19" s="1161"/>
      <c r="Q19" s="1163"/>
      <c r="R19" s="1215">
        <f t="shared" si="4"/>
        <v>0</v>
      </c>
      <c r="S19" s="1161"/>
      <c r="T19" s="1163"/>
      <c r="U19" s="1215">
        <f t="shared" si="5"/>
        <v>0</v>
      </c>
    </row>
    <row r="20" spans="1:21" x14ac:dyDescent="0.2">
      <c r="A20" s="6722" t="s">
        <v>440</v>
      </c>
      <c r="B20" s="6729" t="s">
        <v>6</v>
      </c>
      <c r="C20" s="2737" t="s">
        <v>818</v>
      </c>
      <c r="D20" s="1161">
        <v>2</v>
      </c>
      <c r="E20" s="1163"/>
      <c r="F20" s="1215">
        <f t="shared" si="0"/>
        <v>2</v>
      </c>
      <c r="G20" s="1161">
        <v>2</v>
      </c>
      <c r="H20" s="1163"/>
      <c r="I20" s="1215">
        <f t="shared" si="1"/>
        <v>2</v>
      </c>
      <c r="J20" s="1161">
        <v>3</v>
      </c>
      <c r="K20" s="1163">
        <v>1</v>
      </c>
      <c r="L20" s="1215">
        <f t="shared" si="2"/>
        <v>4</v>
      </c>
      <c r="M20" s="1161">
        <v>3</v>
      </c>
      <c r="N20" s="1163">
        <v>1</v>
      </c>
      <c r="O20" s="1215">
        <f t="shared" si="3"/>
        <v>4</v>
      </c>
      <c r="P20" s="1161"/>
      <c r="Q20" s="1163"/>
      <c r="R20" s="1215">
        <f t="shared" si="4"/>
        <v>0</v>
      </c>
      <c r="S20" s="1161"/>
      <c r="T20" s="1163"/>
      <c r="U20" s="1215">
        <f t="shared" si="5"/>
        <v>0</v>
      </c>
    </row>
    <row r="21" spans="1:21" x14ac:dyDescent="0.2">
      <c r="A21" s="6722"/>
      <c r="B21" s="6729"/>
      <c r="C21" s="2738" t="s">
        <v>6</v>
      </c>
      <c r="D21" s="4669">
        <f>SUM(D17:D20)</f>
        <v>11</v>
      </c>
      <c r="E21" s="4670">
        <f>SUM(E17:E20)</f>
        <v>9</v>
      </c>
      <c r="F21" s="2739">
        <f t="shared" si="0"/>
        <v>20</v>
      </c>
      <c r="G21" s="4669">
        <f>SUM(G17:G20)</f>
        <v>11</v>
      </c>
      <c r="H21" s="4670">
        <f>SUM(H17:H20)</f>
        <v>8</v>
      </c>
      <c r="I21" s="2739">
        <f t="shared" si="1"/>
        <v>19</v>
      </c>
      <c r="J21" s="4669">
        <f>SUM(J17:J20)</f>
        <v>38</v>
      </c>
      <c r="K21" s="4670">
        <f>SUM(K17:K20)</f>
        <v>13</v>
      </c>
      <c r="L21" s="2739">
        <f t="shared" si="2"/>
        <v>51</v>
      </c>
      <c r="M21" s="4669">
        <f>SUM(M17:M20)</f>
        <v>39</v>
      </c>
      <c r="N21" s="4670">
        <f>SUM(N17:N20)</f>
        <v>15</v>
      </c>
      <c r="O21" s="2739">
        <f t="shared" si="3"/>
        <v>54</v>
      </c>
      <c r="P21" s="4669">
        <f>SUM(P17:P20)</f>
        <v>1</v>
      </c>
      <c r="Q21" s="4670">
        <f>SUM(Q17:Q20)</f>
        <v>0</v>
      </c>
      <c r="R21" s="2739">
        <f t="shared" si="4"/>
        <v>1</v>
      </c>
      <c r="S21" s="4669">
        <f>SUM(S17:S20)</f>
        <v>1</v>
      </c>
      <c r="T21" s="4670">
        <f>SUM(T17:T20)</f>
        <v>0</v>
      </c>
      <c r="U21" s="2739">
        <f t="shared" si="5"/>
        <v>1</v>
      </c>
    </row>
    <row r="22" spans="1:21" x14ac:dyDescent="0.2">
      <c r="A22" s="6722" t="s">
        <v>440</v>
      </c>
      <c r="B22" s="6729" t="s">
        <v>7</v>
      </c>
      <c r="C22" s="2737" t="s">
        <v>168</v>
      </c>
      <c r="D22" s="1161">
        <v>1</v>
      </c>
      <c r="E22" s="1163"/>
      <c r="F22" s="1215">
        <f t="shared" si="0"/>
        <v>1</v>
      </c>
      <c r="G22" s="1161">
        <v>1</v>
      </c>
      <c r="H22" s="1163"/>
      <c r="I22" s="1215">
        <f t="shared" si="1"/>
        <v>1</v>
      </c>
      <c r="J22" s="1161">
        <v>3</v>
      </c>
      <c r="K22" s="1163">
        <v>2</v>
      </c>
      <c r="L22" s="1215">
        <f t="shared" si="2"/>
        <v>5</v>
      </c>
      <c r="M22" s="1161">
        <v>3</v>
      </c>
      <c r="N22" s="1163">
        <v>2</v>
      </c>
      <c r="O22" s="1215">
        <f t="shared" si="3"/>
        <v>5</v>
      </c>
      <c r="P22" s="1161"/>
      <c r="Q22" s="1163"/>
      <c r="R22" s="1215">
        <f t="shared" si="4"/>
        <v>0</v>
      </c>
      <c r="S22" s="1161"/>
      <c r="T22" s="1163"/>
      <c r="U22" s="1215">
        <f t="shared" si="5"/>
        <v>0</v>
      </c>
    </row>
    <row r="23" spans="1:21" x14ac:dyDescent="0.2">
      <c r="A23" s="6722" t="s">
        <v>440</v>
      </c>
      <c r="B23" s="6729" t="s">
        <v>7</v>
      </c>
      <c r="C23" s="2737" t="s">
        <v>819</v>
      </c>
      <c r="D23" s="1161"/>
      <c r="E23" s="1163">
        <v>2</v>
      </c>
      <c r="F23" s="1215">
        <f t="shared" si="0"/>
        <v>2</v>
      </c>
      <c r="G23" s="1161"/>
      <c r="H23" s="1163">
        <v>1</v>
      </c>
      <c r="I23" s="1215">
        <f t="shared" si="1"/>
        <v>1</v>
      </c>
      <c r="J23" s="1161">
        <v>9</v>
      </c>
      <c r="K23" s="1163">
        <v>8</v>
      </c>
      <c r="L23" s="1215">
        <f t="shared" si="2"/>
        <v>17</v>
      </c>
      <c r="M23" s="1161">
        <v>9</v>
      </c>
      <c r="N23" s="1163">
        <v>8</v>
      </c>
      <c r="O23" s="1215">
        <f t="shared" si="3"/>
        <v>17</v>
      </c>
      <c r="P23" s="1161">
        <v>4</v>
      </c>
      <c r="Q23" s="1163"/>
      <c r="R23" s="1215">
        <f t="shared" si="4"/>
        <v>4</v>
      </c>
      <c r="S23" s="1161">
        <v>4</v>
      </c>
      <c r="T23" s="1163"/>
      <c r="U23" s="1215">
        <f t="shared" si="5"/>
        <v>4</v>
      </c>
    </row>
    <row r="24" spans="1:21" x14ac:dyDescent="0.2">
      <c r="A24" s="6722" t="s">
        <v>440</v>
      </c>
      <c r="B24" s="6729" t="s">
        <v>7</v>
      </c>
      <c r="C24" s="2737" t="s">
        <v>170</v>
      </c>
      <c r="D24" s="1161">
        <v>1</v>
      </c>
      <c r="E24" s="1163"/>
      <c r="F24" s="1215">
        <f t="shared" si="0"/>
        <v>1</v>
      </c>
      <c r="G24" s="1161">
        <v>1</v>
      </c>
      <c r="H24" s="1163"/>
      <c r="I24" s="1215">
        <f t="shared" si="1"/>
        <v>1</v>
      </c>
      <c r="J24" s="1161">
        <v>1</v>
      </c>
      <c r="K24" s="1163"/>
      <c r="L24" s="1215">
        <f t="shared" si="2"/>
        <v>1</v>
      </c>
      <c r="M24" s="1161">
        <v>1</v>
      </c>
      <c r="N24" s="1163"/>
      <c r="O24" s="1215">
        <f t="shared" si="3"/>
        <v>1</v>
      </c>
      <c r="P24" s="1161">
        <v>3</v>
      </c>
      <c r="Q24" s="1163"/>
      <c r="R24" s="1215">
        <f t="shared" si="4"/>
        <v>3</v>
      </c>
      <c r="S24" s="1161">
        <v>3</v>
      </c>
      <c r="T24" s="1163"/>
      <c r="U24" s="1215">
        <f t="shared" si="5"/>
        <v>3</v>
      </c>
    </row>
    <row r="25" spans="1:21" x14ac:dyDescent="0.2">
      <c r="A25" s="6722"/>
      <c r="B25" s="6729"/>
      <c r="C25" s="2740" t="s">
        <v>7</v>
      </c>
      <c r="D25" s="4671">
        <f>SUM(D22:D24)</f>
        <v>2</v>
      </c>
      <c r="E25" s="4672">
        <f>SUM(E22:E24)</f>
        <v>2</v>
      </c>
      <c r="F25" s="2741">
        <f t="shared" si="0"/>
        <v>4</v>
      </c>
      <c r="G25" s="4671">
        <f>SUM(G22:G24)</f>
        <v>2</v>
      </c>
      <c r="H25" s="4672">
        <f>SUM(H22:H24)</f>
        <v>1</v>
      </c>
      <c r="I25" s="2741">
        <f t="shared" si="1"/>
        <v>3</v>
      </c>
      <c r="J25" s="4671">
        <f>SUM(J22:J24)</f>
        <v>13</v>
      </c>
      <c r="K25" s="4672">
        <f>SUM(K22:K24)</f>
        <v>10</v>
      </c>
      <c r="L25" s="2741">
        <f t="shared" si="2"/>
        <v>23</v>
      </c>
      <c r="M25" s="4671">
        <f>SUM(M22:M24)</f>
        <v>13</v>
      </c>
      <c r="N25" s="4672">
        <f>SUM(N22:N24)</f>
        <v>10</v>
      </c>
      <c r="O25" s="2741">
        <f t="shared" si="3"/>
        <v>23</v>
      </c>
      <c r="P25" s="4671">
        <f>SUM(P22:P24)</f>
        <v>7</v>
      </c>
      <c r="Q25" s="4672">
        <f>SUM(Q22:Q24)</f>
        <v>0</v>
      </c>
      <c r="R25" s="2741">
        <f t="shared" si="4"/>
        <v>7</v>
      </c>
      <c r="S25" s="4671">
        <f>SUM(S22:S24)</f>
        <v>7</v>
      </c>
      <c r="T25" s="4672">
        <f>SUM(T22:T24)</f>
        <v>0</v>
      </c>
      <c r="U25" s="2741">
        <f t="shared" si="5"/>
        <v>7</v>
      </c>
    </row>
    <row r="26" spans="1:21" x14ac:dyDescent="0.2">
      <c r="A26" s="6723"/>
      <c r="B26" s="6734" t="s">
        <v>444</v>
      </c>
      <c r="C26" s="6735"/>
      <c r="D26" s="4673">
        <f>SUM(D25,D21,D16)</f>
        <v>15</v>
      </c>
      <c r="E26" s="4674">
        <f>SUM(E25,E21,E16)</f>
        <v>14</v>
      </c>
      <c r="F26" s="4068">
        <f t="shared" si="0"/>
        <v>29</v>
      </c>
      <c r="G26" s="4673">
        <f>SUM(G25,G21,G16)</f>
        <v>15</v>
      </c>
      <c r="H26" s="4674">
        <f>SUM(H25,H21,H16)</f>
        <v>12</v>
      </c>
      <c r="I26" s="4068">
        <f t="shared" si="1"/>
        <v>27</v>
      </c>
      <c r="J26" s="4673">
        <f>SUM(J25,J21,J16)</f>
        <v>61</v>
      </c>
      <c r="K26" s="4674">
        <f>SUM(K25,K21,K16)</f>
        <v>37</v>
      </c>
      <c r="L26" s="4068">
        <f t="shared" si="2"/>
        <v>98</v>
      </c>
      <c r="M26" s="4673">
        <f>SUM(M25,M21,M16)</f>
        <v>61</v>
      </c>
      <c r="N26" s="4674">
        <f>SUM(N25,N21,N16)</f>
        <v>39</v>
      </c>
      <c r="O26" s="4068">
        <f t="shared" si="3"/>
        <v>100</v>
      </c>
      <c r="P26" s="4673">
        <f>SUM(P25,P21,P16)</f>
        <v>10</v>
      </c>
      <c r="Q26" s="4674">
        <f>SUM(Q25,Q21,Q16)</f>
        <v>0</v>
      </c>
      <c r="R26" s="4068">
        <f t="shared" si="4"/>
        <v>10</v>
      </c>
      <c r="S26" s="4673">
        <f>SUM(S25,S21,S16)</f>
        <v>10</v>
      </c>
      <c r="T26" s="4674">
        <f>SUM(T25,T21,T16)</f>
        <v>0</v>
      </c>
      <c r="U26" s="4068">
        <f t="shared" si="5"/>
        <v>10</v>
      </c>
    </row>
    <row r="27" spans="1:21" ht="15" customHeight="1" x14ac:dyDescent="0.2">
      <c r="A27" s="6740" t="s">
        <v>75</v>
      </c>
      <c r="B27" s="6326" t="s">
        <v>5</v>
      </c>
      <c r="C27" s="1294" t="s">
        <v>201</v>
      </c>
      <c r="D27" s="1181"/>
      <c r="E27" s="1183"/>
      <c r="F27" s="1215">
        <f t="shared" si="0"/>
        <v>0</v>
      </c>
      <c r="G27" s="1181"/>
      <c r="H27" s="1183"/>
      <c r="I27" s="1215">
        <f t="shared" si="1"/>
        <v>0</v>
      </c>
      <c r="J27" s="1181"/>
      <c r="K27" s="1183"/>
      <c r="L27" s="1215">
        <f t="shared" si="2"/>
        <v>0</v>
      </c>
      <c r="M27" s="1181"/>
      <c r="N27" s="1183"/>
      <c r="O27" s="1215">
        <f t="shared" si="3"/>
        <v>0</v>
      </c>
      <c r="P27" s="1181"/>
      <c r="Q27" s="1183"/>
      <c r="R27" s="1215">
        <f t="shared" si="4"/>
        <v>0</v>
      </c>
      <c r="S27" s="1181"/>
      <c r="T27" s="1183"/>
      <c r="U27" s="1215">
        <f t="shared" si="5"/>
        <v>0</v>
      </c>
    </row>
    <row r="28" spans="1:21" x14ac:dyDescent="0.2">
      <c r="A28" s="6741" t="s">
        <v>441</v>
      </c>
      <c r="B28" s="6309" t="s">
        <v>5</v>
      </c>
      <c r="C28" s="2737" t="s">
        <v>197</v>
      </c>
      <c r="D28" s="1161">
        <v>1</v>
      </c>
      <c r="E28" s="1163"/>
      <c r="F28" s="1215">
        <f t="shared" si="0"/>
        <v>1</v>
      </c>
      <c r="G28" s="1161">
        <v>1</v>
      </c>
      <c r="H28" s="1163"/>
      <c r="I28" s="1215">
        <f t="shared" si="1"/>
        <v>1</v>
      </c>
      <c r="J28" s="1161"/>
      <c r="K28" s="1163"/>
      <c r="L28" s="1215">
        <f t="shared" si="2"/>
        <v>0</v>
      </c>
      <c r="M28" s="1161">
        <v>1</v>
      </c>
      <c r="N28" s="1163"/>
      <c r="O28" s="1215">
        <f t="shared" si="3"/>
        <v>1</v>
      </c>
      <c r="P28" s="1161"/>
      <c r="Q28" s="1163"/>
      <c r="R28" s="1215">
        <f t="shared" si="4"/>
        <v>0</v>
      </c>
      <c r="S28" s="1161"/>
      <c r="T28" s="1163"/>
      <c r="U28" s="1215">
        <f t="shared" si="5"/>
        <v>0</v>
      </c>
    </row>
    <row r="29" spans="1:21" x14ac:dyDescent="0.2">
      <c r="A29" s="6741" t="s">
        <v>441</v>
      </c>
      <c r="B29" s="6309" t="s">
        <v>5</v>
      </c>
      <c r="C29" s="2737" t="s">
        <v>1385</v>
      </c>
      <c r="D29" s="1161"/>
      <c r="E29" s="1163">
        <v>1</v>
      </c>
      <c r="F29" s="1215">
        <f t="shared" si="0"/>
        <v>1</v>
      </c>
      <c r="G29" s="1161"/>
      <c r="H29" s="1163">
        <v>1</v>
      </c>
      <c r="I29" s="1215">
        <f t="shared" si="1"/>
        <v>1</v>
      </c>
      <c r="J29" s="1161"/>
      <c r="K29" s="1163"/>
      <c r="L29" s="1215">
        <f t="shared" si="2"/>
        <v>0</v>
      </c>
      <c r="M29" s="1161"/>
      <c r="N29" s="1163"/>
      <c r="O29" s="1215">
        <f t="shared" si="3"/>
        <v>0</v>
      </c>
      <c r="P29" s="1161"/>
      <c r="Q29" s="1163"/>
      <c r="R29" s="1215">
        <f t="shared" si="4"/>
        <v>0</v>
      </c>
      <c r="S29" s="1161"/>
      <c r="T29" s="1163"/>
      <c r="U29" s="1215">
        <f t="shared" si="5"/>
        <v>0</v>
      </c>
    </row>
    <row r="30" spans="1:21" ht="15" customHeight="1" x14ac:dyDescent="0.2">
      <c r="A30" s="6741" t="s">
        <v>441</v>
      </c>
      <c r="B30" s="6309" t="s">
        <v>5</v>
      </c>
      <c r="C30" s="2737" t="s">
        <v>1381</v>
      </c>
      <c r="D30" s="1161"/>
      <c r="E30" s="1163"/>
      <c r="F30" s="1215">
        <f t="shared" si="0"/>
        <v>0</v>
      </c>
      <c r="G30" s="1161"/>
      <c r="H30" s="1163"/>
      <c r="I30" s="1215">
        <f t="shared" si="1"/>
        <v>0</v>
      </c>
      <c r="J30" s="1161"/>
      <c r="K30" s="1163"/>
      <c r="L30" s="1215">
        <f t="shared" si="2"/>
        <v>0</v>
      </c>
      <c r="M30" s="1161"/>
      <c r="N30" s="1163"/>
      <c r="O30" s="1215">
        <f t="shared" si="3"/>
        <v>0</v>
      </c>
      <c r="P30" s="1161"/>
      <c r="Q30" s="1163"/>
      <c r="R30" s="1215">
        <f t="shared" si="4"/>
        <v>0</v>
      </c>
      <c r="S30" s="1161"/>
      <c r="T30" s="1163"/>
      <c r="U30" s="1215">
        <f t="shared" si="5"/>
        <v>0</v>
      </c>
    </row>
    <row r="31" spans="1:21" ht="15" customHeight="1" x14ac:dyDescent="0.2">
      <c r="A31" s="6741" t="s">
        <v>441</v>
      </c>
      <c r="B31" s="6309" t="s">
        <v>5</v>
      </c>
      <c r="C31" s="2737" t="s">
        <v>1386</v>
      </c>
      <c r="D31" s="1161"/>
      <c r="E31" s="1163"/>
      <c r="F31" s="1215">
        <f t="shared" si="0"/>
        <v>0</v>
      </c>
      <c r="G31" s="1161"/>
      <c r="H31" s="1163"/>
      <c r="I31" s="1215">
        <f t="shared" si="1"/>
        <v>0</v>
      </c>
      <c r="J31" s="1161">
        <v>1</v>
      </c>
      <c r="K31" s="1163">
        <v>1</v>
      </c>
      <c r="L31" s="1215">
        <f t="shared" si="2"/>
        <v>2</v>
      </c>
      <c r="M31" s="1161">
        <v>1</v>
      </c>
      <c r="N31" s="1163">
        <v>1</v>
      </c>
      <c r="O31" s="1215">
        <f t="shared" si="3"/>
        <v>2</v>
      </c>
      <c r="P31" s="1161"/>
      <c r="Q31" s="1163"/>
      <c r="R31" s="1215">
        <f t="shared" si="4"/>
        <v>0</v>
      </c>
      <c r="S31" s="1161"/>
      <c r="T31" s="1163"/>
      <c r="U31" s="1215">
        <f t="shared" si="5"/>
        <v>0</v>
      </c>
    </row>
    <row r="32" spans="1:21" ht="15" customHeight="1" x14ac:dyDescent="0.2">
      <c r="A32" s="6741" t="s">
        <v>441</v>
      </c>
      <c r="B32" s="6309" t="s">
        <v>5</v>
      </c>
      <c r="C32" s="2737" t="s">
        <v>1387</v>
      </c>
      <c r="D32" s="1161"/>
      <c r="E32" s="1163"/>
      <c r="F32" s="1215">
        <f t="shared" si="0"/>
        <v>0</v>
      </c>
      <c r="G32" s="1161"/>
      <c r="H32" s="1163"/>
      <c r="I32" s="1215">
        <f t="shared" si="1"/>
        <v>0</v>
      </c>
      <c r="J32" s="1161"/>
      <c r="K32" s="1163">
        <v>1</v>
      </c>
      <c r="L32" s="1215">
        <f t="shared" si="2"/>
        <v>1</v>
      </c>
      <c r="M32" s="1161"/>
      <c r="N32" s="1163">
        <v>1</v>
      </c>
      <c r="O32" s="1215">
        <f t="shared" si="3"/>
        <v>1</v>
      </c>
      <c r="P32" s="1161"/>
      <c r="Q32" s="1163"/>
      <c r="R32" s="1215">
        <f t="shared" si="4"/>
        <v>0</v>
      </c>
      <c r="S32" s="1161"/>
      <c r="T32" s="1163"/>
      <c r="U32" s="1215">
        <f t="shared" si="5"/>
        <v>0</v>
      </c>
    </row>
    <row r="33" spans="1:21" ht="15" customHeight="1" x14ac:dyDescent="0.2">
      <c r="A33" s="6741" t="s">
        <v>441</v>
      </c>
      <c r="B33" s="6309" t="s">
        <v>5</v>
      </c>
      <c r="C33" s="2737" t="s">
        <v>1384</v>
      </c>
      <c r="D33" s="1161"/>
      <c r="E33" s="1163"/>
      <c r="F33" s="1215">
        <f t="shared" si="0"/>
        <v>0</v>
      </c>
      <c r="G33" s="1161"/>
      <c r="H33" s="1163"/>
      <c r="I33" s="1215">
        <f t="shared" si="1"/>
        <v>0</v>
      </c>
      <c r="J33" s="1161"/>
      <c r="K33" s="1163"/>
      <c r="L33" s="1215">
        <f t="shared" si="2"/>
        <v>0</v>
      </c>
      <c r="M33" s="1161"/>
      <c r="N33" s="1163"/>
      <c r="O33" s="1215">
        <f t="shared" si="3"/>
        <v>0</v>
      </c>
      <c r="P33" s="1161"/>
      <c r="Q33" s="1163"/>
      <c r="R33" s="1215">
        <f t="shared" si="4"/>
        <v>0</v>
      </c>
      <c r="S33" s="1161"/>
      <c r="T33" s="1163"/>
      <c r="U33" s="1215">
        <f t="shared" si="5"/>
        <v>0</v>
      </c>
    </row>
    <row r="34" spans="1:21" ht="15" customHeight="1" x14ac:dyDescent="0.2">
      <c r="A34" s="6741" t="s">
        <v>441</v>
      </c>
      <c r="B34" s="6309" t="s">
        <v>5</v>
      </c>
      <c r="C34" s="2737" t="s">
        <v>199</v>
      </c>
      <c r="D34" s="1161"/>
      <c r="E34" s="1163"/>
      <c r="F34" s="1215">
        <f t="shared" si="0"/>
        <v>0</v>
      </c>
      <c r="G34" s="1161"/>
      <c r="H34" s="1163"/>
      <c r="I34" s="1215">
        <f t="shared" si="1"/>
        <v>0</v>
      </c>
      <c r="J34" s="1161">
        <v>1</v>
      </c>
      <c r="K34" s="1163"/>
      <c r="L34" s="1215">
        <f t="shared" si="2"/>
        <v>1</v>
      </c>
      <c r="M34" s="1161">
        <v>1</v>
      </c>
      <c r="N34" s="1163"/>
      <c r="O34" s="1215">
        <f t="shared" si="3"/>
        <v>1</v>
      </c>
      <c r="P34" s="1161"/>
      <c r="Q34" s="1163"/>
      <c r="R34" s="1215">
        <f t="shared" si="4"/>
        <v>0</v>
      </c>
      <c r="S34" s="1161"/>
      <c r="T34" s="1163"/>
      <c r="U34" s="1215">
        <f t="shared" si="5"/>
        <v>0</v>
      </c>
    </row>
    <row r="35" spans="1:21" ht="15" customHeight="1" x14ac:dyDescent="0.2">
      <c r="A35" s="6741" t="s">
        <v>441</v>
      </c>
      <c r="B35" s="6309" t="s">
        <v>5</v>
      </c>
      <c r="C35" s="2737" t="s">
        <v>200</v>
      </c>
      <c r="D35" s="1161"/>
      <c r="E35" s="1163"/>
      <c r="F35" s="1215">
        <f t="shared" si="0"/>
        <v>0</v>
      </c>
      <c r="G35" s="1161"/>
      <c r="H35" s="1163"/>
      <c r="I35" s="1215">
        <f t="shared" si="1"/>
        <v>0</v>
      </c>
      <c r="J35" s="1161"/>
      <c r="K35" s="1163"/>
      <c r="L35" s="1215">
        <f t="shared" si="2"/>
        <v>0</v>
      </c>
      <c r="M35" s="1161"/>
      <c r="N35" s="1163"/>
      <c r="O35" s="1215">
        <f t="shared" si="3"/>
        <v>0</v>
      </c>
      <c r="P35" s="1161"/>
      <c r="Q35" s="1163"/>
      <c r="R35" s="1215">
        <f t="shared" si="4"/>
        <v>0</v>
      </c>
      <c r="S35" s="1161"/>
      <c r="T35" s="1163"/>
      <c r="U35" s="1215">
        <f t="shared" si="5"/>
        <v>0</v>
      </c>
    </row>
    <row r="36" spans="1:21" x14ac:dyDescent="0.2">
      <c r="A36" s="6741"/>
      <c r="B36" s="6310"/>
      <c r="C36" s="2738" t="s">
        <v>5</v>
      </c>
      <c r="D36" s="4669">
        <f>SUM(D27:D35)</f>
        <v>1</v>
      </c>
      <c r="E36" s="4670">
        <f>SUM(E27:E35)</f>
        <v>1</v>
      </c>
      <c r="F36" s="2739">
        <f t="shared" si="0"/>
        <v>2</v>
      </c>
      <c r="G36" s="4669">
        <f>SUM(G27:G35)</f>
        <v>1</v>
      </c>
      <c r="H36" s="4670">
        <f>SUM(H27:H35)</f>
        <v>1</v>
      </c>
      <c r="I36" s="2739">
        <f t="shared" si="1"/>
        <v>2</v>
      </c>
      <c r="J36" s="4669">
        <f>SUM(J27:J35)</f>
        <v>2</v>
      </c>
      <c r="K36" s="4670">
        <f>SUM(K27:K35)</f>
        <v>2</v>
      </c>
      <c r="L36" s="2739">
        <f t="shared" si="2"/>
        <v>4</v>
      </c>
      <c r="M36" s="4669">
        <f>SUM(M27:M35)</f>
        <v>3</v>
      </c>
      <c r="N36" s="4670">
        <f>SUM(N27:N35)</f>
        <v>2</v>
      </c>
      <c r="O36" s="2739">
        <f t="shared" si="3"/>
        <v>5</v>
      </c>
      <c r="P36" s="4669">
        <f>SUM(P27:P35)</f>
        <v>0</v>
      </c>
      <c r="Q36" s="4670">
        <f>SUM(Q27:Q35)</f>
        <v>0</v>
      </c>
      <c r="R36" s="2739">
        <f t="shared" si="4"/>
        <v>0</v>
      </c>
      <c r="S36" s="4669">
        <f>SUM(S27:S35)</f>
        <v>0</v>
      </c>
      <c r="T36" s="4670">
        <f>SUM(T27:T35)</f>
        <v>0</v>
      </c>
      <c r="U36" s="2739">
        <f t="shared" si="5"/>
        <v>0</v>
      </c>
    </row>
    <row r="37" spans="1:21" x14ac:dyDescent="0.2">
      <c r="A37" s="6741" t="s">
        <v>441</v>
      </c>
      <c r="B37" s="6729" t="s">
        <v>6</v>
      </c>
      <c r="C37" s="2737" t="s">
        <v>181</v>
      </c>
      <c r="D37" s="1161">
        <v>1</v>
      </c>
      <c r="E37" s="1163"/>
      <c r="F37" s="1215">
        <f t="shared" si="0"/>
        <v>1</v>
      </c>
      <c r="G37" s="1161">
        <v>1</v>
      </c>
      <c r="H37" s="1163"/>
      <c r="I37" s="1215">
        <f t="shared" si="1"/>
        <v>1</v>
      </c>
      <c r="J37" s="1161">
        <v>12</v>
      </c>
      <c r="K37" s="1163">
        <v>4</v>
      </c>
      <c r="L37" s="1215">
        <f t="shared" si="2"/>
        <v>16</v>
      </c>
      <c r="M37" s="1161">
        <v>12</v>
      </c>
      <c r="N37" s="1163">
        <v>4</v>
      </c>
      <c r="O37" s="1215">
        <f t="shared" si="3"/>
        <v>16</v>
      </c>
      <c r="P37" s="1161"/>
      <c r="Q37" s="1163"/>
      <c r="R37" s="1215">
        <f t="shared" si="4"/>
        <v>0</v>
      </c>
      <c r="S37" s="1161"/>
      <c r="T37" s="1163"/>
      <c r="U37" s="1215">
        <f t="shared" si="5"/>
        <v>0</v>
      </c>
    </row>
    <row r="38" spans="1:21" x14ac:dyDescent="0.2">
      <c r="A38" s="6741" t="s">
        <v>441</v>
      </c>
      <c r="B38" s="6729" t="s">
        <v>6</v>
      </c>
      <c r="C38" s="2737" t="s">
        <v>208</v>
      </c>
      <c r="D38" s="1161">
        <v>1</v>
      </c>
      <c r="E38" s="1163"/>
      <c r="F38" s="1215">
        <f t="shared" si="0"/>
        <v>1</v>
      </c>
      <c r="G38" s="1161">
        <v>1</v>
      </c>
      <c r="H38" s="1163"/>
      <c r="I38" s="1215">
        <f t="shared" si="1"/>
        <v>1</v>
      </c>
      <c r="J38" s="1161">
        <v>1</v>
      </c>
      <c r="K38" s="1163"/>
      <c r="L38" s="1215">
        <f t="shared" si="2"/>
        <v>1</v>
      </c>
      <c r="M38" s="1161">
        <v>1</v>
      </c>
      <c r="N38" s="1163"/>
      <c r="O38" s="1215">
        <f t="shared" si="3"/>
        <v>1</v>
      </c>
      <c r="P38" s="1161"/>
      <c r="Q38" s="1163"/>
      <c r="R38" s="1215">
        <f t="shared" si="4"/>
        <v>0</v>
      </c>
      <c r="S38" s="1161"/>
      <c r="T38" s="1163"/>
      <c r="U38" s="1215">
        <f t="shared" si="5"/>
        <v>0</v>
      </c>
    </row>
    <row r="39" spans="1:21" x14ac:dyDescent="0.2">
      <c r="A39" s="6741" t="s">
        <v>441</v>
      </c>
      <c r="B39" s="6729" t="s">
        <v>6</v>
      </c>
      <c r="C39" s="2737" t="s">
        <v>820</v>
      </c>
      <c r="D39" s="1161"/>
      <c r="E39" s="1163">
        <v>1</v>
      </c>
      <c r="F39" s="1215">
        <f t="shared" si="0"/>
        <v>1</v>
      </c>
      <c r="G39" s="1161"/>
      <c r="H39" s="1163">
        <v>1</v>
      </c>
      <c r="I39" s="1215">
        <f t="shared" si="1"/>
        <v>1</v>
      </c>
      <c r="J39" s="1161">
        <v>3</v>
      </c>
      <c r="K39" s="1163">
        <v>4</v>
      </c>
      <c r="L39" s="1215">
        <f t="shared" si="2"/>
        <v>7</v>
      </c>
      <c r="M39" s="1161">
        <v>3</v>
      </c>
      <c r="N39" s="1163">
        <v>5</v>
      </c>
      <c r="O39" s="1215">
        <f t="shared" si="3"/>
        <v>8</v>
      </c>
      <c r="P39" s="1161"/>
      <c r="Q39" s="1163"/>
      <c r="R39" s="1215">
        <f t="shared" si="4"/>
        <v>0</v>
      </c>
      <c r="S39" s="1161"/>
      <c r="T39" s="1163"/>
      <c r="U39" s="1215">
        <f t="shared" si="5"/>
        <v>0</v>
      </c>
    </row>
    <row r="40" spans="1:21" x14ac:dyDescent="0.2">
      <c r="A40" s="6741" t="s">
        <v>441</v>
      </c>
      <c r="B40" s="6729" t="s">
        <v>6</v>
      </c>
      <c r="C40" s="2737" t="s">
        <v>183</v>
      </c>
      <c r="D40" s="1161">
        <v>5</v>
      </c>
      <c r="E40" s="1163">
        <v>6</v>
      </c>
      <c r="F40" s="1215">
        <f t="shared" si="0"/>
        <v>11</v>
      </c>
      <c r="G40" s="1161">
        <v>5</v>
      </c>
      <c r="H40" s="1163">
        <v>6</v>
      </c>
      <c r="I40" s="1215">
        <f t="shared" si="1"/>
        <v>11</v>
      </c>
      <c r="J40" s="1161">
        <v>2</v>
      </c>
      <c r="K40" s="1163">
        <v>1</v>
      </c>
      <c r="L40" s="1215">
        <f t="shared" si="2"/>
        <v>3</v>
      </c>
      <c r="M40" s="1161">
        <v>4</v>
      </c>
      <c r="N40" s="1163">
        <v>3</v>
      </c>
      <c r="O40" s="1215">
        <f t="shared" si="3"/>
        <v>7</v>
      </c>
      <c r="P40" s="1161"/>
      <c r="Q40" s="1163">
        <v>1</v>
      </c>
      <c r="R40" s="1215">
        <f t="shared" si="4"/>
        <v>1</v>
      </c>
      <c r="S40" s="1161"/>
      <c r="T40" s="1163">
        <v>1</v>
      </c>
      <c r="U40" s="1215">
        <f t="shared" si="5"/>
        <v>1</v>
      </c>
    </row>
    <row r="41" spans="1:21" x14ac:dyDescent="0.2">
      <c r="A41" s="6741" t="s">
        <v>441</v>
      </c>
      <c r="B41" s="6729" t="s">
        <v>6</v>
      </c>
      <c r="C41" s="2737" t="s">
        <v>210</v>
      </c>
      <c r="D41" s="1161">
        <v>1</v>
      </c>
      <c r="E41" s="1163"/>
      <c r="F41" s="1215">
        <f t="shared" si="0"/>
        <v>1</v>
      </c>
      <c r="G41" s="1161">
        <v>1</v>
      </c>
      <c r="H41" s="1163"/>
      <c r="I41" s="1215">
        <f t="shared" si="1"/>
        <v>1</v>
      </c>
      <c r="J41" s="1161"/>
      <c r="K41" s="1163">
        <v>1</v>
      </c>
      <c r="L41" s="1215">
        <f t="shared" si="2"/>
        <v>1</v>
      </c>
      <c r="M41" s="1161"/>
      <c r="N41" s="1163">
        <v>1</v>
      </c>
      <c r="O41" s="1215">
        <f t="shared" si="3"/>
        <v>1</v>
      </c>
      <c r="P41" s="1161"/>
      <c r="Q41" s="1163">
        <v>1</v>
      </c>
      <c r="R41" s="1215">
        <f t="shared" si="4"/>
        <v>1</v>
      </c>
      <c r="S41" s="1161"/>
      <c r="T41" s="1163">
        <v>1</v>
      </c>
      <c r="U41" s="1215">
        <f t="shared" si="5"/>
        <v>1</v>
      </c>
    </row>
    <row r="42" spans="1:21" x14ac:dyDescent="0.2">
      <c r="A42" s="6741" t="s">
        <v>441</v>
      </c>
      <c r="B42" s="6729" t="s">
        <v>6</v>
      </c>
      <c r="C42" s="2737" t="s">
        <v>215</v>
      </c>
      <c r="D42" s="1161"/>
      <c r="E42" s="1163">
        <v>1</v>
      </c>
      <c r="F42" s="1215">
        <f t="shared" si="0"/>
        <v>1</v>
      </c>
      <c r="G42" s="1161"/>
      <c r="H42" s="1163">
        <v>1</v>
      </c>
      <c r="I42" s="1215">
        <f t="shared" si="1"/>
        <v>1</v>
      </c>
      <c r="J42" s="1161"/>
      <c r="K42" s="1163"/>
      <c r="L42" s="1215">
        <f t="shared" si="2"/>
        <v>0</v>
      </c>
      <c r="M42" s="1161"/>
      <c r="N42" s="1163"/>
      <c r="O42" s="1215">
        <f t="shared" si="3"/>
        <v>0</v>
      </c>
      <c r="P42" s="1161">
        <v>1</v>
      </c>
      <c r="Q42" s="1163"/>
      <c r="R42" s="1215">
        <f t="shared" si="4"/>
        <v>1</v>
      </c>
      <c r="S42" s="1161">
        <v>1</v>
      </c>
      <c r="T42" s="1163"/>
      <c r="U42" s="1215">
        <f t="shared" si="5"/>
        <v>1</v>
      </c>
    </row>
    <row r="43" spans="1:21" x14ac:dyDescent="0.2">
      <c r="A43" s="6741"/>
      <c r="B43" s="6743"/>
      <c r="C43" s="2737" t="s">
        <v>212</v>
      </c>
      <c r="D43" s="1161"/>
      <c r="E43" s="1163"/>
      <c r="F43" s="1215"/>
      <c r="G43" s="1161"/>
      <c r="H43" s="1163"/>
      <c r="I43" s="1215"/>
      <c r="J43" s="1161"/>
      <c r="K43" s="1163"/>
      <c r="L43" s="1215"/>
      <c r="M43" s="1161"/>
      <c r="N43" s="1163"/>
      <c r="O43" s="1215"/>
      <c r="P43" s="1161">
        <v>1</v>
      </c>
      <c r="Q43" s="1163"/>
      <c r="R43" s="1215">
        <f t="shared" si="4"/>
        <v>1</v>
      </c>
      <c r="S43" s="1161">
        <v>1</v>
      </c>
      <c r="T43" s="1163"/>
      <c r="U43" s="1215">
        <f t="shared" si="5"/>
        <v>1</v>
      </c>
    </row>
    <row r="44" spans="1:21" ht="15" customHeight="1" x14ac:dyDescent="0.2">
      <c r="A44" s="6741" t="s">
        <v>441</v>
      </c>
      <c r="B44" s="6729" t="s">
        <v>6</v>
      </c>
      <c r="C44" s="2737" t="s">
        <v>211</v>
      </c>
      <c r="D44" s="1161"/>
      <c r="E44" s="1163"/>
      <c r="F44" s="1215">
        <f t="shared" si="0"/>
        <v>0</v>
      </c>
      <c r="G44" s="1161"/>
      <c r="H44" s="1163"/>
      <c r="I44" s="1215">
        <f t="shared" si="1"/>
        <v>0</v>
      </c>
      <c r="J44" s="1161">
        <v>1</v>
      </c>
      <c r="K44" s="1163"/>
      <c r="L44" s="1215">
        <f t="shared" si="2"/>
        <v>1</v>
      </c>
      <c r="M44" s="1161">
        <v>1</v>
      </c>
      <c r="N44" s="1163"/>
      <c r="O44" s="1215">
        <f t="shared" si="3"/>
        <v>1</v>
      </c>
      <c r="P44" s="1161"/>
      <c r="Q44" s="1163"/>
      <c r="R44" s="1215">
        <f t="shared" si="4"/>
        <v>0</v>
      </c>
      <c r="S44" s="1161"/>
      <c r="T44" s="1163"/>
      <c r="U44" s="1215">
        <f t="shared" si="5"/>
        <v>0</v>
      </c>
    </row>
    <row r="45" spans="1:21" ht="15" customHeight="1" x14ac:dyDescent="0.2">
      <c r="A45" s="6741" t="s">
        <v>441</v>
      </c>
      <c r="B45" s="6729" t="s">
        <v>6</v>
      </c>
      <c r="C45" s="2737" t="s">
        <v>209</v>
      </c>
      <c r="D45" s="1161"/>
      <c r="E45" s="1163"/>
      <c r="F45" s="1215">
        <f t="shared" si="0"/>
        <v>0</v>
      </c>
      <c r="G45" s="1161"/>
      <c r="H45" s="1163"/>
      <c r="I45" s="1215">
        <f t="shared" si="1"/>
        <v>0</v>
      </c>
      <c r="J45" s="1161">
        <v>2</v>
      </c>
      <c r="K45" s="1163"/>
      <c r="L45" s="1215">
        <f t="shared" si="2"/>
        <v>2</v>
      </c>
      <c r="M45" s="1161">
        <v>1</v>
      </c>
      <c r="N45" s="1163"/>
      <c r="O45" s="1215">
        <f t="shared" si="3"/>
        <v>1</v>
      </c>
      <c r="P45" s="1161"/>
      <c r="Q45" s="1163"/>
      <c r="R45" s="1215">
        <f t="shared" si="4"/>
        <v>0</v>
      </c>
      <c r="S45" s="1161"/>
      <c r="T45" s="1163"/>
      <c r="U45" s="1215">
        <f t="shared" si="5"/>
        <v>0</v>
      </c>
    </row>
    <row r="46" spans="1:21" ht="15" customHeight="1" x14ac:dyDescent="0.2">
      <c r="A46" s="6741" t="s">
        <v>441</v>
      </c>
      <c r="B46" s="6729" t="s">
        <v>6</v>
      </c>
      <c r="C46" s="2737" t="s">
        <v>821</v>
      </c>
      <c r="D46" s="1161"/>
      <c r="E46" s="1163"/>
      <c r="F46" s="1215">
        <f t="shared" si="0"/>
        <v>0</v>
      </c>
      <c r="G46" s="1161"/>
      <c r="H46" s="1163"/>
      <c r="I46" s="1215">
        <f t="shared" si="1"/>
        <v>0</v>
      </c>
      <c r="L46" s="1215">
        <f t="shared" si="2"/>
        <v>0</v>
      </c>
      <c r="O46" s="1215">
        <f t="shared" si="3"/>
        <v>0</v>
      </c>
      <c r="R46" s="1215">
        <f t="shared" si="4"/>
        <v>0</v>
      </c>
      <c r="U46" s="1215">
        <f t="shared" si="5"/>
        <v>0</v>
      </c>
    </row>
    <row r="47" spans="1:21" x14ac:dyDescent="0.2">
      <c r="A47" s="6741" t="s">
        <v>441</v>
      </c>
      <c r="B47" s="6729" t="s">
        <v>6</v>
      </c>
      <c r="C47" s="2737" t="s">
        <v>214</v>
      </c>
      <c r="D47" s="1161">
        <v>3</v>
      </c>
      <c r="E47" s="1163"/>
      <c r="F47" s="1215">
        <f t="shared" si="0"/>
        <v>3</v>
      </c>
      <c r="G47" s="1161">
        <v>3</v>
      </c>
      <c r="H47" s="1163"/>
      <c r="I47" s="1215">
        <f t="shared" si="1"/>
        <v>3</v>
      </c>
      <c r="J47" s="1161">
        <v>23</v>
      </c>
      <c r="K47" s="1163">
        <v>4</v>
      </c>
      <c r="L47" s="1215">
        <f t="shared" si="2"/>
        <v>27</v>
      </c>
      <c r="M47" s="1161">
        <v>25</v>
      </c>
      <c r="N47" s="1163">
        <v>4</v>
      </c>
      <c r="O47" s="1215">
        <f t="shared" si="3"/>
        <v>29</v>
      </c>
      <c r="P47" s="1161">
        <v>1</v>
      </c>
      <c r="Q47" s="1163"/>
      <c r="R47" s="1215">
        <f t="shared" si="4"/>
        <v>1</v>
      </c>
      <c r="S47" s="1161">
        <v>1</v>
      </c>
      <c r="T47" s="1163"/>
      <c r="U47" s="1215">
        <f t="shared" si="5"/>
        <v>1</v>
      </c>
    </row>
    <row r="48" spans="1:21" x14ac:dyDescent="0.2">
      <c r="A48" s="6741" t="s">
        <v>441</v>
      </c>
      <c r="B48" s="6729" t="s">
        <v>6</v>
      </c>
      <c r="C48" s="2737" t="s">
        <v>184</v>
      </c>
      <c r="D48" s="1161">
        <v>1</v>
      </c>
      <c r="E48" s="1163">
        <v>1</v>
      </c>
      <c r="F48" s="1215">
        <f t="shared" si="0"/>
        <v>2</v>
      </c>
      <c r="G48" s="1161">
        <v>1</v>
      </c>
      <c r="H48" s="1163">
        <v>1</v>
      </c>
      <c r="I48" s="1215">
        <f t="shared" si="1"/>
        <v>2</v>
      </c>
      <c r="J48" s="1161">
        <v>3</v>
      </c>
      <c r="K48" s="1163">
        <v>4</v>
      </c>
      <c r="L48" s="1215">
        <f t="shared" si="2"/>
        <v>7</v>
      </c>
      <c r="M48" s="1161">
        <v>3</v>
      </c>
      <c r="N48" s="1163">
        <v>5</v>
      </c>
      <c r="O48" s="1215">
        <f t="shared" si="3"/>
        <v>8</v>
      </c>
      <c r="P48" s="1161"/>
      <c r="Q48" s="1163"/>
      <c r="R48" s="1215">
        <f t="shared" si="4"/>
        <v>0</v>
      </c>
      <c r="S48" s="1161"/>
      <c r="T48" s="1163"/>
      <c r="U48" s="1215">
        <f t="shared" si="5"/>
        <v>0</v>
      </c>
    </row>
    <row r="49" spans="1:21" x14ac:dyDescent="0.2">
      <c r="A49" s="6741"/>
      <c r="B49" s="6729"/>
      <c r="C49" s="2738" t="s">
        <v>6</v>
      </c>
      <c r="D49" s="4669">
        <f>SUM(D37:D48)</f>
        <v>12</v>
      </c>
      <c r="E49" s="4670">
        <f>SUM(E37:E48)</f>
        <v>9</v>
      </c>
      <c r="F49" s="2739">
        <f t="shared" si="0"/>
        <v>21</v>
      </c>
      <c r="G49" s="4669">
        <f>SUM(G37:G48)</f>
        <v>12</v>
      </c>
      <c r="H49" s="4670">
        <f>SUM(H37:H48)</f>
        <v>9</v>
      </c>
      <c r="I49" s="2739">
        <f t="shared" si="1"/>
        <v>21</v>
      </c>
      <c r="J49" s="4669">
        <f>SUM(J37:J48)</f>
        <v>47</v>
      </c>
      <c r="K49" s="4670">
        <f>SUM(K37:K48)</f>
        <v>18</v>
      </c>
      <c r="L49" s="2739">
        <f t="shared" si="2"/>
        <v>65</v>
      </c>
      <c r="M49" s="4669">
        <f>SUM(M37:M48)</f>
        <v>50</v>
      </c>
      <c r="N49" s="4670">
        <f>SUM(N37:N48)</f>
        <v>22</v>
      </c>
      <c r="O49" s="2739">
        <f t="shared" si="3"/>
        <v>72</v>
      </c>
      <c r="P49" s="4669">
        <f>SUM(P37:P48)</f>
        <v>3</v>
      </c>
      <c r="Q49" s="4670">
        <f>SUM(Q37:Q48)</f>
        <v>2</v>
      </c>
      <c r="R49" s="2739">
        <f t="shared" si="4"/>
        <v>5</v>
      </c>
      <c r="S49" s="4669">
        <f>SUM(S37:S48)</f>
        <v>3</v>
      </c>
      <c r="T49" s="4670">
        <f>SUM(T37:T48)</f>
        <v>2</v>
      </c>
      <c r="U49" s="2739">
        <f t="shared" si="5"/>
        <v>5</v>
      </c>
    </row>
    <row r="50" spans="1:21" x14ac:dyDescent="0.2">
      <c r="A50" s="6741" t="s">
        <v>441</v>
      </c>
      <c r="B50" s="6729" t="s">
        <v>11</v>
      </c>
      <c r="C50" s="2737" t="s">
        <v>202</v>
      </c>
      <c r="D50" s="1161">
        <v>4</v>
      </c>
      <c r="E50" s="1163"/>
      <c r="F50" s="1215">
        <f t="shared" si="0"/>
        <v>4</v>
      </c>
      <c r="G50" s="1161">
        <v>4</v>
      </c>
      <c r="H50" s="1163"/>
      <c r="I50" s="1215">
        <f t="shared" si="1"/>
        <v>4</v>
      </c>
      <c r="J50" s="1161">
        <v>5</v>
      </c>
      <c r="K50" s="1163"/>
      <c r="L50" s="1215">
        <f t="shared" si="2"/>
        <v>5</v>
      </c>
      <c r="M50" s="1161">
        <v>7</v>
      </c>
      <c r="N50" s="1163"/>
      <c r="O50" s="1215">
        <f t="shared" si="3"/>
        <v>7</v>
      </c>
      <c r="P50" s="1161">
        <v>2</v>
      </c>
      <c r="Q50" s="1163">
        <v>1</v>
      </c>
      <c r="R50" s="1215">
        <f t="shared" si="4"/>
        <v>3</v>
      </c>
      <c r="S50" s="1161">
        <v>2</v>
      </c>
      <c r="T50" s="1163">
        <v>1</v>
      </c>
      <c r="U50" s="1215">
        <f t="shared" si="5"/>
        <v>3</v>
      </c>
    </row>
    <row r="51" spans="1:21" x14ac:dyDescent="0.2">
      <c r="A51" s="6741" t="s">
        <v>441</v>
      </c>
      <c r="B51" s="6729" t="s">
        <v>11</v>
      </c>
      <c r="C51" s="2737" t="s">
        <v>203</v>
      </c>
      <c r="D51" s="1161">
        <v>1</v>
      </c>
      <c r="E51" s="1163"/>
      <c r="F51" s="1215">
        <f t="shared" si="0"/>
        <v>1</v>
      </c>
      <c r="G51" s="1161">
        <v>1</v>
      </c>
      <c r="H51" s="1163"/>
      <c r="I51" s="1215">
        <f t="shared" si="1"/>
        <v>1</v>
      </c>
      <c r="J51" s="1161">
        <v>2</v>
      </c>
      <c r="K51" s="1163"/>
      <c r="L51" s="1215">
        <f t="shared" si="2"/>
        <v>2</v>
      </c>
      <c r="M51" s="1161">
        <v>2</v>
      </c>
      <c r="N51" s="1163"/>
      <c r="O51" s="1215">
        <f t="shared" si="3"/>
        <v>2</v>
      </c>
      <c r="P51" s="1161"/>
      <c r="Q51" s="1163"/>
      <c r="R51" s="1215">
        <f t="shared" si="4"/>
        <v>0</v>
      </c>
      <c r="S51" s="1161"/>
      <c r="T51" s="1163"/>
      <c r="U51" s="1215">
        <f t="shared" si="5"/>
        <v>0</v>
      </c>
    </row>
    <row r="52" spans="1:21" x14ac:dyDescent="0.2">
      <c r="A52" s="6741" t="s">
        <v>441</v>
      </c>
      <c r="B52" s="6729" t="s">
        <v>11</v>
      </c>
      <c r="C52" s="2737" t="s">
        <v>204</v>
      </c>
      <c r="D52" s="1161">
        <v>1</v>
      </c>
      <c r="E52" s="1163"/>
      <c r="F52" s="1215">
        <f t="shared" si="0"/>
        <v>1</v>
      </c>
      <c r="G52" s="1161">
        <v>1</v>
      </c>
      <c r="H52" s="1163"/>
      <c r="I52" s="1215">
        <f t="shared" si="1"/>
        <v>1</v>
      </c>
      <c r="J52" s="1161"/>
      <c r="K52" s="1163"/>
      <c r="L52" s="1215">
        <f t="shared" si="2"/>
        <v>0</v>
      </c>
      <c r="M52" s="1161"/>
      <c r="N52" s="1163"/>
      <c r="O52" s="1215">
        <f t="shared" si="3"/>
        <v>0</v>
      </c>
      <c r="P52" s="1161"/>
      <c r="Q52" s="1163"/>
      <c r="R52" s="1215">
        <f t="shared" si="4"/>
        <v>0</v>
      </c>
      <c r="S52" s="1161"/>
      <c r="T52" s="1163"/>
      <c r="U52" s="1215">
        <f t="shared" si="5"/>
        <v>0</v>
      </c>
    </row>
    <row r="53" spans="1:21" x14ac:dyDescent="0.2">
      <c r="A53" s="6741" t="s">
        <v>441</v>
      </c>
      <c r="B53" s="6729" t="s">
        <v>11</v>
      </c>
      <c r="C53" s="2737" t="s">
        <v>1388</v>
      </c>
      <c r="D53" s="1161">
        <v>3</v>
      </c>
      <c r="E53" s="1163">
        <v>1</v>
      </c>
      <c r="F53" s="1215">
        <f t="shared" si="0"/>
        <v>4</v>
      </c>
      <c r="G53" s="1161">
        <v>3</v>
      </c>
      <c r="H53" s="1163">
        <v>1</v>
      </c>
      <c r="I53" s="1215">
        <f t="shared" si="1"/>
        <v>4</v>
      </c>
      <c r="J53" s="1161">
        <v>5</v>
      </c>
      <c r="K53" s="1163">
        <v>1</v>
      </c>
      <c r="L53" s="1215">
        <f t="shared" si="2"/>
        <v>6</v>
      </c>
      <c r="M53" s="1161">
        <v>6</v>
      </c>
      <c r="N53" s="1163">
        <v>2</v>
      </c>
      <c r="O53" s="1215">
        <f t="shared" si="3"/>
        <v>8</v>
      </c>
      <c r="P53" s="1161"/>
      <c r="Q53" s="1163"/>
      <c r="R53" s="1215">
        <f t="shared" si="4"/>
        <v>0</v>
      </c>
      <c r="S53" s="1161"/>
      <c r="T53" s="1163"/>
      <c r="U53" s="1215">
        <f t="shared" si="5"/>
        <v>0</v>
      </c>
    </row>
    <row r="54" spans="1:21" ht="15" customHeight="1" x14ac:dyDescent="0.2">
      <c r="A54" s="6741" t="s">
        <v>441</v>
      </c>
      <c r="B54" s="6729" t="s">
        <v>11</v>
      </c>
      <c r="C54" s="2737" t="s">
        <v>207</v>
      </c>
      <c r="D54" s="1161"/>
      <c r="E54" s="1163"/>
      <c r="F54" s="1215">
        <f t="shared" si="0"/>
        <v>0</v>
      </c>
      <c r="G54" s="1161"/>
      <c r="H54" s="1163"/>
      <c r="I54" s="1215">
        <f t="shared" si="1"/>
        <v>0</v>
      </c>
      <c r="J54" s="1161"/>
      <c r="K54" s="1163">
        <v>1</v>
      </c>
      <c r="L54" s="1215">
        <f t="shared" si="2"/>
        <v>1</v>
      </c>
      <c r="M54" s="1161"/>
      <c r="N54" s="1163">
        <v>1</v>
      </c>
      <c r="O54" s="1215">
        <f t="shared" si="3"/>
        <v>1</v>
      </c>
      <c r="P54" s="1161"/>
      <c r="Q54" s="1163"/>
      <c r="R54" s="1215">
        <f t="shared" si="4"/>
        <v>0</v>
      </c>
      <c r="S54" s="1161"/>
      <c r="T54" s="1163"/>
      <c r="U54" s="1215">
        <f t="shared" si="5"/>
        <v>0</v>
      </c>
    </row>
    <row r="55" spans="1:21" ht="15" customHeight="1" x14ac:dyDescent="0.2">
      <c r="A55" s="6741" t="s">
        <v>441</v>
      </c>
      <c r="B55" s="6729" t="s">
        <v>11</v>
      </c>
      <c r="C55" s="2737" t="s">
        <v>205</v>
      </c>
      <c r="D55" s="1161"/>
      <c r="E55" s="1163"/>
      <c r="F55" s="1215">
        <f t="shared" si="0"/>
        <v>0</v>
      </c>
      <c r="G55" s="1161"/>
      <c r="H55" s="1163"/>
      <c r="I55" s="1215">
        <f t="shared" si="1"/>
        <v>0</v>
      </c>
      <c r="J55" s="1161"/>
      <c r="K55" s="1163"/>
      <c r="L55" s="1215">
        <f t="shared" si="2"/>
        <v>0</v>
      </c>
      <c r="M55" s="1161"/>
      <c r="N55" s="1163"/>
      <c r="O55" s="1215">
        <f t="shared" si="3"/>
        <v>0</v>
      </c>
      <c r="P55" s="1161"/>
      <c r="Q55" s="1163"/>
      <c r="R55" s="1215">
        <f t="shared" si="4"/>
        <v>0</v>
      </c>
      <c r="S55" s="1161"/>
      <c r="T55" s="1163"/>
      <c r="U55" s="1215">
        <f t="shared" si="5"/>
        <v>0</v>
      </c>
    </row>
    <row r="56" spans="1:21" x14ac:dyDescent="0.2">
      <c r="A56" s="6741"/>
      <c r="B56" s="6326"/>
      <c r="C56" s="2740" t="s">
        <v>11</v>
      </c>
      <c r="D56" s="4671">
        <f>SUM(D50:D55)</f>
        <v>9</v>
      </c>
      <c r="E56" s="4672">
        <f>SUM(E50:E55)</f>
        <v>1</v>
      </c>
      <c r="F56" s="2741">
        <f t="shared" si="0"/>
        <v>10</v>
      </c>
      <c r="G56" s="4671">
        <f>SUM(G50:G55)</f>
        <v>9</v>
      </c>
      <c r="H56" s="4672">
        <f>SUM(H50:H55)</f>
        <v>1</v>
      </c>
      <c r="I56" s="2741">
        <f t="shared" si="1"/>
        <v>10</v>
      </c>
      <c r="J56" s="4671">
        <f>SUM(J50:J55)</f>
        <v>12</v>
      </c>
      <c r="K56" s="4672">
        <f>SUM(K50:K55)</f>
        <v>2</v>
      </c>
      <c r="L56" s="2741">
        <f t="shared" si="2"/>
        <v>14</v>
      </c>
      <c r="M56" s="4671">
        <f>SUM(M50:M55)</f>
        <v>15</v>
      </c>
      <c r="N56" s="4672">
        <f>SUM(N50:N55)</f>
        <v>3</v>
      </c>
      <c r="O56" s="2741">
        <f t="shared" si="3"/>
        <v>18</v>
      </c>
      <c r="P56" s="4671">
        <f>SUM(P50:P55)</f>
        <v>2</v>
      </c>
      <c r="Q56" s="4672">
        <f>SUM(Q50:Q55)</f>
        <v>1</v>
      </c>
      <c r="R56" s="2741">
        <f t="shared" si="4"/>
        <v>3</v>
      </c>
      <c r="S56" s="4671">
        <f>SUM(S50:S55)</f>
        <v>2</v>
      </c>
      <c r="T56" s="4672">
        <f>SUM(T50:T55)</f>
        <v>1</v>
      </c>
      <c r="U56" s="2741">
        <f t="shared" si="5"/>
        <v>3</v>
      </c>
    </row>
    <row r="57" spans="1:21" x14ac:dyDescent="0.2">
      <c r="A57" s="6742"/>
      <c r="B57" s="6736" t="s">
        <v>444</v>
      </c>
      <c r="C57" s="6737"/>
      <c r="D57" s="4675">
        <f>D36+D49+D56</f>
        <v>22</v>
      </c>
      <c r="E57" s="4676">
        <f>E36+E49+E56</f>
        <v>11</v>
      </c>
      <c r="F57" s="4069">
        <f t="shared" si="0"/>
        <v>33</v>
      </c>
      <c r="G57" s="4675">
        <f>G36+G49+G56</f>
        <v>22</v>
      </c>
      <c r="H57" s="4676">
        <f>H36+H49+H56</f>
        <v>11</v>
      </c>
      <c r="I57" s="4069">
        <f t="shared" si="1"/>
        <v>33</v>
      </c>
      <c r="J57" s="4675">
        <f>J36+J49+J56</f>
        <v>61</v>
      </c>
      <c r="K57" s="4676">
        <f>K36+K49+K56</f>
        <v>22</v>
      </c>
      <c r="L57" s="4069">
        <f t="shared" si="2"/>
        <v>83</v>
      </c>
      <c r="M57" s="4675">
        <f>M36+M49+M56</f>
        <v>68</v>
      </c>
      <c r="N57" s="4676">
        <f>N36+N49+N56</f>
        <v>27</v>
      </c>
      <c r="O57" s="4069">
        <f t="shared" si="3"/>
        <v>95</v>
      </c>
      <c r="P57" s="4675">
        <f>P36+P49+P56</f>
        <v>5</v>
      </c>
      <c r="Q57" s="4676">
        <f>Q36+Q49+Q56</f>
        <v>3</v>
      </c>
      <c r="R57" s="4069">
        <f t="shared" si="4"/>
        <v>8</v>
      </c>
      <c r="S57" s="4675">
        <f>S36+S49+S56</f>
        <v>5</v>
      </c>
      <c r="T57" s="4676">
        <f>T36+T49+T56</f>
        <v>3</v>
      </c>
      <c r="U57" s="4069">
        <f t="shared" si="5"/>
        <v>8</v>
      </c>
    </row>
    <row r="58" spans="1:21" x14ac:dyDescent="0.2">
      <c r="A58" s="6724" t="s">
        <v>10</v>
      </c>
      <c r="B58" s="6729" t="s">
        <v>6</v>
      </c>
      <c r="C58" s="1294" t="s">
        <v>181</v>
      </c>
      <c r="D58" s="1181">
        <v>2</v>
      </c>
      <c r="E58" s="1183"/>
      <c r="F58" s="2742">
        <f t="shared" si="0"/>
        <v>2</v>
      </c>
      <c r="G58" s="1181">
        <v>2</v>
      </c>
      <c r="H58" s="1183"/>
      <c r="I58" s="2742">
        <f t="shared" si="1"/>
        <v>2</v>
      </c>
      <c r="J58" s="1181"/>
      <c r="K58" s="1183"/>
      <c r="L58" s="2742">
        <f t="shared" si="2"/>
        <v>0</v>
      </c>
      <c r="M58" s="1181"/>
      <c r="N58" s="1183"/>
      <c r="O58" s="2742">
        <f t="shared" si="3"/>
        <v>0</v>
      </c>
      <c r="P58" s="1181"/>
      <c r="Q58" s="1183"/>
      <c r="R58" s="2742">
        <f t="shared" si="4"/>
        <v>0</v>
      </c>
      <c r="S58" s="1181"/>
      <c r="T58" s="1183"/>
      <c r="U58" s="2742">
        <f t="shared" si="5"/>
        <v>0</v>
      </c>
    </row>
    <row r="59" spans="1:21" x14ac:dyDescent="0.2">
      <c r="A59" s="6725" t="s">
        <v>442</v>
      </c>
      <c r="B59" s="6729" t="s">
        <v>6</v>
      </c>
      <c r="C59" s="2737" t="s">
        <v>224</v>
      </c>
      <c r="D59" s="1161">
        <v>6</v>
      </c>
      <c r="E59" s="1163">
        <v>2</v>
      </c>
      <c r="F59" s="1215">
        <f t="shared" si="0"/>
        <v>8</v>
      </c>
      <c r="G59" s="1161">
        <v>6</v>
      </c>
      <c r="H59" s="1163">
        <v>2</v>
      </c>
      <c r="I59" s="1215">
        <f t="shared" si="1"/>
        <v>8</v>
      </c>
      <c r="J59" s="1161">
        <v>9</v>
      </c>
      <c r="K59" s="1163">
        <v>6</v>
      </c>
      <c r="L59" s="1215">
        <f t="shared" si="2"/>
        <v>15</v>
      </c>
      <c r="M59" s="1161">
        <v>11</v>
      </c>
      <c r="N59" s="1163">
        <v>6</v>
      </c>
      <c r="O59" s="1215">
        <f t="shared" si="3"/>
        <v>17</v>
      </c>
      <c r="P59" s="1161">
        <v>2</v>
      </c>
      <c r="Q59" s="1163">
        <v>4</v>
      </c>
      <c r="R59" s="1215">
        <f t="shared" si="4"/>
        <v>6</v>
      </c>
      <c r="S59" s="1161">
        <v>2</v>
      </c>
      <c r="T59" s="1163">
        <v>4</v>
      </c>
      <c r="U59" s="1215">
        <f t="shared" si="5"/>
        <v>6</v>
      </c>
    </row>
    <row r="60" spans="1:21" x14ac:dyDescent="0.2">
      <c r="A60" s="6725" t="s">
        <v>442</v>
      </c>
      <c r="B60" s="6729" t="s">
        <v>6</v>
      </c>
      <c r="C60" s="2737" t="s">
        <v>183</v>
      </c>
      <c r="D60" s="1161"/>
      <c r="E60" s="1163">
        <v>2</v>
      </c>
      <c r="F60" s="1215">
        <f t="shared" si="0"/>
        <v>2</v>
      </c>
      <c r="G60" s="1161"/>
      <c r="H60" s="1163">
        <v>2</v>
      </c>
      <c r="I60" s="1215">
        <f t="shared" si="1"/>
        <v>2</v>
      </c>
      <c r="J60" s="1161">
        <v>1</v>
      </c>
      <c r="K60" s="1163">
        <v>4</v>
      </c>
      <c r="L60" s="1215">
        <f t="shared" si="2"/>
        <v>5</v>
      </c>
      <c r="M60" s="1161">
        <v>1</v>
      </c>
      <c r="N60" s="1163">
        <v>4</v>
      </c>
      <c r="O60" s="1215">
        <f t="shared" si="3"/>
        <v>5</v>
      </c>
      <c r="P60" s="1161">
        <v>1</v>
      </c>
      <c r="Q60" s="1163">
        <v>0</v>
      </c>
      <c r="R60" s="1215">
        <f t="shared" si="4"/>
        <v>1</v>
      </c>
      <c r="S60" s="1161">
        <v>1</v>
      </c>
      <c r="T60" s="1163">
        <v>0</v>
      </c>
      <c r="U60" s="1215">
        <f t="shared" si="5"/>
        <v>1</v>
      </c>
    </row>
    <row r="61" spans="1:21" x14ac:dyDescent="0.2">
      <c r="A61" s="6725" t="s">
        <v>442</v>
      </c>
      <c r="B61" s="6729" t="s">
        <v>6</v>
      </c>
      <c r="C61" s="2737" t="s">
        <v>1361</v>
      </c>
      <c r="D61" s="1161"/>
      <c r="E61" s="1163">
        <v>1</v>
      </c>
      <c r="F61" s="1215">
        <f t="shared" si="0"/>
        <v>1</v>
      </c>
      <c r="G61" s="1161"/>
      <c r="H61" s="1163">
        <v>1</v>
      </c>
      <c r="I61" s="1215">
        <f t="shared" si="1"/>
        <v>1</v>
      </c>
      <c r="J61" s="1161">
        <v>4</v>
      </c>
      <c r="K61" s="1163">
        <v>1</v>
      </c>
      <c r="L61" s="1215">
        <f t="shared" si="2"/>
        <v>5</v>
      </c>
      <c r="M61" s="1161">
        <v>3</v>
      </c>
      <c r="N61" s="1163">
        <v>1</v>
      </c>
      <c r="O61" s="1215">
        <f t="shared" si="3"/>
        <v>4</v>
      </c>
      <c r="P61" s="1161">
        <v>1</v>
      </c>
      <c r="Q61" s="1163">
        <v>0</v>
      </c>
      <c r="R61" s="1215">
        <f t="shared" si="4"/>
        <v>1</v>
      </c>
      <c r="S61" s="1161">
        <v>1</v>
      </c>
      <c r="T61" s="1163">
        <v>0</v>
      </c>
      <c r="U61" s="1215">
        <f t="shared" si="5"/>
        <v>1</v>
      </c>
    </row>
    <row r="62" spans="1:21" x14ac:dyDescent="0.2">
      <c r="A62" s="6725" t="s">
        <v>442</v>
      </c>
      <c r="B62" s="6729" t="s">
        <v>6</v>
      </c>
      <c r="C62" s="2737" t="s">
        <v>822</v>
      </c>
      <c r="D62" s="1161">
        <v>2</v>
      </c>
      <c r="E62" s="1163">
        <v>7</v>
      </c>
      <c r="F62" s="1215">
        <f t="shared" si="0"/>
        <v>9</v>
      </c>
      <c r="G62" s="1161">
        <v>2</v>
      </c>
      <c r="H62" s="1163">
        <v>7</v>
      </c>
      <c r="I62" s="1215">
        <f t="shared" si="1"/>
        <v>9</v>
      </c>
      <c r="J62" s="1161">
        <v>41</v>
      </c>
      <c r="K62" s="1163">
        <v>10</v>
      </c>
      <c r="L62" s="1215">
        <f t="shared" si="2"/>
        <v>51</v>
      </c>
      <c r="M62" s="1161">
        <v>41</v>
      </c>
      <c r="N62" s="1163">
        <v>10</v>
      </c>
      <c r="O62" s="1215">
        <f t="shared" si="3"/>
        <v>51</v>
      </c>
      <c r="P62" s="1161">
        <v>10</v>
      </c>
      <c r="Q62" s="1163">
        <v>5</v>
      </c>
      <c r="R62" s="1215">
        <f t="shared" si="4"/>
        <v>15</v>
      </c>
      <c r="S62" s="1161">
        <v>10</v>
      </c>
      <c r="T62" s="1163">
        <v>5</v>
      </c>
      <c r="U62" s="1215">
        <f t="shared" si="5"/>
        <v>15</v>
      </c>
    </row>
    <row r="63" spans="1:21" x14ac:dyDescent="0.2">
      <c r="A63" s="6725" t="s">
        <v>442</v>
      </c>
      <c r="B63" s="6729" t="s">
        <v>6</v>
      </c>
      <c r="C63" s="2737" t="s">
        <v>184</v>
      </c>
      <c r="D63" s="1161">
        <v>3</v>
      </c>
      <c r="E63" s="1163">
        <v>1</v>
      </c>
      <c r="F63" s="1215">
        <f t="shared" si="0"/>
        <v>4</v>
      </c>
      <c r="G63" s="1161">
        <v>3</v>
      </c>
      <c r="H63" s="1163">
        <v>1</v>
      </c>
      <c r="I63" s="1215">
        <f t="shared" si="1"/>
        <v>4</v>
      </c>
      <c r="J63" s="1161">
        <v>6</v>
      </c>
      <c r="K63" s="1163">
        <v>7</v>
      </c>
      <c r="L63" s="1215">
        <f t="shared" si="2"/>
        <v>13</v>
      </c>
      <c r="M63" s="1161">
        <v>6</v>
      </c>
      <c r="N63" s="1163">
        <v>7</v>
      </c>
      <c r="O63" s="1215">
        <f t="shared" si="3"/>
        <v>13</v>
      </c>
      <c r="P63" s="1161"/>
      <c r="Q63" s="1163"/>
      <c r="R63" s="1215">
        <f t="shared" si="4"/>
        <v>0</v>
      </c>
      <c r="S63" s="1161"/>
      <c r="T63" s="1163"/>
      <c r="U63" s="1215">
        <f t="shared" si="5"/>
        <v>0</v>
      </c>
    </row>
    <row r="64" spans="1:21" x14ac:dyDescent="0.2">
      <c r="A64" s="6725"/>
      <c r="B64" s="6729"/>
      <c r="C64" s="2738" t="s">
        <v>6</v>
      </c>
      <c r="D64" s="4669">
        <f>SUM(D58:D63)</f>
        <v>13</v>
      </c>
      <c r="E64" s="4670">
        <f>SUM(E58:E63)</f>
        <v>13</v>
      </c>
      <c r="F64" s="2739">
        <f t="shared" si="0"/>
        <v>26</v>
      </c>
      <c r="G64" s="4669">
        <f>SUM(G58:G63)</f>
        <v>13</v>
      </c>
      <c r="H64" s="4670">
        <f>SUM(H58:H63)</f>
        <v>13</v>
      </c>
      <c r="I64" s="2739">
        <f t="shared" si="1"/>
        <v>26</v>
      </c>
      <c r="J64" s="4669">
        <f>SUM(J58:J63)</f>
        <v>61</v>
      </c>
      <c r="K64" s="4670">
        <f>SUM(K58:K63)</f>
        <v>28</v>
      </c>
      <c r="L64" s="2739">
        <f t="shared" si="2"/>
        <v>89</v>
      </c>
      <c r="M64" s="4669">
        <f>SUM(M58:M63)</f>
        <v>62</v>
      </c>
      <c r="N64" s="4670">
        <f>SUM(N58:N63)</f>
        <v>28</v>
      </c>
      <c r="O64" s="2739">
        <f t="shared" si="3"/>
        <v>90</v>
      </c>
      <c r="P64" s="4669">
        <f>SUM(P58:P63)</f>
        <v>14</v>
      </c>
      <c r="Q64" s="4670">
        <f>SUM(Q58:Q63)</f>
        <v>9</v>
      </c>
      <c r="R64" s="2739">
        <f t="shared" si="4"/>
        <v>23</v>
      </c>
      <c r="S64" s="4669">
        <f>SUM(S58:S63)</f>
        <v>14</v>
      </c>
      <c r="T64" s="4670">
        <f>SUM(T58:T63)</f>
        <v>9</v>
      </c>
      <c r="U64" s="2739">
        <f t="shared" si="5"/>
        <v>23</v>
      </c>
    </row>
    <row r="65" spans="1:21" x14ac:dyDescent="0.2">
      <c r="A65" s="6725" t="s">
        <v>442</v>
      </c>
      <c r="B65" s="6729" t="s">
        <v>11</v>
      </c>
      <c r="C65" s="2737" t="s">
        <v>221</v>
      </c>
      <c r="D65" s="1161"/>
      <c r="E65" s="1163">
        <v>2</v>
      </c>
      <c r="F65" s="1215">
        <f t="shared" si="0"/>
        <v>2</v>
      </c>
      <c r="G65" s="1161"/>
      <c r="H65" s="1163">
        <v>2</v>
      </c>
      <c r="I65" s="1215">
        <f t="shared" si="1"/>
        <v>2</v>
      </c>
      <c r="J65" s="1161">
        <v>1</v>
      </c>
      <c r="K65" s="1163">
        <v>1</v>
      </c>
      <c r="L65" s="1215">
        <f t="shared" si="2"/>
        <v>2</v>
      </c>
      <c r="M65" s="1161">
        <v>1</v>
      </c>
      <c r="N65" s="1163">
        <v>2</v>
      </c>
      <c r="O65" s="1215">
        <f t="shared" si="3"/>
        <v>3</v>
      </c>
      <c r="P65" s="1161">
        <v>2</v>
      </c>
      <c r="Q65" s="1163">
        <v>1</v>
      </c>
      <c r="R65" s="1215">
        <f t="shared" si="4"/>
        <v>3</v>
      </c>
      <c r="S65" s="1161">
        <v>2</v>
      </c>
      <c r="T65" s="1163">
        <v>1</v>
      </c>
      <c r="U65" s="1215">
        <f t="shared" si="5"/>
        <v>3</v>
      </c>
    </row>
    <row r="66" spans="1:21" x14ac:dyDescent="0.2">
      <c r="A66" s="6725" t="s">
        <v>442</v>
      </c>
      <c r="B66" s="6729" t="s">
        <v>11</v>
      </c>
      <c r="C66" s="2737" t="s">
        <v>202</v>
      </c>
      <c r="D66" s="1161">
        <v>8</v>
      </c>
      <c r="E66" s="1163">
        <v>2</v>
      </c>
      <c r="F66" s="1215">
        <f t="shared" si="0"/>
        <v>10</v>
      </c>
      <c r="G66" s="1161">
        <v>8</v>
      </c>
      <c r="H66" s="1163">
        <v>2</v>
      </c>
      <c r="I66" s="1215">
        <f t="shared" si="1"/>
        <v>10</v>
      </c>
      <c r="J66" s="1161">
        <v>4</v>
      </c>
      <c r="K66" s="1163">
        <v>1</v>
      </c>
      <c r="L66" s="1215">
        <f t="shared" si="2"/>
        <v>5</v>
      </c>
      <c r="M66" s="1161">
        <v>7</v>
      </c>
      <c r="N66" s="1163">
        <v>2</v>
      </c>
      <c r="O66" s="1215">
        <f t="shared" si="3"/>
        <v>9</v>
      </c>
      <c r="P66" s="1161">
        <v>1</v>
      </c>
      <c r="Q66" s="1163">
        <v>1</v>
      </c>
      <c r="R66" s="1215">
        <f t="shared" si="4"/>
        <v>2</v>
      </c>
      <c r="S66" s="1161">
        <v>1</v>
      </c>
      <c r="T66" s="1163">
        <v>1</v>
      </c>
      <c r="U66" s="1215">
        <f t="shared" si="5"/>
        <v>2</v>
      </c>
    </row>
    <row r="67" spans="1:21" x14ac:dyDescent="0.2">
      <c r="A67" s="6725" t="s">
        <v>442</v>
      </c>
      <c r="B67" s="6729" t="s">
        <v>11</v>
      </c>
      <c r="C67" s="2737" t="s">
        <v>217</v>
      </c>
      <c r="D67" s="1161">
        <v>11</v>
      </c>
      <c r="E67" s="1163">
        <v>1</v>
      </c>
      <c r="F67" s="1215">
        <f t="shared" si="0"/>
        <v>12</v>
      </c>
      <c r="G67" s="1161">
        <v>11</v>
      </c>
      <c r="H67" s="1163">
        <v>1</v>
      </c>
      <c r="I67" s="1215">
        <f t="shared" si="1"/>
        <v>12</v>
      </c>
      <c r="J67" s="1161"/>
      <c r="K67" s="1163"/>
      <c r="L67" s="1215">
        <f t="shared" si="2"/>
        <v>0</v>
      </c>
      <c r="M67" s="1161">
        <v>5</v>
      </c>
      <c r="N67" s="1163">
        <v>1</v>
      </c>
      <c r="O67" s="1215">
        <f t="shared" si="3"/>
        <v>6</v>
      </c>
      <c r="P67" s="1161"/>
      <c r="Q67" s="1163"/>
      <c r="R67" s="1215">
        <f t="shared" si="4"/>
        <v>0</v>
      </c>
      <c r="S67" s="1161"/>
      <c r="T67" s="1163"/>
      <c r="U67" s="1215">
        <f t="shared" si="5"/>
        <v>0</v>
      </c>
    </row>
    <row r="68" spans="1:21" x14ac:dyDescent="0.2">
      <c r="A68" s="6725" t="s">
        <v>442</v>
      </c>
      <c r="B68" s="6729" t="s">
        <v>11</v>
      </c>
      <c r="C68" s="2737" t="s">
        <v>218</v>
      </c>
      <c r="D68" s="1161">
        <v>6</v>
      </c>
      <c r="E68" s="1163">
        <v>3</v>
      </c>
      <c r="F68" s="1215">
        <f t="shared" si="0"/>
        <v>9</v>
      </c>
      <c r="G68" s="1161">
        <v>6</v>
      </c>
      <c r="H68" s="1163">
        <v>3</v>
      </c>
      <c r="I68" s="1215">
        <f t="shared" si="1"/>
        <v>9</v>
      </c>
      <c r="J68" s="1161">
        <v>6</v>
      </c>
      <c r="K68" s="1163">
        <v>4</v>
      </c>
      <c r="L68" s="1215">
        <f t="shared" si="2"/>
        <v>10</v>
      </c>
      <c r="M68" s="1161">
        <v>12</v>
      </c>
      <c r="N68" s="1163">
        <v>7</v>
      </c>
      <c r="O68" s="1215">
        <f t="shared" si="3"/>
        <v>19</v>
      </c>
      <c r="P68" s="1161"/>
      <c r="Q68" s="1163"/>
      <c r="R68" s="1215">
        <f t="shared" si="4"/>
        <v>0</v>
      </c>
      <c r="S68" s="1161"/>
      <c r="T68" s="1163"/>
      <c r="U68" s="1215">
        <f t="shared" si="5"/>
        <v>0</v>
      </c>
    </row>
    <row r="69" spans="1:21" x14ac:dyDescent="0.2">
      <c r="A69" s="6725" t="s">
        <v>442</v>
      </c>
      <c r="B69" s="6729" t="s">
        <v>11</v>
      </c>
      <c r="C69" s="2737" t="s">
        <v>823</v>
      </c>
      <c r="D69" s="1161">
        <v>13</v>
      </c>
      <c r="E69" s="1163">
        <v>7</v>
      </c>
      <c r="F69" s="1215">
        <f t="shared" si="0"/>
        <v>20</v>
      </c>
      <c r="G69" s="1161">
        <v>13</v>
      </c>
      <c r="H69" s="1163">
        <v>7</v>
      </c>
      <c r="I69" s="1215">
        <f t="shared" si="1"/>
        <v>20</v>
      </c>
      <c r="J69" s="1161"/>
      <c r="K69" s="1163">
        <v>1</v>
      </c>
      <c r="L69" s="1215">
        <f t="shared" si="2"/>
        <v>1</v>
      </c>
      <c r="M69" s="1161">
        <v>4</v>
      </c>
      <c r="N69" s="1163">
        <v>3</v>
      </c>
      <c r="O69" s="1215">
        <f t="shared" si="3"/>
        <v>7</v>
      </c>
      <c r="P69" s="1161"/>
      <c r="Q69" s="1163"/>
      <c r="R69" s="1215">
        <f t="shared" si="4"/>
        <v>0</v>
      </c>
      <c r="S69" s="1161"/>
      <c r="T69" s="1163"/>
      <c r="U69" s="1215">
        <f t="shared" si="5"/>
        <v>0</v>
      </c>
    </row>
    <row r="70" spans="1:21" x14ac:dyDescent="0.2">
      <c r="A70" s="6725" t="s">
        <v>442</v>
      </c>
      <c r="B70" s="6729" t="s">
        <v>11</v>
      </c>
      <c r="C70" s="2737" t="s">
        <v>824</v>
      </c>
      <c r="D70" s="1161">
        <v>4</v>
      </c>
      <c r="E70" s="1163">
        <v>3</v>
      </c>
      <c r="F70" s="1215">
        <f t="shared" si="0"/>
        <v>7</v>
      </c>
      <c r="G70" s="1161">
        <v>4</v>
      </c>
      <c r="H70" s="1163">
        <v>3</v>
      </c>
      <c r="I70" s="1215">
        <f t="shared" si="1"/>
        <v>7</v>
      </c>
      <c r="J70" s="1161">
        <v>3</v>
      </c>
      <c r="K70" s="1163"/>
      <c r="L70" s="1215">
        <f t="shared" si="2"/>
        <v>3</v>
      </c>
      <c r="M70" s="1161">
        <v>4</v>
      </c>
      <c r="N70" s="1163">
        <v>1</v>
      </c>
      <c r="O70" s="1215">
        <f t="shared" si="3"/>
        <v>5</v>
      </c>
      <c r="P70" s="1161"/>
      <c r="Q70" s="1163"/>
      <c r="R70" s="1215">
        <f t="shared" si="4"/>
        <v>0</v>
      </c>
      <c r="S70" s="1161"/>
      <c r="T70" s="1163"/>
      <c r="U70" s="1215">
        <f t="shared" si="5"/>
        <v>0</v>
      </c>
    </row>
    <row r="71" spans="1:21" x14ac:dyDescent="0.2">
      <c r="A71" s="6725" t="s">
        <v>442</v>
      </c>
      <c r="B71" s="6729" t="s">
        <v>11</v>
      </c>
      <c r="C71" s="2737" t="s">
        <v>825</v>
      </c>
      <c r="D71" s="1161">
        <v>7</v>
      </c>
      <c r="E71" s="1163">
        <v>3</v>
      </c>
      <c r="F71" s="1215">
        <f t="shared" si="0"/>
        <v>10</v>
      </c>
      <c r="G71" s="1161">
        <v>7</v>
      </c>
      <c r="H71" s="1163">
        <v>3</v>
      </c>
      <c r="I71" s="1215">
        <f t="shared" si="1"/>
        <v>10</v>
      </c>
      <c r="J71" s="1161">
        <v>9</v>
      </c>
      <c r="K71" s="1163">
        <v>4</v>
      </c>
      <c r="L71" s="1215">
        <f t="shared" si="2"/>
        <v>13</v>
      </c>
      <c r="M71" s="1161">
        <v>9</v>
      </c>
      <c r="N71" s="1163">
        <v>5</v>
      </c>
      <c r="O71" s="1215">
        <f t="shared" si="3"/>
        <v>14</v>
      </c>
      <c r="P71" s="1161">
        <v>3</v>
      </c>
      <c r="Q71" s="1163"/>
      <c r="R71" s="1215">
        <f t="shared" si="4"/>
        <v>3</v>
      </c>
      <c r="S71" s="1161">
        <v>3</v>
      </c>
      <c r="T71" s="1163"/>
      <c r="U71" s="1215">
        <f t="shared" si="5"/>
        <v>3</v>
      </c>
    </row>
    <row r="72" spans="1:21" x14ac:dyDescent="0.2">
      <c r="A72" s="6725" t="s">
        <v>442</v>
      </c>
      <c r="B72" s="6729" t="s">
        <v>11</v>
      </c>
      <c r="C72" s="2737" t="s">
        <v>1362</v>
      </c>
      <c r="D72" s="1161">
        <v>4</v>
      </c>
      <c r="E72" s="1163">
        <v>2</v>
      </c>
      <c r="F72" s="1215">
        <f t="shared" ref="F72:F103" si="6">SUM(D72:E72)</f>
        <v>6</v>
      </c>
      <c r="G72" s="1161">
        <v>3</v>
      </c>
      <c r="H72" s="1163">
        <v>2</v>
      </c>
      <c r="I72" s="1215">
        <f t="shared" ref="I72:I103" si="7">SUM(G72:H72)</f>
        <v>5</v>
      </c>
      <c r="J72" s="1161">
        <v>2</v>
      </c>
      <c r="K72" s="1163">
        <v>1</v>
      </c>
      <c r="L72" s="1215">
        <f t="shared" ref="L72:L82" si="8">SUM(J72:K72)</f>
        <v>3</v>
      </c>
      <c r="M72" s="1161">
        <v>2</v>
      </c>
      <c r="N72" s="1163">
        <v>1</v>
      </c>
      <c r="O72" s="1215">
        <f t="shared" ref="O72:O82" si="9">SUM(M72:N72)</f>
        <v>3</v>
      </c>
      <c r="P72" s="1161"/>
      <c r="Q72" s="1163"/>
      <c r="R72" s="1215">
        <f t="shared" ref="R72:R82" si="10">SUM(P72:Q72)</f>
        <v>0</v>
      </c>
      <c r="S72" s="1161"/>
      <c r="T72" s="1163"/>
      <c r="U72" s="1215">
        <f t="shared" ref="U72:U82" si="11">SUM(S72:T72)</f>
        <v>0</v>
      </c>
    </row>
    <row r="73" spans="1:21" x14ac:dyDescent="0.2">
      <c r="A73" s="6725"/>
      <c r="B73" s="6729"/>
      <c r="C73" s="2738" t="s">
        <v>11</v>
      </c>
      <c r="D73" s="4669">
        <f>SUM(D65:D72)</f>
        <v>53</v>
      </c>
      <c r="E73" s="4670">
        <f>SUM(E65:E72)</f>
        <v>23</v>
      </c>
      <c r="F73" s="2739">
        <f t="shared" si="6"/>
        <v>76</v>
      </c>
      <c r="G73" s="4669">
        <f>SUM(G65:G72)</f>
        <v>52</v>
      </c>
      <c r="H73" s="4670">
        <f>SUM(H65:H72)</f>
        <v>23</v>
      </c>
      <c r="I73" s="2739">
        <f t="shared" si="7"/>
        <v>75</v>
      </c>
      <c r="J73" s="4669">
        <f>SUM(J65:J72)</f>
        <v>25</v>
      </c>
      <c r="K73" s="4670">
        <f>SUM(K65:K72)</f>
        <v>12</v>
      </c>
      <c r="L73" s="2739">
        <f t="shared" si="8"/>
        <v>37</v>
      </c>
      <c r="M73" s="4669">
        <f>SUM(M65:M72)</f>
        <v>44</v>
      </c>
      <c r="N73" s="4670">
        <f>SUM(N65:N72)</f>
        <v>22</v>
      </c>
      <c r="O73" s="2739">
        <f t="shared" si="9"/>
        <v>66</v>
      </c>
      <c r="P73" s="4669">
        <f>SUM(P65:P72)</f>
        <v>6</v>
      </c>
      <c r="Q73" s="4670">
        <f>SUM(Q65:Q72)</f>
        <v>2</v>
      </c>
      <c r="R73" s="2739">
        <f t="shared" si="10"/>
        <v>8</v>
      </c>
      <c r="S73" s="4669">
        <f>SUM(S65:S72)</f>
        <v>6</v>
      </c>
      <c r="T73" s="4670">
        <f>SUM(T65:T72)</f>
        <v>2</v>
      </c>
      <c r="U73" s="2739">
        <f t="shared" si="11"/>
        <v>8</v>
      </c>
    </row>
    <row r="74" spans="1:21" x14ac:dyDescent="0.2">
      <c r="A74" s="6725" t="s">
        <v>442</v>
      </c>
      <c r="B74" s="6729" t="s">
        <v>7</v>
      </c>
      <c r="C74" s="2737" t="s">
        <v>168</v>
      </c>
      <c r="D74" s="1161">
        <v>4</v>
      </c>
      <c r="E74" s="1163">
        <v>3</v>
      </c>
      <c r="F74" s="1215">
        <f t="shared" si="6"/>
        <v>7</v>
      </c>
      <c r="G74" s="1161">
        <v>4</v>
      </c>
      <c r="H74" s="1163">
        <v>3</v>
      </c>
      <c r="I74" s="1215">
        <f t="shared" si="7"/>
        <v>7</v>
      </c>
      <c r="J74" s="1161">
        <v>5</v>
      </c>
      <c r="K74" s="1163">
        <v>9</v>
      </c>
      <c r="L74" s="1215">
        <f t="shared" si="8"/>
        <v>14</v>
      </c>
      <c r="M74" s="1161">
        <v>6</v>
      </c>
      <c r="N74" s="1163">
        <v>10</v>
      </c>
      <c r="O74" s="1215">
        <f t="shared" si="9"/>
        <v>16</v>
      </c>
      <c r="P74" s="1161">
        <v>7</v>
      </c>
      <c r="Q74" s="1163">
        <v>5</v>
      </c>
      <c r="R74" s="1215">
        <f t="shared" si="10"/>
        <v>12</v>
      </c>
      <c r="S74" s="1161">
        <v>7</v>
      </c>
      <c r="T74" s="1163">
        <v>5</v>
      </c>
      <c r="U74" s="1215">
        <f t="shared" si="11"/>
        <v>12</v>
      </c>
    </row>
    <row r="75" spans="1:21" x14ac:dyDescent="0.2">
      <c r="A75" s="6725" t="s">
        <v>442</v>
      </c>
      <c r="B75" s="6729" t="s">
        <v>7</v>
      </c>
      <c r="C75" s="2737" t="s">
        <v>819</v>
      </c>
      <c r="D75" s="1161">
        <v>6</v>
      </c>
      <c r="E75" s="1163">
        <v>1</v>
      </c>
      <c r="F75" s="1215">
        <f t="shared" si="6"/>
        <v>7</v>
      </c>
      <c r="G75" s="1161">
        <v>5</v>
      </c>
      <c r="H75" s="1163">
        <v>1</v>
      </c>
      <c r="I75" s="1215">
        <f t="shared" si="7"/>
        <v>6</v>
      </c>
      <c r="J75" s="1161">
        <v>17</v>
      </c>
      <c r="K75" s="1163">
        <v>5</v>
      </c>
      <c r="L75" s="1215">
        <f t="shared" si="8"/>
        <v>22</v>
      </c>
      <c r="M75" s="1161">
        <v>18</v>
      </c>
      <c r="N75" s="1163">
        <v>5</v>
      </c>
      <c r="O75" s="1215">
        <f t="shared" si="9"/>
        <v>23</v>
      </c>
      <c r="P75" s="1161">
        <v>7</v>
      </c>
      <c r="Q75" s="1163">
        <v>4</v>
      </c>
      <c r="R75" s="1215">
        <f t="shared" si="10"/>
        <v>11</v>
      </c>
      <c r="S75" s="1161">
        <v>7</v>
      </c>
      <c r="T75" s="1163">
        <v>4</v>
      </c>
      <c r="U75" s="1215">
        <f t="shared" si="11"/>
        <v>11</v>
      </c>
    </row>
    <row r="76" spans="1:21" x14ac:dyDescent="0.2">
      <c r="A76" s="6725" t="s">
        <v>442</v>
      </c>
      <c r="B76" s="6729" t="s">
        <v>7</v>
      </c>
      <c r="C76" s="2737" t="s">
        <v>170</v>
      </c>
      <c r="D76" s="1161">
        <v>4</v>
      </c>
      <c r="E76" s="1163">
        <v>1</v>
      </c>
      <c r="F76" s="1215">
        <f t="shared" si="6"/>
        <v>5</v>
      </c>
      <c r="G76" s="1161">
        <v>4</v>
      </c>
      <c r="H76" s="1163">
        <v>1</v>
      </c>
      <c r="I76" s="1215">
        <f t="shared" si="7"/>
        <v>5</v>
      </c>
      <c r="J76" s="1161">
        <v>5</v>
      </c>
      <c r="K76" s="1163">
        <v>7</v>
      </c>
      <c r="L76" s="1215">
        <f t="shared" si="8"/>
        <v>12</v>
      </c>
      <c r="M76" s="1161">
        <v>6</v>
      </c>
      <c r="N76" s="1163">
        <v>7</v>
      </c>
      <c r="O76" s="1215">
        <f t="shared" si="9"/>
        <v>13</v>
      </c>
      <c r="P76" s="1161">
        <v>5</v>
      </c>
      <c r="Q76" s="1163">
        <v>3</v>
      </c>
      <c r="R76" s="1215">
        <f t="shared" si="10"/>
        <v>8</v>
      </c>
      <c r="S76" s="1161">
        <v>5</v>
      </c>
      <c r="T76" s="1163">
        <v>3</v>
      </c>
      <c r="U76" s="1215">
        <f t="shared" si="11"/>
        <v>8</v>
      </c>
    </row>
    <row r="77" spans="1:21" x14ac:dyDescent="0.2">
      <c r="A77" s="6725" t="s">
        <v>442</v>
      </c>
      <c r="B77" s="6729" t="s">
        <v>7</v>
      </c>
      <c r="C77" s="2737" t="s">
        <v>216</v>
      </c>
      <c r="D77" s="1161">
        <v>11</v>
      </c>
      <c r="E77" s="1163">
        <v>4</v>
      </c>
      <c r="F77" s="1215">
        <f t="shared" si="6"/>
        <v>15</v>
      </c>
      <c r="G77" s="1161">
        <v>11</v>
      </c>
      <c r="H77" s="1163">
        <v>3</v>
      </c>
      <c r="I77" s="1215">
        <f t="shared" si="7"/>
        <v>14</v>
      </c>
      <c r="J77" s="1161">
        <v>5</v>
      </c>
      <c r="K77" s="1163">
        <v>4</v>
      </c>
      <c r="L77" s="1215">
        <f t="shared" si="8"/>
        <v>9</v>
      </c>
      <c r="M77" s="1161">
        <v>8</v>
      </c>
      <c r="N77" s="1163">
        <v>4</v>
      </c>
      <c r="O77" s="1215">
        <f t="shared" si="9"/>
        <v>12</v>
      </c>
      <c r="P77" s="1161">
        <v>2</v>
      </c>
      <c r="Q77" s="1163">
        <v>3</v>
      </c>
      <c r="R77" s="1215">
        <f t="shared" si="10"/>
        <v>5</v>
      </c>
      <c r="S77" s="1161">
        <v>2</v>
      </c>
      <c r="T77" s="1163">
        <v>3</v>
      </c>
      <c r="U77" s="1215">
        <f t="shared" si="11"/>
        <v>5</v>
      </c>
    </row>
    <row r="78" spans="1:21" x14ac:dyDescent="0.2">
      <c r="A78" s="6725"/>
      <c r="B78" s="6326"/>
      <c r="C78" s="2740" t="s">
        <v>7</v>
      </c>
      <c r="D78" s="4671">
        <f>SUM(D74:D77)</f>
        <v>25</v>
      </c>
      <c r="E78" s="4672">
        <f>SUM(E74:E77)</f>
        <v>9</v>
      </c>
      <c r="F78" s="2741">
        <f t="shared" si="6"/>
        <v>34</v>
      </c>
      <c r="G78" s="4671">
        <f>SUM(G74:G77)</f>
        <v>24</v>
      </c>
      <c r="H78" s="4672">
        <f>SUM(H74:H77)</f>
        <v>8</v>
      </c>
      <c r="I78" s="2741">
        <f t="shared" si="7"/>
        <v>32</v>
      </c>
      <c r="J78" s="4671">
        <f>SUM(J74:J77)</f>
        <v>32</v>
      </c>
      <c r="K78" s="4672">
        <f>SUM(K74:K77)</f>
        <v>25</v>
      </c>
      <c r="L78" s="2741">
        <f t="shared" si="8"/>
        <v>57</v>
      </c>
      <c r="M78" s="4671">
        <f>SUM(M74:M77)</f>
        <v>38</v>
      </c>
      <c r="N78" s="4672">
        <f>SUM(N74:N77)</f>
        <v>26</v>
      </c>
      <c r="O78" s="2741">
        <f t="shared" si="9"/>
        <v>64</v>
      </c>
      <c r="P78" s="4671">
        <f>SUM(P74:P77)</f>
        <v>21</v>
      </c>
      <c r="Q78" s="4672">
        <f>SUM(Q74:Q77)</f>
        <v>15</v>
      </c>
      <c r="R78" s="2741">
        <f t="shared" si="10"/>
        <v>36</v>
      </c>
      <c r="S78" s="4671">
        <f>SUM(S74:S77)</f>
        <v>21</v>
      </c>
      <c r="T78" s="4672">
        <f>SUM(T74:T77)</f>
        <v>15</v>
      </c>
      <c r="U78" s="2741">
        <f t="shared" si="11"/>
        <v>36</v>
      </c>
    </row>
    <row r="79" spans="1:21" x14ac:dyDescent="0.2">
      <c r="A79" s="6726"/>
      <c r="B79" s="6750" t="s">
        <v>444</v>
      </c>
      <c r="C79" s="6751"/>
      <c r="D79" s="4677">
        <f>+D64+D73+D78</f>
        <v>91</v>
      </c>
      <c r="E79" s="4678">
        <f>+E64+E73+E78</f>
        <v>45</v>
      </c>
      <c r="F79" s="4070">
        <f t="shared" si="6"/>
        <v>136</v>
      </c>
      <c r="G79" s="4677">
        <f>+G64+G73+G78</f>
        <v>89</v>
      </c>
      <c r="H79" s="4678">
        <f>+H64+H73+H78</f>
        <v>44</v>
      </c>
      <c r="I79" s="4070">
        <f t="shared" si="7"/>
        <v>133</v>
      </c>
      <c r="J79" s="4677">
        <f>+J64+J73+J78</f>
        <v>118</v>
      </c>
      <c r="K79" s="4678">
        <f>+K64+K73+K78</f>
        <v>65</v>
      </c>
      <c r="L79" s="4070">
        <f t="shared" si="8"/>
        <v>183</v>
      </c>
      <c r="M79" s="4677">
        <f>+M64+M73+M78</f>
        <v>144</v>
      </c>
      <c r="N79" s="4678">
        <f>+N64+N73+N78</f>
        <v>76</v>
      </c>
      <c r="O79" s="4070">
        <f t="shared" si="9"/>
        <v>220</v>
      </c>
      <c r="P79" s="4677">
        <f>+P64+P73+P78</f>
        <v>41</v>
      </c>
      <c r="Q79" s="4678">
        <f>+Q64+Q73+Q78</f>
        <v>26</v>
      </c>
      <c r="R79" s="4070">
        <f t="shared" si="10"/>
        <v>67</v>
      </c>
      <c r="S79" s="4677">
        <f>+S64+S73+S78</f>
        <v>41</v>
      </c>
      <c r="T79" s="4678">
        <f>+T64+T73+T78</f>
        <v>26</v>
      </c>
      <c r="U79" s="4070">
        <f t="shared" si="11"/>
        <v>67</v>
      </c>
    </row>
    <row r="80" spans="1:21" x14ac:dyDescent="0.2">
      <c r="A80" s="6727" t="s">
        <v>8</v>
      </c>
      <c r="B80" s="6744" t="s">
        <v>6</v>
      </c>
      <c r="C80" s="2743" t="s">
        <v>826</v>
      </c>
      <c r="D80" s="1161">
        <v>1</v>
      </c>
      <c r="E80" s="1163">
        <v>1</v>
      </c>
      <c r="F80" s="1215">
        <f t="shared" si="6"/>
        <v>2</v>
      </c>
      <c r="G80" s="1161">
        <v>1</v>
      </c>
      <c r="H80" s="1163">
        <v>1</v>
      </c>
      <c r="I80" s="1215">
        <f t="shared" si="7"/>
        <v>2</v>
      </c>
      <c r="J80" s="1161">
        <v>10</v>
      </c>
      <c r="K80" s="1163">
        <v>2</v>
      </c>
      <c r="L80" s="1215">
        <f t="shared" si="8"/>
        <v>12</v>
      </c>
      <c r="M80" s="1161">
        <v>11</v>
      </c>
      <c r="N80" s="1163">
        <v>3</v>
      </c>
      <c r="O80" s="1215">
        <f t="shared" si="9"/>
        <v>14</v>
      </c>
      <c r="P80" s="1161"/>
      <c r="Q80" s="1163"/>
      <c r="R80" s="1215">
        <f t="shared" si="10"/>
        <v>0</v>
      </c>
      <c r="S80" s="1161"/>
      <c r="T80" s="1163"/>
      <c r="U80" s="1215">
        <f t="shared" si="11"/>
        <v>0</v>
      </c>
    </row>
    <row r="81" spans="1:21" x14ac:dyDescent="0.2">
      <c r="A81" s="6261" t="s">
        <v>430</v>
      </c>
      <c r="B81" s="6744" t="s">
        <v>6</v>
      </c>
      <c r="C81" s="2743" t="s">
        <v>827</v>
      </c>
      <c r="D81" s="1161">
        <v>2</v>
      </c>
      <c r="E81" s="1163">
        <v>1</v>
      </c>
      <c r="F81" s="1215">
        <f t="shared" si="6"/>
        <v>3</v>
      </c>
      <c r="G81" s="1161">
        <v>2</v>
      </c>
      <c r="H81" s="1163">
        <v>1</v>
      </c>
      <c r="I81" s="1215">
        <f t="shared" si="7"/>
        <v>3</v>
      </c>
      <c r="J81" s="1161"/>
      <c r="K81" s="1163"/>
      <c r="L81" s="1215">
        <f t="shared" si="8"/>
        <v>0</v>
      </c>
      <c r="M81" s="1161"/>
      <c r="N81" s="1163"/>
      <c r="O81" s="1215">
        <f t="shared" si="9"/>
        <v>0</v>
      </c>
      <c r="P81" s="1161"/>
      <c r="Q81" s="1163"/>
      <c r="R81" s="1215">
        <f t="shared" si="10"/>
        <v>0</v>
      </c>
      <c r="S81" s="1161"/>
      <c r="T81" s="1163"/>
      <c r="U81" s="1215">
        <f t="shared" si="11"/>
        <v>0</v>
      </c>
    </row>
    <row r="82" spans="1:21" x14ac:dyDescent="0.2">
      <c r="A82" s="6261" t="s">
        <v>430</v>
      </c>
      <c r="B82" s="6744" t="s">
        <v>6</v>
      </c>
      <c r="C82" s="2743" t="s">
        <v>191</v>
      </c>
      <c r="D82" s="1161">
        <v>1</v>
      </c>
      <c r="E82" s="1163"/>
      <c r="F82" s="1215">
        <f t="shared" si="6"/>
        <v>1</v>
      </c>
      <c r="G82" s="1161">
        <v>1</v>
      </c>
      <c r="H82" s="1163"/>
      <c r="I82" s="1215">
        <f t="shared" si="7"/>
        <v>1</v>
      </c>
      <c r="J82" s="1161"/>
      <c r="K82" s="1163"/>
      <c r="L82" s="1215">
        <f t="shared" si="8"/>
        <v>0</v>
      </c>
      <c r="M82" s="1161"/>
      <c r="N82" s="1163"/>
      <c r="O82" s="1215">
        <f t="shared" si="9"/>
        <v>0</v>
      </c>
      <c r="P82" s="1161"/>
      <c r="Q82" s="1163"/>
      <c r="R82" s="1215">
        <f t="shared" si="10"/>
        <v>0</v>
      </c>
      <c r="S82" s="1161"/>
      <c r="T82" s="1163"/>
      <c r="U82" s="1215">
        <f t="shared" si="11"/>
        <v>0</v>
      </c>
    </row>
    <row r="83" spans="1:21" x14ac:dyDescent="0.2">
      <c r="A83" s="6261"/>
      <c r="B83" s="6744"/>
      <c r="C83" s="2740" t="s">
        <v>6</v>
      </c>
      <c r="D83" s="4671">
        <f t="shared" ref="D83:O83" si="12">SUM(D80:D82)</f>
        <v>4</v>
      </c>
      <c r="E83" s="4672">
        <f t="shared" si="12"/>
        <v>2</v>
      </c>
      <c r="F83" s="2741">
        <f t="shared" si="12"/>
        <v>6</v>
      </c>
      <c r="G83" s="4671">
        <f t="shared" si="12"/>
        <v>4</v>
      </c>
      <c r="H83" s="4672">
        <f t="shared" si="12"/>
        <v>2</v>
      </c>
      <c r="I83" s="2741">
        <f t="shared" si="12"/>
        <v>6</v>
      </c>
      <c r="J83" s="4671">
        <f t="shared" si="12"/>
        <v>10</v>
      </c>
      <c r="K83" s="4672">
        <f t="shared" si="12"/>
        <v>2</v>
      </c>
      <c r="L83" s="2741">
        <f t="shared" si="12"/>
        <v>12</v>
      </c>
      <c r="M83" s="4671">
        <f t="shared" si="12"/>
        <v>11</v>
      </c>
      <c r="N83" s="4672">
        <f t="shared" si="12"/>
        <v>3</v>
      </c>
      <c r="O83" s="2741">
        <f t="shared" si="12"/>
        <v>14</v>
      </c>
      <c r="P83" s="4671">
        <f t="shared" ref="P83:U83" si="13">SUM(P80:P82)</f>
        <v>0</v>
      </c>
      <c r="Q83" s="4672">
        <f t="shared" si="13"/>
        <v>0</v>
      </c>
      <c r="R83" s="2741">
        <f t="shared" si="13"/>
        <v>0</v>
      </c>
      <c r="S83" s="4671">
        <f t="shared" si="13"/>
        <v>0</v>
      </c>
      <c r="T83" s="4672">
        <f t="shared" si="13"/>
        <v>0</v>
      </c>
      <c r="U83" s="2741">
        <f t="shared" si="13"/>
        <v>0</v>
      </c>
    </row>
    <row r="84" spans="1:21" x14ac:dyDescent="0.2">
      <c r="A84" s="6261" t="s">
        <v>430</v>
      </c>
      <c r="B84" s="6729" t="s">
        <v>9</v>
      </c>
      <c r="C84" s="2744" t="s">
        <v>187</v>
      </c>
      <c r="D84" s="1181">
        <v>5</v>
      </c>
      <c r="E84" s="1183">
        <v>2</v>
      </c>
      <c r="F84" s="2742">
        <f t="shared" si="6"/>
        <v>7</v>
      </c>
      <c r="G84" s="1181">
        <v>5</v>
      </c>
      <c r="H84" s="1183">
        <v>2</v>
      </c>
      <c r="I84" s="2742">
        <f t="shared" si="7"/>
        <v>7</v>
      </c>
      <c r="J84" s="1181">
        <v>7</v>
      </c>
      <c r="K84" s="1183">
        <v>1</v>
      </c>
      <c r="L84" s="2742">
        <f>SUM(J84:K84)</f>
        <v>8</v>
      </c>
      <c r="M84" s="1181">
        <v>12</v>
      </c>
      <c r="N84" s="1183">
        <v>3</v>
      </c>
      <c r="O84" s="2742">
        <f>SUM(M84:N84)</f>
        <v>15</v>
      </c>
      <c r="P84" s="1181">
        <v>1</v>
      </c>
      <c r="Q84" s="1183"/>
      <c r="R84" s="2742">
        <f>SUM(P84:Q84)</f>
        <v>1</v>
      </c>
      <c r="S84" s="1181">
        <v>1</v>
      </c>
      <c r="T84" s="1183"/>
      <c r="U84" s="2742">
        <f>SUM(S84:T84)</f>
        <v>1</v>
      </c>
    </row>
    <row r="85" spans="1:21" x14ac:dyDescent="0.2">
      <c r="A85" s="6261" t="s">
        <v>430</v>
      </c>
      <c r="B85" s="6729" t="s">
        <v>9</v>
      </c>
      <c r="C85" s="2743" t="s">
        <v>828</v>
      </c>
      <c r="D85" s="1161">
        <v>4</v>
      </c>
      <c r="E85" s="1163"/>
      <c r="F85" s="1215">
        <f t="shared" si="6"/>
        <v>4</v>
      </c>
      <c r="G85" s="1161">
        <v>4</v>
      </c>
      <c r="H85" s="1163"/>
      <c r="I85" s="1215">
        <f t="shared" si="7"/>
        <v>4</v>
      </c>
      <c r="J85" s="1161"/>
      <c r="K85" s="1163"/>
      <c r="L85" s="1215">
        <f>SUM(J85:K85)</f>
        <v>0</v>
      </c>
      <c r="M85" s="1161">
        <v>1</v>
      </c>
      <c r="N85" s="1163"/>
      <c r="O85" s="1215">
        <f>SUM(M85:N85)</f>
        <v>1</v>
      </c>
      <c r="P85" s="1161"/>
      <c r="Q85" s="1163"/>
      <c r="R85" s="1215">
        <f>SUM(P85:Q85)</f>
        <v>0</v>
      </c>
      <c r="S85" s="1161"/>
      <c r="T85" s="1163"/>
      <c r="U85" s="1215">
        <f>SUM(S85:T85)</f>
        <v>0</v>
      </c>
    </row>
    <row r="86" spans="1:21" x14ac:dyDescent="0.2">
      <c r="A86" s="6261" t="s">
        <v>430</v>
      </c>
      <c r="B86" s="6729" t="s">
        <v>9</v>
      </c>
      <c r="C86" s="2743" t="s">
        <v>829</v>
      </c>
      <c r="D86" s="1161">
        <v>1</v>
      </c>
      <c r="E86" s="1163">
        <v>2</v>
      </c>
      <c r="F86" s="1215">
        <f t="shared" si="6"/>
        <v>3</v>
      </c>
      <c r="G86" s="1161">
        <v>1</v>
      </c>
      <c r="H86" s="1163">
        <v>2</v>
      </c>
      <c r="I86" s="1215">
        <f t="shared" si="7"/>
        <v>3</v>
      </c>
      <c r="J86" s="1161"/>
      <c r="K86" s="1163"/>
      <c r="L86" s="1215">
        <f>SUM(J86:K86)</f>
        <v>0</v>
      </c>
      <c r="M86" s="1161"/>
      <c r="N86" s="1163"/>
      <c r="O86" s="1215">
        <f>SUM(M86:N86)</f>
        <v>0</v>
      </c>
      <c r="P86" s="1161"/>
      <c r="Q86" s="1163"/>
      <c r="R86" s="1215">
        <f>SUM(P86:Q86)</f>
        <v>0</v>
      </c>
      <c r="S86" s="1161"/>
      <c r="T86" s="1163"/>
      <c r="U86" s="1215">
        <f>SUM(S86:T86)</f>
        <v>0</v>
      </c>
    </row>
    <row r="87" spans="1:21" x14ac:dyDescent="0.2">
      <c r="A87" s="6261"/>
      <c r="B87" s="6729"/>
      <c r="C87" s="2740" t="s">
        <v>9</v>
      </c>
      <c r="D87" s="4671">
        <f t="shared" ref="D87:O87" si="14">SUM(D84:D86)</f>
        <v>10</v>
      </c>
      <c r="E87" s="4672">
        <f t="shared" si="14"/>
        <v>4</v>
      </c>
      <c r="F87" s="2741">
        <f t="shared" si="14"/>
        <v>14</v>
      </c>
      <c r="G87" s="4671">
        <f t="shared" si="14"/>
        <v>10</v>
      </c>
      <c r="H87" s="4672">
        <f t="shared" si="14"/>
        <v>4</v>
      </c>
      <c r="I87" s="2741">
        <f t="shared" si="14"/>
        <v>14</v>
      </c>
      <c r="J87" s="4671">
        <f t="shared" si="14"/>
        <v>7</v>
      </c>
      <c r="K87" s="4672">
        <f t="shared" si="14"/>
        <v>1</v>
      </c>
      <c r="L87" s="2741">
        <f t="shared" si="14"/>
        <v>8</v>
      </c>
      <c r="M87" s="4671">
        <f t="shared" si="14"/>
        <v>13</v>
      </c>
      <c r="N87" s="4672">
        <f t="shared" si="14"/>
        <v>3</v>
      </c>
      <c r="O87" s="2741">
        <f t="shared" si="14"/>
        <v>16</v>
      </c>
      <c r="P87" s="4671">
        <f t="shared" ref="P87:U87" si="15">SUM(P84:P86)</f>
        <v>1</v>
      </c>
      <c r="Q87" s="4672">
        <f t="shared" si="15"/>
        <v>0</v>
      </c>
      <c r="R87" s="2741">
        <f t="shared" si="15"/>
        <v>1</v>
      </c>
      <c r="S87" s="4671">
        <f t="shared" si="15"/>
        <v>1</v>
      </c>
      <c r="T87" s="4672">
        <f t="shared" si="15"/>
        <v>0</v>
      </c>
      <c r="U87" s="2741">
        <f t="shared" si="15"/>
        <v>1</v>
      </c>
    </row>
    <row r="88" spans="1:21" ht="15" customHeight="1" x14ac:dyDescent="0.2">
      <c r="A88" s="6261" t="s">
        <v>430</v>
      </c>
      <c r="B88" s="6729" t="s">
        <v>74</v>
      </c>
      <c r="C88" s="2743" t="s">
        <v>1389</v>
      </c>
      <c r="D88" s="1161"/>
      <c r="E88" s="1163"/>
      <c r="F88" s="1215"/>
      <c r="G88" s="1161"/>
      <c r="H88" s="1163"/>
      <c r="I88" s="1215"/>
      <c r="J88" s="1161"/>
      <c r="K88" s="1163"/>
      <c r="L88" s="1215"/>
      <c r="M88" s="1161"/>
      <c r="N88" s="1163"/>
      <c r="O88" s="1215"/>
      <c r="P88" s="1161"/>
      <c r="Q88" s="1163"/>
      <c r="R88" s="1215"/>
      <c r="S88" s="1161"/>
      <c r="T88" s="1163"/>
      <c r="U88" s="1215"/>
    </row>
    <row r="89" spans="1:21" x14ac:dyDescent="0.2">
      <c r="A89" s="6261" t="s">
        <v>430</v>
      </c>
      <c r="B89" s="6729" t="s">
        <v>74</v>
      </c>
      <c r="C89" s="2743" t="s">
        <v>830</v>
      </c>
      <c r="D89" s="1161">
        <v>4</v>
      </c>
      <c r="E89" s="1163">
        <v>6</v>
      </c>
      <c r="F89" s="1215">
        <f t="shared" si="6"/>
        <v>10</v>
      </c>
      <c r="G89" s="1161">
        <v>4</v>
      </c>
      <c r="H89" s="1163">
        <v>6</v>
      </c>
      <c r="I89" s="1215">
        <f t="shared" si="7"/>
        <v>10</v>
      </c>
      <c r="J89" s="1161">
        <v>1</v>
      </c>
      <c r="K89" s="1163">
        <v>2</v>
      </c>
      <c r="L89" s="1215">
        <f>SUM(J89:K89)</f>
        <v>3</v>
      </c>
      <c r="M89" s="1161">
        <v>3</v>
      </c>
      <c r="N89" s="1163">
        <v>4</v>
      </c>
      <c r="O89" s="1215">
        <f>SUM(M89:N89)</f>
        <v>7</v>
      </c>
      <c r="P89" s="1161"/>
      <c r="Q89" s="1163">
        <v>2</v>
      </c>
      <c r="R89" s="1215">
        <f>SUM(P89:Q89)</f>
        <v>2</v>
      </c>
      <c r="S89" s="1161"/>
      <c r="T89" s="1163">
        <v>2</v>
      </c>
      <c r="U89" s="1215">
        <f>SUM(S89:T89)</f>
        <v>2</v>
      </c>
    </row>
    <row r="90" spans="1:21" x14ac:dyDescent="0.2">
      <c r="A90" s="6261"/>
      <c r="B90" s="6743"/>
      <c r="C90" s="2743" t="s">
        <v>189</v>
      </c>
      <c r="D90" s="1161"/>
      <c r="E90" s="1163"/>
      <c r="F90" s="1215"/>
      <c r="G90" s="1161"/>
      <c r="H90" s="1163"/>
      <c r="I90" s="1215"/>
      <c r="J90" s="1161"/>
      <c r="K90" s="1163"/>
      <c r="L90" s="1215"/>
      <c r="M90" s="1161"/>
      <c r="N90" s="1163"/>
      <c r="O90" s="1215"/>
      <c r="P90" s="1161"/>
      <c r="Q90" s="1163">
        <v>1</v>
      </c>
      <c r="R90" s="1215">
        <f>SUM(P90:Q90)</f>
        <v>1</v>
      </c>
      <c r="S90" s="1161"/>
      <c r="T90" s="1163">
        <v>1</v>
      </c>
      <c r="U90" s="1215">
        <f>SUM(S90:T90)</f>
        <v>1</v>
      </c>
    </row>
    <row r="91" spans="1:21" x14ac:dyDescent="0.2">
      <c r="A91" s="6261" t="s">
        <v>430</v>
      </c>
      <c r="B91" s="6729" t="s">
        <v>74</v>
      </c>
      <c r="C91" s="2743" t="s">
        <v>1390</v>
      </c>
      <c r="D91" s="1161"/>
      <c r="E91" s="1163">
        <v>4</v>
      </c>
      <c r="F91" s="1215">
        <f t="shared" si="6"/>
        <v>4</v>
      </c>
      <c r="G91" s="1161"/>
      <c r="H91" s="1163">
        <v>4</v>
      </c>
      <c r="I91" s="1215">
        <f t="shared" si="7"/>
        <v>4</v>
      </c>
      <c r="J91" s="1161"/>
      <c r="K91" s="1163"/>
      <c r="L91" s="1215">
        <f>SUM(J91:K91)</f>
        <v>0</v>
      </c>
      <c r="M91" s="1161"/>
      <c r="N91" s="1163">
        <v>1</v>
      </c>
      <c r="O91" s="1215">
        <f>SUM(M91:N91)</f>
        <v>1</v>
      </c>
      <c r="P91" s="1161"/>
      <c r="Q91" s="1163"/>
      <c r="R91" s="1215">
        <f>SUM(P91:Q91)</f>
        <v>0</v>
      </c>
      <c r="S91" s="1161"/>
      <c r="T91" s="1163"/>
      <c r="U91" s="1215">
        <f>SUM(S91:T91)</f>
        <v>0</v>
      </c>
    </row>
    <row r="92" spans="1:21" ht="15" customHeight="1" x14ac:dyDescent="0.2">
      <c r="A92" s="6261" t="s">
        <v>430</v>
      </c>
      <c r="B92" s="6729" t="s">
        <v>74</v>
      </c>
      <c r="C92" s="2743" t="s">
        <v>831</v>
      </c>
      <c r="D92" s="1161"/>
      <c r="E92" s="1163"/>
      <c r="F92" s="1215"/>
      <c r="G92" s="1161"/>
      <c r="H92" s="1163"/>
      <c r="I92" s="1215"/>
      <c r="J92" s="1161"/>
      <c r="K92" s="1163"/>
      <c r="L92" s="1215"/>
      <c r="M92" s="1161"/>
      <c r="N92" s="1163"/>
      <c r="O92" s="1215"/>
      <c r="P92" s="1161"/>
      <c r="Q92" s="1163"/>
      <c r="R92" s="1215"/>
      <c r="S92" s="1161"/>
      <c r="T92" s="1163"/>
      <c r="U92" s="1215"/>
    </row>
    <row r="93" spans="1:21" x14ac:dyDescent="0.2">
      <c r="A93" s="6261"/>
      <c r="B93" s="6326"/>
      <c r="C93" s="2740" t="s">
        <v>74</v>
      </c>
      <c r="D93" s="4671">
        <f t="shared" ref="D93:O93" si="16">SUM(D88:D92)</f>
        <v>4</v>
      </c>
      <c r="E93" s="4672">
        <f t="shared" si="16"/>
        <v>10</v>
      </c>
      <c r="F93" s="2741">
        <f t="shared" si="16"/>
        <v>14</v>
      </c>
      <c r="G93" s="4671">
        <f t="shared" si="16"/>
        <v>4</v>
      </c>
      <c r="H93" s="4672">
        <f t="shared" si="16"/>
        <v>10</v>
      </c>
      <c r="I93" s="2741">
        <f t="shared" si="16"/>
        <v>14</v>
      </c>
      <c r="J93" s="4671">
        <f t="shared" si="16"/>
        <v>1</v>
      </c>
      <c r="K93" s="4672">
        <f t="shared" si="16"/>
        <v>2</v>
      </c>
      <c r="L93" s="2741">
        <f t="shared" si="16"/>
        <v>3</v>
      </c>
      <c r="M93" s="4671">
        <f t="shared" si="16"/>
        <v>3</v>
      </c>
      <c r="N93" s="4672">
        <f t="shared" si="16"/>
        <v>5</v>
      </c>
      <c r="O93" s="2741">
        <f t="shared" si="16"/>
        <v>8</v>
      </c>
      <c r="P93" s="4671">
        <f t="shared" ref="P93:U93" si="17">SUM(P88:P92)</f>
        <v>0</v>
      </c>
      <c r="Q93" s="4672">
        <f t="shared" si="17"/>
        <v>3</v>
      </c>
      <c r="R93" s="2741">
        <f t="shared" si="17"/>
        <v>3</v>
      </c>
      <c r="S93" s="4671">
        <f t="shared" si="17"/>
        <v>0</v>
      </c>
      <c r="T93" s="4672">
        <f t="shared" si="17"/>
        <v>3</v>
      </c>
      <c r="U93" s="2741">
        <f t="shared" si="17"/>
        <v>3</v>
      </c>
    </row>
    <row r="94" spans="1:21" x14ac:dyDescent="0.2">
      <c r="A94" s="6728"/>
      <c r="B94" s="6748" t="s">
        <v>444</v>
      </c>
      <c r="C94" s="6749"/>
      <c r="D94" s="4679">
        <f t="shared" ref="D94:O94" si="18">SUM(D93,D87,D83)</f>
        <v>18</v>
      </c>
      <c r="E94" s="4680">
        <f t="shared" si="18"/>
        <v>16</v>
      </c>
      <c r="F94" s="4071">
        <f t="shared" si="18"/>
        <v>34</v>
      </c>
      <c r="G94" s="4679">
        <f t="shared" si="18"/>
        <v>18</v>
      </c>
      <c r="H94" s="4680">
        <f t="shared" si="18"/>
        <v>16</v>
      </c>
      <c r="I94" s="4071">
        <f t="shared" si="18"/>
        <v>34</v>
      </c>
      <c r="J94" s="4679">
        <f t="shared" si="18"/>
        <v>18</v>
      </c>
      <c r="K94" s="4680">
        <f t="shared" si="18"/>
        <v>5</v>
      </c>
      <c r="L94" s="4071">
        <f t="shared" si="18"/>
        <v>23</v>
      </c>
      <c r="M94" s="4679">
        <f t="shared" si="18"/>
        <v>27</v>
      </c>
      <c r="N94" s="4680">
        <f t="shared" si="18"/>
        <v>11</v>
      </c>
      <c r="O94" s="4071">
        <f t="shared" si="18"/>
        <v>38</v>
      </c>
      <c r="P94" s="4679">
        <f t="shared" ref="P94:U94" si="19">SUM(P93,P87,P83)</f>
        <v>1</v>
      </c>
      <c r="Q94" s="4680">
        <f t="shared" si="19"/>
        <v>3</v>
      </c>
      <c r="R94" s="4071">
        <f t="shared" si="19"/>
        <v>4</v>
      </c>
      <c r="S94" s="4679">
        <f t="shared" si="19"/>
        <v>1</v>
      </c>
      <c r="T94" s="4680">
        <f t="shared" si="19"/>
        <v>3</v>
      </c>
      <c r="U94" s="4071">
        <f t="shared" si="19"/>
        <v>4</v>
      </c>
    </row>
    <row r="95" spans="1:21" x14ac:dyDescent="0.2">
      <c r="A95" s="6730" t="s">
        <v>325</v>
      </c>
      <c r="B95" s="6729" t="s">
        <v>5</v>
      </c>
      <c r="C95" s="2744" t="s">
        <v>832</v>
      </c>
      <c r="D95" s="1181">
        <v>2</v>
      </c>
      <c r="E95" s="1183">
        <v>1</v>
      </c>
      <c r="F95" s="2742">
        <f t="shared" si="6"/>
        <v>3</v>
      </c>
      <c r="G95" s="1181">
        <v>2</v>
      </c>
      <c r="H95" s="1183">
        <v>1</v>
      </c>
      <c r="I95" s="2742">
        <f t="shared" si="7"/>
        <v>3</v>
      </c>
      <c r="J95" s="1181">
        <v>3</v>
      </c>
      <c r="K95" s="1183">
        <v>3</v>
      </c>
      <c r="L95" s="2742">
        <f>SUM(J95:K95)</f>
        <v>6</v>
      </c>
      <c r="M95" s="1181">
        <v>2</v>
      </c>
      <c r="N95" s="1183">
        <v>3</v>
      </c>
      <c r="O95" s="2742">
        <f>SUM(M95:N95)</f>
        <v>5</v>
      </c>
      <c r="P95" s="1181"/>
      <c r="Q95" s="1183"/>
      <c r="R95" s="2742">
        <f>SUM(P95:Q95)</f>
        <v>0</v>
      </c>
      <c r="S95" s="1181"/>
      <c r="T95" s="1183"/>
      <c r="U95" s="2742">
        <f>SUM(S95:T95)</f>
        <v>0</v>
      </c>
    </row>
    <row r="96" spans="1:21" x14ac:dyDescent="0.2">
      <c r="A96" s="6731"/>
      <c r="B96" s="6729"/>
      <c r="C96" s="2740" t="s">
        <v>5</v>
      </c>
      <c r="D96" s="4671">
        <f t="shared" ref="D96:O96" si="20">SUM(D95)</f>
        <v>2</v>
      </c>
      <c r="E96" s="4672">
        <f t="shared" si="20"/>
        <v>1</v>
      </c>
      <c r="F96" s="2741">
        <f t="shared" si="20"/>
        <v>3</v>
      </c>
      <c r="G96" s="4671">
        <f t="shared" si="20"/>
        <v>2</v>
      </c>
      <c r="H96" s="4672">
        <f t="shared" si="20"/>
        <v>1</v>
      </c>
      <c r="I96" s="2741">
        <f t="shared" si="20"/>
        <v>3</v>
      </c>
      <c r="J96" s="4671">
        <f t="shared" si="20"/>
        <v>3</v>
      </c>
      <c r="K96" s="4672">
        <f t="shared" si="20"/>
        <v>3</v>
      </c>
      <c r="L96" s="2741">
        <f t="shared" si="20"/>
        <v>6</v>
      </c>
      <c r="M96" s="4671">
        <f t="shared" si="20"/>
        <v>2</v>
      </c>
      <c r="N96" s="4672">
        <f t="shared" si="20"/>
        <v>3</v>
      </c>
      <c r="O96" s="2741">
        <f t="shared" si="20"/>
        <v>5</v>
      </c>
      <c r="P96" s="4671">
        <f t="shared" ref="P96:U96" si="21">SUM(P95)</f>
        <v>0</v>
      </c>
      <c r="Q96" s="4672">
        <f t="shared" si="21"/>
        <v>0</v>
      </c>
      <c r="R96" s="2741">
        <f t="shared" si="21"/>
        <v>0</v>
      </c>
      <c r="S96" s="4671">
        <f t="shared" si="21"/>
        <v>0</v>
      </c>
      <c r="T96" s="4672">
        <f t="shared" si="21"/>
        <v>0</v>
      </c>
      <c r="U96" s="2741">
        <f t="shared" si="21"/>
        <v>0</v>
      </c>
    </row>
    <row r="97" spans="1:21" ht="15" customHeight="1" x14ac:dyDescent="0.2">
      <c r="A97" s="6731" t="s">
        <v>431</v>
      </c>
      <c r="B97" s="6744" t="s">
        <v>6</v>
      </c>
      <c r="C97" s="2743" t="s">
        <v>834</v>
      </c>
      <c r="D97" s="1161"/>
      <c r="E97" s="1163"/>
      <c r="F97" s="1215"/>
      <c r="G97" s="1161"/>
      <c r="H97" s="1163"/>
      <c r="I97" s="1215"/>
      <c r="J97" s="1161"/>
      <c r="K97" s="1163"/>
      <c r="L97" s="1215"/>
      <c r="M97" s="1161"/>
      <c r="N97" s="1163"/>
      <c r="O97" s="1215"/>
      <c r="P97" s="1161"/>
      <c r="Q97" s="1163"/>
      <c r="R97" s="1215"/>
      <c r="S97" s="1161"/>
      <c r="T97" s="1163"/>
      <c r="U97" s="1215"/>
    </row>
    <row r="98" spans="1:21" ht="15" customHeight="1" x14ac:dyDescent="0.2">
      <c r="A98" s="6731" t="s">
        <v>431</v>
      </c>
      <c r="B98" s="6744" t="s">
        <v>6</v>
      </c>
      <c r="C98" s="2743" t="s">
        <v>833</v>
      </c>
      <c r="D98" s="1161"/>
      <c r="E98" s="1163"/>
      <c r="F98" s="1215"/>
      <c r="G98" s="1161"/>
      <c r="H98" s="1163"/>
      <c r="I98" s="1215"/>
      <c r="J98" s="1161">
        <v>6</v>
      </c>
      <c r="K98" s="1163">
        <v>1</v>
      </c>
      <c r="L98" s="1215">
        <f>SUM(J98:K98)</f>
        <v>7</v>
      </c>
      <c r="M98" s="1161">
        <v>6</v>
      </c>
      <c r="N98" s="1163">
        <v>1</v>
      </c>
      <c r="O98" s="1215">
        <f>SUM(M98:N98)</f>
        <v>7</v>
      </c>
      <c r="P98" s="1161"/>
      <c r="Q98" s="1163"/>
      <c r="R98" s="1215">
        <f>SUM(P98:Q98)</f>
        <v>0</v>
      </c>
      <c r="S98" s="1161"/>
      <c r="T98" s="1163"/>
      <c r="U98" s="1215">
        <f>SUM(S98:T98)</f>
        <v>0</v>
      </c>
    </row>
    <row r="99" spans="1:21" ht="15" customHeight="1" x14ac:dyDescent="0.2">
      <c r="A99" s="6731"/>
      <c r="B99" s="6744"/>
      <c r="C99" s="2740" t="s">
        <v>6</v>
      </c>
      <c r="D99" s="4671">
        <f t="shared" ref="D99:O99" si="22">SUM(D97:D98)</f>
        <v>0</v>
      </c>
      <c r="E99" s="4672">
        <f t="shared" si="22"/>
        <v>0</v>
      </c>
      <c r="F99" s="2741">
        <f t="shared" si="22"/>
        <v>0</v>
      </c>
      <c r="G99" s="4671">
        <f t="shared" si="22"/>
        <v>0</v>
      </c>
      <c r="H99" s="4672">
        <f t="shared" si="22"/>
        <v>0</v>
      </c>
      <c r="I99" s="2741">
        <f t="shared" si="22"/>
        <v>0</v>
      </c>
      <c r="J99" s="4671">
        <f t="shared" si="22"/>
        <v>6</v>
      </c>
      <c r="K99" s="4672">
        <f t="shared" si="22"/>
        <v>1</v>
      </c>
      <c r="L99" s="2741">
        <f t="shared" si="22"/>
        <v>7</v>
      </c>
      <c r="M99" s="4671">
        <f t="shared" si="22"/>
        <v>6</v>
      </c>
      <c r="N99" s="4672">
        <f t="shared" si="22"/>
        <v>1</v>
      </c>
      <c r="O99" s="2741">
        <f t="shared" si="22"/>
        <v>7</v>
      </c>
      <c r="P99" s="4671">
        <f t="shared" ref="P99:U99" si="23">SUM(P97:P98)</f>
        <v>0</v>
      </c>
      <c r="Q99" s="4672">
        <f t="shared" si="23"/>
        <v>0</v>
      </c>
      <c r="R99" s="2741">
        <f t="shared" si="23"/>
        <v>0</v>
      </c>
      <c r="S99" s="4671">
        <f t="shared" si="23"/>
        <v>0</v>
      </c>
      <c r="T99" s="4672">
        <f t="shared" si="23"/>
        <v>0</v>
      </c>
      <c r="U99" s="2741">
        <f t="shared" si="23"/>
        <v>0</v>
      </c>
    </row>
    <row r="100" spans="1:21" x14ac:dyDescent="0.2">
      <c r="A100" s="6731" t="s">
        <v>431</v>
      </c>
      <c r="B100" s="6729" t="s">
        <v>11</v>
      </c>
      <c r="C100" s="2743" t="s">
        <v>835</v>
      </c>
      <c r="D100" s="1161">
        <v>3</v>
      </c>
      <c r="E100" s="1163">
        <v>1</v>
      </c>
      <c r="F100" s="1215">
        <f t="shared" si="6"/>
        <v>4</v>
      </c>
      <c r="G100" s="1161">
        <v>3</v>
      </c>
      <c r="H100" s="1163">
        <v>1</v>
      </c>
      <c r="I100" s="1215">
        <f t="shared" si="7"/>
        <v>4</v>
      </c>
      <c r="J100" s="1161">
        <v>2</v>
      </c>
      <c r="K100" s="1163">
        <v>1</v>
      </c>
      <c r="L100" s="1215">
        <f>SUM(J100:K100)</f>
        <v>3</v>
      </c>
      <c r="M100" s="1161">
        <v>1</v>
      </c>
      <c r="N100" s="1163">
        <v>1</v>
      </c>
      <c r="O100" s="1215">
        <f>SUM(M100:N100)</f>
        <v>2</v>
      </c>
      <c r="P100" s="1161">
        <v>1</v>
      </c>
      <c r="Q100" s="1163"/>
      <c r="R100" s="1215">
        <f>SUM(P100:Q100)</f>
        <v>1</v>
      </c>
      <c r="S100" s="1161">
        <v>1</v>
      </c>
      <c r="T100" s="1163"/>
      <c r="U100" s="1215">
        <f>SUM(S100:T100)</f>
        <v>1</v>
      </c>
    </row>
    <row r="101" spans="1:21" x14ac:dyDescent="0.2">
      <c r="A101" s="6731"/>
      <c r="B101" s="6326"/>
      <c r="C101" s="2740" t="s">
        <v>11</v>
      </c>
      <c r="D101" s="4671">
        <f t="shared" ref="D101:O101" si="24">SUM(D100)</f>
        <v>3</v>
      </c>
      <c r="E101" s="4672">
        <f t="shared" si="24"/>
        <v>1</v>
      </c>
      <c r="F101" s="2741">
        <f t="shared" si="24"/>
        <v>4</v>
      </c>
      <c r="G101" s="4671">
        <f t="shared" si="24"/>
        <v>3</v>
      </c>
      <c r="H101" s="4672">
        <f t="shared" si="24"/>
        <v>1</v>
      </c>
      <c r="I101" s="2741">
        <f t="shared" si="24"/>
        <v>4</v>
      </c>
      <c r="J101" s="4671">
        <f t="shared" si="24"/>
        <v>2</v>
      </c>
      <c r="K101" s="4672">
        <f t="shared" si="24"/>
        <v>1</v>
      </c>
      <c r="L101" s="2741">
        <f t="shared" si="24"/>
        <v>3</v>
      </c>
      <c r="M101" s="4671">
        <f t="shared" si="24"/>
        <v>1</v>
      </c>
      <c r="N101" s="4672">
        <f t="shared" si="24"/>
        <v>1</v>
      </c>
      <c r="O101" s="2741">
        <f t="shared" si="24"/>
        <v>2</v>
      </c>
      <c r="P101" s="4671">
        <f t="shared" ref="P101:U101" si="25">SUM(P100)</f>
        <v>1</v>
      </c>
      <c r="Q101" s="4672">
        <f t="shared" si="25"/>
        <v>0</v>
      </c>
      <c r="R101" s="2741">
        <f t="shared" si="25"/>
        <v>1</v>
      </c>
      <c r="S101" s="4671">
        <f t="shared" si="25"/>
        <v>1</v>
      </c>
      <c r="T101" s="4672">
        <f t="shared" si="25"/>
        <v>0</v>
      </c>
      <c r="U101" s="2741">
        <f t="shared" si="25"/>
        <v>1</v>
      </c>
    </row>
    <row r="102" spans="1:21" x14ac:dyDescent="0.2">
      <c r="A102" s="5987"/>
      <c r="B102" s="6746" t="s">
        <v>444</v>
      </c>
      <c r="C102" s="6747"/>
      <c r="D102" s="4681">
        <f t="shared" ref="D102:O102" si="26">SUM(D101,D99,D96)</f>
        <v>5</v>
      </c>
      <c r="E102" s="4682">
        <f t="shared" si="26"/>
        <v>2</v>
      </c>
      <c r="F102" s="4072">
        <f t="shared" si="26"/>
        <v>7</v>
      </c>
      <c r="G102" s="4681">
        <f t="shared" si="26"/>
        <v>5</v>
      </c>
      <c r="H102" s="4682">
        <f t="shared" si="26"/>
        <v>2</v>
      </c>
      <c r="I102" s="4072">
        <f t="shared" si="26"/>
        <v>7</v>
      </c>
      <c r="J102" s="4681">
        <f t="shared" si="26"/>
        <v>11</v>
      </c>
      <c r="K102" s="4682">
        <f t="shared" si="26"/>
        <v>5</v>
      </c>
      <c r="L102" s="4072">
        <f t="shared" si="26"/>
        <v>16</v>
      </c>
      <c r="M102" s="4681">
        <f t="shared" si="26"/>
        <v>9</v>
      </c>
      <c r="N102" s="4682">
        <f t="shared" si="26"/>
        <v>5</v>
      </c>
      <c r="O102" s="4072">
        <f t="shared" si="26"/>
        <v>14</v>
      </c>
      <c r="P102" s="4681">
        <f t="shared" ref="P102:U102" si="27">SUM(P101,P99,P96)</f>
        <v>1</v>
      </c>
      <c r="Q102" s="4682">
        <f t="shared" si="27"/>
        <v>0</v>
      </c>
      <c r="R102" s="4072">
        <f t="shared" si="27"/>
        <v>1</v>
      </c>
      <c r="S102" s="4681">
        <f t="shared" si="27"/>
        <v>1</v>
      </c>
      <c r="T102" s="4682">
        <f t="shared" si="27"/>
        <v>0</v>
      </c>
      <c r="U102" s="4072">
        <f t="shared" si="27"/>
        <v>1</v>
      </c>
    </row>
    <row r="103" spans="1:21" x14ac:dyDescent="0.2">
      <c r="A103" s="6330" t="s">
        <v>573</v>
      </c>
      <c r="B103" s="6331"/>
      <c r="C103" s="6332"/>
      <c r="D103" s="4540">
        <f>SUM(D102+D94+D79+D57+D26)</f>
        <v>151</v>
      </c>
      <c r="E103" s="4542">
        <f>SUM(E102+E94+E79+E57+E26)</f>
        <v>88</v>
      </c>
      <c r="F103" s="4073">
        <f t="shared" si="6"/>
        <v>239</v>
      </c>
      <c r="G103" s="4540">
        <f>SUM(G102+G94+G79+G57+G26)</f>
        <v>149</v>
      </c>
      <c r="H103" s="4542">
        <f>SUM(H102+H94+H79+H57+H26)</f>
        <v>85</v>
      </c>
      <c r="I103" s="4073">
        <f t="shared" si="7"/>
        <v>234</v>
      </c>
      <c r="J103" s="4540">
        <f>SUM(J102+J94+J79+J57+J26)</f>
        <v>269</v>
      </c>
      <c r="K103" s="4542">
        <f>SUM(K102+K94+K79+K57+K26)</f>
        <v>134</v>
      </c>
      <c r="L103" s="4073">
        <f>SUM(J103:K103)</f>
        <v>403</v>
      </c>
      <c r="M103" s="4540">
        <f>SUM(M102+M94+M79+M57+M26)</f>
        <v>309</v>
      </c>
      <c r="N103" s="4542">
        <f>SUM(N102+N94+N79+N57+N26)</f>
        <v>158</v>
      </c>
      <c r="O103" s="4073">
        <f>SUM(M103:N103)</f>
        <v>467</v>
      </c>
      <c r="P103" s="4540">
        <f>SUM(P102+P94+P79+P57+P26)</f>
        <v>58</v>
      </c>
      <c r="Q103" s="4542">
        <f>SUM(Q102+Q94+Q79+Q57+Q26)</f>
        <v>32</v>
      </c>
      <c r="R103" s="4073">
        <f>SUM(P103:Q103)</f>
        <v>90</v>
      </c>
      <c r="S103" s="4540">
        <f>SUM(S102+S94+S79+S57+S26)</f>
        <v>58</v>
      </c>
      <c r="T103" s="4542">
        <f>SUM(T102+T94+T79+T57+T26)</f>
        <v>32</v>
      </c>
      <c r="U103" s="4073">
        <f>SUM(S103:T103)</f>
        <v>90</v>
      </c>
    </row>
  </sheetData>
  <sheetProtection algorithmName="SHA-512" hashValue="K/7E6vWkDdfMG1yYDufrTrFzXVtxnzsKgNfL1qgIg5DE97q888MLgwdQSRbd0rEurMXc6+xf5Dy9eBgs+qxohA==" saltValue="VdIL2C9IiwaBkXvLmsaG4g==" spinCount="100000" sheet="1" objects="1" scenarios="1"/>
  <mergeCells count="38">
    <mergeCell ref="P3:U3"/>
    <mergeCell ref="P4:R4"/>
    <mergeCell ref="S4:U4"/>
    <mergeCell ref="A80:A94"/>
    <mergeCell ref="A4:A5"/>
    <mergeCell ref="B4:B5"/>
    <mergeCell ref="C4:C5"/>
    <mergeCell ref="A6:A26"/>
    <mergeCell ref="B6:B16"/>
    <mergeCell ref="B17:B21"/>
    <mergeCell ref="B22:B25"/>
    <mergeCell ref="B26:C26"/>
    <mergeCell ref="A58:A79"/>
    <mergeCell ref="B58:B64"/>
    <mergeCell ref="B65:B73"/>
    <mergeCell ref="B27:B36"/>
    <mergeCell ref="D3:I3"/>
    <mergeCell ref="J3:O3"/>
    <mergeCell ref="B37:B49"/>
    <mergeCell ref="A27:A57"/>
    <mergeCell ref="J4:L4"/>
    <mergeCell ref="M4:O4"/>
    <mergeCell ref="A103:C103"/>
    <mergeCell ref="D4:F4"/>
    <mergeCell ref="G4:I4"/>
    <mergeCell ref="B80:B83"/>
    <mergeCell ref="B84:B87"/>
    <mergeCell ref="B88:B93"/>
    <mergeCell ref="B94:C94"/>
    <mergeCell ref="A95:A102"/>
    <mergeCell ref="B95:B96"/>
    <mergeCell ref="B97:B99"/>
    <mergeCell ref="B100:B101"/>
    <mergeCell ref="B102:C102"/>
    <mergeCell ref="B50:B56"/>
    <mergeCell ref="B57:C57"/>
    <mergeCell ref="B74:B78"/>
    <mergeCell ref="B79:C7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7" orientation="landscape" r:id="rId1"/>
  <rowBreaks count="1" manualBreakCount="1">
    <brk id="79" max="16383" man="1"/>
  </rowBreaks>
  <ignoredErrors>
    <ignoredError sqref="F16:F26 F44:F57 F64:F79 F95 F100 F103 F101:H101 F83:H83 I16:L16 I21:L21 I17:I20 L17:L20 I25:L27 I22:I24 L22:L24 I30:L30 I28:I29 L28:L29 I91:I103 I49:I64 L78:N79 L103 L99:N99 I33:L33 I31 I32:J32 L31:L32 I35:L36 I34 K34:L34 L49:L57 L64:L73 L81:N83 L80 N80 O91:O103 O44:O89 I73:I89 O16:O42 F36:F42 R64:U103 R49:R57 R16:R36" formula="1"/>
  </ignoredErrors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T40"/>
  <sheetViews>
    <sheetView showGridLines="0" zoomScaleNormal="100" workbookViewId="0">
      <selection activeCell="V20" sqref="V20"/>
    </sheetView>
  </sheetViews>
  <sheetFormatPr baseColWidth="10" defaultRowHeight="12.75" x14ac:dyDescent="0.2"/>
  <cols>
    <col min="1" max="1" width="14.42578125" customWidth="1"/>
    <col min="3" max="3" width="8.5703125" customWidth="1"/>
    <col min="4" max="4" width="9.42578125" customWidth="1"/>
    <col min="5" max="5" width="8.7109375" customWidth="1"/>
    <col min="6" max="6" width="8.5703125" customWidth="1"/>
    <col min="7" max="7" width="9.42578125" customWidth="1"/>
    <col min="8" max="8" width="8.7109375" customWidth="1"/>
    <col min="9" max="9" width="8.5703125" customWidth="1"/>
    <col min="10" max="10" width="9.42578125" customWidth="1"/>
    <col min="11" max="11" width="8.7109375" customWidth="1"/>
    <col min="12" max="12" width="8.5703125" customWidth="1"/>
    <col min="13" max="13" width="9.42578125" customWidth="1"/>
    <col min="14" max="15" width="8.7109375" customWidth="1"/>
    <col min="16" max="16" width="9.42578125" bestFit="1" customWidth="1"/>
    <col min="17" max="18" width="8.7109375" customWidth="1"/>
    <col min="19" max="19" width="9.42578125" bestFit="1" customWidth="1"/>
    <col min="20" max="20" width="8.7109375" customWidth="1"/>
  </cols>
  <sheetData>
    <row r="1" spans="1:20" ht="18.75" x14ac:dyDescent="0.2">
      <c r="A1" s="4146" t="s">
        <v>1366</v>
      </c>
    </row>
    <row r="2" spans="1:20" ht="18.75" x14ac:dyDescent="0.2">
      <c r="A2" s="4146"/>
    </row>
    <row r="3" spans="1:20" ht="15" customHeight="1" x14ac:dyDescent="0.2">
      <c r="A3" s="4146"/>
      <c r="C3" s="6771">
        <v>2015</v>
      </c>
      <c r="D3" s="6771"/>
      <c r="E3" s="6771"/>
      <c r="F3" s="6771"/>
      <c r="G3" s="6771"/>
      <c r="H3" s="6771"/>
      <c r="I3" s="6771">
        <v>2016</v>
      </c>
      <c r="J3" s="6771"/>
      <c r="K3" s="6771"/>
      <c r="L3" s="6771"/>
      <c r="M3" s="6771"/>
      <c r="N3" s="6771"/>
      <c r="O3" s="6771">
        <v>2017</v>
      </c>
      <c r="P3" s="6771"/>
      <c r="Q3" s="6771"/>
      <c r="R3" s="6771"/>
      <c r="S3" s="6771"/>
      <c r="T3" s="6771"/>
    </row>
    <row r="4" spans="1:20" ht="15" x14ac:dyDescent="0.2">
      <c r="A4" s="5653" t="s">
        <v>16</v>
      </c>
      <c r="B4" s="5653" t="s">
        <v>4</v>
      </c>
      <c r="C4" s="6016" t="s">
        <v>630</v>
      </c>
      <c r="D4" s="6767"/>
      <c r="E4" s="6768"/>
      <c r="F4" s="6769" t="s">
        <v>631</v>
      </c>
      <c r="G4" s="6770"/>
      <c r="H4" s="6768"/>
      <c r="I4" s="6016" t="s">
        <v>630</v>
      </c>
      <c r="J4" s="6767"/>
      <c r="K4" s="6768"/>
      <c r="L4" s="6769" t="s">
        <v>631</v>
      </c>
      <c r="M4" s="6770"/>
      <c r="N4" s="6768"/>
      <c r="O4" s="6016" t="s">
        <v>1653</v>
      </c>
      <c r="P4" s="6767"/>
      <c r="Q4" s="6768"/>
      <c r="R4" s="6769" t="s">
        <v>1654</v>
      </c>
      <c r="S4" s="6770"/>
      <c r="T4" s="6768"/>
    </row>
    <row r="5" spans="1:20" ht="12.75" customHeight="1" x14ac:dyDescent="0.25">
      <c r="A5" s="5654"/>
      <c r="B5" s="5654"/>
      <c r="C5" s="4153" t="s">
        <v>658</v>
      </c>
      <c r="D5" s="4153" t="s">
        <v>659</v>
      </c>
      <c r="E5" s="4152" t="s">
        <v>160</v>
      </c>
      <c r="F5" s="4153" t="s">
        <v>658</v>
      </c>
      <c r="G5" s="4153" t="s">
        <v>659</v>
      </c>
      <c r="H5" s="4152" t="s">
        <v>160</v>
      </c>
      <c r="I5" s="4153" t="s">
        <v>658</v>
      </c>
      <c r="J5" s="4153" t="s">
        <v>659</v>
      </c>
      <c r="K5" s="4152" t="s">
        <v>160</v>
      </c>
      <c r="L5" s="4153" t="s">
        <v>658</v>
      </c>
      <c r="M5" s="4153" t="s">
        <v>659</v>
      </c>
      <c r="N5" s="4152" t="s">
        <v>160</v>
      </c>
      <c r="O5" s="4153" t="s">
        <v>658</v>
      </c>
      <c r="P5" s="4153" t="s">
        <v>659</v>
      </c>
      <c r="Q5" s="4152" t="s">
        <v>160</v>
      </c>
      <c r="R5" s="4153" t="s">
        <v>658</v>
      </c>
      <c r="S5" s="4153" t="s">
        <v>659</v>
      </c>
      <c r="T5" s="4152" t="s">
        <v>160</v>
      </c>
    </row>
    <row r="6" spans="1:20" ht="15" x14ac:dyDescent="0.2">
      <c r="A6" s="262"/>
      <c r="B6" s="262"/>
      <c r="C6" s="262"/>
      <c r="D6" s="262"/>
      <c r="E6" s="262"/>
      <c r="F6" s="262"/>
      <c r="I6" s="262"/>
      <c r="J6" s="262"/>
      <c r="K6" s="262"/>
      <c r="L6" s="262"/>
      <c r="O6" s="262"/>
      <c r="P6" s="262"/>
      <c r="Q6" s="262"/>
      <c r="R6" s="262"/>
    </row>
    <row r="7" spans="1:20" ht="15" customHeight="1" x14ac:dyDescent="0.2">
      <c r="A7" s="5778" t="s">
        <v>161</v>
      </c>
      <c r="B7" s="263" t="s">
        <v>5</v>
      </c>
      <c r="C7" s="264">
        <f>+'4 Serv Social plan'!D16</f>
        <v>2</v>
      </c>
      <c r="D7" s="266">
        <f>+'4 Serv Social plan'!E16</f>
        <v>3</v>
      </c>
      <c r="E7" s="537">
        <f>+'4 Serv Social plan'!F16</f>
        <v>5</v>
      </c>
      <c r="F7" s="264">
        <f>+'4 Serv Social plan'!G16</f>
        <v>2</v>
      </c>
      <c r="G7" s="266">
        <f>+'4 Serv Social plan'!H16</f>
        <v>3</v>
      </c>
      <c r="H7" s="537">
        <f>+'4 Serv Social plan'!I16</f>
        <v>5</v>
      </c>
      <c r="I7" s="264">
        <f>+'4 Serv Social plan'!J16</f>
        <v>10</v>
      </c>
      <c r="J7" s="266">
        <f>+'4 Serv Social plan'!K16</f>
        <v>14</v>
      </c>
      <c r="K7" s="537">
        <f>+'4 Serv Social plan'!L16</f>
        <v>24</v>
      </c>
      <c r="L7" s="264">
        <f>+'4 Serv Social plan'!M16</f>
        <v>9</v>
      </c>
      <c r="M7" s="266">
        <f>+'4 Serv Social plan'!N16</f>
        <v>14</v>
      </c>
      <c r="N7" s="537">
        <f>+'4 Serv Social plan'!O16</f>
        <v>23</v>
      </c>
      <c r="O7" s="264">
        <f>+'4 Serv Social plan'!P16</f>
        <v>2</v>
      </c>
      <c r="P7" s="266">
        <f>+'4 Serv Social plan'!Q16</f>
        <v>0</v>
      </c>
      <c r="Q7" s="537">
        <f>+'4 Serv Social plan'!R16</f>
        <v>2</v>
      </c>
      <c r="R7" s="264">
        <f>+'4 Serv Social plan'!S16</f>
        <v>2</v>
      </c>
      <c r="S7" s="266">
        <f>+'4 Serv Social plan'!T16</f>
        <v>0</v>
      </c>
      <c r="T7" s="537">
        <f>+'4 Serv Social plan'!U16</f>
        <v>2</v>
      </c>
    </row>
    <row r="8" spans="1:20" ht="15" customHeight="1" x14ac:dyDescent="0.2">
      <c r="A8" s="5779"/>
      <c r="B8" s="267" t="s">
        <v>6</v>
      </c>
      <c r="C8" s="268">
        <f>+'4 Serv Social plan'!D21</f>
        <v>11</v>
      </c>
      <c r="D8" s="270">
        <f>+'4 Serv Social plan'!E21</f>
        <v>9</v>
      </c>
      <c r="E8" s="538">
        <f>+'4 Serv Social plan'!F21</f>
        <v>20</v>
      </c>
      <c r="F8" s="268">
        <f>+'4 Serv Social plan'!G21</f>
        <v>11</v>
      </c>
      <c r="G8" s="270">
        <f>+'4 Serv Social plan'!H21</f>
        <v>8</v>
      </c>
      <c r="H8" s="538">
        <f>+'4 Serv Social plan'!I21</f>
        <v>19</v>
      </c>
      <c r="I8" s="268">
        <f>+'4 Serv Social plan'!J21</f>
        <v>38</v>
      </c>
      <c r="J8" s="270">
        <f>+'4 Serv Social plan'!K21</f>
        <v>13</v>
      </c>
      <c r="K8" s="538">
        <f>+'4 Serv Social plan'!L21</f>
        <v>51</v>
      </c>
      <c r="L8" s="268">
        <f>+'4 Serv Social plan'!M21</f>
        <v>39</v>
      </c>
      <c r="M8" s="270">
        <f>+'4 Serv Social plan'!N21</f>
        <v>15</v>
      </c>
      <c r="N8" s="538">
        <f>+'4 Serv Social plan'!O21</f>
        <v>54</v>
      </c>
      <c r="O8" s="268">
        <f>+'4 Serv Social plan'!P21</f>
        <v>1</v>
      </c>
      <c r="P8" s="270">
        <f>+'4 Serv Social plan'!Q21</f>
        <v>0</v>
      </c>
      <c r="Q8" s="538">
        <f>+'4 Serv Social plan'!R21</f>
        <v>1</v>
      </c>
      <c r="R8" s="268">
        <f>+'4 Serv Social plan'!S21</f>
        <v>1</v>
      </c>
      <c r="S8" s="270">
        <f>+'4 Serv Social plan'!T21</f>
        <v>0</v>
      </c>
      <c r="T8" s="538">
        <f>+'4 Serv Social plan'!U21</f>
        <v>1</v>
      </c>
    </row>
    <row r="9" spans="1:20" ht="15" customHeight="1" x14ac:dyDescent="0.2">
      <c r="A9" s="5779"/>
      <c r="B9" s="267" t="s">
        <v>7</v>
      </c>
      <c r="C9" s="2761">
        <f>+'4 Serv Social plan'!D25</f>
        <v>2</v>
      </c>
      <c r="D9" s="2763">
        <f>+'4 Serv Social plan'!E25</f>
        <v>2</v>
      </c>
      <c r="E9" s="4154">
        <f>+'4 Serv Social plan'!F25</f>
        <v>4</v>
      </c>
      <c r="F9" s="2761">
        <f>+'4 Serv Social plan'!G25</f>
        <v>2</v>
      </c>
      <c r="G9" s="2763">
        <f>+'4 Serv Social plan'!H25</f>
        <v>1</v>
      </c>
      <c r="H9" s="4154">
        <f>+'4 Serv Social plan'!I25</f>
        <v>3</v>
      </c>
      <c r="I9" s="2761">
        <f>+'4 Serv Social plan'!J25</f>
        <v>13</v>
      </c>
      <c r="J9" s="2763">
        <f>+'4 Serv Social plan'!K25</f>
        <v>10</v>
      </c>
      <c r="K9" s="4154">
        <f>+'4 Serv Social plan'!L25</f>
        <v>23</v>
      </c>
      <c r="L9" s="2761">
        <f>+'4 Serv Social plan'!M25</f>
        <v>13</v>
      </c>
      <c r="M9" s="2763">
        <f>+'4 Serv Social plan'!N25</f>
        <v>10</v>
      </c>
      <c r="N9" s="4154">
        <f>+'4 Serv Social plan'!O25</f>
        <v>23</v>
      </c>
      <c r="O9" s="2761">
        <f>+'4 Serv Social plan'!P25</f>
        <v>7</v>
      </c>
      <c r="P9" s="2763">
        <f>+'4 Serv Social plan'!Q25</f>
        <v>0</v>
      </c>
      <c r="Q9" s="4154">
        <f>+'4 Serv Social plan'!R25</f>
        <v>7</v>
      </c>
      <c r="R9" s="2761">
        <f>+'4 Serv Social plan'!S25</f>
        <v>7</v>
      </c>
      <c r="S9" s="2763">
        <f>+'4 Serv Social plan'!T25</f>
        <v>0</v>
      </c>
      <c r="T9" s="4154">
        <f>+'4 Serv Social plan'!U25</f>
        <v>7</v>
      </c>
    </row>
    <row r="10" spans="1:20" ht="15" customHeight="1" x14ac:dyDescent="0.2">
      <c r="A10" s="5780"/>
      <c r="B10" s="2231" t="s">
        <v>160</v>
      </c>
      <c r="C10" s="2285">
        <f t="shared" ref="C10:N10" si="0">SUM(C7:C9)</f>
        <v>15</v>
      </c>
      <c r="D10" s="2287">
        <f t="shared" si="0"/>
        <v>14</v>
      </c>
      <c r="E10" s="4155">
        <f t="shared" si="0"/>
        <v>29</v>
      </c>
      <c r="F10" s="2285">
        <f t="shared" si="0"/>
        <v>15</v>
      </c>
      <c r="G10" s="2287">
        <f t="shared" si="0"/>
        <v>12</v>
      </c>
      <c r="H10" s="4155">
        <f t="shared" si="0"/>
        <v>27</v>
      </c>
      <c r="I10" s="2285">
        <f t="shared" si="0"/>
        <v>61</v>
      </c>
      <c r="J10" s="2287">
        <f t="shared" si="0"/>
        <v>37</v>
      </c>
      <c r="K10" s="4155">
        <f t="shared" si="0"/>
        <v>98</v>
      </c>
      <c r="L10" s="2285">
        <f t="shared" si="0"/>
        <v>61</v>
      </c>
      <c r="M10" s="2287">
        <f t="shared" si="0"/>
        <v>39</v>
      </c>
      <c r="N10" s="4155">
        <f t="shared" si="0"/>
        <v>100</v>
      </c>
      <c r="O10" s="2285">
        <f t="shared" ref="O10:T10" si="1">SUM(O7:O9)</f>
        <v>10</v>
      </c>
      <c r="P10" s="2287">
        <f t="shared" si="1"/>
        <v>0</v>
      </c>
      <c r="Q10" s="4155">
        <f t="shared" si="1"/>
        <v>10</v>
      </c>
      <c r="R10" s="2285">
        <f t="shared" si="1"/>
        <v>10</v>
      </c>
      <c r="S10" s="2287">
        <f t="shared" si="1"/>
        <v>0</v>
      </c>
      <c r="T10" s="4155">
        <f t="shared" si="1"/>
        <v>10</v>
      </c>
    </row>
    <row r="11" spans="1:20" ht="15.75" x14ac:dyDescent="0.25">
      <c r="A11" s="1781"/>
      <c r="B11" s="209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</row>
    <row r="12" spans="1:20" ht="15" customHeight="1" x14ac:dyDescent="0.2">
      <c r="A12" s="5781" t="s">
        <v>407</v>
      </c>
      <c r="B12" s="263" t="s">
        <v>6</v>
      </c>
      <c r="C12" s="264">
        <f>+'4 Serv Social plan'!D83</f>
        <v>4</v>
      </c>
      <c r="D12" s="266">
        <f>+'4 Serv Social plan'!E83</f>
        <v>2</v>
      </c>
      <c r="E12" s="537">
        <f>+'4 Serv Social plan'!F83</f>
        <v>6</v>
      </c>
      <c r="F12" s="264">
        <f>+'4 Serv Social plan'!G83</f>
        <v>4</v>
      </c>
      <c r="G12" s="266">
        <f>+'4 Serv Social plan'!H83</f>
        <v>2</v>
      </c>
      <c r="H12" s="537">
        <f>+'4 Serv Social plan'!I83</f>
        <v>6</v>
      </c>
      <c r="I12" s="264">
        <f>+'4 Serv Social plan'!J83</f>
        <v>10</v>
      </c>
      <c r="J12" s="266">
        <f>+'4 Serv Social plan'!K83</f>
        <v>2</v>
      </c>
      <c r="K12" s="537">
        <f>+'4 Serv Social plan'!L83</f>
        <v>12</v>
      </c>
      <c r="L12" s="264">
        <f>+'4 Serv Social plan'!M83</f>
        <v>11</v>
      </c>
      <c r="M12" s="266">
        <f>+'4 Serv Social plan'!N83</f>
        <v>3</v>
      </c>
      <c r="N12" s="537">
        <f>+'4 Serv Social plan'!O83</f>
        <v>14</v>
      </c>
      <c r="O12" s="264">
        <f>+'4 Serv Social plan'!P83</f>
        <v>0</v>
      </c>
      <c r="P12" s="266">
        <f>+'4 Serv Social plan'!Q83</f>
        <v>0</v>
      </c>
      <c r="Q12" s="537">
        <f>+'4 Serv Social plan'!R83</f>
        <v>0</v>
      </c>
      <c r="R12" s="264">
        <f>+'4 Serv Social plan'!S83</f>
        <v>0</v>
      </c>
      <c r="S12" s="266">
        <f>+'4 Serv Social plan'!T83</f>
        <v>0</v>
      </c>
      <c r="T12" s="537">
        <f>+'4 Serv Social plan'!U83</f>
        <v>0</v>
      </c>
    </row>
    <row r="13" spans="1:20" ht="15" customHeight="1" x14ac:dyDescent="0.2">
      <c r="A13" s="5782"/>
      <c r="B13" s="267" t="s">
        <v>9</v>
      </c>
      <c r="C13" s="268">
        <f>+'4 Serv Social plan'!D87</f>
        <v>10</v>
      </c>
      <c r="D13" s="270">
        <f>+'4 Serv Social plan'!E87</f>
        <v>4</v>
      </c>
      <c r="E13" s="538">
        <f>+'4 Serv Social plan'!F87</f>
        <v>14</v>
      </c>
      <c r="F13" s="268">
        <f>+'4 Serv Social plan'!G87</f>
        <v>10</v>
      </c>
      <c r="G13" s="270">
        <f>+'4 Serv Social plan'!H87</f>
        <v>4</v>
      </c>
      <c r="H13" s="538">
        <f>+'4 Serv Social plan'!I87</f>
        <v>14</v>
      </c>
      <c r="I13" s="268">
        <f>+'4 Serv Social plan'!J87</f>
        <v>7</v>
      </c>
      <c r="J13" s="270">
        <f>+'4 Serv Social plan'!K87</f>
        <v>1</v>
      </c>
      <c r="K13" s="538">
        <f>+'4 Serv Social plan'!L87</f>
        <v>8</v>
      </c>
      <c r="L13" s="268">
        <f>+'4 Serv Social plan'!M87</f>
        <v>13</v>
      </c>
      <c r="M13" s="270">
        <f>+'4 Serv Social plan'!N87</f>
        <v>3</v>
      </c>
      <c r="N13" s="538">
        <f>+'4 Serv Social plan'!O87</f>
        <v>16</v>
      </c>
      <c r="O13" s="268">
        <f>+'4 Serv Social plan'!P87</f>
        <v>1</v>
      </c>
      <c r="P13" s="270">
        <f>+'4 Serv Social plan'!Q87</f>
        <v>0</v>
      </c>
      <c r="Q13" s="538">
        <f>+'4 Serv Social plan'!R87</f>
        <v>1</v>
      </c>
      <c r="R13" s="268">
        <f>+'4 Serv Social plan'!S87</f>
        <v>1</v>
      </c>
      <c r="S13" s="270">
        <f>+'4 Serv Social plan'!T87</f>
        <v>0</v>
      </c>
      <c r="T13" s="538">
        <f>+'4 Serv Social plan'!U87</f>
        <v>1</v>
      </c>
    </row>
    <row r="14" spans="1:20" ht="15" customHeight="1" x14ac:dyDescent="0.2">
      <c r="A14" s="5782"/>
      <c r="B14" s="267" t="s">
        <v>74</v>
      </c>
      <c r="C14" s="2761">
        <f>+'4 Serv Social plan'!D93</f>
        <v>4</v>
      </c>
      <c r="D14" s="2763">
        <f>+'4 Serv Social plan'!E93</f>
        <v>10</v>
      </c>
      <c r="E14" s="4154">
        <f>+'4 Serv Social plan'!F93</f>
        <v>14</v>
      </c>
      <c r="F14" s="2761">
        <f>+'4 Serv Social plan'!G93</f>
        <v>4</v>
      </c>
      <c r="G14" s="2763">
        <f>+'4 Serv Social plan'!H93</f>
        <v>10</v>
      </c>
      <c r="H14" s="4154">
        <f>+'4 Serv Social plan'!I93</f>
        <v>14</v>
      </c>
      <c r="I14" s="2761">
        <f>+'4 Serv Social plan'!J93</f>
        <v>1</v>
      </c>
      <c r="J14" s="2763">
        <f>+'4 Serv Social plan'!K93</f>
        <v>2</v>
      </c>
      <c r="K14" s="4154">
        <f>+'4 Serv Social plan'!L93</f>
        <v>3</v>
      </c>
      <c r="L14" s="2761">
        <f>+'4 Serv Social plan'!M93</f>
        <v>3</v>
      </c>
      <c r="M14" s="2763">
        <f>+'4 Serv Social plan'!N93</f>
        <v>5</v>
      </c>
      <c r="N14" s="4154">
        <f>+'4 Serv Social plan'!O93</f>
        <v>8</v>
      </c>
      <c r="O14" s="2761">
        <f>+'4 Serv Social plan'!P93</f>
        <v>0</v>
      </c>
      <c r="P14" s="2763">
        <f>+'4 Serv Social plan'!Q93</f>
        <v>3</v>
      </c>
      <c r="Q14" s="4154">
        <f>+'4 Serv Social plan'!R93</f>
        <v>3</v>
      </c>
      <c r="R14" s="2761">
        <f>+'4 Serv Social plan'!S93</f>
        <v>0</v>
      </c>
      <c r="S14" s="2763">
        <f>+'4 Serv Social plan'!T93</f>
        <v>3</v>
      </c>
      <c r="T14" s="4154">
        <f>+'4 Serv Social plan'!U93</f>
        <v>3</v>
      </c>
    </row>
    <row r="15" spans="1:20" ht="15" customHeight="1" x14ac:dyDescent="0.2">
      <c r="A15" s="5783"/>
      <c r="B15" s="2228" t="s">
        <v>160</v>
      </c>
      <c r="C15" s="2278">
        <f t="shared" ref="C15:N15" si="2">SUM(C12:C14)</f>
        <v>18</v>
      </c>
      <c r="D15" s="2280">
        <f t="shared" si="2"/>
        <v>16</v>
      </c>
      <c r="E15" s="4156">
        <f t="shared" si="2"/>
        <v>34</v>
      </c>
      <c r="F15" s="2278">
        <f t="shared" si="2"/>
        <v>18</v>
      </c>
      <c r="G15" s="2280">
        <f t="shared" si="2"/>
        <v>16</v>
      </c>
      <c r="H15" s="4156">
        <f t="shared" si="2"/>
        <v>34</v>
      </c>
      <c r="I15" s="2278">
        <f t="shared" si="2"/>
        <v>18</v>
      </c>
      <c r="J15" s="2280">
        <f t="shared" si="2"/>
        <v>5</v>
      </c>
      <c r="K15" s="4156">
        <f t="shared" si="2"/>
        <v>23</v>
      </c>
      <c r="L15" s="2278">
        <f t="shared" si="2"/>
        <v>27</v>
      </c>
      <c r="M15" s="2280">
        <f t="shared" si="2"/>
        <v>11</v>
      </c>
      <c r="N15" s="4156">
        <f t="shared" si="2"/>
        <v>38</v>
      </c>
      <c r="O15" s="2278">
        <f t="shared" ref="O15:T15" si="3">SUM(O12:O14)</f>
        <v>1</v>
      </c>
      <c r="P15" s="2280">
        <f t="shared" si="3"/>
        <v>3</v>
      </c>
      <c r="Q15" s="4156">
        <f t="shared" si="3"/>
        <v>4</v>
      </c>
      <c r="R15" s="2278">
        <f t="shared" si="3"/>
        <v>1</v>
      </c>
      <c r="S15" s="2280">
        <f t="shared" si="3"/>
        <v>3</v>
      </c>
      <c r="T15" s="4156">
        <f t="shared" si="3"/>
        <v>4</v>
      </c>
    </row>
    <row r="16" spans="1:20" ht="15.75" x14ac:dyDescent="0.25">
      <c r="A16" s="1781"/>
      <c r="B16" s="689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89"/>
      <c r="T16" s="689"/>
    </row>
    <row r="17" spans="1:20" ht="15" customHeight="1" x14ac:dyDescent="0.2">
      <c r="A17" s="5772" t="s">
        <v>162</v>
      </c>
      <c r="B17" s="263" t="s">
        <v>5</v>
      </c>
      <c r="C17" s="264">
        <f>+'4 Serv Social plan'!D36</f>
        <v>1</v>
      </c>
      <c r="D17" s="266">
        <f>+'4 Serv Social plan'!E36</f>
        <v>1</v>
      </c>
      <c r="E17" s="537">
        <f>+'4 Serv Social plan'!F36</f>
        <v>2</v>
      </c>
      <c r="F17" s="264">
        <f>+'4 Serv Social plan'!G36</f>
        <v>1</v>
      </c>
      <c r="G17" s="266">
        <f>+'4 Serv Social plan'!H36</f>
        <v>1</v>
      </c>
      <c r="H17" s="537">
        <f>+'4 Serv Social plan'!I36</f>
        <v>2</v>
      </c>
      <c r="I17" s="264">
        <f>+'4 Serv Social plan'!J36</f>
        <v>2</v>
      </c>
      <c r="J17" s="266">
        <f>+'4 Serv Social plan'!K36</f>
        <v>2</v>
      </c>
      <c r="K17" s="537">
        <f>+'4 Serv Social plan'!L36</f>
        <v>4</v>
      </c>
      <c r="L17" s="264">
        <f>+'4 Serv Social plan'!M36</f>
        <v>3</v>
      </c>
      <c r="M17" s="266">
        <f>+'4 Serv Social plan'!N36</f>
        <v>2</v>
      </c>
      <c r="N17" s="537">
        <f>+'4 Serv Social plan'!O36</f>
        <v>5</v>
      </c>
      <c r="O17" s="264">
        <f>+'4 Serv Social plan'!P36</f>
        <v>0</v>
      </c>
      <c r="P17" s="266">
        <f>+'4 Serv Social plan'!Q36</f>
        <v>0</v>
      </c>
      <c r="Q17" s="537">
        <f>+'4 Serv Social plan'!R36</f>
        <v>0</v>
      </c>
      <c r="R17" s="264">
        <f>+'4 Serv Social plan'!S36</f>
        <v>0</v>
      </c>
      <c r="S17" s="266">
        <f>+'4 Serv Social plan'!T36</f>
        <v>0</v>
      </c>
      <c r="T17" s="537">
        <f>+'4 Serv Social plan'!U36</f>
        <v>0</v>
      </c>
    </row>
    <row r="18" spans="1:20" ht="15" customHeight="1" x14ac:dyDescent="0.2">
      <c r="A18" s="5773"/>
      <c r="B18" s="267" t="s">
        <v>6</v>
      </c>
      <c r="C18" s="268">
        <f>+'4 Serv Social plan'!D49</f>
        <v>12</v>
      </c>
      <c r="D18" s="270">
        <f>+'4 Serv Social plan'!E49</f>
        <v>9</v>
      </c>
      <c r="E18" s="538">
        <f>+'4 Serv Social plan'!F49</f>
        <v>21</v>
      </c>
      <c r="F18" s="268">
        <f>+'4 Serv Social plan'!G49</f>
        <v>12</v>
      </c>
      <c r="G18" s="270">
        <f>+'4 Serv Social plan'!H49</f>
        <v>9</v>
      </c>
      <c r="H18" s="538">
        <f>+'4 Serv Social plan'!I49</f>
        <v>21</v>
      </c>
      <c r="I18" s="268">
        <f>+'4 Serv Social plan'!J49</f>
        <v>47</v>
      </c>
      <c r="J18" s="270">
        <f>+'4 Serv Social plan'!K49</f>
        <v>18</v>
      </c>
      <c r="K18" s="538">
        <f>+'4 Serv Social plan'!L49</f>
        <v>65</v>
      </c>
      <c r="L18" s="268">
        <f>+'4 Serv Social plan'!M49</f>
        <v>50</v>
      </c>
      <c r="M18" s="270">
        <f>+'4 Serv Social plan'!N49</f>
        <v>22</v>
      </c>
      <c r="N18" s="538">
        <f>+'4 Serv Social plan'!O49</f>
        <v>72</v>
      </c>
      <c r="O18" s="268">
        <f>+'4 Serv Social plan'!P49</f>
        <v>3</v>
      </c>
      <c r="P18" s="270">
        <f>+'4 Serv Social plan'!Q49</f>
        <v>2</v>
      </c>
      <c r="Q18" s="538">
        <f>+'4 Serv Social plan'!R49</f>
        <v>5</v>
      </c>
      <c r="R18" s="268">
        <f>+'4 Serv Social plan'!S49</f>
        <v>3</v>
      </c>
      <c r="S18" s="270">
        <f>+'4 Serv Social plan'!T49</f>
        <v>2</v>
      </c>
      <c r="T18" s="538">
        <f>+'4 Serv Social plan'!U49</f>
        <v>5</v>
      </c>
    </row>
    <row r="19" spans="1:20" ht="15" customHeight="1" x14ac:dyDescent="0.2">
      <c r="A19" s="5773"/>
      <c r="B19" s="267" t="s">
        <v>11</v>
      </c>
      <c r="C19" s="2761">
        <f>+'4 Serv Social plan'!D56</f>
        <v>9</v>
      </c>
      <c r="D19" s="2763">
        <f>+'4 Serv Social plan'!E56</f>
        <v>1</v>
      </c>
      <c r="E19" s="4154">
        <f>+'4 Serv Social plan'!F56</f>
        <v>10</v>
      </c>
      <c r="F19" s="2761">
        <f>+'4 Serv Social plan'!G56</f>
        <v>9</v>
      </c>
      <c r="G19" s="2763">
        <f>+'4 Serv Social plan'!H56</f>
        <v>1</v>
      </c>
      <c r="H19" s="4154">
        <f>+'4 Serv Social plan'!I56</f>
        <v>10</v>
      </c>
      <c r="I19" s="2761">
        <f>+'4 Serv Social plan'!J56</f>
        <v>12</v>
      </c>
      <c r="J19" s="2763">
        <f>+'4 Serv Social plan'!K56</f>
        <v>2</v>
      </c>
      <c r="K19" s="4154">
        <f>+'4 Serv Social plan'!L56</f>
        <v>14</v>
      </c>
      <c r="L19" s="2761">
        <f>+'4 Serv Social plan'!M56</f>
        <v>15</v>
      </c>
      <c r="M19" s="2763">
        <f>+'4 Serv Social plan'!N56</f>
        <v>3</v>
      </c>
      <c r="N19" s="4154">
        <f>+'4 Serv Social plan'!O56</f>
        <v>18</v>
      </c>
      <c r="O19" s="2761">
        <f>+'4 Serv Social plan'!P56</f>
        <v>2</v>
      </c>
      <c r="P19" s="2763">
        <f>+'4 Serv Social plan'!Q56</f>
        <v>1</v>
      </c>
      <c r="Q19" s="4154">
        <f>+'4 Serv Social plan'!R56</f>
        <v>3</v>
      </c>
      <c r="R19" s="2761">
        <f>+'4 Serv Social plan'!S56</f>
        <v>2</v>
      </c>
      <c r="S19" s="2763">
        <f>+'4 Serv Social plan'!T56</f>
        <v>1</v>
      </c>
      <c r="T19" s="4154">
        <f>+'4 Serv Social plan'!U56</f>
        <v>3</v>
      </c>
    </row>
    <row r="20" spans="1:20" ht="15" customHeight="1" x14ac:dyDescent="0.2">
      <c r="A20" s="5774"/>
      <c r="B20" s="2225" t="s">
        <v>160</v>
      </c>
      <c r="C20" s="2292">
        <f t="shared" ref="C20:H20" si="4">SUM(C17:C19)</f>
        <v>22</v>
      </c>
      <c r="D20" s="2294">
        <f t="shared" si="4"/>
        <v>11</v>
      </c>
      <c r="E20" s="4158">
        <f t="shared" si="4"/>
        <v>33</v>
      </c>
      <c r="F20" s="2292">
        <f t="shared" si="4"/>
        <v>22</v>
      </c>
      <c r="G20" s="2294">
        <f t="shared" si="4"/>
        <v>11</v>
      </c>
      <c r="H20" s="4158">
        <f t="shared" si="4"/>
        <v>33</v>
      </c>
      <c r="I20" s="2292">
        <f t="shared" ref="I20:N20" si="5">SUM(I17:I19)</f>
        <v>61</v>
      </c>
      <c r="J20" s="2294">
        <f t="shared" si="5"/>
        <v>22</v>
      </c>
      <c r="K20" s="4158">
        <f t="shared" si="5"/>
        <v>83</v>
      </c>
      <c r="L20" s="2292">
        <f t="shared" si="5"/>
        <v>68</v>
      </c>
      <c r="M20" s="2294">
        <f t="shared" si="5"/>
        <v>27</v>
      </c>
      <c r="N20" s="4158">
        <f t="shared" si="5"/>
        <v>95</v>
      </c>
      <c r="O20" s="2292">
        <f t="shared" ref="O20:T20" si="6">SUM(O17:O19)</f>
        <v>5</v>
      </c>
      <c r="P20" s="2294">
        <f t="shared" si="6"/>
        <v>3</v>
      </c>
      <c r="Q20" s="4158">
        <f t="shared" si="6"/>
        <v>8</v>
      </c>
      <c r="R20" s="2292">
        <f t="shared" si="6"/>
        <v>5</v>
      </c>
      <c r="S20" s="2294">
        <f t="shared" si="6"/>
        <v>3</v>
      </c>
      <c r="T20" s="4158">
        <f t="shared" si="6"/>
        <v>8</v>
      </c>
    </row>
    <row r="21" spans="1:20" ht="15" x14ac:dyDescent="0.2">
      <c r="A21" s="195"/>
      <c r="B21" s="689"/>
      <c r="C21" s="689"/>
      <c r="D21" s="689"/>
      <c r="E21" s="689"/>
      <c r="F21" s="689"/>
      <c r="G21" s="689"/>
      <c r="H21" s="689"/>
      <c r="I21" s="689"/>
      <c r="J21" s="689"/>
      <c r="K21" s="689"/>
      <c r="L21" s="689"/>
      <c r="M21" s="689"/>
      <c r="N21" s="689"/>
      <c r="O21" s="689"/>
      <c r="P21" s="689"/>
      <c r="Q21" s="689"/>
      <c r="R21" s="689"/>
      <c r="S21" s="689"/>
      <c r="T21" s="689"/>
    </row>
    <row r="22" spans="1:20" ht="15" customHeight="1" x14ac:dyDescent="0.2">
      <c r="A22" s="5775" t="s">
        <v>408</v>
      </c>
      <c r="B22" s="263" t="s">
        <v>5</v>
      </c>
      <c r="C22" s="264">
        <f>+'4 Serv Social plan'!D96</f>
        <v>2</v>
      </c>
      <c r="D22" s="266">
        <f>+'4 Serv Social plan'!E96</f>
        <v>1</v>
      </c>
      <c r="E22" s="537">
        <f>+'4 Serv Social plan'!F96</f>
        <v>3</v>
      </c>
      <c r="F22" s="264">
        <f>+'4 Serv Social plan'!G96</f>
        <v>2</v>
      </c>
      <c r="G22" s="266">
        <f>+'4 Serv Social plan'!H96</f>
        <v>1</v>
      </c>
      <c r="H22" s="537">
        <f>+'4 Serv Social plan'!I96</f>
        <v>3</v>
      </c>
      <c r="I22" s="264">
        <f>+'4 Serv Social plan'!J96</f>
        <v>3</v>
      </c>
      <c r="J22" s="266">
        <f>+'4 Serv Social plan'!K96</f>
        <v>3</v>
      </c>
      <c r="K22" s="537">
        <f>+'4 Serv Social plan'!L96</f>
        <v>6</v>
      </c>
      <c r="L22" s="264">
        <f>+'4 Serv Social plan'!M96</f>
        <v>2</v>
      </c>
      <c r="M22" s="266">
        <f>+'4 Serv Social plan'!N96</f>
        <v>3</v>
      </c>
      <c r="N22" s="537">
        <f>+'4 Serv Social plan'!O96</f>
        <v>5</v>
      </c>
      <c r="O22" s="264">
        <f>+'4 Serv Social plan'!P96</f>
        <v>0</v>
      </c>
      <c r="P22" s="266">
        <f>+'4 Serv Social plan'!Q96</f>
        <v>0</v>
      </c>
      <c r="Q22" s="537">
        <f>+'4 Serv Social plan'!R96</f>
        <v>0</v>
      </c>
      <c r="R22" s="264">
        <f>+'4 Serv Social plan'!S96</f>
        <v>0</v>
      </c>
      <c r="S22" s="266">
        <f>+'4 Serv Social plan'!T96</f>
        <v>0</v>
      </c>
      <c r="T22" s="537">
        <f>+'4 Serv Social plan'!U96</f>
        <v>0</v>
      </c>
    </row>
    <row r="23" spans="1:20" ht="15" customHeight="1" x14ac:dyDescent="0.2">
      <c r="A23" s="5776"/>
      <c r="B23" s="267" t="s">
        <v>6</v>
      </c>
      <c r="C23" s="268">
        <f>+'4 Serv Social plan'!D99</f>
        <v>0</v>
      </c>
      <c r="D23" s="270">
        <f>+'4 Serv Social plan'!E99</f>
        <v>0</v>
      </c>
      <c r="E23" s="538">
        <f>+'4 Serv Social plan'!F99</f>
        <v>0</v>
      </c>
      <c r="F23" s="268">
        <f>+'4 Serv Social plan'!G99</f>
        <v>0</v>
      </c>
      <c r="G23" s="270">
        <f>+'4 Serv Social plan'!H99</f>
        <v>0</v>
      </c>
      <c r="H23" s="538">
        <f>+'4 Serv Social plan'!I99</f>
        <v>0</v>
      </c>
      <c r="I23" s="268">
        <f>+'4 Serv Social plan'!J99</f>
        <v>6</v>
      </c>
      <c r="J23" s="270">
        <f>+'4 Serv Social plan'!K99</f>
        <v>1</v>
      </c>
      <c r="K23" s="538">
        <f>+'4 Serv Social plan'!L99</f>
        <v>7</v>
      </c>
      <c r="L23" s="268">
        <f>+'4 Serv Social plan'!M99</f>
        <v>6</v>
      </c>
      <c r="M23" s="270">
        <f>+'4 Serv Social plan'!N99</f>
        <v>1</v>
      </c>
      <c r="N23" s="538">
        <f>+'4 Serv Social plan'!O99</f>
        <v>7</v>
      </c>
      <c r="O23" s="268">
        <f>+'4 Serv Social plan'!P99</f>
        <v>0</v>
      </c>
      <c r="P23" s="270">
        <f>+'4 Serv Social plan'!Q99</f>
        <v>0</v>
      </c>
      <c r="Q23" s="538">
        <f>+'4 Serv Social plan'!R99</f>
        <v>0</v>
      </c>
      <c r="R23" s="268">
        <f>+'4 Serv Social plan'!S99</f>
        <v>0</v>
      </c>
      <c r="S23" s="270">
        <f>+'4 Serv Social plan'!T99</f>
        <v>0</v>
      </c>
      <c r="T23" s="538">
        <f>+'4 Serv Social plan'!U99</f>
        <v>0</v>
      </c>
    </row>
    <row r="24" spans="1:20" ht="15" customHeight="1" x14ac:dyDescent="0.2">
      <c r="A24" s="5776"/>
      <c r="B24" s="267" t="s">
        <v>11</v>
      </c>
      <c r="C24" s="2761">
        <f>+'4 Serv Social plan'!D101</f>
        <v>3</v>
      </c>
      <c r="D24" s="2763">
        <f>+'4 Serv Social plan'!E101</f>
        <v>1</v>
      </c>
      <c r="E24" s="4154">
        <f>+'4 Serv Social plan'!F101</f>
        <v>4</v>
      </c>
      <c r="F24" s="2761">
        <f>+'4 Serv Social plan'!G101</f>
        <v>3</v>
      </c>
      <c r="G24" s="2763">
        <f>+'4 Serv Social plan'!H101</f>
        <v>1</v>
      </c>
      <c r="H24" s="4154">
        <f>+'4 Serv Social plan'!I101</f>
        <v>4</v>
      </c>
      <c r="I24" s="2761">
        <f>+'4 Serv Social plan'!J101</f>
        <v>2</v>
      </c>
      <c r="J24" s="2763">
        <f>+'4 Serv Social plan'!K101</f>
        <v>1</v>
      </c>
      <c r="K24" s="4154">
        <f>+'4 Serv Social plan'!L101</f>
        <v>3</v>
      </c>
      <c r="L24" s="2761">
        <f>+'4 Serv Social plan'!M101</f>
        <v>1</v>
      </c>
      <c r="M24" s="2763">
        <f>+'4 Serv Social plan'!N101</f>
        <v>1</v>
      </c>
      <c r="N24" s="4154">
        <f>+'4 Serv Social plan'!O101</f>
        <v>2</v>
      </c>
      <c r="O24" s="2761">
        <f>+'4 Serv Social plan'!P101</f>
        <v>1</v>
      </c>
      <c r="P24" s="2763">
        <f>+'4 Serv Social plan'!Q101</f>
        <v>0</v>
      </c>
      <c r="Q24" s="4154">
        <f>+'4 Serv Social plan'!R101</f>
        <v>1</v>
      </c>
      <c r="R24" s="2761">
        <f>+'4 Serv Social plan'!S101</f>
        <v>1</v>
      </c>
      <c r="S24" s="2763">
        <f>+'4 Serv Social plan'!T101</f>
        <v>0</v>
      </c>
      <c r="T24" s="4154">
        <f>+'4 Serv Social plan'!U101</f>
        <v>1</v>
      </c>
    </row>
    <row r="25" spans="1:20" ht="15" customHeight="1" x14ac:dyDescent="0.2">
      <c r="A25" s="5777"/>
      <c r="B25" s="2223" t="s">
        <v>160</v>
      </c>
      <c r="C25" s="2304">
        <f t="shared" ref="C25:N25" si="7">SUM(C22:C24)</f>
        <v>5</v>
      </c>
      <c r="D25" s="2306">
        <f t="shared" si="7"/>
        <v>2</v>
      </c>
      <c r="E25" s="4160">
        <f t="shared" si="7"/>
        <v>7</v>
      </c>
      <c r="F25" s="2304">
        <f t="shared" si="7"/>
        <v>5</v>
      </c>
      <c r="G25" s="2306">
        <f t="shared" si="7"/>
        <v>2</v>
      </c>
      <c r="H25" s="4160">
        <f t="shared" si="7"/>
        <v>7</v>
      </c>
      <c r="I25" s="2304">
        <f t="shared" si="7"/>
        <v>11</v>
      </c>
      <c r="J25" s="2306">
        <f t="shared" si="7"/>
        <v>5</v>
      </c>
      <c r="K25" s="4160">
        <f t="shared" si="7"/>
        <v>16</v>
      </c>
      <c r="L25" s="2304">
        <f t="shared" si="7"/>
        <v>9</v>
      </c>
      <c r="M25" s="2306">
        <f t="shared" si="7"/>
        <v>5</v>
      </c>
      <c r="N25" s="4160">
        <f t="shared" si="7"/>
        <v>14</v>
      </c>
      <c r="O25" s="2304">
        <f t="shared" ref="O25:T25" si="8">SUM(O22:O24)</f>
        <v>1</v>
      </c>
      <c r="P25" s="2306">
        <f t="shared" si="8"/>
        <v>0</v>
      </c>
      <c r="Q25" s="4160">
        <f t="shared" si="8"/>
        <v>1</v>
      </c>
      <c r="R25" s="2304">
        <f t="shared" si="8"/>
        <v>1</v>
      </c>
      <c r="S25" s="2306">
        <f t="shared" si="8"/>
        <v>0</v>
      </c>
      <c r="T25" s="4160">
        <f t="shared" si="8"/>
        <v>1</v>
      </c>
    </row>
    <row r="26" spans="1:20" ht="15.75" x14ac:dyDescent="0.25">
      <c r="A26" s="1781"/>
      <c r="B26" s="209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</row>
    <row r="27" spans="1:20" ht="15" customHeight="1" x14ac:dyDescent="0.2">
      <c r="A27" s="5784" t="s">
        <v>163</v>
      </c>
      <c r="B27" s="263" t="s">
        <v>6</v>
      </c>
      <c r="C27" s="264">
        <f>+'4 Serv Social plan'!D64</f>
        <v>13</v>
      </c>
      <c r="D27" s="266">
        <f>+'4 Serv Social plan'!E64</f>
        <v>13</v>
      </c>
      <c r="E27" s="537">
        <f>+'4 Serv Social plan'!F64</f>
        <v>26</v>
      </c>
      <c r="F27" s="264">
        <f>+'4 Serv Social plan'!G64</f>
        <v>13</v>
      </c>
      <c r="G27" s="266">
        <f>+'4 Serv Social plan'!H64</f>
        <v>13</v>
      </c>
      <c r="H27" s="537">
        <f>+'4 Serv Social plan'!I64</f>
        <v>26</v>
      </c>
      <c r="I27" s="264">
        <f>+'4 Serv Social plan'!J64</f>
        <v>61</v>
      </c>
      <c r="J27" s="266">
        <f>+'4 Serv Social plan'!K64</f>
        <v>28</v>
      </c>
      <c r="K27" s="537">
        <f>+'4 Serv Social plan'!L64</f>
        <v>89</v>
      </c>
      <c r="L27" s="264">
        <f>+'4 Serv Social plan'!M64</f>
        <v>62</v>
      </c>
      <c r="M27" s="266">
        <f>+'4 Serv Social plan'!N64</f>
        <v>28</v>
      </c>
      <c r="N27" s="537">
        <f>+'4 Serv Social plan'!O64</f>
        <v>90</v>
      </c>
      <c r="O27" s="264">
        <f>+'4 Serv Social plan'!P64</f>
        <v>14</v>
      </c>
      <c r="P27" s="266">
        <f>+'4 Serv Social plan'!Q64</f>
        <v>9</v>
      </c>
      <c r="Q27" s="537">
        <f>+'4 Serv Social plan'!R64</f>
        <v>23</v>
      </c>
      <c r="R27" s="264">
        <f>+'4 Serv Social plan'!S64</f>
        <v>14</v>
      </c>
      <c r="S27" s="266">
        <f>+'4 Serv Social plan'!T64</f>
        <v>9</v>
      </c>
      <c r="T27" s="537">
        <f>+'4 Serv Social plan'!U64</f>
        <v>23</v>
      </c>
    </row>
    <row r="28" spans="1:20" ht="15" customHeight="1" x14ac:dyDescent="0.2">
      <c r="A28" s="5785"/>
      <c r="B28" s="267" t="s">
        <v>11</v>
      </c>
      <c r="C28" s="268">
        <f>+'4 Serv Social plan'!D73</f>
        <v>53</v>
      </c>
      <c r="D28" s="270">
        <f>+'4 Serv Social plan'!E73</f>
        <v>23</v>
      </c>
      <c r="E28" s="538">
        <f>+'4 Serv Social plan'!F73</f>
        <v>76</v>
      </c>
      <c r="F28" s="268">
        <f>+'4 Serv Social plan'!G73</f>
        <v>52</v>
      </c>
      <c r="G28" s="270">
        <f>+'4 Serv Social plan'!H73</f>
        <v>23</v>
      </c>
      <c r="H28" s="538">
        <f>+'4 Serv Social plan'!I73</f>
        <v>75</v>
      </c>
      <c r="I28" s="268">
        <f>+'4 Serv Social plan'!J73</f>
        <v>25</v>
      </c>
      <c r="J28" s="270">
        <f>+'4 Serv Social plan'!K73</f>
        <v>12</v>
      </c>
      <c r="K28" s="538">
        <f>+'4 Serv Social plan'!L73</f>
        <v>37</v>
      </c>
      <c r="L28" s="268">
        <f>+'4 Serv Social plan'!M73</f>
        <v>44</v>
      </c>
      <c r="M28" s="270">
        <f>+'4 Serv Social plan'!N73</f>
        <v>22</v>
      </c>
      <c r="N28" s="538">
        <f>+'4 Serv Social plan'!O73</f>
        <v>66</v>
      </c>
      <c r="O28" s="268">
        <f>+'4 Serv Social plan'!P73</f>
        <v>6</v>
      </c>
      <c r="P28" s="270">
        <f>+'4 Serv Social plan'!Q73</f>
        <v>2</v>
      </c>
      <c r="Q28" s="538">
        <f>+'4 Serv Social plan'!R73</f>
        <v>8</v>
      </c>
      <c r="R28" s="268">
        <f>+'4 Serv Social plan'!S73</f>
        <v>6</v>
      </c>
      <c r="S28" s="270">
        <f>+'4 Serv Social plan'!T73</f>
        <v>2</v>
      </c>
      <c r="T28" s="538">
        <f>+'4 Serv Social plan'!U73</f>
        <v>8</v>
      </c>
    </row>
    <row r="29" spans="1:20" ht="15" customHeight="1" x14ac:dyDescent="0.2">
      <c r="A29" s="5785"/>
      <c r="B29" s="267" t="s">
        <v>7</v>
      </c>
      <c r="C29" s="2761">
        <f>+'4 Serv Social plan'!D78</f>
        <v>25</v>
      </c>
      <c r="D29" s="2763">
        <f>+'4 Serv Social plan'!E78</f>
        <v>9</v>
      </c>
      <c r="E29" s="4154">
        <f>+'4 Serv Social plan'!F78</f>
        <v>34</v>
      </c>
      <c r="F29" s="2761">
        <f>+'4 Serv Social plan'!G78</f>
        <v>24</v>
      </c>
      <c r="G29" s="2763">
        <f>+'4 Serv Social plan'!H78</f>
        <v>8</v>
      </c>
      <c r="H29" s="4154">
        <f>+'4 Serv Social plan'!I78</f>
        <v>32</v>
      </c>
      <c r="I29" s="2761">
        <f>+'4 Serv Social plan'!J78</f>
        <v>32</v>
      </c>
      <c r="J29" s="2763">
        <f>+'4 Serv Social plan'!K78</f>
        <v>25</v>
      </c>
      <c r="K29" s="4154">
        <f>+'4 Serv Social plan'!L78</f>
        <v>57</v>
      </c>
      <c r="L29" s="2761">
        <f>+'4 Serv Social plan'!M78</f>
        <v>38</v>
      </c>
      <c r="M29" s="2763">
        <f>+'4 Serv Social plan'!N78</f>
        <v>26</v>
      </c>
      <c r="N29" s="4154">
        <f>+'4 Serv Social plan'!O78</f>
        <v>64</v>
      </c>
      <c r="O29" s="2761">
        <f>+'4 Serv Social plan'!P78</f>
        <v>21</v>
      </c>
      <c r="P29" s="2763">
        <f>+'4 Serv Social plan'!Q78</f>
        <v>15</v>
      </c>
      <c r="Q29" s="4154">
        <f>+'4 Serv Social plan'!R78</f>
        <v>36</v>
      </c>
      <c r="R29" s="2761">
        <f>+'4 Serv Social plan'!S78</f>
        <v>21</v>
      </c>
      <c r="S29" s="2763">
        <f>+'4 Serv Social plan'!T78</f>
        <v>15</v>
      </c>
      <c r="T29" s="4154">
        <f>+'4 Serv Social plan'!U78</f>
        <v>36</v>
      </c>
    </row>
    <row r="30" spans="1:20" ht="15" customHeight="1" x14ac:dyDescent="0.2">
      <c r="A30" s="5786"/>
      <c r="B30" s="2235" t="s">
        <v>160</v>
      </c>
      <c r="C30" s="2298">
        <f t="shared" ref="C30:N30" si="9">SUM(C27:C29)</f>
        <v>91</v>
      </c>
      <c r="D30" s="2300">
        <f t="shared" si="9"/>
        <v>45</v>
      </c>
      <c r="E30" s="4159">
        <f t="shared" si="9"/>
        <v>136</v>
      </c>
      <c r="F30" s="2298">
        <f t="shared" si="9"/>
        <v>89</v>
      </c>
      <c r="G30" s="2300">
        <f t="shared" si="9"/>
        <v>44</v>
      </c>
      <c r="H30" s="4159">
        <f t="shared" si="9"/>
        <v>133</v>
      </c>
      <c r="I30" s="2298">
        <f t="shared" si="9"/>
        <v>118</v>
      </c>
      <c r="J30" s="2300">
        <f t="shared" si="9"/>
        <v>65</v>
      </c>
      <c r="K30" s="4159">
        <f t="shared" si="9"/>
        <v>183</v>
      </c>
      <c r="L30" s="2298">
        <f t="shared" si="9"/>
        <v>144</v>
      </c>
      <c r="M30" s="2300">
        <f t="shared" si="9"/>
        <v>76</v>
      </c>
      <c r="N30" s="4159">
        <f t="shared" si="9"/>
        <v>220</v>
      </c>
      <c r="O30" s="2298">
        <f t="shared" ref="O30:T30" si="10">SUM(O27:O29)</f>
        <v>41</v>
      </c>
      <c r="P30" s="2300">
        <f t="shared" si="10"/>
        <v>26</v>
      </c>
      <c r="Q30" s="4159">
        <f t="shared" si="10"/>
        <v>67</v>
      </c>
      <c r="R30" s="2298">
        <f t="shared" si="10"/>
        <v>41</v>
      </c>
      <c r="S30" s="2300">
        <f t="shared" si="10"/>
        <v>26</v>
      </c>
      <c r="T30" s="4159">
        <f t="shared" si="10"/>
        <v>67</v>
      </c>
    </row>
    <row r="31" spans="1:20" x14ac:dyDescent="0.2">
      <c r="A31" s="209"/>
      <c r="B31" s="209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</row>
    <row r="32" spans="1:20" ht="15" x14ac:dyDescent="0.2">
      <c r="A32" s="5683" t="s">
        <v>60</v>
      </c>
      <c r="B32" s="263" t="s">
        <v>5</v>
      </c>
      <c r="C32" s="264">
        <f t="shared" ref="C32:N32" si="11">SUM(C7,C17,C22)</f>
        <v>5</v>
      </c>
      <c r="D32" s="266">
        <f t="shared" si="11"/>
        <v>5</v>
      </c>
      <c r="E32" s="264">
        <f t="shared" si="11"/>
        <v>10</v>
      </c>
      <c r="F32" s="264">
        <f t="shared" si="11"/>
        <v>5</v>
      </c>
      <c r="G32" s="266">
        <f t="shared" si="11"/>
        <v>5</v>
      </c>
      <c r="H32" s="537">
        <f t="shared" si="11"/>
        <v>10</v>
      </c>
      <c r="I32" s="264">
        <f t="shared" si="11"/>
        <v>15</v>
      </c>
      <c r="J32" s="266">
        <f t="shared" si="11"/>
        <v>19</v>
      </c>
      <c r="K32" s="264">
        <f t="shared" si="11"/>
        <v>34</v>
      </c>
      <c r="L32" s="264">
        <f t="shared" si="11"/>
        <v>14</v>
      </c>
      <c r="M32" s="266">
        <f t="shared" si="11"/>
        <v>19</v>
      </c>
      <c r="N32" s="537">
        <f t="shared" si="11"/>
        <v>33</v>
      </c>
      <c r="O32" s="264">
        <f t="shared" ref="O32:T32" si="12">SUM(O7,O17,O22)</f>
        <v>2</v>
      </c>
      <c r="P32" s="266">
        <f t="shared" si="12"/>
        <v>0</v>
      </c>
      <c r="Q32" s="264">
        <f t="shared" si="12"/>
        <v>2</v>
      </c>
      <c r="R32" s="264">
        <f t="shared" si="12"/>
        <v>2</v>
      </c>
      <c r="S32" s="266">
        <f t="shared" si="12"/>
        <v>0</v>
      </c>
      <c r="T32" s="537">
        <f t="shared" si="12"/>
        <v>2</v>
      </c>
    </row>
    <row r="33" spans="1:20" ht="15" x14ac:dyDescent="0.2">
      <c r="A33" s="5684"/>
      <c r="B33" s="267" t="s">
        <v>6</v>
      </c>
      <c r="C33" s="268">
        <f t="shared" ref="C33:N33" si="13">SUM(C8,C12,C18,C23,C27)</f>
        <v>40</v>
      </c>
      <c r="D33" s="270">
        <f t="shared" si="13"/>
        <v>33</v>
      </c>
      <c r="E33" s="268">
        <f t="shared" si="13"/>
        <v>73</v>
      </c>
      <c r="F33" s="268">
        <f t="shared" si="13"/>
        <v>40</v>
      </c>
      <c r="G33" s="270">
        <f t="shared" si="13"/>
        <v>32</v>
      </c>
      <c r="H33" s="538">
        <f t="shared" si="13"/>
        <v>72</v>
      </c>
      <c r="I33" s="268">
        <f t="shared" si="13"/>
        <v>162</v>
      </c>
      <c r="J33" s="270">
        <f t="shared" si="13"/>
        <v>62</v>
      </c>
      <c r="K33" s="268">
        <f t="shared" si="13"/>
        <v>224</v>
      </c>
      <c r="L33" s="268">
        <f t="shared" si="13"/>
        <v>168</v>
      </c>
      <c r="M33" s="270">
        <f t="shared" si="13"/>
        <v>69</v>
      </c>
      <c r="N33" s="538">
        <f t="shared" si="13"/>
        <v>237</v>
      </c>
      <c r="O33" s="268">
        <f t="shared" ref="O33:T33" si="14">SUM(O8,O12,O18,O23,O27)</f>
        <v>18</v>
      </c>
      <c r="P33" s="270">
        <f t="shared" si="14"/>
        <v>11</v>
      </c>
      <c r="Q33" s="268">
        <f t="shared" si="14"/>
        <v>29</v>
      </c>
      <c r="R33" s="268">
        <f t="shared" si="14"/>
        <v>18</v>
      </c>
      <c r="S33" s="270">
        <f t="shared" si="14"/>
        <v>11</v>
      </c>
      <c r="T33" s="538">
        <f t="shared" si="14"/>
        <v>29</v>
      </c>
    </row>
    <row r="34" spans="1:20" ht="15" x14ac:dyDescent="0.2">
      <c r="A34" s="5684"/>
      <c r="B34" s="267" t="s">
        <v>11</v>
      </c>
      <c r="C34" s="268">
        <f t="shared" ref="C34:N34" si="15">SUM(C19,C24,C28)</f>
        <v>65</v>
      </c>
      <c r="D34" s="270">
        <f t="shared" si="15"/>
        <v>25</v>
      </c>
      <c r="E34" s="268">
        <f t="shared" si="15"/>
        <v>90</v>
      </c>
      <c r="F34" s="268">
        <f t="shared" si="15"/>
        <v>64</v>
      </c>
      <c r="G34" s="270">
        <f t="shared" si="15"/>
        <v>25</v>
      </c>
      <c r="H34" s="538">
        <f t="shared" si="15"/>
        <v>89</v>
      </c>
      <c r="I34" s="268">
        <f t="shared" si="15"/>
        <v>39</v>
      </c>
      <c r="J34" s="270">
        <f t="shared" si="15"/>
        <v>15</v>
      </c>
      <c r="K34" s="268">
        <f t="shared" si="15"/>
        <v>54</v>
      </c>
      <c r="L34" s="268">
        <f t="shared" si="15"/>
        <v>60</v>
      </c>
      <c r="M34" s="270">
        <f t="shared" si="15"/>
        <v>26</v>
      </c>
      <c r="N34" s="538">
        <f t="shared" si="15"/>
        <v>86</v>
      </c>
      <c r="O34" s="268">
        <f t="shared" ref="O34:T34" si="16">SUM(O19,O24,O28)</f>
        <v>9</v>
      </c>
      <c r="P34" s="270">
        <f t="shared" si="16"/>
        <v>3</v>
      </c>
      <c r="Q34" s="268">
        <f t="shared" si="16"/>
        <v>12</v>
      </c>
      <c r="R34" s="268">
        <f t="shared" si="16"/>
        <v>9</v>
      </c>
      <c r="S34" s="270">
        <f t="shared" si="16"/>
        <v>3</v>
      </c>
      <c r="T34" s="538">
        <f t="shared" si="16"/>
        <v>12</v>
      </c>
    </row>
    <row r="35" spans="1:20" ht="15" x14ac:dyDescent="0.2">
      <c r="A35" s="5684"/>
      <c r="B35" s="267" t="s">
        <v>7</v>
      </c>
      <c r="C35" s="268">
        <f t="shared" ref="C35:N35" si="17">SUM(C9,C29)</f>
        <v>27</v>
      </c>
      <c r="D35" s="270">
        <f t="shared" si="17"/>
        <v>11</v>
      </c>
      <c r="E35" s="268">
        <f t="shared" si="17"/>
        <v>38</v>
      </c>
      <c r="F35" s="268">
        <f t="shared" si="17"/>
        <v>26</v>
      </c>
      <c r="G35" s="270">
        <f t="shared" si="17"/>
        <v>9</v>
      </c>
      <c r="H35" s="538">
        <f t="shared" si="17"/>
        <v>35</v>
      </c>
      <c r="I35" s="268">
        <f t="shared" si="17"/>
        <v>45</v>
      </c>
      <c r="J35" s="270">
        <f t="shared" si="17"/>
        <v>35</v>
      </c>
      <c r="K35" s="268">
        <f t="shared" si="17"/>
        <v>80</v>
      </c>
      <c r="L35" s="268">
        <f t="shared" si="17"/>
        <v>51</v>
      </c>
      <c r="M35" s="270">
        <f t="shared" si="17"/>
        <v>36</v>
      </c>
      <c r="N35" s="538">
        <f t="shared" si="17"/>
        <v>87</v>
      </c>
      <c r="O35" s="268">
        <f t="shared" ref="O35:T35" si="18">SUM(O9,O29)</f>
        <v>28</v>
      </c>
      <c r="P35" s="270">
        <f t="shared" si="18"/>
        <v>15</v>
      </c>
      <c r="Q35" s="268">
        <f t="shared" si="18"/>
        <v>43</v>
      </c>
      <c r="R35" s="268">
        <f t="shared" si="18"/>
        <v>28</v>
      </c>
      <c r="S35" s="270">
        <f t="shared" si="18"/>
        <v>15</v>
      </c>
      <c r="T35" s="538">
        <f t="shared" si="18"/>
        <v>43</v>
      </c>
    </row>
    <row r="36" spans="1:20" ht="15" x14ac:dyDescent="0.2">
      <c r="A36" s="5684"/>
      <c r="B36" s="267" t="s">
        <v>9</v>
      </c>
      <c r="C36" s="268">
        <f t="shared" ref="C36:N36" si="19">SUM(C13)</f>
        <v>10</v>
      </c>
      <c r="D36" s="270">
        <f t="shared" si="19"/>
        <v>4</v>
      </c>
      <c r="E36" s="268">
        <f t="shared" si="19"/>
        <v>14</v>
      </c>
      <c r="F36" s="268">
        <f t="shared" si="19"/>
        <v>10</v>
      </c>
      <c r="G36" s="270">
        <f t="shared" si="19"/>
        <v>4</v>
      </c>
      <c r="H36" s="538">
        <f t="shared" si="19"/>
        <v>14</v>
      </c>
      <c r="I36" s="268">
        <f t="shared" si="19"/>
        <v>7</v>
      </c>
      <c r="J36" s="270">
        <f t="shared" si="19"/>
        <v>1</v>
      </c>
      <c r="K36" s="268">
        <f t="shared" si="19"/>
        <v>8</v>
      </c>
      <c r="L36" s="268">
        <f t="shared" si="19"/>
        <v>13</v>
      </c>
      <c r="M36" s="270">
        <f t="shared" si="19"/>
        <v>3</v>
      </c>
      <c r="N36" s="538">
        <f t="shared" si="19"/>
        <v>16</v>
      </c>
      <c r="O36" s="268">
        <f t="shared" ref="O36:T36" si="20">SUM(O13)</f>
        <v>1</v>
      </c>
      <c r="P36" s="270">
        <f t="shared" si="20"/>
        <v>0</v>
      </c>
      <c r="Q36" s="268">
        <f t="shared" si="20"/>
        <v>1</v>
      </c>
      <c r="R36" s="268">
        <f t="shared" si="20"/>
        <v>1</v>
      </c>
      <c r="S36" s="270">
        <f t="shared" si="20"/>
        <v>0</v>
      </c>
      <c r="T36" s="538">
        <f t="shared" si="20"/>
        <v>1</v>
      </c>
    </row>
    <row r="37" spans="1:20" ht="15" x14ac:dyDescent="0.2">
      <c r="A37" s="5684"/>
      <c r="B37" s="277" t="s">
        <v>74</v>
      </c>
      <c r="C37" s="2761">
        <f t="shared" ref="C37:N37" si="21">SUM(C14)</f>
        <v>4</v>
      </c>
      <c r="D37" s="2763">
        <f t="shared" si="21"/>
        <v>10</v>
      </c>
      <c r="E37" s="2761">
        <f t="shared" si="21"/>
        <v>14</v>
      </c>
      <c r="F37" s="2761">
        <f t="shared" si="21"/>
        <v>4</v>
      </c>
      <c r="G37" s="2763">
        <f t="shared" si="21"/>
        <v>10</v>
      </c>
      <c r="H37" s="4154">
        <f t="shared" si="21"/>
        <v>14</v>
      </c>
      <c r="I37" s="2761">
        <f t="shared" si="21"/>
        <v>1</v>
      </c>
      <c r="J37" s="2763">
        <f t="shared" si="21"/>
        <v>2</v>
      </c>
      <c r="K37" s="2761">
        <f t="shared" si="21"/>
        <v>3</v>
      </c>
      <c r="L37" s="2761">
        <f t="shared" si="21"/>
        <v>3</v>
      </c>
      <c r="M37" s="2763">
        <f t="shared" si="21"/>
        <v>5</v>
      </c>
      <c r="N37" s="4154">
        <f t="shared" si="21"/>
        <v>8</v>
      </c>
      <c r="O37" s="2761">
        <f t="shared" ref="O37:T37" si="22">SUM(O14)</f>
        <v>0</v>
      </c>
      <c r="P37" s="2763">
        <f t="shared" si="22"/>
        <v>3</v>
      </c>
      <c r="Q37" s="2761">
        <f t="shared" si="22"/>
        <v>3</v>
      </c>
      <c r="R37" s="2761">
        <f t="shared" si="22"/>
        <v>0</v>
      </c>
      <c r="S37" s="2763">
        <f t="shared" si="22"/>
        <v>3</v>
      </c>
      <c r="T37" s="4154">
        <f t="shared" si="22"/>
        <v>3</v>
      </c>
    </row>
    <row r="38" spans="1:20" ht="15" x14ac:dyDescent="0.2">
      <c r="A38" s="5685"/>
      <c r="B38" s="568" t="s">
        <v>160</v>
      </c>
      <c r="C38" s="4162">
        <f t="shared" ref="C38:N38" si="23">SUM(C32:C37)</f>
        <v>151</v>
      </c>
      <c r="D38" s="4161">
        <f t="shared" si="23"/>
        <v>88</v>
      </c>
      <c r="E38" s="565">
        <f t="shared" si="23"/>
        <v>239</v>
      </c>
      <c r="F38" s="4162">
        <f t="shared" si="23"/>
        <v>149</v>
      </c>
      <c r="G38" s="4161">
        <f t="shared" si="23"/>
        <v>85</v>
      </c>
      <c r="H38" s="4157">
        <f t="shared" si="23"/>
        <v>234</v>
      </c>
      <c r="I38" s="4162">
        <f t="shared" si="23"/>
        <v>269</v>
      </c>
      <c r="J38" s="4161">
        <f t="shared" si="23"/>
        <v>134</v>
      </c>
      <c r="K38" s="565">
        <f t="shared" si="23"/>
        <v>403</v>
      </c>
      <c r="L38" s="4162">
        <f t="shared" si="23"/>
        <v>309</v>
      </c>
      <c r="M38" s="4161">
        <f t="shared" si="23"/>
        <v>158</v>
      </c>
      <c r="N38" s="4157">
        <f t="shared" si="23"/>
        <v>467</v>
      </c>
      <c r="O38" s="4162">
        <f t="shared" ref="O38:T38" si="24">SUM(O32:O37)</f>
        <v>58</v>
      </c>
      <c r="P38" s="4161">
        <f t="shared" si="24"/>
        <v>32</v>
      </c>
      <c r="Q38" s="565">
        <f t="shared" si="24"/>
        <v>90</v>
      </c>
      <c r="R38" s="4162">
        <f t="shared" si="24"/>
        <v>58</v>
      </c>
      <c r="S38" s="4161">
        <f t="shared" si="24"/>
        <v>32</v>
      </c>
      <c r="T38" s="4157">
        <f t="shared" si="24"/>
        <v>90</v>
      </c>
    </row>
    <row r="39" spans="1:20" ht="15" x14ac:dyDescent="0.2">
      <c r="F39" s="262"/>
    </row>
    <row r="40" spans="1:20" ht="15" x14ac:dyDescent="0.2">
      <c r="F40" s="262"/>
    </row>
  </sheetData>
  <sheetProtection algorithmName="SHA-512" hashValue="j2a3O5ApAF6BFkTk5Ra6w/zYYxJEF4oxle/N4L+nU7sL97KvOlWIktYWJMqROLbCT7P22e2YGANTGqDdBxTVng==" saltValue="L8dhSIT0F8OIkGT8WUg9Iw==" spinCount="100000" sheet="1" objects="1" scenarios="1"/>
  <mergeCells count="17">
    <mergeCell ref="O3:T3"/>
    <mergeCell ref="O4:Q4"/>
    <mergeCell ref="R4:T4"/>
    <mergeCell ref="A22:A25"/>
    <mergeCell ref="A27:A30"/>
    <mergeCell ref="I4:K4"/>
    <mergeCell ref="L4:N4"/>
    <mergeCell ref="C3:H3"/>
    <mergeCell ref="I3:N3"/>
    <mergeCell ref="A32:A38"/>
    <mergeCell ref="C4:E4"/>
    <mergeCell ref="F4:H4"/>
    <mergeCell ref="A4:A5"/>
    <mergeCell ref="B4:B5"/>
    <mergeCell ref="A7:A10"/>
    <mergeCell ref="A12:A15"/>
    <mergeCell ref="A17:A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L103"/>
  <sheetViews>
    <sheetView showGridLines="0" zoomScaleNormal="100" workbookViewId="0">
      <selection activeCell="W27" sqref="W27:W28"/>
    </sheetView>
  </sheetViews>
  <sheetFormatPr baseColWidth="10" defaultRowHeight="15" x14ac:dyDescent="0.2"/>
  <cols>
    <col min="1" max="1" width="7.42578125" style="3482" bestFit="1" customWidth="1"/>
    <col min="2" max="2" width="8.140625" style="3482" bestFit="1" customWidth="1"/>
    <col min="3" max="3" width="35.42578125" style="3482" customWidth="1"/>
    <col min="4" max="5" width="10" style="3482" customWidth="1"/>
    <col min="6" max="6" width="7.7109375" style="3482" customWidth="1"/>
    <col min="7" max="8" width="10" style="3482" customWidth="1"/>
    <col min="9" max="9" width="7.7109375" style="3482" customWidth="1"/>
    <col min="10" max="10" width="9.42578125" style="3482" bestFit="1" customWidth="1"/>
    <col min="11" max="11" width="9.42578125" style="3482" customWidth="1"/>
    <col min="12" max="12" width="7.7109375" style="3482" customWidth="1"/>
    <col min="13" max="16384" width="11.42578125" style="3482"/>
  </cols>
  <sheetData>
    <row r="1" spans="1:12" ht="18.75" x14ac:dyDescent="0.2">
      <c r="A1" s="3700" t="s">
        <v>1245</v>
      </c>
    </row>
    <row r="3" spans="1:12" x14ac:dyDescent="0.2">
      <c r="A3" s="6791" t="s">
        <v>51</v>
      </c>
      <c r="B3" s="6791" t="s">
        <v>685</v>
      </c>
      <c r="C3" s="6791" t="s">
        <v>684</v>
      </c>
      <c r="D3" s="6795">
        <v>2014</v>
      </c>
      <c r="E3" s="6796"/>
      <c r="F3" s="6797"/>
      <c r="G3" s="6780">
        <v>2015</v>
      </c>
      <c r="H3" s="6772"/>
      <c r="I3" s="6774"/>
      <c r="J3" s="6772">
        <v>2017</v>
      </c>
      <c r="K3" s="6773"/>
      <c r="L3" s="6774"/>
    </row>
    <row r="4" spans="1:12" x14ac:dyDescent="0.2">
      <c r="A4" s="6791"/>
      <c r="B4" s="6791"/>
      <c r="C4" s="6791"/>
      <c r="D4" s="4685" t="s">
        <v>658</v>
      </c>
      <c r="E4" s="4685" t="s">
        <v>659</v>
      </c>
      <c r="F4" s="3488" t="s">
        <v>160</v>
      </c>
      <c r="G4" s="4686" t="s">
        <v>658</v>
      </c>
      <c r="H4" s="4686" t="s">
        <v>659</v>
      </c>
      <c r="I4" s="3488" t="s">
        <v>160</v>
      </c>
      <c r="J4" s="4686" t="s">
        <v>658</v>
      </c>
      <c r="K4" s="4686" t="s">
        <v>659</v>
      </c>
      <c r="L4" s="3488" t="s">
        <v>160</v>
      </c>
    </row>
    <row r="5" spans="1:12" ht="15" customHeight="1" x14ac:dyDescent="0.2">
      <c r="A5" s="6798" t="s">
        <v>440</v>
      </c>
      <c r="B5" s="6779" t="s">
        <v>5</v>
      </c>
      <c r="C5" s="4106" t="s">
        <v>1246</v>
      </c>
      <c r="D5" s="4107">
        <v>4</v>
      </c>
      <c r="E5" s="4108">
        <v>3</v>
      </c>
      <c r="F5" s="3492">
        <f>SUM(D5:E5)</f>
        <v>7</v>
      </c>
      <c r="G5" s="3490">
        <v>11</v>
      </c>
      <c r="H5" s="3491">
        <v>5</v>
      </c>
      <c r="I5" s="3492">
        <f>SUM(G5:H5)</f>
        <v>16</v>
      </c>
      <c r="J5" s="3490">
        <v>2</v>
      </c>
      <c r="K5" s="3491">
        <v>3</v>
      </c>
      <c r="L5" s="3492">
        <f>SUM(J5:K5)</f>
        <v>5</v>
      </c>
    </row>
    <row r="6" spans="1:12" x14ac:dyDescent="0.2">
      <c r="A6" s="6799"/>
      <c r="B6" s="6783"/>
      <c r="C6" s="4109" t="s">
        <v>1247</v>
      </c>
      <c r="D6" s="4110"/>
      <c r="E6" s="4111">
        <v>3</v>
      </c>
      <c r="F6" s="3497">
        <f t="shared" ref="F6:F14" si="0">SUM(D6:E6)</f>
        <v>3</v>
      </c>
      <c r="G6" s="3495"/>
      <c r="H6" s="3496">
        <v>4</v>
      </c>
      <c r="I6" s="3497">
        <f t="shared" ref="I6:I14" si="1">SUM(G6:H6)</f>
        <v>4</v>
      </c>
      <c r="J6" s="3495">
        <v>1</v>
      </c>
      <c r="K6" s="3496">
        <v>2</v>
      </c>
      <c r="L6" s="3497">
        <f t="shared" ref="L6:L69" si="2">SUM(J6:K6)</f>
        <v>3</v>
      </c>
    </row>
    <row r="7" spans="1:12" x14ac:dyDescent="0.2">
      <c r="A7" s="6799"/>
      <c r="B7" s="6783"/>
      <c r="C7" s="4109" t="s">
        <v>1248</v>
      </c>
      <c r="D7" s="4110"/>
      <c r="E7" s="4111"/>
      <c r="F7" s="3497">
        <f t="shared" si="0"/>
        <v>0</v>
      </c>
      <c r="G7" s="3495"/>
      <c r="H7" s="3496">
        <v>4</v>
      </c>
      <c r="I7" s="3497">
        <f t="shared" si="1"/>
        <v>4</v>
      </c>
      <c r="J7" s="3495"/>
      <c r="K7" s="3496">
        <v>1</v>
      </c>
      <c r="L7" s="3497">
        <f t="shared" si="2"/>
        <v>1</v>
      </c>
    </row>
    <row r="8" spans="1:12" x14ac:dyDescent="0.2">
      <c r="A8" s="6799"/>
      <c r="B8" s="6783"/>
      <c r="C8" s="4109" t="s">
        <v>1249</v>
      </c>
      <c r="D8" s="4110"/>
      <c r="E8" s="4111">
        <v>2</v>
      </c>
      <c r="F8" s="3497">
        <f t="shared" si="0"/>
        <v>2</v>
      </c>
      <c r="G8" s="3495">
        <v>3</v>
      </c>
      <c r="H8" s="3496">
        <v>6</v>
      </c>
      <c r="I8" s="3497">
        <f>SUM(G8:H8)</f>
        <v>9</v>
      </c>
      <c r="J8" s="3495"/>
      <c r="K8" s="3496">
        <v>2</v>
      </c>
      <c r="L8" s="3497">
        <f t="shared" si="2"/>
        <v>2</v>
      </c>
    </row>
    <row r="9" spans="1:12" x14ac:dyDescent="0.2">
      <c r="A9" s="6799"/>
      <c r="B9" s="6783"/>
      <c r="C9" s="4109" t="s">
        <v>512</v>
      </c>
      <c r="D9" s="4110">
        <v>2</v>
      </c>
      <c r="E9" s="4111">
        <v>3</v>
      </c>
      <c r="F9" s="3497">
        <f t="shared" si="0"/>
        <v>5</v>
      </c>
      <c r="G9" s="3495">
        <v>6</v>
      </c>
      <c r="H9" s="3496">
        <v>8</v>
      </c>
      <c r="I9" s="3497">
        <f t="shared" si="1"/>
        <v>14</v>
      </c>
      <c r="J9" s="3495"/>
      <c r="K9" s="3496">
        <v>1</v>
      </c>
      <c r="L9" s="3497">
        <f t="shared" si="2"/>
        <v>1</v>
      </c>
    </row>
    <row r="10" spans="1:12" x14ac:dyDescent="0.2">
      <c r="A10" s="6799"/>
      <c r="B10" s="6783"/>
      <c r="C10" s="4109" t="s">
        <v>1250</v>
      </c>
      <c r="D10" s="4110"/>
      <c r="E10" s="4111">
        <v>1</v>
      </c>
      <c r="F10" s="3497">
        <f t="shared" si="0"/>
        <v>1</v>
      </c>
      <c r="G10" s="3495"/>
      <c r="H10" s="3496">
        <v>2</v>
      </c>
      <c r="I10" s="3497">
        <f t="shared" si="1"/>
        <v>2</v>
      </c>
      <c r="J10" s="3495"/>
      <c r="K10" s="3496">
        <v>1</v>
      </c>
      <c r="L10" s="3497">
        <f t="shared" si="2"/>
        <v>1</v>
      </c>
    </row>
    <row r="11" spans="1:12" x14ac:dyDescent="0.2">
      <c r="A11" s="6799"/>
      <c r="B11" s="6783"/>
      <c r="C11" s="4109" t="s">
        <v>1251</v>
      </c>
      <c r="D11" s="4110">
        <v>1</v>
      </c>
      <c r="E11" s="4112"/>
      <c r="F11" s="3497">
        <f t="shared" si="0"/>
        <v>1</v>
      </c>
      <c r="G11" s="3495">
        <v>10</v>
      </c>
      <c r="H11" s="3498">
        <v>7</v>
      </c>
      <c r="I11" s="3497">
        <f t="shared" si="1"/>
        <v>17</v>
      </c>
      <c r="J11" s="3495">
        <v>7</v>
      </c>
      <c r="K11" s="3498">
        <v>3</v>
      </c>
      <c r="L11" s="3497">
        <f t="shared" si="2"/>
        <v>10</v>
      </c>
    </row>
    <row r="12" spans="1:12" x14ac:dyDescent="0.2">
      <c r="A12" s="6799"/>
      <c r="B12" s="6783"/>
      <c r="C12" s="4109" t="s">
        <v>1252</v>
      </c>
      <c r="D12" s="4110"/>
      <c r="E12" s="4111">
        <v>2</v>
      </c>
      <c r="F12" s="3497">
        <f t="shared" si="0"/>
        <v>2</v>
      </c>
      <c r="G12" s="3495">
        <v>3</v>
      </c>
      <c r="H12" s="3496">
        <v>4</v>
      </c>
      <c r="I12" s="3497">
        <f t="shared" si="1"/>
        <v>7</v>
      </c>
      <c r="J12" s="3495"/>
      <c r="K12" s="3496">
        <v>3</v>
      </c>
      <c r="L12" s="3497">
        <f t="shared" si="2"/>
        <v>3</v>
      </c>
    </row>
    <row r="13" spans="1:12" x14ac:dyDescent="0.2">
      <c r="A13" s="6799"/>
      <c r="B13" s="6783"/>
      <c r="C13" s="4109" t="s">
        <v>1253</v>
      </c>
      <c r="D13" s="4110"/>
      <c r="E13" s="4111">
        <v>1</v>
      </c>
      <c r="F13" s="3497">
        <f t="shared" si="0"/>
        <v>1</v>
      </c>
      <c r="G13" s="3495"/>
      <c r="H13" s="3496">
        <v>1</v>
      </c>
      <c r="I13" s="3497">
        <f t="shared" si="1"/>
        <v>1</v>
      </c>
      <c r="J13" s="3495">
        <v>1</v>
      </c>
      <c r="K13" s="3496">
        <v>2</v>
      </c>
      <c r="L13" s="3497">
        <f t="shared" si="2"/>
        <v>3</v>
      </c>
    </row>
    <row r="14" spans="1:12" x14ac:dyDescent="0.2">
      <c r="A14" s="6799"/>
      <c r="B14" s="6783"/>
      <c r="C14" s="4109" t="s">
        <v>1254</v>
      </c>
      <c r="D14" s="4110"/>
      <c r="E14" s="4112"/>
      <c r="F14" s="3497">
        <f t="shared" si="0"/>
        <v>0</v>
      </c>
      <c r="G14" s="3495">
        <v>1</v>
      </c>
      <c r="H14" s="3498">
        <v>1</v>
      </c>
      <c r="I14" s="3497">
        <f t="shared" si="1"/>
        <v>2</v>
      </c>
      <c r="J14" s="3495">
        <v>1</v>
      </c>
      <c r="K14" s="3498">
        <v>1</v>
      </c>
      <c r="L14" s="3497">
        <f t="shared" si="2"/>
        <v>2</v>
      </c>
    </row>
    <row r="15" spans="1:12" x14ac:dyDescent="0.2">
      <c r="A15" s="6799"/>
      <c r="B15" s="6783"/>
      <c r="C15" s="4113" t="s">
        <v>160</v>
      </c>
      <c r="D15" s="3503">
        <f t="shared" ref="D15:J15" si="3">SUM(D5:D14)</f>
        <v>7</v>
      </c>
      <c r="E15" s="3504">
        <f t="shared" si="3"/>
        <v>15</v>
      </c>
      <c r="F15" s="3501">
        <f t="shared" si="3"/>
        <v>22</v>
      </c>
      <c r="G15" s="3503">
        <f t="shared" si="3"/>
        <v>34</v>
      </c>
      <c r="H15" s="3504">
        <f t="shared" si="3"/>
        <v>42</v>
      </c>
      <c r="I15" s="3501">
        <f t="shared" si="3"/>
        <v>76</v>
      </c>
      <c r="J15" s="3503">
        <f t="shared" si="3"/>
        <v>12</v>
      </c>
      <c r="K15" s="3504">
        <f>SUM(K5:K14)</f>
        <v>19</v>
      </c>
      <c r="L15" s="3501">
        <f t="shared" si="2"/>
        <v>31</v>
      </c>
    </row>
    <row r="16" spans="1:12" x14ac:dyDescent="0.2">
      <c r="A16" s="6799"/>
      <c r="B16" s="6783" t="s">
        <v>6</v>
      </c>
      <c r="C16" s="4109" t="s">
        <v>456</v>
      </c>
      <c r="D16" s="4110">
        <v>24</v>
      </c>
      <c r="E16" s="4114">
        <v>9</v>
      </c>
      <c r="F16" s="3497">
        <f>SUM(D16:E16)</f>
        <v>33</v>
      </c>
      <c r="G16" s="3495">
        <v>19</v>
      </c>
      <c r="H16" s="3499">
        <v>4</v>
      </c>
      <c r="I16" s="3497">
        <f>SUM(G16:H16)</f>
        <v>23</v>
      </c>
      <c r="J16" s="3495">
        <v>4</v>
      </c>
      <c r="K16" s="3499">
        <v>1</v>
      </c>
      <c r="L16" s="3497">
        <f t="shared" si="2"/>
        <v>5</v>
      </c>
    </row>
    <row r="17" spans="1:12" x14ac:dyDescent="0.2">
      <c r="A17" s="6799"/>
      <c r="B17" s="6783"/>
      <c r="C17" s="4109" t="s">
        <v>457</v>
      </c>
      <c r="D17" s="4110">
        <v>6</v>
      </c>
      <c r="E17" s="4114">
        <v>5</v>
      </c>
      <c r="F17" s="3497">
        <f>SUM(D17:E17)</f>
        <v>11</v>
      </c>
      <c r="G17" s="3495">
        <v>12</v>
      </c>
      <c r="H17" s="3499">
        <v>10</v>
      </c>
      <c r="I17" s="3497">
        <f>SUM(G17:H17)</f>
        <v>22</v>
      </c>
      <c r="J17" s="3495">
        <v>1</v>
      </c>
      <c r="K17" s="3499">
        <v>1</v>
      </c>
      <c r="L17" s="3497">
        <f t="shared" si="2"/>
        <v>2</v>
      </c>
    </row>
    <row r="18" spans="1:12" x14ac:dyDescent="0.2">
      <c r="A18" s="6799"/>
      <c r="B18" s="6783"/>
      <c r="C18" s="4109" t="s">
        <v>458</v>
      </c>
      <c r="D18" s="4110">
        <v>3</v>
      </c>
      <c r="E18" s="4114">
        <v>5</v>
      </c>
      <c r="F18" s="3497">
        <f>SUM(D18:E18)</f>
        <v>8</v>
      </c>
      <c r="G18" s="3495">
        <v>6</v>
      </c>
      <c r="H18" s="3499">
        <v>8</v>
      </c>
      <c r="I18" s="3497">
        <f>SUM(G18:H18)</f>
        <v>14</v>
      </c>
      <c r="J18" s="3495"/>
      <c r="K18" s="3499"/>
      <c r="L18" s="3497">
        <f t="shared" si="2"/>
        <v>0</v>
      </c>
    </row>
    <row r="19" spans="1:12" x14ac:dyDescent="0.2">
      <c r="A19" s="6799"/>
      <c r="B19" s="6783"/>
      <c r="C19" s="4109" t="s">
        <v>459</v>
      </c>
      <c r="D19" s="4110">
        <v>12</v>
      </c>
      <c r="E19" s="4114">
        <v>8</v>
      </c>
      <c r="F19" s="3497">
        <f>SUM(D19:E19)</f>
        <v>20</v>
      </c>
      <c r="G19" s="3495">
        <v>11</v>
      </c>
      <c r="H19" s="3499">
        <v>4</v>
      </c>
      <c r="I19" s="3497">
        <f>SUM(G19:H19)</f>
        <v>15</v>
      </c>
      <c r="J19" s="3495">
        <v>1</v>
      </c>
      <c r="K19" s="3499">
        <v>1</v>
      </c>
      <c r="L19" s="3497">
        <f t="shared" si="2"/>
        <v>2</v>
      </c>
    </row>
    <row r="20" spans="1:12" s="3484" customFormat="1" x14ac:dyDescent="0.2">
      <c r="A20" s="6799"/>
      <c r="B20" s="6783"/>
      <c r="C20" s="4113" t="s">
        <v>160</v>
      </c>
      <c r="D20" s="3503">
        <f t="shared" ref="D20:J20" si="4">SUM(D16:D19)</f>
        <v>45</v>
      </c>
      <c r="E20" s="3504">
        <f t="shared" si="4"/>
        <v>27</v>
      </c>
      <c r="F20" s="3501">
        <f t="shared" si="4"/>
        <v>72</v>
      </c>
      <c r="G20" s="3503">
        <f t="shared" si="4"/>
        <v>48</v>
      </c>
      <c r="H20" s="3504">
        <f t="shared" si="4"/>
        <v>26</v>
      </c>
      <c r="I20" s="3501">
        <f t="shared" si="4"/>
        <v>74</v>
      </c>
      <c r="J20" s="3503">
        <f t="shared" si="4"/>
        <v>6</v>
      </c>
      <c r="K20" s="3504">
        <f>SUM(K16:K19)</f>
        <v>3</v>
      </c>
      <c r="L20" s="3501">
        <f t="shared" si="2"/>
        <v>9</v>
      </c>
    </row>
    <row r="21" spans="1:12" x14ac:dyDescent="0.2">
      <c r="A21" s="6799"/>
      <c r="B21" s="6783" t="s">
        <v>7</v>
      </c>
      <c r="C21" s="4109" t="s">
        <v>460</v>
      </c>
      <c r="D21" s="4110">
        <v>3</v>
      </c>
      <c r="E21" s="4114">
        <v>2</v>
      </c>
      <c r="F21" s="3497">
        <f>SUM(D21:E21)</f>
        <v>5</v>
      </c>
      <c r="G21" s="3495">
        <v>11</v>
      </c>
      <c r="H21" s="3499">
        <v>7</v>
      </c>
      <c r="I21" s="3497">
        <f>SUM(G21:H21)</f>
        <v>18</v>
      </c>
      <c r="J21" s="3495">
        <v>1</v>
      </c>
      <c r="K21" s="3499"/>
      <c r="L21" s="3497">
        <f t="shared" si="2"/>
        <v>1</v>
      </c>
    </row>
    <row r="22" spans="1:12" x14ac:dyDescent="0.2">
      <c r="A22" s="6799"/>
      <c r="B22" s="6783"/>
      <c r="C22" s="4109" t="s">
        <v>461</v>
      </c>
      <c r="D22" s="4110">
        <v>3</v>
      </c>
      <c r="E22" s="4114">
        <v>1</v>
      </c>
      <c r="F22" s="3497">
        <f>SUM(D22:E22)</f>
        <v>4</v>
      </c>
      <c r="G22" s="3495">
        <v>18</v>
      </c>
      <c r="H22" s="3499">
        <v>7</v>
      </c>
      <c r="I22" s="3497">
        <f>SUM(G22:H22)</f>
        <v>25</v>
      </c>
      <c r="J22" s="3495">
        <v>5</v>
      </c>
      <c r="K22" s="3499">
        <v>4</v>
      </c>
      <c r="L22" s="3497">
        <f t="shared" si="2"/>
        <v>9</v>
      </c>
    </row>
    <row r="23" spans="1:12" x14ac:dyDescent="0.2">
      <c r="A23" s="6799"/>
      <c r="B23" s="6783"/>
      <c r="C23" s="4109" t="s">
        <v>462</v>
      </c>
      <c r="D23" s="4110">
        <v>2</v>
      </c>
      <c r="E23" s="4114">
        <v>4</v>
      </c>
      <c r="F23" s="3497">
        <f>SUM(D23:E23)</f>
        <v>6</v>
      </c>
      <c r="G23" s="3495">
        <v>16</v>
      </c>
      <c r="H23" s="3499">
        <v>8</v>
      </c>
      <c r="I23" s="3497">
        <f>SUM(G23:H23)</f>
        <v>24</v>
      </c>
      <c r="J23" s="3495"/>
      <c r="K23" s="3499"/>
      <c r="L23" s="3497">
        <f t="shared" si="2"/>
        <v>0</v>
      </c>
    </row>
    <row r="24" spans="1:12" s="3484" customFormat="1" x14ac:dyDescent="0.2">
      <c r="A24" s="6799"/>
      <c r="B24" s="6783"/>
      <c r="C24" s="4113" t="s">
        <v>160</v>
      </c>
      <c r="D24" s="3505">
        <f t="shared" ref="D24:I24" si="5">SUM(D21:D23)</f>
        <v>8</v>
      </c>
      <c r="E24" s="3506">
        <f t="shared" si="5"/>
        <v>7</v>
      </c>
      <c r="F24" s="3502">
        <f t="shared" si="5"/>
        <v>15</v>
      </c>
      <c r="G24" s="3505">
        <f t="shared" si="5"/>
        <v>45</v>
      </c>
      <c r="H24" s="3506">
        <f t="shared" si="5"/>
        <v>22</v>
      </c>
      <c r="I24" s="3502">
        <f t="shared" si="5"/>
        <v>67</v>
      </c>
      <c r="J24" s="3505">
        <f t="shared" ref="J24" si="6">SUM(J21:J23)</f>
        <v>6</v>
      </c>
      <c r="K24" s="3506">
        <f>SUM(K21:K23)</f>
        <v>4</v>
      </c>
      <c r="L24" s="3502">
        <f t="shared" si="2"/>
        <v>10</v>
      </c>
    </row>
    <row r="25" spans="1:12" s="3484" customFormat="1" x14ac:dyDescent="0.2">
      <c r="A25" s="6800"/>
      <c r="B25" s="6801" t="s">
        <v>444</v>
      </c>
      <c r="C25" s="6802"/>
      <c r="D25" s="4115">
        <f t="shared" ref="D25:I25" si="7">D24+D20+D15</f>
        <v>60</v>
      </c>
      <c r="E25" s="4116">
        <f t="shared" si="7"/>
        <v>49</v>
      </c>
      <c r="F25" s="4117">
        <f t="shared" si="7"/>
        <v>109</v>
      </c>
      <c r="G25" s="3507">
        <f t="shared" si="7"/>
        <v>127</v>
      </c>
      <c r="H25" s="3508">
        <f t="shared" si="7"/>
        <v>90</v>
      </c>
      <c r="I25" s="3489">
        <f t="shared" si="7"/>
        <v>217</v>
      </c>
      <c r="J25" s="3507">
        <f t="shared" ref="J25" si="8">J24+J20+J15</f>
        <v>24</v>
      </c>
      <c r="K25" s="3508">
        <f>K24+K20+K15</f>
        <v>26</v>
      </c>
      <c r="L25" s="3489">
        <f t="shared" si="2"/>
        <v>50</v>
      </c>
    </row>
    <row r="26" spans="1:12" x14ac:dyDescent="0.2">
      <c r="A26" s="6803" t="s">
        <v>430</v>
      </c>
      <c r="B26" s="6783" t="s">
        <v>9</v>
      </c>
      <c r="C26" s="4118" t="s">
        <v>499</v>
      </c>
      <c r="D26" s="4119">
        <v>13</v>
      </c>
      <c r="E26" s="4120">
        <v>5</v>
      </c>
      <c r="F26" s="3512">
        <f>SUM(D26:E26)</f>
        <v>18</v>
      </c>
      <c r="G26" s="3511">
        <v>23</v>
      </c>
      <c r="H26" s="3513">
        <v>6</v>
      </c>
      <c r="I26" s="3512">
        <f>SUM(G26:H26)</f>
        <v>29</v>
      </c>
      <c r="J26" s="3511">
        <v>5</v>
      </c>
      <c r="K26" s="3513">
        <v>4</v>
      </c>
      <c r="L26" s="3512">
        <f t="shared" si="2"/>
        <v>9</v>
      </c>
    </row>
    <row r="27" spans="1:12" x14ac:dyDescent="0.2">
      <c r="A27" s="6803"/>
      <c r="B27" s="6783"/>
      <c r="C27" s="4109" t="s">
        <v>497</v>
      </c>
      <c r="D27" s="4110">
        <v>3</v>
      </c>
      <c r="E27" s="4114">
        <v>3</v>
      </c>
      <c r="F27" s="3497">
        <f>SUM(D27:E27)</f>
        <v>6</v>
      </c>
      <c r="G27" s="3495">
        <v>4</v>
      </c>
      <c r="H27" s="3499">
        <v>4</v>
      </c>
      <c r="I27" s="3497">
        <f>SUM(G27:H27)</f>
        <v>8</v>
      </c>
      <c r="J27" s="3495">
        <v>2</v>
      </c>
      <c r="K27" s="3499">
        <v>1</v>
      </c>
      <c r="L27" s="3497">
        <f t="shared" si="2"/>
        <v>3</v>
      </c>
    </row>
    <row r="28" spans="1:12" x14ac:dyDescent="0.2">
      <c r="A28" s="6803"/>
      <c r="B28" s="6783"/>
      <c r="C28" s="4109" t="s">
        <v>498</v>
      </c>
      <c r="D28" s="4110">
        <v>1</v>
      </c>
      <c r="E28" s="4114">
        <v>4</v>
      </c>
      <c r="F28" s="3497">
        <f>SUM(D28:E28)</f>
        <v>5</v>
      </c>
      <c r="G28" s="3495"/>
      <c r="H28" s="3499">
        <v>3</v>
      </c>
      <c r="I28" s="3497">
        <f>SUM(G28:H28)</f>
        <v>3</v>
      </c>
      <c r="J28" s="3495"/>
      <c r="K28" s="3499">
        <v>2</v>
      </c>
      <c r="L28" s="3497">
        <f t="shared" si="2"/>
        <v>2</v>
      </c>
    </row>
    <row r="29" spans="1:12" s="3484" customFormat="1" x14ac:dyDescent="0.2">
      <c r="A29" s="6803"/>
      <c r="B29" s="6783"/>
      <c r="C29" s="4113" t="s">
        <v>160</v>
      </c>
      <c r="D29" s="3503">
        <f t="shared" ref="D29:J29" si="9">SUM(D26:D28)</f>
        <v>17</v>
      </c>
      <c r="E29" s="3504">
        <f t="shared" si="9"/>
        <v>12</v>
      </c>
      <c r="F29" s="3501">
        <f t="shared" si="9"/>
        <v>29</v>
      </c>
      <c r="G29" s="3503">
        <f t="shared" si="9"/>
        <v>27</v>
      </c>
      <c r="H29" s="3504">
        <f t="shared" si="9"/>
        <v>13</v>
      </c>
      <c r="I29" s="3501">
        <f t="shared" si="9"/>
        <v>40</v>
      </c>
      <c r="J29" s="3503">
        <f t="shared" si="9"/>
        <v>7</v>
      </c>
      <c r="K29" s="3504">
        <f>SUM(K26:K28)</f>
        <v>7</v>
      </c>
      <c r="L29" s="3501">
        <f t="shared" si="2"/>
        <v>14</v>
      </c>
    </row>
    <row r="30" spans="1:12" x14ac:dyDescent="0.2">
      <c r="A30" s="6803"/>
      <c r="B30" s="6783" t="s">
        <v>74</v>
      </c>
      <c r="C30" s="3494" t="s">
        <v>501</v>
      </c>
      <c r="D30" s="4110">
        <v>1</v>
      </c>
      <c r="E30" s="4121">
        <v>0</v>
      </c>
      <c r="F30" s="3497">
        <f>SUM(D30:E30)</f>
        <v>1</v>
      </c>
      <c r="G30" s="3495">
        <v>1</v>
      </c>
      <c r="H30" s="3499">
        <v>1</v>
      </c>
      <c r="I30" s="3497">
        <f>SUM(G30:H30)</f>
        <v>2</v>
      </c>
      <c r="J30" s="3495"/>
      <c r="K30" s="3499"/>
      <c r="L30" s="3497">
        <f t="shared" si="2"/>
        <v>0</v>
      </c>
    </row>
    <row r="31" spans="1:12" x14ac:dyDescent="0.2">
      <c r="A31" s="6803"/>
      <c r="B31" s="6783"/>
      <c r="C31" s="4109" t="s">
        <v>502</v>
      </c>
      <c r="D31" s="4110">
        <v>3</v>
      </c>
      <c r="E31" s="4114">
        <v>4</v>
      </c>
      <c r="F31" s="3497">
        <f>SUM(D31:E31)</f>
        <v>7</v>
      </c>
      <c r="G31" s="3495">
        <v>3</v>
      </c>
      <c r="H31" s="3500">
        <v>6</v>
      </c>
      <c r="I31" s="3497">
        <f>SUM(G31:H31)</f>
        <v>9</v>
      </c>
      <c r="J31" s="3495">
        <v>2</v>
      </c>
      <c r="K31" s="3500"/>
      <c r="L31" s="3497">
        <f t="shared" si="2"/>
        <v>2</v>
      </c>
    </row>
    <row r="32" spans="1:12" s="3484" customFormat="1" ht="15" customHeight="1" x14ac:dyDescent="0.2">
      <c r="A32" s="6803"/>
      <c r="B32" s="6783"/>
      <c r="C32" s="4109" t="s">
        <v>455</v>
      </c>
      <c r="D32" s="4110"/>
      <c r="E32" s="4114">
        <v>3</v>
      </c>
      <c r="F32" s="3497">
        <f>SUM(D32:E32)</f>
        <v>3</v>
      </c>
      <c r="G32" s="3495"/>
      <c r="H32" s="3500"/>
      <c r="I32" s="3497">
        <f>SUM(G32:H32)</f>
        <v>0</v>
      </c>
      <c r="J32" s="3495"/>
      <c r="K32" s="3500">
        <v>2</v>
      </c>
      <c r="L32" s="3497">
        <f t="shared" si="2"/>
        <v>2</v>
      </c>
    </row>
    <row r="33" spans="1:12" ht="15" customHeight="1" x14ac:dyDescent="0.2">
      <c r="A33" s="6803"/>
      <c r="B33" s="6783"/>
      <c r="C33" s="4109" t="s">
        <v>500</v>
      </c>
      <c r="D33" s="4110">
        <v>2</v>
      </c>
      <c r="E33" s="4121"/>
      <c r="F33" s="3497">
        <f>SUM(D33:E33)</f>
        <v>2</v>
      </c>
      <c r="G33" s="3495"/>
      <c r="H33" s="3500"/>
      <c r="I33" s="3497">
        <f>SUM(G33:H33)</f>
        <v>0</v>
      </c>
      <c r="J33" s="3495"/>
      <c r="K33" s="3500">
        <v>2</v>
      </c>
      <c r="L33" s="3497">
        <f t="shared" si="2"/>
        <v>2</v>
      </c>
    </row>
    <row r="34" spans="1:12" x14ac:dyDescent="0.2">
      <c r="A34" s="6803"/>
      <c r="B34" s="6783"/>
      <c r="C34" s="4113" t="s">
        <v>160</v>
      </c>
      <c r="D34" s="3503">
        <f t="shared" ref="D34:J34" si="10">SUM(D30:D33)</f>
        <v>6</v>
      </c>
      <c r="E34" s="3504">
        <f t="shared" si="10"/>
        <v>7</v>
      </c>
      <c r="F34" s="3501">
        <f t="shared" si="10"/>
        <v>13</v>
      </c>
      <c r="G34" s="3503">
        <f t="shared" si="10"/>
        <v>4</v>
      </c>
      <c r="H34" s="3504">
        <f t="shared" si="10"/>
        <v>7</v>
      </c>
      <c r="I34" s="3501">
        <f t="shared" si="10"/>
        <v>11</v>
      </c>
      <c r="J34" s="3503">
        <f t="shared" si="10"/>
        <v>2</v>
      </c>
      <c r="K34" s="3504">
        <f>SUM(K30:K33)</f>
        <v>4</v>
      </c>
      <c r="L34" s="3501">
        <f t="shared" si="2"/>
        <v>6</v>
      </c>
    </row>
    <row r="35" spans="1:12" x14ac:dyDescent="0.2">
      <c r="A35" s="6803"/>
      <c r="B35" s="6783" t="s">
        <v>6</v>
      </c>
      <c r="C35" s="4109" t="s">
        <v>456</v>
      </c>
      <c r="D35" s="4110">
        <v>3</v>
      </c>
      <c r="E35" s="4114">
        <v>3</v>
      </c>
      <c r="F35" s="3497">
        <f>SUM(D35:E35)</f>
        <v>6</v>
      </c>
      <c r="G35" s="3495">
        <v>4</v>
      </c>
      <c r="H35" s="3499">
        <v>2</v>
      </c>
      <c r="I35" s="3497">
        <f>SUM(G35:H35)</f>
        <v>6</v>
      </c>
      <c r="J35" s="3495">
        <v>4</v>
      </c>
      <c r="K35" s="3499"/>
      <c r="L35" s="3497">
        <f t="shared" si="2"/>
        <v>4</v>
      </c>
    </row>
    <row r="36" spans="1:12" s="3484" customFormat="1" x14ac:dyDescent="0.2">
      <c r="A36" s="6803"/>
      <c r="B36" s="6783"/>
      <c r="C36" s="4109" t="s">
        <v>496</v>
      </c>
      <c r="D36" s="4110">
        <v>3</v>
      </c>
      <c r="E36" s="4114">
        <v>4</v>
      </c>
      <c r="F36" s="3497">
        <f>SUM(D36:E36)</f>
        <v>7</v>
      </c>
      <c r="G36" s="3495"/>
      <c r="H36" s="3499">
        <v>2</v>
      </c>
      <c r="I36" s="3497">
        <f>SUM(G36:H36)</f>
        <v>2</v>
      </c>
      <c r="J36" s="3495">
        <v>4</v>
      </c>
      <c r="K36" s="3499">
        <v>3</v>
      </c>
      <c r="L36" s="3497">
        <f t="shared" si="2"/>
        <v>7</v>
      </c>
    </row>
    <row r="37" spans="1:12" s="3484" customFormat="1" x14ac:dyDescent="0.2">
      <c r="A37" s="6803"/>
      <c r="B37" s="6783"/>
      <c r="C37" s="4109" t="s">
        <v>495</v>
      </c>
      <c r="D37" s="4110">
        <v>3</v>
      </c>
      <c r="E37" s="4114">
        <v>1</v>
      </c>
      <c r="F37" s="3497">
        <f>SUM(D37:E37)</f>
        <v>4</v>
      </c>
      <c r="G37" s="3495">
        <v>5</v>
      </c>
      <c r="H37" s="3499">
        <v>1</v>
      </c>
      <c r="I37" s="3497">
        <f>SUM(G37:H37)</f>
        <v>6</v>
      </c>
      <c r="J37" s="3495">
        <v>1</v>
      </c>
      <c r="K37" s="3499">
        <v>1</v>
      </c>
      <c r="L37" s="3497">
        <f t="shared" si="2"/>
        <v>2</v>
      </c>
    </row>
    <row r="38" spans="1:12" x14ac:dyDescent="0.2">
      <c r="A38" s="6803"/>
      <c r="B38" s="6777"/>
      <c r="C38" s="4113" t="s">
        <v>160</v>
      </c>
      <c r="D38" s="3505">
        <f t="shared" ref="D38:I38" si="11">SUM(D35:D37)</f>
        <v>9</v>
      </c>
      <c r="E38" s="3506">
        <f t="shared" si="11"/>
        <v>8</v>
      </c>
      <c r="F38" s="3502">
        <f t="shared" si="11"/>
        <v>17</v>
      </c>
      <c r="G38" s="3505">
        <f t="shared" si="11"/>
        <v>9</v>
      </c>
      <c r="H38" s="3506">
        <f t="shared" si="11"/>
        <v>5</v>
      </c>
      <c r="I38" s="3502">
        <f t="shared" si="11"/>
        <v>14</v>
      </c>
      <c r="J38" s="3505">
        <f t="shared" ref="J38" si="12">SUM(J35:J37)</f>
        <v>9</v>
      </c>
      <c r="K38" s="3506">
        <f>SUM(K35:K37)</f>
        <v>4</v>
      </c>
      <c r="L38" s="3502">
        <f t="shared" si="2"/>
        <v>13</v>
      </c>
    </row>
    <row r="39" spans="1:12" x14ac:dyDescent="0.2">
      <c r="A39" s="6804"/>
      <c r="B39" s="6805" t="s">
        <v>444</v>
      </c>
      <c r="C39" s="6806"/>
      <c r="D39" s="4122">
        <f t="shared" ref="D39:I39" si="13">D38+D34+D29</f>
        <v>32</v>
      </c>
      <c r="E39" s="4123">
        <f t="shared" si="13"/>
        <v>27</v>
      </c>
      <c r="F39" s="4124">
        <f t="shared" si="13"/>
        <v>59</v>
      </c>
      <c r="G39" s="3514">
        <f t="shared" si="13"/>
        <v>40</v>
      </c>
      <c r="H39" s="3515">
        <f t="shared" si="13"/>
        <v>25</v>
      </c>
      <c r="I39" s="3510">
        <f t="shared" si="13"/>
        <v>65</v>
      </c>
      <c r="J39" s="3514">
        <f t="shared" ref="J39" si="14">J38+J34+J29</f>
        <v>18</v>
      </c>
      <c r="K39" s="3515">
        <f>K38+K34+K29</f>
        <v>15</v>
      </c>
      <c r="L39" s="3510">
        <f t="shared" si="2"/>
        <v>33</v>
      </c>
    </row>
    <row r="40" spans="1:12" x14ac:dyDescent="0.2">
      <c r="A40" s="6807" t="s">
        <v>441</v>
      </c>
      <c r="B40" s="6777" t="s">
        <v>5</v>
      </c>
      <c r="C40" s="4118" t="s">
        <v>469</v>
      </c>
      <c r="D40" s="4119">
        <v>1</v>
      </c>
      <c r="E40" s="4120"/>
      <c r="F40" s="3512">
        <f t="shared" ref="F40:F48" si="15">SUM(D40:E40)</f>
        <v>1</v>
      </c>
      <c r="G40" s="3511">
        <v>2</v>
      </c>
      <c r="H40" s="3513">
        <v>3</v>
      </c>
      <c r="I40" s="3512">
        <f t="shared" ref="I40:I48" si="16">SUM(G40:H40)</f>
        <v>5</v>
      </c>
      <c r="J40" s="3511"/>
      <c r="K40" s="3513"/>
      <c r="L40" s="3512">
        <f t="shared" si="2"/>
        <v>0</v>
      </c>
    </row>
    <row r="41" spans="1:12" x14ac:dyDescent="0.2">
      <c r="A41" s="6808"/>
      <c r="B41" s="6778"/>
      <c r="C41" s="4109" t="s">
        <v>466</v>
      </c>
      <c r="D41" s="4110"/>
      <c r="E41" s="4114">
        <v>1</v>
      </c>
      <c r="F41" s="3497">
        <f t="shared" si="15"/>
        <v>1</v>
      </c>
      <c r="G41" s="3495"/>
      <c r="H41" s="3499">
        <v>4</v>
      </c>
      <c r="I41" s="3497">
        <f t="shared" si="16"/>
        <v>4</v>
      </c>
      <c r="J41" s="3495"/>
      <c r="K41" s="3499"/>
      <c r="L41" s="3497">
        <f t="shared" si="2"/>
        <v>0</v>
      </c>
    </row>
    <row r="42" spans="1:12" x14ac:dyDescent="0.2">
      <c r="A42" s="6808"/>
      <c r="B42" s="6778"/>
      <c r="C42" s="4109" t="s">
        <v>1258</v>
      </c>
      <c r="D42" s="4110"/>
      <c r="E42" s="4114"/>
      <c r="F42" s="3497">
        <f t="shared" si="15"/>
        <v>0</v>
      </c>
      <c r="G42" s="3495"/>
      <c r="H42" s="3499">
        <v>1</v>
      </c>
      <c r="I42" s="3497">
        <f t="shared" si="16"/>
        <v>1</v>
      </c>
      <c r="J42" s="3495"/>
      <c r="K42" s="3499"/>
      <c r="L42" s="3497">
        <f t="shared" si="2"/>
        <v>0</v>
      </c>
    </row>
    <row r="43" spans="1:12" x14ac:dyDescent="0.2">
      <c r="A43" s="6808"/>
      <c r="B43" s="6778"/>
      <c r="C43" s="4109" t="s">
        <v>1249</v>
      </c>
      <c r="D43" s="4110"/>
      <c r="E43" s="4114">
        <v>1</v>
      </c>
      <c r="F43" s="3497">
        <f t="shared" si="15"/>
        <v>1</v>
      </c>
      <c r="G43" s="3495"/>
      <c r="H43" s="3499">
        <v>1</v>
      </c>
      <c r="I43" s="3497">
        <f t="shared" si="16"/>
        <v>1</v>
      </c>
      <c r="J43" s="3495"/>
      <c r="K43" s="3499"/>
      <c r="L43" s="3497">
        <f t="shared" si="2"/>
        <v>0</v>
      </c>
    </row>
    <row r="44" spans="1:12" x14ac:dyDescent="0.2">
      <c r="A44" s="6808"/>
      <c r="B44" s="6778"/>
      <c r="C44" s="4109" t="s">
        <v>1259</v>
      </c>
      <c r="D44" s="4110"/>
      <c r="E44" s="4114">
        <v>3</v>
      </c>
      <c r="F44" s="3497">
        <f t="shared" si="15"/>
        <v>3</v>
      </c>
      <c r="G44" s="3495">
        <v>1</v>
      </c>
      <c r="H44" s="3499">
        <v>3</v>
      </c>
      <c r="I44" s="3497">
        <f t="shared" si="16"/>
        <v>4</v>
      </c>
      <c r="J44" s="3495"/>
      <c r="K44" s="3499"/>
      <c r="L44" s="3497">
        <f t="shared" si="2"/>
        <v>0</v>
      </c>
    </row>
    <row r="45" spans="1:12" ht="15" customHeight="1" x14ac:dyDescent="0.2">
      <c r="A45" s="6808"/>
      <c r="B45" s="6778"/>
      <c r="C45" s="4109" t="s">
        <v>1260</v>
      </c>
      <c r="D45" s="4110"/>
      <c r="E45" s="4121"/>
      <c r="F45" s="3497">
        <f t="shared" si="15"/>
        <v>0</v>
      </c>
      <c r="G45" s="3495"/>
      <c r="H45" s="3499"/>
      <c r="I45" s="3497">
        <f t="shared" si="16"/>
        <v>0</v>
      </c>
      <c r="J45" s="3495"/>
      <c r="K45" s="3499"/>
      <c r="L45" s="3497">
        <f t="shared" si="2"/>
        <v>0</v>
      </c>
    </row>
    <row r="46" spans="1:12" s="3484" customFormat="1" x14ac:dyDescent="0.2">
      <c r="A46" s="6808"/>
      <c r="B46" s="6778"/>
      <c r="C46" s="4109" t="s">
        <v>1254</v>
      </c>
      <c r="D46" s="4110">
        <v>3</v>
      </c>
      <c r="E46" s="4114">
        <v>2</v>
      </c>
      <c r="F46" s="3497">
        <f t="shared" si="15"/>
        <v>5</v>
      </c>
      <c r="G46" s="3495">
        <v>3</v>
      </c>
      <c r="H46" s="3500">
        <v>1</v>
      </c>
      <c r="I46" s="3497">
        <f t="shared" si="16"/>
        <v>4</v>
      </c>
      <c r="J46" s="3495">
        <v>1</v>
      </c>
      <c r="K46" s="3500">
        <v>3</v>
      </c>
      <c r="L46" s="3497">
        <f t="shared" si="2"/>
        <v>4</v>
      </c>
    </row>
    <row r="47" spans="1:12" x14ac:dyDescent="0.2">
      <c r="A47" s="6808"/>
      <c r="B47" s="6778"/>
      <c r="C47" s="4109" t="s">
        <v>467</v>
      </c>
      <c r="D47" s="4110"/>
      <c r="E47" s="4121"/>
      <c r="F47" s="3497">
        <f t="shared" si="15"/>
        <v>0</v>
      </c>
      <c r="G47" s="3495">
        <v>1</v>
      </c>
      <c r="H47" s="3499">
        <v>2</v>
      </c>
      <c r="I47" s="3497">
        <f t="shared" si="16"/>
        <v>3</v>
      </c>
      <c r="J47" s="3495"/>
      <c r="K47" s="3499"/>
      <c r="L47" s="3497">
        <f t="shared" si="2"/>
        <v>0</v>
      </c>
    </row>
    <row r="48" spans="1:12" x14ac:dyDescent="0.2">
      <c r="A48" s="6808"/>
      <c r="B48" s="6778"/>
      <c r="C48" s="4109" t="s">
        <v>468</v>
      </c>
      <c r="D48" s="4110"/>
      <c r="E48" s="4121"/>
      <c r="F48" s="3497">
        <f t="shared" si="15"/>
        <v>0</v>
      </c>
      <c r="G48" s="3495">
        <v>3</v>
      </c>
      <c r="H48" s="3500">
        <v>3</v>
      </c>
      <c r="I48" s="3497">
        <f t="shared" si="16"/>
        <v>6</v>
      </c>
      <c r="J48" s="3495"/>
      <c r="K48" s="3500"/>
      <c r="L48" s="3497">
        <f t="shared" si="2"/>
        <v>0</v>
      </c>
    </row>
    <row r="49" spans="1:12" x14ac:dyDescent="0.2">
      <c r="A49" s="6808"/>
      <c r="B49" s="6779"/>
      <c r="C49" s="4113" t="s">
        <v>160</v>
      </c>
      <c r="D49" s="3503">
        <f t="shared" ref="D49:J49" si="17">SUM(D40:D48)</f>
        <v>4</v>
      </c>
      <c r="E49" s="3504">
        <f t="shared" si="17"/>
        <v>7</v>
      </c>
      <c r="F49" s="3501">
        <f t="shared" si="17"/>
        <v>11</v>
      </c>
      <c r="G49" s="3503">
        <f t="shared" si="17"/>
        <v>10</v>
      </c>
      <c r="H49" s="3504">
        <f t="shared" si="17"/>
        <v>18</v>
      </c>
      <c r="I49" s="3501">
        <f t="shared" si="17"/>
        <v>28</v>
      </c>
      <c r="J49" s="3503">
        <f t="shared" si="17"/>
        <v>1</v>
      </c>
      <c r="K49" s="3504">
        <f>SUM(K40:K48)</f>
        <v>3</v>
      </c>
      <c r="L49" s="3501">
        <f t="shared" si="2"/>
        <v>4</v>
      </c>
    </row>
    <row r="50" spans="1:12" x14ac:dyDescent="0.2">
      <c r="A50" s="6808"/>
      <c r="B50" s="6777" t="s">
        <v>6</v>
      </c>
      <c r="C50" s="4109" t="s">
        <v>456</v>
      </c>
      <c r="D50" s="4110">
        <v>3</v>
      </c>
      <c r="E50" s="4114">
        <v>1</v>
      </c>
      <c r="F50" s="3497">
        <f t="shared" ref="F50:F60" si="18">SUM(D50:E50)</f>
        <v>4</v>
      </c>
      <c r="G50" s="3495">
        <v>8</v>
      </c>
      <c r="H50" s="3499">
        <v>6</v>
      </c>
      <c r="I50" s="3497">
        <f t="shared" ref="I50:I60" si="19">SUM(G50:H50)</f>
        <v>14</v>
      </c>
      <c r="J50" s="3495">
        <v>7</v>
      </c>
      <c r="K50" s="3499">
        <v>5</v>
      </c>
      <c r="L50" s="3497">
        <f t="shared" si="2"/>
        <v>12</v>
      </c>
    </row>
    <row r="51" spans="1:12" x14ac:dyDescent="0.2">
      <c r="A51" s="6808"/>
      <c r="B51" s="6778"/>
      <c r="C51" s="4109" t="s">
        <v>470</v>
      </c>
      <c r="D51" s="4110">
        <v>1</v>
      </c>
      <c r="E51" s="4114"/>
      <c r="F51" s="3497">
        <f t="shared" si="18"/>
        <v>1</v>
      </c>
      <c r="G51" s="3495">
        <v>5</v>
      </c>
      <c r="H51" s="3499">
        <v>2</v>
      </c>
      <c r="I51" s="3497">
        <f t="shared" si="19"/>
        <v>7</v>
      </c>
      <c r="J51" s="3495">
        <v>1</v>
      </c>
      <c r="K51" s="3499">
        <v>1</v>
      </c>
      <c r="L51" s="3497">
        <f t="shared" si="2"/>
        <v>2</v>
      </c>
    </row>
    <row r="52" spans="1:12" x14ac:dyDescent="0.2">
      <c r="A52" s="6808"/>
      <c r="B52" s="6778"/>
      <c r="C52" s="4109" t="s">
        <v>475</v>
      </c>
      <c r="D52" s="4110">
        <v>1</v>
      </c>
      <c r="E52" s="4114">
        <v>1</v>
      </c>
      <c r="F52" s="3497">
        <f t="shared" si="18"/>
        <v>2</v>
      </c>
      <c r="G52" s="3495">
        <v>3</v>
      </c>
      <c r="H52" s="3499">
        <v>5</v>
      </c>
      <c r="I52" s="3497">
        <f t="shared" si="19"/>
        <v>8</v>
      </c>
      <c r="J52" s="3495">
        <v>2</v>
      </c>
      <c r="K52" s="3499"/>
      <c r="L52" s="3497">
        <f t="shared" si="2"/>
        <v>2</v>
      </c>
    </row>
    <row r="53" spans="1:12" x14ac:dyDescent="0.2">
      <c r="A53" s="6808"/>
      <c r="B53" s="6778"/>
      <c r="C53" s="4109" t="s">
        <v>458</v>
      </c>
      <c r="D53" s="4110"/>
      <c r="E53" s="4114"/>
      <c r="F53" s="3497">
        <f t="shared" si="18"/>
        <v>0</v>
      </c>
      <c r="G53" s="3495">
        <v>4</v>
      </c>
      <c r="H53" s="3499">
        <v>3</v>
      </c>
      <c r="I53" s="3497">
        <f t="shared" si="19"/>
        <v>7</v>
      </c>
      <c r="J53" s="3495"/>
      <c r="K53" s="3499"/>
      <c r="L53" s="3497">
        <f t="shared" si="2"/>
        <v>0</v>
      </c>
    </row>
    <row r="54" spans="1:12" x14ac:dyDescent="0.2">
      <c r="A54" s="6808"/>
      <c r="B54" s="6778"/>
      <c r="C54" s="4109" t="s">
        <v>472</v>
      </c>
      <c r="D54" s="4110">
        <v>3</v>
      </c>
      <c r="E54" s="4114">
        <v>4</v>
      </c>
      <c r="F54" s="3497">
        <f t="shared" si="18"/>
        <v>7</v>
      </c>
      <c r="G54" s="3495">
        <v>4</v>
      </c>
      <c r="H54" s="3499">
        <v>10</v>
      </c>
      <c r="I54" s="3497">
        <f t="shared" si="19"/>
        <v>14</v>
      </c>
      <c r="J54" s="3495"/>
      <c r="K54" s="3499">
        <v>1</v>
      </c>
      <c r="L54" s="3497">
        <f t="shared" si="2"/>
        <v>1</v>
      </c>
    </row>
    <row r="55" spans="1:12" x14ac:dyDescent="0.2">
      <c r="A55" s="6808"/>
      <c r="B55" s="6778"/>
      <c r="C55" s="4109" t="s">
        <v>477</v>
      </c>
      <c r="D55" s="4110"/>
      <c r="E55" s="4121"/>
      <c r="F55" s="3497">
        <f t="shared" si="18"/>
        <v>0</v>
      </c>
      <c r="G55" s="3495">
        <v>2</v>
      </c>
      <c r="H55" s="3500">
        <v>2</v>
      </c>
      <c r="I55" s="3497">
        <f t="shared" si="19"/>
        <v>4</v>
      </c>
      <c r="J55" s="3495">
        <v>1</v>
      </c>
      <c r="K55" s="3500"/>
      <c r="L55" s="3497">
        <f t="shared" si="2"/>
        <v>1</v>
      </c>
    </row>
    <row r="56" spans="1:12" x14ac:dyDescent="0.2">
      <c r="A56" s="6808"/>
      <c r="B56" s="6778"/>
      <c r="C56" s="4109" t="s">
        <v>473</v>
      </c>
      <c r="D56" s="4110"/>
      <c r="E56" s="4114"/>
      <c r="F56" s="3497">
        <f t="shared" si="18"/>
        <v>0</v>
      </c>
      <c r="G56" s="3495">
        <v>6</v>
      </c>
      <c r="H56" s="3499">
        <v>3</v>
      </c>
      <c r="I56" s="3497">
        <f t="shared" si="19"/>
        <v>9</v>
      </c>
      <c r="J56" s="3495">
        <v>3</v>
      </c>
      <c r="K56" s="3499"/>
      <c r="L56" s="3497">
        <f t="shared" si="2"/>
        <v>3</v>
      </c>
    </row>
    <row r="57" spans="1:12" x14ac:dyDescent="0.2">
      <c r="A57" s="6808"/>
      <c r="B57" s="6778"/>
      <c r="C57" s="4109" t="s">
        <v>471</v>
      </c>
      <c r="D57" s="4110"/>
      <c r="E57" s="4114">
        <v>1</v>
      </c>
      <c r="F57" s="3497">
        <f t="shared" si="18"/>
        <v>1</v>
      </c>
      <c r="G57" s="3495">
        <v>6</v>
      </c>
      <c r="H57" s="3499">
        <v>1</v>
      </c>
      <c r="I57" s="3497">
        <f t="shared" si="19"/>
        <v>7</v>
      </c>
      <c r="J57" s="3495">
        <v>1</v>
      </c>
      <c r="K57" s="3499"/>
      <c r="L57" s="3497">
        <f t="shared" si="2"/>
        <v>1</v>
      </c>
    </row>
    <row r="58" spans="1:12" s="3484" customFormat="1" x14ac:dyDescent="0.2">
      <c r="A58" s="6808"/>
      <c r="B58" s="6778"/>
      <c r="C58" s="4109" t="s">
        <v>474</v>
      </c>
      <c r="D58" s="4110">
        <v>1</v>
      </c>
      <c r="E58" s="4114"/>
      <c r="F58" s="3497">
        <f t="shared" si="18"/>
        <v>1</v>
      </c>
      <c r="G58" s="3495">
        <v>3</v>
      </c>
      <c r="H58" s="3499">
        <v>2</v>
      </c>
      <c r="I58" s="3497">
        <f t="shared" si="19"/>
        <v>5</v>
      </c>
      <c r="J58" s="3495">
        <v>5</v>
      </c>
      <c r="K58" s="3499"/>
      <c r="L58" s="3497">
        <f t="shared" si="2"/>
        <v>5</v>
      </c>
    </row>
    <row r="59" spans="1:12" x14ac:dyDescent="0.2">
      <c r="A59" s="6808"/>
      <c r="B59" s="6778"/>
      <c r="C59" s="4109" t="s">
        <v>476</v>
      </c>
      <c r="D59" s="4110"/>
      <c r="E59" s="4114"/>
      <c r="F59" s="3497">
        <f t="shared" si="18"/>
        <v>0</v>
      </c>
      <c r="G59" s="3495">
        <v>3</v>
      </c>
      <c r="H59" s="3499">
        <v>2</v>
      </c>
      <c r="I59" s="3497">
        <f t="shared" si="19"/>
        <v>5</v>
      </c>
      <c r="J59" s="3495">
        <v>1</v>
      </c>
      <c r="K59" s="3499"/>
      <c r="L59" s="3497">
        <f t="shared" si="2"/>
        <v>1</v>
      </c>
    </row>
    <row r="60" spans="1:12" x14ac:dyDescent="0.2">
      <c r="A60" s="6808"/>
      <c r="B60" s="6778"/>
      <c r="C60" s="4109" t="s">
        <v>459</v>
      </c>
      <c r="D60" s="4110">
        <v>1</v>
      </c>
      <c r="E60" s="4114">
        <v>1</v>
      </c>
      <c r="F60" s="3497">
        <f t="shared" si="18"/>
        <v>2</v>
      </c>
      <c r="G60" s="3495">
        <v>3</v>
      </c>
      <c r="H60" s="3499">
        <v>4</v>
      </c>
      <c r="I60" s="3497">
        <f t="shared" si="19"/>
        <v>7</v>
      </c>
      <c r="J60" s="3495">
        <v>1</v>
      </c>
      <c r="K60" s="3499"/>
      <c r="L60" s="3497">
        <f t="shared" si="2"/>
        <v>1</v>
      </c>
    </row>
    <row r="61" spans="1:12" x14ac:dyDescent="0.2">
      <c r="A61" s="6808"/>
      <c r="B61" s="6779"/>
      <c r="C61" s="4113" t="s">
        <v>160</v>
      </c>
      <c r="D61" s="3503">
        <f t="shared" ref="D61:J61" si="20">SUM(D50:D60)</f>
        <v>10</v>
      </c>
      <c r="E61" s="3504">
        <f t="shared" si="20"/>
        <v>8</v>
      </c>
      <c r="F61" s="3501">
        <f t="shared" si="20"/>
        <v>18</v>
      </c>
      <c r="G61" s="3503">
        <f t="shared" si="20"/>
        <v>47</v>
      </c>
      <c r="H61" s="3504">
        <f t="shared" si="20"/>
        <v>40</v>
      </c>
      <c r="I61" s="3501">
        <f t="shared" si="20"/>
        <v>87</v>
      </c>
      <c r="J61" s="3503">
        <f t="shared" si="20"/>
        <v>22</v>
      </c>
      <c r="K61" s="3504">
        <f>SUM(K50:K60)</f>
        <v>7</v>
      </c>
      <c r="L61" s="3501">
        <f t="shared" si="2"/>
        <v>29</v>
      </c>
    </row>
    <row r="62" spans="1:12" x14ac:dyDescent="0.2">
      <c r="A62" s="6808"/>
      <c r="B62" s="6777" t="s">
        <v>11</v>
      </c>
      <c r="C62" s="4109" t="s">
        <v>478</v>
      </c>
      <c r="D62" s="4110">
        <v>1</v>
      </c>
      <c r="E62" s="4114"/>
      <c r="F62" s="3497">
        <f t="shared" ref="F62:F67" si="21">SUM(D62:E62)</f>
        <v>1</v>
      </c>
      <c r="G62" s="3495">
        <v>4</v>
      </c>
      <c r="H62" s="3499">
        <v>3</v>
      </c>
      <c r="I62" s="3497">
        <f t="shared" ref="I62:I67" si="22">SUM(G62:H62)</f>
        <v>7</v>
      </c>
      <c r="J62" s="3495">
        <v>2</v>
      </c>
      <c r="K62" s="3499">
        <v>1</v>
      </c>
      <c r="L62" s="3497">
        <f t="shared" si="2"/>
        <v>3</v>
      </c>
    </row>
    <row r="63" spans="1:12" x14ac:dyDescent="0.2">
      <c r="A63" s="6808"/>
      <c r="B63" s="6778"/>
      <c r="C63" s="4109" t="s">
        <v>479</v>
      </c>
      <c r="D63" s="4110">
        <v>1</v>
      </c>
      <c r="E63" s="4114">
        <v>2</v>
      </c>
      <c r="F63" s="3497">
        <f t="shared" si="21"/>
        <v>3</v>
      </c>
      <c r="G63" s="3495">
        <v>6</v>
      </c>
      <c r="H63" s="3499">
        <v>1</v>
      </c>
      <c r="I63" s="3497">
        <f t="shared" si="22"/>
        <v>7</v>
      </c>
      <c r="J63" s="3495">
        <v>4</v>
      </c>
      <c r="K63" s="3499">
        <v>1</v>
      </c>
      <c r="L63" s="3497">
        <f t="shared" si="2"/>
        <v>5</v>
      </c>
    </row>
    <row r="64" spans="1:12" x14ac:dyDescent="0.2">
      <c r="A64" s="6808"/>
      <c r="B64" s="6778"/>
      <c r="C64" s="4109" t="s">
        <v>480</v>
      </c>
      <c r="D64" s="4110"/>
      <c r="E64" s="4114"/>
      <c r="F64" s="3497">
        <f t="shared" si="21"/>
        <v>0</v>
      </c>
      <c r="G64" s="3495">
        <v>1</v>
      </c>
      <c r="H64" s="3499">
        <v>4</v>
      </c>
      <c r="I64" s="3497">
        <f t="shared" si="22"/>
        <v>5</v>
      </c>
      <c r="J64" s="3495"/>
      <c r="K64" s="3499">
        <v>1</v>
      </c>
      <c r="L64" s="3497">
        <f t="shared" si="2"/>
        <v>1</v>
      </c>
    </row>
    <row r="65" spans="1:12" s="3484" customFormat="1" x14ac:dyDescent="0.2">
      <c r="A65" s="6808"/>
      <c r="B65" s="6778"/>
      <c r="C65" s="4109" t="s">
        <v>514</v>
      </c>
      <c r="D65" s="4110">
        <v>2</v>
      </c>
      <c r="E65" s="4114">
        <v>3</v>
      </c>
      <c r="F65" s="3497">
        <f t="shared" si="21"/>
        <v>5</v>
      </c>
      <c r="G65" s="3495">
        <v>7</v>
      </c>
      <c r="H65" s="3499">
        <v>5</v>
      </c>
      <c r="I65" s="3497">
        <f t="shared" si="22"/>
        <v>12</v>
      </c>
      <c r="J65" s="3495">
        <v>2</v>
      </c>
      <c r="K65" s="3499"/>
      <c r="L65" s="3497">
        <f t="shared" si="2"/>
        <v>2</v>
      </c>
    </row>
    <row r="66" spans="1:12" s="3484" customFormat="1" x14ac:dyDescent="0.2">
      <c r="A66" s="6808"/>
      <c r="B66" s="6778"/>
      <c r="C66" s="5403" t="s">
        <v>1365</v>
      </c>
      <c r="D66" s="4110">
        <v>1</v>
      </c>
      <c r="E66" s="4114"/>
      <c r="F66" s="3497">
        <f t="shared" si="21"/>
        <v>1</v>
      </c>
      <c r="G66" s="3495">
        <v>3</v>
      </c>
      <c r="H66" s="3499">
        <v>2</v>
      </c>
      <c r="I66" s="3497">
        <f t="shared" si="22"/>
        <v>5</v>
      </c>
      <c r="J66" s="3495"/>
      <c r="K66" s="3499"/>
      <c r="L66" s="3497">
        <f t="shared" si="2"/>
        <v>0</v>
      </c>
    </row>
    <row r="67" spans="1:12" x14ac:dyDescent="0.2">
      <c r="A67" s="6808"/>
      <c r="B67" s="6778"/>
      <c r="C67" s="4109" t="s">
        <v>481</v>
      </c>
      <c r="D67" s="4110"/>
      <c r="E67" s="4114"/>
      <c r="F67" s="3497">
        <f t="shared" si="21"/>
        <v>0</v>
      </c>
      <c r="G67" s="3495">
        <v>3</v>
      </c>
      <c r="H67" s="3499">
        <v>1</v>
      </c>
      <c r="I67" s="3497">
        <f t="shared" si="22"/>
        <v>4</v>
      </c>
      <c r="J67" s="3495">
        <v>1</v>
      </c>
      <c r="K67" s="3499">
        <v>1</v>
      </c>
      <c r="L67" s="3497">
        <f t="shared" si="2"/>
        <v>2</v>
      </c>
    </row>
    <row r="68" spans="1:12" s="3484" customFormat="1" x14ac:dyDescent="0.2">
      <c r="A68" s="6808"/>
      <c r="B68" s="6779"/>
      <c r="C68" s="4125" t="s">
        <v>160</v>
      </c>
      <c r="D68" s="3505">
        <f t="shared" ref="D68:J68" si="23">SUM(D62:D67)</f>
        <v>5</v>
      </c>
      <c r="E68" s="3506">
        <f t="shared" si="23"/>
        <v>5</v>
      </c>
      <c r="F68" s="3502">
        <f t="shared" si="23"/>
        <v>10</v>
      </c>
      <c r="G68" s="3505">
        <f t="shared" si="23"/>
        <v>24</v>
      </c>
      <c r="H68" s="3506">
        <f t="shared" si="23"/>
        <v>16</v>
      </c>
      <c r="I68" s="3502">
        <f t="shared" si="23"/>
        <v>40</v>
      </c>
      <c r="J68" s="3505">
        <f t="shared" si="23"/>
        <v>9</v>
      </c>
      <c r="K68" s="3506">
        <f>SUM(K62:K67)</f>
        <v>4</v>
      </c>
      <c r="L68" s="3502">
        <f t="shared" si="2"/>
        <v>13</v>
      </c>
    </row>
    <row r="69" spans="1:12" x14ac:dyDescent="0.2">
      <c r="A69" s="6809"/>
      <c r="B69" s="6775" t="s">
        <v>444</v>
      </c>
      <c r="C69" s="6776"/>
      <c r="D69" s="4126">
        <f t="shared" ref="D69:I69" si="24">D68+D61+D49</f>
        <v>19</v>
      </c>
      <c r="E69" s="4127">
        <f t="shared" si="24"/>
        <v>20</v>
      </c>
      <c r="F69" s="4128">
        <f t="shared" si="24"/>
        <v>39</v>
      </c>
      <c r="G69" s="3518">
        <f t="shared" si="24"/>
        <v>81</v>
      </c>
      <c r="H69" s="3519">
        <f t="shared" si="24"/>
        <v>74</v>
      </c>
      <c r="I69" s="3509">
        <f t="shared" si="24"/>
        <v>155</v>
      </c>
      <c r="J69" s="3518">
        <f t="shared" ref="J69" si="25">J68+J61+J49</f>
        <v>32</v>
      </c>
      <c r="K69" s="3519">
        <f>K68+K61+K49</f>
        <v>14</v>
      </c>
      <c r="L69" s="3509">
        <f t="shared" si="2"/>
        <v>46</v>
      </c>
    </row>
    <row r="70" spans="1:12" s="3484" customFormat="1" x14ac:dyDescent="0.2">
      <c r="A70" s="6786" t="s">
        <v>431</v>
      </c>
      <c r="B70" s="6783" t="s">
        <v>11</v>
      </c>
      <c r="C70" s="4118" t="s">
        <v>505</v>
      </c>
      <c r="D70" s="4119">
        <v>4</v>
      </c>
      <c r="E70" s="4120"/>
      <c r="F70" s="3512">
        <f>SUM(D70:E70)</f>
        <v>4</v>
      </c>
      <c r="G70" s="3511">
        <v>5</v>
      </c>
      <c r="H70" s="3513"/>
      <c r="I70" s="3512">
        <f>SUM(G70:H70)</f>
        <v>5</v>
      </c>
      <c r="J70" s="3511">
        <v>9</v>
      </c>
      <c r="K70" s="3513">
        <v>5</v>
      </c>
      <c r="L70" s="3512">
        <f t="shared" ref="L70:L101" si="26">SUM(J70:K70)</f>
        <v>14</v>
      </c>
    </row>
    <row r="71" spans="1:12" x14ac:dyDescent="0.2">
      <c r="A71" s="6787"/>
      <c r="B71" s="6783"/>
      <c r="C71" s="4113" t="s">
        <v>160</v>
      </c>
      <c r="D71" s="3503">
        <f t="shared" ref="D71:J71" si="27">D70</f>
        <v>4</v>
      </c>
      <c r="E71" s="3504">
        <f t="shared" si="27"/>
        <v>0</v>
      </c>
      <c r="F71" s="3501">
        <f t="shared" si="27"/>
        <v>4</v>
      </c>
      <c r="G71" s="3503">
        <f t="shared" si="27"/>
        <v>5</v>
      </c>
      <c r="H71" s="3504">
        <f t="shared" si="27"/>
        <v>0</v>
      </c>
      <c r="I71" s="3501">
        <f t="shared" si="27"/>
        <v>5</v>
      </c>
      <c r="J71" s="3503">
        <f t="shared" si="27"/>
        <v>9</v>
      </c>
      <c r="K71" s="3504">
        <f>K70</f>
        <v>5</v>
      </c>
      <c r="L71" s="3501">
        <f t="shared" si="26"/>
        <v>14</v>
      </c>
    </row>
    <row r="72" spans="1:12" x14ac:dyDescent="0.2">
      <c r="A72" s="6787"/>
      <c r="B72" s="6783" t="s">
        <v>5</v>
      </c>
      <c r="C72" s="4109" t="s">
        <v>1262</v>
      </c>
      <c r="D72" s="4110">
        <v>1</v>
      </c>
      <c r="E72" s="4114">
        <v>1</v>
      </c>
      <c r="F72" s="3497">
        <f>SUM(D72:E72)</f>
        <v>2</v>
      </c>
      <c r="G72" s="3495">
        <v>2</v>
      </c>
      <c r="H72" s="3499"/>
      <c r="I72" s="3497">
        <f>SUM(G72:H72)</f>
        <v>2</v>
      </c>
      <c r="J72" s="3495">
        <v>5</v>
      </c>
      <c r="K72" s="3499"/>
      <c r="L72" s="3497">
        <f t="shared" si="26"/>
        <v>5</v>
      </c>
    </row>
    <row r="73" spans="1:12" s="3484" customFormat="1" x14ac:dyDescent="0.2">
      <c r="A73" s="6787"/>
      <c r="B73" s="6783"/>
      <c r="C73" s="4113" t="s">
        <v>160</v>
      </c>
      <c r="D73" s="3503">
        <f t="shared" ref="D73:J73" si="28">D72</f>
        <v>1</v>
      </c>
      <c r="E73" s="3504">
        <f t="shared" si="28"/>
        <v>1</v>
      </c>
      <c r="F73" s="3501">
        <f t="shared" si="28"/>
        <v>2</v>
      </c>
      <c r="G73" s="3503">
        <f t="shared" si="28"/>
        <v>2</v>
      </c>
      <c r="H73" s="3504">
        <f t="shared" si="28"/>
        <v>0</v>
      </c>
      <c r="I73" s="3501">
        <f t="shared" si="28"/>
        <v>2</v>
      </c>
      <c r="J73" s="3503">
        <f t="shared" si="28"/>
        <v>5</v>
      </c>
      <c r="K73" s="3504">
        <f>K72</f>
        <v>0</v>
      </c>
      <c r="L73" s="3501">
        <f t="shared" si="26"/>
        <v>5</v>
      </c>
    </row>
    <row r="74" spans="1:12" s="3484" customFormat="1" x14ac:dyDescent="0.2">
      <c r="A74" s="6787"/>
      <c r="B74" s="6783" t="s">
        <v>6</v>
      </c>
      <c r="C74" s="4109" t="s">
        <v>504</v>
      </c>
      <c r="D74" s="4110"/>
      <c r="E74" s="4114">
        <v>1</v>
      </c>
      <c r="F74" s="3497">
        <f>SUM(D74:E74)</f>
        <v>1</v>
      </c>
      <c r="G74" s="3495">
        <v>5</v>
      </c>
      <c r="H74" s="3499">
        <v>2</v>
      </c>
      <c r="I74" s="3497">
        <f>SUM(G74:H74)</f>
        <v>7</v>
      </c>
      <c r="J74" s="3495">
        <v>4</v>
      </c>
      <c r="K74" s="3499"/>
      <c r="L74" s="3497">
        <f t="shared" si="26"/>
        <v>4</v>
      </c>
    </row>
    <row r="75" spans="1:12" x14ac:dyDescent="0.2">
      <c r="A75" s="6787"/>
      <c r="B75" s="6783"/>
      <c r="C75" s="4109" t="s">
        <v>612</v>
      </c>
      <c r="D75" s="4110"/>
      <c r="E75" s="4114"/>
      <c r="F75" s="3497">
        <f>SUM(D75:E75)</f>
        <v>0</v>
      </c>
      <c r="G75" s="3495">
        <v>1</v>
      </c>
      <c r="H75" s="3499">
        <v>1</v>
      </c>
      <c r="I75" s="3497">
        <f>SUM(G75:H75)</f>
        <v>2</v>
      </c>
      <c r="J75" s="3495">
        <v>4</v>
      </c>
      <c r="K75" s="3499">
        <v>4</v>
      </c>
      <c r="L75" s="3497">
        <f t="shared" si="26"/>
        <v>8</v>
      </c>
    </row>
    <row r="76" spans="1:12" x14ac:dyDescent="0.2">
      <c r="A76" s="6787"/>
      <c r="B76" s="6783"/>
      <c r="C76" s="4113" t="s">
        <v>160</v>
      </c>
      <c r="D76" s="3505">
        <f t="shared" ref="D76:I76" si="29">SUM(D74:D75)</f>
        <v>0</v>
      </c>
      <c r="E76" s="3506">
        <f t="shared" si="29"/>
        <v>1</v>
      </c>
      <c r="F76" s="3502">
        <f t="shared" si="29"/>
        <v>1</v>
      </c>
      <c r="G76" s="3503">
        <f t="shared" si="29"/>
        <v>6</v>
      </c>
      <c r="H76" s="3504">
        <f t="shared" si="29"/>
        <v>3</v>
      </c>
      <c r="I76" s="3501">
        <f t="shared" si="29"/>
        <v>9</v>
      </c>
      <c r="J76" s="3503">
        <f t="shared" ref="J76" si="30">SUM(J74:J75)</f>
        <v>8</v>
      </c>
      <c r="K76" s="3504">
        <f>SUM(K74:K75)</f>
        <v>4</v>
      </c>
      <c r="L76" s="3501">
        <f t="shared" si="26"/>
        <v>12</v>
      </c>
    </row>
    <row r="77" spans="1:12" ht="15" customHeight="1" x14ac:dyDescent="0.2">
      <c r="A77" s="6788"/>
      <c r="B77" s="6789" t="s">
        <v>444</v>
      </c>
      <c r="C77" s="6790"/>
      <c r="D77" s="4129">
        <f t="shared" ref="D77:I77" si="31">D76+D73+D71</f>
        <v>5</v>
      </c>
      <c r="E77" s="4130">
        <f t="shared" si="31"/>
        <v>2</v>
      </c>
      <c r="F77" s="4131">
        <f t="shared" si="31"/>
        <v>7</v>
      </c>
      <c r="G77" s="3520">
        <f t="shared" si="31"/>
        <v>13</v>
      </c>
      <c r="H77" s="3521">
        <f t="shared" si="31"/>
        <v>3</v>
      </c>
      <c r="I77" s="3522">
        <f t="shared" si="31"/>
        <v>16</v>
      </c>
      <c r="J77" s="3520">
        <f t="shared" ref="J77" si="32">J76+J73+J71</f>
        <v>22</v>
      </c>
      <c r="K77" s="3521">
        <f>K76+K73+K71</f>
        <v>9</v>
      </c>
      <c r="L77" s="3522">
        <f t="shared" si="26"/>
        <v>31</v>
      </c>
    </row>
    <row r="78" spans="1:12" x14ac:dyDescent="0.2">
      <c r="A78" s="6781" t="s">
        <v>442</v>
      </c>
      <c r="B78" s="6783" t="s">
        <v>6</v>
      </c>
      <c r="C78" s="4106" t="s">
        <v>456</v>
      </c>
      <c r="D78" s="4107"/>
      <c r="E78" s="4132">
        <v>1</v>
      </c>
      <c r="F78" s="3492">
        <f t="shared" ref="F78:F83" si="33">SUM(D78:E78)</f>
        <v>1</v>
      </c>
      <c r="G78" s="3490">
        <v>3</v>
      </c>
      <c r="H78" s="3493">
        <v>3</v>
      </c>
      <c r="I78" s="3492">
        <f t="shared" ref="I78:I83" si="34">SUM(G78:H78)</f>
        <v>6</v>
      </c>
      <c r="J78" s="3490">
        <v>1</v>
      </c>
      <c r="K78" s="3493"/>
      <c r="L78" s="3492">
        <f t="shared" si="26"/>
        <v>1</v>
      </c>
    </row>
    <row r="79" spans="1:12" x14ac:dyDescent="0.2">
      <c r="A79" s="6781"/>
      <c r="B79" s="6783"/>
      <c r="C79" s="4109" t="s">
        <v>484</v>
      </c>
      <c r="D79" s="4110">
        <v>5</v>
      </c>
      <c r="E79" s="4114">
        <v>3</v>
      </c>
      <c r="F79" s="3497">
        <f t="shared" si="33"/>
        <v>8</v>
      </c>
      <c r="G79" s="3495">
        <v>23</v>
      </c>
      <c r="H79" s="3499">
        <v>11</v>
      </c>
      <c r="I79" s="3497">
        <f t="shared" si="34"/>
        <v>34</v>
      </c>
      <c r="J79" s="3495">
        <v>3</v>
      </c>
      <c r="K79" s="3499">
        <v>1</v>
      </c>
      <c r="L79" s="3497">
        <f t="shared" si="26"/>
        <v>4</v>
      </c>
    </row>
    <row r="80" spans="1:12" x14ac:dyDescent="0.2">
      <c r="A80" s="6781"/>
      <c r="B80" s="6783"/>
      <c r="C80" s="4109" t="s">
        <v>458</v>
      </c>
      <c r="D80" s="4110"/>
      <c r="E80" s="4114"/>
      <c r="F80" s="3497">
        <f t="shared" si="33"/>
        <v>0</v>
      </c>
      <c r="G80" s="3495">
        <v>1</v>
      </c>
      <c r="H80" s="3499">
        <v>3</v>
      </c>
      <c r="I80" s="3497">
        <f t="shared" si="34"/>
        <v>4</v>
      </c>
      <c r="J80" s="3495"/>
      <c r="K80" s="3499"/>
      <c r="L80" s="3497">
        <f t="shared" si="26"/>
        <v>0</v>
      </c>
    </row>
    <row r="81" spans="1:12" s="3484" customFormat="1" x14ac:dyDescent="0.2">
      <c r="A81" s="6781"/>
      <c r="B81" s="6783"/>
      <c r="C81" s="4109" t="s">
        <v>486</v>
      </c>
      <c r="D81" s="4110">
        <v>1</v>
      </c>
      <c r="E81" s="4114">
        <v>1</v>
      </c>
      <c r="F81" s="3497">
        <f t="shared" si="33"/>
        <v>2</v>
      </c>
      <c r="G81" s="3495">
        <v>3</v>
      </c>
      <c r="H81" s="3499">
        <v>1</v>
      </c>
      <c r="I81" s="3497">
        <f t="shared" si="34"/>
        <v>4</v>
      </c>
      <c r="J81" s="3495"/>
      <c r="K81" s="3499"/>
      <c r="L81" s="3497">
        <f t="shared" si="26"/>
        <v>0</v>
      </c>
    </row>
    <row r="82" spans="1:12" x14ac:dyDescent="0.2">
      <c r="A82" s="6781"/>
      <c r="B82" s="6783"/>
      <c r="C82" s="4109" t="s">
        <v>485</v>
      </c>
      <c r="D82" s="4110">
        <v>4</v>
      </c>
      <c r="E82" s="4114">
        <v>3</v>
      </c>
      <c r="F82" s="3497">
        <f t="shared" si="33"/>
        <v>7</v>
      </c>
      <c r="G82" s="3495">
        <v>16</v>
      </c>
      <c r="H82" s="3499">
        <v>9</v>
      </c>
      <c r="I82" s="3497">
        <f t="shared" si="34"/>
        <v>25</v>
      </c>
      <c r="J82" s="3495">
        <v>1</v>
      </c>
      <c r="K82" s="3499">
        <v>1</v>
      </c>
      <c r="L82" s="3497">
        <f t="shared" si="26"/>
        <v>2</v>
      </c>
    </row>
    <row r="83" spans="1:12" x14ac:dyDescent="0.2">
      <c r="A83" s="6781"/>
      <c r="B83" s="6783"/>
      <c r="C83" s="4109" t="s">
        <v>459</v>
      </c>
      <c r="D83" s="4110"/>
      <c r="E83" s="4114">
        <v>1</v>
      </c>
      <c r="F83" s="3497">
        <f t="shared" si="33"/>
        <v>1</v>
      </c>
      <c r="G83" s="3495">
        <v>8</v>
      </c>
      <c r="H83" s="3499">
        <v>5</v>
      </c>
      <c r="I83" s="3497">
        <f t="shared" si="34"/>
        <v>13</v>
      </c>
      <c r="J83" s="3495">
        <v>1</v>
      </c>
      <c r="K83" s="3499"/>
      <c r="L83" s="3497">
        <f t="shared" si="26"/>
        <v>1</v>
      </c>
    </row>
    <row r="84" spans="1:12" ht="15" customHeight="1" x14ac:dyDescent="0.2">
      <c r="A84" s="6781"/>
      <c r="B84" s="6783"/>
      <c r="C84" s="4113" t="s">
        <v>160</v>
      </c>
      <c r="D84" s="3503">
        <f t="shared" ref="D84:J84" si="35">SUM(D78:D83)</f>
        <v>10</v>
      </c>
      <c r="E84" s="3504">
        <f t="shared" si="35"/>
        <v>9</v>
      </c>
      <c r="F84" s="3501">
        <f t="shared" si="35"/>
        <v>19</v>
      </c>
      <c r="G84" s="3503">
        <f t="shared" si="35"/>
        <v>54</v>
      </c>
      <c r="H84" s="3504">
        <f t="shared" si="35"/>
        <v>32</v>
      </c>
      <c r="I84" s="3501">
        <f t="shared" si="35"/>
        <v>86</v>
      </c>
      <c r="J84" s="3503">
        <f t="shared" si="35"/>
        <v>6</v>
      </c>
      <c r="K84" s="3504">
        <f>SUM(K78:K83)</f>
        <v>2</v>
      </c>
      <c r="L84" s="3501">
        <f t="shared" si="26"/>
        <v>8</v>
      </c>
    </row>
    <row r="85" spans="1:12" x14ac:dyDescent="0.2">
      <c r="A85" s="6781"/>
      <c r="B85" s="6783" t="s">
        <v>11</v>
      </c>
      <c r="C85" s="4109" t="s">
        <v>491</v>
      </c>
      <c r="D85" s="4110">
        <v>4</v>
      </c>
      <c r="E85" s="4114">
        <v>5</v>
      </c>
      <c r="F85" s="3497">
        <f t="shared" ref="F85:F92" si="36">SUM(D85:E85)</f>
        <v>9</v>
      </c>
      <c r="G85" s="3495">
        <v>1</v>
      </c>
      <c r="H85" s="3499"/>
      <c r="I85" s="3497">
        <f t="shared" ref="I85:I92" si="37">SUM(G85:H85)</f>
        <v>1</v>
      </c>
      <c r="J85" s="3495">
        <v>3</v>
      </c>
      <c r="K85" s="3499"/>
      <c r="L85" s="3497">
        <f t="shared" si="26"/>
        <v>3</v>
      </c>
    </row>
    <row r="86" spans="1:12" x14ac:dyDescent="0.2">
      <c r="A86" s="6781"/>
      <c r="B86" s="6783"/>
      <c r="C86" s="4109" t="s">
        <v>478</v>
      </c>
      <c r="D86" s="4110">
        <v>3</v>
      </c>
      <c r="E86" s="4114">
        <v>2</v>
      </c>
      <c r="F86" s="3497">
        <f t="shared" si="36"/>
        <v>5</v>
      </c>
      <c r="G86" s="3495">
        <v>8</v>
      </c>
      <c r="H86" s="3499">
        <v>5</v>
      </c>
      <c r="I86" s="3497">
        <f t="shared" si="37"/>
        <v>13</v>
      </c>
      <c r="J86" s="3495"/>
      <c r="K86" s="3499">
        <v>1</v>
      </c>
      <c r="L86" s="3497">
        <f t="shared" si="26"/>
        <v>1</v>
      </c>
    </row>
    <row r="87" spans="1:12" ht="15" customHeight="1" x14ac:dyDescent="0.2">
      <c r="A87" s="6781"/>
      <c r="B87" s="6783"/>
      <c r="C87" s="4109" t="s">
        <v>487</v>
      </c>
      <c r="D87" s="4110"/>
      <c r="E87" s="4121"/>
      <c r="F87" s="3497">
        <f t="shared" si="36"/>
        <v>0</v>
      </c>
      <c r="G87" s="3495">
        <v>3</v>
      </c>
      <c r="H87" s="3500"/>
      <c r="I87" s="3497">
        <f t="shared" si="37"/>
        <v>3</v>
      </c>
      <c r="J87" s="3495">
        <v>1</v>
      </c>
      <c r="K87" s="3500">
        <v>1</v>
      </c>
      <c r="L87" s="3497">
        <f t="shared" si="26"/>
        <v>2</v>
      </c>
    </row>
    <row r="88" spans="1:12" x14ac:dyDescent="0.2">
      <c r="A88" s="6781"/>
      <c r="B88" s="6783"/>
      <c r="C88" s="4109" t="s">
        <v>488</v>
      </c>
      <c r="D88" s="4110">
        <v>1</v>
      </c>
      <c r="E88" s="4121"/>
      <c r="F88" s="3497">
        <f t="shared" si="36"/>
        <v>1</v>
      </c>
      <c r="G88" s="3495">
        <v>3</v>
      </c>
      <c r="H88" s="3500"/>
      <c r="I88" s="3497">
        <f t="shared" si="37"/>
        <v>3</v>
      </c>
      <c r="J88" s="3495"/>
      <c r="K88" s="3500"/>
      <c r="L88" s="3497">
        <f t="shared" si="26"/>
        <v>0</v>
      </c>
    </row>
    <row r="89" spans="1:12" x14ac:dyDescent="0.2">
      <c r="A89" s="6781"/>
      <c r="B89" s="6783"/>
      <c r="C89" s="4109" t="s">
        <v>492</v>
      </c>
      <c r="D89" s="4110">
        <v>4</v>
      </c>
      <c r="E89" s="4114">
        <v>2</v>
      </c>
      <c r="F89" s="3497">
        <f t="shared" si="36"/>
        <v>6</v>
      </c>
      <c r="G89" s="3495">
        <v>17</v>
      </c>
      <c r="H89" s="3499">
        <v>12</v>
      </c>
      <c r="I89" s="3497">
        <f t="shared" si="37"/>
        <v>29</v>
      </c>
      <c r="J89" s="3495">
        <v>1</v>
      </c>
      <c r="K89" s="3499">
        <v>1</v>
      </c>
      <c r="L89" s="3497">
        <f t="shared" si="26"/>
        <v>2</v>
      </c>
    </row>
    <row r="90" spans="1:12" s="3484" customFormat="1" x14ac:dyDescent="0.2">
      <c r="A90" s="6781"/>
      <c r="B90" s="6783"/>
      <c r="C90" s="4109" t="s">
        <v>490</v>
      </c>
      <c r="D90" s="4110"/>
      <c r="E90" s="4121"/>
      <c r="F90" s="3497">
        <f t="shared" si="36"/>
        <v>0</v>
      </c>
      <c r="G90" s="3495">
        <v>4</v>
      </c>
      <c r="H90" s="3500">
        <v>1</v>
      </c>
      <c r="I90" s="3497">
        <f t="shared" si="37"/>
        <v>5</v>
      </c>
      <c r="J90" s="3495">
        <v>5</v>
      </c>
      <c r="K90" s="3500">
        <v>1</v>
      </c>
      <c r="L90" s="3497">
        <f t="shared" si="26"/>
        <v>6</v>
      </c>
    </row>
    <row r="91" spans="1:12" x14ac:dyDescent="0.2">
      <c r="A91" s="6781"/>
      <c r="B91" s="6783"/>
      <c r="C91" s="4109" t="s">
        <v>493</v>
      </c>
      <c r="D91" s="4110">
        <v>1</v>
      </c>
      <c r="E91" s="4114"/>
      <c r="F91" s="3497">
        <f t="shared" si="36"/>
        <v>1</v>
      </c>
      <c r="G91" s="3495">
        <v>13</v>
      </c>
      <c r="H91" s="3499">
        <v>1</v>
      </c>
      <c r="I91" s="3497">
        <f t="shared" si="37"/>
        <v>14</v>
      </c>
      <c r="J91" s="3495">
        <v>4</v>
      </c>
      <c r="K91" s="3499">
        <v>1</v>
      </c>
      <c r="L91" s="3497">
        <f t="shared" si="26"/>
        <v>5</v>
      </c>
    </row>
    <row r="92" spans="1:12" x14ac:dyDescent="0.2">
      <c r="A92" s="6781"/>
      <c r="B92" s="6783"/>
      <c r="C92" s="4109" t="s">
        <v>489</v>
      </c>
      <c r="D92" s="4110">
        <v>1</v>
      </c>
      <c r="E92" s="4114"/>
      <c r="F92" s="3497">
        <f t="shared" si="36"/>
        <v>1</v>
      </c>
      <c r="G92" s="3495">
        <v>10</v>
      </c>
      <c r="H92" s="3499">
        <v>8</v>
      </c>
      <c r="I92" s="3497">
        <f t="shared" si="37"/>
        <v>18</v>
      </c>
      <c r="J92" s="3495">
        <v>2</v>
      </c>
      <c r="K92" s="3499"/>
      <c r="L92" s="3497">
        <f t="shared" si="26"/>
        <v>2</v>
      </c>
    </row>
    <row r="93" spans="1:12" x14ac:dyDescent="0.2">
      <c r="A93" s="6781"/>
      <c r="B93" s="6783"/>
      <c r="C93" s="4113" t="s">
        <v>160</v>
      </c>
      <c r="D93" s="3503">
        <f t="shared" ref="D93:J93" si="38">SUM(D85:D92)</f>
        <v>14</v>
      </c>
      <c r="E93" s="3504">
        <f t="shared" si="38"/>
        <v>9</v>
      </c>
      <c r="F93" s="3501">
        <f t="shared" si="38"/>
        <v>23</v>
      </c>
      <c r="G93" s="3503">
        <f t="shared" si="38"/>
        <v>59</v>
      </c>
      <c r="H93" s="3504">
        <f t="shared" si="38"/>
        <v>27</v>
      </c>
      <c r="I93" s="3501">
        <f t="shared" si="38"/>
        <v>86</v>
      </c>
      <c r="J93" s="3503">
        <f t="shared" si="38"/>
        <v>16</v>
      </c>
      <c r="K93" s="3504">
        <f>SUM(K85:K92)</f>
        <v>5</v>
      </c>
      <c r="L93" s="3501">
        <f t="shared" si="26"/>
        <v>21</v>
      </c>
    </row>
    <row r="94" spans="1:12" ht="15" customHeight="1" x14ac:dyDescent="0.2">
      <c r="A94" s="6781"/>
      <c r="B94" s="6783" t="s">
        <v>7</v>
      </c>
      <c r="C94" s="4109" t="s">
        <v>460</v>
      </c>
      <c r="D94" s="4110"/>
      <c r="E94" s="4114">
        <v>2</v>
      </c>
      <c r="F94" s="3497">
        <f>SUM(D94:E94)</f>
        <v>2</v>
      </c>
      <c r="G94" s="3495">
        <v>7</v>
      </c>
      <c r="H94" s="3499">
        <v>3</v>
      </c>
      <c r="I94" s="3497">
        <f>SUM(G94:H94)</f>
        <v>10</v>
      </c>
      <c r="J94" s="3495">
        <v>1</v>
      </c>
      <c r="K94" s="3499">
        <v>2</v>
      </c>
      <c r="L94" s="3497">
        <f t="shared" si="26"/>
        <v>3</v>
      </c>
    </row>
    <row r="95" spans="1:12" s="3484" customFormat="1" x14ac:dyDescent="0.2">
      <c r="A95" s="6781"/>
      <c r="B95" s="6783"/>
      <c r="C95" s="4109" t="s">
        <v>461</v>
      </c>
      <c r="D95" s="4110"/>
      <c r="E95" s="4114">
        <v>1</v>
      </c>
      <c r="F95" s="3497">
        <f>SUM(D95:E95)</f>
        <v>1</v>
      </c>
      <c r="G95" s="3495">
        <v>7</v>
      </c>
      <c r="H95" s="3499">
        <v>7</v>
      </c>
      <c r="I95" s="3497">
        <f>SUM(G95:H95)</f>
        <v>14</v>
      </c>
      <c r="J95" s="3495">
        <v>3</v>
      </c>
      <c r="K95" s="3499">
        <v>1</v>
      </c>
      <c r="L95" s="3497">
        <f t="shared" si="26"/>
        <v>4</v>
      </c>
    </row>
    <row r="96" spans="1:12" s="3484" customFormat="1" x14ac:dyDescent="0.2">
      <c r="A96" s="6781"/>
      <c r="B96" s="6783"/>
      <c r="C96" s="4109" t="s">
        <v>462</v>
      </c>
      <c r="D96" s="4110">
        <v>2</v>
      </c>
      <c r="E96" s="4114">
        <v>1</v>
      </c>
      <c r="F96" s="3497">
        <f>SUM(D96:E96)</f>
        <v>3</v>
      </c>
      <c r="G96" s="3495">
        <v>12</v>
      </c>
      <c r="H96" s="3499">
        <v>3</v>
      </c>
      <c r="I96" s="3497">
        <f>SUM(G96:H96)</f>
        <v>15</v>
      </c>
      <c r="J96" s="3495">
        <v>1</v>
      </c>
      <c r="K96" s="3499"/>
      <c r="L96" s="3497">
        <f t="shared" si="26"/>
        <v>1</v>
      </c>
    </row>
    <row r="97" spans="1:12" s="3484" customFormat="1" x14ac:dyDescent="0.2">
      <c r="A97" s="6781"/>
      <c r="B97" s="6783"/>
      <c r="C97" s="4109" t="s">
        <v>494</v>
      </c>
      <c r="D97" s="4110"/>
      <c r="E97" s="4121"/>
      <c r="F97" s="3497">
        <f>SUM(D97:E97)</f>
        <v>0</v>
      </c>
      <c r="G97" s="3495"/>
      <c r="H97" s="3500">
        <v>3</v>
      </c>
      <c r="I97" s="3497">
        <f>SUM(G97:H97)</f>
        <v>3</v>
      </c>
      <c r="J97" s="3495"/>
      <c r="K97" s="3500"/>
      <c r="L97" s="3497">
        <f t="shared" si="26"/>
        <v>0</v>
      </c>
    </row>
    <row r="98" spans="1:12" x14ac:dyDescent="0.2">
      <c r="A98" s="6781"/>
      <c r="B98" s="6777"/>
      <c r="C98" s="4113" t="s">
        <v>160</v>
      </c>
      <c r="D98" s="3526">
        <f t="shared" ref="D98:I98" si="39">SUM(D94:D97)</f>
        <v>2</v>
      </c>
      <c r="E98" s="3527">
        <f t="shared" si="39"/>
        <v>4</v>
      </c>
      <c r="F98" s="3528">
        <f t="shared" si="39"/>
        <v>6</v>
      </c>
      <c r="G98" s="3526">
        <f t="shared" si="39"/>
        <v>26</v>
      </c>
      <c r="H98" s="3527">
        <f t="shared" si="39"/>
        <v>16</v>
      </c>
      <c r="I98" s="3528">
        <f t="shared" si="39"/>
        <v>42</v>
      </c>
      <c r="J98" s="3526">
        <f t="shared" ref="J98" si="40">SUM(J94:J97)</f>
        <v>5</v>
      </c>
      <c r="K98" s="3527">
        <f>SUM(K94:K97)</f>
        <v>3</v>
      </c>
      <c r="L98" s="3528">
        <f t="shared" si="26"/>
        <v>8</v>
      </c>
    </row>
    <row r="99" spans="1:12" x14ac:dyDescent="0.2">
      <c r="A99" s="6782"/>
      <c r="B99" s="6784" t="s">
        <v>444</v>
      </c>
      <c r="C99" s="6785"/>
      <c r="D99" s="4133">
        <f t="shared" ref="D99:I99" si="41">D98+D93+D84</f>
        <v>26</v>
      </c>
      <c r="E99" s="4134">
        <f t="shared" si="41"/>
        <v>22</v>
      </c>
      <c r="F99" s="4135">
        <f t="shared" si="41"/>
        <v>48</v>
      </c>
      <c r="G99" s="3523">
        <f t="shared" si="41"/>
        <v>139</v>
      </c>
      <c r="H99" s="3524">
        <f t="shared" si="41"/>
        <v>75</v>
      </c>
      <c r="I99" s="3525">
        <f t="shared" si="41"/>
        <v>214</v>
      </c>
      <c r="J99" s="3523">
        <f t="shared" ref="J99" si="42">J98+J93+J84</f>
        <v>27</v>
      </c>
      <c r="K99" s="3524">
        <f>K98+K93+K84</f>
        <v>10</v>
      </c>
      <c r="L99" s="3525">
        <f t="shared" si="26"/>
        <v>37</v>
      </c>
    </row>
    <row r="100" spans="1:12" x14ac:dyDescent="0.2">
      <c r="A100" s="3484"/>
      <c r="B100" s="3484"/>
      <c r="C100" s="3484"/>
      <c r="D100" s="3484"/>
      <c r="E100" s="3484"/>
      <c r="F100" s="3484"/>
      <c r="G100" s="3484"/>
      <c r="H100" s="3484"/>
      <c r="I100" s="3484"/>
      <c r="J100" s="3484"/>
      <c r="K100" s="3484"/>
      <c r="L100" s="3484"/>
    </row>
    <row r="101" spans="1:12" x14ac:dyDescent="0.2">
      <c r="A101" s="6792" t="s">
        <v>76</v>
      </c>
      <c r="B101" s="6793"/>
      <c r="C101" s="6794"/>
      <c r="D101" s="4136">
        <f t="shared" ref="D101:J101" si="43">D99+D77+D69+D39+D25</f>
        <v>142</v>
      </c>
      <c r="E101" s="4137">
        <f t="shared" si="43"/>
        <v>120</v>
      </c>
      <c r="F101" s="4138">
        <f t="shared" si="43"/>
        <v>262</v>
      </c>
      <c r="G101" s="3516">
        <f t="shared" si="43"/>
        <v>400</v>
      </c>
      <c r="H101" s="3517">
        <f t="shared" si="43"/>
        <v>267</v>
      </c>
      <c r="I101" s="3486">
        <f t="shared" si="43"/>
        <v>667</v>
      </c>
      <c r="J101" s="5397">
        <f t="shared" si="43"/>
        <v>123</v>
      </c>
      <c r="K101" s="5398">
        <f>K99+K77+K69+K39+K25</f>
        <v>74</v>
      </c>
      <c r="L101" s="3486">
        <f t="shared" si="26"/>
        <v>197</v>
      </c>
    </row>
    <row r="103" spans="1:12" x14ac:dyDescent="0.2">
      <c r="C103" s="5402" t="s">
        <v>1575</v>
      </c>
    </row>
  </sheetData>
  <sheetProtection algorithmName="SHA-512" hashValue="4UrnYgh3x2WU/VTxa82vRblpc31fglvgBVmlXn5qTp+1OkEAfkuBV0Ld2U+8mNQRArjf0mkWjdmc7OOaxHP5Sw==" saltValue="9LL8/uvTf8CS5Om9etmu5w==" spinCount="100000" sheet="1" objects="1" scenarios="1"/>
  <mergeCells count="32">
    <mergeCell ref="A3:A4"/>
    <mergeCell ref="B3:B4"/>
    <mergeCell ref="C3:C4"/>
    <mergeCell ref="A101:C101"/>
    <mergeCell ref="D3:F3"/>
    <mergeCell ref="A5:A25"/>
    <mergeCell ref="B5:B15"/>
    <mergeCell ref="B16:B20"/>
    <mergeCell ref="B21:B24"/>
    <mergeCell ref="B25:C25"/>
    <mergeCell ref="A26:A39"/>
    <mergeCell ref="B26:B29"/>
    <mergeCell ref="B30:B34"/>
    <mergeCell ref="B35:B38"/>
    <mergeCell ref="B39:C39"/>
    <mergeCell ref="A40:A69"/>
    <mergeCell ref="A70:A77"/>
    <mergeCell ref="B70:B71"/>
    <mergeCell ref="B72:B73"/>
    <mergeCell ref="B74:B76"/>
    <mergeCell ref="B77:C77"/>
    <mergeCell ref="A78:A99"/>
    <mergeCell ref="B78:B84"/>
    <mergeCell ref="B85:B93"/>
    <mergeCell ref="B94:B98"/>
    <mergeCell ref="B99:C99"/>
    <mergeCell ref="J3:L3"/>
    <mergeCell ref="B69:C69"/>
    <mergeCell ref="B40:B49"/>
    <mergeCell ref="B50:B61"/>
    <mergeCell ref="B62:B68"/>
    <mergeCell ref="G3:I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9" orientation="landscape" horizontalDpi="4294967292" verticalDpi="4294967292" r:id="rId1"/>
  <rowBreaks count="1" manualBreakCount="1">
    <brk id="39" max="16383" man="1"/>
  </rowBreaks>
  <ignoredErrors>
    <ignoredError sqref="I15:I20 I49:I61 I71:I73 I84:I93 I31 I29 F15:F20 F34 F61 F71:F73 I34" formula="1"/>
  </ignoredError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K39"/>
  <sheetViews>
    <sheetView showGridLines="0" zoomScaleNormal="100" workbookViewId="0">
      <selection activeCell="P11" sqref="P11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4" width="11.42578125" style="250" customWidth="1"/>
    <col min="5" max="5" width="8.7109375" style="250" customWidth="1"/>
    <col min="6" max="7" width="11.42578125" style="250"/>
    <col min="8" max="8" width="8.7109375" style="250" customWidth="1"/>
    <col min="9" max="9" width="9" style="250" bestFit="1" customWidth="1"/>
    <col min="10" max="10" width="9.42578125" style="250" bestFit="1" customWidth="1"/>
    <col min="11" max="11" width="8.7109375" style="250" customWidth="1"/>
    <col min="12" max="16384" width="11.42578125" style="250"/>
  </cols>
  <sheetData>
    <row r="1" spans="1:11" ht="18.75" x14ac:dyDescent="0.3">
      <c r="A1" s="3701" t="s">
        <v>1245</v>
      </c>
    </row>
    <row r="3" spans="1:11" x14ac:dyDescent="0.25">
      <c r="A3" s="6831" t="s">
        <v>16</v>
      </c>
      <c r="B3" s="6831" t="s">
        <v>4</v>
      </c>
      <c r="C3" s="6810">
        <v>2014</v>
      </c>
      <c r="D3" s="6811"/>
      <c r="E3" s="6812"/>
      <c r="F3" s="6810">
        <v>2015</v>
      </c>
      <c r="G3" s="6811"/>
      <c r="H3" s="6812"/>
      <c r="I3" s="6810">
        <v>2017</v>
      </c>
      <c r="J3" s="6811"/>
      <c r="K3" s="6812"/>
    </row>
    <row r="4" spans="1:11" x14ac:dyDescent="0.25">
      <c r="A4" s="6832"/>
      <c r="B4" s="6832"/>
      <c r="C4" s="4687" t="s">
        <v>1267</v>
      </c>
      <c r="D4" s="4687" t="s">
        <v>659</v>
      </c>
      <c r="E4" s="3477" t="s">
        <v>160</v>
      </c>
      <c r="F4" s="4687" t="s">
        <v>1267</v>
      </c>
      <c r="G4" s="4687" t="s">
        <v>659</v>
      </c>
      <c r="H4" s="3477" t="s">
        <v>160</v>
      </c>
      <c r="I4" s="4687" t="s">
        <v>1267</v>
      </c>
      <c r="J4" s="4687" t="s">
        <v>659</v>
      </c>
      <c r="K4" s="3477" t="s">
        <v>160</v>
      </c>
    </row>
    <row r="5" spans="1:11" x14ac:dyDescent="0.25">
      <c r="A5" s="3464"/>
      <c r="B5" s="3464"/>
      <c r="C5" s="3464"/>
      <c r="D5" s="3464"/>
      <c r="E5" s="3464"/>
      <c r="F5" s="3464"/>
      <c r="G5" s="3464"/>
      <c r="H5" s="3464"/>
      <c r="I5" s="3464"/>
      <c r="J5" s="3464"/>
      <c r="K5" s="3464"/>
    </row>
    <row r="6" spans="1:11" x14ac:dyDescent="0.25">
      <c r="A6" s="6828" t="s">
        <v>3</v>
      </c>
      <c r="B6" s="3465" t="s">
        <v>5</v>
      </c>
      <c r="C6" s="3466">
        <f>+'5 Lenguas Ext plan'!D15</f>
        <v>7</v>
      </c>
      <c r="D6" s="3467">
        <f>+'5 Lenguas Ext plan'!E15</f>
        <v>15</v>
      </c>
      <c r="E6" s="3467">
        <f>+'5 Lenguas Ext plan'!F15</f>
        <v>22</v>
      </c>
      <c r="F6" s="3466">
        <f>+'5 Lenguas Ext plan'!G15</f>
        <v>34</v>
      </c>
      <c r="G6" s="3467">
        <f>+'5 Lenguas Ext plan'!H15</f>
        <v>42</v>
      </c>
      <c r="H6" s="3467">
        <f>+'5 Lenguas Ext plan'!I15</f>
        <v>76</v>
      </c>
      <c r="I6" s="3466">
        <f>+'5 Lenguas Ext plan'!J15</f>
        <v>12</v>
      </c>
      <c r="J6" s="3467">
        <f>+'5 Lenguas Ext plan'!K15</f>
        <v>19</v>
      </c>
      <c r="K6" s="3467">
        <f>+'5 Lenguas Ext plan'!L15</f>
        <v>31</v>
      </c>
    </row>
    <row r="7" spans="1:11" x14ac:dyDescent="0.25">
      <c r="A7" s="6829"/>
      <c r="B7" s="3468" t="s">
        <v>6</v>
      </c>
      <c r="C7" s="3469">
        <f>+'5 Lenguas Ext plan'!D20</f>
        <v>45</v>
      </c>
      <c r="D7" s="3470">
        <f>+'5 Lenguas Ext plan'!E20</f>
        <v>27</v>
      </c>
      <c r="E7" s="3470">
        <f>+'5 Lenguas Ext plan'!F20</f>
        <v>72</v>
      </c>
      <c r="F7" s="3469">
        <f>+'5 Lenguas Ext plan'!G20</f>
        <v>48</v>
      </c>
      <c r="G7" s="3470">
        <f>+'5 Lenguas Ext plan'!H20</f>
        <v>26</v>
      </c>
      <c r="H7" s="3470">
        <f>+'5 Lenguas Ext plan'!I20</f>
        <v>74</v>
      </c>
      <c r="I7" s="3469">
        <f>+'5 Lenguas Ext plan'!J20</f>
        <v>6</v>
      </c>
      <c r="J7" s="3470">
        <f>+'5 Lenguas Ext plan'!K20</f>
        <v>3</v>
      </c>
      <c r="K7" s="3470">
        <f>+'5 Lenguas Ext plan'!L20</f>
        <v>9</v>
      </c>
    </row>
    <row r="8" spans="1:11" x14ac:dyDescent="0.25">
      <c r="A8" s="6829"/>
      <c r="B8" s="3468" t="s">
        <v>7</v>
      </c>
      <c r="C8" s="3469">
        <f>+'5 Lenguas Ext plan'!D24</f>
        <v>8</v>
      </c>
      <c r="D8" s="3470">
        <f>+'5 Lenguas Ext plan'!E24</f>
        <v>7</v>
      </c>
      <c r="E8" s="3470">
        <f>+'5 Lenguas Ext plan'!F24</f>
        <v>15</v>
      </c>
      <c r="F8" s="3469">
        <f>+'5 Lenguas Ext plan'!G24</f>
        <v>45</v>
      </c>
      <c r="G8" s="3470">
        <f>+'5 Lenguas Ext plan'!H24</f>
        <v>22</v>
      </c>
      <c r="H8" s="3470">
        <f>+'5 Lenguas Ext plan'!I24</f>
        <v>67</v>
      </c>
      <c r="I8" s="3469">
        <f>+'5 Lenguas Ext plan'!J24</f>
        <v>6</v>
      </c>
      <c r="J8" s="3470">
        <f>+'5 Lenguas Ext plan'!K24</f>
        <v>4</v>
      </c>
      <c r="K8" s="3470">
        <f>+'5 Lenguas Ext plan'!L24</f>
        <v>10</v>
      </c>
    </row>
    <row r="9" spans="1:11" x14ac:dyDescent="0.25">
      <c r="A9" s="6830"/>
      <c r="B9" s="2467" t="s">
        <v>160</v>
      </c>
      <c r="C9" s="2468">
        <f t="shared" ref="C9:H9" si="0">SUM(C6:C8)</f>
        <v>60</v>
      </c>
      <c r="D9" s="2469">
        <f t="shared" si="0"/>
        <v>49</v>
      </c>
      <c r="E9" s="2469">
        <f t="shared" si="0"/>
        <v>109</v>
      </c>
      <c r="F9" s="2468">
        <f t="shared" si="0"/>
        <v>127</v>
      </c>
      <c r="G9" s="2469">
        <f t="shared" si="0"/>
        <v>90</v>
      </c>
      <c r="H9" s="2469">
        <f t="shared" si="0"/>
        <v>217</v>
      </c>
      <c r="I9" s="2468">
        <f t="shared" ref="I9:K9" si="1">SUM(I6:I8)</f>
        <v>24</v>
      </c>
      <c r="J9" s="2469">
        <f t="shared" si="1"/>
        <v>26</v>
      </c>
      <c r="K9" s="2469">
        <f t="shared" si="1"/>
        <v>50</v>
      </c>
    </row>
    <row r="10" spans="1:11" x14ac:dyDescent="0.25">
      <c r="A10" s="3471"/>
      <c r="B10" s="3471"/>
      <c r="C10" s="3471"/>
      <c r="D10" s="3471"/>
      <c r="F10" s="3471"/>
      <c r="G10" s="3471"/>
      <c r="I10" s="3471"/>
      <c r="J10" s="3471"/>
    </row>
    <row r="11" spans="1:11" x14ac:dyDescent="0.25">
      <c r="A11" s="6813" t="s">
        <v>8</v>
      </c>
      <c r="B11" s="4057" t="s">
        <v>9</v>
      </c>
      <c r="C11" s="3466">
        <f>+'5 Lenguas Ext plan'!D29</f>
        <v>17</v>
      </c>
      <c r="D11" s="3467">
        <f>+'5 Lenguas Ext plan'!E29</f>
        <v>12</v>
      </c>
      <c r="E11" s="3467">
        <f>+'5 Lenguas Ext plan'!F29</f>
        <v>29</v>
      </c>
      <c r="F11" s="3466">
        <f>+'5 Lenguas Ext plan'!G29</f>
        <v>27</v>
      </c>
      <c r="G11" s="3467">
        <f>+'5 Lenguas Ext plan'!H29</f>
        <v>13</v>
      </c>
      <c r="H11" s="3467">
        <f>+'5 Lenguas Ext plan'!I29</f>
        <v>40</v>
      </c>
      <c r="I11" s="3466">
        <f>+'5 Lenguas Ext plan'!J29</f>
        <v>7</v>
      </c>
      <c r="J11" s="3467">
        <f>+'5 Lenguas Ext plan'!K29</f>
        <v>7</v>
      </c>
      <c r="K11" s="3467">
        <f>+'5 Lenguas Ext plan'!L29</f>
        <v>14</v>
      </c>
    </row>
    <row r="12" spans="1:11" x14ac:dyDescent="0.25">
      <c r="A12" s="6814"/>
      <c r="B12" s="4058" t="s">
        <v>74</v>
      </c>
      <c r="C12" s="3469">
        <f>+'5 Lenguas Ext plan'!D34</f>
        <v>6</v>
      </c>
      <c r="D12" s="3470">
        <f>+'5 Lenguas Ext plan'!E34</f>
        <v>7</v>
      </c>
      <c r="E12" s="3470">
        <f>+'5 Lenguas Ext plan'!F34</f>
        <v>13</v>
      </c>
      <c r="F12" s="3469">
        <f>+'5 Lenguas Ext plan'!G34</f>
        <v>4</v>
      </c>
      <c r="G12" s="3470">
        <f>+'5 Lenguas Ext plan'!H34</f>
        <v>7</v>
      </c>
      <c r="H12" s="3470">
        <f>+'5 Lenguas Ext plan'!I34</f>
        <v>11</v>
      </c>
      <c r="I12" s="3469">
        <f>+'5 Lenguas Ext plan'!J34</f>
        <v>2</v>
      </c>
      <c r="J12" s="3470">
        <f>+'5 Lenguas Ext plan'!K34</f>
        <v>4</v>
      </c>
      <c r="K12" s="3470">
        <f>+'5 Lenguas Ext plan'!L34</f>
        <v>6</v>
      </c>
    </row>
    <row r="13" spans="1:11" x14ac:dyDescent="0.25">
      <c r="A13" s="6814"/>
      <c r="B13" s="4058" t="s">
        <v>6</v>
      </c>
      <c r="C13" s="3469">
        <f>+'5 Lenguas Ext plan'!D38</f>
        <v>9</v>
      </c>
      <c r="D13" s="3470">
        <f>+'5 Lenguas Ext plan'!E38</f>
        <v>8</v>
      </c>
      <c r="E13" s="3470">
        <f>+'5 Lenguas Ext plan'!F38</f>
        <v>17</v>
      </c>
      <c r="F13" s="3469">
        <f>+'5 Lenguas Ext plan'!G38</f>
        <v>9</v>
      </c>
      <c r="G13" s="3470">
        <f>+'5 Lenguas Ext plan'!H38</f>
        <v>5</v>
      </c>
      <c r="H13" s="3470">
        <f>+'5 Lenguas Ext plan'!I38</f>
        <v>14</v>
      </c>
      <c r="I13" s="3469">
        <f>+'5 Lenguas Ext plan'!J38</f>
        <v>9</v>
      </c>
      <c r="J13" s="3470">
        <f>+'5 Lenguas Ext plan'!K38</f>
        <v>4</v>
      </c>
      <c r="K13" s="3470">
        <f>+'5 Lenguas Ext plan'!L38</f>
        <v>13</v>
      </c>
    </row>
    <row r="14" spans="1:11" x14ac:dyDescent="0.25">
      <c r="A14" s="6815"/>
      <c r="B14" s="2464" t="s">
        <v>160</v>
      </c>
      <c r="C14" s="2465">
        <f t="shared" ref="C14:H14" si="2">SUM(C11:C13)</f>
        <v>32</v>
      </c>
      <c r="D14" s="2466">
        <f t="shared" si="2"/>
        <v>27</v>
      </c>
      <c r="E14" s="2464">
        <f t="shared" si="2"/>
        <v>59</v>
      </c>
      <c r="F14" s="2465">
        <f t="shared" si="2"/>
        <v>40</v>
      </c>
      <c r="G14" s="2466">
        <f t="shared" si="2"/>
        <v>25</v>
      </c>
      <c r="H14" s="2464">
        <f t="shared" si="2"/>
        <v>65</v>
      </c>
      <c r="I14" s="2465">
        <f t="shared" ref="I14:K14" si="3">SUM(I11:I13)</f>
        <v>18</v>
      </c>
      <c r="J14" s="2466">
        <f t="shared" si="3"/>
        <v>15</v>
      </c>
      <c r="K14" s="2464">
        <f t="shared" si="3"/>
        <v>33</v>
      </c>
    </row>
    <row r="15" spans="1:11" x14ac:dyDescent="0.25">
      <c r="A15" s="3464"/>
      <c r="B15" s="3464"/>
      <c r="C15" s="3472"/>
      <c r="D15" s="3472"/>
      <c r="F15" s="3472"/>
      <c r="G15" s="3472"/>
      <c r="I15" s="3472"/>
      <c r="J15" s="3472"/>
    </row>
    <row r="16" spans="1:11" x14ac:dyDescent="0.25">
      <c r="A16" s="6816" t="s">
        <v>75</v>
      </c>
      <c r="B16" s="3465" t="s">
        <v>5</v>
      </c>
      <c r="C16" s="3466">
        <f>+'5 Lenguas Ext plan'!D49</f>
        <v>4</v>
      </c>
      <c r="D16" s="3467">
        <f>+'5 Lenguas Ext plan'!E49</f>
        <v>7</v>
      </c>
      <c r="E16" s="3467">
        <f>+'5 Lenguas Ext plan'!F49</f>
        <v>11</v>
      </c>
      <c r="F16" s="3466">
        <f>+'5 Lenguas Ext plan'!G49</f>
        <v>10</v>
      </c>
      <c r="G16" s="3467">
        <f>+'5 Lenguas Ext plan'!H49</f>
        <v>18</v>
      </c>
      <c r="H16" s="3467">
        <f>+'5 Lenguas Ext plan'!I49</f>
        <v>28</v>
      </c>
      <c r="I16" s="3466">
        <f>+'5 Lenguas Ext plan'!J49</f>
        <v>1</v>
      </c>
      <c r="J16" s="3467">
        <f>+'5 Lenguas Ext plan'!K49</f>
        <v>3</v>
      </c>
      <c r="K16" s="3467">
        <f>+'5 Lenguas Ext plan'!L49</f>
        <v>4</v>
      </c>
    </row>
    <row r="17" spans="1:11" x14ac:dyDescent="0.25">
      <c r="A17" s="6817"/>
      <c r="B17" s="3468" t="s">
        <v>6</v>
      </c>
      <c r="C17" s="3469">
        <f>+'5 Lenguas Ext plan'!D61</f>
        <v>10</v>
      </c>
      <c r="D17" s="3470">
        <f>+'5 Lenguas Ext plan'!E61</f>
        <v>8</v>
      </c>
      <c r="E17" s="3470">
        <f>+'5 Lenguas Ext plan'!F61</f>
        <v>18</v>
      </c>
      <c r="F17" s="3469">
        <f>+'5 Lenguas Ext plan'!G61</f>
        <v>47</v>
      </c>
      <c r="G17" s="3470">
        <f>+'5 Lenguas Ext plan'!H61</f>
        <v>40</v>
      </c>
      <c r="H17" s="3470">
        <f>+'5 Lenguas Ext plan'!I61</f>
        <v>87</v>
      </c>
      <c r="I17" s="3469">
        <f>+'5 Lenguas Ext plan'!J61</f>
        <v>22</v>
      </c>
      <c r="J17" s="3470">
        <f>+'5 Lenguas Ext plan'!K61</f>
        <v>7</v>
      </c>
      <c r="K17" s="3470">
        <f>+'5 Lenguas Ext plan'!L61</f>
        <v>29</v>
      </c>
    </row>
    <row r="18" spans="1:11" x14ac:dyDescent="0.25">
      <c r="A18" s="6817"/>
      <c r="B18" s="3468" t="s">
        <v>11</v>
      </c>
      <c r="C18" s="3469">
        <f>+'5 Lenguas Ext plan'!D68</f>
        <v>5</v>
      </c>
      <c r="D18" s="3470">
        <f>+'5 Lenguas Ext plan'!E68</f>
        <v>5</v>
      </c>
      <c r="E18" s="3470">
        <f>+'5 Lenguas Ext plan'!F68</f>
        <v>10</v>
      </c>
      <c r="F18" s="3469">
        <f>+'5 Lenguas Ext plan'!G68</f>
        <v>24</v>
      </c>
      <c r="G18" s="3470">
        <f>+'5 Lenguas Ext plan'!H68</f>
        <v>16</v>
      </c>
      <c r="H18" s="3470">
        <f>+'5 Lenguas Ext plan'!I68</f>
        <v>40</v>
      </c>
      <c r="I18" s="3469">
        <f>+'5 Lenguas Ext plan'!J68</f>
        <v>9</v>
      </c>
      <c r="J18" s="3470">
        <f>+'5 Lenguas Ext plan'!K68</f>
        <v>4</v>
      </c>
      <c r="K18" s="3470">
        <f>+'5 Lenguas Ext plan'!L68</f>
        <v>13</v>
      </c>
    </row>
    <row r="19" spans="1:11" x14ac:dyDescent="0.25">
      <c r="A19" s="6818"/>
      <c r="B19" s="2461" t="s">
        <v>160</v>
      </c>
      <c r="C19" s="2462">
        <f t="shared" ref="C19:H19" si="4">SUM(C16:C18)</f>
        <v>19</v>
      </c>
      <c r="D19" s="2463">
        <f t="shared" si="4"/>
        <v>20</v>
      </c>
      <c r="E19" s="2463">
        <f t="shared" si="4"/>
        <v>39</v>
      </c>
      <c r="F19" s="2462">
        <f t="shared" si="4"/>
        <v>81</v>
      </c>
      <c r="G19" s="2463">
        <f t="shared" si="4"/>
        <v>74</v>
      </c>
      <c r="H19" s="2463">
        <f t="shared" si="4"/>
        <v>155</v>
      </c>
      <c r="I19" s="2462">
        <f t="shared" ref="I19:K19" si="5">SUM(I16:I18)</f>
        <v>32</v>
      </c>
      <c r="J19" s="2463">
        <f t="shared" si="5"/>
        <v>14</v>
      </c>
      <c r="K19" s="2463">
        <f t="shared" si="5"/>
        <v>46</v>
      </c>
    </row>
    <row r="21" spans="1:11" x14ac:dyDescent="0.25">
      <c r="A21" s="6825" t="s">
        <v>325</v>
      </c>
      <c r="B21" s="4057" t="s">
        <v>11</v>
      </c>
      <c r="C21" s="3466">
        <f>+'5 Lenguas Ext plan'!D71</f>
        <v>4</v>
      </c>
      <c r="D21" s="3467">
        <f>+'5 Lenguas Ext plan'!E71</f>
        <v>0</v>
      </c>
      <c r="E21" s="3467">
        <f>+'5 Lenguas Ext plan'!F71</f>
        <v>4</v>
      </c>
      <c r="F21" s="3466">
        <f>+'5 Lenguas Ext plan'!G71</f>
        <v>5</v>
      </c>
      <c r="G21" s="3467">
        <f>+'5 Lenguas Ext plan'!H71</f>
        <v>0</v>
      </c>
      <c r="H21" s="3467">
        <f>+'5 Lenguas Ext plan'!I71</f>
        <v>5</v>
      </c>
      <c r="I21" s="3466">
        <f>+'5 Lenguas Ext plan'!J71</f>
        <v>9</v>
      </c>
      <c r="J21" s="3467">
        <f>+'5 Lenguas Ext plan'!K71</f>
        <v>5</v>
      </c>
      <c r="K21" s="3467">
        <f>+'5 Lenguas Ext plan'!L71</f>
        <v>14</v>
      </c>
    </row>
    <row r="22" spans="1:11" x14ac:dyDescent="0.25">
      <c r="A22" s="6826"/>
      <c r="B22" s="4058" t="s">
        <v>5</v>
      </c>
      <c r="C22" s="3469">
        <f>+'5 Lenguas Ext plan'!D73</f>
        <v>1</v>
      </c>
      <c r="D22" s="3470">
        <f>+'5 Lenguas Ext plan'!E73</f>
        <v>1</v>
      </c>
      <c r="E22" s="3470">
        <f>+'5 Lenguas Ext plan'!F73</f>
        <v>2</v>
      </c>
      <c r="F22" s="3469">
        <f>+'5 Lenguas Ext plan'!G73</f>
        <v>2</v>
      </c>
      <c r="G22" s="3470">
        <f>+'5 Lenguas Ext plan'!H73</f>
        <v>0</v>
      </c>
      <c r="H22" s="3470">
        <f>+'5 Lenguas Ext plan'!I73</f>
        <v>2</v>
      </c>
      <c r="I22" s="3469">
        <f>+'5 Lenguas Ext plan'!J73</f>
        <v>5</v>
      </c>
      <c r="J22" s="3470">
        <f>+'5 Lenguas Ext plan'!K73</f>
        <v>0</v>
      </c>
      <c r="K22" s="3470">
        <f>+'5 Lenguas Ext plan'!L73</f>
        <v>5</v>
      </c>
    </row>
    <row r="23" spans="1:11" x14ac:dyDescent="0.25">
      <c r="A23" s="6826"/>
      <c r="B23" s="4058" t="s">
        <v>6</v>
      </c>
      <c r="C23" s="3469">
        <f>+'5 Lenguas Ext plan'!D76</f>
        <v>0</v>
      </c>
      <c r="D23" s="3470">
        <f>+'5 Lenguas Ext plan'!E76</f>
        <v>1</v>
      </c>
      <c r="E23" s="3470">
        <f>+'5 Lenguas Ext plan'!F76</f>
        <v>1</v>
      </c>
      <c r="F23" s="3469">
        <f>+'5 Lenguas Ext plan'!G76</f>
        <v>6</v>
      </c>
      <c r="G23" s="3470">
        <f>+'5 Lenguas Ext plan'!H76</f>
        <v>3</v>
      </c>
      <c r="H23" s="3470">
        <f>+'5 Lenguas Ext plan'!I76</f>
        <v>9</v>
      </c>
      <c r="I23" s="3469">
        <f>+'5 Lenguas Ext plan'!J76</f>
        <v>8</v>
      </c>
      <c r="J23" s="3470">
        <f>+'5 Lenguas Ext plan'!K76</f>
        <v>4</v>
      </c>
      <c r="K23" s="3470">
        <f>+'5 Lenguas Ext plan'!L76</f>
        <v>12</v>
      </c>
    </row>
    <row r="24" spans="1:11" x14ac:dyDescent="0.25">
      <c r="A24" s="6827"/>
      <c r="B24" s="3479" t="s">
        <v>160</v>
      </c>
      <c r="C24" s="3480">
        <f t="shared" ref="C24:H24" si="6">SUM(C21:C23)</f>
        <v>5</v>
      </c>
      <c r="D24" s="3481">
        <f t="shared" si="6"/>
        <v>2</v>
      </c>
      <c r="E24" s="3481">
        <f t="shared" si="6"/>
        <v>7</v>
      </c>
      <c r="F24" s="3480">
        <f t="shared" si="6"/>
        <v>13</v>
      </c>
      <c r="G24" s="3481">
        <f t="shared" si="6"/>
        <v>3</v>
      </c>
      <c r="H24" s="3481">
        <f t="shared" si="6"/>
        <v>16</v>
      </c>
      <c r="I24" s="3480">
        <f t="shared" ref="I24:K24" si="7">SUM(I21:I23)</f>
        <v>22</v>
      </c>
      <c r="J24" s="3481">
        <f t="shared" si="7"/>
        <v>9</v>
      </c>
      <c r="K24" s="3481">
        <f t="shared" si="7"/>
        <v>31</v>
      </c>
    </row>
    <row r="25" spans="1:11" x14ac:dyDescent="0.25">
      <c r="A25" s="1501"/>
      <c r="B25" s="3464"/>
      <c r="C25" s="3472"/>
      <c r="D25" s="3472"/>
      <c r="F25" s="3472"/>
      <c r="G25" s="3472"/>
      <c r="I25" s="3472"/>
      <c r="J25" s="3472"/>
    </row>
    <row r="26" spans="1:11" x14ac:dyDescent="0.25">
      <c r="A26" s="6819" t="s">
        <v>10</v>
      </c>
      <c r="B26" s="3465" t="s">
        <v>6</v>
      </c>
      <c r="C26" s="3466">
        <f>+'5 Lenguas Ext plan'!D84</f>
        <v>10</v>
      </c>
      <c r="D26" s="3467">
        <f>+'5 Lenguas Ext plan'!E84</f>
        <v>9</v>
      </c>
      <c r="E26" s="3467">
        <f>+'5 Lenguas Ext plan'!F84</f>
        <v>19</v>
      </c>
      <c r="F26" s="3466">
        <f>+'5 Lenguas Ext plan'!G84</f>
        <v>54</v>
      </c>
      <c r="G26" s="3467">
        <f>+'5 Lenguas Ext plan'!H84</f>
        <v>32</v>
      </c>
      <c r="H26" s="3467">
        <f>+'5 Lenguas Ext plan'!I84</f>
        <v>86</v>
      </c>
      <c r="I26" s="3466">
        <f>+'5 Lenguas Ext plan'!J84</f>
        <v>6</v>
      </c>
      <c r="J26" s="3467">
        <f>+'5 Lenguas Ext plan'!K84</f>
        <v>2</v>
      </c>
      <c r="K26" s="3467">
        <f>+'5 Lenguas Ext plan'!L84</f>
        <v>8</v>
      </c>
    </row>
    <row r="27" spans="1:11" x14ac:dyDescent="0.25">
      <c r="A27" s="6820"/>
      <c r="B27" s="3468" t="s">
        <v>11</v>
      </c>
      <c r="C27" s="3469">
        <f>+'5 Lenguas Ext plan'!D93</f>
        <v>14</v>
      </c>
      <c r="D27" s="3470">
        <f>+'5 Lenguas Ext plan'!E93</f>
        <v>9</v>
      </c>
      <c r="E27" s="3470">
        <f>+'5 Lenguas Ext plan'!F93</f>
        <v>23</v>
      </c>
      <c r="F27" s="3469">
        <f>+'5 Lenguas Ext plan'!G93</f>
        <v>59</v>
      </c>
      <c r="G27" s="3470">
        <f>+'5 Lenguas Ext plan'!H93</f>
        <v>27</v>
      </c>
      <c r="H27" s="3470">
        <f>+'5 Lenguas Ext plan'!I93</f>
        <v>86</v>
      </c>
      <c r="I27" s="3469">
        <f>+'5 Lenguas Ext plan'!J93</f>
        <v>16</v>
      </c>
      <c r="J27" s="3470">
        <f>+'5 Lenguas Ext plan'!K93</f>
        <v>5</v>
      </c>
      <c r="K27" s="3470">
        <f>+'5 Lenguas Ext plan'!L93</f>
        <v>21</v>
      </c>
    </row>
    <row r="28" spans="1:11" x14ac:dyDescent="0.25">
      <c r="A28" s="6820"/>
      <c r="B28" s="3468" t="s">
        <v>7</v>
      </c>
      <c r="C28" s="3469">
        <f>+'5 Lenguas Ext plan'!D98</f>
        <v>2</v>
      </c>
      <c r="D28" s="3470">
        <f>+'5 Lenguas Ext plan'!E98</f>
        <v>4</v>
      </c>
      <c r="E28" s="3470">
        <f>+'5 Lenguas Ext plan'!F98</f>
        <v>6</v>
      </c>
      <c r="F28" s="3469">
        <f>+'5 Lenguas Ext plan'!G98</f>
        <v>26</v>
      </c>
      <c r="G28" s="3470">
        <f>+'5 Lenguas Ext plan'!H98</f>
        <v>16</v>
      </c>
      <c r="H28" s="3470">
        <f>+'5 Lenguas Ext plan'!I98</f>
        <v>42</v>
      </c>
      <c r="I28" s="3469">
        <f>+'5 Lenguas Ext plan'!J98</f>
        <v>5</v>
      </c>
      <c r="J28" s="3470">
        <f>+'5 Lenguas Ext plan'!K98</f>
        <v>3</v>
      </c>
      <c r="K28" s="3470">
        <f>+'5 Lenguas Ext plan'!L98</f>
        <v>8</v>
      </c>
    </row>
    <row r="29" spans="1:11" x14ac:dyDescent="0.25">
      <c r="A29" s="6821"/>
      <c r="B29" s="2458" t="s">
        <v>160</v>
      </c>
      <c r="C29" s="2459">
        <f t="shared" ref="C29:H29" si="8">SUM(C26:C28)</f>
        <v>26</v>
      </c>
      <c r="D29" s="2460">
        <f t="shared" si="8"/>
        <v>22</v>
      </c>
      <c r="E29" s="2460">
        <f t="shared" si="8"/>
        <v>48</v>
      </c>
      <c r="F29" s="2459">
        <f t="shared" si="8"/>
        <v>139</v>
      </c>
      <c r="G29" s="2460">
        <f t="shared" si="8"/>
        <v>75</v>
      </c>
      <c r="H29" s="2460">
        <f t="shared" si="8"/>
        <v>214</v>
      </c>
      <c r="I29" s="2459">
        <f t="shared" ref="I29:K29" si="9">SUM(I26:I28)</f>
        <v>27</v>
      </c>
      <c r="J29" s="2460">
        <f t="shared" si="9"/>
        <v>10</v>
      </c>
      <c r="K29" s="2460">
        <f t="shared" si="9"/>
        <v>37</v>
      </c>
    </row>
    <row r="30" spans="1:11" x14ac:dyDescent="0.25">
      <c r="A30" s="3464"/>
      <c r="B30" s="3464"/>
      <c r="C30" s="3472"/>
      <c r="D30" s="3472"/>
      <c r="E30" s="3472"/>
      <c r="F30" s="3472"/>
      <c r="G30" s="3472"/>
      <c r="H30" s="3472"/>
      <c r="I30" s="3472"/>
      <c r="J30" s="3472"/>
      <c r="K30" s="3472"/>
    </row>
    <row r="31" spans="1:11" x14ac:dyDescent="0.25">
      <c r="A31" s="6822" t="s">
        <v>60</v>
      </c>
      <c r="B31" s="3465" t="s">
        <v>5</v>
      </c>
      <c r="C31" s="3466">
        <f t="shared" ref="C31:H31" si="10">SUM(C6,C16,C21)</f>
        <v>15</v>
      </c>
      <c r="D31" s="3467">
        <f t="shared" si="10"/>
        <v>22</v>
      </c>
      <c r="E31" s="3465">
        <f t="shared" si="10"/>
        <v>37</v>
      </c>
      <c r="F31" s="3466">
        <f t="shared" si="10"/>
        <v>49</v>
      </c>
      <c r="G31" s="3467">
        <f t="shared" si="10"/>
        <v>60</v>
      </c>
      <c r="H31" s="3465">
        <f t="shared" si="10"/>
        <v>109</v>
      </c>
      <c r="I31" s="3466">
        <f t="shared" ref="I31:K31" si="11">SUM(I6,I16,I21)</f>
        <v>22</v>
      </c>
      <c r="J31" s="3467">
        <f t="shared" si="11"/>
        <v>27</v>
      </c>
      <c r="K31" s="3465">
        <f t="shared" si="11"/>
        <v>49</v>
      </c>
    </row>
    <row r="32" spans="1:11" x14ac:dyDescent="0.25">
      <c r="A32" s="6823"/>
      <c r="B32" s="3468" t="s">
        <v>6</v>
      </c>
      <c r="C32" s="3469">
        <f t="shared" ref="C32:H32" si="12">SUM(C7,C11,C17,C22,C26)</f>
        <v>83</v>
      </c>
      <c r="D32" s="3470">
        <f t="shared" si="12"/>
        <v>57</v>
      </c>
      <c r="E32" s="3468">
        <f t="shared" si="12"/>
        <v>140</v>
      </c>
      <c r="F32" s="3469">
        <f t="shared" si="12"/>
        <v>178</v>
      </c>
      <c r="G32" s="3470">
        <f t="shared" si="12"/>
        <v>111</v>
      </c>
      <c r="H32" s="3468">
        <f t="shared" si="12"/>
        <v>289</v>
      </c>
      <c r="I32" s="3469">
        <f t="shared" ref="I32:K32" si="13">SUM(I7,I11,I17,I22,I26)</f>
        <v>46</v>
      </c>
      <c r="J32" s="3470">
        <f t="shared" si="13"/>
        <v>19</v>
      </c>
      <c r="K32" s="3468">
        <f t="shared" si="13"/>
        <v>65</v>
      </c>
    </row>
    <row r="33" spans="1:11" x14ac:dyDescent="0.25">
      <c r="A33" s="6823"/>
      <c r="B33" s="3468" t="s">
        <v>11</v>
      </c>
      <c r="C33" s="3469">
        <f t="shared" ref="C33:H33" si="14">SUM(C18,C23,C27)</f>
        <v>19</v>
      </c>
      <c r="D33" s="3470">
        <f t="shared" si="14"/>
        <v>15</v>
      </c>
      <c r="E33" s="3468">
        <f t="shared" si="14"/>
        <v>34</v>
      </c>
      <c r="F33" s="3469">
        <f t="shared" si="14"/>
        <v>89</v>
      </c>
      <c r="G33" s="3470">
        <f t="shared" si="14"/>
        <v>46</v>
      </c>
      <c r="H33" s="3468">
        <f t="shared" si="14"/>
        <v>135</v>
      </c>
      <c r="I33" s="3469">
        <f t="shared" ref="I33:K33" si="15">SUM(I18,I23,I27)</f>
        <v>33</v>
      </c>
      <c r="J33" s="3470">
        <f t="shared" si="15"/>
        <v>13</v>
      </c>
      <c r="K33" s="3468">
        <f t="shared" si="15"/>
        <v>46</v>
      </c>
    </row>
    <row r="34" spans="1:11" x14ac:dyDescent="0.25">
      <c r="A34" s="6823"/>
      <c r="B34" s="3468" t="s">
        <v>7</v>
      </c>
      <c r="C34" s="3469">
        <f t="shared" ref="C34:H34" si="16">SUM(C8,C28)</f>
        <v>10</v>
      </c>
      <c r="D34" s="3470">
        <f t="shared" si="16"/>
        <v>11</v>
      </c>
      <c r="E34" s="3468">
        <f t="shared" si="16"/>
        <v>21</v>
      </c>
      <c r="F34" s="3469">
        <f t="shared" si="16"/>
        <v>71</v>
      </c>
      <c r="G34" s="3470">
        <f t="shared" si="16"/>
        <v>38</v>
      </c>
      <c r="H34" s="3468">
        <f t="shared" si="16"/>
        <v>109</v>
      </c>
      <c r="I34" s="3469">
        <f t="shared" ref="I34:K34" si="17">SUM(I8,I28)</f>
        <v>11</v>
      </c>
      <c r="J34" s="3470">
        <f t="shared" si="17"/>
        <v>7</v>
      </c>
      <c r="K34" s="3468">
        <f t="shared" si="17"/>
        <v>18</v>
      </c>
    </row>
    <row r="35" spans="1:11" x14ac:dyDescent="0.25">
      <c r="A35" s="6823"/>
      <c r="B35" s="3468" t="s">
        <v>9</v>
      </c>
      <c r="C35" s="3469">
        <f t="shared" ref="C35:H36" si="18">SUM(C12)</f>
        <v>6</v>
      </c>
      <c r="D35" s="3470">
        <f t="shared" si="18"/>
        <v>7</v>
      </c>
      <c r="E35" s="3468">
        <f t="shared" si="18"/>
        <v>13</v>
      </c>
      <c r="F35" s="3469">
        <f t="shared" si="18"/>
        <v>4</v>
      </c>
      <c r="G35" s="3470">
        <f t="shared" si="18"/>
        <v>7</v>
      </c>
      <c r="H35" s="3468">
        <f t="shared" si="18"/>
        <v>11</v>
      </c>
      <c r="I35" s="3469">
        <f t="shared" ref="I35:K35" si="19">SUM(I12)</f>
        <v>2</v>
      </c>
      <c r="J35" s="3470">
        <f t="shared" si="19"/>
        <v>4</v>
      </c>
      <c r="K35" s="3468">
        <f t="shared" si="19"/>
        <v>6</v>
      </c>
    </row>
    <row r="36" spans="1:11" x14ac:dyDescent="0.25">
      <c r="A36" s="6823"/>
      <c r="B36" s="3468" t="s">
        <v>74</v>
      </c>
      <c r="C36" s="3473">
        <f t="shared" si="18"/>
        <v>9</v>
      </c>
      <c r="D36" s="3474">
        <f t="shared" si="18"/>
        <v>8</v>
      </c>
      <c r="E36" s="3475">
        <f t="shared" si="18"/>
        <v>17</v>
      </c>
      <c r="F36" s="3473">
        <f t="shared" si="18"/>
        <v>9</v>
      </c>
      <c r="G36" s="3474">
        <f t="shared" si="18"/>
        <v>5</v>
      </c>
      <c r="H36" s="3475">
        <f t="shared" si="18"/>
        <v>14</v>
      </c>
      <c r="I36" s="3473">
        <f t="shared" ref="I36:K36" si="20">SUM(I13)</f>
        <v>9</v>
      </c>
      <c r="J36" s="3474">
        <f t="shared" si="20"/>
        <v>4</v>
      </c>
      <c r="K36" s="3475">
        <f t="shared" si="20"/>
        <v>13</v>
      </c>
    </row>
    <row r="37" spans="1:11" x14ac:dyDescent="0.25">
      <c r="A37" s="6824"/>
      <c r="B37" s="1662" t="s">
        <v>160</v>
      </c>
      <c r="C37" s="1662">
        <f t="shared" ref="C37:H37" si="21">SUM(C31:C36)</f>
        <v>142</v>
      </c>
      <c r="D37" s="1663">
        <f t="shared" si="21"/>
        <v>120</v>
      </c>
      <c r="E37" s="3476">
        <f t="shared" si="21"/>
        <v>262</v>
      </c>
      <c r="F37" s="1662">
        <f t="shared" si="21"/>
        <v>400</v>
      </c>
      <c r="G37" s="1663">
        <f t="shared" si="21"/>
        <v>267</v>
      </c>
      <c r="H37" s="3476">
        <f t="shared" si="21"/>
        <v>667</v>
      </c>
      <c r="I37" s="1662">
        <f t="shared" ref="I37:K37" si="22">SUM(I31:I36)</f>
        <v>123</v>
      </c>
      <c r="J37" s="1663">
        <f t="shared" si="22"/>
        <v>74</v>
      </c>
      <c r="K37" s="3476">
        <f t="shared" si="22"/>
        <v>197</v>
      </c>
    </row>
    <row r="39" spans="1:11" x14ac:dyDescent="0.25">
      <c r="B39" s="5402" t="s">
        <v>1575</v>
      </c>
    </row>
  </sheetData>
  <sheetProtection algorithmName="SHA-512" hashValue="9BylFWYrzkqh0ClRG1E5sD4NbTPCJ6/mtlnBq/lsdb80tzWFeyEDUsnTM8TOaHnPAYj+7+2ahoICpDM4DURAVg==" saltValue="u4Bmtn+7h7d1Lu4Go1onAg==" spinCount="100000" sheet="1" objects="1" scenarios="1"/>
  <mergeCells count="11">
    <mergeCell ref="A31:A37"/>
    <mergeCell ref="C3:E3"/>
    <mergeCell ref="A21:A24"/>
    <mergeCell ref="A6:A9"/>
    <mergeCell ref="A3:A4"/>
    <mergeCell ref="B3:B4"/>
    <mergeCell ref="F3:H3"/>
    <mergeCell ref="A11:A14"/>
    <mergeCell ref="A16:A19"/>
    <mergeCell ref="A26:A29"/>
    <mergeCell ref="I3:K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O101"/>
  <sheetViews>
    <sheetView showGridLines="0" zoomScaleNormal="100" zoomScalePageLayoutView="125" workbookViewId="0">
      <selection activeCell="S21" sqref="S21"/>
    </sheetView>
  </sheetViews>
  <sheetFormatPr baseColWidth="10" defaultRowHeight="15" x14ac:dyDescent="0.25"/>
  <cols>
    <col min="1" max="1" width="8.7109375" style="3463" customWidth="1"/>
    <col min="2" max="2" width="8.28515625" style="3463" customWidth="1"/>
    <col min="3" max="3" width="35.42578125" style="3463" bestFit="1" customWidth="1"/>
    <col min="4" max="4" width="8.85546875" style="3463" customWidth="1"/>
    <col min="5" max="5" width="9.140625" style="3463" customWidth="1"/>
    <col min="6" max="6" width="7.7109375" style="3463" customWidth="1"/>
    <col min="7" max="7" width="8.85546875" style="3482" customWidth="1"/>
    <col min="8" max="8" width="8.42578125" style="3482" customWidth="1"/>
    <col min="9" max="9" width="7.7109375" style="3482" customWidth="1"/>
    <col min="10" max="10" width="8.85546875" style="3463" customWidth="1"/>
    <col min="11" max="11" width="8.42578125" style="3463" customWidth="1"/>
    <col min="12" max="12" width="7.7109375" style="3463" customWidth="1"/>
    <col min="13" max="13" width="8.42578125" style="3463" bestFit="1" customWidth="1"/>
    <col min="14" max="14" width="8.42578125" style="3463" customWidth="1"/>
    <col min="15" max="15" width="7.7109375" style="3463" customWidth="1"/>
    <col min="16" max="16384" width="11.42578125" style="3463"/>
  </cols>
  <sheetData>
    <row r="1" spans="1:15" ht="18.75" x14ac:dyDescent="0.25">
      <c r="A1" s="3702" t="s">
        <v>1528</v>
      </c>
      <c r="G1" s="3534"/>
    </row>
    <row r="3" spans="1:15" x14ac:dyDescent="0.25">
      <c r="A3" s="6835" t="s">
        <v>51</v>
      </c>
      <c r="B3" s="6835" t="s">
        <v>685</v>
      </c>
      <c r="C3" s="6836" t="s">
        <v>1266</v>
      </c>
      <c r="D3" s="6783">
        <v>2014</v>
      </c>
      <c r="E3" s="6783"/>
      <c r="F3" s="6777"/>
      <c r="G3" s="6833">
        <v>2015</v>
      </c>
      <c r="H3" s="6833"/>
      <c r="I3" s="6834"/>
      <c r="J3" s="6833">
        <v>2016</v>
      </c>
      <c r="K3" s="6833"/>
      <c r="L3" s="6834"/>
      <c r="M3" s="6833">
        <v>2017</v>
      </c>
      <c r="N3" s="6842"/>
      <c r="O3" s="6834"/>
    </row>
    <row r="4" spans="1:15" x14ac:dyDescent="0.25">
      <c r="A4" s="6835"/>
      <c r="B4" s="6835"/>
      <c r="C4" s="6837"/>
      <c r="D4" s="4255" t="s">
        <v>658</v>
      </c>
      <c r="E4" s="4255" t="s">
        <v>659</v>
      </c>
      <c r="F4" s="4139" t="s">
        <v>160</v>
      </c>
      <c r="G4" s="4256" t="s">
        <v>658</v>
      </c>
      <c r="H4" s="4256" t="s">
        <v>1268</v>
      </c>
      <c r="I4" s="3483" t="s">
        <v>160</v>
      </c>
      <c r="J4" s="4256" t="s">
        <v>658</v>
      </c>
      <c r="K4" s="4256" t="s">
        <v>1268</v>
      </c>
      <c r="L4" s="4964" t="s">
        <v>160</v>
      </c>
      <c r="M4" s="4256" t="s">
        <v>658</v>
      </c>
      <c r="N4" s="4256" t="s">
        <v>1268</v>
      </c>
      <c r="O4" s="5399" t="s">
        <v>160</v>
      </c>
    </row>
    <row r="5" spans="1:15" x14ac:dyDescent="0.25">
      <c r="A5" s="6838" t="s">
        <v>161</v>
      </c>
      <c r="B5" s="6783" t="s">
        <v>5</v>
      </c>
      <c r="C5" s="4106" t="s">
        <v>1246</v>
      </c>
      <c r="D5" s="4107">
        <v>2</v>
      </c>
      <c r="E5" s="4108">
        <v>1</v>
      </c>
      <c r="F5" s="3492">
        <f>SUM(D5:E5)</f>
        <v>3</v>
      </c>
      <c r="G5" s="3490">
        <v>10</v>
      </c>
      <c r="H5" s="3491">
        <v>4</v>
      </c>
      <c r="I5" s="3492">
        <f>SUM(G5:H5)</f>
        <v>14</v>
      </c>
      <c r="J5" s="3490">
        <v>8</v>
      </c>
      <c r="K5" s="3491">
        <v>3</v>
      </c>
      <c r="L5" s="3492">
        <f>SUM(J5:K5)</f>
        <v>11</v>
      </c>
      <c r="M5" s="3490">
        <v>3</v>
      </c>
      <c r="N5" s="3491">
        <v>1</v>
      </c>
      <c r="O5" s="3492">
        <f>SUM(M5:N5)</f>
        <v>4</v>
      </c>
    </row>
    <row r="6" spans="1:15" x14ac:dyDescent="0.25">
      <c r="A6" s="6838"/>
      <c r="B6" s="6783"/>
      <c r="C6" s="4109" t="s">
        <v>1247</v>
      </c>
      <c r="D6" s="4110">
        <v>0</v>
      </c>
      <c r="E6" s="4111">
        <v>1</v>
      </c>
      <c r="F6" s="3497">
        <f t="shared" ref="F6:F23" si="0">SUM(D6:E6)</f>
        <v>1</v>
      </c>
      <c r="G6" s="3495">
        <v>1</v>
      </c>
      <c r="H6" s="3496">
        <v>5</v>
      </c>
      <c r="I6" s="3497">
        <f t="shared" ref="I6:I23" si="1">SUM(G6:H6)</f>
        <v>6</v>
      </c>
      <c r="J6" s="3495">
        <v>5</v>
      </c>
      <c r="K6" s="3496">
        <v>6</v>
      </c>
      <c r="L6" s="3497">
        <f t="shared" ref="L6:L19" si="2">SUM(J6:K6)</f>
        <v>11</v>
      </c>
      <c r="M6" s="3495"/>
      <c r="N6" s="3496">
        <v>2</v>
      </c>
      <c r="O6" s="3497">
        <f t="shared" ref="O6:O69" si="3">SUM(M6:N6)</f>
        <v>2</v>
      </c>
    </row>
    <row r="7" spans="1:15" x14ac:dyDescent="0.25">
      <c r="A7" s="6838"/>
      <c r="B7" s="6783"/>
      <c r="C7" s="4109" t="s">
        <v>1248</v>
      </c>
      <c r="D7" s="4110">
        <v>0</v>
      </c>
      <c r="E7" s="4111">
        <v>1</v>
      </c>
      <c r="F7" s="3497">
        <f t="shared" si="0"/>
        <v>1</v>
      </c>
      <c r="G7" s="3495"/>
      <c r="H7" s="3496"/>
      <c r="I7" s="3497">
        <f t="shared" si="1"/>
        <v>0</v>
      </c>
      <c r="J7" s="3495">
        <v>0</v>
      </c>
      <c r="K7" s="3496">
        <v>3</v>
      </c>
      <c r="L7" s="3497">
        <f t="shared" si="2"/>
        <v>3</v>
      </c>
      <c r="M7" s="3495"/>
      <c r="N7" s="3496"/>
      <c r="O7" s="3497">
        <f t="shared" si="3"/>
        <v>0</v>
      </c>
    </row>
    <row r="8" spans="1:15" x14ac:dyDescent="0.25">
      <c r="A8" s="6838"/>
      <c r="B8" s="6783"/>
      <c r="C8" s="4109" t="s">
        <v>1249</v>
      </c>
      <c r="D8" s="4110">
        <v>0</v>
      </c>
      <c r="E8" s="4111">
        <v>2</v>
      </c>
      <c r="F8" s="3497">
        <f t="shared" si="0"/>
        <v>2</v>
      </c>
      <c r="G8" s="3495"/>
      <c r="H8" s="3496">
        <v>5</v>
      </c>
      <c r="I8" s="3497">
        <f t="shared" si="1"/>
        <v>5</v>
      </c>
      <c r="J8" s="3495">
        <v>1</v>
      </c>
      <c r="K8" s="3496">
        <v>2</v>
      </c>
      <c r="L8" s="3497">
        <f t="shared" si="2"/>
        <v>3</v>
      </c>
      <c r="M8" s="3495"/>
      <c r="N8" s="3496">
        <v>1</v>
      </c>
      <c r="O8" s="3497">
        <f t="shared" si="3"/>
        <v>1</v>
      </c>
    </row>
    <row r="9" spans="1:15" x14ac:dyDescent="0.25">
      <c r="A9" s="6838"/>
      <c r="B9" s="6783"/>
      <c r="C9" s="4109" t="s">
        <v>512</v>
      </c>
      <c r="D9" s="4110">
        <v>0</v>
      </c>
      <c r="E9" s="4111">
        <v>3</v>
      </c>
      <c r="F9" s="3497">
        <f t="shared" si="0"/>
        <v>3</v>
      </c>
      <c r="G9" s="3495"/>
      <c r="H9" s="3496">
        <v>1</v>
      </c>
      <c r="I9" s="3497">
        <f t="shared" si="1"/>
        <v>1</v>
      </c>
      <c r="J9" s="3495">
        <v>3</v>
      </c>
      <c r="K9" s="3496">
        <v>2</v>
      </c>
      <c r="L9" s="3497">
        <f t="shared" si="2"/>
        <v>5</v>
      </c>
      <c r="M9" s="3495">
        <v>2</v>
      </c>
      <c r="N9" s="3496">
        <v>2</v>
      </c>
      <c r="O9" s="3497">
        <f t="shared" si="3"/>
        <v>4</v>
      </c>
    </row>
    <row r="10" spans="1:15" x14ac:dyDescent="0.25">
      <c r="A10" s="6838"/>
      <c r="B10" s="6783"/>
      <c r="C10" s="4109" t="s">
        <v>1250</v>
      </c>
      <c r="D10" s="4110">
        <v>0</v>
      </c>
      <c r="E10" s="4111">
        <v>1</v>
      </c>
      <c r="F10" s="3497">
        <f t="shared" si="0"/>
        <v>1</v>
      </c>
      <c r="G10" s="3495">
        <v>2</v>
      </c>
      <c r="H10" s="3496">
        <v>4</v>
      </c>
      <c r="I10" s="3497">
        <f t="shared" si="1"/>
        <v>6</v>
      </c>
      <c r="J10" s="3495">
        <v>0</v>
      </c>
      <c r="K10" s="3496">
        <v>5</v>
      </c>
      <c r="L10" s="3497">
        <f t="shared" si="2"/>
        <v>5</v>
      </c>
      <c r="M10" s="3495">
        <v>2</v>
      </c>
      <c r="N10" s="3496">
        <v>4</v>
      </c>
      <c r="O10" s="3497">
        <f t="shared" si="3"/>
        <v>6</v>
      </c>
    </row>
    <row r="11" spans="1:15" x14ac:dyDescent="0.25">
      <c r="A11" s="6838"/>
      <c r="B11" s="6783"/>
      <c r="C11" s="4109" t="s">
        <v>1251</v>
      </c>
      <c r="D11" s="4110">
        <v>1</v>
      </c>
      <c r="E11" s="4112">
        <v>1</v>
      </c>
      <c r="F11" s="3497">
        <f t="shared" si="0"/>
        <v>2</v>
      </c>
      <c r="G11" s="3495">
        <v>6</v>
      </c>
      <c r="H11" s="3496">
        <v>4</v>
      </c>
      <c r="I11" s="3497">
        <f t="shared" si="1"/>
        <v>10</v>
      </c>
      <c r="J11" s="3495">
        <v>7</v>
      </c>
      <c r="K11" s="3496">
        <v>9</v>
      </c>
      <c r="L11" s="3497">
        <f t="shared" si="2"/>
        <v>16</v>
      </c>
      <c r="M11" s="3495">
        <v>1</v>
      </c>
      <c r="N11" s="3496">
        <v>1</v>
      </c>
      <c r="O11" s="3497">
        <f t="shared" si="3"/>
        <v>2</v>
      </c>
    </row>
    <row r="12" spans="1:15" x14ac:dyDescent="0.25">
      <c r="A12" s="6838"/>
      <c r="B12" s="6783"/>
      <c r="C12" s="4109" t="s">
        <v>1252</v>
      </c>
      <c r="D12" s="4110">
        <v>0</v>
      </c>
      <c r="E12" s="4111">
        <v>1</v>
      </c>
      <c r="F12" s="3497">
        <f t="shared" si="0"/>
        <v>1</v>
      </c>
      <c r="G12" s="3495"/>
      <c r="H12" s="3498">
        <v>6</v>
      </c>
      <c r="I12" s="3497">
        <f t="shared" si="1"/>
        <v>6</v>
      </c>
      <c r="J12" s="3495">
        <v>1</v>
      </c>
      <c r="K12" s="3498">
        <v>10</v>
      </c>
      <c r="L12" s="3497">
        <f t="shared" si="2"/>
        <v>11</v>
      </c>
      <c r="M12" s="3495">
        <v>1</v>
      </c>
      <c r="N12" s="3498">
        <v>4</v>
      </c>
      <c r="O12" s="3497">
        <f t="shared" si="3"/>
        <v>5</v>
      </c>
    </row>
    <row r="13" spans="1:15" x14ac:dyDescent="0.25">
      <c r="A13" s="6838"/>
      <c r="B13" s="6783"/>
      <c r="C13" s="4109" t="s">
        <v>1253</v>
      </c>
      <c r="D13" s="4110">
        <v>0</v>
      </c>
      <c r="E13" s="4111">
        <v>2</v>
      </c>
      <c r="F13" s="3497">
        <f t="shared" si="0"/>
        <v>2</v>
      </c>
      <c r="G13" s="3495"/>
      <c r="H13" s="3496">
        <v>1</v>
      </c>
      <c r="I13" s="3497">
        <f t="shared" si="1"/>
        <v>1</v>
      </c>
      <c r="J13" s="3495">
        <v>1</v>
      </c>
      <c r="K13" s="3496">
        <v>0</v>
      </c>
      <c r="L13" s="3497">
        <f t="shared" si="2"/>
        <v>1</v>
      </c>
      <c r="M13" s="3495"/>
      <c r="N13" s="3496"/>
      <c r="O13" s="3497">
        <f t="shared" si="3"/>
        <v>0</v>
      </c>
    </row>
    <row r="14" spans="1:15" x14ac:dyDescent="0.25">
      <c r="A14" s="6838"/>
      <c r="B14" s="6783"/>
      <c r="C14" s="4109" t="s">
        <v>1254</v>
      </c>
      <c r="D14" s="4110">
        <v>0</v>
      </c>
      <c r="E14" s="4112">
        <v>2</v>
      </c>
      <c r="F14" s="3497">
        <f t="shared" si="0"/>
        <v>2</v>
      </c>
      <c r="G14" s="3495">
        <v>1</v>
      </c>
      <c r="H14" s="3496"/>
      <c r="I14" s="3497">
        <f t="shared" si="1"/>
        <v>1</v>
      </c>
      <c r="J14" s="3495">
        <v>2</v>
      </c>
      <c r="K14" s="3496">
        <v>1</v>
      </c>
      <c r="L14" s="3497">
        <f t="shared" si="2"/>
        <v>3</v>
      </c>
      <c r="M14" s="3495">
        <v>3</v>
      </c>
      <c r="N14" s="3496">
        <v>3</v>
      </c>
      <c r="O14" s="3497">
        <f t="shared" si="3"/>
        <v>6</v>
      </c>
    </row>
    <row r="15" spans="1:15" x14ac:dyDescent="0.25">
      <c r="A15" s="6838"/>
      <c r="B15" s="6783" t="s">
        <v>1255</v>
      </c>
      <c r="C15" s="4113" t="s">
        <v>160</v>
      </c>
      <c r="D15" s="3503">
        <f>SUM(D5:D14)</f>
        <v>3</v>
      </c>
      <c r="E15" s="3504">
        <f>SUM(E5:E14)</f>
        <v>15</v>
      </c>
      <c r="F15" s="3501">
        <f t="shared" si="0"/>
        <v>18</v>
      </c>
      <c r="G15" s="3503">
        <f>SUM(G5:G14)</f>
        <v>20</v>
      </c>
      <c r="H15" s="3504">
        <f>SUM(H5:H14)</f>
        <v>30</v>
      </c>
      <c r="I15" s="3501">
        <f t="shared" si="1"/>
        <v>50</v>
      </c>
      <c r="J15" s="3503">
        <f>SUM(J5:J14)</f>
        <v>28</v>
      </c>
      <c r="K15" s="3504">
        <f>SUM(K5:K14)</f>
        <v>41</v>
      </c>
      <c r="L15" s="3501">
        <f t="shared" si="2"/>
        <v>69</v>
      </c>
      <c r="M15" s="3503">
        <f>SUM(M5:M14)</f>
        <v>12</v>
      </c>
      <c r="N15" s="3504">
        <f>SUM(N5:N14)</f>
        <v>18</v>
      </c>
      <c r="O15" s="3501">
        <f t="shared" si="3"/>
        <v>30</v>
      </c>
    </row>
    <row r="16" spans="1:15" x14ac:dyDescent="0.25">
      <c r="A16" s="6838"/>
      <c r="B16" s="6783" t="s">
        <v>6</v>
      </c>
      <c r="C16" s="4109" t="s">
        <v>456</v>
      </c>
      <c r="D16" s="4110">
        <v>0</v>
      </c>
      <c r="E16" s="4114">
        <v>1</v>
      </c>
      <c r="F16" s="3497">
        <f t="shared" si="0"/>
        <v>1</v>
      </c>
      <c r="G16" s="3495">
        <v>7</v>
      </c>
      <c r="H16" s="3499">
        <v>6</v>
      </c>
      <c r="I16" s="3497">
        <f t="shared" si="1"/>
        <v>13</v>
      </c>
      <c r="J16" s="3495">
        <v>12</v>
      </c>
      <c r="K16" s="3499">
        <v>3</v>
      </c>
      <c r="L16" s="3497">
        <f t="shared" si="2"/>
        <v>15</v>
      </c>
      <c r="M16" s="3495">
        <v>3</v>
      </c>
      <c r="N16" s="3499">
        <v>2</v>
      </c>
      <c r="O16" s="3497">
        <f t="shared" si="3"/>
        <v>5</v>
      </c>
    </row>
    <row r="17" spans="1:15" x14ac:dyDescent="0.25">
      <c r="A17" s="6838"/>
      <c r="B17" s="6783"/>
      <c r="C17" s="4109" t="s">
        <v>457</v>
      </c>
      <c r="D17" s="4110">
        <v>1</v>
      </c>
      <c r="E17" s="4114">
        <v>1</v>
      </c>
      <c r="F17" s="3497">
        <f t="shared" si="0"/>
        <v>2</v>
      </c>
      <c r="G17" s="3495">
        <v>13</v>
      </c>
      <c r="H17" s="3499">
        <v>5</v>
      </c>
      <c r="I17" s="3497">
        <f t="shared" si="1"/>
        <v>18</v>
      </c>
      <c r="J17" s="3495">
        <v>8</v>
      </c>
      <c r="K17" s="3499">
        <v>4</v>
      </c>
      <c r="L17" s="3497">
        <f t="shared" si="2"/>
        <v>12</v>
      </c>
      <c r="M17" s="3495">
        <v>8</v>
      </c>
      <c r="N17" s="3499">
        <v>7</v>
      </c>
      <c r="O17" s="3497">
        <f t="shared" si="3"/>
        <v>15</v>
      </c>
    </row>
    <row r="18" spans="1:15" x14ac:dyDescent="0.25">
      <c r="A18" s="6838"/>
      <c r="B18" s="6783"/>
      <c r="C18" s="4109" t="s">
        <v>458</v>
      </c>
      <c r="D18" s="4110">
        <v>2</v>
      </c>
      <c r="E18" s="4114">
        <v>0</v>
      </c>
      <c r="F18" s="3497">
        <f t="shared" si="0"/>
        <v>2</v>
      </c>
      <c r="G18" s="3495">
        <v>5</v>
      </c>
      <c r="H18" s="3499">
        <v>4</v>
      </c>
      <c r="I18" s="3497">
        <f t="shared" si="1"/>
        <v>9</v>
      </c>
      <c r="J18" s="3495">
        <v>2</v>
      </c>
      <c r="K18" s="3499">
        <v>5</v>
      </c>
      <c r="L18" s="3497">
        <f t="shared" si="2"/>
        <v>7</v>
      </c>
      <c r="M18" s="3495"/>
      <c r="N18" s="3499">
        <v>1</v>
      </c>
      <c r="O18" s="3497">
        <f t="shared" si="3"/>
        <v>1</v>
      </c>
    </row>
    <row r="19" spans="1:15" x14ac:dyDescent="0.25">
      <c r="A19" s="6838"/>
      <c r="B19" s="6783"/>
      <c r="C19" s="4109" t="s">
        <v>459</v>
      </c>
      <c r="D19" s="4110">
        <v>1</v>
      </c>
      <c r="E19" s="4114">
        <v>0</v>
      </c>
      <c r="F19" s="3497">
        <f t="shared" si="0"/>
        <v>1</v>
      </c>
      <c r="G19" s="3495">
        <v>13</v>
      </c>
      <c r="H19" s="3499">
        <v>6</v>
      </c>
      <c r="I19" s="3497">
        <f t="shared" si="1"/>
        <v>19</v>
      </c>
      <c r="J19" s="3495">
        <v>7</v>
      </c>
      <c r="K19" s="3499">
        <v>6</v>
      </c>
      <c r="L19" s="3497">
        <f t="shared" si="2"/>
        <v>13</v>
      </c>
      <c r="M19" s="3495">
        <v>5</v>
      </c>
      <c r="N19" s="3499">
        <v>1</v>
      </c>
      <c r="O19" s="3497">
        <f t="shared" si="3"/>
        <v>6</v>
      </c>
    </row>
    <row r="20" spans="1:15" ht="15" customHeight="1" x14ac:dyDescent="0.25">
      <c r="A20" s="6838"/>
      <c r="B20" s="6783" t="s">
        <v>1255</v>
      </c>
      <c r="C20" s="4113" t="s">
        <v>160</v>
      </c>
      <c r="D20" s="3503">
        <f t="shared" ref="D20:I20" si="4">SUM(D16:D19)</f>
        <v>4</v>
      </c>
      <c r="E20" s="3504">
        <f t="shared" si="4"/>
        <v>2</v>
      </c>
      <c r="F20" s="3501">
        <f t="shared" si="4"/>
        <v>6</v>
      </c>
      <c r="G20" s="3503">
        <f t="shared" si="4"/>
        <v>38</v>
      </c>
      <c r="H20" s="3504">
        <f t="shared" si="4"/>
        <v>21</v>
      </c>
      <c r="I20" s="3501">
        <f t="shared" si="4"/>
        <v>59</v>
      </c>
      <c r="J20" s="3503">
        <f>SUM(J16:J19)</f>
        <v>29</v>
      </c>
      <c r="K20" s="3504">
        <f>SUM(K16:K19)</f>
        <v>18</v>
      </c>
      <c r="L20" s="3501">
        <f>SUM(L16:L19)</f>
        <v>47</v>
      </c>
      <c r="M20" s="3503">
        <f>SUM(M16:M19)</f>
        <v>16</v>
      </c>
      <c r="N20" s="3504">
        <f>SUM(N16:N19)</f>
        <v>11</v>
      </c>
      <c r="O20" s="3501">
        <f t="shared" si="3"/>
        <v>27</v>
      </c>
    </row>
    <row r="21" spans="1:15" x14ac:dyDescent="0.25">
      <c r="A21" s="6838"/>
      <c r="B21" s="6783" t="s">
        <v>7</v>
      </c>
      <c r="C21" s="4109" t="s">
        <v>460</v>
      </c>
      <c r="D21" s="4110">
        <v>0</v>
      </c>
      <c r="E21" s="4114">
        <v>0</v>
      </c>
      <c r="F21" s="3497">
        <f t="shared" si="0"/>
        <v>0</v>
      </c>
      <c r="G21" s="3495">
        <v>6</v>
      </c>
      <c r="H21" s="3499">
        <v>4</v>
      </c>
      <c r="I21" s="3497">
        <f t="shared" si="1"/>
        <v>10</v>
      </c>
      <c r="J21" s="3495">
        <v>14</v>
      </c>
      <c r="K21" s="3499">
        <v>7</v>
      </c>
      <c r="L21" s="3497">
        <f>SUM(J21:K21)</f>
        <v>21</v>
      </c>
      <c r="M21" s="3495">
        <v>4</v>
      </c>
      <c r="N21" s="3499">
        <v>2</v>
      </c>
      <c r="O21" s="3497">
        <f t="shared" si="3"/>
        <v>6</v>
      </c>
    </row>
    <row r="22" spans="1:15" x14ac:dyDescent="0.25">
      <c r="A22" s="6838"/>
      <c r="B22" s="6783"/>
      <c r="C22" s="4109" t="s">
        <v>461</v>
      </c>
      <c r="D22" s="4110">
        <v>4</v>
      </c>
      <c r="E22" s="4114">
        <v>2</v>
      </c>
      <c r="F22" s="3497">
        <f t="shared" si="0"/>
        <v>6</v>
      </c>
      <c r="G22" s="3495">
        <v>10</v>
      </c>
      <c r="H22" s="3499">
        <v>8</v>
      </c>
      <c r="I22" s="3497">
        <f t="shared" si="1"/>
        <v>18</v>
      </c>
      <c r="J22" s="3495">
        <v>14</v>
      </c>
      <c r="K22" s="3499">
        <v>6</v>
      </c>
      <c r="L22" s="3497">
        <f>SUM(J22:K22)</f>
        <v>20</v>
      </c>
      <c r="M22" s="3495">
        <v>7</v>
      </c>
      <c r="N22" s="3499">
        <v>3</v>
      </c>
      <c r="O22" s="3497">
        <f t="shared" si="3"/>
        <v>10</v>
      </c>
    </row>
    <row r="23" spans="1:15" x14ac:dyDescent="0.25">
      <c r="A23" s="6838"/>
      <c r="B23" s="6783"/>
      <c r="C23" s="4109" t="s">
        <v>462</v>
      </c>
      <c r="D23" s="4110">
        <v>3</v>
      </c>
      <c r="E23" s="4114">
        <v>3</v>
      </c>
      <c r="F23" s="3497">
        <f t="shared" si="0"/>
        <v>6</v>
      </c>
      <c r="G23" s="3495">
        <v>11</v>
      </c>
      <c r="H23" s="3499">
        <v>7</v>
      </c>
      <c r="I23" s="3497">
        <f t="shared" si="1"/>
        <v>18</v>
      </c>
      <c r="J23" s="3495">
        <v>12</v>
      </c>
      <c r="K23" s="3499">
        <v>7</v>
      </c>
      <c r="L23" s="3497">
        <f>SUM(J23:K23)</f>
        <v>19</v>
      </c>
      <c r="M23" s="3495">
        <v>6</v>
      </c>
      <c r="N23" s="3499">
        <v>5</v>
      </c>
      <c r="O23" s="3497">
        <f t="shared" si="3"/>
        <v>11</v>
      </c>
    </row>
    <row r="24" spans="1:15" ht="15.75" customHeight="1" x14ac:dyDescent="0.25">
      <c r="A24" s="6838"/>
      <c r="B24" s="6783" t="s">
        <v>1255</v>
      </c>
      <c r="C24" s="4113" t="s">
        <v>160</v>
      </c>
      <c r="D24" s="3505">
        <f t="shared" ref="D24:L24" si="5">SUM(D21:D23)</f>
        <v>7</v>
      </c>
      <c r="E24" s="3506">
        <f t="shared" si="5"/>
        <v>5</v>
      </c>
      <c r="F24" s="3502">
        <f t="shared" si="5"/>
        <v>12</v>
      </c>
      <c r="G24" s="3505">
        <f t="shared" si="5"/>
        <v>27</v>
      </c>
      <c r="H24" s="3506">
        <f t="shared" si="5"/>
        <v>19</v>
      </c>
      <c r="I24" s="3502">
        <f t="shared" si="5"/>
        <v>46</v>
      </c>
      <c r="J24" s="3505">
        <f t="shared" si="5"/>
        <v>40</v>
      </c>
      <c r="K24" s="3506">
        <f t="shared" si="5"/>
        <v>20</v>
      </c>
      <c r="L24" s="3502">
        <f t="shared" si="5"/>
        <v>60</v>
      </c>
      <c r="M24" s="3505">
        <f t="shared" ref="M24" si="6">SUM(M21:M23)</f>
        <v>17</v>
      </c>
      <c r="N24" s="3506">
        <f>SUM(N21:N23)</f>
        <v>10</v>
      </c>
      <c r="O24" s="3502">
        <f t="shared" si="3"/>
        <v>27</v>
      </c>
    </row>
    <row r="25" spans="1:15" x14ac:dyDescent="0.25">
      <c r="A25" s="6839"/>
      <c r="B25" s="6801" t="s">
        <v>444</v>
      </c>
      <c r="C25" s="6802"/>
      <c r="D25" s="4115">
        <f t="shared" ref="D25:L25" si="7">D24+D20+D15</f>
        <v>14</v>
      </c>
      <c r="E25" s="4116">
        <f t="shared" si="7"/>
        <v>22</v>
      </c>
      <c r="F25" s="4117">
        <f t="shared" si="7"/>
        <v>36</v>
      </c>
      <c r="G25" s="3507">
        <f t="shared" si="7"/>
        <v>85</v>
      </c>
      <c r="H25" s="3508">
        <f t="shared" si="7"/>
        <v>70</v>
      </c>
      <c r="I25" s="3489">
        <f t="shared" si="7"/>
        <v>155</v>
      </c>
      <c r="J25" s="3507">
        <f t="shared" si="7"/>
        <v>97</v>
      </c>
      <c r="K25" s="3508">
        <f t="shared" si="7"/>
        <v>79</v>
      </c>
      <c r="L25" s="3489">
        <f t="shared" si="7"/>
        <v>176</v>
      </c>
      <c r="M25" s="3507">
        <f t="shared" ref="M25" si="8">M24+M20+M15</f>
        <v>45</v>
      </c>
      <c r="N25" s="3508">
        <f>N24+N20+N15</f>
        <v>39</v>
      </c>
      <c r="O25" s="3489">
        <f t="shared" si="3"/>
        <v>84</v>
      </c>
    </row>
    <row r="26" spans="1:15" x14ac:dyDescent="0.25">
      <c r="A26" s="6840" t="s">
        <v>407</v>
      </c>
      <c r="B26" s="6783" t="s">
        <v>9</v>
      </c>
      <c r="C26" s="4118" t="s">
        <v>499</v>
      </c>
      <c r="D26" s="4119">
        <v>3</v>
      </c>
      <c r="E26" s="4120">
        <v>2</v>
      </c>
      <c r="F26" s="3512">
        <f>SUM(D26:E26)</f>
        <v>5</v>
      </c>
      <c r="G26" s="3511">
        <v>10</v>
      </c>
      <c r="H26" s="3513">
        <v>5</v>
      </c>
      <c r="I26" s="3512">
        <f>SUM(G26:H26)</f>
        <v>15</v>
      </c>
      <c r="J26" s="3511">
        <v>18</v>
      </c>
      <c r="K26" s="3513">
        <v>12</v>
      </c>
      <c r="L26" s="3512">
        <f>SUM(J26:K26)</f>
        <v>30</v>
      </c>
      <c r="M26" s="3511">
        <v>10</v>
      </c>
      <c r="N26" s="3513">
        <v>8</v>
      </c>
      <c r="O26" s="3512">
        <f t="shared" si="3"/>
        <v>18</v>
      </c>
    </row>
    <row r="27" spans="1:15" x14ac:dyDescent="0.25">
      <c r="A27" s="6840"/>
      <c r="B27" s="6783"/>
      <c r="C27" s="4109" t="s">
        <v>497</v>
      </c>
      <c r="D27" s="4110">
        <v>7</v>
      </c>
      <c r="E27" s="4114">
        <v>4</v>
      </c>
      <c r="F27" s="3497">
        <f>SUM(D27:E27)</f>
        <v>11</v>
      </c>
      <c r="G27" s="3495">
        <v>3</v>
      </c>
      <c r="H27" s="3499">
        <v>4</v>
      </c>
      <c r="I27" s="3497">
        <f>SUM(G27:H27)</f>
        <v>7</v>
      </c>
      <c r="J27" s="3495">
        <v>5</v>
      </c>
      <c r="K27" s="3499">
        <v>5</v>
      </c>
      <c r="L27" s="3497">
        <f>SUM(J27:K27)</f>
        <v>10</v>
      </c>
      <c r="M27" s="3495">
        <v>3</v>
      </c>
      <c r="N27" s="3499">
        <v>2</v>
      </c>
      <c r="O27" s="3497">
        <f t="shared" si="3"/>
        <v>5</v>
      </c>
    </row>
    <row r="28" spans="1:15" x14ac:dyDescent="0.25">
      <c r="A28" s="6840"/>
      <c r="B28" s="6783"/>
      <c r="C28" s="4109" t="s">
        <v>498</v>
      </c>
      <c r="D28" s="4110">
        <v>1</v>
      </c>
      <c r="E28" s="4114">
        <v>1</v>
      </c>
      <c r="F28" s="3497">
        <f>SUM(D28:E28)</f>
        <v>2</v>
      </c>
      <c r="G28" s="3495"/>
      <c r="H28" s="3499">
        <v>1</v>
      </c>
      <c r="I28" s="3497">
        <f>SUM(G28:H28)</f>
        <v>1</v>
      </c>
      <c r="J28" s="3495">
        <v>2</v>
      </c>
      <c r="K28" s="3499">
        <v>2</v>
      </c>
      <c r="L28" s="3497">
        <f>SUM(J28:K28)</f>
        <v>4</v>
      </c>
      <c r="M28" s="3495"/>
      <c r="N28" s="3499"/>
      <c r="O28" s="3497">
        <f t="shared" si="3"/>
        <v>0</v>
      </c>
    </row>
    <row r="29" spans="1:15" x14ac:dyDescent="0.25">
      <c r="A29" s="6840"/>
      <c r="B29" s="6783" t="s">
        <v>1255</v>
      </c>
      <c r="C29" s="4113" t="s">
        <v>160</v>
      </c>
      <c r="D29" s="3503">
        <f t="shared" ref="D29:L29" si="9">SUM(D26:D28)</f>
        <v>11</v>
      </c>
      <c r="E29" s="3504">
        <f t="shared" si="9"/>
        <v>7</v>
      </c>
      <c r="F29" s="3501">
        <f t="shared" si="9"/>
        <v>18</v>
      </c>
      <c r="G29" s="3503">
        <f t="shared" si="9"/>
        <v>13</v>
      </c>
      <c r="H29" s="3504">
        <f t="shared" si="9"/>
        <v>10</v>
      </c>
      <c r="I29" s="3501">
        <f t="shared" si="9"/>
        <v>23</v>
      </c>
      <c r="J29" s="3503">
        <f t="shared" si="9"/>
        <v>25</v>
      </c>
      <c r="K29" s="3504">
        <f t="shared" si="9"/>
        <v>19</v>
      </c>
      <c r="L29" s="3501">
        <f t="shared" si="9"/>
        <v>44</v>
      </c>
      <c r="M29" s="3503">
        <f t="shared" ref="M29" si="10">SUM(M26:M28)</f>
        <v>13</v>
      </c>
      <c r="N29" s="3504">
        <f>SUM(N26:N28)</f>
        <v>10</v>
      </c>
      <c r="O29" s="3501">
        <f t="shared" si="3"/>
        <v>23</v>
      </c>
    </row>
    <row r="30" spans="1:15" x14ac:dyDescent="0.25">
      <c r="A30" s="6840"/>
      <c r="B30" s="6783" t="s">
        <v>74</v>
      </c>
      <c r="C30" s="4109" t="s">
        <v>1257</v>
      </c>
      <c r="D30" s="4110">
        <v>3</v>
      </c>
      <c r="E30" s="4121">
        <v>1</v>
      </c>
      <c r="F30" s="3497">
        <f>SUM(D30:E30)</f>
        <v>4</v>
      </c>
      <c r="G30" s="3495">
        <v>1</v>
      </c>
      <c r="H30" s="3499"/>
      <c r="I30" s="3497">
        <f>SUM(G30:H30)</f>
        <v>1</v>
      </c>
      <c r="J30" s="3495">
        <v>1</v>
      </c>
      <c r="K30" s="3499">
        <v>2</v>
      </c>
      <c r="L30" s="3497">
        <f>SUM(J30:K30)</f>
        <v>3</v>
      </c>
      <c r="M30" s="3495">
        <v>1</v>
      </c>
      <c r="N30" s="3499">
        <v>2</v>
      </c>
      <c r="O30" s="3497">
        <f t="shared" si="3"/>
        <v>3</v>
      </c>
    </row>
    <row r="31" spans="1:15" x14ac:dyDescent="0.25">
      <c r="A31" s="6840"/>
      <c r="B31" s="6783"/>
      <c r="C31" s="4109" t="s">
        <v>502</v>
      </c>
      <c r="D31" s="4110">
        <v>1</v>
      </c>
      <c r="E31" s="4114">
        <v>1</v>
      </c>
      <c r="F31" s="3497">
        <f>SUM(D31:E31)</f>
        <v>2</v>
      </c>
      <c r="G31" s="3495">
        <v>2</v>
      </c>
      <c r="H31" s="3500">
        <v>3</v>
      </c>
      <c r="I31" s="3497">
        <f>SUM(G31:H31)</f>
        <v>5</v>
      </c>
      <c r="J31" s="3495">
        <v>4</v>
      </c>
      <c r="K31" s="3500">
        <v>3</v>
      </c>
      <c r="L31" s="3497">
        <f>SUM(J31:K31)</f>
        <v>7</v>
      </c>
      <c r="M31" s="3495">
        <v>4</v>
      </c>
      <c r="N31" s="3500">
        <v>4</v>
      </c>
      <c r="O31" s="3497">
        <f t="shared" si="3"/>
        <v>8</v>
      </c>
    </row>
    <row r="32" spans="1:15" x14ac:dyDescent="0.25">
      <c r="A32" s="6840"/>
      <c r="B32" s="6783"/>
      <c r="C32" s="4109" t="s">
        <v>512</v>
      </c>
      <c r="D32" s="4110">
        <v>0</v>
      </c>
      <c r="E32" s="4114">
        <v>1</v>
      </c>
      <c r="F32" s="3497">
        <f>SUM(D32:E32)</f>
        <v>1</v>
      </c>
      <c r="G32" s="3495"/>
      <c r="H32" s="3499">
        <v>3</v>
      </c>
      <c r="I32" s="3497">
        <f>SUM(G32:H32)</f>
        <v>3</v>
      </c>
      <c r="J32" s="3495"/>
      <c r="K32" s="3499">
        <v>1</v>
      </c>
      <c r="L32" s="3497">
        <f>SUM(J32:K32)</f>
        <v>1</v>
      </c>
      <c r="M32" s="3495"/>
      <c r="N32" s="3499">
        <v>5</v>
      </c>
      <c r="O32" s="3497">
        <f t="shared" si="3"/>
        <v>5</v>
      </c>
    </row>
    <row r="33" spans="1:15" x14ac:dyDescent="0.25">
      <c r="A33" s="6840"/>
      <c r="B33" s="6783"/>
      <c r="C33" s="4109" t="s">
        <v>500</v>
      </c>
      <c r="D33" s="4110">
        <v>0</v>
      </c>
      <c r="E33" s="4121">
        <v>1</v>
      </c>
      <c r="F33" s="3497">
        <f>SUM(D33:E33)</f>
        <v>1</v>
      </c>
      <c r="G33" s="3495">
        <v>1</v>
      </c>
      <c r="H33" s="3500"/>
      <c r="I33" s="3497">
        <f>SUM(G33:H33)</f>
        <v>1</v>
      </c>
      <c r="J33" s="3495">
        <v>2</v>
      </c>
      <c r="K33" s="3500">
        <v>2</v>
      </c>
      <c r="L33" s="3497">
        <f>SUM(J33:K33)</f>
        <v>4</v>
      </c>
      <c r="M33" s="3495">
        <v>2</v>
      </c>
      <c r="N33" s="3500"/>
      <c r="O33" s="3497">
        <f t="shared" si="3"/>
        <v>2</v>
      </c>
    </row>
    <row r="34" spans="1:15" x14ac:dyDescent="0.25">
      <c r="A34" s="6840"/>
      <c r="B34" s="6783" t="s">
        <v>1255</v>
      </c>
      <c r="C34" s="4113" t="s">
        <v>160</v>
      </c>
      <c r="D34" s="3503">
        <f t="shared" ref="D34:L34" si="11">SUM(D30:D33)</f>
        <v>4</v>
      </c>
      <c r="E34" s="3504">
        <f t="shared" si="11"/>
        <v>4</v>
      </c>
      <c r="F34" s="3501">
        <f t="shared" si="11"/>
        <v>8</v>
      </c>
      <c r="G34" s="3503">
        <f t="shared" si="11"/>
        <v>4</v>
      </c>
      <c r="H34" s="3504">
        <f t="shared" si="11"/>
        <v>6</v>
      </c>
      <c r="I34" s="3501">
        <f t="shared" si="11"/>
        <v>10</v>
      </c>
      <c r="J34" s="3503">
        <f t="shared" si="11"/>
        <v>7</v>
      </c>
      <c r="K34" s="3504">
        <f t="shared" si="11"/>
        <v>8</v>
      </c>
      <c r="L34" s="3501">
        <f t="shared" si="11"/>
        <v>15</v>
      </c>
      <c r="M34" s="3503">
        <f t="shared" ref="M34" si="12">SUM(M30:M33)</f>
        <v>7</v>
      </c>
      <c r="N34" s="3504">
        <f>SUM(N30:N33)</f>
        <v>11</v>
      </c>
      <c r="O34" s="3501">
        <f t="shared" si="3"/>
        <v>18</v>
      </c>
    </row>
    <row r="35" spans="1:15" x14ac:dyDescent="0.25">
      <c r="A35" s="6840"/>
      <c r="B35" s="6783" t="s">
        <v>6</v>
      </c>
      <c r="C35" s="4109" t="s">
        <v>456</v>
      </c>
      <c r="D35" s="4110">
        <v>3</v>
      </c>
      <c r="E35" s="4114">
        <v>1</v>
      </c>
      <c r="F35" s="3497">
        <f>SUM(D35:E35)</f>
        <v>4</v>
      </c>
      <c r="G35" s="3495">
        <v>5</v>
      </c>
      <c r="H35" s="3499">
        <v>2</v>
      </c>
      <c r="I35" s="3497">
        <f>SUM(G35:H35)</f>
        <v>7</v>
      </c>
      <c r="J35" s="3495">
        <v>5</v>
      </c>
      <c r="K35" s="3499">
        <v>3</v>
      </c>
      <c r="L35" s="3497">
        <f>SUM(J35:K35)</f>
        <v>8</v>
      </c>
      <c r="M35" s="3495">
        <v>5</v>
      </c>
      <c r="N35" s="3499">
        <v>3</v>
      </c>
      <c r="O35" s="3497">
        <f t="shared" si="3"/>
        <v>8</v>
      </c>
    </row>
    <row r="36" spans="1:15" x14ac:dyDescent="0.25">
      <c r="A36" s="6840"/>
      <c r="B36" s="6783"/>
      <c r="C36" s="4109" t="s">
        <v>496</v>
      </c>
      <c r="D36" s="4110">
        <v>1</v>
      </c>
      <c r="E36" s="4114">
        <v>1</v>
      </c>
      <c r="F36" s="3497">
        <f>SUM(D36:E36)</f>
        <v>2</v>
      </c>
      <c r="G36" s="3495">
        <v>1</v>
      </c>
      <c r="H36" s="3499">
        <v>2</v>
      </c>
      <c r="I36" s="3497">
        <f>SUM(G36:H36)</f>
        <v>3</v>
      </c>
      <c r="J36" s="3495">
        <v>2</v>
      </c>
      <c r="K36" s="3499">
        <v>3</v>
      </c>
      <c r="L36" s="3497">
        <f>SUM(J36:K36)</f>
        <v>5</v>
      </c>
      <c r="M36" s="3495">
        <v>1</v>
      </c>
      <c r="N36" s="3499">
        <v>2</v>
      </c>
      <c r="O36" s="3497">
        <f t="shared" si="3"/>
        <v>3</v>
      </c>
    </row>
    <row r="37" spans="1:15" x14ac:dyDescent="0.25">
      <c r="A37" s="6840"/>
      <c r="B37" s="6783"/>
      <c r="C37" s="4109" t="s">
        <v>495</v>
      </c>
      <c r="D37" s="4110">
        <v>0</v>
      </c>
      <c r="E37" s="4114">
        <v>0</v>
      </c>
      <c r="F37" s="3497">
        <f>SUM(D37:E37)</f>
        <v>0</v>
      </c>
      <c r="G37" s="3495">
        <v>4</v>
      </c>
      <c r="H37" s="3499"/>
      <c r="I37" s="3497">
        <f>SUM(G37:H37)</f>
        <v>4</v>
      </c>
      <c r="J37" s="3495">
        <v>2</v>
      </c>
      <c r="K37" s="3499">
        <v>5</v>
      </c>
      <c r="L37" s="3497">
        <f>SUM(J37:K37)</f>
        <v>7</v>
      </c>
      <c r="M37" s="3495">
        <v>4</v>
      </c>
      <c r="N37" s="3499">
        <v>2</v>
      </c>
      <c r="O37" s="3497">
        <f t="shared" si="3"/>
        <v>6</v>
      </c>
    </row>
    <row r="38" spans="1:15" x14ac:dyDescent="0.25">
      <c r="A38" s="6840"/>
      <c r="B38" s="6777" t="s">
        <v>1255</v>
      </c>
      <c r="C38" s="4113" t="s">
        <v>160</v>
      </c>
      <c r="D38" s="3505">
        <f>SUM(D35:D37)</f>
        <v>4</v>
      </c>
      <c r="E38" s="3506">
        <f>SUM(E35:E37)</f>
        <v>2</v>
      </c>
      <c r="F38" s="3502">
        <f>SUM(F35:F37)</f>
        <v>6</v>
      </c>
      <c r="G38" s="3505">
        <f t="shared" ref="G38:L38" si="13">SUM(G35:G37)</f>
        <v>10</v>
      </c>
      <c r="H38" s="3506">
        <f t="shared" si="13"/>
        <v>4</v>
      </c>
      <c r="I38" s="3502">
        <f t="shared" si="13"/>
        <v>14</v>
      </c>
      <c r="J38" s="3505">
        <f t="shared" si="13"/>
        <v>9</v>
      </c>
      <c r="K38" s="3506">
        <f t="shared" si="13"/>
        <v>11</v>
      </c>
      <c r="L38" s="3502">
        <f t="shared" si="13"/>
        <v>20</v>
      </c>
      <c r="M38" s="3505">
        <f t="shared" ref="M38" si="14">SUM(M35:M37)</f>
        <v>10</v>
      </c>
      <c r="N38" s="3506">
        <f>SUM(N35:N37)</f>
        <v>7</v>
      </c>
      <c r="O38" s="3502">
        <f t="shared" si="3"/>
        <v>17</v>
      </c>
    </row>
    <row r="39" spans="1:15" x14ac:dyDescent="0.25">
      <c r="A39" s="6841"/>
      <c r="B39" s="6805" t="s">
        <v>444</v>
      </c>
      <c r="C39" s="6806"/>
      <c r="D39" s="4122">
        <f>D38+D34+D29</f>
        <v>19</v>
      </c>
      <c r="E39" s="4123">
        <f>E38+E34+E29</f>
        <v>13</v>
      </c>
      <c r="F39" s="4124">
        <f>F38+F34+F29</f>
        <v>32</v>
      </c>
      <c r="G39" s="3514">
        <f t="shared" ref="G39:L39" si="15">G38+G34+G29</f>
        <v>27</v>
      </c>
      <c r="H39" s="3515">
        <f t="shared" si="15"/>
        <v>20</v>
      </c>
      <c r="I39" s="3510">
        <f t="shared" si="15"/>
        <v>47</v>
      </c>
      <c r="J39" s="3514">
        <f t="shared" si="15"/>
        <v>41</v>
      </c>
      <c r="K39" s="3515">
        <f t="shared" si="15"/>
        <v>38</v>
      </c>
      <c r="L39" s="3510">
        <f t="shared" si="15"/>
        <v>79</v>
      </c>
      <c r="M39" s="3514">
        <f t="shared" ref="M39" si="16">M38+M34+M29</f>
        <v>30</v>
      </c>
      <c r="N39" s="3515">
        <f>N38+N34+N29</f>
        <v>28</v>
      </c>
      <c r="O39" s="3510">
        <f t="shared" si="3"/>
        <v>58</v>
      </c>
    </row>
    <row r="40" spans="1:15" x14ac:dyDescent="0.25">
      <c r="A40" s="6848" t="s">
        <v>162</v>
      </c>
      <c r="B40" s="6777" t="s">
        <v>5</v>
      </c>
      <c r="C40" s="4118" t="s">
        <v>469</v>
      </c>
      <c r="D40" s="4119">
        <v>0</v>
      </c>
      <c r="E40" s="4120">
        <v>0</v>
      </c>
      <c r="F40" s="3512">
        <f t="shared" ref="F40:F48" si="17">SUM(D40:E40)</f>
        <v>0</v>
      </c>
      <c r="G40" s="3511"/>
      <c r="H40" s="3513">
        <v>1</v>
      </c>
      <c r="I40" s="3512">
        <f t="shared" ref="I40:I48" si="18">SUM(G40:H40)</f>
        <v>1</v>
      </c>
      <c r="J40" s="3511"/>
      <c r="K40" s="3513"/>
      <c r="L40" s="3512">
        <f t="shared" ref="L40:L48" si="19">SUM(J40:K40)</f>
        <v>0</v>
      </c>
      <c r="M40" s="3511"/>
      <c r="N40" s="3513">
        <v>1</v>
      </c>
      <c r="O40" s="3512">
        <f t="shared" si="3"/>
        <v>1</v>
      </c>
    </row>
    <row r="41" spans="1:15" x14ac:dyDescent="0.25">
      <c r="A41" s="6849"/>
      <c r="B41" s="6778"/>
      <c r="C41" s="4109" t="s">
        <v>466</v>
      </c>
      <c r="D41" s="4110">
        <v>0</v>
      </c>
      <c r="E41" s="4114">
        <v>0</v>
      </c>
      <c r="F41" s="3497">
        <f t="shared" si="17"/>
        <v>0</v>
      </c>
      <c r="G41" s="3495"/>
      <c r="H41" s="3499">
        <v>5</v>
      </c>
      <c r="I41" s="3497">
        <f t="shared" si="18"/>
        <v>5</v>
      </c>
      <c r="J41" s="3495"/>
      <c r="K41" s="3499">
        <v>2</v>
      </c>
      <c r="L41" s="3497">
        <f t="shared" si="19"/>
        <v>2</v>
      </c>
      <c r="M41" s="3495"/>
      <c r="N41" s="3499"/>
      <c r="O41" s="3497">
        <f t="shared" si="3"/>
        <v>0</v>
      </c>
    </row>
    <row r="42" spans="1:15" x14ac:dyDescent="0.25">
      <c r="A42" s="6849"/>
      <c r="B42" s="6778"/>
      <c r="C42" s="4109" t="s">
        <v>1258</v>
      </c>
      <c r="D42" s="4110">
        <v>0</v>
      </c>
      <c r="E42" s="4114">
        <v>0</v>
      </c>
      <c r="F42" s="3497">
        <f t="shared" si="17"/>
        <v>0</v>
      </c>
      <c r="G42" s="3495">
        <v>2</v>
      </c>
      <c r="H42" s="3499">
        <v>2</v>
      </c>
      <c r="I42" s="3497">
        <f t="shared" si="18"/>
        <v>4</v>
      </c>
      <c r="J42" s="3495">
        <v>5</v>
      </c>
      <c r="K42" s="3499">
        <v>3</v>
      </c>
      <c r="L42" s="3497">
        <f t="shared" si="19"/>
        <v>8</v>
      </c>
      <c r="M42" s="3495">
        <v>1</v>
      </c>
      <c r="N42" s="3499">
        <v>1</v>
      </c>
      <c r="O42" s="3497">
        <f t="shared" si="3"/>
        <v>2</v>
      </c>
    </row>
    <row r="43" spans="1:15" x14ac:dyDescent="0.25">
      <c r="A43" s="6849"/>
      <c r="B43" s="6778"/>
      <c r="C43" s="4109" t="s">
        <v>1249</v>
      </c>
      <c r="D43" s="4110">
        <v>0</v>
      </c>
      <c r="E43" s="4114">
        <v>1</v>
      </c>
      <c r="F43" s="3497">
        <f t="shared" si="17"/>
        <v>1</v>
      </c>
      <c r="G43" s="3495"/>
      <c r="H43" s="3499"/>
      <c r="I43" s="3497">
        <f t="shared" si="18"/>
        <v>0</v>
      </c>
      <c r="J43" s="3495"/>
      <c r="K43" s="3499"/>
      <c r="L43" s="3497">
        <f t="shared" si="19"/>
        <v>0</v>
      </c>
      <c r="M43" s="3495"/>
      <c r="N43" s="3499"/>
      <c r="O43" s="3497">
        <f t="shared" si="3"/>
        <v>0</v>
      </c>
    </row>
    <row r="44" spans="1:15" x14ac:dyDescent="0.25">
      <c r="A44" s="6849"/>
      <c r="B44" s="6778"/>
      <c r="C44" s="4109" t="s">
        <v>1259</v>
      </c>
      <c r="D44" s="4110">
        <v>1</v>
      </c>
      <c r="E44" s="4114">
        <v>1</v>
      </c>
      <c r="F44" s="3497">
        <f t="shared" si="17"/>
        <v>2</v>
      </c>
      <c r="G44" s="3495">
        <v>4</v>
      </c>
      <c r="H44" s="3499">
        <v>4</v>
      </c>
      <c r="I44" s="3497">
        <f t="shared" si="18"/>
        <v>8</v>
      </c>
      <c r="J44" s="3495"/>
      <c r="K44" s="3499">
        <v>6</v>
      </c>
      <c r="L44" s="3497">
        <f t="shared" si="19"/>
        <v>6</v>
      </c>
      <c r="M44" s="3495">
        <v>1</v>
      </c>
      <c r="N44" s="3499"/>
      <c r="O44" s="3497">
        <f t="shared" si="3"/>
        <v>1</v>
      </c>
    </row>
    <row r="45" spans="1:15" ht="15" customHeight="1" x14ac:dyDescent="0.25">
      <c r="A45" s="6849"/>
      <c r="B45" s="6778"/>
      <c r="C45" s="4109" t="s">
        <v>1260</v>
      </c>
      <c r="D45" s="4110">
        <v>0</v>
      </c>
      <c r="E45" s="4121">
        <v>0</v>
      </c>
      <c r="F45" s="3497">
        <f t="shared" si="17"/>
        <v>0</v>
      </c>
      <c r="G45" s="3495"/>
      <c r="H45" s="3499"/>
      <c r="I45" s="3497">
        <f t="shared" si="18"/>
        <v>0</v>
      </c>
      <c r="J45" s="3495"/>
      <c r="K45" s="3499"/>
      <c r="L45" s="3497">
        <f t="shared" si="19"/>
        <v>0</v>
      </c>
      <c r="M45" s="3495"/>
      <c r="N45" s="3499"/>
      <c r="O45" s="3497">
        <f t="shared" si="3"/>
        <v>0</v>
      </c>
    </row>
    <row r="46" spans="1:15" x14ac:dyDescent="0.25">
      <c r="A46" s="6849"/>
      <c r="B46" s="6778"/>
      <c r="C46" s="4109" t="s">
        <v>1254</v>
      </c>
      <c r="D46" s="4110">
        <v>0</v>
      </c>
      <c r="E46" s="4114">
        <v>0</v>
      </c>
      <c r="F46" s="3497">
        <f t="shared" si="17"/>
        <v>0</v>
      </c>
      <c r="G46" s="3495"/>
      <c r="H46" s="3499">
        <v>1</v>
      </c>
      <c r="I46" s="3497">
        <f t="shared" si="18"/>
        <v>1</v>
      </c>
      <c r="J46" s="3495">
        <v>1</v>
      </c>
      <c r="K46" s="3499">
        <v>1</v>
      </c>
      <c r="L46" s="3497">
        <f t="shared" si="19"/>
        <v>2</v>
      </c>
      <c r="M46" s="3495">
        <v>1</v>
      </c>
      <c r="N46" s="3499">
        <v>1</v>
      </c>
      <c r="O46" s="3497">
        <f t="shared" si="3"/>
        <v>2</v>
      </c>
    </row>
    <row r="47" spans="1:15" x14ac:dyDescent="0.25">
      <c r="A47" s="6849"/>
      <c r="B47" s="6778"/>
      <c r="C47" s="4109" t="s">
        <v>467</v>
      </c>
      <c r="D47" s="4110">
        <v>0</v>
      </c>
      <c r="E47" s="4121">
        <v>0</v>
      </c>
      <c r="F47" s="3497">
        <f t="shared" si="17"/>
        <v>0</v>
      </c>
      <c r="G47" s="3495">
        <v>1</v>
      </c>
      <c r="H47" s="3500">
        <v>1</v>
      </c>
      <c r="I47" s="3497">
        <f t="shared" si="18"/>
        <v>2</v>
      </c>
      <c r="J47" s="3495">
        <v>1</v>
      </c>
      <c r="K47" s="3500">
        <v>0</v>
      </c>
      <c r="L47" s="3497">
        <f t="shared" si="19"/>
        <v>1</v>
      </c>
      <c r="M47" s="3495"/>
      <c r="N47" s="3500"/>
      <c r="O47" s="3497">
        <f t="shared" si="3"/>
        <v>0</v>
      </c>
    </row>
    <row r="48" spans="1:15" x14ac:dyDescent="0.25">
      <c r="A48" s="6849"/>
      <c r="B48" s="6778"/>
      <c r="C48" s="4109" t="s">
        <v>468</v>
      </c>
      <c r="D48" s="4110">
        <v>0</v>
      </c>
      <c r="E48" s="4121">
        <v>0</v>
      </c>
      <c r="F48" s="3497">
        <f t="shared" si="17"/>
        <v>0</v>
      </c>
      <c r="G48" s="3495"/>
      <c r="H48" s="3499">
        <v>3</v>
      </c>
      <c r="I48" s="3497">
        <f t="shared" si="18"/>
        <v>3</v>
      </c>
      <c r="J48" s="3495">
        <v>1</v>
      </c>
      <c r="K48" s="3499">
        <v>3</v>
      </c>
      <c r="L48" s="3497">
        <f t="shared" si="19"/>
        <v>4</v>
      </c>
      <c r="M48" s="3495"/>
      <c r="N48" s="3499"/>
      <c r="O48" s="3497">
        <f t="shared" si="3"/>
        <v>0</v>
      </c>
    </row>
    <row r="49" spans="1:15" x14ac:dyDescent="0.25">
      <c r="A49" s="6849"/>
      <c r="B49" s="6779" t="s">
        <v>1255</v>
      </c>
      <c r="C49" s="4113" t="s">
        <v>160</v>
      </c>
      <c r="D49" s="3503">
        <f>SUM(D40:D48)</f>
        <v>1</v>
      </c>
      <c r="E49" s="3504">
        <f>SUM(E40:E48)</f>
        <v>2</v>
      </c>
      <c r="F49" s="3501">
        <f>SUM(F40:F48)</f>
        <v>3</v>
      </c>
      <c r="G49" s="3503">
        <f t="shared" ref="G49:L49" si="20">SUM(G40:G48)</f>
        <v>7</v>
      </c>
      <c r="H49" s="3504">
        <f t="shared" si="20"/>
        <v>17</v>
      </c>
      <c r="I49" s="3501">
        <f t="shared" si="20"/>
        <v>24</v>
      </c>
      <c r="J49" s="3503">
        <f t="shared" si="20"/>
        <v>8</v>
      </c>
      <c r="K49" s="3504">
        <f t="shared" si="20"/>
        <v>15</v>
      </c>
      <c r="L49" s="3501">
        <f t="shared" si="20"/>
        <v>23</v>
      </c>
      <c r="M49" s="3503">
        <f t="shared" ref="M49" si="21">SUM(M40:M48)</f>
        <v>3</v>
      </c>
      <c r="N49" s="3504">
        <f>SUM(N40:N48)</f>
        <v>3</v>
      </c>
      <c r="O49" s="3501">
        <f t="shared" si="3"/>
        <v>6</v>
      </c>
    </row>
    <row r="50" spans="1:15" x14ac:dyDescent="0.25">
      <c r="A50" s="6849"/>
      <c r="B50" s="6777" t="s">
        <v>6</v>
      </c>
      <c r="C50" s="4109" t="s">
        <v>456</v>
      </c>
      <c r="D50" s="4110">
        <v>0</v>
      </c>
      <c r="E50" s="4114">
        <v>0</v>
      </c>
      <c r="F50" s="3497">
        <f t="shared" ref="F50:F60" si="22">SUM(D50:E50)</f>
        <v>0</v>
      </c>
      <c r="G50" s="3495">
        <v>3</v>
      </c>
      <c r="H50" s="3499"/>
      <c r="I50" s="3497">
        <f t="shared" ref="I50:I60" si="23">SUM(G50:H50)</f>
        <v>3</v>
      </c>
      <c r="J50" s="3495">
        <v>2</v>
      </c>
      <c r="K50" s="3499">
        <v>3</v>
      </c>
      <c r="L50" s="3497">
        <f t="shared" ref="L50:L59" si="24">SUM(J50:K50)</f>
        <v>5</v>
      </c>
      <c r="M50" s="3495">
        <v>3</v>
      </c>
      <c r="N50" s="3499">
        <v>2</v>
      </c>
      <c r="O50" s="3497">
        <f t="shared" si="3"/>
        <v>5</v>
      </c>
    </row>
    <row r="51" spans="1:15" x14ac:dyDescent="0.25">
      <c r="A51" s="6849"/>
      <c r="B51" s="6778"/>
      <c r="C51" s="4109" t="s">
        <v>470</v>
      </c>
      <c r="D51" s="4110">
        <v>1</v>
      </c>
      <c r="E51" s="4114">
        <v>0</v>
      </c>
      <c r="F51" s="3497">
        <f t="shared" si="22"/>
        <v>1</v>
      </c>
      <c r="G51" s="3495">
        <v>6</v>
      </c>
      <c r="H51" s="3499">
        <v>1</v>
      </c>
      <c r="I51" s="3497">
        <f t="shared" si="23"/>
        <v>7</v>
      </c>
      <c r="J51" s="3495">
        <v>2</v>
      </c>
      <c r="K51" s="3499">
        <v>2</v>
      </c>
      <c r="L51" s="3497">
        <f t="shared" si="24"/>
        <v>4</v>
      </c>
      <c r="M51" s="3495">
        <v>2</v>
      </c>
      <c r="N51" s="3499">
        <v>1</v>
      </c>
      <c r="O51" s="3497">
        <f t="shared" si="3"/>
        <v>3</v>
      </c>
    </row>
    <row r="52" spans="1:15" x14ac:dyDescent="0.25">
      <c r="A52" s="6849"/>
      <c r="B52" s="6778"/>
      <c r="C52" s="4109" t="s">
        <v>475</v>
      </c>
      <c r="D52" s="4110">
        <v>0</v>
      </c>
      <c r="E52" s="4114">
        <v>1</v>
      </c>
      <c r="F52" s="3497">
        <f t="shared" si="22"/>
        <v>1</v>
      </c>
      <c r="G52" s="3495">
        <v>3</v>
      </c>
      <c r="H52" s="3499">
        <v>1</v>
      </c>
      <c r="I52" s="3497">
        <f t="shared" si="23"/>
        <v>4</v>
      </c>
      <c r="J52" s="3495">
        <v>4</v>
      </c>
      <c r="K52" s="3499">
        <v>5</v>
      </c>
      <c r="L52" s="3497">
        <f t="shared" si="24"/>
        <v>9</v>
      </c>
      <c r="M52" s="3495">
        <v>1</v>
      </c>
      <c r="N52" s="3499"/>
      <c r="O52" s="3497">
        <f t="shared" si="3"/>
        <v>1</v>
      </c>
    </row>
    <row r="53" spans="1:15" x14ac:dyDescent="0.25">
      <c r="A53" s="6849"/>
      <c r="B53" s="6778"/>
      <c r="C53" s="4109" t="s">
        <v>458</v>
      </c>
      <c r="D53" s="4110">
        <v>0</v>
      </c>
      <c r="E53" s="4114">
        <v>0</v>
      </c>
      <c r="F53" s="3497">
        <f t="shared" si="22"/>
        <v>0</v>
      </c>
      <c r="G53" s="3495">
        <v>1</v>
      </c>
      <c r="H53" s="3499"/>
      <c r="I53" s="3497">
        <f t="shared" si="23"/>
        <v>1</v>
      </c>
      <c r="J53" s="3495"/>
      <c r="K53" s="3499">
        <v>2</v>
      </c>
      <c r="L53" s="3497">
        <f t="shared" si="24"/>
        <v>2</v>
      </c>
      <c r="M53" s="3495">
        <v>1</v>
      </c>
      <c r="N53" s="3499">
        <v>1</v>
      </c>
      <c r="O53" s="3497">
        <f t="shared" si="3"/>
        <v>2</v>
      </c>
    </row>
    <row r="54" spans="1:15" x14ac:dyDescent="0.25">
      <c r="A54" s="6849"/>
      <c r="B54" s="6778"/>
      <c r="C54" s="4109" t="s">
        <v>472</v>
      </c>
      <c r="D54" s="4110">
        <v>0</v>
      </c>
      <c r="E54" s="4114">
        <v>1</v>
      </c>
      <c r="F54" s="3497">
        <f t="shared" si="22"/>
        <v>1</v>
      </c>
      <c r="G54" s="3495">
        <v>1</v>
      </c>
      <c r="H54" s="3499">
        <v>3</v>
      </c>
      <c r="I54" s="3497">
        <f t="shared" si="23"/>
        <v>4</v>
      </c>
      <c r="J54" s="3495">
        <v>3</v>
      </c>
      <c r="K54" s="3499">
        <v>6</v>
      </c>
      <c r="L54" s="3497">
        <f t="shared" si="24"/>
        <v>9</v>
      </c>
      <c r="M54" s="3495"/>
      <c r="N54" s="3499">
        <v>1</v>
      </c>
      <c r="O54" s="3497">
        <f t="shared" si="3"/>
        <v>1</v>
      </c>
    </row>
    <row r="55" spans="1:15" x14ac:dyDescent="0.25">
      <c r="A55" s="6849"/>
      <c r="B55" s="6778"/>
      <c r="C55" s="4109" t="s">
        <v>477</v>
      </c>
      <c r="D55" s="4110">
        <v>0</v>
      </c>
      <c r="E55" s="4121">
        <v>3</v>
      </c>
      <c r="F55" s="3497">
        <f t="shared" si="22"/>
        <v>3</v>
      </c>
      <c r="G55" s="3495"/>
      <c r="H55" s="3500">
        <v>3</v>
      </c>
      <c r="I55" s="3497">
        <f t="shared" si="23"/>
        <v>3</v>
      </c>
      <c r="J55" s="3495">
        <v>1</v>
      </c>
      <c r="K55" s="3500"/>
      <c r="L55" s="3497">
        <f t="shared" si="24"/>
        <v>1</v>
      </c>
      <c r="M55" s="3495"/>
      <c r="N55" s="3500">
        <v>1</v>
      </c>
      <c r="O55" s="3497">
        <f t="shared" si="3"/>
        <v>1</v>
      </c>
    </row>
    <row r="56" spans="1:15" x14ac:dyDescent="0.25">
      <c r="A56" s="6849"/>
      <c r="B56" s="6778"/>
      <c r="C56" s="4109" t="s">
        <v>473</v>
      </c>
      <c r="D56" s="4110">
        <v>0</v>
      </c>
      <c r="E56" s="4114">
        <v>0</v>
      </c>
      <c r="F56" s="3497">
        <f t="shared" si="22"/>
        <v>0</v>
      </c>
      <c r="G56" s="3495">
        <v>1</v>
      </c>
      <c r="H56" s="3499"/>
      <c r="I56" s="3497">
        <f t="shared" si="23"/>
        <v>1</v>
      </c>
      <c r="J56" s="3495">
        <v>1</v>
      </c>
      <c r="K56" s="3499"/>
      <c r="L56" s="3497">
        <f t="shared" si="24"/>
        <v>1</v>
      </c>
      <c r="M56" s="3495">
        <v>2</v>
      </c>
      <c r="N56" s="3499">
        <v>1</v>
      </c>
      <c r="O56" s="3497">
        <f t="shared" si="3"/>
        <v>3</v>
      </c>
    </row>
    <row r="57" spans="1:15" x14ac:dyDescent="0.25">
      <c r="A57" s="6849"/>
      <c r="B57" s="6778"/>
      <c r="C57" s="4109" t="s">
        <v>471</v>
      </c>
      <c r="D57" s="4110">
        <v>1</v>
      </c>
      <c r="E57" s="4114">
        <v>0</v>
      </c>
      <c r="F57" s="3497">
        <f t="shared" si="22"/>
        <v>1</v>
      </c>
      <c r="G57" s="3495">
        <v>1</v>
      </c>
      <c r="H57" s="3499">
        <v>1</v>
      </c>
      <c r="I57" s="3497">
        <f t="shared" si="23"/>
        <v>2</v>
      </c>
      <c r="J57" s="3495">
        <v>4</v>
      </c>
      <c r="K57" s="3499">
        <v>3</v>
      </c>
      <c r="L57" s="3497">
        <f t="shared" si="24"/>
        <v>7</v>
      </c>
      <c r="M57" s="3495"/>
      <c r="N57" s="3499"/>
      <c r="O57" s="3497">
        <f t="shared" si="3"/>
        <v>0</v>
      </c>
    </row>
    <row r="58" spans="1:15" x14ac:dyDescent="0.25">
      <c r="A58" s="6849"/>
      <c r="B58" s="6778"/>
      <c r="C58" s="4109" t="s">
        <v>474</v>
      </c>
      <c r="D58" s="4110">
        <v>2</v>
      </c>
      <c r="E58" s="4114">
        <v>0</v>
      </c>
      <c r="F58" s="3497">
        <f t="shared" si="22"/>
        <v>2</v>
      </c>
      <c r="G58" s="3495">
        <v>2</v>
      </c>
      <c r="H58" s="3499"/>
      <c r="I58" s="3497">
        <f t="shared" si="23"/>
        <v>2</v>
      </c>
      <c r="J58" s="3495"/>
      <c r="K58" s="3499">
        <v>1</v>
      </c>
      <c r="L58" s="3497">
        <f t="shared" si="24"/>
        <v>1</v>
      </c>
      <c r="M58" s="3495"/>
      <c r="N58" s="3499"/>
      <c r="O58" s="3497">
        <f t="shared" si="3"/>
        <v>0</v>
      </c>
    </row>
    <row r="59" spans="1:15" x14ac:dyDescent="0.25">
      <c r="A59" s="6849"/>
      <c r="B59" s="6778"/>
      <c r="C59" s="4109" t="s">
        <v>476</v>
      </c>
      <c r="D59" s="4110">
        <v>0</v>
      </c>
      <c r="E59" s="4114">
        <v>1</v>
      </c>
      <c r="F59" s="3497">
        <f t="shared" si="22"/>
        <v>1</v>
      </c>
      <c r="G59" s="3495"/>
      <c r="H59" s="3499"/>
      <c r="I59" s="3497"/>
      <c r="J59" s="3495">
        <v>2</v>
      </c>
      <c r="K59" s="3499">
        <v>2</v>
      </c>
      <c r="L59" s="3497">
        <f t="shared" si="24"/>
        <v>4</v>
      </c>
      <c r="M59" s="3495">
        <v>1</v>
      </c>
      <c r="N59" s="3499"/>
      <c r="O59" s="3497">
        <f t="shared" si="3"/>
        <v>1</v>
      </c>
    </row>
    <row r="60" spans="1:15" x14ac:dyDescent="0.25">
      <c r="A60" s="6849"/>
      <c r="B60" s="6778"/>
      <c r="C60" s="4109" t="s">
        <v>459</v>
      </c>
      <c r="D60" s="4110">
        <v>0</v>
      </c>
      <c r="E60" s="4114">
        <v>1</v>
      </c>
      <c r="F60" s="3497">
        <f t="shared" si="22"/>
        <v>1</v>
      </c>
      <c r="G60" s="3495">
        <v>2</v>
      </c>
      <c r="H60" s="3499"/>
      <c r="I60" s="3497">
        <f t="shared" si="23"/>
        <v>2</v>
      </c>
      <c r="J60" s="3495">
        <v>1</v>
      </c>
      <c r="K60" s="3499"/>
      <c r="L60" s="3497">
        <f>SUM(J60:K60)</f>
        <v>1</v>
      </c>
      <c r="M60" s="3495"/>
      <c r="N60" s="3499"/>
      <c r="O60" s="3497">
        <f t="shared" si="3"/>
        <v>0</v>
      </c>
    </row>
    <row r="61" spans="1:15" x14ac:dyDescent="0.25">
      <c r="A61" s="6849"/>
      <c r="B61" s="6779" t="s">
        <v>1255</v>
      </c>
      <c r="C61" s="4113" t="s">
        <v>160</v>
      </c>
      <c r="D61" s="3503">
        <f t="shared" ref="D61:I61" si="25">SUM(D50:D60)</f>
        <v>4</v>
      </c>
      <c r="E61" s="3504">
        <f t="shared" si="25"/>
        <v>7</v>
      </c>
      <c r="F61" s="3501">
        <f t="shared" si="25"/>
        <v>11</v>
      </c>
      <c r="G61" s="3503">
        <f t="shared" si="25"/>
        <v>20</v>
      </c>
      <c r="H61" s="3504">
        <f t="shared" si="25"/>
        <v>9</v>
      </c>
      <c r="I61" s="3501">
        <f t="shared" si="25"/>
        <v>29</v>
      </c>
      <c r="J61" s="3503">
        <f>SUM(J50:J60)</f>
        <v>20</v>
      </c>
      <c r="K61" s="3504">
        <f>SUM(K50:K60)</f>
        <v>24</v>
      </c>
      <c r="L61" s="3501">
        <f>SUM(L50:L60)</f>
        <v>44</v>
      </c>
      <c r="M61" s="3503">
        <f>SUM(M50:M60)</f>
        <v>10</v>
      </c>
      <c r="N61" s="3504">
        <f>SUM(N50:N60)</f>
        <v>7</v>
      </c>
      <c r="O61" s="3501">
        <f t="shared" si="3"/>
        <v>17</v>
      </c>
    </row>
    <row r="62" spans="1:15" x14ac:dyDescent="0.25">
      <c r="A62" s="6849"/>
      <c r="B62" s="6777" t="s">
        <v>11</v>
      </c>
      <c r="C62" s="4109" t="s">
        <v>478</v>
      </c>
      <c r="D62" s="4110">
        <v>0</v>
      </c>
      <c r="E62" s="4114">
        <v>0</v>
      </c>
      <c r="F62" s="3497">
        <f t="shared" ref="F62:F67" si="26">SUM(D62:E62)</f>
        <v>0</v>
      </c>
      <c r="G62" s="3495">
        <v>4</v>
      </c>
      <c r="H62" s="3499">
        <v>2</v>
      </c>
      <c r="I62" s="3497">
        <f t="shared" ref="I62:I67" si="27">SUM(G62:H62)</f>
        <v>6</v>
      </c>
      <c r="J62" s="3495">
        <v>5</v>
      </c>
      <c r="K62" s="3499">
        <v>3</v>
      </c>
      <c r="L62" s="3497">
        <f t="shared" ref="L62:L67" si="28">SUM(J62:K62)</f>
        <v>8</v>
      </c>
      <c r="M62" s="3495"/>
      <c r="N62" s="3499"/>
      <c r="O62" s="3497">
        <f t="shared" si="3"/>
        <v>0</v>
      </c>
    </row>
    <row r="63" spans="1:15" x14ac:dyDescent="0.25">
      <c r="A63" s="6849"/>
      <c r="B63" s="6778"/>
      <c r="C63" s="4109" t="s">
        <v>479</v>
      </c>
      <c r="D63" s="4110">
        <v>0</v>
      </c>
      <c r="E63" s="4114">
        <v>0</v>
      </c>
      <c r="F63" s="3497">
        <f t="shared" si="26"/>
        <v>0</v>
      </c>
      <c r="G63" s="3495"/>
      <c r="H63" s="3499">
        <v>1</v>
      </c>
      <c r="I63" s="3497">
        <f t="shared" si="27"/>
        <v>1</v>
      </c>
      <c r="J63" s="3495">
        <v>5</v>
      </c>
      <c r="K63" s="3499">
        <v>3</v>
      </c>
      <c r="L63" s="3497">
        <f t="shared" si="28"/>
        <v>8</v>
      </c>
      <c r="M63" s="3495">
        <v>3</v>
      </c>
      <c r="N63" s="3499">
        <v>1</v>
      </c>
      <c r="O63" s="3497">
        <f t="shared" si="3"/>
        <v>4</v>
      </c>
    </row>
    <row r="64" spans="1:15" x14ac:dyDescent="0.25">
      <c r="A64" s="6849"/>
      <c r="B64" s="6778"/>
      <c r="C64" s="4109" t="s">
        <v>480</v>
      </c>
      <c r="D64" s="4110">
        <v>0</v>
      </c>
      <c r="E64" s="4114">
        <v>0</v>
      </c>
      <c r="F64" s="3497">
        <f t="shared" si="26"/>
        <v>0</v>
      </c>
      <c r="G64" s="3495">
        <v>2</v>
      </c>
      <c r="H64" s="3499">
        <v>2</v>
      </c>
      <c r="I64" s="3497">
        <f t="shared" si="27"/>
        <v>4</v>
      </c>
      <c r="J64" s="3495">
        <v>1</v>
      </c>
      <c r="K64" s="3499">
        <v>1</v>
      </c>
      <c r="L64" s="3497">
        <f t="shared" si="28"/>
        <v>2</v>
      </c>
      <c r="M64" s="3495">
        <v>1</v>
      </c>
      <c r="N64" s="3499"/>
      <c r="O64" s="3497">
        <f t="shared" si="3"/>
        <v>1</v>
      </c>
    </row>
    <row r="65" spans="1:15" x14ac:dyDescent="0.25">
      <c r="A65" s="6849"/>
      <c r="B65" s="6778"/>
      <c r="C65" s="4109" t="s">
        <v>514</v>
      </c>
      <c r="D65" s="4110">
        <v>0</v>
      </c>
      <c r="E65" s="4114">
        <v>0</v>
      </c>
      <c r="F65" s="3497">
        <f t="shared" si="26"/>
        <v>0</v>
      </c>
      <c r="G65" s="3495">
        <v>1</v>
      </c>
      <c r="H65" s="3499">
        <v>1</v>
      </c>
      <c r="I65" s="3497">
        <f t="shared" si="27"/>
        <v>2</v>
      </c>
      <c r="J65" s="3495">
        <v>2</v>
      </c>
      <c r="K65" s="3499">
        <v>1</v>
      </c>
      <c r="L65" s="3497">
        <f t="shared" si="28"/>
        <v>3</v>
      </c>
      <c r="M65" s="3495">
        <v>1</v>
      </c>
      <c r="N65" s="3499">
        <v>1</v>
      </c>
      <c r="O65" s="3497">
        <f t="shared" si="3"/>
        <v>2</v>
      </c>
    </row>
    <row r="66" spans="1:15" x14ac:dyDescent="0.25">
      <c r="A66" s="6849"/>
      <c r="B66" s="6778"/>
      <c r="C66" s="5017" t="s">
        <v>1365</v>
      </c>
      <c r="D66" s="4110">
        <v>1</v>
      </c>
      <c r="E66" s="4114">
        <v>0</v>
      </c>
      <c r="F66" s="3497">
        <f t="shared" si="26"/>
        <v>1</v>
      </c>
      <c r="G66" s="3495">
        <v>1</v>
      </c>
      <c r="H66" s="3499"/>
      <c r="I66" s="3497">
        <f t="shared" si="27"/>
        <v>1</v>
      </c>
      <c r="J66" s="3495">
        <v>3</v>
      </c>
      <c r="K66" s="3499">
        <v>1</v>
      </c>
      <c r="L66" s="3497">
        <f t="shared" si="28"/>
        <v>4</v>
      </c>
      <c r="M66" s="3495"/>
      <c r="N66" s="3499"/>
      <c r="O66" s="3497">
        <f t="shared" si="3"/>
        <v>0</v>
      </c>
    </row>
    <row r="67" spans="1:15" x14ac:dyDescent="0.25">
      <c r="A67" s="6849"/>
      <c r="B67" s="6778"/>
      <c r="C67" s="4109" t="s">
        <v>481</v>
      </c>
      <c r="D67" s="4110">
        <v>0</v>
      </c>
      <c r="E67" s="4114">
        <v>0</v>
      </c>
      <c r="F67" s="3497">
        <f t="shared" si="26"/>
        <v>0</v>
      </c>
      <c r="G67" s="3495">
        <v>1</v>
      </c>
      <c r="H67" s="3499">
        <v>1</v>
      </c>
      <c r="I67" s="3497">
        <f t="shared" si="27"/>
        <v>2</v>
      </c>
      <c r="J67" s="3495">
        <v>1</v>
      </c>
      <c r="K67" s="3499">
        <v>0</v>
      </c>
      <c r="L67" s="3497">
        <f t="shared" si="28"/>
        <v>1</v>
      </c>
      <c r="M67" s="3495">
        <v>2</v>
      </c>
      <c r="N67" s="3499">
        <v>2</v>
      </c>
      <c r="O67" s="3497">
        <f t="shared" si="3"/>
        <v>4</v>
      </c>
    </row>
    <row r="68" spans="1:15" x14ac:dyDescent="0.25">
      <c r="A68" s="6849"/>
      <c r="B68" s="6779" t="s">
        <v>1255</v>
      </c>
      <c r="C68" s="4113" t="s">
        <v>160</v>
      </c>
      <c r="D68" s="3505">
        <f t="shared" ref="D68:L68" si="29">SUM(D62:D67)</f>
        <v>1</v>
      </c>
      <c r="E68" s="3506">
        <f t="shared" si="29"/>
        <v>0</v>
      </c>
      <c r="F68" s="3502">
        <f t="shared" si="29"/>
        <v>1</v>
      </c>
      <c r="G68" s="3505">
        <f t="shared" si="29"/>
        <v>9</v>
      </c>
      <c r="H68" s="3506">
        <f t="shared" si="29"/>
        <v>7</v>
      </c>
      <c r="I68" s="3502">
        <f t="shared" si="29"/>
        <v>16</v>
      </c>
      <c r="J68" s="3505">
        <f t="shared" si="29"/>
        <v>17</v>
      </c>
      <c r="K68" s="3506">
        <f t="shared" si="29"/>
        <v>9</v>
      </c>
      <c r="L68" s="3502">
        <f t="shared" si="29"/>
        <v>26</v>
      </c>
      <c r="M68" s="3505">
        <f t="shared" ref="M68" si="30">SUM(M62:M67)</f>
        <v>7</v>
      </c>
      <c r="N68" s="3506">
        <f>SUM(N62:N67)</f>
        <v>4</v>
      </c>
      <c r="O68" s="3502">
        <f t="shared" si="3"/>
        <v>11</v>
      </c>
    </row>
    <row r="69" spans="1:15" x14ac:dyDescent="0.25">
      <c r="A69" s="6850"/>
      <c r="B69" s="6775" t="s">
        <v>444</v>
      </c>
      <c r="C69" s="6776"/>
      <c r="D69" s="4126">
        <f>D68+D61+D49</f>
        <v>6</v>
      </c>
      <c r="E69" s="4127">
        <f>E68+E61+E49</f>
        <v>9</v>
      </c>
      <c r="F69" s="4128">
        <f>F68+F61+F49</f>
        <v>15</v>
      </c>
      <c r="G69" s="3518">
        <f t="shared" ref="G69:L69" si="31">G68+G61+G49</f>
        <v>36</v>
      </c>
      <c r="H69" s="3519">
        <f t="shared" si="31"/>
        <v>33</v>
      </c>
      <c r="I69" s="3509">
        <f t="shared" si="31"/>
        <v>69</v>
      </c>
      <c r="J69" s="3518">
        <f t="shared" si="31"/>
        <v>45</v>
      </c>
      <c r="K69" s="3519">
        <f t="shared" si="31"/>
        <v>48</v>
      </c>
      <c r="L69" s="3509">
        <f t="shared" si="31"/>
        <v>93</v>
      </c>
      <c r="M69" s="3518">
        <f t="shared" ref="M69" si="32">M68+M61+M49</f>
        <v>20</v>
      </c>
      <c r="N69" s="3519">
        <f>N68+N61+N49</f>
        <v>14</v>
      </c>
      <c r="O69" s="3509">
        <f t="shared" si="3"/>
        <v>34</v>
      </c>
    </row>
    <row r="70" spans="1:15" x14ac:dyDescent="0.25">
      <c r="A70" s="6845" t="s">
        <v>408</v>
      </c>
      <c r="B70" s="6783" t="s">
        <v>11</v>
      </c>
      <c r="C70" s="4118" t="s">
        <v>505</v>
      </c>
      <c r="D70" s="4119">
        <v>1</v>
      </c>
      <c r="E70" s="4120">
        <v>0</v>
      </c>
      <c r="F70" s="3512">
        <f>SUM(D70:E70)</f>
        <v>1</v>
      </c>
      <c r="G70" s="3511">
        <v>1</v>
      </c>
      <c r="H70" s="3513">
        <v>4</v>
      </c>
      <c r="I70" s="3512">
        <f>SUM(G70:H70)</f>
        <v>5</v>
      </c>
      <c r="J70" s="3511">
        <v>13</v>
      </c>
      <c r="K70" s="3513">
        <v>2</v>
      </c>
      <c r="L70" s="3512">
        <f>SUM(J70:K70)</f>
        <v>15</v>
      </c>
      <c r="M70" s="3511">
        <v>1</v>
      </c>
      <c r="N70" s="3513">
        <v>1</v>
      </c>
      <c r="O70" s="3512">
        <f t="shared" ref="O70:O101" si="33">SUM(M70:N70)</f>
        <v>2</v>
      </c>
    </row>
    <row r="71" spans="1:15" x14ac:dyDescent="0.25">
      <c r="A71" s="6846"/>
      <c r="B71" s="6783" t="s">
        <v>1255</v>
      </c>
      <c r="C71" s="4113" t="s">
        <v>160</v>
      </c>
      <c r="D71" s="3503">
        <f t="shared" ref="D71:L71" si="34">D70</f>
        <v>1</v>
      </c>
      <c r="E71" s="3504">
        <f t="shared" si="34"/>
        <v>0</v>
      </c>
      <c r="F71" s="3501">
        <f t="shared" si="34"/>
        <v>1</v>
      </c>
      <c r="G71" s="3503">
        <f t="shared" si="34"/>
        <v>1</v>
      </c>
      <c r="H71" s="3504">
        <f t="shared" si="34"/>
        <v>4</v>
      </c>
      <c r="I71" s="3501">
        <f t="shared" si="34"/>
        <v>5</v>
      </c>
      <c r="J71" s="3503">
        <f t="shared" si="34"/>
        <v>13</v>
      </c>
      <c r="K71" s="3504">
        <f t="shared" si="34"/>
        <v>2</v>
      </c>
      <c r="L71" s="3501">
        <f t="shared" si="34"/>
        <v>15</v>
      </c>
      <c r="M71" s="3503">
        <f t="shared" ref="M71" si="35">M70</f>
        <v>1</v>
      </c>
      <c r="N71" s="3504">
        <f>N70</f>
        <v>1</v>
      </c>
      <c r="O71" s="3501">
        <f t="shared" si="33"/>
        <v>2</v>
      </c>
    </row>
    <row r="72" spans="1:15" x14ac:dyDescent="0.25">
      <c r="A72" s="6846"/>
      <c r="B72" s="6783" t="s">
        <v>5</v>
      </c>
      <c r="C72" s="4109" t="s">
        <v>1262</v>
      </c>
      <c r="D72" s="4110">
        <v>1</v>
      </c>
      <c r="E72" s="4114">
        <v>2</v>
      </c>
      <c r="F72" s="3497">
        <f>SUM(D72:E72)</f>
        <v>3</v>
      </c>
      <c r="G72" s="3495"/>
      <c r="H72" s="3499">
        <v>1</v>
      </c>
      <c r="I72" s="3497">
        <f>SUM(G72:H72)</f>
        <v>1</v>
      </c>
      <c r="J72" s="3495"/>
      <c r="K72" s="3499"/>
      <c r="L72" s="3497">
        <f>SUM(J72:K72)</f>
        <v>0</v>
      </c>
      <c r="M72" s="3495"/>
      <c r="N72" s="3499">
        <v>1</v>
      </c>
      <c r="O72" s="3497">
        <f t="shared" si="33"/>
        <v>1</v>
      </c>
    </row>
    <row r="73" spans="1:15" x14ac:dyDescent="0.25">
      <c r="A73" s="6846"/>
      <c r="B73" s="6783" t="s">
        <v>1255</v>
      </c>
      <c r="C73" s="4113" t="s">
        <v>160</v>
      </c>
      <c r="D73" s="3503">
        <f t="shared" ref="D73:L73" si="36">D72</f>
        <v>1</v>
      </c>
      <c r="E73" s="3504">
        <f t="shared" si="36"/>
        <v>2</v>
      </c>
      <c r="F73" s="3501">
        <f t="shared" si="36"/>
        <v>3</v>
      </c>
      <c r="G73" s="3503">
        <f t="shared" si="36"/>
        <v>0</v>
      </c>
      <c r="H73" s="3504">
        <f t="shared" si="36"/>
        <v>1</v>
      </c>
      <c r="I73" s="3501">
        <f t="shared" si="36"/>
        <v>1</v>
      </c>
      <c r="J73" s="3503">
        <f t="shared" si="36"/>
        <v>0</v>
      </c>
      <c r="K73" s="3504">
        <f t="shared" si="36"/>
        <v>0</v>
      </c>
      <c r="L73" s="3501">
        <f t="shared" si="36"/>
        <v>0</v>
      </c>
      <c r="M73" s="3503">
        <f t="shared" ref="M73" si="37">M72</f>
        <v>0</v>
      </c>
      <c r="N73" s="3504">
        <f>N72</f>
        <v>1</v>
      </c>
      <c r="O73" s="3501">
        <f t="shared" si="33"/>
        <v>1</v>
      </c>
    </row>
    <row r="74" spans="1:15" x14ac:dyDescent="0.25">
      <c r="A74" s="6846"/>
      <c r="B74" s="6783" t="s">
        <v>6</v>
      </c>
      <c r="C74" s="4109" t="s">
        <v>504</v>
      </c>
      <c r="D74" s="4110">
        <v>0</v>
      </c>
      <c r="E74" s="4114">
        <v>0</v>
      </c>
      <c r="F74" s="3497">
        <f>SUM(D74:E74)</f>
        <v>0</v>
      </c>
      <c r="G74" s="3495">
        <v>3</v>
      </c>
      <c r="H74" s="3499"/>
      <c r="I74" s="3497">
        <f>SUM(G74:H74)</f>
        <v>3</v>
      </c>
      <c r="J74" s="3495">
        <v>6</v>
      </c>
      <c r="K74" s="3499">
        <v>3</v>
      </c>
      <c r="L74" s="3497">
        <f>SUM(J74:K74)</f>
        <v>9</v>
      </c>
      <c r="M74" s="3495"/>
      <c r="N74" s="3499">
        <v>1</v>
      </c>
      <c r="O74" s="3497">
        <f t="shared" si="33"/>
        <v>1</v>
      </c>
    </row>
    <row r="75" spans="1:15" x14ac:dyDescent="0.25">
      <c r="A75" s="6846"/>
      <c r="B75" s="6783"/>
      <c r="C75" s="4109" t="s">
        <v>612</v>
      </c>
      <c r="D75" s="4110">
        <v>0</v>
      </c>
      <c r="E75" s="4114">
        <v>0</v>
      </c>
      <c r="F75" s="3497">
        <f>SUM(D75:E75)</f>
        <v>0</v>
      </c>
      <c r="G75" s="3495"/>
      <c r="H75" s="3499"/>
      <c r="I75" s="3497">
        <f>SUM(G75:H75)</f>
        <v>0</v>
      </c>
      <c r="J75" s="3495">
        <v>2</v>
      </c>
      <c r="K75" s="3499">
        <v>6</v>
      </c>
      <c r="L75" s="3497">
        <f>SUM(J75:K75)</f>
        <v>8</v>
      </c>
      <c r="M75" s="3495">
        <v>1</v>
      </c>
      <c r="N75" s="3499">
        <v>1</v>
      </c>
      <c r="O75" s="3497">
        <f t="shared" si="33"/>
        <v>2</v>
      </c>
    </row>
    <row r="76" spans="1:15" x14ac:dyDescent="0.25">
      <c r="A76" s="6846"/>
      <c r="B76" s="6783" t="s">
        <v>1255</v>
      </c>
      <c r="C76" s="4113" t="s">
        <v>160</v>
      </c>
      <c r="D76" s="3505">
        <f t="shared" ref="D76:L76" si="38">SUM(D74:D75)</f>
        <v>0</v>
      </c>
      <c r="E76" s="3506">
        <f t="shared" si="38"/>
        <v>0</v>
      </c>
      <c r="F76" s="3502">
        <f t="shared" si="38"/>
        <v>0</v>
      </c>
      <c r="G76" s="3505">
        <f t="shared" si="38"/>
        <v>3</v>
      </c>
      <c r="H76" s="3506">
        <f t="shared" si="38"/>
        <v>0</v>
      </c>
      <c r="I76" s="3502">
        <f t="shared" si="38"/>
        <v>3</v>
      </c>
      <c r="J76" s="3505">
        <f t="shared" si="38"/>
        <v>8</v>
      </c>
      <c r="K76" s="3506">
        <f t="shared" si="38"/>
        <v>9</v>
      </c>
      <c r="L76" s="3502">
        <f t="shared" si="38"/>
        <v>17</v>
      </c>
      <c r="M76" s="3505">
        <f t="shared" ref="M76" si="39">SUM(M74:M75)</f>
        <v>1</v>
      </c>
      <c r="N76" s="3506">
        <f>SUM(N74:N75)</f>
        <v>2</v>
      </c>
      <c r="O76" s="3502">
        <f t="shared" si="33"/>
        <v>3</v>
      </c>
    </row>
    <row r="77" spans="1:15" x14ac:dyDescent="0.25">
      <c r="A77" s="6847"/>
      <c r="B77" s="6789" t="s">
        <v>444</v>
      </c>
      <c r="C77" s="6790"/>
      <c r="D77" s="4129">
        <f t="shared" ref="D77:L77" si="40">D76+D73+D71</f>
        <v>2</v>
      </c>
      <c r="E77" s="4130">
        <f t="shared" si="40"/>
        <v>2</v>
      </c>
      <c r="F77" s="4131">
        <f t="shared" si="40"/>
        <v>4</v>
      </c>
      <c r="G77" s="3520">
        <f t="shared" si="40"/>
        <v>4</v>
      </c>
      <c r="H77" s="3521">
        <f t="shared" si="40"/>
        <v>5</v>
      </c>
      <c r="I77" s="3522">
        <f t="shared" si="40"/>
        <v>9</v>
      </c>
      <c r="J77" s="3520">
        <f t="shared" si="40"/>
        <v>21</v>
      </c>
      <c r="K77" s="3521">
        <f t="shared" si="40"/>
        <v>11</v>
      </c>
      <c r="L77" s="3522">
        <f t="shared" si="40"/>
        <v>32</v>
      </c>
      <c r="M77" s="3520">
        <f t="shared" ref="M77" si="41">M76+M73+M71</f>
        <v>2</v>
      </c>
      <c r="N77" s="3521">
        <f>N76+N73+N71</f>
        <v>4</v>
      </c>
      <c r="O77" s="3522">
        <f t="shared" si="33"/>
        <v>6</v>
      </c>
    </row>
    <row r="78" spans="1:15" x14ac:dyDescent="0.25">
      <c r="A78" s="6843" t="s">
        <v>163</v>
      </c>
      <c r="B78" s="6783" t="s">
        <v>6</v>
      </c>
      <c r="C78" s="4106" t="s">
        <v>456</v>
      </c>
      <c r="D78" s="4107">
        <v>0</v>
      </c>
      <c r="E78" s="4132">
        <v>1</v>
      </c>
      <c r="F78" s="3492">
        <f t="shared" ref="F78:F83" si="42">SUM(D78:E78)</f>
        <v>1</v>
      </c>
      <c r="G78" s="3490">
        <v>2</v>
      </c>
      <c r="H78" s="3493">
        <v>4</v>
      </c>
      <c r="I78" s="3492">
        <f t="shared" ref="I78:I83" si="43">SUM(G78:H78)</f>
        <v>6</v>
      </c>
      <c r="J78" s="3490">
        <v>1</v>
      </c>
      <c r="K78" s="3493">
        <v>2</v>
      </c>
      <c r="L78" s="3492">
        <f t="shared" ref="L78:L83" si="44">SUM(J78:K78)</f>
        <v>3</v>
      </c>
      <c r="M78" s="3490">
        <v>1</v>
      </c>
      <c r="N78" s="3493"/>
      <c r="O78" s="3492">
        <f t="shared" si="33"/>
        <v>1</v>
      </c>
    </row>
    <row r="79" spans="1:15" x14ac:dyDescent="0.25">
      <c r="A79" s="6843"/>
      <c r="B79" s="6783"/>
      <c r="C79" s="4109" t="s">
        <v>484</v>
      </c>
      <c r="D79" s="4110">
        <v>2</v>
      </c>
      <c r="E79" s="4114">
        <v>0</v>
      </c>
      <c r="F79" s="3497">
        <f t="shared" si="42"/>
        <v>2</v>
      </c>
      <c r="G79" s="3495">
        <v>7</v>
      </c>
      <c r="H79" s="3499">
        <v>3</v>
      </c>
      <c r="I79" s="3497">
        <f t="shared" si="43"/>
        <v>10</v>
      </c>
      <c r="J79" s="3495">
        <v>22</v>
      </c>
      <c r="K79" s="3499">
        <v>9</v>
      </c>
      <c r="L79" s="3497">
        <f t="shared" si="44"/>
        <v>31</v>
      </c>
      <c r="M79" s="3495">
        <v>5</v>
      </c>
      <c r="N79" s="3499">
        <v>3</v>
      </c>
      <c r="O79" s="3497">
        <f t="shared" si="33"/>
        <v>8</v>
      </c>
    </row>
    <row r="80" spans="1:15" x14ac:dyDescent="0.25">
      <c r="A80" s="6843"/>
      <c r="B80" s="6783"/>
      <c r="C80" s="4109" t="s">
        <v>458</v>
      </c>
      <c r="D80" s="4110">
        <v>0</v>
      </c>
      <c r="E80" s="4114">
        <v>2</v>
      </c>
      <c r="F80" s="3497">
        <f t="shared" si="42"/>
        <v>2</v>
      </c>
      <c r="G80" s="3495">
        <v>3</v>
      </c>
      <c r="H80" s="3499">
        <v>3</v>
      </c>
      <c r="I80" s="3497">
        <f t="shared" si="43"/>
        <v>6</v>
      </c>
      <c r="J80" s="3495">
        <v>0</v>
      </c>
      <c r="K80" s="3499">
        <v>2</v>
      </c>
      <c r="L80" s="3497">
        <f t="shared" si="44"/>
        <v>2</v>
      </c>
      <c r="M80" s="3495"/>
      <c r="N80" s="3499"/>
      <c r="O80" s="3497">
        <f t="shared" si="33"/>
        <v>0</v>
      </c>
    </row>
    <row r="81" spans="1:15" x14ac:dyDescent="0.25">
      <c r="A81" s="6843"/>
      <c r="B81" s="6783"/>
      <c r="C81" s="4109" t="s">
        <v>486</v>
      </c>
      <c r="D81" s="4110">
        <v>0</v>
      </c>
      <c r="E81" s="4114">
        <v>2</v>
      </c>
      <c r="F81" s="3497">
        <f t="shared" si="42"/>
        <v>2</v>
      </c>
      <c r="G81" s="3495">
        <v>1</v>
      </c>
      <c r="H81" s="3499"/>
      <c r="I81" s="3497">
        <f t="shared" si="43"/>
        <v>1</v>
      </c>
      <c r="J81" s="3495">
        <v>0</v>
      </c>
      <c r="K81" s="3499">
        <v>3</v>
      </c>
      <c r="L81" s="3497">
        <f t="shared" si="44"/>
        <v>3</v>
      </c>
      <c r="M81" s="3495">
        <v>1</v>
      </c>
      <c r="N81" s="3499"/>
      <c r="O81" s="3497">
        <f t="shared" si="33"/>
        <v>1</v>
      </c>
    </row>
    <row r="82" spans="1:15" x14ac:dyDescent="0.25">
      <c r="A82" s="6843"/>
      <c r="B82" s="6783"/>
      <c r="C82" s="4109" t="s">
        <v>485</v>
      </c>
      <c r="D82" s="4110">
        <v>5</v>
      </c>
      <c r="E82" s="4114">
        <v>2</v>
      </c>
      <c r="F82" s="3497">
        <f t="shared" si="42"/>
        <v>7</v>
      </c>
      <c r="G82" s="3495">
        <v>10</v>
      </c>
      <c r="H82" s="3499">
        <v>3</v>
      </c>
      <c r="I82" s="3497">
        <f t="shared" si="43"/>
        <v>13</v>
      </c>
      <c r="J82" s="3495">
        <v>18</v>
      </c>
      <c r="K82" s="3499">
        <v>13</v>
      </c>
      <c r="L82" s="3497">
        <f t="shared" si="44"/>
        <v>31</v>
      </c>
      <c r="M82" s="3495">
        <v>3</v>
      </c>
      <c r="N82" s="3499">
        <v>1</v>
      </c>
      <c r="O82" s="3497">
        <f t="shared" si="33"/>
        <v>4</v>
      </c>
    </row>
    <row r="83" spans="1:15" x14ac:dyDescent="0.25">
      <c r="A83" s="6843"/>
      <c r="B83" s="6783"/>
      <c r="C83" s="4109" t="s">
        <v>459</v>
      </c>
      <c r="D83" s="4110">
        <v>0</v>
      </c>
      <c r="E83" s="4114">
        <v>1</v>
      </c>
      <c r="F83" s="3497">
        <f t="shared" si="42"/>
        <v>1</v>
      </c>
      <c r="G83" s="3495">
        <v>4</v>
      </c>
      <c r="H83" s="3499">
        <v>2</v>
      </c>
      <c r="I83" s="3497">
        <f t="shared" si="43"/>
        <v>6</v>
      </c>
      <c r="J83" s="3495">
        <v>5</v>
      </c>
      <c r="K83" s="3499">
        <v>3</v>
      </c>
      <c r="L83" s="3497">
        <f t="shared" si="44"/>
        <v>8</v>
      </c>
      <c r="M83" s="3495"/>
      <c r="N83" s="3499">
        <v>1</v>
      </c>
      <c r="O83" s="3497">
        <f t="shared" si="33"/>
        <v>1</v>
      </c>
    </row>
    <row r="84" spans="1:15" x14ac:dyDescent="0.25">
      <c r="A84" s="6843"/>
      <c r="B84" s="6783" t="s">
        <v>1255</v>
      </c>
      <c r="C84" s="4113" t="s">
        <v>160</v>
      </c>
      <c r="D84" s="3503">
        <f t="shared" ref="D84:L84" si="45">SUM(D78:D83)</f>
        <v>7</v>
      </c>
      <c r="E84" s="3504">
        <f t="shared" si="45"/>
        <v>8</v>
      </c>
      <c r="F84" s="3501">
        <f t="shared" si="45"/>
        <v>15</v>
      </c>
      <c r="G84" s="3503">
        <f t="shared" si="45"/>
        <v>27</v>
      </c>
      <c r="H84" s="3504">
        <f t="shared" si="45"/>
        <v>15</v>
      </c>
      <c r="I84" s="3501">
        <f t="shared" si="45"/>
        <v>42</v>
      </c>
      <c r="J84" s="3503">
        <f t="shared" si="45"/>
        <v>46</v>
      </c>
      <c r="K84" s="3504">
        <f t="shared" si="45"/>
        <v>32</v>
      </c>
      <c r="L84" s="3501">
        <f t="shared" si="45"/>
        <v>78</v>
      </c>
      <c r="M84" s="3503">
        <f t="shared" ref="M84" si="46">SUM(M78:M83)</f>
        <v>10</v>
      </c>
      <c r="N84" s="3504">
        <f>SUM(N78:N83)</f>
        <v>5</v>
      </c>
      <c r="O84" s="3501">
        <f t="shared" si="33"/>
        <v>15</v>
      </c>
    </row>
    <row r="85" spans="1:15" x14ac:dyDescent="0.25">
      <c r="A85" s="6843"/>
      <c r="B85" s="6783" t="s">
        <v>11</v>
      </c>
      <c r="C85" s="4109" t="s">
        <v>491</v>
      </c>
      <c r="D85" s="4110">
        <v>0</v>
      </c>
      <c r="E85" s="4114">
        <v>1</v>
      </c>
      <c r="F85" s="3497">
        <f t="shared" ref="F85:F92" si="47">SUM(D85:E85)</f>
        <v>1</v>
      </c>
      <c r="G85" s="3495"/>
      <c r="H85" s="3499">
        <v>3</v>
      </c>
      <c r="I85" s="3497">
        <f t="shared" ref="I85:I92" si="48">SUM(G85:H85)</f>
        <v>3</v>
      </c>
      <c r="J85" s="3495">
        <v>1</v>
      </c>
      <c r="K85" s="3499">
        <v>2</v>
      </c>
      <c r="L85" s="3497">
        <f t="shared" ref="L85:L92" si="49">SUM(J85:K85)</f>
        <v>3</v>
      </c>
      <c r="M85" s="3495"/>
      <c r="N85" s="3499">
        <v>2</v>
      </c>
      <c r="O85" s="3497">
        <f t="shared" si="33"/>
        <v>2</v>
      </c>
    </row>
    <row r="86" spans="1:15" x14ac:dyDescent="0.25">
      <c r="A86" s="6843"/>
      <c r="B86" s="6783"/>
      <c r="C86" s="4109" t="s">
        <v>478</v>
      </c>
      <c r="D86" s="4110">
        <v>1</v>
      </c>
      <c r="E86" s="4114">
        <v>0</v>
      </c>
      <c r="F86" s="3497">
        <f t="shared" si="47"/>
        <v>1</v>
      </c>
      <c r="G86" s="3495">
        <v>1</v>
      </c>
      <c r="H86" s="3499">
        <v>2</v>
      </c>
      <c r="I86" s="3497">
        <f t="shared" si="48"/>
        <v>3</v>
      </c>
      <c r="J86" s="3495">
        <v>11</v>
      </c>
      <c r="K86" s="3499">
        <v>2</v>
      </c>
      <c r="L86" s="3497">
        <f t="shared" si="49"/>
        <v>13</v>
      </c>
      <c r="M86" s="3495">
        <v>5</v>
      </c>
      <c r="N86" s="3499">
        <v>3</v>
      </c>
      <c r="O86" s="3497">
        <f t="shared" si="33"/>
        <v>8</v>
      </c>
    </row>
    <row r="87" spans="1:15" x14ac:dyDescent="0.25">
      <c r="A87" s="6843"/>
      <c r="B87" s="6783"/>
      <c r="C87" s="4109" t="s">
        <v>487</v>
      </c>
      <c r="D87" s="4110">
        <v>0</v>
      </c>
      <c r="E87" s="4121">
        <v>0</v>
      </c>
      <c r="F87" s="3497">
        <f t="shared" si="47"/>
        <v>0</v>
      </c>
      <c r="G87" s="3495">
        <v>2</v>
      </c>
      <c r="H87" s="3500"/>
      <c r="I87" s="3497">
        <f t="shared" si="48"/>
        <v>2</v>
      </c>
      <c r="J87" s="3495">
        <v>3</v>
      </c>
      <c r="K87" s="3500">
        <v>1</v>
      </c>
      <c r="L87" s="3497">
        <f t="shared" si="49"/>
        <v>4</v>
      </c>
      <c r="M87" s="3495">
        <v>1</v>
      </c>
      <c r="N87" s="3500"/>
      <c r="O87" s="3497">
        <f t="shared" si="33"/>
        <v>1</v>
      </c>
    </row>
    <row r="88" spans="1:15" x14ac:dyDescent="0.25">
      <c r="A88" s="6843"/>
      <c r="B88" s="6783"/>
      <c r="C88" s="4109" t="s">
        <v>488</v>
      </c>
      <c r="D88" s="4110">
        <v>0</v>
      </c>
      <c r="E88" s="4121">
        <v>0</v>
      </c>
      <c r="F88" s="3497">
        <f t="shared" si="47"/>
        <v>0</v>
      </c>
      <c r="G88" s="3495">
        <v>2</v>
      </c>
      <c r="H88" s="3500">
        <v>3</v>
      </c>
      <c r="I88" s="3497">
        <f t="shared" si="48"/>
        <v>5</v>
      </c>
      <c r="J88" s="3495">
        <v>2</v>
      </c>
      <c r="K88" s="3500">
        <v>1</v>
      </c>
      <c r="L88" s="3497">
        <f t="shared" si="49"/>
        <v>3</v>
      </c>
      <c r="M88" s="3495">
        <v>1</v>
      </c>
      <c r="N88" s="3500">
        <v>1</v>
      </c>
      <c r="O88" s="3497">
        <f t="shared" si="33"/>
        <v>2</v>
      </c>
    </row>
    <row r="89" spans="1:15" x14ac:dyDescent="0.25">
      <c r="A89" s="6843"/>
      <c r="B89" s="6783"/>
      <c r="C89" s="4109" t="s">
        <v>492</v>
      </c>
      <c r="D89" s="4110">
        <v>0</v>
      </c>
      <c r="E89" s="4114">
        <v>0</v>
      </c>
      <c r="F89" s="3497">
        <f t="shared" si="47"/>
        <v>0</v>
      </c>
      <c r="G89" s="3495">
        <v>3</v>
      </c>
      <c r="H89" s="3499">
        <v>3</v>
      </c>
      <c r="I89" s="3497">
        <f t="shared" si="48"/>
        <v>6</v>
      </c>
      <c r="J89" s="3495">
        <v>4</v>
      </c>
      <c r="K89" s="3499">
        <v>3</v>
      </c>
      <c r="L89" s="3497">
        <f t="shared" si="49"/>
        <v>7</v>
      </c>
      <c r="M89" s="3495"/>
      <c r="N89" s="3499">
        <v>1</v>
      </c>
      <c r="O89" s="3497">
        <f t="shared" si="33"/>
        <v>1</v>
      </c>
    </row>
    <row r="90" spans="1:15" x14ac:dyDescent="0.25">
      <c r="A90" s="6843"/>
      <c r="B90" s="6783"/>
      <c r="C90" s="4109" t="s">
        <v>490</v>
      </c>
      <c r="D90" s="4110">
        <v>0</v>
      </c>
      <c r="E90" s="4121">
        <v>0</v>
      </c>
      <c r="F90" s="3497">
        <f t="shared" si="47"/>
        <v>0</v>
      </c>
      <c r="G90" s="3495">
        <v>2</v>
      </c>
      <c r="H90" s="3500"/>
      <c r="I90" s="3497">
        <f t="shared" si="48"/>
        <v>2</v>
      </c>
      <c r="J90" s="3495">
        <v>1</v>
      </c>
      <c r="K90" s="3500">
        <v>2</v>
      </c>
      <c r="L90" s="3497">
        <f t="shared" si="49"/>
        <v>3</v>
      </c>
      <c r="M90" s="3495">
        <v>1</v>
      </c>
      <c r="N90" s="3500"/>
      <c r="O90" s="3497">
        <f t="shared" si="33"/>
        <v>1</v>
      </c>
    </row>
    <row r="91" spans="1:15" x14ac:dyDescent="0.25">
      <c r="A91" s="6843"/>
      <c r="B91" s="6783"/>
      <c r="C91" s="4109" t="s">
        <v>493</v>
      </c>
      <c r="D91" s="4110">
        <v>5</v>
      </c>
      <c r="E91" s="4114">
        <v>1</v>
      </c>
      <c r="F91" s="3497">
        <f t="shared" si="47"/>
        <v>6</v>
      </c>
      <c r="G91" s="3495">
        <v>4</v>
      </c>
      <c r="H91" s="3499">
        <v>1</v>
      </c>
      <c r="I91" s="3497">
        <f t="shared" si="48"/>
        <v>5</v>
      </c>
      <c r="J91" s="3495">
        <v>7</v>
      </c>
      <c r="K91" s="3499">
        <v>0</v>
      </c>
      <c r="L91" s="3497">
        <f t="shared" si="49"/>
        <v>7</v>
      </c>
      <c r="M91" s="3495">
        <v>1</v>
      </c>
      <c r="N91" s="3499">
        <v>1</v>
      </c>
      <c r="O91" s="3497">
        <f t="shared" si="33"/>
        <v>2</v>
      </c>
    </row>
    <row r="92" spans="1:15" x14ac:dyDescent="0.25">
      <c r="A92" s="6843"/>
      <c r="B92" s="6783"/>
      <c r="C92" s="4109" t="s">
        <v>489</v>
      </c>
      <c r="D92" s="4110">
        <v>1</v>
      </c>
      <c r="E92" s="4114">
        <v>0</v>
      </c>
      <c r="F92" s="3497">
        <f t="shared" si="47"/>
        <v>1</v>
      </c>
      <c r="G92" s="3495">
        <v>2</v>
      </c>
      <c r="H92" s="3499">
        <v>3</v>
      </c>
      <c r="I92" s="3497">
        <f t="shared" si="48"/>
        <v>5</v>
      </c>
      <c r="J92" s="3495">
        <v>4</v>
      </c>
      <c r="K92" s="3499">
        <v>3</v>
      </c>
      <c r="L92" s="3497">
        <f t="shared" si="49"/>
        <v>7</v>
      </c>
      <c r="M92" s="3495">
        <v>2</v>
      </c>
      <c r="N92" s="3499">
        <v>2</v>
      </c>
      <c r="O92" s="3497">
        <f t="shared" si="33"/>
        <v>4</v>
      </c>
    </row>
    <row r="93" spans="1:15" x14ac:dyDescent="0.25">
      <c r="A93" s="6843"/>
      <c r="B93" s="6783" t="s">
        <v>1255</v>
      </c>
      <c r="C93" s="4113" t="s">
        <v>160</v>
      </c>
      <c r="D93" s="3503">
        <f t="shared" ref="D93:L93" si="50">SUM(D85:D92)</f>
        <v>7</v>
      </c>
      <c r="E93" s="3504">
        <f t="shared" si="50"/>
        <v>2</v>
      </c>
      <c r="F93" s="3501">
        <f t="shared" si="50"/>
        <v>9</v>
      </c>
      <c r="G93" s="3503">
        <f t="shared" si="50"/>
        <v>16</v>
      </c>
      <c r="H93" s="3504">
        <f t="shared" si="50"/>
        <v>15</v>
      </c>
      <c r="I93" s="3501">
        <f t="shared" si="50"/>
        <v>31</v>
      </c>
      <c r="J93" s="3503">
        <f t="shared" si="50"/>
        <v>33</v>
      </c>
      <c r="K93" s="3504">
        <f t="shared" si="50"/>
        <v>14</v>
      </c>
      <c r="L93" s="3501">
        <f t="shared" si="50"/>
        <v>47</v>
      </c>
      <c r="M93" s="3503">
        <f t="shared" ref="M93" si="51">SUM(M85:M92)</f>
        <v>11</v>
      </c>
      <c r="N93" s="3504">
        <f>SUM(N85:N92)</f>
        <v>10</v>
      </c>
      <c r="O93" s="3501">
        <f t="shared" si="33"/>
        <v>21</v>
      </c>
    </row>
    <row r="94" spans="1:15" x14ac:dyDescent="0.25">
      <c r="A94" s="6843"/>
      <c r="B94" s="6783" t="s">
        <v>7</v>
      </c>
      <c r="C94" s="4109" t="s">
        <v>460</v>
      </c>
      <c r="D94" s="4110">
        <v>1</v>
      </c>
      <c r="E94" s="4114">
        <v>2</v>
      </c>
      <c r="F94" s="3497">
        <f>SUM(D94:E94)</f>
        <v>3</v>
      </c>
      <c r="G94" s="3495">
        <v>8</v>
      </c>
      <c r="H94" s="3499">
        <v>8</v>
      </c>
      <c r="I94" s="3497">
        <f>SUM(G94:H94)</f>
        <v>16</v>
      </c>
      <c r="J94" s="3495">
        <v>18</v>
      </c>
      <c r="K94" s="3499">
        <v>14</v>
      </c>
      <c r="L94" s="3497">
        <f>SUM(J94:K94)</f>
        <v>32</v>
      </c>
      <c r="M94" s="3495">
        <v>10</v>
      </c>
      <c r="N94" s="3499">
        <v>10</v>
      </c>
      <c r="O94" s="3497">
        <f t="shared" si="33"/>
        <v>20</v>
      </c>
    </row>
    <row r="95" spans="1:15" x14ac:dyDescent="0.25">
      <c r="A95" s="6843"/>
      <c r="B95" s="6783"/>
      <c r="C95" s="4109" t="s">
        <v>461</v>
      </c>
      <c r="D95" s="4110">
        <v>3</v>
      </c>
      <c r="E95" s="4114">
        <v>0</v>
      </c>
      <c r="F95" s="3497">
        <f>SUM(D95:E95)</f>
        <v>3</v>
      </c>
      <c r="G95" s="3495">
        <v>11</v>
      </c>
      <c r="H95" s="3499">
        <v>8</v>
      </c>
      <c r="I95" s="3497">
        <f>SUM(G95:H95)</f>
        <v>19</v>
      </c>
      <c r="J95" s="3495">
        <v>11</v>
      </c>
      <c r="K95" s="3499">
        <v>8</v>
      </c>
      <c r="L95" s="3497">
        <f>SUM(J95:K95)</f>
        <v>19</v>
      </c>
      <c r="M95" s="3495">
        <v>6</v>
      </c>
      <c r="N95" s="3499">
        <v>2</v>
      </c>
      <c r="O95" s="3497">
        <f t="shared" si="33"/>
        <v>8</v>
      </c>
    </row>
    <row r="96" spans="1:15" x14ac:dyDescent="0.25">
      <c r="A96" s="6843"/>
      <c r="B96" s="6783"/>
      <c r="C96" s="4109" t="s">
        <v>462</v>
      </c>
      <c r="D96" s="4110">
        <v>4</v>
      </c>
      <c r="E96" s="4114">
        <v>0</v>
      </c>
      <c r="F96" s="3497">
        <f>SUM(D96:E96)</f>
        <v>4</v>
      </c>
      <c r="G96" s="3495">
        <v>3</v>
      </c>
      <c r="H96" s="3499">
        <v>5</v>
      </c>
      <c r="I96" s="3497">
        <f>SUM(G96:H96)</f>
        <v>8</v>
      </c>
      <c r="J96" s="3495">
        <v>19</v>
      </c>
      <c r="K96" s="3499">
        <v>5</v>
      </c>
      <c r="L96" s="3497">
        <f>SUM(J96:K96)</f>
        <v>24</v>
      </c>
      <c r="M96" s="3495">
        <v>6</v>
      </c>
      <c r="N96" s="3499">
        <v>1</v>
      </c>
      <c r="O96" s="3497">
        <f t="shared" si="33"/>
        <v>7</v>
      </c>
    </row>
    <row r="97" spans="1:15" x14ac:dyDescent="0.25">
      <c r="A97" s="6843"/>
      <c r="B97" s="6783"/>
      <c r="C97" s="4109" t="s">
        <v>494</v>
      </c>
      <c r="D97" s="4110">
        <v>0</v>
      </c>
      <c r="E97" s="4121">
        <v>0</v>
      </c>
      <c r="F97" s="3497">
        <f>SUM(D97:E97)</f>
        <v>0</v>
      </c>
      <c r="G97" s="3495"/>
      <c r="H97" s="3500">
        <v>3</v>
      </c>
      <c r="I97" s="3497">
        <f>SUM(G97:H97)</f>
        <v>3</v>
      </c>
      <c r="J97" s="3495">
        <v>2</v>
      </c>
      <c r="K97" s="3500">
        <v>3</v>
      </c>
      <c r="L97" s="3497">
        <f>SUM(J97:K97)</f>
        <v>5</v>
      </c>
      <c r="M97" s="3495"/>
      <c r="N97" s="3500">
        <v>1</v>
      </c>
      <c r="O97" s="3497">
        <f t="shared" si="33"/>
        <v>1</v>
      </c>
    </row>
    <row r="98" spans="1:15" x14ac:dyDescent="0.25">
      <c r="A98" s="6843"/>
      <c r="B98" s="6777" t="s">
        <v>1255</v>
      </c>
      <c r="C98" s="4113" t="s">
        <v>160</v>
      </c>
      <c r="D98" s="3526">
        <f t="shared" ref="D98:L98" si="52">SUM(D94:D97)</f>
        <v>8</v>
      </c>
      <c r="E98" s="3527">
        <f t="shared" si="52"/>
        <v>2</v>
      </c>
      <c r="F98" s="3528">
        <f t="shared" si="52"/>
        <v>10</v>
      </c>
      <c r="G98" s="3526">
        <f t="shared" si="52"/>
        <v>22</v>
      </c>
      <c r="H98" s="3527">
        <f t="shared" si="52"/>
        <v>24</v>
      </c>
      <c r="I98" s="3528">
        <f t="shared" si="52"/>
        <v>46</v>
      </c>
      <c r="J98" s="3526">
        <f t="shared" si="52"/>
        <v>50</v>
      </c>
      <c r="K98" s="3527">
        <f t="shared" si="52"/>
        <v>30</v>
      </c>
      <c r="L98" s="3528">
        <f t="shared" si="52"/>
        <v>80</v>
      </c>
      <c r="M98" s="3526">
        <f t="shared" ref="M98" si="53">SUM(M94:M97)</f>
        <v>22</v>
      </c>
      <c r="N98" s="3527">
        <f>SUM(N94:N97)</f>
        <v>14</v>
      </c>
      <c r="O98" s="3528">
        <f t="shared" si="33"/>
        <v>36</v>
      </c>
    </row>
    <row r="99" spans="1:15" x14ac:dyDescent="0.25">
      <c r="A99" s="6844"/>
      <c r="B99" s="6784" t="s">
        <v>444</v>
      </c>
      <c r="C99" s="6785"/>
      <c r="D99" s="4133">
        <f t="shared" ref="D99:L99" si="54">D98+D93+D84</f>
        <v>22</v>
      </c>
      <c r="E99" s="4134">
        <f t="shared" si="54"/>
        <v>12</v>
      </c>
      <c r="F99" s="4135">
        <f t="shared" si="54"/>
        <v>34</v>
      </c>
      <c r="G99" s="3523">
        <f t="shared" si="54"/>
        <v>65</v>
      </c>
      <c r="H99" s="3524">
        <f t="shared" si="54"/>
        <v>54</v>
      </c>
      <c r="I99" s="3525">
        <f t="shared" si="54"/>
        <v>119</v>
      </c>
      <c r="J99" s="3523">
        <f t="shared" si="54"/>
        <v>129</v>
      </c>
      <c r="K99" s="3524">
        <f t="shared" si="54"/>
        <v>76</v>
      </c>
      <c r="L99" s="3525">
        <f t="shared" si="54"/>
        <v>205</v>
      </c>
      <c r="M99" s="3523">
        <f t="shared" ref="M99" si="55">M98+M93+M84</f>
        <v>43</v>
      </c>
      <c r="N99" s="3524">
        <f>N98+N93+N84</f>
        <v>29</v>
      </c>
      <c r="O99" s="3525">
        <f t="shared" si="33"/>
        <v>72</v>
      </c>
    </row>
    <row r="100" spans="1:15" x14ac:dyDescent="0.25">
      <c r="A100" s="4142"/>
      <c r="B100" s="4142"/>
      <c r="C100" s="4143"/>
      <c r="D100" s="4142"/>
      <c r="E100" s="4142"/>
      <c r="F100" s="4142"/>
      <c r="J100" s="3482"/>
      <c r="K100" s="3482"/>
      <c r="L100" s="3482"/>
      <c r="M100" s="3482"/>
      <c r="N100" s="3482"/>
      <c r="O100" s="3482"/>
    </row>
    <row r="101" spans="1:15" x14ac:dyDescent="0.25">
      <c r="A101" s="6792" t="s">
        <v>573</v>
      </c>
      <c r="B101" s="6793" t="s">
        <v>76</v>
      </c>
      <c r="C101" s="6794"/>
      <c r="D101" s="4136">
        <f t="shared" ref="D101:I101" si="56">D99+D77+D69+D39+D25</f>
        <v>63</v>
      </c>
      <c r="E101" s="4137">
        <f t="shared" si="56"/>
        <v>58</v>
      </c>
      <c r="F101" s="4138">
        <f t="shared" si="56"/>
        <v>121</v>
      </c>
      <c r="G101" s="3516">
        <f t="shared" si="56"/>
        <v>217</v>
      </c>
      <c r="H101" s="3517">
        <f t="shared" si="56"/>
        <v>182</v>
      </c>
      <c r="I101" s="3486">
        <f t="shared" si="56"/>
        <v>399</v>
      </c>
      <c r="J101" s="4962">
        <f>J99+J77+J69+J39+J25</f>
        <v>333</v>
      </c>
      <c r="K101" s="4963">
        <f>K99+K77+K69+K39+K25</f>
        <v>252</v>
      </c>
      <c r="L101" s="3486">
        <f>L99+L77+L69+L39+L25</f>
        <v>585</v>
      </c>
      <c r="M101" s="5397">
        <f>M99+M77+M69+M39+M25</f>
        <v>140</v>
      </c>
      <c r="N101" s="5398">
        <f>N99+N77+N69+N39+N25</f>
        <v>114</v>
      </c>
      <c r="O101" s="3486">
        <f t="shared" si="33"/>
        <v>254</v>
      </c>
    </row>
  </sheetData>
  <sheetProtection algorithmName="SHA-512" hashValue="/9Flfe6r7ARKhGKKoc9cYl4K1wASOadYfPj+ZGtjm/cIMzwEPi0VzzIe8vQhcrE9I8vbCMlBt4LO8zm/y2vK4g==" saltValue="bh8kDEkYndw7ZhjCdbox1w==" spinCount="100000" sheet="1" objects="1" scenarios="1"/>
  <mergeCells count="33">
    <mergeCell ref="M3:O3"/>
    <mergeCell ref="J3:L3"/>
    <mergeCell ref="A101:C101"/>
    <mergeCell ref="A78:A99"/>
    <mergeCell ref="B78:B84"/>
    <mergeCell ref="B85:B93"/>
    <mergeCell ref="B94:B98"/>
    <mergeCell ref="B99:C99"/>
    <mergeCell ref="A70:A77"/>
    <mergeCell ref="B70:B71"/>
    <mergeCell ref="B72:B73"/>
    <mergeCell ref="B74:B76"/>
    <mergeCell ref="B77:C77"/>
    <mergeCell ref="A40:A69"/>
    <mergeCell ref="B40:B49"/>
    <mergeCell ref="B50:B61"/>
    <mergeCell ref="B62:B68"/>
    <mergeCell ref="B69:C69"/>
    <mergeCell ref="A26:A39"/>
    <mergeCell ref="B26:B29"/>
    <mergeCell ref="B30:B34"/>
    <mergeCell ref="B35:B38"/>
    <mergeCell ref="B39:C39"/>
    <mergeCell ref="A5:A25"/>
    <mergeCell ref="B5:B15"/>
    <mergeCell ref="B16:B20"/>
    <mergeCell ref="B21:B24"/>
    <mergeCell ref="B25:C25"/>
    <mergeCell ref="G3:I3"/>
    <mergeCell ref="A3:A4"/>
    <mergeCell ref="B3:B4"/>
    <mergeCell ref="C3:C4"/>
    <mergeCell ref="D3:F3"/>
  </mergeCells>
  <printOptions horizontalCentered="1" verticalCentered="1"/>
  <pageMargins left="0.74803149606299213" right="0.74803149606299213" top="0.59055118110236227" bottom="0.59055118110236227" header="0.51181102362204722" footer="0.51181102362204722"/>
  <pageSetup scale="54" orientation="landscape" horizontalDpi="4294967292" verticalDpi="4294967292" r:id="rId1"/>
  <rowBreaks count="1" manualBreakCount="1">
    <brk id="39" max="16383" man="1"/>
  </rowBreaks>
  <ignoredErrors>
    <ignoredError sqref="I61:I73 I93 F15:F20 F34 I29:I34 F61:F72 F93 I20 I15:L15 J20:L20 L29:L34 I49:L49 L71:L93 I84 I16:I19 L16:L19" formula="1"/>
  </ignoredErrors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37"/>
  <sheetViews>
    <sheetView showGridLines="0" zoomScaleNormal="100" workbookViewId="0">
      <selection activeCell="C1" sqref="C1:K1048576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" style="250" bestFit="1" customWidth="1"/>
    <col min="10" max="10" width="9.42578125" style="250" bestFit="1" customWidth="1"/>
    <col min="11" max="11" width="7.7109375" style="250" customWidth="1"/>
    <col min="12" max="12" width="9" style="250" bestFit="1" customWidth="1"/>
    <col min="13" max="13" width="9.42578125" style="250" bestFit="1" customWidth="1"/>
    <col min="14" max="14" width="7.7109375" style="250" customWidth="1"/>
    <col min="15" max="16384" width="11.42578125" style="250"/>
  </cols>
  <sheetData>
    <row r="1" spans="1:14" ht="18.75" x14ac:dyDescent="0.25">
      <c r="A1" s="3702" t="s">
        <v>1264</v>
      </c>
      <c r="B1" s="3534"/>
      <c r="C1" s="3534"/>
    </row>
    <row r="3" spans="1:14" x14ac:dyDescent="0.25">
      <c r="A3" s="6851" t="s">
        <v>16</v>
      </c>
      <c r="B3" s="6851" t="s">
        <v>4</v>
      </c>
      <c r="C3" s="6810">
        <v>2014</v>
      </c>
      <c r="D3" s="6811"/>
      <c r="E3" s="6812"/>
      <c r="F3" s="6810">
        <v>2015</v>
      </c>
      <c r="G3" s="6811"/>
      <c r="H3" s="6812"/>
      <c r="I3" s="6810">
        <v>2016</v>
      </c>
      <c r="J3" s="6811"/>
      <c r="K3" s="6812"/>
      <c r="L3" s="6810">
        <v>2017</v>
      </c>
      <c r="M3" s="6811"/>
      <c r="N3" s="6812"/>
    </row>
    <row r="4" spans="1:14" x14ac:dyDescent="0.25">
      <c r="A4" s="6832"/>
      <c r="B4" s="6832"/>
      <c r="C4" s="4687" t="s">
        <v>1267</v>
      </c>
      <c r="D4" s="4687" t="s">
        <v>659</v>
      </c>
      <c r="E4" s="3477" t="s">
        <v>160</v>
      </c>
      <c r="F4" s="4687" t="s">
        <v>1267</v>
      </c>
      <c r="G4" s="4687" t="s">
        <v>659</v>
      </c>
      <c r="H4" s="3477" t="s">
        <v>160</v>
      </c>
      <c r="I4" s="4687" t="s">
        <v>1267</v>
      </c>
      <c r="J4" s="4687" t="s">
        <v>659</v>
      </c>
      <c r="K4" s="3477" t="s">
        <v>160</v>
      </c>
      <c r="L4" s="4687" t="s">
        <v>1267</v>
      </c>
      <c r="M4" s="4687" t="s">
        <v>659</v>
      </c>
      <c r="N4" s="3477" t="s">
        <v>160</v>
      </c>
    </row>
    <row r="5" spans="1:14" x14ac:dyDescent="0.25">
      <c r="A5" s="3464"/>
      <c r="B5" s="3464"/>
      <c r="C5" s="3464"/>
      <c r="D5" s="3464"/>
      <c r="E5" s="3464"/>
      <c r="F5" s="3464"/>
      <c r="G5" s="3464"/>
      <c r="H5" s="3464"/>
      <c r="I5" s="3464"/>
      <c r="J5" s="3464"/>
      <c r="K5" s="3464"/>
      <c r="L5" s="3464"/>
      <c r="M5" s="3464"/>
      <c r="N5" s="3464"/>
    </row>
    <row r="6" spans="1:14" x14ac:dyDescent="0.25">
      <c r="A6" s="6828" t="s">
        <v>3</v>
      </c>
      <c r="B6" s="3465" t="s">
        <v>5</v>
      </c>
      <c r="C6" s="3466">
        <f>SUM('6 Mov Inter Lic plan'!D15)</f>
        <v>3</v>
      </c>
      <c r="D6" s="3467">
        <f>SUM('6 Mov Inter Lic plan'!E15)</f>
        <v>15</v>
      </c>
      <c r="E6" s="3467">
        <f>SUM(C6:D6)</f>
        <v>18</v>
      </c>
      <c r="F6" s="3466">
        <f>SUM('6 Mov Inter Lic plan'!G15)</f>
        <v>20</v>
      </c>
      <c r="G6" s="3467">
        <f>SUM('6 Mov Inter Lic plan'!H15)</f>
        <v>30</v>
      </c>
      <c r="H6" s="3467">
        <f>SUM(F6:G6)</f>
        <v>50</v>
      </c>
      <c r="I6" s="3466">
        <f>SUM('6 Mov Inter Lic plan'!J15)</f>
        <v>28</v>
      </c>
      <c r="J6" s="3467">
        <f>SUM('6 Mov Inter Lic plan'!K15)</f>
        <v>41</v>
      </c>
      <c r="K6" s="3467">
        <f>SUM(I6:J6)</f>
        <v>69</v>
      </c>
      <c r="L6" s="3466">
        <f>SUM('6 Mov Inter Lic plan'!M15)</f>
        <v>12</v>
      </c>
      <c r="M6" s="3467">
        <f>SUM('6 Mov Inter Lic plan'!N15)</f>
        <v>18</v>
      </c>
      <c r="N6" s="3467">
        <f>SUM(L6:M6)</f>
        <v>30</v>
      </c>
    </row>
    <row r="7" spans="1:14" x14ac:dyDescent="0.25">
      <c r="A7" s="6829"/>
      <c r="B7" s="3468" t="s">
        <v>6</v>
      </c>
      <c r="C7" s="3469">
        <f>+'6 Mov Inter Lic plan'!D20</f>
        <v>4</v>
      </c>
      <c r="D7" s="3470">
        <f>+'6 Mov Inter Lic plan'!E20</f>
        <v>2</v>
      </c>
      <c r="E7" s="3470">
        <f>SUM(C7:D7)</f>
        <v>6</v>
      </c>
      <c r="F7" s="3469">
        <f>+'6 Mov Inter Lic plan'!G20</f>
        <v>38</v>
      </c>
      <c r="G7" s="3470">
        <f>+'6 Mov Inter Lic plan'!H20</f>
        <v>21</v>
      </c>
      <c r="H7" s="3470">
        <f>SUM(F7:G7)</f>
        <v>59</v>
      </c>
      <c r="I7" s="3469">
        <f>+'6 Mov Inter Lic plan'!J20</f>
        <v>29</v>
      </c>
      <c r="J7" s="3470">
        <f>+'6 Mov Inter Lic plan'!K20</f>
        <v>18</v>
      </c>
      <c r="K7" s="3470">
        <f>SUM(I7:J7)</f>
        <v>47</v>
      </c>
      <c r="L7" s="3469">
        <f>+'6 Mov Inter Lic plan'!M20</f>
        <v>16</v>
      </c>
      <c r="M7" s="3470">
        <f>+'6 Mov Inter Lic plan'!N20</f>
        <v>11</v>
      </c>
      <c r="N7" s="3470">
        <f>SUM(L7:M7)</f>
        <v>27</v>
      </c>
    </row>
    <row r="8" spans="1:14" x14ac:dyDescent="0.25">
      <c r="A8" s="6829"/>
      <c r="B8" s="3468" t="s">
        <v>7</v>
      </c>
      <c r="C8" s="3469">
        <f>+'6 Mov Inter Lic plan'!D24</f>
        <v>7</v>
      </c>
      <c r="D8" s="3470">
        <f>+'6 Mov Inter Lic plan'!E24</f>
        <v>5</v>
      </c>
      <c r="E8" s="3470">
        <f>SUM(C8:D8)</f>
        <v>12</v>
      </c>
      <c r="F8" s="3469">
        <f>+'6 Mov Inter Lic plan'!G24</f>
        <v>27</v>
      </c>
      <c r="G8" s="3470">
        <f>+'6 Mov Inter Lic plan'!H24</f>
        <v>19</v>
      </c>
      <c r="H8" s="3470">
        <f>SUM(F8:G8)</f>
        <v>46</v>
      </c>
      <c r="I8" s="3469">
        <f>+'6 Mov Inter Lic plan'!J24</f>
        <v>40</v>
      </c>
      <c r="J8" s="3470">
        <f>+'6 Mov Inter Lic plan'!K24</f>
        <v>20</v>
      </c>
      <c r="K8" s="3470">
        <f>SUM(I8:J8)</f>
        <v>60</v>
      </c>
      <c r="L8" s="3469">
        <f>+'6 Mov Inter Lic plan'!M24</f>
        <v>17</v>
      </c>
      <c r="M8" s="3470">
        <f>+'6 Mov Inter Lic plan'!N24</f>
        <v>10</v>
      </c>
      <c r="N8" s="3470">
        <f>SUM(L8:M8)</f>
        <v>27</v>
      </c>
    </row>
    <row r="9" spans="1:14" x14ac:dyDescent="0.25">
      <c r="A9" s="6830"/>
      <c r="B9" s="2467" t="s">
        <v>160</v>
      </c>
      <c r="C9" s="2468">
        <f t="shared" ref="C9:H9" si="0">SUM(C6:C8)</f>
        <v>14</v>
      </c>
      <c r="D9" s="2469">
        <f t="shared" si="0"/>
        <v>22</v>
      </c>
      <c r="E9" s="2469">
        <f t="shared" si="0"/>
        <v>36</v>
      </c>
      <c r="F9" s="2468">
        <f t="shared" si="0"/>
        <v>85</v>
      </c>
      <c r="G9" s="2469">
        <f t="shared" si="0"/>
        <v>70</v>
      </c>
      <c r="H9" s="2469">
        <f t="shared" si="0"/>
        <v>155</v>
      </c>
      <c r="I9" s="2468">
        <f t="shared" ref="I9:N9" si="1">SUM(I6:I8)</f>
        <v>97</v>
      </c>
      <c r="J9" s="2469">
        <f t="shared" si="1"/>
        <v>79</v>
      </c>
      <c r="K9" s="2469">
        <f t="shared" si="1"/>
        <v>176</v>
      </c>
      <c r="L9" s="2468">
        <f t="shared" si="1"/>
        <v>45</v>
      </c>
      <c r="M9" s="2469">
        <f t="shared" si="1"/>
        <v>39</v>
      </c>
      <c r="N9" s="2469">
        <f t="shared" si="1"/>
        <v>84</v>
      </c>
    </row>
    <row r="10" spans="1:14" x14ac:dyDescent="0.25">
      <c r="A10" s="3471"/>
      <c r="B10" s="3471"/>
      <c r="C10" s="3471"/>
      <c r="D10" s="3471"/>
      <c r="F10" s="3471"/>
      <c r="G10" s="3471"/>
      <c r="I10" s="3471"/>
      <c r="J10" s="3471"/>
      <c r="L10" s="3471"/>
      <c r="M10" s="3471"/>
    </row>
    <row r="11" spans="1:14" x14ac:dyDescent="0.25">
      <c r="A11" s="6813" t="s">
        <v>8</v>
      </c>
      <c r="B11" s="3465" t="s">
        <v>6</v>
      </c>
      <c r="C11" s="3466">
        <f>+'6 Mov Inter Lic plan'!D38</f>
        <v>4</v>
      </c>
      <c r="D11" s="3467">
        <f>+'6 Mov Inter Lic plan'!E38</f>
        <v>2</v>
      </c>
      <c r="E11" s="3467">
        <f>SUM(C11:D11)</f>
        <v>6</v>
      </c>
      <c r="F11" s="3466">
        <f>+'6 Mov Inter Lic plan'!G38</f>
        <v>10</v>
      </c>
      <c r="G11" s="3467">
        <f>+'6 Mov Inter Lic plan'!H38</f>
        <v>4</v>
      </c>
      <c r="H11" s="3467">
        <f>SUM(F11:G11)</f>
        <v>14</v>
      </c>
      <c r="I11" s="3466">
        <f>+'6 Mov Inter Lic plan'!J38</f>
        <v>9</v>
      </c>
      <c r="J11" s="3467">
        <f>+'6 Mov Inter Lic plan'!K38</f>
        <v>11</v>
      </c>
      <c r="K11" s="3467">
        <f>SUM(I11:J11)</f>
        <v>20</v>
      </c>
      <c r="L11" s="3466">
        <f>+'6 Mov Inter Lic plan'!M38</f>
        <v>10</v>
      </c>
      <c r="M11" s="3467">
        <f>+'6 Mov Inter Lic plan'!N38</f>
        <v>7</v>
      </c>
      <c r="N11" s="3467">
        <f>SUM(L11:M11)</f>
        <v>17</v>
      </c>
    </row>
    <row r="12" spans="1:14" x14ac:dyDescent="0.25">
      <c r="A12" s="6814"/>
      <c r="B12" s="3468" t="s">
        <v>9</v>
      </c>
      <c r="C12" s="3469">
        <f>+'6 Mov Inter Lic plan'!D29</f>
        <v>11</v>
      </c>
      <c r="D12" s="3470">
        <f>+'6 Mov Inter Lic plan'!E29</f>
        <v>7</v>
      </c>
      <c r="E12" s="3470">
        <f>SUM(C12:D12)</f>
        <v>18</v>
      </c>
      <c r="F12" s="3469">
        <f>+'6 Mov Inter Lic plan'!G29</f>
        <v>13</v>
      </c>
      <c r="G12" s="3470">
        <f>+'6 Mov Inter Lic plan'!H29</f>
        <v>10</v>
      </c>
      <c r="H12" s="3470">
        <f>SUM(F12:G12)</f>
        <v>23</v>
      </c>
      <c r="I12" s="3469">
        <f>+'6 Mov Inter Lic plan'!J29</f>
        <v>25</v>
      </c>
      <c r="J12" s="3470">
        <f>+'6 Mov Inter Lic plan'!K29</f>
        <v>19</v>
      </c>
      <c r="K12" s="3470">
        <f>SUM(I12:J12)</f>
        <v>44</v>
      </c>
      <c r="L12" s="3469">
        <f>+'6 Mov Inter Lic plan'!M29</f>
        <v>13</v>
      </c>
      <c r="M12" s="3470">
        <f>+'6 Mov Inter Lic plan'!N29</f>
        <v>10</v>
      </c>
      <c r="N12" s="3470">
        <f>SUM(L12:M12)</f>
        <v>23</v>
      </c>
    </row>
    <row r="13" spans="1:14" x14ac:dyDescent="0.25">
      <c r="A13" s="6814"/>
      <c r="B13" s="3468" t="s">
        <v>74</v>
      </c>
      <c r="C13" s="3469">
        <f>+'6 Mov Inter Lic plan'!D34</f>
        <v>4</v>
      </c>
      <c r="D13" s="3470">
        <f>+'6 Mov Inter Lic plan'!E34</f>
        <v>4</v>
      </c>
      <c r="E13" s="3470">
        <f>SUM(C13:D13)</f>
        <v>8</v>
      </c>
      <c r="F13" s="3469">
        <f>+'6 Mov Inter Lic plan'!G34</f>
        <v>4</v>
      </c>
      <c r="G13" s="3470">
        <f>+'6 Mov Inter Lic plan'!H34</f>
        <v>6</v>
      </c>
      <c r="H13" s="3470">
        <f>SUM(F13:G13)</f>
        <v>10</v>
      </c>
      <c r="I13" s="3469">
        <f>+'6 Mov Inter Lic plan'!J34</f>
        <v>7</v>
      </c>
      <c r="J13" s="3470">
        <f>+'6 Mov Inter Lic plan'!K34</f>
        <v>8</v>
      </c>
      <c r="K13" s="3470">
        <f>SUM(I13:J13)</f>
        <v>15</v>
      </c>
      <c r="L13" s="3469">
        <f>+'6 Mov Inter Lic plan'!M34</f>
        <v>7</v>
      </c>
      <c r="M13" s="3470">
        <f>+'6 Mov Inter Lic plan'!N34</f>
        <v>11</v>
      </c>
      <c r="N13" s="3470">
        <f>SUM(L13:M13)</f>
        <v>18</v>
      </c>
    </row>
    <row r="14" spans="1:14" x14ac:dyDescent="0.25">
      <c r="A14" s="6815"/>
      <c r="B14" s="2464" t="s">
        <v>160</v>
      </c>
      <c r="C14" s="2465">
        <f t="shared" ref="C14:H14" si="2">SUM(C11:C13)</f>
        <v>19</v>
      </c>
      <c r="D14" s="2466">
        <f t="shared" si="2"/>
        <v>13</v>
      </c>
      <c r="E14" s="2464">
        <f t="shared" si="2"/>
        <v>32</v>
      </c>
      <c r="F14" s="2465">
        <f t="shared" si="2"/>
        <v>27</v>
      </c>
      <c r="G14" s="2466">
        <f t="shared" si="2"/>
        <v>20</v>
      </c>
      <c r="H14" s="2464">
        <f t="shared" si="2"/>
        <v>47</v>
      </c>
      <c r="I14" s="2465">
        <f t="shared" ref="I14:N14" si="3">SUM(I11:I13)</f>
        <v>41</v>
      </c>
      <c r="J14" s="2466">
        <f t="shared" si="3"/>
        <v>38</v>
      </c>
      <c r="K14" s="2464">
        <f t="shared" si="3"/>
        <v>79</v>
      </c>
      <c r="L14" s="2465">
        <f t="shared" si="3"/>
        <v>30</v>
      </c>
      <c r="M14" s="2466">
        <f t="shared" si="3"/>
        <v>28</v>
      </c>
      <c r="N14" s="2464">
        <f t="shared" si="3"/>
        <v>58</v>
      </c>
    </row>
    <row r="15" spans="1:14" x14ac:dyDescent="0.25">
      <c r="A15" s="3464"/>
      <c r="B15" s="3464"/>
      <c r="C15" s="3472"/>
      <c r="D15" s="3472"/>
      <c r="F15" s="3472"/>
      <c r="G15" s="3472"/>
      <c r="I15" s="3472"/>
      <c r="J15" s="3472"/>
      <c r="L15" s="3472"/>
      <c r="M15" s="3472"/>
    </row>
    <row r="16" spans="1:14" x14ac:dyDescent="0.25">
      <c r="A16" s="6816" t="s">
        <v>75</v>
      </c>
      <c r="B16" s="3465" t="s">
        <v>5</v>
      </c>
      <c r="C16" s="3466">
        <f>+'6 Mov Inter Lic plan'!D49</f>
        <v>1</v>
      </c>
      <c r="D16" s="3467">
        <f>+'6 Mov Inter Lic plan'!E49</f>
        <v>2</v>
      </c>
      <c r="E16" s="3467">
        <f>SUM(C16:D16)</f>
        <v>3</v>
      </c>
      <c r="F16" s="3466">
        <f>+'6 Mov Inter Lic plan'!G49</f>
        <v>7</v>
      </c>
      <c r="G16" s="3467">
        <f>+'6 Mov Inter Lic plan'!H49</f>
        <v>17</v>
      </c>
      <c r="H16" s="3467">
        <f>SUM(F16:G16)</f>
        <v>24</v>
      </c>
      <c r="I16" s="3466">
        <f>+'6 Mov Inter Lic plan'!J49</f>
        <v>8</v>
      </c>
      <c r="J16" s="3467">
        <f>+'6 Mov Inter Lic plan'!K49</f>
        <v>15</v>
      </c>
      <c r="K16" s="3467">
        <f>SUM(I16:J16)</f>
        <v>23</v>
      </c>
      <c r="L16" s="3466">
        <f>+'6 Mov Inter Lic plan'!M49</f>
        <v>3</v>
      </c>
      <c r="M16" s="3467">
        <f>+'6 Mov Inter Lic plan'!N49</f>
        <v>3</v>
      </c>
      <c r="N16" s="3467">
        <f>SUM(L16:M16)</f>
        <v>6</v>
      </c>
    </row>
    <row r="17" spans="1:14" x14ac:dyDescent="0.25">
      <c r="A17" s="6817"/>
      <c r="B17" s="3468" t="s">
        <v>6</v>
      </c>
      <c r="C17" s="3469">
        <f>+'6 Mov Inter Lic plan'!D61</f>
        <v>4</v>
      </c>
      <c r="D17" s="3470">
        <f>+'6 Mov Inter Lic plan'!E61</f>
        <v>7</v>
      </c>
      <c r="E17" s="3470">
        <f>SUM(C17:D17)</f>
        <v>11</v>
      </c>
      <c r="F17" s="3469">
        <f>+'6 Mov Inter Lic plan'!G61</f>
        <v>20</v>
      </c>
      <c r="G17" s="3470">
        <f>+'6 Mov Inter Lic plan'!H61</f>
        <v>9</v>
      </c>
      <c r="H17" s="3470">
        <f>SUM(F17:G17)</f>
        <v>29</v>
      </c>
      <c r="I17" s="3469">
        <f>+'6 Mov Inter Lic plan'!J61</f>
        <v>20</v>
      </c>
      <c r="J17" s="3470">
        <f>+'6 Mov Inter Lic plan'!K61</f>
        <v>24</v>
      </c>
      <c r="K17" s="3470">
        <f>SUM(I17:J17)</f>
        <v>44</v>
      </c>
      <c r="L17" s="3469">
        <f>+'6 Mov Inter Lic plan'!M61</f>
        <v>10</v>
      </c>
      <c r="M17" s="3470">
        <f>+'6 Mov Inter Lic plan'!N61</f>
        <v>7</v>
      </c>
      <c r="N17" s="3470">
        <f>SUM(L17:M17)</f>
        <v>17</v>
      </c>
    </row>
    <row r="18" spans="1:14" x14ac:dyDescent="0.25">
      <c r="A18" s="6817"/>
      <c r="B18" s="3468" t="s">
        <v>11</v>
      </c>
      <c r="C18" s="3469">
        <f>+'6 Mov Inter Lic plan'!D68</f>
        <v>1</v>
      </c>
      <c r="D18" s="3470">
        <f>+'6 Mov Inter Lic plan'!E68</f>
        <v>0</v>
      </c>
      <c r="E18" s="3470">
        <f>SUM(C18:D18)</f>
        <v>1</v>
      </c>
      <c r="F18" s="3469">
        <f>+'6 Mov Inter Lic plan'!G68</f>
        <v>9</v>
      </c>
      <c r="G18" s="3470">
        <f>+'6 Mov Inter Lic plan'!H68</f>
        <v>7</v>
      </c>
      <c r="H18" s="3470">
        <f>SUM(F18:G18)</f>
        <v>16</v>
      </c>
      <c r="I18" s="3469">
        <f>+'6 Mov Inter Lic plan'!J68</f>
        <v>17</v>
      </c>
      <c r="J18" s="3470">
        <f>+'6 Mov Inter Lic plan'!K68</f>
        <v>9</v>
      </c>
      <c r="K18" s="3470">
        <f>SUM(I18:J18)</f>
        <v>26</v>
      </c>
      <c r="L18" s="3469">
        <f>+'6 Mov Inter Lic plan'!M68</f>
        <v>7</v>
      </c>
      <c r="M18" s="3470">
        <f>+'6 Mov Inter Lic plan'!N68</f>
        <v>4</v>
      </c>
      <c r="N18" s="3470">
        <f>SUM(L18:M18)</f>
        <v>11</v>
      </c>
    </row>
    <row r="19" spans="1:14" x14ac:dyDescent="0.25">
      <c r="A19" s="6818"/>
      <c r="B19" s="2461" t="s">
        <v>160</v>
      </c>
      <c r="C19" s="2462">
        <f t="shared" ref="C19:H19" si="4">SUM(C16:C18)</f>
        <v>6</v>
      </c>
      <c r="D19" s="2463">
        <f t="shared" si="4"/>
        <v>9</v>
      </c>
      <c r="E19" s="2463">
        <f t="shared" si="4"/>
        <v>15</v>
      </c>
      <c r="F19" s="2462">
        <f t="shared" si="4"/>
        <v>36</v>
      </c>
      <c r="G19" s="2463">
        <f t="shared" si="4"/>
        <v>33</v>
      </c>
      <c r="H19" s="2463">
        <f t="shared" si="4"/>
        <v>69</v>
      </c>
      <c r="I19" s="2462">
        <f t="shared" ref="I19:N19" si="5">SUM(I16:I18)</f>
        <v>45</v>
      </c>
      <c r="J19" s="2463">
        <f t="shared" si="5"/>
        <v>48</v>
      </c>
      <c r="K19" s="2463">
        <f t="shared" si="5"/>
        <v>93</v>
      </c>
      <c r="L19" s="2462">
        <f t="shared" si="5"/>
        <v>20</v>
      </c>
      <c r="M19" s="2463">
        <f t="shared" si="5"/>
        <v>14</v>
      </c>
      <c r="N19" s="2463">
        <f t="shared" si="5"/>
        <v>34</v>
      </c>
    </row>
    <row r="21" spans="1:14" x14ac:dyDescent="0.25">
      <c r="A21" s="6825" t="s">
        <v>325</v>
      </c>
      <c r="B21" s="3465" t="s">
        <v>5</v>
      </c>
      <c r="C21" s="3466">
        <f>+'6 Mov Inter Lic plan'!D71</f>
        <v>1</v>
      </c>
      <c r="D21" s="3467">
        <f>+'6 Mov Inter Lic plan'!E71</f>
        <v>0</v>
      </c>
      <c r="E21" s="3467">
        <f>SUM(C21:D21)</f>
        <v>1</v>
      </c>
      <c r="F21" s="3466">
        <f>+'6 Mov Inter Lic plan'!G71</f>
        <v>1</v>
      </c>
      <c r="G21" s="3467">
        <f>+'6 Mov Inter Lic plan'!H71</f>
        <v>4</v>
      </c>
      <c r="H21" s="3467">
        <f>SUM(F21:G21)</f>
        <v>5</v>
      </c>
      <c r="I21" s="3466">
        <f>+'6 Mov Inter Lic plan'!J71</f>
        <v>13</v>
      </c>
      <c r="J21" s="3467">
        <f>+'6 Mov Inter Lic plan'!K71</f>
        <v>2</v>
      </c>
      <c r="K21" s="3467">
        <f>SUM(I21:J21)</f>
        <v>15</v>
      </c>
      <c r="L21" s="3466">
        <f>+'6 Mov Inter Lic plan'!M71</f>
        <v>1</v>
      </c>
      <c r="M21" s="3467">
        <f>+'6 Mov Inter Lic plan'!N71</f>
        <v>1</v>
      </c>
      <c r="N21" s="3467">
        <f>SUM(L21:M21)</f>
        <v>2</v>
      </c>
    </row>
    <row r="22" spans="1:14" x14ac:dyDescent="0.25">
      <c r="A22" s="6826"/>
      <c r="B22" s="3468" t="s">
        <v>6</v>
      </c>
      <c r="C22" s="3469">
        <f>+'6 Mov Inter Lic plan'!D73</f>
        <v>1</v>
      </c>
      <c r="D22" s="3470">
        <f>+'6 Mov Inter Lic plan'!E73</f>
        <v>2</v>
      </c>
      <c r="E22" s="3470">
        <f>SUM(C22:D22)</f>
        <v>3</v>
      </c>
      <c r="F22" s="3469">
        <f>+'6 Mov Inter Lic plan'!G73</f>
        <v>0</v>
      </c>
      <c r="G22" s="3470">
        <f>+'6 Mov Inter Lic plan'!H73</f>
        <v>1</v>
      </c>
      <c r="H22" s="3470">
        <f>SUM(F22:G22)</f>
        <v>1</v>
      </c>
      <c r="I22" s="3469">
        <f>+'6 Mov Inter Lic plan'!J73</f>
        <v>0</v>
      </c>
      <c r="J22" s="3470">
        <f>+'6 Mov Inter Lic plan'!K73</f>
        <v>0</v>
      </c>
      <c r="K22" s="3470">
        <f>SUM(I22:J22)</f>
        <v>0</v>
      </c>
      <c r="L22" s="3469">
        <f>+'6 Mov Inter Lic plan'!M73</f>
        <v>0</v>
      </c>
      <c r="M22" s="3470">
        <f>+'6 Mov Inter Lic plan'!N73</f>
        <v>1</v>
      </c>
      <c r="N22" s="3470">
        <f>SUM(L22:M22)</f>
        <v>1</v>
      </c>
    </row>
    <row r="23" spans="1:14" x14ac:dyDescent="0.25">
      <c r="A23" s="6826"/>
      <c r="B23" s="3468" t="s">
        <v>11</v>
      </c>
      <c r="C23" s="3469">
        <f>+'6 Mov Inter Lic plan'!D76</f>
        <v>0</v>
      </c>
      <c r="D23" s="3470">
        <f>+'6 Mov Inter Lic plan'!E76</f>
        <v>0</v>
      </c>
      <c r="E23" s="3470">
        <f>SUM(C23:D23)</f>
        <v>0</v>
      </c>
      <c r="F23" s="3469">
        <f>+'6 Mov Inter Lic plan'!G76</f>
        <v>3</v>
      </c>
      <c r="G23" s="3470">
        <f>+'6 Mov Inter Lic plan'!H76</f>
        <v>0</v>
      </c>
      <c r="H23" s="3470">
        <f>SUM(F23:G23)</f>
        <v>3</v>
      </c>
      <c r="I23" s="3469">
        <f>+'6 Mov Inter Lic plan'!J76</f>
        <v>8</v>
      </c>
      <c r="J23" s="3470">
        <f>+'6 Mov Inter Lic plan'!K76</f>
        <v>9</v>
      </c>
      <c r="K23" s="3470">
        <f>SUM(I23:J23)</f>
        <v>17</v>
      </c>
      <c r="L23" s="3469">
        <f>+'6 Mov Inter Lic plan'!M76</f>
        <v>1</v>
      </c>
      <c r="M23" s="3470">
        <f>+'6 Mov Inter Lic plan'!N76</f>
        <v>2</v>
      </c>
      <c r="N23" s="3470">
        <f>SUM(L23:M23)</f>
        <v>3</v>
      </c>
    </row>
    <row r="24" spans="1:14" x14ac:dyDescent="0.25">
      <c r="A24" s="6827"/>
      <c r="B24" s="3479" t="s">
        <v>160</v>
      </c>
      <c r="C24" s="3480">
        <f t="shared" ref="C24:H24" si="6">SUM(C21:C23)</f>
        <v>2</v>
      </c>
      <c r="D24" s="3481">
        <f t="shared" si="6"/>
        <v>2</v>
      </c>
      <c r="E24" s="3481">
        <f t="shared" si="6"/>
        <v>4</v>
      </c>
      <c r="F24" s="3480">
        <f t="shared" si="6"/>
        <v>4</v>
      </c>
      <c r="G24" s="3481">
        <f t="shared" si="6"/>
        <v>5</v>
      </c>
      <c r="H24" s="3481">
        <f t="shared" si="6"/>
        <v>9</v>
      </c>
      <c r="I24" s="3480">
        <f t="shared" ref="I24:N24" si="7">SUM(I21:I23)</f>
        <v>21</v>
      </c>
      <c r="J24" s="3481">
        <f t="shared" si="7"/>
        <v>11</v>
      </c>
      <c r="K24" s="3481">
        <f t="shared" si="7"/>
        <v>32</v>
      </c>
      <c r="L24" s="3480">
        <f t="shared" si="7"/>
        <v>2</v>
      </c>
      <c r="M24" s="3481">
        <f t="shared" si="7"/>
        <v>4</v>
      </c>
      <c r="N24" s="3481">
        <f t="shared" si="7"/>
        <v>6</v>
      </c>
    </row>
    <row r="25" spans="1:14" x14ac:dyDescent="0.25">
      <c r="A25" s="1501"/>
      <c r="B25" s="3464"/>
      <c r="C25" s="3472"/>
      <c r="D25" s="3472"/>
      <c r="F25" s="3472"/>
      <c r="G25" s="3472"/>
      <c r="I25" s="3472"/>
      <c r="J25" s="3472"/>
      <c r="L25" s="3472"/>
      <c r="M25" s="3472"/>
    </row>
    <row r="26" spans="1:14" x14ac:dyDescent="0.25">
      <c r="A26" s="6819" t="s">
        <v>10</v>
      </c>
      <c r="B26" s="3465" t="s">
        <v>6</v>
      </c>
      <c r="C26" s="3466">
        <f>+'6 Mov Inter Lic plan'!D84</f>
        <v>7</v>
      </c>
      <c r="D26" s="3467">
        <f>+'6 Mov Inter Lic plan'!E84</f>
        <v>8</v>
      </c>
      <c r="E26" s="3467">
        <f>SUM(C26:D26)</f>
        <v>15</v>
      </c>
      <c r="F26" s="3466">
        <f>+'6 Mov Inter Lic plan'!G84</f>
        <v>27</v>
      </c>
      <c r="G26" s="3467">
        <f>+'6 Mov Inter Lic plan'!H84</f>
        <v>15</v>
      </c>
      <c r="H26" s="3467">
        <f>SUM(F26:G26)</f>
        <v>42</v>
      </c>
      <c r="I26" s="3466">
        <f>+'6 Mov Inter Lic plan'!J84</f>
        <v>46</v>
      </c>
      <c r="J26" s="3467">
        <f>+'6 Mov Inter Lic plan'!K84</f>
        <v>32</v>
      </c>
      <c r="K26" s="3467">
        <f>SUM(I26:J26)</f>
        <v>78</v>
      </c>
      <c r="L26" s="3466">
        <f>+'6 Mov Inter Lic plan'!M84</f>
        <v>10</v>
      </c>
      <c r="M26" s="3467">
        <f>+'6 Mov Inter Lic plan'!N84</f>
        <v>5</v>
      </c>
      <c r="N26" s="3467">
        <f>SUM(L26:M26)</f>
        <v>15</v>
      </c>
    </row>
    <row r="27" spans="1:14" x14ac:dyDescent="0.25">
      <c r="A27" s="6820"/>
      <c r="B27" s="3468" t="s">
        <v>11</v>
      </c>
      <c r="C27" s="3469">
        <f>+'6 Mov Inter Lic plan'!D93</f>
        <v>7</v>
      </c>
      <c r="D27" s="3470">
        <f>+'6 Mov Inter Lic plan'!E93</f>
        <v>2</v>
      </c>
      <c r="E27" s="3470">
        <f>SUM(C27:D27)</f>
        <v>9</v>
      </c>
      <c r="F27" s="3469">
        <f>+'6 Mov Inter Lic plan'!G93</f>
        <v>16</v>
      </c>
      <c r="G27" s="3470">
        <f>+'6 Mov Inter Lic plan'!H93</f>
        <v>15</v>
      </c>
      <c r="H27" s="3470">
        <f>SUM(F27:G27)</f>
        <v>31</v>
      </c>
      <c r="I27" s="3469">
        <f>+'6 Mov Inter Lic plan'!J93</f>
        <v>33</v>
      </c>
      <c r="J27" s="3470">
        <f>+'6 Mov Inter Lic plan'!K93</f>
        <v>14</v>
      </c>
      <c r="K27" s="3470">
        <f>SUM(I27:J27)</f>
        <v>47</v>
      </c>
      <c r="L27" s="3469">
        <f>+'6 Mov Inter Lic plan'!M93</f>
        <v>11</v>
      </c>
      <c r="M27" s="3470">
        <f>+'6 Mov Inter Lic plan'!N93</f>
        <v>10</v>
      </c>
      <c r="N27" s="3470">
        <f>SUM(L27:M27)</f>
        <v>21</v>
      </c>
    </row>
    <row r="28" spans="1:14" x14ac:dyDescent="0.25">
      <c r="A28" s="6820"/>
      <c r="B28" s="3468" t="s">
        <v>7</v>
      </c>
      <c r="C28" s="3469">
        <f>+'6 Mov Inter Lic plan'!D98</f>
        <v>8</v>
      </c>
      <c r="D28" s="3470">
        <f>+'6 Mov Inter Lic plan'!E98</f>
        <v>2</v>
      </c>
      <c r="E28" s="3470">
        <f>SUM(C28:D28)</f>
        <v>10</v>
      </c>
      <c r="F28" s="3469">
        <f>+'6 Mov Inter Lic plan'!G98</f>
        <v>22</v>
      </c>
      <c r="G28" s="3470">
        <f>+'6 Mov Inter Lic plan'!H98</f>
        <v>24</v>
      </c>
      <c r="H28" s="3470">
        <f>SUM(F28:G28)</f>
        <v>46</v>
      </c>
      <c r="I28" s="3469">
        <f>+'6 Mov Inter Lic plan'!J98</f>
        <v>50</v>
      </c>
      <c r="J28" s="3470">
        <f>+'6 Mov Inter Lic plan'!K98</f>
        <v>30</v>
      </c>
      <c r="K28" s="3470">
        <f>SUM(I28:J28)</f>
        <v>80</v>
      </c>
      <c r="L28" s="3469">
        <f>+'6 Mov Inter Lic plan'!M98</f>
        <v>22</v>
      </c>
      <c r="M28" s="3470">
        <f>+'6 Mov Inter Lic plan'!N98</f>
        <v>14</v>
      </c>
      <c r="N28" s="3470">
        <f>SUM(L28:M28)</f>
        <v>36</v>
      </c>
    </row>
    <row r="29" spans="1:14" x14ac:dyDescent="0.25">
      <c r="A29" s="6821"/>
      <c r="B29" s="2458" t="s">
        <v>160</v>
      </c>
      <c r="C29" s="2459">
        <f t="shared" ref="C29:H29" si="8">SUM(C26:C28)</f>
        <v>22</v>
      </c>
      <c r="D29" s="2460">
        <f t="shared" si="8"/>
        <v>12</v>
      </c>
      <c r="E29" s="2460">
        <f t="shared" si="8"/>
        <v>34</v>
      </c>
      <c r="F29" s="2459">
        <f t="shared" si="8"/>
        <v>65</v>
      </c>
      <c r="G29" s="2460">
        <f t="shared" si="8"/>
        <v>54</v>
      </c>
      <c r="H29" s="2460">
        <f t="shared" si="8"/>
        <v>119</v>
      </c>
      <c r="I29" s="2459">
        <f t="shared" ref="I29:N29" si="9">SUM(I26:I28)</f>
        <v>129</v>
      </c>
      <c r="J29" s="2460">
        <f t="shared" si="9"/>
        <v>76</v>
      </c>
      <c r="K29" s="2460">
        <f t="shared" si="9"/>
        <v>205</v>
      </c>
      <c r="L29" s="2459">
        <f t="shared" si="9"/>
        <v>43</v>
      </c>
      <c r="M29" s="2460">
        <f t="shared" si="9"/>
        <v>29</v>
      </c>
      <c r="N29" s="2460">
        <f t="shared" si="9"/>
        <v>72</v>
      </c>
    </row>
    <row r="30" spans="1:14" x14ac:dyDescent="0.25">
      <c r="A30" s="3464"/>
      <c r="B30" s="3464"/>
      <c r="C30" s="3472"/>
      <c r="D30" s="3472"/>
      <c r="E30" s="3472"/>
      <c r="F30" s="3472"/>
      <c r="G30" s="3472"/>
      <c r="H30" s="3472"/>
      <c r="I30" s="3472"/>
      <c r="J30" s="3472"/>
      <c r="K30" s="3472"/>
      <c r="L30" s="3472"/>
      <c r="M30" s="3472"/>
      <c r="N30" s="3472"/>
    </row>
    <row r="31" spans="1:14" x14ac:dyDescent="0.25">
      <c r="A31" s="6822" t="s">
        <v>60</v>
      </c>
      <c r="B31" s="3465" t="s">
        <v>5</v>
      </c>
      <c r="C31" s="3466">
        <f t="shared" ref="C31:K31" si="10">SUM(C6,C16,C21)</f>
        <v>5</v>
      </c>
      <c r="D31" s="3467">
        <f t="shared" si="10"/>
        <v>17</v>
      </c>
      <c r="E31" s="3465">
        <f t="shared" si="10"/>
        <v>22</v>
      </c>
      <c r="F31" s="3466">
        <f t="shared" si="10"/>
        <v>28</v>
      </c>
      <c r="G31" s="3467">
        <f t="shared" si="10"/>
        <v>51</v>
      </c>
      <c r="H31" s="3465">
        <f t="shared" si="10"/>
        <v>79</v>
      </c>
      <c r="I31" s="3466">
        <f t="shared" si="10"/>
        <v>49</v>
      </c>
      <c r="J31" s="3467">
        <f t="shared" si="10"/>
        <v>58</v>
      </c>
      <c r="K31" s="3465">
        <f t="shared" si="10"/>
        <v>107</v>
      </c>
      <c r="L31" s="3466">
        <f t="shared" ref="L31:N31" si="11">SUM(L6,L16,L21)</f>
        <v>16</v>
      </c>
      <c r="M31" s="3467">
        <f t="shared" si="11"/>
        <v>22</v>
      </c>
      <c r="N31" s="3465">
        <f t="shared" si="11"/>
        <v>38</v>
      </c>
    </row>
    <row r="32" spans="1:14" x14ac:dyDescent="0.25">
      <c r="A32" s="6823"/>
      <c r="B32" s="3468" t="s">
        <v>6</v>
      </c>
      <c r="C32" s="3469">
        <f t="shared" ref="C32:K32" si="12">SUM(C7,C11,C17,C22,C26)</f>
        <v>20</v>
      </c>
      <c r="D32" s="3470">
        <f t="shared" si="12"/>
        <v>21</v>
      </c>
      <c r="E32" s="3468">
        <f t="shared" si="12"/>
        <v>41</v>
      </c>
      <c r="F32" s="3469">
        <f t="shared" si="12"/>
        <v>95</v>
      </c>
      <c r="G32" s="3470">
        <f t="shared" si="12"/>
        <v>50</v>
      </c>
      <c r="H32" s="3468">
        <f t="shared" si="12"/>
        <v>145</v>
      </c>
      <c r="I32" s="3469">
        <f t="shared" si="12"/>
        <v>104</v>
      </c>
      <c r="J32" s="3470">
        <f t="shared" si="12"/>
        <v>85</v>
      </c>
      <c r="K32" s="3468">
        <f t="shared" si="12"/>
        <v>189</v>
      </c>
      <c r="L32" s="3469">
        <f t="shared" ref="L32:N32" si="13">SUM(L7,L11,L17,L22,L26)</f>
        <v>46</v>
      </c>
      <c r="M32" s="3470">
        <f t="shared" si="13"/>
        <v>31</v>
      </c>
      <c r="N32" s="3468">
        <f t="shared" si="13"/>
        <v>77</v>
      </c>
    </row>
    <row r="33" spans="1:14" x14ac:dyDescent="0.25">
      <c r="A33" s="6823"/>
      <c r="B33" s="3468" t="s">
        <v>11</v>
      </c>
      <c r="C33" s="3469">
        <f t="shared" ref="C33:K33" si="14">SUM(C18,C23,C27)</f>
        <v>8</v>
      </c>
      <c r="D33" s="3470">
        <f t="shared" si="14"/>
        <v>2</v>
      </c>
      <c r="E33" s="3468">
        <f t="shared" si="14"/>
        <v>10</v>
      </c>
      <c r="F33" s="3469">
        <f t="shared" si="14"/>
        <v>28</v>
      </c>
      <c r="G33" s="3470">
        <f t="shared" si="14"/>
        <v>22</v>
      </c>
      <c r="H33" s="3468">
        <f t="shared" si="14"/>
        <v>50</v>
      </c>
      <c r="I33" s="3469">
        <f t="shared" si="14"/>
        <v>58</v>
      </c>
      <c r="J33" s="3470">
        <f t="shared" si="14"/>
        <v>32</v>
      </c>
      <c r="K33" s="3468">
        <f t="shared" si="14"/>
        <v>90</v>
      </c>
      <c r="L33" s="3469">
        <f t="shared" ref="L33:N33" si="15">SUM(L18,L23,L27)</f>
        <v>19</v>
      </c>
      <c r="M33" s="3470">
        <f t="shared" si="15"/>
        <v>16</v>
      </c>
      <c r="N33" s="3468">
        <f t="shared" si="15"/>
        <v>35</v>
      </c>
    </row>
    <row r="34" spans="1:14" x14ac:dyDescent="0.25">
      <c r="A34" s="6823"/>
      <c r="B34" s="3468" t="s">
        <v>7</v>
      </c>
      <c r="C34" s="3469">
        <f t="shared" ref="C34:K34" si="16">SUM(C8,C28)</f>
        <v>15</v>
      </c>
      <c r="D34" s="3470">
        <f t="shared" si="16"/>
        <v>7</v>
      </c>
      <c r="E34" s="3468">
        <f t="shared" si="16"/>
        <v>22</v>
      </c>
      <c r="F34" s="3469">
        <f t="shared" si="16"/>
        <v>49</v>
      </c>
      <c r="G34" s="3470">
        <f t="shared" si="16"/>
        <v>43</v>
      </c>
      <c r="H34" s="3468">
        <f t="shared" si="16"/>
        <v>92</v>
      </c>
      <c r="I34" s="3469">
        <f t="shared" si="16"/>
        <v>90</v>
      </c>
      <c r="J34" s="3470">
        <f t="shared" si="16"/>
        <v>50</v>
      </c>
      <c r="K34" s="3468">
        <f t="shared" si="16"/>
        <v>140</v>
      </c>
      <c r="L34" s="3469">
        <f t="shared" ref="L34:N34" si="17">SUM(L8,L28)</f>
        <v>39</v>
      </c>
      <c r="M34" s="3470">
        <f t="shared" si="17"/>
        <v>24</v>
      </c>
      <c r="N34" s="3468">
        <f t="shared" si="17"/>
        <v>63</v>
      </c>
    </row>
    <row r="35" spans="1:14" x14ac:dyDescent="0.25">
      <c r="A35" s="6823"/>
      <c r="B35" s="3468" t="s">
        <v>9</v>
      </c>
      <c r="C35" s="3469">
        <f t="shared" ref="C35:K35" si="18">SUM(C12)</f>
        <v>11</v>
      </c>
      <c r="D35" s="3470">
        <f t="shared" si="18"/>
        <v>7</v>
      </c>
      <c r="E35" s="3468">
        <f t="shared" si="18"/>
        <v>18</v>
      </c>
      <c r="F35" s="3469">
        <f t="shared" si="18"/>
        <v>13</v>
      </c>
      <c r="G35" s="3470">
        <f t="shared" si="18"/>
        <v>10</v>
      </c>
      <c r="H35" s="3468">
        <f t="shared" si="18"/>
        <v>23</v>
      </c>
      <c r="I35" s="3469">
        <f t="shared" si="18"/>
        <v>25</v>
      </c>
      <c r="J35" s="3470">
        <f t="shared" si="18"/>
        <v>19</v>
      </c>
      <c r="K35" s="3468">
        <f t="shared" si="18"/>
        <v>44</v>
      </c>
      <c r="L35" s="3469">
        <f t="shared" ref="L35:N35" si="19">SUM(L12)</f>
        <v>13</v>
      </c>
      <c r="M35" s="3470">
        <f t="shared" si="19"/>
        <v>10</v>
      </c>
      <c r="N35" s="3468">
        <f t="shared" si="19"/>
        <v>23</v>
      </c>
    </row>
    <row r="36" spans="1:14" x14ac:dyDescent="0.25">
      <c r="A36" s="6823"/>
      <c r="B36" s="3468" t="s">
        <v>74</v>
      </c>
      <c r="C36" s="3473">
        <f t="shared" ref="C36:K36" si="20">SUM(C13)</f>
        <v>4</v>
      </c>
      <c r="D36" s="3474">
        <f t="shared" si="20"/>
        <v>4</v>
      </c>
      <c r="E36" s="3475">
        <f t="shared" si="20"/>
        <v>8</v>
      </c>
      <c r="F36" s="3473">
        <f t="shared" si="20"/>
        <v>4</v>
      </c>
      <c r="G36" s="3474">
        <f t="shared" si="20"/>
        <v>6</v>
      </c>
      <c r="H36" s="3475">
        <f t="shared" si="20"/>
        <v>10</v>
      </c>
      <c r="I36" s="3473">
        <f t="shared" si="20"/>
        <v>7</v>
      </c>
      <c r="J36" s="3474">
        <f t="shared" si="20"/>
        <v>8</v>
      </c>
      <c r="K36" s="3475">
        <f t="shared" si="20"/>
        <v>15</v>
      </c>
      <c r="L36" s="3473">
        <f t="shared" ref="L36:N36" si="21">SUM(L13)</f>
        <v>7</v>
      </c>
      <c r="M36" s="3474">
        <f t="shared" si="21"/>
        <v>11</v>
      </c>
      <c r="N36" s="3475">
        <f t="shared" si="21"/>
        <v>18</v>
      </c>
    </row>
    <row r="37" spans="1:14" x14ac:dyDescent="0.25">
      <c r="A37" s="6824"/>
      <c r="B37" s="1662" t="s">
        <v>160</v>
      </c>
      <c r="C37" s="1662">
        <f t="shared" ref="C37:K37" si="22">SUM(C31:C36)</f>
        <v>63</v>
      </c>
      <c r="D37" s="1663">
        <f t="shared" si="22"/>
        <v>58</v>
      </c>
      <c r="E37" s="3476">
        <f t="shared" si="22"/>
        <v>121</v>
      </c>
      <c r="F37" s="1662">
        <f t="shared" si="22"/>
        <v>217</v>
      </c>
      <c r="G37" s="1663">
        <f t="shared" si="22"/>
        <v>182</v>
      </c>
      <c r="H37" s="3476">
        <f t="shared" si="22"/>
        <v>399</v>
      </c>
      <c r="I37" s="1662">
        <f t="shared" si="22"/>
        <v>333</v>
      </c>
      <c r="J37" s="1663">
        <f t="shared" si="22"/>
        <v>252</v>
      </c>
      <c r="K37" s="3476">
        <f t="shared" si="22"/>
        <v>585</v>
      </c>
      <c r="L37" s="1662">
        <f t="shared" ref="L37:N37" si="23">SUM(L31:L36)</f>
        <v>140</v>
      </c>
      <c r="M37" s="1663">
        <f t="shared" si="23"/>
        <v>114</v>
      </c>
      <c r="N37" s="3476">
        <f t="shared" si="23"/>
        <v>254</v>
      </c>
    </row>
  </sheetData>
  <sheetProtection algorithmName="SHA-512" hashValue="qYfmh+VbUlq+ifDBDPPuzcuaZrV+Vw3SsZQPNyCufuPAgx1NMLGI0f8NLm5AAt5FTOY0v4Y8TbLtOgGAwiAMdQ==" saltValue="XBSOK2JHzYsMCHLv0o7QXg==" spinCount="100000" sheet="1" objects="1" scenarios="1"/>
  <mergeCells count="12">
    <mergeCell ref="L3:N3"/>
    <mergeCell ref="I3:K3"/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U93"/>
  <sheetViews>
    <sheetView showGridLines="0" zoomScaleNormal="100" zoomScaleSheetLayoutView="70" workbookViewId="0">
      <pane xSplit="2" ySplit="5" topLeftCell="Y27" activePane="bottomRight" state="frozen"/>
      <selection sqref="A1:E1"/>
      <selection pane="topRight" sqref="A1:E1"/>
      <selection pane="bottomLeft" sqref="A1:E1"/>
      <selection pane="bottomRight" activeCell="AS37" sqref="AS37:AT37"/>
    </sheetView>
  </sheetViews>
  <sheetFormatPr baseColWidth="10" defaultRowHeight="12.75" x14ac:dyDescent="0.2"/>
  <cols>
    <col min="1" max="1" width="13.140625" style="184" customWidth="1"/>
    <col min="2" max="2" width="9.140625" style="184" bestFit="1" customWidth="1"/>
    <col min="3" max="47" width="8.7109375" style="184" customWidth="1"/>
    <col min="48" max="255" width="11.42578125" style="184"/>
    <col min="256" max="256" width="0.28515625" style="184" customWidth="1"/>
    <col min="257" max="257" width="23.7109375" style="184" customWidth="1"/>
    <col min="258" max="258" width="13" style="184" customWidth="1"/>
    <col min="259" max="260" width="9.7109375" style="184" bestFit="1" customWidth="1"/>
    <col min="261" max="261" width="10.7109375" style="184" customWidth="1"/>
    <col min="262" max="263" width="9.7109375" style="184" bestFit="1" customWidth="1"/>
    <col min="264" max="264" width="10.7109375" style="184" customWidth="1"/>
    <col min="265" max="266" width="9.7109375" style="184" bestFit="1" customWidth="1"/>
    <col min="267" max="267" width="10.7109375" style="184" customWidth="1"/>
    <col min="268" max="269" width="9.7109375" style="184" bestFit="1" customWidth="1"/>
    <col min="270" max="270" width="10.7109375" style="184" customWidth="1"/>
    <col min="271" max="272" width="9.7109375" style="184" bestFit="1" customWidth="1"/>
    <col min="273" max="273" width="10.7109375" style="184" customWidth="1"/>
    <col min="274" max="274" width="9.140625" style="184" bestFit="1" customWidth="1"/>
    <col min="275" max="275" width="9.7109375" style="184" bestFit="1" customWidth="1"/>
    <col min="276" max="276" width="10.7109375" style="184" customWidth="1"/>
    <col min="277" max="278" width="9.7109375" style="184" bestFit="1" customWidth="1"/>
    <col min="279" max="279" width="10.7109375" style="184" customWidth="1"/>
    <col min="280" max="280" width="9.7109375" style="184" bestFit="1" customWidth="1"/>
    <col min="281" max="281" width="7.28515625" style="184" bestFit="1" customWidth="1"/>
    <col min="282" max="282" width="10.7109375" style="184" customWidth="1"/>
    <col min="283" max="511" width="11.42578125" style="184"/>
    <col min="512" max="512" width="0.28515625" style="184" customWidth="1"/>
    <col min="513" max="513" width="23.7109375" style="184" customWidth="1"/>
    <col min="514" max="514" width="13" style="184" customWidth="1"/>
    <col min="515" max="516" width="9.7109375" style="184" bestFit="1" customWidth="1"/>
    <col min="517" max="517" width="10.7109375" style="184" customWidth="1"/>
    <col min="518" max="519" width="9.7109375" style="184" bestFit="1" customWidth="1"/>
    <col min="520" max="520" width="10.7109375" style="184" customWidth="1"/>
    <col min="521" max="522" width="9.7109375" style="184" bestFit="1" customWidth="1"/>
    <col min="523" max="523" width="10.7109375" style="184" customWidth="1"/>
    <col min="524" max="525" width="9.7109375" style="184" bestFit="1" customWidth="1"/>
    <col min="526" max="526" width="10.7109375" style="184" customWidth="1"/>
    <col min="527" max="528" width="9.7109375" style="184" bestFit="1" customWidth="1"/>
    <col min="529" max="529" width="10.7109375" style="184" customWidth="1"/>
    <col min="530" max="530" width="9.140625" style="184" bestFit="1" customWidth="1"/>
    <col min="531" max="531" width="9.7109375" style="184" bestFit="1" customWidth="1"/>
    <col min="532" max="532" width="10.7109375" style="184" customWidth="1"/>
    <col min="533" max="534" width="9.7109375" style="184" bestFit="1" customWidth="1"/>
    <col min="535" max="535" width="10.7109375" style="184" customWidth="1"/>
    <col min="536" max="536" width="9.7109375" style="184" bestFit="1" customWidth="1"/>
    <col min="537" max="537" width="7.28515625" style="184" bestFit="1" customWidth="1"/>
    <col min="538" max="538" width="10.7109375" style="184" customWidth="1"/>
    <col min="539" max="767" width="11.42578125" style="184"/>
    <col min="768" max="768" width="0.28515625" style="184" customWidth="1"/>
    <col min="769" max="769" width="23.7109375" style="184" customWidth="1"/>
    <col min="770" max="770" width="13" style="184" customWidth="1"/>
    <col min="771" max="772" width="9.7109375" style="184" bestFit="1" customWidth="1"/>
    <col min="773" max="773" width="10.7109375" style="184" customWidth="1"/>
    <col min="774" max="775" width="9.7109375" style="184" bestFit="1" customWidth="1"/>
    <col min="776" max="776" width="10.7109375" style="184" customWidth="1"/>
    <col min="777" max="778" width="9.7109375" style="184" bestFit="1" customWidth="1"/>
    <col min="779" max="779" width="10.7109375" style="184" customWidth="1"/>
    <col min="780" max="781" width="9.7109375" style="184" bestFit="1" customWidth="1"/>
    <col min="782" max="782" width="10.7109375" style="184" customWidth="1"/>
    <col min="783" max="784" width="9.7109375" style="184" bestFit="1" customWidth="1"/>
    <col min="785" max="785" width="10.7109375" style="184" customWidth="1"/>
    <col min="786" max="786" width="9.140625" style="184" bestFit="1" customWidth="1"/>
    <col min="787" max="787" width="9.7109375" style="184" bestFit="1" customWidth="1"/>
    <col min="788" max="788" width="10.7109375" style="184" customWidth="1"/>
    <col min="789" max="790" width="9.7109375" style="184" bestFit="1" customWidth="1"/>
    <col min="791" max="791" width="10.7109375" style="184" customWidth="1"/>
    <col min="792" max="792" width="9.7109375" style="184" bestFit="1" customWidth="1"/>
    <col min="793" max="793" width="7.28515625" style="184" bestFit="1" customWidth="1"/>
    <col min="794" max="794" width="10.7109375" style="184" customWidth="1"/>
    <col min="795" max="1023" width="11.42578125" style="184"/>
    <col min="1024" max="1024" width="0.28515625" style="184" customWidth="1"/>
    <col min="1025" max="1025" width="23.7109375" style="184" customWidth="1"/>
    <col min="1026" max="1026" width="13" style="184" customWidth="1"/>
    <col min="1027" max="1028" width="9.7109375" style="184" bestFit="1" customWidth="1"/>
    <col min="1029" max="1029" width="10.7109375" style="184" customWidth="1"/>
    <col min="1030" max="1031" width="9.7109375" style="184" bestFit="1" customWidth="1"/>
    <col min="1032" max="1032" width="10.7109375" style="184" customWidth="1"/>
    <col min="1033" max="1034" width="9.7109375" style="184" bestFit="1" customWidth="1"/>
    <col min="1035" max="1035" width="10.7109375" style="184" customWidth="1"/>
    <col min="1036" max="1037" width="9.7109375" style="184" bestFit="1" customWidth="1"/>
    <col min="1038" max="1038" width="10.7109375" style="184" customWidth="1"/>
    <col min="1039" max="1040" width="9.7109375" style="184" bestFit="1" customWidth="1"/>
    <col min="1041" max="1041" width="10.7109375" style="184" customWidth="1"/>
    <col min="1042" max="1042" width="9.140625" style="184" bestFit="1" customWidth="1"/>
    <col min="1043" max="1043" width="9.7109375" style="184" bestFit="1" customWidth="1"/>
    <col min="1044" max="1044" width="10.7109375" style="184" customWidth="1"/>
    <col min="1045" max="1046" width="9.7109375" style="184" bestFit="1" customWidth="1"/>
    <col min="1047" max="1047" width="10.7109375" style="184" customWidth="1"/>
    <col min="1048" max="1048" width="9.7109375" style="184" bestFit="1" customWidth="1"/>
    <col min="1049" max="1049" width="7.28515625" style="184" bestFit="1" customWidth="1"/>
    <col min="1050" max="1050" width="10.7109375" style="184" customWidth="1"/>
    <col min="1051" max="1279" width="11.42578125" style="184"/>
    <col min="1280" max="1280" width="0.28515625" style="184" customWidth="1"/>
    <col min="1281" max="1281" width="23.7109375" style="184" customWidth="1"/>
    <col min="1282" max="1282" width="13" style="184" customWidth="1"/>
    <col min="1283" max="1284" width="9.7109375" style="184" bestFit="1" customWidth="1"/>
    <col min="1285" max="1285" width="10.7109375" style="184" customWidth="1"/>
    <col min="1286" max="1287" width="9.7109375" style="184" bestFit="1" customWidth="1"/>
    <col min="1288" max="1288" width="10.7109375" style="184" customWidth="1"/>
    <col min="1289" max="1290" width="9.7109375" style="184" bestFit="1" customWidth="1"/>
    <col min="1291" max="1291" width="10.7109375" style="184" customWidth="1"/>
    <col min="1292" max="1293" width="9.7109375" style="184" bestFit="1" customWidth="1"/>
    <col min="1294" max="1294" width="10.7109375" style="184" customWidth="1"/>
    <col min="1295" max="1296" width="9.7109375" style="184" bestFit="1" customWidth="1"/>
    <col min="1297" max="1297" width="10.7109375" style="184" customWidth="1"/>
    <col min="1298" max="1298" width="9.140625" style="184" bestFit="1" customWidth="1"/>
    <col min="1299" max="1299" width="9.7109375" style="184" bestFit="1" customWidth="1"/>
    <col min="1300" max="1300" width="10.7109375" style="184" customWidth="1"/>
    <col min="1301" max="1302" width="9.7109375" style="184" bestFit="1" customWidth="1"/>
    <col min="1303" max="1303" width="10.7109375" style="184" customWidth="1"/>
    <col min="1304" max="1304" width="9.7109375" style="184" bestFit="1" customWidth="1"/>
    <col min="1305" max="1305" width="7.28515625" style="184" bestFit="1" customWidth="1"/>
    <col min="1306" max="1306" width="10.7109375" style="184" customWidth="1"/>
    <col min="1307" max="1535" width="11.42578125" style="184"/>
    <col min="1536" max="1536" width="0.28515625" style="184" customWidth="1"/>
    <col min="1537" max="1537" width="23.7109375" style="184" customWidth="1"/>
    <col min="1538" max="1538" width="13" style="184" customWidth="1"/>
    <col min="1539" max="1540" width="9.7109375" style="184" bestFit="1" customWidth="1"/>
    <col min="1541" max="1541" width="10.7109375" style="184" customWidth="1"/>
    <col min="1542" max="1543" width="9.7109375" style="184" bestFit="1" customWidth="1"/>
    <col min="1544" max="1544" width="10.7109375" style="184" customWidth="1"/>
    <col min="1545" max="1546" width="9.7109375" style="184" bestFit="1" customWidth="1"/>
    <col min="1547" max="1547" width="10.7109375" style="184" customWidth="1"/>
    <col min="1548" max="1549" width="9.7109375" style="184" bestFit="1" customWidth="1"/>
    <col min="1550" max="1550" width="10.7109375" style="184" customWidth="1"/>
    <col min="1551" max="1552" width="9.7109375" style="184" bestFit="1" customWidth="1"/>
    <col min="1553" max="1553" width="10.7109375" style="184" customWidth="1"/>
    <col min="1554" max="1554" width="9.140625" style="184" bestFit="1" customWidth="1"/>
    <col min="1555" max="1555" width="9.7109375" style="184" bestFit="1" customWidth="1"/>
    <col min="1556" max="1556" width="10.7109375" style="184" customWidth="1"/>
    <col min="1557" max="1558" width="9.7109375" style="184" bestFit="1" customWidth="1"/>
    <col min="1559" max="1559" width="10.7109375" style="184" customWidth="1"/>
    <col min="1560" max="1560" width="9.7109375" style="184" bestFit="1" customWidth="1"/>
    <col min="1561" max="1561" width="7.28515625" style="184" bestFit="1" customWidth="1"/>
    <col min="1562" max="1562" width="10.7109375" style="184" customWidth="1"/>
    <col min="1563" max="1791" width="11.42578125" style="184"/>
    <col min="1792" max="1792" width="0.28515625" style="184" customWidth="1"/>
    <col min="1793" max="1793" width="23.7109375" style="184" customWidth="1"/>
    <col min="1794" max="1794" width="13" style="184" customWidth="1"/>
    <col min="1795" max="1796" width="9.7109375" style="184" bestFit="1" customWidth="1"/>
    <col min="1797" max="1797" width="10.7109375" style="184" customWidth="1"/>
    <col min="1798" max="1799" width="9.7109375" style="184" bestFit="1" customWidth="1"/>
    <col min="1800" max="1800" width="10.7109375" style="184" customWidth="1"/>
    <col min="1801" max="1802" width="9.7109375" style="184" bestFit="1" customWidth="1"/>
    <col min="1803" max="1803" width="10.7109375" style="184" customWidth="1"/>
    <col min="1804" max="1805" width="9.7109375" style="184" bestFit="1" customWidth="1"/>
    <col min="1806" max="1806" width="10.7109375" style="184" customWidth="1"/>
    <col min="1807" max="1808" width="9.7109375" style="184" bestFit="1" customWidth="1"/>
    <col min="1809" max="1809" width="10.7109375" style="184" customWidth="1"/>
    <col min="1810" max="1810" width="9.140625" style="184" bestFit="1" customWidth="1"/>
    <col min="1811" max="1811" width="9.7109375" style="184" bestFit="1" customWidth="1"/>
    <col min="1812" max="1812" width="10.7109375" style="184" customWidth="1"/>
    <col min="1813" max="1814" width="9.7109375" style="184" bestFit="1" customWidth="1"/>
    <col min="1815" max="1815" width="10.7109375" style="184" customWidth="1"/>
    <col min="1816" max="1816" width="9.7109375" style="184" bestFit="1" customWidth="1"/>
    <col min="1817" max="1817" width="7.28515625" style="184" bestFit="1" customWidth="1"/>
    <col min="1818" max="1818" width="10.7109375" style="184" customWidth="1"/>
    <col min="1819" max="2047" width="11.42578125" style="184"/>
    <col min="2048" max="2048" width="0.28515625" style="184" customWidth="1"/>
    <col min="2049" max="2049" width="23.7109375" style="184" customWidth="1"/>
    <col min="2050" max="2050" width="13" style="184" customWidth="1"/>
    <col min="2051" max="2052" width="9.7109375" style="184" bestFit="1" customWidth="1"/>
    <col min="2053" max="2053" width="10.7109375" style="184" customWidth="1"/>
    <col min="2054" max="2055" width="9.7109375" style="184" bestFit="1" customWidth="1"/>
    <col min="2056" max="2056" width="10.7109375" style="184" customWidth="1"/>
    <col min="2057" max="2058" width="9.7109375" style="184" bestFit="1" customWidth="1"/>
    <col min="2059" max="2059" width="10.7109375" style="184" customWidth="1"/>
    <col min="2060" max="2061" width="9.7109375" style="184" bestFit="1" customWidth="1"/>
    <col min="2062" max="2062" width="10.7109375" style="184" customWidth="1"/>
    <col min="2063" max="2064" width="9.7109375" style="184" bestFit="1" customWidth="1"/>
    <col min="2065" max="2065" width="10.7109375" style="184" customWidth="1"/>
    <col min="2066" max="2066" width="9.140625" style="184" bestFit="1" customWidth="1"/>
    <col min="2067" max="2067" width="9.7109375" style="184" bestFit="1" customWidth="1"/>
    <col min="2068" max="2068" width="10.7109375" style="184" customWidth="1"/>
    <col min="2069" max="2070" width="9.7109375" style="184" bestFit="1" customWidth="1"/>
    <col min="2071" max="2071" width="10.7109375" style="184" customWidth="1"/>
    <col min="2072" max="2072" width="9.7109375" style="184" bestFit="1" customWidth="1"/>
    <col min="2073" max="2073" width="7.28515625" style="184" bestFit="1" customWidth="1"/>
    <col min="2074" max="2074" width="10.7109375" style="184" customWidth="1"/>
    <col min="2075" max="2303" width="11.42578125" style="184"/>
    <col min="2304" max="2304" width="0.28515625" style="184" customWidth="1"/>
    <col min="2305" max="2305" width="23.7109375" style="184" customWidth="1"/>
    <col min="2306" max="2306" width="13" style="184" customWidth="1"/>
    <col min="2307" max="2308" width="9.7109375" style="184" bestFit="1" customWidth="1"/>
    <col min="2309" max="2309" width="10.7109375" style="184" customWidth="1"/>
    <col min="2310" max="2311" width="9.7109375" style="184" bestFit="1" customWidth="1"/>
    <col min="2312" max="2312" width="10.7109375" style="184" customWidth="1"/>
    <col min="2313" max="2314" width="9.7109375" style="184" bestFit="1" customWidth="1"/>
    <col min="2315" max="2315" width="10.7109375" style="184" customWidth="1"/>
    <col min="2316" max="2317" width="9.7109375" style="184" bestFit="1" customWidth="1"/>
    <col min="2318" max="2318" width="10.7109375" style="184" customWidth="1"/>
    <col min="2319" max="2320" width="9.7109375" style="184" bestFit="1" customWidth="1"/>
    <col min="2321" max="2321" width="10.7109375" style="184" customWidth="1"/>
    <col min="2322" max="2322" width="9.140625" style="184" bestFit="1" customWidth="1"/>
    <col min="2323" max="2323" width="9.7109375" style="184" bestFit="1" customWidth="1"/>
    <col min="2324" max="2324" width="10.7109375" style="184" customWidth="1"/>
    <col min="2325" max="2326" width="9.7109375" style="184" bestFit="1" customWidth="1"/>
    <col min="2327" max="2327" width="10.7109375" style="184" customWidth="1"/>
    <col min="2328" max="2328" width="9.7109375" style="184" bestFit="1" customWidth="1"/>
    <col min="2329" max="2329" width="7.28515625" style="184" bestFit="1" customWidth="1"/>
    <col min="2330" max="2330" width="10.7109375" style="184" customWidth="1"/>
    <col min="2331" max="2559" width="11.42578125" style="184"/>
    <col min="2560" max="2560" width="0.28515625" style="184" customWidth="1"/>
    <col min="2561" max="2561" width="23.7109375" style="184" customWidth="1"/>
    <col min="2562" max="2562" width="13" style="184" customWidth="1"/>
    <col min="2563" max="2564" width="9.7109375" style="184" bestFit="1" customWidth="1"/>
    <col min="2565" max="2565" width="10.7109375" style="184" customWidth="1"/>
    <col min="2566" max="2567" width="9.7109375" style="184" bestFit="1" customWidth="1"/>
    <col min="2568" max="2568" width="10.7109375" style="184" customWidth="1"/>
    <col min="2569" max="2570" width="9.7109375" style="184" bestFit="1" customWidth="1"/>
    <col min="2571" max="2571" width="10.7109375" style="184" customWidth="1"/>
    <col min="2572" max="2573" width="9.7109375" style="184" bestFit="1" customWidth="1"/>
    <col min="2574" max="2574" width="10.7109375" style="184" customWidth="1"/>
    <col min="2575" max="2576" width="9.7109375" style="184" bestFit="1" customWidth="1"/>
    <col min="2577" max="2577" width="10.7109375" style="184" customWidth="1"/>
    <col min="2578" max="2578" width="9.140625" style="184" bestFit="1" customWidth="1"/>
    <col min="2579" max="2579" width="9.7109375" style="184" bestFit="1" customWidth="1"/>
    <col min="2580" max="2580" width="10.7109375" style="184" customWidth="1"/>
    <col min="2581" max="2582" width="9.7109375" style="184" bestFit="1" customWidth="1"/>
    <col min="2583" max="2583" width="10.7109375" style="184" customWidth="1"/>
    <col min="2584" max="2584" width="9.7109375" style="184" bestFit="1" customWidth="1"/>
    <col min="2585" max="2585" width="7.28515625" style="184" bestFit="1" customWidth="1"/>
    <col min="2586" max="2586" width="10.7109375" style="184" customWidth="1"/>
    <col min="2587" max="2815" width="11.42578125" style="184"/>
    <col min="2816" max="2816" width="0.28515625" style="184" customWidth="1"/>
    <col min="2817" max="2817" width="23.7109375" style="184" customWidth="1"/>
    <col min="2818" max="2818" width="13" style="184" customWidth="1"/>
    <col min="2819" max="2820" width="9.7109375" style="184" bestFit="1" customWidth="1"/>
    <col min="2821" max="2821" width="10.7109375" style="184" customWidth="1"/>
    <col min="2822" max="2823" width="9.7109375" style="184" bestFit="1" customWidth="1"/>
    <col min="2824" max="2824" width="10.7109375" style="184" customWidth="1"/>
    <col min="2825" max="2826" width="9.7109375" style="184" bestFit="1" customWidth="1"/>
    <col min="2827" max="2827" width="10.7109375" style="184" customWidth="1"/>
    <col min="2828" max="2829" width="9.7109375" style="184" bestFit="1" customWidth="1"/>
    <col min="2830" max="2830" width="10.7109375" style="184" customWidth="1"/>
    <col min="2831" max="2832" width="9.7109375" style="184" bestFit="1" customWidth="1"/>
    <col min="2833" max="2833" width="10.7109375" style="184" customWidth="1"/>
    <col min="2834" max="2834" width="9.140625" style="184" bestFit="1" customWidth="1"/>
    <col min="2835" max="2835" width="9.7109375" style="184" bestFit="1" customWidth="1"/>
    <col min="2836" max="2836" width="10.7109375" style="184" customWidth="1"/>
    <col min="2837" max="2838" width="9.7109375" style="184" bestFit="1" customWidth="1"/>
    <col min="2839" max="2839" width="10.7109375" style="184" customWidth="1"/>
    <col min="2840" max="2840" width="9.7109375" style="184" bestFit="1" customWidth="1"/>
    <col min="2841" max="2841" width="7.28515625" style="184" bestFit="1" customWidth="1"/>
    <col min="2842" max="2842" width="10.7109375" style="184" customWidth="1"/>
    <col min="2843" max="3071" width="11.42578125" style="184"/>
    <col min="3072" max="3072" width="0.28515625" style="184" customWidth="1"/>
    <col min="3073" max="3073" width="23.7109375" style="184" customWidth="1"/>
    <col min="3074" max="3074" width="13" style="184" customWidth="1"/>
    <col min="3075" max="3076" width="9.7109375" style="184" bestFit="1" customWidth="1"/>
    <col min="3077" max="3077" width="10.7109375" style="184" customWidth="1"/>
    <col min="3078" max="3079" width="9.7109375" style="184" bestFit="1" customWidth="1"/>
    <col min="3080" max="3080" width="10.7109375" style="184" customWidth="1"/>
    <col min="3081" max="3082" width="9.7109375" style="184" bestFit="1" customWidth="1"/>
    <col min="3083" max="3083" width="10.7109375" style="184" customWidth="1"/>
    <col min="3084" max="3085" width="9.7109375" style="184" bestFit="1" customWidth="1"/>
    <col min="3086" max="3086" width="10.7109375" style="184" customWidth="1"/>
    <col min="3087" max="3088" width="9.7109375" style="184" bestFit="1" customWidth="1"/>
    <col min="3089" max="3089" width="10.7109375" style="184" customWidth="1"/>
    <col min="3090" max="3090" width="9.140625" style="184" bestFit="1" customWidth="1"/>
    <col min="3091" max="3091" width="9.7109375" style="184" bestFit="1" customWidth="1"/>
    <col min="3092" max="3092" width="10.7109375" style="184" customWidth="1"/>
    <col min="3093" max="3094" width="9.7109375" style="184" bestFit="1" customWidth="1"/>
    <col min="3095" max="3095" width="10.7109375" style="184" customWidth="1"/>
    <col min="3096" max="3096" width="9.7109375" style="184" bestFit="1" customWidth="1"/>
    <col min="3097" max="3097" width="7.28515625" style="184" bestFit="1" customWidth="1"/>
    <col min="3098" max="3098" width="10.7109375" style="184" customWidth="1"/>
    <col min="3099" max="3327" width="11.42578125" style="184"/>
    <col min="3328" max="3328" width="0.28515625" style="184" customWidth="1"/>
    <col min="3329" max="3329" width="23.7109375" style="184" customWidth="1"/>
    <col min="3330" max="3330" width="13" style="184" customWidth="1"/>
    <col min="3331" max="3332" width="9.7109375" style="184" bestFit="1" customWidth="1"/>
    <col min="3333" max="3333" width="10.7109375" style="184" customWidth="1"/>
    <col min="3334" max="3335" width="9.7109375" style="184" bestFit="1" customWidth="1"/>
    <col min="3336" max="3336" width="10.7109375" style="184" customWidth="1"/>
    <col min="3337" max="3338" width="9.7109375" style="184" bestFit="1" customWidth="1"/>
    <col min="3339" max="3339" width="10.7109375" style="184" customWidth="1"/>
    <col min="3340" max="3341" width="9.7109375" style="184" bestFit="1" customWidth="1"/>
    <col min="3342" max="3342" width="10.7109375" style="184" customWidth="1"/>
    <col min="3343" max="3344" width="9.7109375" style="184" bestFit="1" customWidth="1"/>
    <col min="3345" max="3345" width="10.7109375" style="184" customWidth="1"/>
    <col min="3346" max="3346" width="9.140625" style="184" bestFit="1" customWidth="1"/>
    <col min="3347" max="3347" width="9.7109375" style="184" bestFit="1" customWidth="1"/>
    <col min="3348" max="3348" width="10.7109375" style="184" customWidth="1"/>
    <col min="3349" max="3350" width="9.7109375" style="184" bestFit="1" customWidth="1"/>
    <col min="3351" max="3351" width="10.7109375" style="184" customWidth="1"/>
    <col min="3352" max="3352" width="9.7109375" style="184" bestFit="1" customWidth="1"/>
    <col min="3353" max="3353" width="7.28515625" style="184" bestFit="1" customWidth="1"/>
    <col min="3354" max="3354" width="10.7109375" style="184" customWidth="1"/>
    <col min="3355" max="3583" width="11.42578125" style="184"/>
    <col min="3584" max="3584" width="0.28515625" style="184" customWidth="1"/>
    <col min="3585" max="3585" width="23.7109375" style="184" customWidth="1"/>
    <col min="3586" max="3586" width="13" style="184" customWidth="1"/>
    <col min="3587" max="3588" width="9.7109375" style="184" bestFit="1" customWidth="1"/>
    <col min="3589" max="3589" width="10.7109375" style="184" customWidth="1"/>
    <col min="3590" max="3591" width="9.7109375" style="184" bestFit="1" customWidth="1"/>
    <col min="3592" max="3592" width="10.7109375" style="184" customWidth="1"/>
    <col min="3593" max="3594" width="9.7109375" style="184" bestFit="1" customWidth="1"/>
    <col min="3595" max="3595" width="10.7109375" style="184" customWidth="1"/>
    <col min="3596" max="3597" width="9.7109375" style="184" bestFit="1" customWidth="1"/>
    <col min="3598" max="3598" width="10.7109375" style="184" customWidth="1"/>
    <col min="3599" max="3600" width="9.7109375" style="184" bestFit="1" customWidth="1"/>
    <col min="3601" max="3601" width="10.7109375" style="184" customWidth="1"/>
    <col min="3602" max="3602" width="9.140625" style="184" bestFit="1" customWidth="1"/>
    <col min="3603" max="3603" width="9.7109375" style="184" bestFit="1" customWidth="1"/>
    <col min="3604" max="3604" width="10.7109375" style="184" customWidth="1"/>
    <col min="3605" max="3606" width="9.7109375" style="184" bestFit="1" customWidth="1"/>
    <col min="3607" max="3607" width="10.7109375" style="184" customWidth="1"/>
    <col min="3608" max="3608" width="9.7109375" style="184" bestFit="1" customWidth="1"/>
    <col min="3609" max="3609" width="7.28515625" style="184" bestFit="1" customWidth="1"/>
    <col min="3610" max="3610" width="10.7109375" style="184" customWidth="1"/>
    <col min="3611" max="3839" width="11.42578125" style="184"/>
    <col min="3840" max="3840" width="0.28515625" style="184" customWidth="1"/>
    <col min="3841" max="3841" width="23.7109375" style="184" customWidth="1"/>
    <col min="3842" max="3842" width="13" style="184" customWidth="1"/>
    <col min="3843" max="3844" width="9.7109375" style="184" bestFit="1" customWidth="1"/>
    <col min="3845" max="3845" width="10.7109375" style="184" customWidth="1"/>
    <col min="3846" max="3847" width="9.7109375" style="184" bestFit="1" customWidth="1"/>
    <col min="3848" max="3848" width="10.7109375" style="184" customWidth="1"/>
    <col min="3849" max="3850" width="9.7109375" style="184" bestFit="1" customWidth="1"/>
    <col min="3851" max="3851" width="10.7109375" style="184" customWidth="1"/>
    <col min="3852" max="3853" width="9.7109375" style="184" bestFit="1" customWidth="1"/>
    <col min="3854" max="3854" width="10.7109375" style="184" customWidth="1"/>
    <col min="3855" max="3856" width="9.7109375" style="184" bestFit="1" customWidth="1"/>
    <col min="3857" max="3857" width="10.7109375" style="184" customWidth="1"/>
    <col min="3858" max="3858" width="9.140625" style="184" bestFit="1" customWidth="1"/>
    <col min="3859" max="3859" width="9.7109375" style="184" bestFit="1" customWidth="1"/>
    <col min="3860" max="3860" width="10.7109375" style="184" customWidth="1"/>
    <col min="3861" max="3862" width="9.7109375" style="184" bestFit="1" customWidth="1"/>
    <col min="3863" max="3863" width="10.7109375" style="184" customWidth="1"/>
    <col min="3864" max="3864" width="9.7109375" style="184" bestFit="1" customWidth="1"/>
    <col min="3865" max="3865" width="7.28515625" style="184" bestFit="1" customWidth="1"/>
    <col min="3866" max="3866" width="10.7109375" style="184" customWidth="1"/>
    <col min="3867" max="4095" width="11.42578125" style="184"/>
    <col min="4096" max="4096" width="0.28515625" style="184" customWidth="1"/>
    <col min="4097" max="4097" width="23.7109375" style="184" customWidth="1"/>
    <col min="4098" max="4098" width="13" style="184" customWidth="1"/>
    <col min="4099" max="4100" width="9.7109375" style="184" bestFit="1" customWidth="1"/>
    <col min="4101" max="4101" width="10.7109375" style="184" customWidth="1"/>
    <col min="4102" max="4103" width="9.7109375" style="184" bestFit="1" customWidth="1"/>
    <col min="4104" max="4104" width="10.7109375" style="184" customWidth="1"/>
    <col min="4105" max="4106" width="9.7109375" style="184" bestFit="1" customWidth="1"/>
    <col min="4107" max="4107" width="10.7109375" style="184" customWidth="1"/>
    <col min="4108" max="4109" width="9.7109375" style="184" bestFit="1" customWidth="1"/>
    <col min="4110" max="4110" width="10.7109375" style="184" customWidth="1"/>
    <col min="4111" max="4112" width="9.7109375" style="184" bestFit="1" customWidth="1"/>
    <col min="4113" max="4113" width="10.7109375" style="184" customWidth="1"/>
    <col min="4114" max="4114" width="9.140625" style="184" bestFit="1" customWidth="1"/>
    <col min="4115" max="4115" width="9.7109375" style="184" bestFit="1" customWidth="1"/>
    <col min="4116" max="4116" width="10.7109375" style="184" customWidth="1"/>
    <col min="4117" max="4118" width="9.7109375" style="184" bestFit="1" customWidth="1"/>
    <col min="4119" max="4119" width="10.7109375" style="184" customWidth="1"/>
    <col min="4120" max="4120" width="9.7109375" style="184" bestFit="1" customWidth="1"/>
    <col min="4121" max="4121" width="7.28515625" style="184" bestFit="1" customWidth="1"/>
    <col min="4122" max="4122" width="10.7109375" style="184" customWidth="1"/>
    <col min="4123" max="4351" width="11.42578125" style="184"/>
    <col min="4352" max="4352" width="0.28515625" style="184" customWidth="1"/>
    <col min="4353" max="4353" width="23.7109375" style="184" customWidth="1"/>
    <col min="4354" max="4354" width="13" style="184" customWidth="1"/>
    <col min="4355" max="4356" width="9.7109375" style="184" bestFit="1" customWidth="1"/>
    <col min="4357" max="4357" width="10.7109375" style="184" customWidth="1"/>
    <col min="4358" max="4359" width="9.7109375" style="184" bestFit="1" customWidth="1"/>
    <col min="4360" max="4360" width="10.7109375" style="184" customWidth="1"/>
    <col min="4361" max="4362" width="9.7109375" style="184" bestFit="1" customWidth="1"/>
    <col min="4363" max="4363" width="10.7109375" style="184" customWidth="1"/>
    <col min="4364" max="4365" width="9.7109375" style="184" bestFit="1" customWidth="1"/>
    <col min="4366" max="4366" width="10.7109375" style="184" customWidth="1"/>
    <col min="4367" max="4368" width="9.7109375" style="184" bestFit="1" customWidth="1"/>
    <col min="4369" max="4369" width="10.7109375" style="184" customWidth="1"/>
    <col min="4370" max="4370" width="9.140625" style="184" bestFit="1" customWidth="1"/>
    <col min="4371" max="4371" width="9.7109375" style="184" bestFit="1" customWidth="1"/>
    <col min="4372" max="4372" width="10.7109375" style="184" customWidth="1"/>
    <col min="4373" max="4374" width="9.7109375" style="184" bestFit="1" customWidth="1"/>
    <col min="4375" max="4375" width="10.7109375" style="184" customWidth="1"/>
    <col min="4376" max="4376" width="9.7109375" style="184" bestFit="1" customWidth="1"/>
    <col min="4377" max="4377" width="7.28515625" style="184" bestFit="1" customWidth="1"/>
    <col min="4378" max="4378" width="10.7109375" style="184" customWidth="1"/>
    <col min="4379" max="4607" width="11.42578125" style="184"/>
    <col min="4608" max="4608" width="0.28515625" style="184" customWidth="1"/>
    <col min="4609" max="4609" width="23.7109375" style="184" customWidth="1"/>
    <col min="4610" max="4610" width="13" style="184" customWidth="1"/>
    <col min="4611" max="4612" width="9.7109375" style="184" bestFit="1" customWidth="1"/>
    <col min="4613" max="4613" width="10.7109375" style="184" customWidth="1"/>
    <col min="4614" max="4615" width="9.7109375" style="184" bestFit="1" customWidth="1"/>
    <col min="4616" max="4616" width="10.7109375" style="184" customWidth="1"/>
    <col min="4617" max="4618" width="9.7109375" style="184" bestFit="1" customWidth="1"/>
    <col min="4619" max="4619" width="10.7109375" style="184" customWidth="1"/>
    <col min="4620" max="4621" width="9.7109375" style="184" bestFit="1" customWidth="1"/>
    <col min="4622" max="4622" width="10.7109375" style="184" customWidth="1"/>
    <col min="4623" max="4624" width="9.7109375" style="184" bestFit="1" customWidth="1"/>
    <col min="4625" max="4625" width="10.7109375" style="184" customWidth="1"/>
    <col min="4626" max="4626" width="9.140625" style="184" bestFit="1" customWidth="1"/>
    <col min="4627" max="4627" width="9.7109375" style="184" bestFit="1" customWidth="1"/>
    <col min="4628" max="4628" width="10.7109375" style="184" customWidth="1"/>
    <col min="4629" max="4630" width="9.7109375" style="184" bestFit="1" customWidth="1"/>
    <col min="4631" max="4631" width="10.7109375" style="184" customWidth="1"/>
    <col min="4632" max="4632" width="9.7109375" style="184" bestFit="1" customWidth="1"/>
    <col min="4633" max="4633" width="7.28515625" style="184" bestFit="1" customWidth="1"/>
    <col min="4634" max="4634" width="10.7109375" style="184" customWidth="1"/>
    <col min="4635" max="4863" width="11.42578125" style="184"/>
    <col min="4864" max="4864" width="0.28515625" style="184" customWidth="1"/>
    <col min="4865" max="4865" width="23.7109375" style="184" customWidth="1"/>
    <col min="4866" max="4866" width="13" style="184" customWidth="1"/>
    <col min="4867" max="4868" width="9.7109375" style="184" bestFit="1" customWidth="1"/>
    <col min="4869" max="4869" width="10.7109375" style="184" customWidth="1"/>
    <col min="4870" max="4871" width="9.7109375" style="184" bestFit="1" customWidth="1"/>
    <col min="4872" max="4872" width="10.7109375" style="184" customWidth="1"/>
    <col min="4873" max="4874" width="9.7109375" style="184" bestFit="1" customWidth="1"/>
    <col min="4875" max="4875" width="10.7109375" style="184" customWidth="1"/>
    <col min="4876" max="4877" width="9.7109375" style="184" bestFit="1" customWidth="1"/>
    <col min="4878" max="4878" width="10.7109375" style="184" customWidth="1"/>
    <col min="4879" max="4880" width="9.7109375" style="184" bestFit="1" customWidth="1"/>
    <col min="4881" max="4881" width="10.7109375" style="184" customWidth="1"/>
    <col min="4882" max="4882" width="9.140625" style="184" bestFit="1" customWidth="1"/>
    <col min="4883" max="4883" width="9.7109375" style="184" bestFit="1" customWidth="1"/>
    <col min="4884" max="4884" width="10.7109375" style="184" customWidth="1"/>
    <col min="4885" max="4886" width="9.7109375" style="184" bestFit="1" customWidth="1"/>
    <col min="4887" max="4887" width="10.7109375" style="184" customWidth="1"/>
    <col min="4888" max="4888" width="9.7109375" style="184" bestFit="1" customWidth="1"/>
    <col min="4889" max="4889" width="7.28515625" style="184" bestFit="1" customWidth="1"/>
    <col min="4890" max="4890" width="10.7109375" style="184" customWidth="1"/>
    <col min="4891" max="5119" width="11.42578125" style="184"/>
    <col min="5120" max="5120" width="0.28515625" style="184" customWidth="1"/>
    <col min="5121" max="5121" width="23.7109375" style="184" customWidth="1"/>
    <col min="5122" max="5122" width="13" style="184" customWidth="1"/>
    <col min="5123" max="5124" width="9.7109375" style="184" bestFit="1" customWidth="1"/>
    <col min="5125" max="5125" width="10.7109375" style="184" customWidth="1"/>
    <col min="5126" max="5127" width="9.7109375" style="184" bestFit="1" customWidth="1"/>
    <col min="5128" max="5128" width="10.7109375" style="184" customWidth="1"/>
    <col min="5129" max="5130" width="9.7109375" style="184" bestFit="1" customWidth="1"/>
    <col min="5131" max="5131" width="10.7109375" style="184" customWidth="1"/>
    <col min="5132" max="5133" width="9.7109375" style="184" bestFit="1" customWidth="1"/>
    <col min="5134" max="5134" width="10.7109375" style="184" customWidth="1"/>
    <col min="5135" max="5136" width="9.7109375" style="184" bestFit="1" customWidth="1"/>
    <col min="5137" max="5137" width="10.7109375" style="184" customWidth="1"/>
    <col min="5138" max="5138" width="9.140625" style="184" bestFit="1" customWidth="1"/>
    <col min="5139" max="5139" width="9.7109375" style="184" bestFit="1" customWidth="1"/>
    <col min="5140" max="5140" width="10.7109375" style="184" customWidth="1"/>
    <col min="5141" max="5142" width="9.7109375" style="184" bestFit="1" customWidth="1"/>
    <col min="5143" max="5143" width="10.7109375" style="184" customWidth="1"/>
    <col min="5144" max="5144" width="9.7109375" style="184" bestFit="1" customWidth="1"/>
    <col min="5145" max="5145" width="7.28515625" style="184" bestFit="1" customWidth="1"/>
    <col min="5146" max="5146" width="10.7109375" style="184" customWidth="1"/>
    <col min="5147" max="5375" width="11.42578125" style="184"/>
    <col min="5376" max="5376" width="0.28515625" style="184" customWidth="1"/>
    <col min="5377" max="5377" width="23.7109375" style="184" customWidth="1"/>
    <col min="5378" max="5378" width="13" style="184" customWidth="1"/>
    <col min="5379" max="5380" width="9.7109375" style="184" bestFit="1" customWidth="1"/>
    <col min="5381" max="5381" width="10.7109375" style="184" customWidth="1"/>
    <col min="5382" max="5383" width="9.7109375" style="184" bestFit="1" customWidth="1"/>
    <col min="5384" max="5384" width="10.7109375" style="184" customWidth="1"/>
    <col min="5385" max="5386" width="9.7109375" style="184" bestFit="1" customWidth="1"/>
    <col min="5387" max="5387" width="10.7109375" style="184" customWidth="1"/>
    <col min="5388" max="5389" width="9.7109375" style="184" bestFit="1" customWidth="1"/>
    <col min="5390" max="5390" width="10.7109375" style="184" customWidth="1"/>
    <col min="5391" max="5392" width="9.7109375" style="184" bestFit="1" customWidth="1"/>
    <col min="5393" max="5393" width="10.7109375" style="184" customWidth="1"/>
    <col min="5394" max="5394" width="9.140625" style="184" bestFit="1" customWidth="1"/>
    <col min="5395" max="5395" width="9.7109375" style="184" bestFit="1" customWidth="1"/>
    <col min="5396" max="5396" width="10.7109375" style="184" customWidth="1"/>
    <col min="5397" max="5398" width="9.7109375" style="184" bestFit="1" customWidth="1"/>
    <col min="5399" max="5399" width="10.7109375" style="184" customWidth="1"/>
    <col min="5400" max="5400" width="9.7109375" style="184" bestFit="1" customWidth="1"/>
    <col min="5401" max="5401" width="7.28515625" style="184" bestFit="1" customWidth="1"/>
    <col min="5402" max="5402" width="10.7109375" style="184" customWidth="1"/>
    <col min="5403" max="5631" width="11.42578125" style="184"/>
    <col min="5632" max="5632" width="0.28515625" style="184" customWidth="1"/>
    <col min="5633" max="5633" width="23.7109375" style="184" customWidth="1"/>
    <col min="5634" max="5634" width="13" style="184" customWidth="1"/>
    <col min="5635" max="5636" width="9.7109375" style="184" bestFit="1" customWidth="1"/>
    <col min="5637" max="5637" width="10.7109375" style="184" customWidth="1"/>
    <col min="5638" max="5639" width="9.7109375" style="184" bestFit="1" customWidth="1"/>
    <col min="5640" max="5640" width="10.7109375" style="184" customWidth="1"/>
    <col min="5641" max="5642" width="9.7109375" style="184" bestFit="1" customWidth="1"/>
    <col min="5643" max="5643" width="10.7109375" style="184" customWidth="1"/>
    <col min="5644" max="5645" width="9.7109375" style="184" bestFit="1" customWidth="1"/>
    <col min="5646" max="5646" width="10.7109375" style="184" customWidth="1"/>
    <col min="5647" max="5648" width="9.7109375" style="184" bestFit="1" customWidth="1"/>
    <col min="5649" max="5649" width="10.7109375" style="184" customWidth="1"/>
    <col min="5650" max="5650" width="9.140625" style="184" bestFit="1" customWidth="1"/>
    <col min="5651" max="5651" width="9.7109375" style="184" bestFit="1" customWidth="1"/>
    <col min="5652" max="5652" width="10.7109375" style="184" customWidth="1"/>
    <col min="5653" max="5654" width="9.7109375" style="184" bestFit="1" customWidth="1"/>
    <col min="5655" max="5655" width="10.7109375" style="184" customWidth="1"/>
    <col min="5656" max="5656" width="9.7109375" style="184" bestFit="1" customWidth="1"/>
    <col min="5657" max="5657" width="7.28515625" style="184" bestFit="1" customWidth="1"/>
    <col min="5658" max="5658" width="10.7109375" style="184" customWidth="1"/>
    <col min="5659" max="5887" width="11.42578125" style="184"/>
    <col min="5888" max="5888" width="0.28515625" style="184" customWidth="1"/>
    <col min="5889" max="5889" width="23.7109375" style="184" customWidth="1"/>
    <col min="5890" max="5890" width="13" style="184" customWidth="1"/>
    <col min="5891" max="5892" width="9.7109375" style="184" bestFit="1" customWidth="1"/>
    <col min="5893" max="5893" width="10.7109375" style="184" customWidth="1"/>
    <col min="5894" max="5895" width="9.7109375" style="184" bestFit="1" customWidth="1"/>
    <col min="5896" max="5896" width="10.7109375" style="184" customWidth="1"/>
    <col min="5897" max="5898" width="9.7109375" style="184" bestFit="1" customWidth="1"/>
    <col min="5899" max="5899" width="10.7109375" style="184" customWidth="1"/>
    <col min="5900" max="5901" width="9.7109375" style="184" bestFit="1" customWidth="1"/>
    <col min="5902" max="5902" width="10.7109375" style="184" customWidth="1"/>
    <col min="5903" max="5904" width="9.7109375" style="184" bestFit="1" customWidth="1"/>
    <col min="5905" max="5905" width="10.7109375" style="184" customWidth="1"/>
    <col min="5906" max="5906" width="9.140625" style="184" bestFit="1" customWidth="1"/>
    <col min="5907" max="5907" width="9.7109375" style="184" bestFit="1" customWidth="1"/>
    <col min="5908" max="5908" width="10.7109375" style="184" customWidth="1"/>
    <col min="5909" max="5910" width="9.7109375" style="184" bestFit="1" customWidth="1"/>
    <col min="5911" max="5911" width="10.7109375" style="184" customWidth="1"/>
    <col min="5912" max="5912" width="9.7109375" style="184" bestFit="1" customWidth="1"/>
    <col min="5913" max="5913" width="7.28515625" style="184" bestFit="1" customWidth="1"/>
    <col min="5914" max="5914" width="10.7109375" style="184" customWidth="1"/>
    <col min="5915" max="6143" width="11.42578125" style="184"/>
    <col min="6144" max="6144" width="0.28515625" style="184" customWidth="1"/>
    <col min="6145" max="6145" width="23.7109375" style="184" customWidth="1"/>
    <col min="6146" max="6146" width="13" style="184" customWidth="1"/>
    <col min="6147" max="6148" width="9.7109375" style="184" bestFit="1" customWidth="1"/>
    <col min="6149" max="6149" width="10.7109375" style="184" customWidth="1"/>
    <col min="6150" max="6151" width="9.7109375" style="184" bestFit="1" customWidth="1"/>
    <col min="6152" max="6152" width="10.7109375" style="184" customWidth="1"/>
    <col min="6153" max="6154" width="9.7109375" style="184" bestFit="1" customWidth="1"/>
    <col min="6155" max="6155" width="10.7109375" style="184" customWidth="1"/>
    <col min="6156" max="6157" width="9.7109375" style="184" bestFit="1" customWidth="1"/>
    <col min="6158" max="6158" width="10.7109375" style="184" customWidth="1"/>
    <col min="6159" max="6160" width="9.7109375" style="184" bestFit="1" customWidth="1"/>
    <col min="6161" max="6161" width="10.7109375" style="184" customWidth="1"/>
    <col min="6162" max="6162" width="9.140625" style="184" bestFit="1" customWidth="1"/>
    <col min="6163" max="6163" width="9.7109375" style="184" bestFit="1" customWidth="1"/>
    <col min="6164" max="6164" width="10.7109375" style="184" customWidth="1"/>
    <col min="6165" max="6166" width="9.7109375" style="184" bestFit="1" customWidth="1"/>
    <col min="6167" max="6167" width="10.7109375" style="184" customWidth="1"/>
    <col min="6168" max="6168" width="9.7109375" style="184" bestFit="1" customWidth="1"/>
    <col min="6169" max="6169" width="7.28515625" style="184" bestFit="1" customWidth="1"/>
    <col min="6170" max="6170" width="10.7109375" style="184" customWidth="1"/>
    <col min="6171" max="6399" width="11.42578125" style="184"/>
    <col min="6400" max="6400" width="0.28515625" style="184" customWidth="1"/>
    <col min="6401" max="6401" width="23.7109375" style="184" customWidth="1"/>
    <col min="6402" max="6402" width="13" style="184" customWidth="1"/>
    <col min="6403" max="6404" width="9.7109375" style="184" bestFit="1" customWidth="1"/>
    <col min="6405" max="6405" width="10.7109375" style="184" customWidth="1"/>
    <col min="6406" max="6407" width="9.7109375" style="184" bestFit="1" customWidth="1"/>
    <col min="6408" max="6408" width="10.7109375" style="184" customWidth="1"/>
    <col min="6409" max="6410" width="9.7109375" style="184" bestFit="1" customWidth="1"/>
    <col min="6411" max="6411" width="10.7109375" style="184" customWidth="1"/>
    <col min="6412" max="6413" width="9.7109375" style="184" bestFit="1" customWidth="1"/>
    <col min="6414" max="6414" width="10.7109375" style="184" customWidth="1"/>
    <col min="6415" max="6416" width="9.7109375" style="184" bestFit="1" customWidth="1"/>
    <col min="6417" max="6417" width="10.7109375" style="184" customWidth="1"/>
    <col min="6418" max="6418" width="9.140625" style="184" bestFit="1" customWidth="1"/>
    <col min="6419" max="6419" width="9.7109375" style="184" bestFit="1" customWidth="1"/>
    <col min="6420" max="6420" width="10.7109375" style="184" customWidth="1"/>
    <col min="6421" max="6422" width="9.7109375" style="184" bestFit="1" customWidth="1"/>
    <col min="6423" max="6423" width="10.7109375" style="184" customWidth="1"/>
    <col min="6424" max="6424" width="9.7109375" style="184" bestFit="1" customWidth="1"/>
    <col min="6425" max="6425" width="7.28515625" style="184" bestFit="1" customWidth="1"/>
    <col min="6426" max="6426" width="10.7109375" style="184" customWidth="1"/>
    <col min="6427" max="6655" width="11.42578125" style="184"/>
    <col min="6656" max="6656" width="0.28515625" style="184" customWidth="1"/>
    <col min="6657" max="6657" width="23.7109375" style="184" customWidth="1"/>
    <col min="6658" max="6658" width="13" style="184" customWidth="1"/>
    <col min="6659" max="6660" width="9.7109375" style="184" bestFit="1" customWidth="1"/>
    <col min="6661" max="6661" width="10.7109375" style="184" customWidth="1"/>
    <col min="6662" max="6663" width="9.7109375" style="184" bestFit="1" customWidth="1"/>
    <col min="6664" max="6664" width="10.7109375" style="184" customWidth="1"/>
    <col min="6665" max="6666" width="9.7109375" style="184" bestFit="1" customWidth="1"/>
    <col min="6667" max="6667" width="10.7109375" style="184" customWidth="1"/>
    <col min="6668" max="6669" width="9.7109375" style="184" bestFit="1" customWidth="1"/>
    <col min="6670" max="6670" width="10.7109375" style="184" customWidth="1"/>
    <col min="6671" max="6672" width="9.7109375" style="184" bestFit="1" customWidth="1"/>
    <col min="6673" max="6673" width="10.7109375" style="184" customWidth="1"/>
    <col min="6674" max="6674" width="9.140625" style="184" bestFit="1" customWidth="1"/>
    <col min="6675" max="6675" width="9.7109375" style="184" bestFit="1" customWidth="1"/>
    <col min="6676" max="6676" width="10.7109375" style="184" customWidth="1"/>
    <col min="6677" max="6678" width="9.7109375" style="184" bestFit="1" customWidth="1"/>
    <col min="6679" max="6679" width="10.7109375" style="184" customWidth="1"/>
    <col min="6680" max="6680" width="9.7109375" style="184" bestFit="1" customWidth="1"/>
    <col min="6681" max="6681" width="7.28515625" style="184" bestFit="1" customWidth="1"/>
    <col min="6682" max="6682" width="10.7109375" style="184" customWidth="1"/>
    <col min="6683" max="6911" width="11.42578125" style="184"/>
    <col min="6912" max="6912" width="0.28515625" style="184" customWidth="1"/>
    <col min="6913" max="6913" width="23.7109375" style="184" customWidth="1"/>
    <col min="6914" max="6914" width="13" style="184" customWidth="1"/>
    <col min="6915" max="6916" width="9.7109375" style="184" bestFit="1" customWidth="1"/>
    <col min="6917" max="6917" width="10.7109375" style="184" customWidth="1"/>
    <col min="6918" max="6919" width="9.7109375" style="184" bestFit="1" customWidth="1"/>
    <col min="6920" max="6920" width="10.7109375" style="184" customWidth="1"/>
    <col min="6921" max="6922" width="9.7109375" style="184" bestFit="1" customWidth="1"/>
    <col min="6923" max="6923" width="10.7109375" style="184" customWidth="1"/>
    <col min="6924" max="6925" width="9.7109375" style="184" bestFit="1" customWidth="1"/>
    <col min="6926" max="6926" width="10.7109375" style="184" customWidth="1"/>
    <col min="6927" max="6928" width="9.7109375" style="184" bestFit="1" customWidth="1"/>
    <col min="6929" max="6929" width="10.7109375" style="184" customWidth="1"/>
    <col min="6930" max="6930" width="9.140625" style="184" bestFit="1" customWidth="1"/>
    <col min="6931" max="6931" width="9.7109375" style="184" bestFit="1" customWidth="1"/>
    <col min="6932" max="6932" width="10.7109375" style="184" customWidth="1"/>
    <col min="6933" max="6934" width="9.7109375" style="184" bestFit="1" customWidth="1"/>
    <col min="6935" max="6935" width="10.7109375" style="184" customWidth="1"/>
    <col min="6936" max="6936" width="9.7109375" style="184" bestFit="1" customWidth="1"/>
    <col min="6937" max="6937" width="7.28515625" style="184" bestFit="1" customWidth="1"/>
    <col min="6938" max="6938" width="10.7109375" style="184" customWidth="1"/>
    <col min="6939" max="7167" width="11.42578125" style="184"/>
    <col min="7168" max="7168" width="0.28515625" style="184" customWidth="1"/>
    <col min="7169" max="7169" width="23.7109375" style="184" customWidth="1"/>
    <col min="7170" max="7170" width="13" style="184" customWidth="1"/>
    <col min="7171" max="7172" width="9.7109375" style="184" bestFit="1" customWidth="1"/>
    <col min="7173" max="7173" width="10.7109375" style="184" customWidth="1"/>
    <col min="7174" max="7175" width="9.7109375" style="184" bestFit="1" customWidth="1"/>
    <col min="7176" max="7176" width="10.7109375" style="184" customWidth="1"/>
    <col min="7177" max="7178" width="9.7109375" style="184" bestFit="1" customWidth="1"/>
    <col min="7179" max="7179" width="10.7109375" style="184" customWidth="1"/>
    <col min="7180" max="7181" width="9.7109375" style="184" bestFit="1" customWidth="1"/>
    <col min="7182" max="7182" width="10.7109375" style="184" customWidth="1"/>
    <col min="7183" max="7184" width="9.7109375" style="184" bestFit="1" customWidth="1"/>
    <col min="7185" max="7185" width="10.7109375" style="184" customWidth="1"/>
    <col min="7186" max="7186" width="9.140625" style="184" bestFit="1" customWidth="1"/>
    <col min="7187" max="7187" width="9.7109375" style="184" bestFit="1" customWidth="1"/>
    <col min="7188" max="7188" width="10.7109375" style="184" customWidth="1"/>
    <col min="7189" max="7190" width="9.7109375" style="184" bestFit="1" customWidth="1"/>
    <col min="7191" max="7191" width="10.7109375" style="184" customWidth="1"/>
    <col min="7192" max="7192" width="9.7109375" style="184" bestFit="1" customWidth="1"/>
    <col min="7193" max="7193" width="7.28515625" style="184" bestFit="1" customWidth="1"/>
    <col min="7194" max="7194" width="10.7109375" style="184" customWidth="1"/>
    <col min="7195" max="7423" width="11.42578125" style="184"/>
    <col min="7424" max="7424" width="0.28515625" style="184" customWidth="1"/>
    <col min="7425" max="7425" width="23.7109375" style="184" customWidth="1"/>
    <col min="7426" max="7426" width="13" style="184" customWidth="1"/>
    <col min="7427" max="7428" width="9.7109375" style="184" bestFit="1" customWidth="1"/>
    <col min="7429" max="7429" width="10.7109375" style="184" customWidth="1"/>
    <col min="7430" max="7431" width="9.7109375" style="184" bestFit="1" customWidth="1"/>
    <col min="7432" max="7432" width="10.7109375" style="184" customWidth="1"/>
    <col min="7433" max="7434" width="9.7109375" style="184" bestFit="1" customWidth="1"/>
    <col min="7435" max="7435" width="10.7109375" style="184" customWidth="1"/>
    <col min="7436" max="7437" width="9.7109375" style="184" bestFit="1" customWidth="1"/>
    <col min="7438" max="7438" width="10.7109375" style="184" customWidth="1"/>
    <col min="7439" max="7440" width="9.7109375" style="184" bestFit="1" customWidth="1"/>
    <col min="7441" max="7441" width="10.7109375" style="184" customWidth="1"/>
    <col min="7442" max="7442" width="9.140625" style="184" bestFit="1" customWidth="1"/>
    <col min="7443" max="7443" width="9.7109375" style="184" bestFit="1" customWidth="1"/>
    <col min="7444" max="7444" width="10.7109375" style="184" customWidth="1"/>
    <col min="7445" max="7446" width="9.7109375" style="184" bestFit="1" customWidth="1"/>
    <col min="7447" max="7447" width="10.7109375" style="184" customWidth="1"/>
    <col min="7448" max="7448" width="9.7109375" style="184" bestFit="1" customWidth="1"/>
    <col min="7449" max="7449" width="7.28515625" style="184" bestFit="1" customWidth="1"/>
    <col min="7450" max="7450" width="10.7109375" style="184" customWidth="1"/>
    <col min="7451" max="7679" width="11.42578125" style="184"/>
    <col min="7680" max="7680" width="0.28515625" style="184" customWidth="1"/>
    <col min="7681" max="7681" width="23.7109375" style="184" customWidth="1"/>
    <col min="7682" max="7682" width="13" style="184" customWidth="1"/>
    <col min="7683" max="7684" width="9.7109375" style="184" bestFit="1" customWidth="1"/>
    <col min="7685" max="7685" width="10.7109375" style="184" customWidth="1"/>
    <col min="7686" max="7687" width="9.7109375" style="184" bestFit="1" customWidth="1"/>
    <col min="7688" max="7688" width="10.7109375" style="184" customWidth="1"/>
    <col min="7689" max="7690" width="9.7109375" style="184" bestFit="1" customWidth="1"/>
    <col min="7691" max="7691" width="10.7109375" style="184" customWidth="1"/>
    <col min="7692" max="7693" width="9.7109375" style="184" bestFit="1" customWidth="1"/>
    <col min="7694" max="7694" width="10.7109375" style="184" customWidth="1"/>
    <col min="7695" max="7696" width="9.7109375" style="184" bestFit="1" customWidth="1"/>
    <col min="7697" max="7697" width="10.7109375" style="184" customWidth="1"/>
    <col min="7698" max="7698" width="9.140625" style="184" bestFit="1" customWidth="1"/>
    <col min="7699" max="7699" width="9.7109375" style="184" bestFit="1" customWidth="1"/>
    <col min="7700" max="7700" width="10.7109375" style="184" customWidth="1"/>
    <col min="7701" max="7702" width="9.7109375" style="184" bestFit="1" customWidth="1"/>
    <col min="7703" max="7703" width="10.7109375" style="184" customWidth="1"/>
    <col min="7704" max="7704" width="9.7109375" style="184" bestFit="1" customWidth="1"/>
    <col min="7705" max="7705" width="7.28515625" style="184" bestFit="1" customWidth="1"/>
    <col min="7706" max="7706" width="10.7109375" style="184" customWidth="1"/>
    <col min="7707" max="7935" width="11.42578125" style="184"/>
    <col min="7936" max="7936" width="0.28515625" style="184" customWidth="1"/>
    <col min="7937" max="7937" width="23.7109375" style="184" customWidth="1"/>
    <col min="7938" max="7938" width="13" style="184" customWidth="1"/>
    <col min="7939" max="7940" width="9.7109375" style="184" bestFit="1" customWidth="1"/>
    <col min="7941" max="7941" width="10.7109375" style="184" customWidth="1"/>
    <col min="7942" max="7943" width="9.7109375" style="184" bestFit="1" customWidth="1"/>
    <col min="7944" max="7944" width="10.7109375" style="184" customWidth="1"/>
    <col min="7945" max="7946" width="9.7109375" style="184" bestFit="1" customWidth="1"/>
    <col min="7947" max="7947" width="10.7109375" style="184" customWidth="1"/>
    <col min="7948" max="7949" width="9.7109375" style="184" bestFit="1" customWidth="1"/>
    <col min="7950" max="7950" width="10.7109375" style="184" customWidth="1"/>
    <col min="7951" max="7952" width="9.7109375" style="184" bestFit="1" customWidth="1"/>
    <col min="7953" max="7953" width="10.7109375" style="184" customWidth="1"/>
    <col min="7954" max="7954" width="9.140625" style="184" bestFit="1" customWidth="1"/>
    <col min="7955" max="7955" width="9.7109375" style="184" bestFit="1" customWidth="1"/>
    <col min="7956" max="7956" width="10.7109375" style="184" customWidth="1"/>
    <col min="7957" max="7958" width="9.7109375" style="184" bestFit="1" customWidth="1"/>
    <col min="7959" max="7959" width="10.7109375" style="184" customWidth="1"/>
    <col min="7960" max="7960" width="9.7109375" style="184" bestFit="1" customWidth="1"/>
    <col min="7961" max="7961" width="7.28515625" style="184" bestFit="1" customWidth="1"/>
    <col min="7962" max="7962" width="10.7109375" style="184" customWidth="1"/>
    <col min="7963" max="8191" width="11.42578125" style="184"/>
    <col min="8192" max="8192" width="0.28515625" style="184" customWidth="1"/>
    <col min="8193" max="8193" width="23.7109375" style="184" customWidth="1"/>
    <col min="8194" max="8194" width="13" style="184" customWidth="1"/>
    <col min="8195" max="8196" width="9.7109375" style="184" bestFit="1" customWidth="1"/>
    <col min="8197" max="8197" width="10.7109375" style="184" customWidth="1"/>
    <col min="8198" max="8199" width="9.7109375" style="184" bestFit="1" customWidth="1"/>
    <col min="8200" max="8200" width="10.7109375" style="184" customWidth="1"/>
    <col min="8201" max="8202" width="9.7109375" style="184" bestFit="1" customWidth="1"/>
    <col min="8203" max="8203" width="10.7109375" style="184" customWidth="1"/>
    <col min="8204" max="8205" width="9.7109375" style="184" bestFit="1" customWidth="1"/>
    <col min="8206" max="8206" width="10.7109375" style="184" customWidth="1"/>
    <col min="8207" max="8208" width="9.7109375" style="184" bestFit="1" customWidth="1"/>
    <col min="8209" max="8209" width="10.7109375" style="184" customWidth="1"/>
    <col min="8210" max="8210" width="9.140625" style="184" bestFit="1" customWidth="1"/>
    <col min="8211" max="8211" width="9.7109375" style="184" bestFit="1" customWidth="1"/>
    <col min="8212" max="8212" width="10.7109375" style="184" customWidth="1"/>
    <col min="8213" max="8214" width="9.7109375" style="184" bestFit="1" customWidth="1"/>
    <col min="8215" max="8215" width="10.7109375" style="184" customWidth="1"/>
    <col min="8216" max="8216" width="9.7109375" style="184" bestFit="1" customWidth="1"/>
    <col min="8217" max="8217" width="7.28515625" style="184" bestFit="1" customWidth="1"/>
    <col min="8218" max="8218" width="10.7109375" style="184" customWidth="1"/>
    <col min="8219" max="8447" width="11.42578125" style="184"/>
    <col min="8448" max="8448" width="0.28515625" style="184" customWidth="1"/>
    <col min="8449" max="8449" width="23.7109375" style="184" customWidth="1"/>
    <col min="8450" max="8450" width="13" style="184" customWidth="1"/>
    <col min="8451" max="8452" width="9.7109375" style="184" bestFit="1" customWidth="1"/>
    <col min="8453" max="8453" width="10.7109375" style="184" customWidth="1"/>
    <col min="8454" max="8455" width="9.7109375" style="184" bestFit="1" customWidth="1"/>
    <col min="8456" max="8456" width="10.7109375" style="184" customWidth="1"/>
    <col min="8457" max="8458" width="9.7109375" style="184" bestFit="1" customWidth="1"/>
    <col min="8459" max="8459" width="10.7109375" style="184" customWidth="1"/>
    <col min="8460" max="8461" width="9.7109375" style="184" bestFit="1" customWidth="1"/>
    <col min="8462" max="8462" width="10.7109375" style="184" customWidth="1"/>
    <col min="8463" max="8464" width="9.7109375" style="184" bestFit="1" customWidth="1"/>
    <col min="8465" max="8465" width="10.7109375" style="184" customWidth="1"/>
    <col min="8466" max="8466" width="9.140625" style="184" bestFit="1" customWidth="1"/>
    <col min="8467" max="8467" width="9.7109375" style="184" bestFit="1" customWidth="1"/>
    <col min="8468" max="8468" width="10.7109375" style="184" customWidth="1"/>
    <col min="8469" max="8470" width="9.7109375" style="184" bestFit="1" customWidth="1"/>
    <col min="8471" max="8471" width="10.7109375" style="184" customWidth="1"/>
    <col min="8472" max="8472" width="9.7109375" style="184" bestFit="1" customWidth="1"/>
    <col min="8473" max="8473" width="7.28515625" style="184" bestFit="1" customWidth="1"/>
    <col min="8474" max="8474" width="10.7109375" style="184" customWidth="1"/>
    <col min="8475" max="8703" width="11.42578125" style="184"/>
    <col min="8704" max="8704" width="0.28515625" style="184" customWidth="1"/>
    <col min="8705" max="8705" width="23.7109375" style="184" customWidth="1"/>
    <col min="8706" max="8706" width="13" style="184" customWidth="1"/>
    <col min="8707" max="8708" width="9.7109375" style="184" bestFit="1" customWidth="1"/>
    <col min="8709" max="8709" width="10.7109375" style="184" customWidth="1"/>
    <col min="8710" max="8711" width="9.7109375" style="184" bestFit="1" customWidth="1"/>
    <col min="8712" max="8712" width="10.7109375" style="184" customWidth="1"/>
    <col min="8713" max="8714" width="9.7109375" style="184" bestFit="1" customWidth="1"/>
    <col min="8715" max="8715" width="10.7109375" style="184" customWidth="1"/>
    <col min="8716" max="8717" width="9.7109375" style="184" bestFit="1" customWidth="1"/>
    <col min="8718" max="8718" width="10.7109375" style="184" customWidth="1"/>
    <col min="8719" max="8720" width="9.7109375" style="184" bestFit="1" customWidth="1"/>
    <col min="8721" max="8721" width="10.7109375" style="184" customWidth="1"/>
    <col min="8722" max="8722" width="9.140625" style="184" bestFit="1" customWidth="1"/>
    <col min="8723" max="8723" width="9.7109375" style="184" bestFit="1" customWidth="1"/>
    <col min="8724" max="8724" width="10.7109375" style="184" customWidth="1"/>
    <col min="8725" max="8726" width="9.7109375" style="184" bestFit="1" customWidth="1"/>
    <col min="8727" max="8727" width="10.7109375" style="184" customWidth="1"/>
    <col min="8728" max="8728" width="9.7109375" style="184" bestFit="1" customWidth="1"/>
    <col min="8729" max="8729" width="7.28515625" style="184" bestFit="1" customWidth="1"/>
    <col min="8730" max="8730" width="10.7109375" style="184" customWidth="1"/>
    <col min="8731" max="8959" width="11.42578125" style="184"/>
    <col min="8960" max="8960" width="0.28515625" style="184" customWidth="1"/>
    <col min="8961" max="8961" width="23.7109375" style="184" customWidth="1"/>
    <col min="8962" max="8962" width="13" style="184" customWidth="1"/>
    <col min="8963" max="8964" width="9.7109375" style="184" bestFit="1" customWidth="1"/>
    <col min="8965" max="8965" width="10.7109375" style="184" customWidth="1"/>
    <col min="8966" max="8967" width="9.7109375" style="184" bestFit="1" customWidth="1"/>
    <col min="8968" max="8968" width="10.7109375" style="184" customWidth="1"/>
    <col min="8969" max="8970" width="9.7109375" style="184" bestFit="1" customWidth="1"/>
    <col min="8971" max="8971" width="10.7109375" style="184" customWidth="1"/>
    <col min="8972" max="8973" width="9.7109375" style="184" bestFit="1" customWidth="1"/>
    <col min="8974" max="8974" width="10.7109375" style="184" customWidth="1"/>
    <col min="8975" max="8976" width="9.7109375" style="184" bestFit="1" customWidth="1"/>
    <col min="8977" max="8977" width="10.7109375" style="184" customWidth="1"/>
    <col min="8978" max="8978" width="9.140625" style="184" bestFit="1" customWidth="1"/>
    <col min="8979" max="8979" width="9.7109375" style="184" bestFit="1" customWidth="1"/>
    <col min="8980" max="8980" width="10.7109375" style="184" customWidth="1"/>
    <col min="8981" max="8982" width="9.7109375" style="184" bestFit="1" customWidth="1"/>
    <col min="8983" max="8983" width="10.7109375" style="184" customWidth="1"/>
    <col min="8984" max="8984" width="9.7109375" style="184" bestFit="1" customWidth="1"/>
    <col min="8985" max="8985" width="7.28515625" style="184" bestFit="1" customWidth="1"/>
    <col min="8986" max="8986" width="10.7109375" style="184" customWidth="1"/>
    <col min="8987" max="9215" width="11.42578125" style="184"/>
    <col min="9216" max="9216" width="0.28515625" style="184" customWidth="1"/>
    <col min="9217" max="9217" width="23.7109375" style="184" customWidth="1"/>
    <col min="9218" max="9218" width="13" style="184" customWidth="1"/>
    <col min="9219" max="9220" width="9.7109375" style="184" bestFit="1" customWidth="1"/>
    <col min="9221" max="9221" width="10.7109375" style="184" customWidth="1"/>
    <col min="9222" max="9223" width="9.7109375" style="184" bestFit="1" customWidth="1"/>
    <col min="9224" max="9224" width="10.7109375" style="184" customWidth="1"/>
    <col min="9225" max="9226" width="9.7109375" style="184" bestFit="1" customWidth="1"/>
    <col min="9227" max="9227" width="10.7109375" style="184" customWidth="1"/>
    <col min="9228" max="9229" width="9.7109375" style="184" bestFit="1" customWidth="1"/>
    <col min="9230" max="9230" width="10.7109375" style="184" customWidth="1"/>
    <col min="9231" max="9232" width="9.7109375" style="184" bestFit="1" customWidth="1"/>
    <col min="9233" max="9233" width="10.7109375" style="184" customWidth="1"/>
    <col min="9234" max="9234" width="9.140625" style="184" bestFit="1" customWidth="1"/>
    <col min="9235" max="9235" width="9.7109375" style="184" bestFit="1" customWidth="1"/>
    <col min="9236" max="9236" width="10.7109375" style="184" customWidth="1"/>
    <col min="9237" max="9238" width="9.7109375" style="184" bestFit="1" customWidth="1"/>
    <col min="9239" max="9239" width="10.7109375" style="184" customWidth="1"/>
    <col min="9240" max="9240" width="9.7109375" style="184" bestFit="1" customWidth="1"/>
    <col min="9241" max="9241" width="7.28515625" style="184" bestFit="1" customWidth="1"/>
    <col min="9242" max="9242" width="10.7109375" style="184" customWidth="1"/>
    <col min="9243" max="9471" width="11.42578125" style="184"/>
    <col min="9472" max="9472" width="0.28515625" style="184" customWidth="1"/>
    <col min="9473" max="9473" width="23.7109375" style="184" customWidth="1"/>
    <col min="9474" max="9474" width="13" style="184" customWidth="1"/>
    <col min="9475" max="9476" width="9.7109375" style="184" bestFit="1" customWidth="1"/>
    <col min="9477" max="9477" width="10.7109375" style="184" customWidth="1"/>
    <col min="9478" max="9479" width="9.7109375" style="184" bestFit="1" customWidth="1"/>
    <col min="9480" max="9480" width="10.7109375" style="184" customWidth="1"/>
    <col min="9481" max="9482" width="9.7109375" style="184" bestFit="1" customWidth="1"/>
    <col min="9483" max="9483" width="10.7109375" style="184" customWidth="1"/>
    <col min="9484" max="9485" width="9.7109375" style="184" bestFit="1" customWidth="1"/>
    <col min="9486" max="9486" width="10.7109375" style="184" customWidth="1"/>
    <col min="9487" max="9488" width="9.7109375" style="184" bestFit="1" customWidth="1"/>
    <col min="9489" max="9489" width="10.7109375" style="184" customWidth="1"/>
    <col min="9490" max="9490" width="9.140625" style="184" bestFit="1" customWidth="1"/>
    <col min="9491" max="9491" width="9.7109375" style="184" bestFit="1" customWidth="1"/>
    <col min="9492" max="9492" width="10.7109375" style="184" customWidth="1"/>
    <col min="9493" max="9494" width="9.7109375" style="184" bestFit="1" customWidth="1"/>
    <col min="9495" max="9495" width="10.7109375" style="184" customWidth="1"/>
    <col min="9496" max="9496" width="9.7109375" style="184" bestFit="1" customWidth="1"/>
    <col min="9497" max="9497" width="7.28515625" style="184" bestFit="1" customWidth="1"/>
    <col min="9498" max="9498" width="10.7109375" style="184" customWidth="1"/>
    <col min="9499" max="9727" width="11.42578125" style="184"/>
    <col min="9728" max="9728" width="0.28515625" style="184" customWidth="1"/>
    <col min="9729" max="9729" width="23.7109375" style="184" customWidth="1"/>
    <col min="9730" max="9730" width="13" style="184" customWidth="1"/>
    <col min="9731" max="9732" width="9.7109375" style="184" bestFit="1" customWidth="1"/>
    <col min="9733" max="9733" width="10.7109375" style="184" customWidth="1"/>
    <col min="9734" max="9735" width="9.7109375" style="184" bestFit="1" customWidth="1"/>
    <col min="9736" max="9736" width="10.7109375" style="184" customWidth="1"/>
    <col min="9737" max="9738" width="9.7109375" style="184" bestFit="1" customWidth="1"/>
    <col min="9739" max="9739" width="10.7109375" style="184" customWidth="1"/>
    <col min="9740" max="9741" width="9.7109375" style="184" bestFit="1" customWidth="1"/>
    <col min="9742" max="9742" width="10.7109375" style="184" customWidth="1"/>
    <col min="9743" max="9744" width="9.7109375" style="184" bestFit="1" customWidth="1"/>
    <col min="9745" max="9745" width="10.7109375" style="184" customWidth="1"/>
    <col min="9746" max="9746" width="9.140625" style="184" bestFit="1" customWidth="1"/>
    <col min="9747" max="9747" width="9.7109375" style="184" bestFit="1" customWidth="1"/>
    <col min="9748" max="9748" width="10.7109375" style="184" customWidth="1"/>
    <col min="9749" max="9750" width="9.7109375" style="184" bestFit="1" customWidth="1"/>
    <col min="9751" max="9751" width="10.7109375" style="184" customWidth="1"/>
    <col min="9752" max="9752" width="9.7109375" style="184" bestFit="1" customWidth="1"/>
    <col min="9753" max="9753" width="7.28515625" style="184" bestFit="1" customWidth="1"/>
    <col min="9754" max="9754" width="10.7109375" style="184" customWidth="1"/>
    <col min="9755" max="9983" width="11.42578125" style="184"/>
    <col min="9984" max="9984" width="0.28515625" style="184" customWidth="1"/>
    <col min="9985" max="9985" width="23.7109375" style="184" customWidth="1"/>
    <col min="9986" max="9986" width="13" style="184" customWidth="1"/>
    <col min="9987" max="9988" width="9.7109375" style="184" bestFit="1" customWidth="1"/>
    <col min="9989" max="9989" width="10.7109375" style="184" customWidth="1"/>
    <col min="9990" max="9991" width="9.7109375" style="184" bestFit="1" customWidth="1"/>
    <col min="9992" max="9992" width="10.7109375" style="184" customWidth="1"/>
    <col min="9993" max="9994" width="9.7109375" style="184" bestFit="1" customWidth="1"/>
    <col min="9995" max="9995" width="10.7109375" style="184" customWidth="1"/>
    <col min="9996" max="9997" width="9.7109375" style="184" bestFit="1" customWidth="1"/>
    <col min="9998" max="9998" width="10.7109375" style="184" customWidth="1"/>
    <col min="9999" max="10000" width="9.7109375" style="184" bestFit="1" customWidth="1"/>
    <col min="10001" max="10001" width="10.7109375" style="184" customWidth="1"/>
    <col min="10002" max="10002" width="9.140625" style="184" bestFit="1" customWidth="1"/>
    <col min="10003" max="10003" width="9.7109375" style="184" bestFit="1" customWidth="1"/>
    <col min="10004" max="10004" width="10.7109375" style="184" customWidth="1"/>
    <col min="10005" max="10006" width="9.7109375" style="184" bestFit="1" customWidth="1"/>
    <col min="10007" max="10007" width="10.7109375" style="184" customWidth="1"/>
    <col min="10008" max="10008" width="9.7109375" style="184" bestFit="1" customWidth="1"/>
    <col min="10009" max="10009" width="7.28515625" style="184" bestFit="1" customWidth="1"/>
    <col min="10010" max="10010" width="10.7109375" style="184" customWidth="1"/>
    <col min="10011" max="10239" width="11.42578125" style="184"/>
    <col min="10240" max="10240" width="0.28515625" style="184" customWidth="1"/>
    <col min="10241" max="10241" width="23.7109375" style="184" customWidth="1"/>
    <col min="10242" max="10242" width="13" style="184" customWidth="1"/>
    <col min="10243" max="10244" width="9.7109375" style="184" bestFit="1" customWidth="1"/>
    <col min="10245" max="10245" width="10.7109375" style="184" customWidth="1"/>
    <col min="10246" max="10247" width="9.7109375" style="184" bestFit="1" customWidth="1"/>
    <col min="10248" max="10248" width="10.7109375" style="184" customWidth="1"/>
    <col min="10249" max="10250" width="9.7109375" style="184" bestFit="1" customWidth="1"/>
    <col min="10251" max="10251" width="10.7109375" style="184" customWidth="1"/>
    <col min="10252" max="10253" width="9.7109375" style="184" bestFit="1" customWidth="1"/>
    <col min="10254" max="10254" width="10.7109375" style="184" customWidth="1"/>
    <col min="10255" max="10256" width="9.7109375" style="184" bestFit="1" customWidth="1"/>
    <col min="10257" max="10257" width="10.7109375" style="184" customWidth="1"/>
    <col min="10258" max="10258" width="9.140625" style="184" bestFit="1" customWidth="1"/>
    <col min="10259" max="10259" width="9.7109375" style="184" bestFit="1" customWidth="1"/>
    <col min="10260" max="10260" width="10.7109375" style="184" customWidth="1"/>
    <col min="10261" max="10262" width="9.7109375" style="184" bestFit="1" customWidth="1"/>
    <col min="10263" max="10263" width="10.7109375" style="184" customWidth="1"/>
    <col min="10264" max="10264" width="9.7109375" style="184" bestFit="1" customWidth="1"/>
    <col min="10265" max="10265" width="7.28515625" style="184" bestFit="1" customWidth="1"/>
    <col min="10266" max="10266" width="10.7109375" style="184" customWidth="1"/>
    <col min="10267" max="10495" width="11.42578125" style="184"/>
    <col min="10496" max="10496" width="0.28515625" style="184" customWidth="1"/>
    <col min="10497" max="10497" width="23.7109375" style="184" customWidth="1"/>
    <col min="10498" max="10498" width="13" style="184" customWidth="1"/>
    <col min="10499" max="10500" width="9.7109375" style="184" bestFit="1" customWidth="1"/>
    <col min="10501" max="10501" width="10.7109375" style="184" customWidth="1"/>
    <col min="10502" max="10503" width="9.7109375" style="184" bestFit="1" customWidth="1"/>
    <col min="10504" max="10504" width="10.7109375" style="184" customWidth="1"/>
    <col min="10505" max="10506" width="9.7109375" style="184" bestFit="1" customWidth="1"/>
    <col min="10507" max="10507" width="10.7109375" style="184" customWidth="1"/>
    <col min="10508" max="10509" width="9.7109375" style="184" bestFit="1" customWidth="1"/>
    <col min="10510" max="10510" width="10.7109375" style="184" customWidth="1"/>
    <col min="10511" max="10512" width="9.7109375" style="184" bestFit="1" customWidth="1"/>
    <col min="10513" max="10513" width="10.7109375" style="184" customWidth="1"/>
    <col min="10514" max="10514" width="9.140625" style="184" bestFit="1" customWidth="1"/>
    <col min="10515" max="10515" width="9.7109375" style="184" bestFit="1" customWidth="1"/>
    <col min="10516" max="10516" width="10.7109375" style="184" customWidth="1"/>
    <col min="10517" max="10518" width="9.7109375" style="184" bestFit="1" customWidth="1"/>
    <col min="10519" max="10519" width="10.7109375" style="184" customWidth="1"/>
    <col min="10520" max="10520" width="9.7109375" style="184" bestFit="1" customWidth="1"/>
    <col min="10521" max="10521" width="7.28515625" style="184" bestFit="1" customWidth="1"/>
    <col min="10522" max="10522" width="10.7109375" style="184" customWidth="1"/>
    <col min="10523" max="10751" width="11.42578125" style="184"/>
    <col min="10752" max="10752" width="0.28515625" style="184" customWidth="1"/>
    <col min="10753" max="10753" width="23.7109375" style="184" customWidth="1"/>
    <col min="10754" max="10754" width="13" style="184" customWidth="1"/>
    <col min="10755" max="10756" width="9.7109375" style="184" bestFit="1" customWidth="1"/>
    <col min="10757" max="10757" width="10.7109375" style="184" customWidth="1"/>
    <col min="10758" max="10759" width="9.7109375" style="184" bestFit="1" customWidth="1"/>
    <col min="10760" max="10760" width="10.7109375" style="184" customWidth="1"/>
    <col min="10761" max="10762" width="9.7109375" style="184" bestFit="1" customWidth="1"/>
    <col min="10763" max="10763" width="10.7109375" style="184" customWidth="1"/>
    <col min="10764" max="10765" width="9.7109375" style="184" bestFit="1" customWidth="1"/>
    <col min="10766" max="10766" width="10.7109375" style="184" customWidth="1"/>
    <col min="10767" max="10768" width="9.7109375" style="184" bestFit="1" customWidth="1"/>
    <col min="10769" max="10769" width="10.7109375" style="184" customWidth="1"/>
    <col min="10770" max="10770" width="9.140625" style="184" bestFit="1" customWidth="1"/>
    <col min="10771" max="10771" width="9.7109375" style="184" bestFit="1" customWidth="1"/>
    <col min="10772" max="10772" width="10.7109375" style="184" customWidth="1"/>
    <col min="10773" max="10774" width="9.7109375" style="184" bestFit="1" customWidth="1"/>
    <col min="10775" max="10775" width="10.7109375" style="184" customWidth="1"/>
    <col min="10776" max="10776" width="9.7109375" style="184" bestFit="1" customWidth="1"/>
    <col min="10777" max="10777" width="7.28515625" style="184" bestFit="1" customWidth="1"/>
    <col min="10778" max="10778" width="10.7109375" style="184" customWidth="1"/>
    <col min="10779" max="11007" width="11.42578125" style="184"/>
    <col min="11008" max="11008" width="0.28515625" style="184" customWidth="1"/>
    <col min="11009" max="11009" width="23.7109375" style="184" customWidth="1"/>
    <col min="11010" max="11010" width="13" style="184" customWidth="1"/>
    <col min="11011" max="11012" width="9.7109375" style="184" bestFit="1" customWidth="1"/>
    <col min="11013" max="11013" width="10.7109375" style="184" customWidth="1"/>
    <col min="11014" max="11015" width="9.7109375" style="184" bestFit="1" customWidth="1"/>
    <col min="11016" max="11016" width="10.7109375" style="184" customWidth="1"/>
    <col min="11017" max="11018" width="9.7109375" style="184" bestFit="1" customWidth="1"/>
    <col min="11019" max="11019" width="10.7109375" style="184" customWidth="1"/>
    <col min="11020" max="11021" width="9.7109375" style="184" bestFit="1" customWidth="1"/>
    <col min="11022" max="11022" width="10.7109375" style="184" customWidth="1"/>
    <col min="11023" max="11024" width="9.7109375" style="184" bestFit="1" customWidth="1"/>
    <col min="11025" max="11025" width="10.7109375" style="184" customWidth="1"/>
    <col min="11026" max="11026" width="9.140625" style="184" bestFit="1" customWidth="1"/>
    <col min="11027" max="11027" width="9.7109375" style="184" bestFit="1" customWidth="1"/>
    <col min="11028" max="11028" width="10.7109375" style="184" customWidth="1"/>
    <col min="11029" max="11030" width="9.7109375" style="184" bestFit="1" customWidth="1"/>
    <col min="11031" max="11031" width="10.7109375" style="184" customWidth="1"/>
    <col min="11032" max="11032" width="9.7109375" style="184" bestFit="1" customWidth="1"/>
    <col min="11033" max="11033" width="7.28515625" style="184" bestFit="1" customWidth="1"/>
    <col min="11034" max="11034" width="10.7109375" style="184" customWidth="1"/>
    <col min="11035" max="11263" width="11.42578125" style="184"/>
    <col min="11264" max="11264" width="0.28515625" style="184" customWidth="1"/>
    <col min="11265" max="11265" width="23.7109375" style="184" customWidth="1"/>
    <col min="11266" max="11266" width="13" style="184" customWidth="1"/>
    <col min="11267" max="11268" width="9.7109375" style="184" bestFit="1" customWidth="1"/>
    <col min="11269" max="11269" width="10.7109375" style="184" customWidth="1"/>
    <col min="11270" max="11271" width="9.7109375" style="184" bestFit="1" customWidth="1"/>
    <col min="11272" max="11272" width="10.7109375" style="184" customWidth="1"/>
    <col min="11273" max="11274" width="9.7109375" style="184" bestFit="1" customWidth="1"/>
    <col min="11275" max="11275" width="10.7109375" style="184" customWidth="1"/>
    <col min="11276" max="11277" width="9.7109375" style="184" bestFit="1" customWidth="1"/>
    <col min="11278" max="11278" width="10.7109375" style="184" customWidth="1"/>
    <col min="11279" max="11280" width="9.7109375" style="184" bestFit="1" customWidth="1"/>
    <col min="11281" max="11281" width="10.7109375" style="184" customWidth="1"/>
    <col min="11282" max="11282" width="9.140625" style="184" bestFit="1" customWidth="1"/>
    <col min="11283" max="11283" width="9.7109375" style="184" bestFit="1" customWidth="1"/>
    <col min="11284" max="11284" width="10.7109375" style="184" customWidth="1"/>
    <col min="11285" max="11286" width="9.7109375" style="184" bestFit="1" customWidth="1"/>
    <col min="11287" max="11287" width="10.7109375" style="184" customWidth="1"/>
    <col min="11288" max="11288" width="9.7109375" style="184" bestFit="1" customWidth="1"/>
    <col min="11289" max="11289" width="7.28515625" style="184" bestFit="1" customWidth="1"/>
    <col min="11290" max="11290" width="10.7109375" style="184" customWidth="1"/>
    <col min="11291" max="11519" width="11.42578125" style="184"/>
    <col min="11520" max="11520" width="0.28515625" style="184" customWidth="1"/>
    <col min="11521" max="11521" width="23.7109375" style="184" customWidth="1"/>
    <col min="11522" max="11522" width="13" style="184" customWidth="1"/>
    <col min="11523" max="11524" width="9.7109375" style="184" bestFit="1" customWidth="1"/>
    <col min="11525" max="11525" width="10.7109375" style="184" customWidth="1"/>
    <col min="11526" max="11527" width="9.7109375" style="184" bestFit="1" customWidth="1"/>
    <col min="11528" max="11528" width="10.7109375" style="184" customWidth="1"/>
    <col min="11529" max="11530" width="9.7109375" style="184" bestFit="1" customWidth="1"/>
    <col min="11531" max="11531" width="10.7109375" style="184" customWidth="1"/>
    <col min="11532" max="11533" width="9.7109375" style="184" bestFit="1" customWidth="1"/>
    <col min="11534" max="11534" width="10.7109375" style="184" customWidth="1"/>
    <col min="11535" max="11536" width="9.7109375" style="184" bestFit="1" customWidth="1"/>
    <col min="11537" max="11537" width="10.7109375" style="184" customWidth="1"/>
    <col min="11538" max="11538" width="9.140625" style="184" bestFit="1" customWidth="1"/>
    <col min="11539" max="11539" width="9.7109375" style="184" bestFit="1" customWidth="1"/>
    <col min="11540" max="11540" width="10.7109375" style="184" customWidth="1"/>
    <col min="11541" max="11542" width="9.7109375" style="184" bestFit="1" customWidth="1"/>
    <col min="11543" max="11543" width="10.7109375" style="184" customWidth="1"/>
    <col min="11544" max="11544" width="9.7109375" style="184" bestFit="1" customWidth="1"/>
    <col min="11545" max="11545" width="7.28515625" style="184" bestFit="1" customWidth="1"/>
    <col min="11546" max="11546" width="10.7109375" style="184" customWidth="1"/>
    <col min="11547" max="11775" width="11.42578125" style="184"/>
    <col min="11776" max="11776" width="0.28515625" style="184" customWidth="1"/>
    <col min="11777" max="11777" width="23.7109375" style="184" customWidth="1"/>
    <col min="11778" max="11778" width="13" style="184" customWidth="1"/>
    <col min="11779" max="11780" width="9.7109375" style="184" bestFit="1" customWidth="1"/>
    <col min="11781" max="11781" width="10.7109375" style="184" customWidth="1"/>
    <col min="11782" max="11783" width="9.7109375" style="184" bestFit="1" customWidth="1"/>
    <col min="11784" max="11784" width="10.7109375" style="184" customWidth="1"/>
    <col min="11785" max="11786" width="9.7109375" style="184" bestFit="1" customWidth="1"/>
    <col min="11787" max="11787" width="10.7109375" style="184" customWidth="1"/>
    <col min="11788" max="11789" width="9.7109375" style="184" bestFit="1" customWidth="1"/>
    <col min="11790" max="11790" width="10.7109375" style="184" customWidth="1"/>
    <col min="11791" max="11792" width="9.7109375" style="184" bestFit="1" customWidth="1"/>
    <col min="11793" max="11793" width="10.7109375" style="184" customWidth="1"/>
    <col min="11794" max="11794" width="9.140625" style="184" bestFit="1" customWidth="1"/>
    <col min="11795" max="11795" width="9.7109375" style="184" bestFit="1" customWidth="1"/>
    <col min="11796" max="11796" width="10.7109375" style="184" customWidth="1"/>
    <col min="11797" max="11798" width="9.7109375" style="184" bestFit="1" customWidth="1"/>
    <col min="11799" max="11799" width="10.7109375" style="184" customWidth="1"/>
    <col min="11800" max="11800" width="9.7109375" style="184" bestFit="1" customWidth="1"/>
    <col min="11801" max="11801" width="7.28515625" style="184" bestFit="1" customWidth="1"/>
    <col min="11802" max="11802" width="10.7109375" style="184" customWidth="1"/>
    <col min="11803" max="12031" width="11.42578125" style="184"/>
    <col min="12032" max="12032" width="0.28515625" style="184" customWidth="1"/>
    <col min="12033" max="12033" width="23.7109375" style="184" customWidth="1"/>
    <col min="12034" max="12034" width="13" style="184" customWidth="1"/>
    <col min="12035" max="12036" width="9.7109375" style="184" bestFit="1" customWidth="1"/>
    <col min="12037" max="12037" width="10.7109375" style="184" customWidth="1"/>
    <col min="12038" max="12039" width="9.7109375" style="184" bestFit="1" customWidth="1"/>
    <col min="12040" max="12040" width="10.7109375" style="184" customWidth="1"/>
    <col min="12041" max="12042" width="9.7109375" style="184" bestFit="1" customWidth="1"/>
    <col min="12043" max="12043" width="10.7109375" style="184" customWidth="1"/>
    <col min="12044" max="12045" width="9.7109375" style="184" bestFit="1" customWidth="1"/>
    <col min="12046" max="12046" width="10.7109375" style="184" customWidth="1"/>
    <col min="12047" max="12048" width="9.7109375" style="184" bestFit="1" customWidth="1"/>
    <col min="12049" max="12049" width="10.7109375" style="184" customWidth="1"/>
    <col min="12050" max="12050" width="9.140625" style="184" bestFit="1" customWidth="1"/>
    <col min="12051" max="12051" width="9.7109375" style="184" bestFit="1" customWidth="1"/>
    <col min="12052" max="12052" width="10.7109375" style="184" customWidth="1"/>
    <col min="12053" max="12054" width="9.7109375" style="184" bestFit="1" customWidth="1"/>
    <col min="12055" max="12055" width="10.7109375" style="184" customWidth="1"/>
    <col min="12056" max="12056" width="9.7109375" style="184" bestFit="1" customWidth="1"/>
    <col min="12057" max="12057" width="7.28515625" style="184" bestFit="1" customWidth="1"/>
    <col min="12058" max="12058" width="10.7109375" style="184" customWidth="1"/>
    <col min="12059" max="12287" width="11.42578125" style="184"/>
    <col min="12288" max="12288" width="0.28515625" style="184" customWidth="1"/>
    <col min="12289" max="12289" width="23.7109375" style="184" customWidth="1"/>
    <col min="12290" max="12290" width="13" style="184" customWidth="1"/>
    <col min="12291" max="12292" width="9.7109375" style="184" bestFit="1" customWidth="1"/>
    <col min="12293" max="12293" width="10.7109375" style="184" customWidth="1"/>
    <col min="12294" max="12295" width="9.7109375" style="184" bestFit="1" customWidth="1"/>
    <col min="12296" max="12296" width="10.7109375" style="184" customWidth="1"/>
    <col min="12297" max="12298" width="9.7109375" style="184" bestFit="1" customWidth="1"/>
    <col min="12299" max="12299" width="10.7109375" style="184" customWidth="1"/>
    <col min="12300" max="12301" width="9.7109375" style="184" bestFit="1" customWidth="1"/>
    <col min="12302" max="12302" width="10.7109375" style="184" customWidth="1"/>
    <col min="12303" max="12304" width="9.7109375" style="184" bestFit="1" customWidth="1"/>
    <col min="12305" max="12305" width="10.7109375" style="184" customWidth="1"/>
    <col min="12306" max="12306" width="9.140625" style="184" bestFit="1" customWidth="1"/>
    <col min="12307" max="12307" width="9.7109375" style="184" bestFit="1" customWidth="1"/>
    <col min="12308" max="12308" width="10.7109375" style="184" customWidth="1"/>
    <col min="12309" max="12310" width="9.7109375" style="184" bestFit="1" customWidth="1"/>
    <col min="12311" max="12311" width="10.7109375" style="184" customWidth="1"/>
    <col min="12312" max="12312" width="9.7109375" style="184" bestFit="1" customWidth="1"/>
    <col min="12313" max="12313" width="7.28515625" style="184" bestFit="1" customWidth="1"/>
    <col min="12314" max="12314" width="10.7109375" style="184" customWidth="1"/>
    <col min="12315" max="12543" width="11.42578125" style="184"/>
    <col min="12544" max="12544" width="0.28515625" style="184" customWidth="1"/>
    <col min="12545" max="12545" width="23.7109375" style="184" customWidth="1"/>
    <col min="12546" max="12546" width="13" style="184" customWidth="1"/>
    <col min="12547" max="12548" width="9.7109375" style="184" bestFit="1" customWidth="1"/>
    <col min="12549" max="12549" width="10.7109375" style="184" customWidth="1"/>
    <col min="12550" max="12551" width="9.7109375" style="184" bestFit="1" customWidth="1"/>
    <col min="12552" max="12552" width="10.7109375" style="184" customWidth="1"/>
    <col min="12553" max="12554" width="9.7109375" style="184" bestFit="1" customWidth="1"/>
    <col min="12555" max="12555" width="10.7109375" style="184" customWidth="1"/>
    <col min="12556" max="12557" width="9.7109375" style="184" bestFit="1" customWidth="1"/>
    <col min="12558" max="12558" width="10.7109375" style="184" customWidth="1"/>
    <col min="12559" max="12560" width="9.7109375" style="184" bestFit="1" customWidth="1"/>
    <col min="12561" max="12561" width="10.7109375" style="184" customWidth="1"/>
    <col min="12562" max="12562" width="9.140625" style="184" bestFit="1" customWidth="1"/>
    <col min="12563" max="12563" width="9.7109375" style="184" bestFit="1" customWidth="1"/>
    <col min="12564" max="12564" width="10.7109375" style="184" customWidth="1"/>
    <col min="12565" max="12566" width="9.7109375" style="184" bestFit="1" customWidth="1"/>
    <col min="12567" max="12567" width="10.7109375" style="184" customWidth="1"/>
    <col min="12568" max="12568" width="9.7109375" style="184" bestFit="1" customWidth="1"/>
    <col min="12569" max="12569" width="7.28515625" style="184" bestFit="1" customWidth="1"/>
    <col min="12570" max="12570" width="10.7109375" style="184" customWidth="1"/>
    <col min="12571" max="12799" width="11.42578125" style="184"/>
    <col min="12800" max="12800" width="0.28515625" style="184" customWidth="1"/>
    <col min="12801" max="12801" width="23.7109375" style="184" customWidth="1"/>
    <col min="12802" max="12802" width="13" style="184" customWidth="1"/>
    <col min="12803" max="12804" width="9.7109375" style="184" bestFit="1" customWidth="1"/>
    <col min="12805" max="12805" width="10.7109375" style="184" customWidth="1"/>
    <col min="12806" max="12807" width="9.7109375" style="184" bestFit="1" customWidth="1"/>
    <col min="12808" max="12808" width="10.7109375" style="184" customWidth="1"/>
    <col min="12809" max="12810" width="9.7109375" style="184" bestFit="1" customWidth="1"/>
    <col min="12811" max="12811" width="10.7109375" style="184" customWidth="1"/>
    <col min="12812" max="12813" width="9.7109375" style="184" bestFit="1" customWidth="1"/>
    <col min="12814" max="12814" width="10.7109375" style="184" customWidth="1"/>
    <col min="12815" max="12816" width="9.7109375" style="184" bestFit="1" customWidth="1"/>
    <col min="12817" max="12817" width="10.7109375" style="184" customWidth="1"/>
    <col min="12818" max="12818" width="9.140625" style="184" bestFit="1" customWidth="1"/>
    <col min="12819" max="12819" width="9.7109375" style="184" bestFit="1" customWidth="1"/>
    <col min="12820" max="12820" width="10.7109375" style="184" customWidth="1"/>
    <col min="12821" max="12822" width="9.7109375" style="184" bestFit="1" customWidth="1"/>
    <col min="12823" max="12823" width="10.7109375" style="184" customWidth="1"/>
    <col min="12824" max="12824" width="9.7109375" style="184" bestFit="1" customWidth="1"/>
    <col min="12825" max="12825" width="7.28515625" style="184" bestFit="1" customWidth="1"/>
    <col min="12826" max="12826" width="10.7109375" style="184" customWidth="1"/>
    <col min="12827" max="13055" width="11.42578125" style="184"/>
    <col min="13056" max="13056" width="0.28515625" style="184" customWidth="1"/>
    <col min="13057" max="13057" width="23.7109375" style="184" customWidth="1"/>
    <col min="13058" max="13058" width="13" style="184" customWidth="1"/>
    <col min="13059" max="13060" width="9.7109375" style="184" bestFit="1" customWidth="1"/>
    <col min="13061" max="13061" width="10.7109375" style="184" customWidth="1"/>
    <col min="13062" max="13063" width="9.7109375" style="184" bestFit="1" customWidth="1"/>
    <col min="13064" max="13064" width="10.7109375" style="184" customWidth="1"/>
    <col min="13065" max="13066" width="9.7109375" style="184" bestFit="1" customWidth="1"/>
    <col min="13067" max="13067" width="10.7109375" style="184" customWidth="1"/>
    <col min="13068" max="13069" width="9.7109375" style="184" bestFit="1" customWidth="1"/>
    <col min="13070" max="13070" width="10.7109375" style="184" customWidth="1"/>
    <col min="13071" max="13072" width="9.7109375" style="184" bestFit="1" customWidth="1"/>
    <col min="13073" max="13073" width="10.7109375" style="184" customWidth="1"/>
    <col min="13074" max="13074" width="9.140625" style="184" bestFit="1" customWidth="1"/>
    <col min="13075" max="13075" width="9.7109375" style="184" bestFit="1" customWidth="1"/>
    <col min="13076" max="13076" width="10.7109375" style="184" customWidth="1"/>
    <col min="13077" max="13078" width="9.7109375" style="184" bestFit="1" customWidth="1"/>
    <col min="13079" max="13079" width="10.7109375" style="184" customWidth="1"/>
    <col min="13080" max="13080" width="9.7109375" style="184" bestFit="1" customWidth="1"/>
    <col min="13081" max="13081" width="7.28515625" style="184" bestFit="1" customWidth="1"/>
    <col min="13082" max="13082" width="10.7109375" style="184" customWidth="1"/>
    <col min="13083" max="13311" width="11.42578125" style="184"/>
    <col min="13312" max="13312" width="0.28515625" style="184" customWidth="1"/>
    <col min="13313" max="13313" width="23.7109375" style="184" customWidth="1"/>
    <col min="13314" max="13314" width="13" style="184" customWidth="1"/>
    <col min="13315" max="13316" width="9.7109375" style="184" bestFit="1" customWidth="1"/>
    <col min="13317" max="13317" width="10.7109375" style="184" customWidth="1"/>
    <col min="13318" max="13319" width="9.7109375" style="184" bestFit="1" customWidth="1"/>
    <col min="13320" max="13320" width="10.7109375" style="184" customWidth="1"/>
    <col min="13321" max="13322" width="9.7109375" style="184" bestFit="1" customWidth="1"/>
    <col min="13323" max="13323" width="10.7109375" style="184" customWidth="1"/>
    <col min="13324" max="13325" width="9.7109375" style="184" bestFit="1" customWidth="1"/>
    <col min="13326" max="13326" width="10.7109375" style="184" customWidth="1"/>
    <col min="13327" max="13328" width="9.7109375" style="184" bestFit="1" customWidth="1"/>
    <col min="13329" max="13329" width="10.7109375" style="184" customWidth="1"/>
    <col min="13330" max="13330" width="9.140625" style="184" bestFit="1" customWidth="1"/>
    <col min="13331" max="13331" width="9.7109375" style="184" bestFit="1" customWidth="1"/>
    <col min="13332" max="13332" width="10.7109375" style="184" customWidth="1"/>
    <col min="13333" max="13334" width="9.7109375" style="184" bestFit="1" customWidth="1"/>
    <col min="13335" max="13335" width="10.7109375" style="184" customWidth="1"/>
    <col min="13336" max="13336" width="9.7109375" style="184" bestFit="1" customWidth="1"/>
    <col min="13337" max="13337" width="7.28515625" style="184" bestFit="1" customWidth="1"/>
    <col min="13338" max="13338" width="10.7109375" style="184" customWidth="1"/>
    <col min="13339" max="13567" width="11.42578125" style="184"/>
    <col min="13568" max="13568" width="0.28515625" style="184" customWidth="1"/>
    <col min="13569" max="13569" width="23.7109375" style="184" customWidth="1"/>
    <col min="13570" max="13570" width="13" style="184" customWidth="1"/>
    <col min="13571" max="13572" width="9.7109375" style="184" bestFit="1" customWidth="1"/>
    <col min="13573" max="13573" width="10.7109375" style="184" customWidth="1"/>
    <col min="13574" max="13575" width="9.7109375" style="184" bestFit="1" customWidth="1"/>
    <col min="13576" max="13576" width="10.7109375" style="184" customWidth="1"/>
    <col min="13577" max="13578" width="9.7109375" style="184" bestFit="1" customWidth="1"/>
    <col min="13579" max="13579" width="10.7109375" style="184" customWidth="1"/>
    <col min="13580" max="13581" width="9.7109375" style="184" bestFit="1" customWidth="1"/>
    <col min="13582" max="13582" width="10.7109375" style="184" customWidth="1"/>
    <col min="13583" max="13584" width="9.7109375" style="184" bestFit="1" customWidth="1"/>
    <col min="13585" max="13585" width="10.7109375" style="184" customWidth="1"/>
    <col min="13586" max="13586" width="9.140625" style="184" bestFit="1" customWidth="1"/>
    <col min="13587" max="13587" width="9.7109375" style="184" bestFit="1" customWidth="1"/>
    <col min="13588" max="13588" width="10.7109375" style="184" customWidth="1"/>
    <col min="13589" max="13590" width="9.7109375" style="184" bestFit="1" customWidth="1"/>
    <col min="13591" max="13591" width="10.7109375" style="184" customWidth="1"/>
    <col min="13592" max="13592" width="9.7109375" style="184" bestFit="1" customWidth="1"/>
    <col min="13593" max="13593" width="7.28515625" style="184" bestFit="1" customWidth="1"/>
    <col min="13594" max="13594" width="10.7109375" style="184" customWidth="1"/>
    <col min="13595" max="13823" width="11.42578125" style="184"/>
    <col min="13824" max="13824" width="0.28515625" style="184" customWidth="1"/>
    <col min="13825" max="13825" width="23.7109375" style="184" customWidth="1"/>
    <col min="13826" max="13826" width="13" style="184" customWidth="1"/>
    <col min="13827" max="13828" width="9.7109375" style="184" bestFit="1" customWidth="1"/>
    <col min="13829" max="13829" width="10.7109375" style="184" customWidth="1"/>
    <col min="13830" max="13831" width="9.7109375" style="184" bestFit="1" customWidth="1"/>
    <col min="13832" max="13832" width="10.7109375" style="184" customWidth="1"/>
    <col min="13833" max="13834" width="9.7109375" style="184" bestFit="1" customWidth="1"/>
    <col min="13835" max="13835" width="10.7109375" style="184" customWidth="1"/>
    <col min="13836" max="13837" width="9.7109375" style="184" bestFit="1" customWidth="1"/>
    <col min="13838" max="13838" width="10.7109375" style="184" customWidth="1"/>
    <col min="13839" max="13840" width="9.7109375" style="184" bestFit="1" customWidth="1"/>
    <col min="13841" max="13841" width="10.7109375" style="184" customWidth="1"/>
    <col min="13842" max="13842" width="9.140625" style="184" bestFit="1" customWidth="1"/>
    <col min="13843" max="13843" width="9.7109375" style="184" bestFit="1" customWidth="1"/>
    <col min="13844" max="13844" width="10.7109375" style="184" customWidth="1"/>
    <col min="13845" max="13846" width="9.7109375" style="184" bestFit="1" customWidth="1"/>
    <col min="13847" max="13847" width="10.7109375" style="184" customWidth="1"/>
    <col min="13848" max="13848" width="9.7109375" style="184" bestFit="1" customWidth="1"/>
    <col min="13849" max="13849" width="7.28515625" style="184" bestFit="1" customWidth="1"/>
    <col min="13850" max="13850" width="10.7109375" style="184" customWidth="1"/>
    <col min="13851" max="14079" width="11.42578125" style="184"/>
    <col min="14080" max="14080" width="0.28515625" style="184" customWidth="1"/>
    <col min="14081" max="14081" width="23.7109375" style="184" customWidth="1"/>
    <col min="14082" max="14082" width="13" style="184" customWidth="1"/>
    <col min="14083" max="14084" width="9.7109375" style="184" bestFit="1" customWidth="1"/>
    <col min="14085" max="14085" width="10.7109375" style="184" customWidth="1"/>
    <col min="14086" max="14087" width="9.7109375" style="184" bestFit="1" customWidth="1"/>
    <col min="14088" max="14088" width="10.7109375" style="184" customWidth="1"/>
    <col min="14089" max="14090" width="9.7109375" style="184" bestFit="1" customWidth="1"/>
    <col min="14091" max="14091" width="10.7109375" style="184" customWidth="1"/>
    <col min="14092" max="14093" width="9.7109375" style="184" bestFit="1" customWidth="1"/>
    <col min="14094" max="14094" width="10.7109375" style="184" customWidth="1"/>
    <col min="14095" max="14096" width="9.7109375" style="184" bestFit="1" customWidth="1"/>
    <col min="14097" max="14097" width="10.7109375" style="184" customWidth="1"/>
    <col min="14098" max="14098" width="9.140625" style="184" bestFit="1" customWidth="1"/>
    <col min="14099" max="14099" width="9.7109375" style="184" bestFit="1" customWidth="1"/>
    <col min="14100" max="14100" width="10.7109375" style="184" customWidth="1"/>
    <col min="14101" max="14102" width="9.7109375" style="184" bestFit="1" customWidth="1"/>
    <col min="14103" max="14103" width="10.7109375" style="184" customWidth="1"/>
    <col min="14104" max="14104" width="9.7109375" style="184" bestFit="1" customWidth="1"/>
    <col min="14105" max="14105" width="7.28515625" style="184" bestFit="1" customWidth="1"/>
    <col min="14106" max="14106" width="10.7109375" style="184" customWidth="1"/>
    <col min="14107" max="14335" width="11.42578125" style="184"/>
    <col min="14336" max="14336" width="0.28515625" style="184" customWidth="1"/>
    <col min="14337" max="14337" width="23.7109375" style="184" customWidth="1"/>
    <col min="14338" max="14338" width="13" style="184" customWidth="1"/>
    <col min="14339" max="14340" width="9.7109375" style="184" bestFit="1" customWidth="1"/>
    <col min="14341" max="14341" width="10.7109375" style="184" customWidth="1"/>
    <col min="14342" max="14343" width="9.7109375" style="184" bestFit="1" customWidth="1"/>
    <col min="14344" max="14344" width="10.7109375" style="184" customWidth="1"/>
    <col min="14345" max="14346" width="9.7109375" style="184" bestFit="1" customWidth="1"/>
    <col min="14347" max="14347" width="10.7109375" style="184" customWidth="1"/>
    <col min="14348" max="14349" width="9.7109375" style="184" bestFit="1" customWidth="1"/>
    <col min="14350" max="14350" width="10.7109375" style="184" customWidth="1"/>
    <col min="14351" max="14352" width="9.7109375" style="184" bestFit="1" customWidth="1"/>
    <col min="14353" max="14353" width="10.7109375" style="184" customWidth="1"/>
    <col min="14354" max="14354" width="9.140625" style="184" bestFit="1" customWidth="1"/>
    <col min="14355" max="14355" width="9.7109375" style="184" bestFit="1" customWidth="1"/>
    <col min="14356" max="14356" width="10.7109375" style="184" customWidth="1"/>
    <col min="14357" max="14358" width="9.7109375" style="184" bestFit="1" customWidth="1"/>
    <col min="14359" max="14359" width="10.7109375" style="184" customWidth="1"/>
    <col min="14360" max="14360" width="9.7109375" style="184" bestFit="1" customWidth="1"/>
    <col min="14361" max="14361" width="7.28515625" style="184" bestFit="1" customWidth="1"/>
    <col min="14362" max="14362" width="10.7109375" style="184" customWidth="1"/>
    <col min="14363" max="14591" width="11.42578125" style="184"/>
    <col min="14592" max="14592" width="0.28515625" style="184" customWidth="1"/>
    <col min="14593" max="14593" width="23.7109375" style="184" customWidth="1"/>
    <col min="14594" max="14594" width="13" style="184" customWidth="1"/>
    <col min="14595" max="14596" width="9.7109375" style="184" bestFit="1" customWidth="1"/>
    <col min="14597" max="14597" width="10.7109375" style="184" customWidth="1"/>
    <col min="14598" max="14599" width="9.7109375" style="184" bestFit="1" customWidth="1"/>
    <col min="14600" max="14600" width="10.7109375" style="184" customWidth="1"/>
    <col min="14601" max="14602" width="9.7109375" style="184" bestFit="1" customWidth="1"/>
    <col min="14603" max="14603" width="10.7109375" style="184" customWidth="1"/>
    <col min="14604" max="14605" width="9.7109375" style="184" bestFit="1" customWidth="1"/>
    <col min="14606" max="14606" width="10.7109375" style="184" customWidth="1"/>
    <col min="14607" max="14608" width="9.7109375" style="184" bestFit="1" customWidth="1"/>
    <col min="14609" max="14609" width="10.7109375" style="184" customWidth="1"/>
    <col min="14610" max="14610" width="9.140625" style="184" bestFit="1" customWidth="1"/>
    <col min="14611" max="14611" width="9.7109375" style="184" bestFit="1" customWidth="1"/>
    <col min="14612" max="14612" width="10.7109375" style="184" customWidth="1"/>
    <col min="14613" max="14614" width="9.7109375" style="184" bestFit="1" customWidth="1"/>
    <col min="14615" max="14615" width="10.7109375" style="184" customWidth="1"/>
    <col min="14616" max="14616" width="9.7109375" style="184" bestFit="1" customWidth="1"/>
    <col min="14617" max="14617" width="7.28515625" style="184" bestFit="1" customWidth="1"/>
    <col min="14618" max="14618" width="10.7109375" style="184" customWidth="1"/>
    <col min="14619" max="14847" width="11.42578125" style="184"/>
    <col min="14848" max="14848" width="0.28515625" style="184" customWidth="1"/>
    <col min="14849" max="14849" width="23.7109375" style="184" customWidth="1"/>
    <col min="14850" max="14850" width="13" style="184" customWidth="1"/>
    <col min="14851" max="14852" width="9.7109375" style="184" bestFit="1" customWidth="1"/>
    <col min="14853" max="14853" width="10.7109375" style="184" customWidth="1"/>
    <col min="14854" max="14855" width="9.7109375" style="184" bestFit="1" customWidth="1"/>
    <col min="14856" max="14856" width="10.7109375" style="184" customWidth="1"/>
    <col min="14857" max="14858" width="9.7109375" style="184" bestFit="1" customWidth="1"/>
    <col min="14859" max="14859" width="10.7109375" style="184" customWidth="1"/>
    <col min="14860" max="14861" width="9.7109375" style="184" bestFit="1" customWidth="1"/>
    <col min="14862" max="14862" width="10.7109375" style="184" customWidth="1"/>
    <col min="14863" max="14864" width="9.7109375" style="184" bestFit="1" customWidth="1"/>
    <col min="14865" max="14865" width="10.7109375" style="184" customWidth="1"/>
    <col min="14866" max="14866" width="9.140625" style="184" bestFit="1" customWidth="1"/>
    <col min="14867" max="14867" width="9.7109375" style="184" bestFit="1" customWidth="1"/>
    <col min="14868" max="14868" width="10.7109375" style="184" customWidth="1"/>
    <col min="14869" max="14870" width="9.7109375" style="184" bestFit="1" customWidth="1"/>
    <col min="14871" max="14871" width="10.7109375" style="184" customWidth="1"/>
    <col min="14872" max="14872" width="9.7109375" style="184" bestFit="1" customWidth="1"/>
    <col min="14873" max="14873" width="7.28515625" style="184" bestFit="1" customWidth="1"/>
    <col min="14874" max="14874" width="10.7109375" style="184" customWidth="1"/>
    <col min="14875" max="15103" width="11.42578125" style="184"/>
    <col min="15104" max="15104" width="0.28515625" style="184" customWidth="1"/>
    <col min="15105" max="15105" width="23.7109375" style="184" customWidth="1"/>
    <col min="15106" max="15106" width="13" style="184" customWidth="1"/>
    <col min="15107" max="15108" width="9.7109375" style="184" bestFit="1" customWidth="1"/>
    <col min="15109" max="15109" width="10.7109375" style="184" customWidth="1"/>
    <col min="15110" max="15111" width="9.7109375" style="184" bestFit="1" customWidth="1"/>
    <col min="15112" max="15112" width="10.7109375" style="184" customWidth="1"/>
    <col min="15113" max="15114" width="9.7109375" style="184" bestFit="1" customWidth="1"/>
    <col min="15115" max="15115" width="10.7109375" style="184" customWidth="1"/>
    <col min="15116" max="15117" width="9.7109375" style="184" bestFit="1" customWidth="1"/>
    <col min="15118" max="15118" width="10.7109375" style="184" customWidth="1"/>
    <col min="15119" max="15120" width="9.7109375" style="184" bestFit="1" customWidth="1"/>
    <col min="15121" max="15121" width="10.7109375" style="184" customWidth="1"/>
    <col min="15122" max="15122" width="9.140625" style="184" bestFit="1" customWidth="1"/>
    <col min="15123" max="15123" width="9.7109375" style="184" bestFit="1" customWidth="1"/>
    <col min="15124" max="15124" width="10.7109375" style="184" customWidth="1"/>
    <col min="15125" max="15126" width="9.7109375" style="184" bestFit="1" customWidth="1"/>
    <col min="15127" max="15127" width="10.7109375" style="184" customWidth="1"/>
    <col min="15128" max="15128" width="9.7109375" style="184" bestFit="1" customWidth="1"/>
    <col min="15129" max="15129" width="7.28515625" style="184" bestFit="1" customWidth="1"/>
    <col min="15130" max="15130" width="10.7109375" style="184" customWidth="1"/>
    <col min="15131" max="15359" width="11.42578125" style="184"/>
    <col min="15360" max="15360" width="0.28515625" style="184" customWidth="1"/>
    <col min="15361" max="15361" width="23.7109375" style="184" customWidth="1"/>
    <col min="15362" max="15362" width="13" style="184" customWidth="1"/>
    <col min="15363" max="15364" width="9.7109375" style="184" bestFit="1" customWidth="1"/>
    <col min="15365" max="15365" width="10.7109375" style="184" customWidth="1"/>
    <col min="15366" max="15367" width="9.7109375" style="184" bestFit="1" customWidth="1"/>
    <col min="15368" max="15368" width="10.7109375" style="184" customWidth="1"/>
    <col min="15369" max="15370" width="9.7109375" style="184" bestFit="1" customWidth="1"/>
    <col min="15371" max="15371" width="10.7109375" style="184" customWidth="1"/>
    <col min="15372" max="15373" width="9.7109375" style="184" bestFit="1" customWidth="1"/>
    <col min="15374" max="15374" width="10.7109375" style="184" customWidth="1"/>
    <col min="15375" max="15376" width="9.7109375" style="184" bestFit="1" customWidth="1"/>
    <col min="15377" max="15377" width="10.7109375" style="184" customWidth="1"/>
    <col min="15378" max="15378" width="9.140625" style="184" bestFit="1" customWidth="1"/>
    <col min="15379" max="15379" width="9.7109375" style="184" bestFit="1" customWidth="1"/>
    <col min="15380" max="15380" width="10.7109375" style="184" customWidth="1"/>
    <col min="15381" max="15382" width="9.7109375" style="184" bestFit="1" customWidth="1"/>
    <col min="15383" max="15383" width="10.7109375" style="184" customWidth="1"/>
    <col min="15384" max="15384" width="9.7109375" style="184" bestFit="1" customWidth="1"/>
    <col min="15385" max="15385" width="7.28515625" style="184" bestFit="1" customWidth="1"/>
    <col min="15386" max="15386" width="10.7109375" style="184" customWidth="1"/>
    <col min="15387" max="15615" width="11.42578125" style="184"/>
    <col min="15616" max="15616" width="0.28515625" style="184" customWidth="1"/>
    <col min="15617" max="15617" width="23.7109375" style="184" customWidth="1"/>
    <col min="15618" max="15618" width="13" style="184" customWidth="1"/>
    <col min="15619" max="15620" width="9.7109375" style="184" bestFit="1" customWidth="1"/>
    <col min="15621" max="15621" width="10.7109375" style="184" customWidth="1"/>
    <col min="15622" max="15623" width="9.7109375" style="184" bestFit="1" customWidth="1"/>
    <col min="15624" max="15624" width="10.7109375" style="184" customWidth="1"/>
    <col min="15625" max="15626" width="9.7109375" style="184" bestFit="1" customWidth="1"/>
    <col min="15627" max="15627" width="10.7109375" style="184" customWidth="1"/>
    <col min="15628" max="15629" width="9.7109375" style="184" bestFit="1" customWidth="1"/>
    <col min="15630" max="15630" width="10.7109375" style="184" customWidth="1"/>
    <col min="15631" max="15632" width="9.7109375" style="184" bestFit="1" customWidth="1"/>
    <col min="15633" max="15633" width="10.7109375" style="184" customWidth="1"/>
    <col min="15634" max="15634" width="9.140625" style="184" bestFit="1" customWidth="1"/>
    <col min="15635" max="15635" width="9.7109375" style="184" bestFit="1" customWidth="1"/>
    <col min="15636" max="15636" width="10.7109375" style="184" customWidth="1"/>
    <col min="15637" max="15638" width="9.7109375" style="184" bestFit="1" customWidth="1"/>
    <col min="15639" max="15639" width="10.7109375" style="184" customWidth="1"/>
    <col min="15640" max="15640" width="9.7109375" style="184" bestFit="1" customWidth="1"/>
    <col min="15641" max="15641" width="7.28515625" style="184" bestFit="1" customWidth="1"/>
    <col min="15642" max="15642" width="10.7109375" style="184" customWidth="1"/>
    <col min="15643" max="15871" width="11.42578125" style="184"/>
    <col min="15872" max="15872" width="0.28515625" style="184" customWidth="1"/>
    <col min="15873" max="15873" width="23.7109375" style="184" customWidth="1"/>
    <col min="15874" max="15874" width="13" style="184" customWidth="1"/>
    <col min="15875" max="15876" width="9.7109375" style="184" bestFit="1" customWidth="1"/>
    <col min="15877" max="15877" width="10.7109375" style="184" customWidth="1"/>
    <col min="15878" max="15879" width="9.7109375" style="184" bestFit="1" customWidth="1"/>
    <col min="15880" max="15880" width="10.7109375" style="184" customWidth="1"/>
    <col min="15881" max="15882" width="9.7109375" style="184" bestFit="1" customWidth="1"/>
    <col min="15883" max="15883" width="10.7109375" style="184" customWidth="1"/>
    <col min="15884" max="15885" width="9.7109375" style="184" bestFit="1" customWidth="1"/>
    <col min="15886" max="15886" width="10.7109375" style="184" customWidth="1"/>
    <col min="15887" max="15888" width="9.7109375" style="184" bestFit="1" customWidth="1"/>
    <col min="15889" max="15889" width="10.7109375" style="184" customWidth="1"/>
    <col min="15890" max="15890" width="9.140625" style="184" bestFit="1" customWidth="1"/>
    <col min="15891" max="15891" width="9.7109375" style="184" bestFit="1" customWidth="1"/>
    <col min="15892" max="15892" width="10.7109375" style="184" customWidth="1"/>
    <col min="15893" max="15894" width="9.7109375" style="184" bestFit="1" customWidth="1"/>
    <col min="15895" max="15895" width="10.7109375" style="184" customWidth="1"/>
    <col min="15896" max="15896" width="9.7109375" style="184" bestFit="1" customWidth="1"/>
    <col min="15897" max="15897" width="7.28515625" style="184" bestFit="1" customWidth="1"/>
    <col min="15898" max="15898" width="10.7109375" style="184" customWidth="1"/>
    <col min="15899" max="16127" width="11.42578125" style="184"/>
    <col min="16128" max="16128" width="0.28515625" style="184" customWidth="1"/>
    <col min="16129" max="16129" width="23.7109375" style="184" customWidth="1"/>
    <col min="16130" max="16130" width="13" style="184" customWidth="1"/>
    <col min="16131" max="16132" width="9.7109375" style="184" bestFit="1" customWidth="1"/>
    <col min="16133" max="16133" width="10.7109375" style="184" customWidth="1"/>
    <col min="16134" max="16135" width="9.7109375" style="184" bestFit="1" customWidth="1"/>
    <col min="16136" max="16136" width="10.7109375" style="184" customWidth="1"/>
    <col min="16137" max="16138" width="9.7109375" style="184" bestFit="1" customWidth="1"/>
    <col min="16139" max="16139" width="10.7109375" style="184" customWidth="1"/>
    <col min="16140" max="16141" width="9.7109375" style="184" bestFit="1" customWidth="1"/>
    <col min="16142" max="16142" width="10.7109375" style="184" customWidth="1"/>
    <col min="16143" max="16144" width="9.7109375" style="184" bestFit="1" customWidth="1"/>
    <col min="16145" max="16145" width="10.7109375" style="184" customWidth="1"/>
    <col min="16146" max="16146" width="9.140625" style="184" bestFit="1" customWidth="1"/>
    <col min="16147" max="16147" width="9.7109375" style="184" bestFit="1" customWidth="1"/>
    <col min="16148" max="16148" width="10.7109375" style="184" customWidth="1"/>
    <col min="16149" max="16150" width="9.7109375" style="184" bestFit="1" customWidth="1"/>
    <col min="16151" max="16151" width="10.7109375" style="184" customWidth="1"/>
    <col min="16152" max="16152" width="9.7109375" style="184" bestFit="1" customWidth="1"/>
    <col min="16153" max="16153" width="7.28515625" style="184" bestFit="1" customWidth="1"/>
    <col min="16154" max="16154" width="10.7109375" style="184" customWidth="1"/>
    <col min="16155" max="16384" width="11.42578125" style="184"/>
  </cols>
  <sheetData>
    <row r="1" spans="1:47" ht="45" customHeight="1" x14ac:dyDescent="0.2">
      <c r="A1" s="5682" t="s">
        <v>1216</v>
      </c>
      <c r="B1" s="5682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</row>
    <row r="2" spans="1:47" ht="15.75" x14ac:dyDescent="0.2">
      <c r="A2" s="2207"/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  <c r="X2" s="630"/>
      <c r="Y2" s="630"/>
      <c r="Z2" s="630"/>
    </row>
    <row r="3" spans="1:47" ht="15" x14ac:dyDescent="0.2">
      <c r="A3" s="5723" t="s">
        <v>16</v>
      </c>
      <c r="B3" s="5723" t="s">
        <v>4</v>
      </c>
      <c r="C3" s="5641">
        <v>2003</v>
      </c>
      <c r="D3" s="5642"/>
      <c r="E3" s="5643"/>
      <c r="F3" s="5641">
        <v>2004</v>
      </c>
      <c r="G3" s="5642"/>
      <c r="H3" s="5643"/>
      <c r="I3" s="5641">
        <v>2005</v>
      </c>
      <c r="J3" s="5642"/>
      <c r="K3" s="5643"/>
      <c r="L3" s="5641">
        <v>2006</v>
      </c>
      <c r="M3" s="5642"/>
      <c r="N3" s="5643"/>
      <c r="O3" s="5641">
        <v>2007</v>
      </c>
      <c r="P3" s="5642"/>
      <c r="Q3" s="5643"/>
      <c r="R3" s="5641">
        <v>2008</v>
      </c>
      <c r="S3" s="5642"/>
      <c r="T3" s="5643"/>
      <c r="U3" s="5641">
        <v>2009</v>
      </c>
      <c r="V3" s="5642"/>
      <c r="W3" s="5643"/>
      <c r="X3" s="5641">
        <v>2010</v>
      </c>
      <c r="Y3" s="5642"/>
      <c r="Z3" s="5643"/>
      <c r="AA3" s="5641">
        <v>2011</v>
      </c>
      <c r="AB3" s="5642"/>
      <c r="AC3" s="5643"/>
      <c r="AD3" s="5641">
        <v>2012</v>
      </c>
      <c r="AE3" s="5642"/>
      <c r="AF3" s="5643"/>
      <c r="AG3" s="5641">
        <v>2013</v>
      </c>
      <c r="AH3" s="5642"/>
      <c r="AI3" s="5643"/>
      <c r="AJ3" s="5641">
        <v>2014</v>
      </c>
      <c r="AK3" s="5642"/>
      <c r="AL3" s="5643"/>
      <c r="AM3" s="5641">
        <v>2015</v>
      </c>
      <c r="AN3" s="5642"/>
      <c r="AO3" s="5643"/>
      <c r="AP3" s="5641">
        <v>2016</v>
      </c>
      <c r="AQ3" s="5642"/>
      <c r="AR3" s="5643"/>
      <c r="AS3" s="5641">
        <v>2017</v>
      </c>
      <c r="AT3" s="5642"/>
      <c r="AU3" s="5643"/>
    </row>
    <row r="4" spans="1:47" ht="15" x14ac:dyDescent="0.2">
      <c r="A4" s="5723"/>
      <c r="B4" s="5723"/>
      <c r="C4" s="557" t="s">
        <v>651</v>
      </c>
      <c r="D4" s="558" t="s">
        <v>652</v>
      </c>
      <c r="E4" s="996" t="s">
        <v>160</v>
      </c>
      <c r="F4" s="557" t="s">
        <v>651</v>
      </c>
      <c r="G4" s="558" t="s">
        <v>652</v>
      </c>
      <c r="H4" s="996" t="s">
        <v>160</v>
      </c>
      <c r="I4" s="557" t="s">
        <v>651</v>
      </c>
      <c r="J4" s="558" t="s">
        <v>652</v>
      </c>
      <c r="K4" s="996" t="s">
        <v>160</v>
      </c>
      <c r="L4" s="557" t="s">
        <v>651</v>
      </c>
      <c r="M4" s="558" t="s">
        <v>652</v>
      </c>
      <c r="N4" s="996" t="s">
        <v>160</v>
      </c>
      <c r="O4" s="557" t="s">
        <v>651</v>
      </c>
      <c r="P4" s="558" t="s">
        <v>652</v>
      </c>
      <c r="Q4" s="996" t="s">
        <v>160</v>
      </c>
      <c r="R4" s="557" t="s">
        <v>651</v>
      </c>
      <c r="S4" s="558" t="s">
        <v>652</v>
      </c>
      <c r="T4" s="996" t="s">
        <v>160</v>
      </c>
      <c r="U4" s="557" t="s">
        <v>651</v>
      </c>
      <c r="V4" s="558" t="s">
        <v>652</v>
      </c>
      <c r="W4" s="996" t="s">
        <v>160</v>
      </c>
      <c r="X4" s="557" t="s">
        <v>651</v>
      </c>
      <c r="Y4" s="558" t="s">
        <v>652</v>
      </c>
      <c r="Z4" s="996" t="s">
        <v>160</v>
      </c>
      <c r="AA4" s="557" t="s">
        <v>651</v>
      </c>
      <c r="AB4" s="558" t="s">
        <v>652</v>
      </c>
      <c r="AC4" s="996" t="s">
        <v>160</v>
      </c>
      <c r="AD4" s="557" t="s">
        <v>651</v>
      </c>
      <c r="AE4" s="558" t="s">
        <v>652</v>
      </c>
      <c r="AF4" s="996" t="s">
        <v>160</v>
      </c>
      <c r="AG4" s="557" t="s">
        <v>651</v>
      </c>
      <c r="AH4" s="558" t="s">
        <v>652</v>
      </c>
      <c r="AI4" s="996" t="s">
        <v>160</v>
      </c>
      <c r="AJ4" s="557" t="s">
        <v>651</v>
      </c>
      <c r="AK4" s="558" t="s">
        <v>652</v>
      </c>
      <c r="AL4" s="996" t="s">
        <v>160</v>
      </c>
      <c r="AM4" s="557" t="s">
        <v>651</v>
      </c>
      <c r="AN4" s="558" t="s">
        <v>652</v>
      </c>
      <c r="AO4" s="996" t="s">
        <v>160</v>
      </c>
      <c r="AP4" s="557" t="s">
        <v>651</v>
      </c>
      <c r="AQ4" s="558" t="s">
        <v>652</v>
      </c>
      <c r="AR4" s="996" t="s">
        <v>160</v>
      </c>
      <c r="AS4" s="557" t="s">
        <v>651</v>
      </c>
      <c r="AT4" s="558" t="s">
        <v>652</v>
      </c>
      <c r="AU4" s="996" t="s">
        <v>160</v>
      </c>
    </row>
    <row r="5" spans="1:47" ht="15" x14ac:dyDescent="0.2">
      <c r="A5" s="262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2"/>
      <c r="Z5" s="262"/>
      <c r="AA5" s="262"/>
      <c r="AB5" s="262"/>
      <c r="AC5" s="262"/>
      <c r="AD5" s="262"/>
      <c r="AE5" s="262"/>
      <c r="AF5" s="262"/>
      <c r="AG5" s="262"/>
      <c r="AH5" s="262"/>
      <c r="AI5" s="262"/>
      <c r="AJ5" s="262"/>
      <c r="AK5" s="262"/>
      <c r="AL5" s="262"/>
      <c r="AM5" s="262"/>
      <c r="AN5" s="262"/>
      <c r="AO5" s="262"/>
      <c r="AP5" s="262"/>
      <c r="AQ5" s="262"/>
      <c r="AR5" s="262"/>
      <c r="AS5" s="262"/>
      <c r="AT5" s="262"/>
      <c r="AU5" s="262"/>
    </row>
    <row r="6" spans="1:47" ht="15" x14ac:dyDescent="0.2">
      <c r="A6" s="5725" t="s">
        <v>161</v>
      </c>
      <c r="B6" s="492" t="s">
        <v>5</v>
      </c>
      <c r="C6" s="465">
        <v>420</v>
      </c>
      <c r="D6" s="464">
        <v>994</v>
      </c>
      <c r="E6" s="466">
        <f>SUM(C6:D6)</f>
        <v>1414</v>
      </c>
      <c r="F6" s="465">
        <v>776</v>
      </c>
      <c r="G6" s="464">
        <v>1217</v>
      </c>
      <c r="H6" s="494">
        <f>SUM(F6:G6)</f>
        <v>1993</v>
      </c>
      <c r="I6" s="465">
        <v>757</v>
      </c>
      <c r="J6" s="464">
        <v>1266</v>
      </c>
      <c r="K6" s="494">
        <f>SUM(I6:J6)</f>
        <v>2023</v>
      </c>
      <c r="L6" s="465">
        <v>802</v>
      </c>
      <c r="M6" s="464">
        <v>1354</v>
      </c>
      <c r="N6" s="494">
        <f>SUM(L6:M6)</f>
        <v>2156</v>
      </c>
      <c r="O6" s="465">
        <v>711</v>
      </c>
      <c r="P6" s="464">
        <v>1380</v>
      </c>
      <c r="Q6" s="494">
        <f>SUM(O6:P6)</f>
        <v>2091</v>
      </c>
      <c r="R6" s="465">
        <v>722</v>
      </c>
      <c r="S6" s="464">
        <v>1398</v>
      </c>
      <c r="T6" s="494">
        <f>SUM(R6:S6)</f>
        <v>2120</v>
      </c>
      <c r="U6" s="465">
        <v>784</v>
      </c>
      <c r="V6" s="464">
        <v>1259</v>
      </c>
      <c r="W6" s="494">
        <f>SUM(U6:V6)</f>
        <v>2043</v>
      </c>
      <c r="X6" s="465">
        <v>925</v>
      </c>
      <c r="Y6" s="464">
        <v>1460</v>
      </c>
      <c r="Z6" s="494">
        <f>SUM(X6:Y6)</f>
        <v>2385</v>
      </c>
      <c r="AA6" s="465">
        <v>1058</v>
      </c>
      <c r="AB6" s="464">
        <v>978</v>
      </c>
      <c r="AC6" s="494">
        <f>SUM(AA6:AB6)</f>
        <v>2036</v>
      </c>
      <c r="AD6" s="465">
        <f>SUM('Admitidos plan'!AE5:AE14)</f>
        <v>515</v>
      </c>
      <c r="AE6" s="464">
        <f>SUM('Admitidos plan'!AF5:AF14)</f>
        <v>934</v>
      </c>
      <c r="AF6" s="494">
        <f>SUM(AD6:AE6)</f>
        <v>1449</v>
      </c>
      <c r="AG6" s="465">
        <f>SUM('Admitidos plan'!AH5:AH14)</f>
        <v>600</v>
      </c>
      <c r="AH6" s="464">
        <f>SUM('Admitidos plan'!AI5:AI14)</f>
        <v>948</v>
      </c>
      <c r="AI6" s="494">
        <f>SUM(AG6:AH6)</f>
        <v>1548</v>
      </c>
      <c r="AJ6" s="465">
        <f>SUM('Admitidos plan'!AK5:AK14)</f>
        <v>454</v>
      </c>
      <c r="AK6" s="464">
        <f>SUM('Admitidos plan'!AL5:AL14)</f>
        <v>1000</v>
      </c>
      <c r="AL6" s="494">
        <f>SUM(AJ6:AK6)</f>
        <v>1454</v>
      </c>
      <c r="AM6" s="465">
        <f>SUM('Admitidos plan'!AN5:AN14)</f>
        <v>395</v>
      </c>
      <c r="AN6" s="464">
        <f>SUM('Admitidos plan'!AO5:AO14)</f>
        <v>854</v>
      </c>
      <c r="AO6" s="494">
        <f>SUM(AM6:AN6)</f>
        <v>1249</v>
      </c>
      <c r="AP6" s="465">
        <f>SUM('Admitidos plan'!AQ5:AQ14)</f>
        <v>598</v>
      </c>
      <c r="AQ6" s="464">
        <f>SUM('Admitidos plan'!AR5:AR14)</f>
        <v>970</v>
      </c>
      <c r="AR6" s="494">
        <f>SUM(AP6:AQ6)</f>
        <v>1568</v>
      </c>
      <c r="AS6" s="465">
        <f>SUM('Admitidos plan'!AT5:AT14)</f>
        <v>610</v>
      </c>
      <c r="AT6" s="464">
        <f>SUM('Admitidos plan'!AU5:AU14)</f>
        <v>1051</v>
      </c>
      <c r="AU6" s="494">
        <f>SUM(AS6:AT6)</f>
        <v>1661</v>
      </c>
    </row>
    <row r="7" spans="1:47" ht="15" x14ac:dyDescent="0.2">
      <c r="A7" s="5726"/>
      <c r="B7" s="498" t="s">
        <v>6</v>
      </c>
      <c r="C7" s="468">
        <v>507</v>
      </c>
      <c r="D7" s="467">
        <v>709</v>
      </c>
      <c r="E7" s="469">
        <f>SUM(C7:D7)</f>
        <v>1216</v>
      </c>
      <c r="F7" s="468">
        <v>484</v>
      </c>
      <c r="G7" s="467">
        <v>793</v>
      </c>
      <c r="H7" s="500">
        <f>SUM(F7:G7)</f>
        <v>1277</v>
      </c>
      <c r="I7" s="468">
        <v>542</v>
      </c>
      <c r="J7" s="467">
        <v>733</v>
      </c>
      <c r="K7" s="500">
        <f>SUM(I7:J7)</f>
        <v>1275</v>
      </c>
      <c r="L7" s="468">
        <v>448</v>
      </c>
      <c r="M7" s="467">
        <v>800</v>
      </c>
      <c r="N7" s="500">
        <f>SUM(L7:M7)</f>
        <v>1248</v>
      </c>
      <c r="O7" s="468">
        <v>621</v>
      </c>
      <c r="P7" s="467">
        <v>713</v>
      </c>
      <c r="Q7" s="500">
        <f>SUM(O7:P7)</f>
        <v>1334</v>
      </c>
      <c r="R7" s="468">
        <v>702</v>
      </c>
      <c r="S7" s="467">
        <v>695</v>
      </c>
      <c r="T7" s="500">
        <f>SUM(R7:S7)</f>
        <v>1397</v>
      </c>
      <c r="U7" s="468">
        <v>625</v>
      </c>
      <c r="V7" s="467">
        <v>817</v>
      </c>
      <c r="W7" s="500">
        <f>SUM(U7:V7)</f>
        <v>1442</v>
      </c>
      <c r="X7" s="468">
        <v>626</v>
      </c>
      <c r="Y7" s="467">
        <v>723</v>
      </c>
      <c r="Z7" s="500">
        <f>SUM(X7:Y7)</f>
        <v>1349</v>
      </c>
      <c r="AA7" s="468">
        <v>649</v>
      </c>
      <c r="AB7" s="467">
        <v>756</v>
      </c>
      <c r="AC7" s="500">
        <f>SUM(AA7:AB7)</f>
        <v>1405</v>
      </c>
      <c r="AD7" s="468">
        <f>SUM('Admitidos plan'!AE16:AE19)</f>
        <v>704</v>
      </c>
      <c r="AE7" s="467">
        <f>SUM('Admitidos plan'!AF16:AF19)</f>
        <v>882</v>
      </c>
      <c r="AF7" s="500">
        <f>SUM(AD7:AE7)</f>
        <v>1586</v>
      </c>
      <c r="AG7" s="468">
        <f>SUM('Admitidos plan'!AH16:AH19)</f>
        <v>661</v>
      </c>
      <c r="AH7" s="467">
        <f>SUM('Admitidos plan'!AI16:AI19)</f>
        <v>851</v>
      </c>
      <c r="AI7" s="500">
        <f>SUM(AG7:AH7)</f>
        <v>1512</v>
      </c>
      <c r="AJ7" s="468">
        <f>SUM('Admitidos plan'!AK16:AK19)</f>
        <v>644</v>
      </c>
      <c r="AK7" s="467">
        <f>SUM('Admitidos plan'!AL16:AL19)</f>
        <v>810</v>
      </c>
      <c r="AL7" s="500">
        <f>SUM(AJ7:AK7)</f>
        <v>1454</v>
      </c>
      <c r="AM7" s="468">
        <f>SUM('Admitidos plan'!AN16:AN19)</f>
        <v>718</v>
      </c>
      <c r="AN7" s="467">
        <f>SUM('Admitidos plan'!AO16:AO19)</f>
        <v>898</v>
      </c>
      <c r="AO7" s="500">
        <f>SUM(AM7:AN7)</f>
        <v>1616</v>
      </c>
      <c r="AP7" s="468">
        <f>SUM('Admitidos plan'!AQ16:AQ19)</f>
        <v>686</v>
      </c>
      <c r="AQ7" s="467">
        <f>SUM('Admitidos plan'!AR16:AR19)</f>
        <v>896</v>
      </c>
      <c r="AR7" s="500">
        <f>SUM(AP7:AQ7)</f>
        <v>1582</v>
      </c>
      <c r="AS7" s="468">
        <f>SUM('Admitidos plan'!AT16:AT19)</f>
        <v>673</v>
      </c>
      <c r="AT7" s="467">
        <f>SUM('Admitidos plan'!AU16:AU19)</f>
        <v>893</v>
      </c>
      <c r="AU7" s="500">
        <f>SUM(AS7:AT7)</f>
        <v>1566</v>
      </c>
    </row>
    <row r="8" spans="1:47" ht="15" x14ac:dyDescent="0.2">
      <c r="A8" s="5726"/>
      <c r="B8" s="498" t="s">
        <v>7</v>
      </c>
      <c r="C8" s="468">
        <v>348</v>
      </c>
      <c r="D8" s="467">
        <v>464</v>
      </c>
      <c r="E8" s="469">
        <f>SUM(C8:D8)</f>
        <v>812</v>
      </c>
      <c r="F8" s="468">
        <v>348</v>
      </c>
      <c r="G8" s="467">
        <v>379</v>
      </c>
      <c r="H8" s="500">
        <f>SUM(F8:G8)</f>
        <v>727</v>
      </c>
      <c r="I8" s="468">
        <v>328</v>
      </c>
      <c r="J8" s="467">
        <v>389</v>
      </c>
      <c r="K8" s="500">
        <f>SUM(I8:J8)</f>
        <v>717</v>
      </c>
      <c r="L8" s="468">
        <v>278</v>
      </c>
      <c r="M8" s="467">
        <v>370</v>
      </c>
      <c r="N8" s="500">
        <f>SUM(L8:M8)</f>
        <v>648</v>
      </c>
      <c r="O8" s="468">
        <v>293</v>
      </c>
      <c r="P8" s="467">
        <v>370</v>
      </c>
      <c r="Q8" s="500">
        <f>SUM(O8:P8)</f>
        <v>663</v>
      </c>
      <c r="R8" s="468">
        <v>286</v>
      </c>
      <c r="S8" s="467">
        <v>330</v>
      </c>
      <c r="T8" s="500">
        <f>SUM(R8:S8)</f>
        <v>616</v>
      </c>
      <c r="U8" s="468">
        <v>290</v>
      </c>
      <c r="V8" s="467">
        <v>357</v>
      </c>
      <c r="W8" s="500">
        <f>SUM(U8:V8)</f>
        <v>647</v>
      </c>
      <c r="X8" s="468">
        <v>284</v>
      </c>
      <c r="Y8" s="467">
        <v>338</v>
      </c>
      <c r="Z8" s="500">
        <f>SUM(X8:Y8)</f>
        <v>622</v>
      </c>
      <c r="AA8" s="468">
        <v>300</v>
      </c>
      <c r="AB8" s="467">
        <v>358</v>
      </c>
      <c r="AC8" s="500">
        <f>SUM(AA8:AB8)</f>
        <v>658</v>
      </c>
      <c r="AD8" s="468">
        <f>SUM('Admitidos plan'!AE21:AE23)</f>
        <v>292</v>
      </c>
      <c r="AE8" s="467">
        <f>SUM('Admitidos plan'!AF21:AF23)</f>
        <v>348</v>
      </c>
      <c r="AF8" s="500">
        <f>SUM(AD8:AE8)</f>
        <v>640</v>
      </c>
      <c r="AG8" s="468">
        <f>SUM('Admitidos plan'!AH21:AH23)</f>
        <v>317</v>
      </c>
      <c r="AH8" s="467">
        <f>SUM('Admitidos plan'!AI21:AI23)</f>
        <v>374</v>
      </c>
      <c r="AI8" s="500">
        <f>SUM(AG8:AH8)</f>
        <v>691</v>
      </c>
      <c r="AJ8" s="468">
        <f>SUM('Admitidos plan'!AK21:AK23)</f>
        <v>312</v>
      </c>
      <c r="AK8" s="467">
        <f>SUM('Admitidos plan'!AL21:AL23)</f>
        <v>355</v>
      </c>
      <c r="AL8" s="500">
        <f>SUM(AJ8:AK8)</f>
        <v>667</v>
      </c>
      <c r="AM8" s="468">
        <f>SUM('Admitidos plan'!AN21:AN23)</f>
        <v>323</v>
      </c>
      <c r="AN8" s="467">
        <f>SUM('Admitidos plan'!AO21:AO23)</f>
        <v>402</v>
      </c>
      <c r="AO8" s="500">
        <f>SUM(AM8:AN8)</f>
        <v>725</v>
      </c>
      <c r="AP8" s="468">
        <f>SUM('Admitidos plan'!AQ21:AQ23)</f>
        <v>299</v>
      </c>
      <c r="AQ8" s="467">
        <f>SUM('Admitidos plan'!AR21:AR23)</f>
        <v>424</v>
      </c>
      <c r="AR8" s="500">
        <f>SUM(AP8:AQ8)</f>
        <v>723</v>
      </c>
      <c r="AS8" s="468">
        <f>SUM('Admitidos plan'!AT21:AT23)</f>
        <v>380</v>
      </c>
      <c r="AT8" s="467">
        <f>SUM('Admitidos plan'!AU21:AU23)</f>
        <v>435</v>
      </c>
      <c r="AU8" s="500">
        <f>SUM(AS8:AT8)</f>
        <v>815</v>
      </c>
    </row>
    <row r="9" spans="1:47" ht="15" x14ac:dyDescent="0.2">
      <c r="A9" s="5727"/>
      <c r="B9" s="2284" t="s">
        <v>12</v>
      </c>
      <c r="C9" s="2285">
        <f t="shared" ref="C9:X9" si="0">SUM(C6:C8)</f>
        <v>1275</v>
      </c>
      <c r="D9" s="2286">
        <f t="shared" si="0"/>
        <v>2167</v>
      </c>
      <c r="E9" s="2287">
        <f t="shared" si="0"/>
        <v>3442</v>
      </c>
      <c r="F9" s="2285">
        <f t="shared" si="0"/>
        <v>1608</v>
      </c>
      <c r="G9" s="2286">
        <f t="shared" si="0"/>
        <v>2389</v>
      </c>
      <c r="H9" s="2287">
        <f t="shared" si="0"/>
        <v>3997</v>
      </c>
      <c r="I9" s="2285">
        <f t="shared" si="0"/>
        <v>1627</v>
      </c>
      <c r="J9" s="2286">
        <f t="shared" si="0"/>
        <v>2388</v>
      </c>
      <c r="K9" s="2287">
        <f t="shared" si="0"/>
        <v>4015</v>
      </c>
      <c r="L9" s="2285">
        <f t="shared" si="0"/>
        <v>1528</v>
      </c>
      <c r="M9" s="2286">
        <f t="shared" si="0"/>
        <v>2524</v>
      </c>
      <c r="N9" s="2287">
        <f t="shared" si="0"/>
        <v>4052</v>
      </c>
      <c r="O9" s="2285">
        <f t="shared" si="0"/>
        <v>1625</v>
      </c>
      <c r="P9" s="2286">
        <f t="shared" si="0"/>
        <v>2463</v>
      </c>
      <c r="Q9" s="2287">
        <f t="shared" si="0"/>
        <v>4088</v>
      </c>
      <c r="R9" s="2285">
        <f t="shared" si="0"/>
        <v>1710</v>
      </c>
      <c r="S9" s="2286">
        <f t="shared" si="0"/>
        <v>2423</v>
      </c>
      <c r="T9" s="2287">
        <f t="shared" si="0"/>
        <v>4133</v>
      </c>
      <c r="U9" s="2285">
        <f t="shared" si="0"/>
        <v>1699</v>
      </c>
      <c r="V9" s="2286">
        <f t="shared" si="0"/>
        <v>2433</v>
      </c>
      <c r="W9" s="2287">
        <f t="shared" si="0"/>
        <v>4132</v>
      </c>
      <c r="X9" s="2285">
        <f t="shared" si="0"/>
        <v>1835</v>
      </c>
      <c r="Y9" s="2286">
        <v>2521</v>
      </c>
      <c r="Z9" s="2287">
        <f>SUM(X9:Y9)</f>
        <v>4356</v>
      </c>
      <c r="AA9" s="2285">
        <f>SUM(AA6:AA8)</f>
        <v>2007</v>
      </c>
      <c r="AB9" s="2286">
        <f>SUM(AB6:AB8)</f>
        <v>2092</v>
      </c>
      <c r="AC9" s="2287">
        <f>SUM(AA9:AB9)</f>
        <v>4099</v>
      </c>
      <c r="AD9" s="2285">
        <f>SUM(AD6:AD8)</f>
        <v>1511</v>
      </c>
      <c r="AE9" s="2286">
        <f>SUM(AE6:AE8)</f>
        <v>2164</v>
      </c>
      <c r="AF9" s="2287">
        <f>SUM(AD9:AE9)</f>
        <v>3675</v>
      </c>
      <c r="AG9" s="2285">
        <f>SUM(AG6:AG8)</f>
        <v>1578</v>
      </c>
      <c r="AH9" s="2286">
        <f>SUM(AH6:AH8)</f>
        <v>2173</v>
      </c>
      <c r="AI9" s="2287">
        <f>SUM(AG9:AH9)</f>
        <v>3751</v>
      </c>
      <c r="AJ9" s="2285">
        <f>SUM(AJ6:AJ8)</f>
        <v>1410</v>
      </c>
      <c r="AK9" s="2286">
        <f>SUM(AK6:AK8)</f>
        <v>2165</v>
      </c>
      <c r="AL9" s="2287">
        <f>SUM(AJ9:AK9)</f>
        <v>3575</v>
      </c>
      <c r="AM9" s="2285">
        <f>SUM(AM6:AM8)</f>
        <v>1436</v>
      </c>
      <c r="AN9" s="2286">
        <f>SUM(AN6:AN8)</f>
        <v>2154</v>
      </c>
      <c r="AO9" s="2287">
        <f>SUM(AM9:AN9)</f>
        <v>3590</v>
      </c>
      <c r="AP9" s="2285">
        <f>SUM(AP6:AP8)</f>
        <v>1583</v>
      </c>
      <c r="AQ9" s="2286">
        <f>SUM(AQ6:AQ8)</f>
        <v>2290</v>
      </c>
      <c r="AR9" s="2287">
        <f>SUM(AP9:AQ9)</f>
        <v>3873</v>
      </c>
      <c r="AS9" s="2285">
        <f>SUM(AS6:AS8)</f>
        <v>1663</v>
      </c>
      <c r="AT9" s="2286">
        <f>SUM(AT6:AT8)</f>
        <v>2379</v>
      </c>
      <c r="AU9" s="2287">
        <f>SUM(AS9:AT9)</f>
        <v>4042</v>
      </c>
    </row>
    <row r="10" spans="1:47" ht="15" x14ac:dyDescent="0.2">
      <c r="A10" s="195"/>
      <c r="B10" s="757"/>
      <c r="C10" s="757"/>
      <c r="D10" s="757"/>
      <c r="E10" s="757"/>
      <c r="F10" s="757"/>
      <c r="G10" s="757"/>
      <c r="H10" s="757"/>
      <c r="I10" s="757"/>
      <c r="J10" s="757"/>
      <c r="K10" s="757"/>
      <c r="L10" s="757"/>
      <c r="M10" s="757"/>
      <c r="N10" s="757"/>
      <c r="O10" s="757"/>
      <c r="P10" s="757"/>
      <c r="Q10" s="757"/>
      <c r="R10" s="757"/>
      <c r="S10" s="757"/>
      <c r="T10" s="757"/>
      <c r="U10" s="757"/>
      <c r="V10" s="757"/>
      <c r="W10" s="757"/>
      <c r="X10" s="757"/>
      <c r="Y10" s="757"/>
      <c r="Z10" s="757"/>
      <c r="AA10" s="757"/>
      <c r="AB10" s="757"/>
      <c r="AC10" s="757"/>
      <c r="AD10" s="757"/>
      <c r="AE10" s="757"/>
      <c r="AF10" s="757"/>
      <c r="AG10" s="757"/>
      <c r="AH10" s="757"/>
      <c r="AI10" s="757"/>
      <c r="AJ10" s="757"/>
      <c r="AK10" s="757"/>
      <c r="AL10" s="757"/>
      <c r="AM10" s="757"/>
      <c r="AN10" s="757"/>
      <c r="AO10" s="757"/>
      <c r="AP10" s="757"/>
      <c r="AQ10" s="757"/>
      <c r="AR10" s="757"/>
      <c r="AS10" s="757"/>
      <c r="AT10" s="757"/>
      <c r="AU10" s="757"/>
    </row>
    <row r="11" spans="1:47" ht="15" x14ac:dyDescent="0.2">
      <c r="A11" s="5728" t="s">
        <v>407</v>
      </c>
      <c r="B11" s="492" t="s">
        <v>6</v>
      </c>
      <c r="C11" s="465"/>
      <c r="D11" s="464"/>
      <c r="E11" s="466"/>
      <c r="F11" s="465"/>
      <c r="G11" s="464"/>
      <c r="H11" s="494"/>
      <c r="I11" s="465"/>
      <c r="J11" s="464">
        <v>134</v>
      </c>
      <c r="K11" s="494">
        <v>134</v>
      </c>
      <c r="L11" s="464"/>
      <c r="M11" s="464">
        <v>52</v>
      </c>
      <c r="N11" s="494">
        <v>52</v>
      </c>
      <c r="O11" s="464"/>
      <c r="P11" s="464">
        <v>137</v>
      </c>
      <c r="Q11" s="494">
        <v>137</v>
      </c>
      <c r="R11" s="464"/>
      <c r="S11" s="464">
        <v>122</v>
      </c>
      <c r="T11" s="494">
        <v>122</v>
      </c>
      <c r="U11" s="465"/>
      <c r="V11" s="464">
        <v>90</v>
      </c>
      <c r="W11" s="494">
        <v>90</v>
      </c>
      <c r="X11" s="465"/>
      <c r="Y11" s="464">
        <v>94</v>
      </c>
      <c r="Z11" s="494">
        <f>SUM(X11:Y11)</f>
        <v>94</v>
      </c>
      <c r="AA11" s="465"/>
      <c r="AB11" s="464">
        <v>105</v>
      </c>
      <c r="AC11" s="494">
        <f>SUM(AA11:AB11)</f>
        <v>105</v>
      </c>
      <c r="AD11" s="465">
        <f>SUM('Admitidos plan'!AE79:AE82)</f>
        <v>0</v>
      </c>
      <c r="AE11" s="464">
        <f>SUM('Admitidos plan'!AF79:AF82)</f>
        <v>106</v>
      </c>
      <c r="AF11" s="494">
        <f>SUM(AD11:AE11)</f>
        <v>106</v>
      </c>
      <c r="AG11" s="465">
        <f>SUM('Admitidos plan'!AH79:AH82)</f>
        <v>0</v>
      </c>
      <c r="AH11" s="464">
        <f>SUM('Admitidos plan'!AI79:AI82)</f>
        <v>123</v>
      </c>
      <c r="AI11" s="494">
        <f>SUM(AG11:AH11)</f>
        <v>123</v>
      </c>
      <c r="AJ11" s="465">
        <f>SUM('Admitidos plan'!AK79:AK82)</f>
        <v>105</v>
      </c>
      <c r="AK11" s="464">
        <f>SUM('Admitidos plan'!AL79:AL82)</f>
        <v>122</v>
      </c>
      <c r="AL11" s="494">
        <f>SUM(AJ11:AK11)</f>
        <v>227</v>
      </c>
      <c r="AM11" s="465">
        <f>SUM('Admitidos plan'!AN79:AN82)</f>
        <v>104</v>
      </c>
      <c r="AN11" s="464">
        <f>SUM('Admitidos plan'!AO79:AO82)</f>
        <v>171</v>
      </c>
      <c r="AO11" s="494">
        <f>SUM(AM11:AN11)</f>
        <v>275</v>
      </c>
      <c r="AP11" s="465">
        <f>SUM('Admitidos plan'!AQ79:AQ82)</f>
        <v>107</v>
      </c>
      <c r="AQ11" s="464">
        <f>SUM('Admitidos plan'!AR79:AR82)</f>
        <v>161</v>
      </c>
      <c r="AR11" s="494">
        <f>SUM(AP11:AQ11)</f>
        <v>268</v>
      </c>
      <c r="AS11" s="465">
        <f>SUM('Admitidos plan'!AT79:AT82)</f>
        <v>107</v>
      </c>
      <c r="AT11" s="464">
        <f>SUM('Admitidos plan'!AU79:AU82)</f>
        <v>159</v>
      </c>
      <c r="AU11" s="494">
        <f>SUM(AS11:AT11)</f>
        <v>266</v>
      </c>
    </row>
    <row r="12" spans="1:47" ht="15" x14ac:dyDescent="0.2">
      <c r="A12" s="5729"/>
      <c r="B12" s="498" t="s">
        <v>9</v>
      </c>
      <c r="C12" s="468"/>
      <c r="D12" s="467"/>
      <c r="E12" s="469"/>
      <c r="F12" s="468"/>
      <c r="G12" s="467"/>
      <c r="H12" s="500"/>
      <c r="I12" s="468"/>
      <c r="J12" s="467">
        <v>41</v>
      </c>
      <c r="K12" s="500">
        <v>41</v>
      </c>
      <c r="L12" s="467"/>
      <c r="M12" s="467">
        <v>37</v>
      </c>
      <c r="N12" s="500">
        <v>37</v>
      </c>
      <c r="O12" s="467"/>
      <c r="P12" s="467">
        <v>163</v>
      </c>
      <c r="Q12" s="500">
        <v>163</v>
      </c>
      <c r="R12" s="467"/>
      <c r="S12" s="467">
        <v>144</v>
      </c>
      <c r="T12" s="500">
        <v>144</v>
      </c>
      <c r="U12" s="468"/>
      <c r="V12" s="467">
        <v>122</v>
      </c>
      <c r="W12" s="500">
        <v>122</v>
      </c>
      <c r="X12" s="468"/>
      <c r="Y12" s="467">
        <v>159</v>
      </c>
      <c r="Z12" s="500">
        <f>SUM(X12:Y12)</f>
        <v>159</v>
      </c>
      <c r="AA12" s="468"/>
      <c r="AB12" s="467">
        <v>158</v>
      </c>
      <c r="AC12" s="500">
        <f>SUM(AA12:AB12)</f>
        <v>158</v>
      </c>
      <c r="AD12" s="468">
        <f>SUM('Admitidos plan'!AE84:AE86)</f>
        <v>0</v>
      </c>
      <c r="AE12" s="467">
        <f>SUM('Admitidos plan'!AF84:AF86)</f>
        <v>153</v>
      </c>
      <c r="AF12" s="500">
        <f>SUM(AD12:AE12)</f>
        <v>153</v>
      </c>
      <c r="AG12" s="468">
        <f>SUM('Admitidos plan'!AH84:AH86)</f>
        <v>0</v>
      </c>
      <c r="AH12" s="467">
        <f>SUM('Admitidos plan'!AI84:AI86)</f>
        <v>158</v>
      </c>
      <c r="AI12" s="500">
        <f>SUM(AG12:AH12)</f>
        <v>158</v>
      </c>
      <c r="AJ12" s="468">
        <f>SUM('Admitidos plan'!AK84:AK86)</f>
        <v>0</v>
      </c>
      <c r="AK12" s="467">
        <f>SUM('Admitidos plan'!AL84:AL86)</f>
        <v>189</v>
      </c>
      <c r="AL12" s="500">
        <f>SUM(AJ12:AK12)</f>
        <v>189</v>
      </c>
      <c r="AM12" s="468">
        <f>SUM('Admitidos plan'!AN84:AN86)</f>
        <v>0</v>
      </c>
      <c r="AN12" s="467">
        <f>SUM('Admitidos plan'!AO84:AO86)</f>
        <v>234</v>
      </c>
      <c r="AO12" s="500">
        <f>SUM(AM12:AN12)</f>
        <v>234</v>
      </c>
      <c r="AP12" s="468">
        <f>SUM('Admitidos plan'!AQ84:AQ86)</f>
        <v>0</v>
      </c>
      <c r="AQ12" s="467">
        <f>SUM('Admitidos plan'!AR84:AR86)</f>
        <v>251</v>
      </c>
      <c r="AR12" s="500">
        <f>SUM(AP12:AQ12)</f>
        <v>251</v>
      </c>
      <c r="AS12" s="468">
        <f>SUM('Admitidos plan'!AT84:AT86)</f>
        <v>0</v>
      </c>
      <c r="AT12" s="467">
        <f>SUM('Admitidos plan'!AU84:AU86)</f>
        <v>257</v>
      </c>
      <c r="AU12" s="500">
        <f>SUM(AS12:AT12)</f>
        <v>257</v>
      </c>
    </row>
    <row r="13" spans="1:47" ht="15" x14ac:dyDescent="0.2">
      <c r="A13" s="5729"/>
      <c r="B13" s="511" t="s">
        <v>74</v>
      </c>
      <c r="C13" s="468"/>
      <c r="D13" s="467"/>
      <c r="E13" s="469"/>
      <c r="F13" s="468"/>
      <c r="G13" s="467"/>
      <c r="H13" s="500"/>
      <c r="I13" s="468"/>
      <c r="J13" s="467">
        <v>77</v>
      </c>
      <c r="K13" s="500">
        <v>77</v>
      </c>
      <c r="L13" s="467"/>
      <c r="M13" s="467">
        <v>34</v>
      </c>
      <c r="N13" s="500">
        <v>34</v>
      </c>
      <c r="O13" s="467"/>
      <c r="P13" s="467">
        <v>82</v>
      </c>
      <c r="Q13" s="500">
        <v>82</v>
      </c>
      <c r="R13" s="467"/>
      <c r="S13" s="467">
        <v>137</v>
      </c>
      <c r="T13" s="500">
        <v>137</v>
      </c>
      <c r="U13" s="468"/>
      <c r="V13" s="467">
        <v>103</v>
      </c>
      <c r="W13" s="500">
        <v>103</v>
      </c>
      <c r="X13" s="468"/>
      <c r="Y13" s="467">
        <v>146</v>
      </c>
      <c r="Z13" s="500">
        <f>SUM(X13:Y13)</f>
        <v>146</v>
      </c>
      <c r="AA13" s="468"/>
      <c r="AB13" s="467">
        <v>166</v>
      </c>
      <c r="AC13" s="500">
        <f>SUM(AA13:AB13)</f>
        <v>166</v>
      </c>
      <c r="AD13" s="468">
        <f>SUM('Admitidos plan'!AE88:AE91)</f>
        <v>0</v>
      </c>
      <c r="AE13" s="467">
        <f>SUM('Admitidos plan'!AF88:AF91)</f>
        <v>175</v>
      </c>
      <c r="AF13" s="500">
        <f>SUM(AD13:AE13)</f>
        <v>175</v>
      </c>
      <c r="AG13" s="468">
        <f>SUM('Admitidos plan'!AH88:AH91)</f>
        <v>0</v>
      </c>
      <c r="AH13" s="467">
        <f>SUM('Admitidos plan'!AI88:AI91)</f>
        <v>222</v>
      </c>
      <c r="AI13" s="500">
        <f>SUM(AG13:AH13)</f>
        <v>222</v>
      </c>
      <c r="AJ13" s="468">
        <f>SUM('Admitidos plan'!AK88:AK91)</f>
        <v>0</v>
      </c>
      <c r="AK13" s="467">
        <f>SUM('Admitidos plan'!AL88:AL91)</f>
        <v>293</v>
      </c>
      <c r="AL13" s="500">
        <f>SUM(AJ13:AK13)</f>
        <v>293</v>
      </c>
      <c r="AM13" s="468">
        <f>SUM('Admitidos plan'!AN88:AN91)</f>
        <v>0</v>
      </c>
      <c r="AN13" s="467">
        <f>SUM('Admitidos plan'!AO88:AO91)</f>
        <v>283</v>
      </c>
      <c r="AO13" s="500">
        <f>SUM(AM13:AN13)</f>
        <v>283</v>
      </c>
      <c r="AP13" s="468">
        <f>SUM('Admitidos plan'!AQ88:AQ91)</f>
        <v>0</v>
      </c>
      <c r="AQ13" s="467">
        <f>SUM('Admitidos plan'!AR88:AR91)</f>
        <v>310</v>
      </c>
      <c r="AR13" s="500">
        <f>SUM(AP13:AQ13)</f>
        <v>310</v>
      </c>
      <c r="AS13" s="468">
        <f>SUM('Admitidos plan'!AT88:AT91)</f>
        <v>0</v>
      </c>
      <c r="AT13" s="467">
        <f>SUM('Admitidos plan'!AU88:AU91)</f>
        <v>322</v>
      </c>
      <c r="AU13" s="500">
        <f>SUM(AS13:AT13)</f>
        <v>322</v>
      </c>
    </row>
    <row r="14" spans="1:47" ht="15" x14ac:dyDescent="0.2">
      <c r="A14" s="5730"/>
      <c r="B14" s="2277" t="s">
        <v>12</v>
      </c>
      <c r="C14" s="2278"/>
      <c r="D14" s="2279"/>
      <c r="E14" s="2280"/>
      <c r="F14" s="2278"/>
      <c r="G14" s="2279"/>
      <c r="H14" s="2280"/>
      <c r="I14" s="2278"/>
      <c r="J14" s="2279">
        <v>252</v>
      </c>
      <c r="K14" s="2280">
        <v>252</v>
      </c>
      <c r="L14" s="2279"/>
      <c r="M14" s="2279">
        <v>123</v>
      </c>
      <c r="N14" s="2280">
        <v>123</v>
      </c>
      <c r="O14" s="2279"/>
      <c r="P14" s="2279">
        <v>382</v>
      </c>
      <c r="Q14" s="2280">
        <v>382</v>
      </c>
      <c r="R14" s="2279"/>
      <c r="S14" s="2279">
        <v>403</v>
      </c>
      <c r="T14" s="2280">
        <v>403</v>
      </c>
      <c r="U14" s="2278"/>
      <c r="V14" s="2279">
        <v>315</v>
      </c>
      <c r="W14" s="2280">
        <v>315</v>
      </c>
      <c r="X14" s="2278"/>
      <c r="Y14" s="2279">
        <v>399</v>
      </c>
      <c r="Z14" s="2280">
        <f>SUM(Z11:Z13)</f>
        <v>399</v>
      </c>
      <c r="AA14" s="2278"/>
      <c r="AB14" s="2279">
        <f>SUM(AB11:AB13)</f>
        <v>429</v>
      </c>
      <c r="AC14" s="2280">
        <f>SUM(AA14:AB14)</f>
        <v>429</v>
      </c>
      <c r="AD14" s="2278">
        <f>SUM(AD11:AD13)</f>
        <v>0</v>
      </c>
      <c r="AE14" s="2279">
        <f>SUM(AE11:AE13)</f>
        <v>434</v>
      </c>
      <c r="AF14" s="2280">
        <f>SUM(AD14:AE14)</f>
        <v>434</v>
      </c>
      <c r="AG14" s="2278">
        <f>SUM(AG11:AG13)</f>
        <v>0</v>
      </c>
      <c r="AH14" s="2279">
        <f>SUM(AH11:AH13)</f>
        <v>503</v>
      </c>
      <c r="AI14" s="2280">
        <f>SUM(AG14:AH14)</f>
        <v>503</v>
      </c>
      <c r="AJ14" s="2278">
        <f>SUM(AJ11:AJ13)</f>
        <v>105</v>
      </c>
      <c r="AK14" s="2279">
        <f>SUM(AK11:AK13)</f>
        <v>604</v>
      </c>
      <c r="AL14" s="2280">
        <f>SUM(AJ14:AK14)</f>
        <v>709</v>
      </c>
      <c r="AM14" s="2278">
        <f>SUM(AM11:AM13)</f>
        <v>104</v>
      </c>
      <c r="AN14" s="2279">
        <f>SUM(AN11:AN13)</f>
        <v>688</v>
      </c>
      <c r="AO14" s="2280">
        <f>SUM(AM14:AN14)</f>
        <v>792</v>
      </c>
      <c r="AP14" s="2278">
        <f>SUM(AP11:AP13)</f>
        <v>107</v>
      </c>
      <c r="AQ14" s="2279">
        <f>SUM(AQ11:AQ13)</f>
        <v>722</v>
      </c>
      <c r="AR14" s="2280">
        <f>SUM(AP14:AQ14)</f>
        <v>829</v>
      </c>
      <c r="AS14" s="2278">
        <f>SUM(AS11:AS13)</f>
        <v>107</v>
      </c>
      <c r="AT14" s="2279">
        <f>SUM(AT11:AT13)</f>
        <v>738</v>
      </c>
      <c r="AU14" s="2280">
        <f>SUM(AU11:AU13)</f>
        <v>845</v>
      </c>
    </row>
    <row r="15" spans="1:47" ht="15" x14ac:dyDescent="0.2">
      <c r="A15" s="195"/>
      <c r="B15" s="262"/>
      <c r="C15" s="262"/>
      <c r="D15" s="262"/>
      <c r="E15" s="262"/>
      <c r="F15" s="262"/>
      <c r="G15" s="262"/>
      <c r="H15" s="262"/>
      <c r="I15" s="262"/>
      <c r="J15" s="262"/>
      <c r="K15" s="262"/>
      <c r="L15" s="262"/>
      <c r="M15" s="262"/>
      <c r="N15" s="262"/>
      <c r="O15" s="262"/>
      <c r="P15" s="262"/>
      <c r="Q15" s="262"/>
      <c r="R15" s="262"/>
      <c r="S15" s="262"/>
      <c r="T15" s="262"/>
      <c r="U15" s="262"/>
      <c r="V15" s="262"/>
      <c r="W15" s="262"/>
      <c r="X15" s="262"/>
      <c r="Y15" s="262"/>
      <c r="Z15" s="262"/>
      <c r="AA15" s="262"/>
      <c r="AB15" s="262"/>
      <c r="AC15" s="262"/>
      <c r="AD15" s="765"/>
      <c r="AE15" s="765"/>
      <c r="AF15" s="262"/>
      <c r="AG15" s="765"/>
      <c r="AH15" s="765"/>
      <c r="AI15" s="262"/>
      <c r="AJ15" s="765"/>
      <c r="AK15" s="765"/>
      <c r="AL15" s="262"/>
      <c r="AM15" s="765"/>
      <c r="AN15" s="765"/>
      <c r="AO15" s="262"/>
      <c r="AP15" s="765"/>
      <c r="AQ15" s="765"/>
      <c r="AR15" s="262"/>
      <c r="AS15" s="765"/>
      <c r="AT15" s="765"/>
      <c r="AU15" s="262"/>
    </row>
    <row r="16" spans="1:47" ht="15" x14ac:dyDescent="0.2">
      <c r="A16" s="5731" t="s">
        <v>162</v>
      </c>
      <c r="B16" s="492" t="s">
        <v>5</v>
      </c>
      <c r="C16" s="465">
        <v>321</v>
      </c>
      <c r="D16" s="464">
        <v>514</v>
      </c>
      <c r="E16" s="466">
        <f>SUM(C16:D16)</f>
        <v>835</v>
      </c>
      <c r="F16" s="465">
        <v>293</v>
      </c>
      <c r="G16" s="464">
        <v>558</v>
      </c>
      <c r="H16" s="494">
        <f>SUM(F16:G16)</f>
        <v>851</v>
      </c>
      <c r="I16" s="465">
        <v>318</v>
      </c>
      <c r="J16" s="464">
        <v>630</v>
      </c>
      <c r="K16" s="494">
        <f>SUM(I16:J16)</f>
        <v>948</v>
      </c>
      <c r="L16" s="465">
        <v>397</v>
      </c>
      <c r="M16" s="464">
        <v>605</v>
      </c>
      <c r="N16" s="494">
        <f>SUM(L16:M16)</f>
        <v>1002</v>
      </c>
      <c r="O16" s="465">
        <v>296</v>
      </c>
      <c r="P16" s="464">
        <v>566</v>
      </c>
      <c r="Q16" s="494">
        <f>SUM(O16:P16)</f>
        <v>862</v>
      </c>
      <c r="R16" s="465">
        <v>306</v>
      </c>
      <c r="S16" s="464">
        <v>608</v>
      </c>
      <c r="T16" s="494">
        <f>SUM(R16:S16)</f>
        <v>914</v>
      </c>
      <c r="U16" s="465">
        <v>261</v>
      </c>
      <c r="V16" s="464">
        <v>625</v>
      </c>
      <c r="W16" s="494">
        <f>SUM(U16:V16)</f>
        <v>886</v>
      </c>
      <c r="X16" s="465">
        <v>137</v>
      </c>
      <c r="Y16" s="464">
        <v>895</v>
      </c>
      <c r="Z16" s="494">
        <f>SUM(X16:Y16)</f>
        <v>1032</v>
      </c>
      <c r="AA16" s="465">
        <v>218</v>
      </c>
      <c r="AB16" s="464">
        <v>880</v>
      </c>
      <c r="AC16" s="494">
        <f>SUM(AA16:AB16)</f>
        <v>1098</v>
      </c>
      <c r="AD16" s="465">
        <f>SUM('Admitidos plan'!AE26:AE34)</f>
        <v>216</v>
      </c>
      <c r="AE16" s="464">
        <f>SUM('Admitidos plan'!AF26:AF34)</f>
        <v>903</v>
      </c>
      <c r="AF16" s="494">
        <f>SUM(AD16:AE16)</f>
        <v>1119</v>
      </c>
      <c r="AG16" s="465">
        <f>SUM('Admitidos plan'!AH26:AH34)</f>
        <v>269</v>
      </c>
      <c r="AH16" s="464">
        <f>SUM('Admitidos plan'!AI26:AI34)</f>
        <v>1021</v>
      </c>
      <c r="AI16" s="494">
        <f>SUM(AG16:AH16)</f>
        <v>1290</v>
      </c>
      <c r="AJ16" s="465">
        <f>SUM('Admitidos plan'!AK26:AK34)</f>
        <v>214</v>
      </c>
      <c r="AK16" s="464">
        <f>SUM('Admitidos plan'!AL26:AL34)</f>
        <v>838</v>
      </c>
      <c r="AL16" s="494">
        <f>SUM(AJ16:AK16)</f>
        <v>1052</v>
      </c>
      <c r="AM16" s="465">
        <f>SUM('Admitidos plan'!AN26:AN34)</f>
        <v>197</v>
      </c>
      <c r="AN16" s="464">
        <f>SUM('Admitidos plan'!AO26:AO34)</f>
        <v>781</v>
      </c>
      <c r="AO16" s="494">
        <f>SUM(AM16:AN16)</f>
        <v>978</v>
      </c>
      <c r="AP16" s="465">
        <f>SUM('Admitidos plan'!AQ26:AQ34)</f>
        <v>154</v>
      </c>
      <c r="AQ16" s="464">
        <f>SUM('Admitidos plan'!AR26:AR35)</f>
        <v>940</v>
      </c>
      <c r="AR16" s="494">
        <f>SUM(AP16:AQ16)</f>
        <v>1094</v>
      </c>
      <c r="AS16" s="465">
        <f>SUM('Admitidos plan'!AT26:AT34)</f>
        <v>0</v>
      </c>
      <c r="AT16" s="464">
        <f>SUM('Admitidos plan'!AU26:AU35)</f>
        <v>907</v>
      </c>
      <c r="AU16" s="494">
        <f>SUM(AS16:AT16)</f>
        <v>907</v>
      </c>
    </row>
    <row r="17" spans="1:47" ht="15" x14ac:dyDescent="0.2">
      <c r="A17" s="5732"/>
      <c r="B17" s="498" t="s">
        <v>6</v>
      </c>
      <c r="C17" s="468">
        <v>176</v>
      </c>
      <c r="D17" s="467">
        <v>904</v>
      </c>
      <c r="E17" s="469">
        <f>SUM(C17:D17)</f>
        <v>1080</v>
      </c>
      <c r="F17" s="468">
        <v>216</v>
      </c>
      <c r="G17" s="467">
        <v>979</v>
      </c>
      <c r="H17" s="500">
        <f>SUM(F17:G17)</f>
        <v>1195</v>
      </c>
      <c r="I17" s="468">
        <v>178</v>
      </c>
      <c r="J17" s="467">
        <v>1121</v>
      </c>
      <c r="K17" s="500">
        <f>SUM(I17:J17)</f>
        <v>1299</v>
      </c>
      <c r="L17" s="468">
        <v>206</v>
      </c>
      <c r="M17" s="467">
        <v>1122</v>
      </c>
      <c r="N17" s="500">
        <f>SUM(L17:M17)</f>
        <v>1328</v>
      </c>
      <c r="O17" s="468">
        <v>239</v>
      </c>
      <c r="P17" s="467">
        <v>1235</v>
      </c>
      <c r="Q17" s="500">
        <f>SUM(O17:P17)</f>
        <v>1474</v>
      </c>
      <c r="R17" s="468">
        <v>211</v>
      </c>
      <c r="S17" s="467">
        <v>1080</v>
      </c>
      <c r="T17" s="500">
        <f>SUM(R17:S17)</f>
        <v>1291</v>
      </c>
      <c r="U17" s="468">
        <v>196</v>
      </c>
      <c r="V17" s="467">
        <v>1165</v>
      </c>
      <c r="W17" s="500">
        <f>SUM(U17:V17)</f>
        <v>1361</v>
      </c>
      <c r="X17" s="468">
        <v>182</v>
      </c>
      <c r="Y17" s="467">
        <v>1210</v>
      </c>
      <c r="Z17" s="500">
        <f>SUM(X17:Y17)</f>
        <v>1392</v>
      </c>
      <c r="AA17" s="468">
        <v>183</v>
      </c>
      <c r="AB17" s="467">
        <v>1192</v>
      </c>
      <c r="AC17" s="500">
        <f>SUM(AA17:AB17)</f>
        <v>1375</v>
      </c>
      <c r="AD17" s="468">
        <f>SUM('Admitidos plan'!AE37:AE47)</f>
        <v>192</v>
      </c>
      <c r="AE17" s="467">
        <f>SUM('Admitidos plan'!AF37:AF47)</f>
        <v>1193</v>
      </c>
      <c r="AF17" s="500">
        <f>SUM(AD17:AE17)</f>
        <v>1385</v>
      </c>
      <c r="AG17" s="468">
        <f>SUM('Admitidos plan'!AH37:AH47)</f>
        <v>161</v>
      </c>
      <c r="AH17" s="467">
        <f>SUM('Admitidos plan'!AI37:AI47)</f>
        <v>1151</v>
      </c>
      <c r="AI17" s="500">
        <f>SUM(AG17:AH17)</f>
        <v>1312</v>
      </c>
      <c r="AJ17" s="468">
        <f>SUM('Admitidos plan'!AK37:AK47)</f>
        <v>159</v>
      </c>
      <c r="AK17" s="467">
        <f>SUM('Admitidos plan'!AL37:AL47)</f>
        <v>1156</v>
      </c>
      <c r="AL17" s="500">
        <f>SUM(AJ17:AK17)</f>
        <v>1315</v>
      </c>
      <c r="AM17" s="468">
        <f>SUM('Admitidos plan'!AN37:AN47)</f>
        <v>151</v>
      </c>
      <c r="AN17" s="467">
        <f>SUM('Admitidos plan'!AO37:AO47)</f>
        <v>1155</v>
      </c>
      <c r="AO17" s="500">
        <f>SUM(AM17:AN17)</f>
        <v>1306</v>
      </c>
      <c r="AP17" s="468">
        <f>SUM('Admitidos plan'!AQ37:AQ47)</f>
        <v>164</v>
      </c>
      <c r="AQ17" s="467">
        <f>SUM('Admitidos plan'!AR37:AR47)</f>
        <v>1186</v>
      </c>
      <c r="AR17" s="500">
        <f>SUM(AP17:AQ17)</f>
        <v>1350</v>
      </c>
      <c r="AS17" s="468">
        <f>SUM('Admitidos plan'!AT37:AT47)</f>
        <v>162</v>
      </c>
      <c r="AT17" s="467">
        <f>SUM('Admitidos plan'!AU37:AU47)</f>
        <v>1202</v>
      </c>
      <c r="AU17" s="500">
        <f>SUM(AS17:AT17)</f>
        <v>1364</v>
      </c>
    </row>
    <row r="18" spans="1:47" ht="15" x14ac:dyDescent="0.2">
      <c r="A18" s="5732"/>
      <c r="B18" s="498" t="s">
        <v>11</v>
      </c>
      <c r="C18" s="468">
        <v>175</v>
      </c>
      <c r="D18" s="467">
        <v>404</v>
      </c>
      <c r="E18" s="469">
        <f>SUM(C18:D18)</f>
        <v>579</v>
      </c>
      <c r="F18" s="468">
        <v>193</v>
      </c>
      <c r="G18" s="467">
        <v>433</v>
      </c>
      <c r="H18" s="500">
        <f>SUM(F18:G18)</f>
        <v>626</v>
      </c>
      <c r="I18" s="468">
        <v>213</v>
      </c>
      <c r="J18" s="467">
        <v>468</v>
      </c>
      <c r="K18" s="500">
        <f>SUM(I18:J18)</f>
        <v>681</v>
      </c>
      <c r="L18" s="468">
        <v>264</v>
      </c>
      <c r="M18" s="467">
        <v>489</v>
      </c>
      <c r="N18" s="500">
        <f>SUM(L18:M18)</f>
        <v>753</v>
      </c>
      <c r="O18" s="468">
        <v>232</v>
      </c>
      <c r="P18" s="467">
        <v>525</v>
      </c>
      <c r="Q18" s="500">
        <f>SUM(O18:P18)</f>
        <v>757</v>
      </c>
      <c r="R18" s="468">
        <v>280</v>
      </c>
      <c r="S18" s="467">
        <v>482</v>
      </c>
      <c r="T18" s="500">
        <f>SUM(R18:S18)</f>
        <v>762</v>
      </c>
      <c r="U18" s="468">
        <v>368</v>
      </c>
      <c r="V18" s="467">
        <v>551</v>
      </c>
      <c r="W18" s="500">
        <f>SUM(U18:V18)</f>
        <v>919</v>
      </c>
      <c r="X18" s="468">
        <v>412</v>
      </c>
      <c r="Y18" s="467">
        <v>546</v>
      </c>
      <c r="Z18" s="500">
        <f>SUM(X18:Y18)</f>
        <v>958</v>
      </c>
      <c r="AA18" s="468">
        <v>453</v>
      </c>
      <c r="AB18" s="467">
        <v>553</v>
      </c>
      <c r="AC18" s="500">
        <f>SUM(AA18:AB18)</f>
        <v>1006</v>
      </c>
      <c r="AD18" s="468">
        <f>SUM('Admitidos plan'!AE49:AE54)</f>
        <v>467</v>
      </c>
      <c r="AE18" s="467">
        <f>SUM('Admitidos plan'!AF49:AF54)</f>
        <v>539</v>
      </c>
      <c r="AF18" s="500">
        <f>SUM(AD18:AE18)</f>
        <v>1006</v>
      </c>
      <c r="AG18" s="468">
        <f>SUM('Admitidos plan'!AH49:AH54)</f>
        <v>442</v>
      </c>
      <c r="AH18" s="467">
        <f>SUM('Admitidos plan'!AI49:AI54)</f>
        <v>526</v>
      </c>
      <c r="AI18" s="500">
        <f>SUM(AG18:AH18)</f>
        <v>968</v>
      </c>
      <c r="AJ18" s="468">
        <f>SUM('Admitidos plan'!AK49:AK54)</f>
        <v>365</v>
      </c>
      <c r="AK18" s="467">
        <f>SUM('Admitidos plan'!AL49:AL54)</f>
        <v>496</v>
      </c>
      <c r="AL18" s="500">
        <f>SUM(AJ18:AK18)</f>
        <v>861</v>
      </c>
      <c r="AM18" s="468">
        <f>SUM('Admitidos plan'!AN49:AN54)</f>
        <v>337</v>
      </c>
      <c r="AN18" s="467">
        <f>SUM('Admitidos plan'!AO49:AO54)</f>
        <v>468</v>
      </c>
      <c r="AO18" s="500">
        <f>SUM(AM18:AN18)</f>
        <v>805</v>
      </c>
      <c r="AP18" s="468">
        <f>SUM('Admitidos plan'!AQ49:AQ54)</f>
        <v>317</v>
      </c>
      <c r="AQ18" s="467">
        <f>SUM('Admitidos plan'!AR49:AR54)</f>
        <v>487</v>
      </c>
      <c r="AR18" s="500">
        <f>SUM(AP18:AQ18)</f>
        <v>804</v>
      </c>
      <c r="AS18" s="468">
        <f>SUM('Admitidos plan'!AT49:AT54)</f>
        <v>316</v>
      </c>
      <c r="AT18" s="467">
        <f>SUM('Admitidos plan'!AU49:AU54)</f>
        <v>494</v>
      </c>
      <c r="AU18" s="500">
        <f>SUM(AS18:AT18)</f>
        <v>810</v>
      </c>
    </row>
    <row r="19" spans="1:47" ht="15" x14ac:dyDescent="0.2">
      <c r="A19" s="5733"/>
      <c r="B19" s="2291" t="s">
        <v>12</v>
      </c>
      <c r="C19" s="2292">
        <f t="shared" ref="C19:X19" si="1">SUM(C16:C18)</f>
        <v>672</v>
      </c>
      <c r="D19" s="2293">
        <f t="shared" si="1"/>
        <v>1822</v>
      </c>
      <c r="E19" s="2294">
        <f t="shared" si="1"/>
        <v>2494</v>
      </c>
      <c r="F19" s="2292">
        <f t="shared" si="1"/>
        <v>702</v>
      </c>
      <c r="G19" s="2293">
        <f t="shared" si="1"/>
        <v>1970</v>
      </c>
      <c r="H19" s="2294">
        <f t="shared" si="1"/>
        <v>2672</v>
      </c>
      <c r="I19" s="2292">
        <f t="shared" si="1"/>
        <v>709</v>
      </c>
      <c r="J19" s="2293">
        <f t="shared" si="1"/>
        <v>2219</v>
      </c>
      <c r="K19" s="2294">
        <f t="shared" si="1"/>
        <v>2928</v>
      </c>
      <c r="L19" s="2292">
        <f t="shared" si="1"/>
        <v>867</v>
      </c>
      <c r="M19" s="2293">
        <f t="shared" si="1"/>
        <v>2216</v>
      </c>
      <c r="N19" s="2294">
        <f t="shared" si="1"/>
        <v>3083</v>
      </c>
      <c r="O19" s="2292">
        <f t="shared" si="1"/>
        <v>767</v>
      </c>
      <c r="P19" s="2293">
        <f t="shared" si="1"/>
        <v>2326</v>
      </c>
      <c r="Q19" s="2294">
        <f t="shared" si="1"/>
        <v>3093</v>
      </c>
      <c r="R19" s="2292">
        <f t="shared" si="1"/>
        <v>797</v>
      </c>
      <c r="S19" s="2293">
        <f t="shared" si="1"/>
        <v>2170</v>
      </c>
      <c r="T19" s="2294">
        <f t="shared" si="1"/>
        <v>2967</v>
      </c>
      <c r="U19" s="2292">
        <f t="shared" si="1"/>
        <v>825</v>
      </c>
      <c r="V19" s="2293">
        <f t="shared" si="1"/>
        <v>2341</v>
      </c>
      <c r="W19" s="2294">
        <f t="shared" si="1"/>
        <v>3166</v>
      </c>
      <c r="X19" s="2292">
        <f t="shared" si="1"/>
        <v>731</v>
      </c>
      <c r="Y19" s="2293">
        <v>2651</v>
      </c>
      <c r="Z19" s="2294">
        <f>SUM(X19:Y19)</f>
        <v>3382</v>
      </c>
      <c r="AA19" s="2292">
        <v>854</v>
      </c>
      <c r="AB19" s="2293">
        <f>SUM(AB16:AB18)</f>
        <v>2625</v>
      </c>
      <c r="AC19" s="2294">
        <f>SUM(AA19:AB19)</f>
        <v>3479</v>
      </c>
      <c r="AD19" s="2292">
        <f>SUM(AD16:AD18)</f>
        <v>875</v>
      </c>
      <c r="AE19" s="2293">
        <f>SUM(AE16:AE18)</f>
        <v>2635</v>
      </c>
      <c r="AF19" s="2294">
        <f>SUM(AD19:AE19)</f>
        <v>3510</v>
      </c>
      <c r="AG19" s="2292">
        <f>SUM(AG16:AG18)</f>
        <v>872</v>
      </c>
      <c r="AH19" s="2293">
        <f>SUM(AH16:AH18)</f>
        <v>2698</v>
      </c>
      <c r="AI19" s="2294">
        <f>SUM(AG19:AH19)</f>
        <v>3570</v>
      </c>
      <c r="AJ19" s="2292">
        <f>SUM(AJ16:AJ18)</f>
        <v>738</v>
      </c>
      <c r="AK19" s="2293">
        <f>SUM(AK16:AK18)</f>
        <v>2490</v>
      </c>
      <c r="AL19" s="2294">
        <f>SUM(AJ19:AK19)</f>
        <v>3228</v>
      </c>
      <c r="AM19" s="2292">
        <f>SUM(AM16:AM18)</f>
        <v>685</v>
      </c>
      <c r="AN19" s="2293">
        <f>SUM(AN16:AN18)</f>
        <v>2404</v>
      </c>
      <c r="AO19" s="2294">
        <f>SUM(AM19:AN19)</f>
        <v>3089</v>
      </c>
      <c r="AP19" s="2292">
        <f>SUM(AP16:AP18)</f>
        <v>635</v>
      </c>
      <c r="AQ19" s="2293">
        <f>SUM(AQ16:AQ18)</f>
        <v>2613</v>
      </c>
      <c r="AR19" s="2294">
        <f>SUM(AP19:AQ19)</f>
        <v>3248</v>
      </c>
      <c r="AS19" s="2292">
        <f>SUM(AS16:AS18)</f>
        <v>478</v>
      </c>
      <c r="AT19" s="2293">
        <f>SUM(AT16:AT18)</f>
        <v>2603</v>
      </c>
      <c r="AU19" s="2294">
        <f>SUM(AS19:AT19)</f>
        <v>3081</v>
      </c>
    </row>
    <row r="20" spans="1:47" ht="15" x14ac:dyDescent="0.2">
      <c r="A20" s="195"/>
      <c r="B20" s="262"/>
      <c r="C20" s="262"/>
      <c r="D20" s="262"/>
      <c r="E20" s="262"/>
      <c r="F20" s="262"/>
      <c r="G20" s="262"/>
      <c r="H20" s="262"/>
      <c r="I20" s="262"/>
      <c r="J20" s="262"/>
      <c r="K20" s="262"/>
      <c r="L20" s="262"/>
      <c r="M20" s="262"/>
      <c r="N20" s="262"/>
      <c r="O20" s="262"/>
      <c r="P20" s="262"/>
      <c r="Q20" s="262"/>
      <c r="R20" s="262"/>
      <c r="S20" s="262"/>
      <c r="T20" s="262"/>
      <c r="U20" s="262"/>
      <c r="V20" s="262"/>
      <c r="W20" s="262"/>
      <c r="X20" s="262"/>
      <c r="Y20" s="262"/>
      <c r="Z20" s="262"/>
      <c r="AA20" s="262"/>
      <c r="AB20" s="262"/>
      <c r="AC20" s="262"/>
      <c r="AD20" s="765"/>
      <c r="AE20" s="765"/>
      <c r="AF20" s="262"/>
      <c r="AG20" s="765"/>
      <c r="AH20" s="765"/>
      <c r="AI20" s="262"/>
      <c r="AJ20" s="765"/>
      <c r="AK20" s="765"/>
      <c r="AL20" s="262"/>
      <c r="AM20" s="765"/>
      <c r="AN20" s="765"/>
      <c r="AO20" s="262"/>
      <c r="AP20" s="765"/>
      <c r="AQ20" s="765"/>
      <c r="AR20" s="262"/>
      <c r="AS20" s="765"/>
      <c r="AT20" s="765"/>
      <c r="AU20" s="262"/>
    </row>
    <row r="21" spans="1:47" ht="15" x14ac:dyDescent="0.2">
      <c r="A21" s="5739" t="s">
        <v>408</v>
      </c>
      <c r="B21" s="492" t="s">
        <v>5</v>
      </c>
      <c r="C21" s="699"/>
      <c r="D21" s="493"/>
      <c r="E21" s="493"/>
      <c r="F21" s="493"/>
      <c r="G21" s="493"/>
      <c r="H21" s="493"/>
      <c r="I21" s="493"/>
      <c r="J21" s="493"/>
      <c r="K21" s="493"/>
      <c r="L21" s="493"/>
      <c r="M21" s="493"/>
      <c r="N21" s="493"/>
      <c r="O21" s="493"/>
      <c r="P21" s="493"/>
      <c r="Q21" s="493"/>
      <c r="R21" s="493"/>
      <c r="S21" s="493"/>
      <c r="T21" s="493"/>
      <c r="U21" s="493"/>
      <c r="V21" s="493"/>
      <c r="W21" s="493"/>
      <c r="X21" s="493"/>
      <c r="Y21" s="493"/>
      <c r="Z21" s="494"/>
      <c r="AA21" s="465">
        <v>37</v>
      </c>
      <c r="AB21" s="464">
        <v>40</v>
      </c>
      <c r="AC21" s="494">
        <f>SUM(AA21:AB21)</f>
        <v>77</v>
      </c>
      <c r="AD21" s="465">
        <f>SUM('Admitidos plan'!AE94)</f>
        <v>0</v>
      </c>
      <c r="AE21" s="464">
        <f>SUM('Admitidos plan'!AF94)</f>
        <v>32</v>
      </c>
      <c r="AF21" s="494">
        <f>SUM(AD21:AE21)</f>
        <v>32</v>
      </c>
      <c r="AG21" s="465">
        <f>SUM('Admitidos plan'!AH94)</f>
        <v>35</v>
      </c>
      <c r="AH21" s="464">
        <f>SUM('Admitidos plan'!AI94)</f>
        <v>38</v>
      </c>
      <c r="AI21" s="494">
        <f>SUM(AG21:AH21)</f>
        <v>73</v>
      </c>
      <c r="AJ21" s="465">
        <f>SUM('Admitidos plan'!AK94)</f>
        <v>21</v>
      </c>
      <c r="AK21" s="464">
        <f>SUM('Admitidos plan'!AL94)</f>
        <v>35</v>
      </c>
      <c r="AL21" s="494">
        <f>SUM(AJ21:AK21)</f>
        <v>56</v>
      </c>
      <c r="AM21" s="465">
        <f>SUM('Admitidos plan'!AN94)</f>
        <v>23</v>
      </c>
      <c r="AN21" s="464">
        <f>SUM('Admitidos plan'!AO94)</f>
        <v>56</v>
      </c>
      <c r="AO21" s="494">
        <f>SUM(AM21:AN21)</f>
        <v>79</v>
      </c>
      <c r="AP21" s="465">
        <f>SUM('Admitidos plan'!AQ94)</f>
        <v>19</v>
      </c>
      <c r="AQ21" s="464">
        <f>SUM('Admitidos plan'!AR94)</f>
        <v>43</v>
      </c>
      <c r="AR21" s="494">
        <f>SUM(AP21:AQ21)</f>
        <v>62</v>
      </c>
      <c r="AS21" s="465">
        <f>+'Admitidos plan'!AT96</f>
        <v>59</v>
      </c>
      <c r="AT21" s="464">
        <f>+'Admitidos plan'!AU96</f>
        <v>75</v>
      </c>
      <c r="AU21" s="494">
        <f>SUM(AS21:AT21)</f>
        <v>134</v>
      </c>
    </row>
    <row r="22" spans="1:47" ht="15" x14ac:dyDescent="0.2">
      <c r="A22" s="5740"/>
      <c r="B22" s="498" t="s">
        <v>6</v>
      </c>
      <c r="C22" s="700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500"/>
      <c r="AA22" s="468">
        <v>38</v>
      </c>
      <c r="AB22" s="467">
        <v>43</v>
      </c>
      <c r="AC22" s="500">
        <f>SUM(AA22:AB22)</f>
        <v>81</v>
      </c>
      <c r="AD22" s="468">
        <f>SUM('Admitidos plan'!AE97)</f>
        <v>0</v>
      </c>
      <c r="AE22" s="467">
        <f>SUM('Admitidos plan'!AF97)</f>
        <v>37</v>
      </c>
      <c r="AF22" s="500">
        <f>SUM(AD22:AE22)</f>
        <v>37</v>
      </c>
      <c r="AG22" s="468">
        <f>SUM('Admitidos plan'!AH97)</f>
        <v>27</v>
      </c>
      <c r="AH22" s="467">
        <f>'Admitidos plan'!AI99</f>
        <v>61</v>
      </c>
      <c r="AI22" s="500">
        <f>SUM(AG22:AH22)</f>
        <v>88</v>
      </c>
      <c r="AJ22" s="468">
        <f>SUM('Admitidos plan'!AK97)</f>
        <v>0</v>
      </c>
      <c r="AK22" s="467">
        <f>'Admitidos plan'!AL99</f>
        <v>65</v>
      </c>
      <c r="AL22" s="500">
        <f>SUM(AJ22:AK22)</f>
        <v>65</v>
      </c>
      <c r="AM22" s="468">
        <f>SUM('Admitidos plan'!AN97)</f>
        <v>0</v>
      </c>
      <c r="AN22" s="467">
        <f>'Admitidos plan'!AO99</f>
        <v>76</v>
      </c>
      <c r="AO22" s="500">
        <f>SUM(AM22:AN22)</f>
        <v>76</v>
      </c>
      <c r="AP22" s="468">
        <f>SUM('Admitidos plan'!AQ97)</f>
        <v>32</v>
      </c>
      <c r="AQ22" s="467">
        <f>'Admitidos plan'!AR99</f>
        <v>73</v>
      </c>
      <c r="AR22" s="500">
        <f>SUM(AP22:AQ22)</f>
        <v>105</v>
      </c>
      <c r="AS22" s="468">
        <f>+'Admitidos plan'!AT99</f>
        <v>33</v>
      </c>
      <c r="AT22" s="467">
        <f>+'Admitidos plan'!AU99</f>
        <v>88</v>
      </c>
      <c r="AU22" s="500">
        <f>SUM(AS22:AT22)</f>
        <v>121</v>
      </c>
    </row>
    <row r="23" spans="1:47" ht="15" x14ac:dyDescent="0.2">
      <c r="A23" s="5740"/>
      <c r="B23" s="274" t="s">
        <v>11</v>
      </c>
      <c r="C23" s="700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500"/>
      <c r="AA23" s="468">
        <v>39</v>
      </c>
      <c r="AB23" s="467">
        <v>41</v>
      </c>
      <c r="AC23" s="500">
        <f>SUM(AA23:AB23)</f>
        <v>80</v>
      </c>
      <c r="AD23" s="468">
        <f>SUM('Admitidos plan'!AE100)</f>
        <v>0</v>
      </c>
      <c r="AE23" s="467">
        <f>SUM('Admitidos plan'!AF100)</f>
        <v>38</v>
      </c>
      <c r="AF23" s="500">
        <f>SUM(AD23:AE23)</f>
        <v>38</v>
      </c>
      <c r="AG23" s="468">
        <f>SUM('Admitidos plan'!AH100)</f>
        <v>25</v>
      </c>
      <c r="AH23" s="467">
        <f>SUM('Admitidos plan'!AI100)</f>
        <v>48</v>
      </c>
      <c r="AI23" s="500">
        <f>SUM(AG23:AH23)</f>
        <v>73</v>
      </c>
      <c r="AJ23" s="468">
        <f>SUM('Admitidos plan'!AK100)</f>
        <v>35</v>
      </c>
      <c r="AK23" s="467">
        <f>SUM('Admitidos plan'!AL100)</f>
        <v>31</v>
      </c>
      <c r="AL23" s="500">
        <f>SUM(AJ23:AK23)</f>
        <v>66</v>
      </c>
      <c r="AM23" s="468">
        <f>SUM('Admitidos plan'!AN100)</f>
        <v>38</v>
      </c>
      <c r="AN23" s="467">
        <f>SUM('Admitidos plan'!AO100)</f>
        <v>47</v>
      </c>
      <c r="AO23" s="500">
        <f>SUM(AM23:AN23)</f>
        <v>85</v>
      </c>
      <c r="AP23" s="468">
        <f>SUM('Admitidos plan'!AQ100)</f>
        <v>33</v>
      </c>
      <c r="AQ23" s="467">
        <f>SUM('Admitidos plan'!AR100)</f>
        <v>66</v>
      </c>
      <c r="AR23" s="500">
        <f>SUM(AP23:AQ23)</f>
        <v>99</v>
      </c>
      <c r="AS23" s="468">
        <f>+'Admitidos plan'!AT102</f>
        <v>47</v>
      </c>
      <c r="AT23" s="467">
        <f>+'Admitidos plan'!AU102</f>
        <v>78</v>
      </c>
      <c r="AU23" s="500">
        <f>SUM(AS23:AT23)</f>
        <v>125</v>
      </c>
    </row>
    <row r="24" spans="1:47" ht="15" x14ac:dyDescent="0.2">
      <c r="A24" s="5741"/>
      <c r="B24" s="2223" t="s">
        <v>12</v>
      </c>
      <c r="C24" s="2301"/>
      <c r="D24" s="2302"/>
      <c r="E24" s="2302"/>
      <c r="F24" s="2302"/>
      <c r="G24" s="2302"/>
      <c r="H24" s="2302"/>
      <c r="I24" s="2302"/>
      <c r="J24" s="2302"/>
      <c r="K24" s="2302"/>
      <c r="L24" s="2302"/>
      <c r="M24" s="2302"/>
      <c r="N24" s="2302"/>
      <c r="O24" s="2302"/>
      <c r="P24" s="2302"/>
      <c r="Q24" s="2302"/>
      <c r="R24" s="2302"/>
      <c r="S24" s="2302"/>
      <c r="T24" s="2302"/>
      <c r="U24" s="2302"/>
      <c r="V24" s="2302"/>
      <c r="W24" s="2302"/>
      <c r="X24" s="2302"/>
      <c r="Y24" s="2302"/>
      <c r="Z24" s="2303"/>
      <c r="AA24" s="2304">
        <v>114</v>
      </c>
      <c r="AB24" s="2305">
        <f>SUM(AB21:AB23)</f>
        <v>124</v>
      </c>
      <c r="AC24" s="2306">
        <f>SUM(AA24:AB24)</f>
        <v>238</v>
      </c>
      <c r="AD24" s="2304">
        <f>SUM(AD21:AD23)</f>
        <v>0</v>
      </c>
      <c r="AE24" s="2305">
        <f>SUM(AE21:AE23)</f>
        <v>107</v>
      </c>
      <c r="AF24" s="2306">
        <f>SUM(AD24:AE24)</f>
        <v>107</v>
      </c>
      <c r="AG24" s="2304">
        <f>SUM(AG21:AG23)</f>
        <v>87</v>
      </c>
      <c r="AH24" s="2305">
        <f>SUM(AH21:AH23)</f>
        <v>147</v>
      </c>
      <c r="AI24" s="2306">
        <f>SUM(AG24:AH24)</f>
        <v>234</v>
      </c>
      <c r="AJ24" s="2304">
        <f>SUM(AJ21:AJ23)</f>
        <v>56</v>
      </c>
      <c r="AK24" s="2305">
        <f>SUM(AK21:AK23)</f>
        <v>131</v>
      </c>
      <c r="AL24" s="2306">
        <f>SUM(AJ24:AK24)</f>
        <v>187</v>
      </c>
      <c r="AM24" s="2304">
        <f>SUM(AM21:AM23)</f>
        <v>61</v>
      </c>
      <c r="AN24" s="2305">
        <f>SUM(AN21:AN23)</f>
        <v>179</v>
      </c>
      <c r="AO24" s="2306">
        <f>SUM(AM24:AN24)</f>
        <v>240</v>
      </c>
      <c r="AP24" s="2304">
        <f>SUM(AP21:AP23)</f>
        <v>84</v>
      </c>
      <c r="AQ24" s="2305">
        <f>SUM(AQ21:AQ23)</f>
        <v>182</v>
      </c>
      <c r="AR24" s="2306">
        <f>SUM(AP24:AQ24)</f>
        <v>266</v>
      </c>
      <c r="AS24" s="2304">
        <f>SUM(AS21:AS23)</f>
        <v>139</v>
      </c>
      <c r="AT24" s="2305">
        <f>SUM(AT21:AT23)</f>
        <v>241</v>
      </c>
      <c r="AU24" s="2306">
        <f>SUM(AS24:AT24)</f>
        <v>380</v>
      </c>
    </row>
    <row r="25" spans="1:47" ht="15" x14ac:dyDescent="0.2">
      <c r="A25" s="195"/>
      <c r="B25" s="709"/>
      <c r="C25" s="709"/>
      <c r="D25" s="709"/>
      <c r="E25" s="709"/>
      <c r="F25" s="709"/>
      <c r="G25" s="709"/>
      <c r="H25" s="709"/>
      <c r="I25" s="709"/>
      <c r="J25" s="709"/>
      <c r="K25" s="709"/>
      <c r="L25" s="709"/>
      <c r="M25" s="709"/>
      <c r="N25" s="709"/>
      <c r="O25" s="709"/>
      <c r="P25" s="709"/>
      <c r="Q25" s="709"/>
      <c r="R25" s="709"/>
      <c r="S25" s="709"/>
      <c r="T25" s="709"/>
      <c r="U25" s="709"/>
      <c r="V25" s="709"/>
      <c r="W25" s="709"/>
      <c r="X25" s="709"/>
      <c r="Y25" s="709"/>
      <c r="Z25" s="709"/>
      <c r="AA25" s="709"/>
      <c r="AB25" s="709"/>
      <c r="AC25" s="709"/>
      <c r="AD25" s="709"/>
      <c r="AE25" s="709"/>
      <c r="AF25" s="709"/>
      <c r="AG25" s="709"/>
      <c r="AH25" s="709"/>
      <c r="AI25" s="709"/>
      <c r="AJ25" s="709"/>
      <c r="AK25" s="709"/>
      <c r="AL25" s="709"/>
      <c r="AM25" s="709"/>
      <c r="AN25" s="709"/>
      <c r="AO25" s="709"/>
      <c r="AP25" s="709"/>
      <c r="AQ25" s="709"/>
      <c r="AR25" s="709"/>
      <c r="AS25" s="709"/>
      <c r="AT25" s="709"/>
      <c r="AU25" s="709"/>
    </row>
    <row r="26" spans="1:47" ht="15" x14ac:dyDescent="0.2">
      <c r="A26" s="5734" t="s">
        <v>163</v>
      </c>
      <c r="B26" s="492" t="s">
        <v>6</v>
      </c>
      <c r="C26" s="465">
        <v>689</v>
      </c>
      <c r="D26" s="464">
        <v>844</v>
      </c>
      <c r="E26" s="466">
        <v>1533</v>
      </c>
      <c r="F26" s="465">
        <v>888</v>
      </c>
      <c r="G26" s="464">
        <v>823</v>
      </c>
      <c r="H26" s="494">
        <v>1711</v>
      </c>
      <c r="I26" s="465">
        <v>857</v>
      </c>
      <c r="J26" s="464">
        <v>960</v>
      </c>
      <c r="K26" s="494">
        <v>1817</v>
      </c>
      <c r="L26" s="464">
        <v>685</v>
      </c>
      <c r="M26" s="464">
        <v>926</v>
      </c>
      <c r="N26" s="494">
        <v>1611</v>
      </c>
      <c r="O26" s="464">
        <v>785</v>
      </c>
      <c r="P26" s="464">
        <v>931</v>
      </c>
      <c r="Q26" s="494">
        <v>1716</v>
      </c>
      <c r="R26" s="464">
        <v>737</v>
      </c>
      <c r="S26" s="464">
        <v>787</v>
      </c>
      <c r="T26" s="494">
        <v>1524</v>
      </c>
      <c r="U26" s="465">
        <v>708</v>
      </c>
      <c r="V26" s="464">
        <v>838</v>
      </c>
      <c r="W26" s="494">
        <v>1546</v>
      </c>
      <c r="X26" s="465">
        <v>729</v>
      </c>
      <c r="Y26" s="464">
        <v>887</v>
      </c>
      <c r="Z26" s="494">
        <f>SUM(X26:Y26)</f>
        <v>1616</v>
      </c>
      <c r="AA26" s="465">
        <v>749</v>
      </c>
      <c r="AB26" s="464">
        <v>862</v>
      </c>
      <c r="AC26" s="494">
        <f>SUM(AA26:AB26)</f>
        <v>1611</v>
      </c>
      <c r="AD26" s="465">
        <f>SUM('Admitidos plan'!AE57:AE62)</f>
        <v>775</v>
      </c>
      <c r="AE26" s="464">
        <f>SUM('Admitidos plan'!AF57:AF62)</f>
        <v>888</v>
      </c>
      <c r="AF26" s="494">
        <f>SUM(AD26:AE26)</f>
        <v>1663</v>
      </c>
      <c r="AG26" s="465">
        <f>SUM('Admitidos plan'!AH57:AH62)</f>
        <v>700</v>
      </c>
      <c r="AH26" s="464">
        <f>SUM('Admitidos plan'!AI57:AI62)</f>
        <v>847</v>
      </c>
      <c r="AI26" s="494">
        <f>SUM(AG26:AH26)</f>
        <v>1547</v>
      </c>
      <c r="AJ26" s="465">
        <f>SUM('Admitidos plan'!AK57:AK62)</f>
        <v>734</v>
      </c>
      <c r="AK26" s="464">
        <f>SUM('Admitidos plan'!AL57:AL62)</f>
        <v>838</v>
      </c>
      <c r="AL26" s="494">
        <f>SUM(AJ26:AK26)</f>
        <v>1572</v>
      </c>
      <c r="AM26" s="465">
        <f>SUM('Admitidos plan'!AN57:AN62)</f>
        <v>774</v>
      </c>
      <c r="AN26" s="464">
        <f>SUM('Admitidos plan'!AO57:AO62)</f>
        <v>832</v>
      </c>
      <c r="AO26" s="494">
        <f>SUM(AM26:AN26)</f>
        <v>1606</v>
      </c>
      <c r="AP26" s="465">
        <f>SUM('Admitidos plan'!AQ57:AQ62)</f>
        <v>756</v>
      </c>
      <c r="AQ26" s="464">
        <f>SUM('Admitidos plan'!AR57:AR62)</f>
        <v>962</v>
      </c>
      <c r="AR26" s="494">
        <f>SUM(AP26:AQ26)</f>
        <v>1718</v>
      </c>
      <c r="AS26" s="465">
        <f>SUM('Admitidos plan'!AT57:AT62)</f>
        <v>790</v>
      </c>
      <c r="AT26" s="464">
        <f>SUM('Admitidos plan'!AU57:AU62)</f>
        <v>868</v>
      </c>
      <c r="AU26" s="494">
        <f>SUM(AS26:AT26)</f>
        <v>1658</v>
      </c>
    </row>
    <row r="27" spans="1:47" ht="15" x14ac:dyDescent="0.2">
      <c r="A27" s="5735"/>
      <c r="B27" s="498" t="s">
        <v>11</v>
      </c>
      <c r="C27" s="468">
        <v>864</v>
      </c>
      <c r="D27" s="467">
        <v>1137</v>
      </c>
      <c r="E27" s="469">
        <v>2001</v>
      </c>
      <c r="F27" s="468">
        <v>1129</v>
      </c>
      <c r="G27" s="467">
        <v>1130</v>
      </c>
      <c r="H27" s="500">
        <v>2259</v>
      </c>
      <c r="I27" s="468">
        <v>1086</v>
      </c>
      <c r="J27" s="467">
        <v>1319</v>
      </c>
      <c r="K27" s="500">
        <v>2405</v>
      </c>
      <c r="L27" s="467">
        <v>1030</v>
      </c>
      <c r="M27" s="467">
        <v>1281</v>
      </c>
      <c r="N27" s="500">
        <v>2311</v>
      </c>
      <c r="O27" s="467">
        <v>941</v>
      </c>
      <c r="P27" s="467">
        <v>1151</v>
      </c>
      <c r="Q27" s="500">
        <v>2092</v>
      </c>
      <c r="R27" s="467">
        <v>896</v>
      </c>
      <c r="S27" s="467">
        <v>998</v>
      </c>
      <c r="T27" s="500">
        <v>1894</v>
      </c>
      <c r="U27" s="468">
        <v>892</v>
      </c>
      <c r="V27" s="467">
        <v>1065</v>
      </c>
      <c r="W27" s="500">
        <v>1957</v>
      </c>
      <c r="X27" s="468">
        <v>945</v>
      </c>
      <c r="Y27" s="467">
        <v>1205</v>
      </c>
      <c r="Z27" s="500">
        <f>SUM(X27:Y27)</f>
        <v>2150</v>
      </c>
      <c r="AA27" s="468">
        <v>955</v>
      </c>
      <c r="AB27" s="467">
        <v>1126</v>
      </c>
      <c r="AC27" s="500">
        <f>SUM(AA27:AB27)</f>
        <v>2081</v>
      </c>
      <c r="AD27" s="468">
        <f>SUM('Admitidos plan'!AE64:AE71)</f>
        <v>956</v>
      </c>
      <c r="AE27" s="467">
        <f>SUM('Admitidos plan'!AF64:AF71)</f>
        <v>1111</v>
      </c>
      <c r="AF27" s="500">
        <f>SUM(AD27:AE27)</f>
        <v>2067</v>
      </c>
      <c r="AG27" s="468">
        <f>SUM('Admitidos plan'!AH64:AH71)</f>
        <v>927</v>
      </c>
      <c r="AH27" s="467">
        <f>SUM('Admitidos plan'!AI64:AI71)</f>
        <v>1160</v>
      </c>
      <c r="AI27" s="500">
        <f>SUM(AG27:AH27)</f>
        <v>2087</v>
      </c>
      <c r="AJ27" s="468">
        <f>SUM('Admitidos plan'!AK64:AK71)</f>
        <v>909</v>
      </c>
      <c r="AK27" s="467">
        <f>SUM('Admitidos plan'!AL64:AL71)</f>
        <v>1035</v>
      </c>
      <c r="AL27" s="500">
        <f>SUM(AJ27:AK27)</f>
        <v>1944</v>
      </c>
      <c r="AM27" s="468">
        <f>SUM('Admitidos plan'!AN64:AN71)</f>
        <v>973</v>
      </c>
      <c r="AN27" s="467">
        <f>SUM('Admitidos plan'!AO64:AO71)</f>
        <v>1045</v>
      </c>
      <c r="AO27" s="500">
        <f>SUM(AM27:AN27)</f>
        <v>2018</v>
      </c>
      <c r="AP27" s="468">
        <f>SUM('Admitidos plan'!AQ64:AQ71)</f>
        <v>998</v>
      </c>
      <c r="AQ27" s="467">
        <f>SUM('Admitidos plan'!AR64:AR71)</f>
        <v>1220</v>
      </c>
      <c r="AR27" s="500">
        <f>SUM(AP27:AQ27)</f>
        <v>2218</v>
      </c>
      <c r="AS27" s="468">
        <f>SUM('Admitidos plan'!AT64:AT71)</f>
        <v>1063</v>
      </c>
      <c r="AT27" s="467">
        <f>SUM('Admitidos plan'!AU64:AU71)</f>
        <v>1190</v>
      </c>
      <c r="AU27" s="500">
        <f>SUM(AS27:AT27)</f>
        <v>2253</v>
      </c>
    </row>
    <row r="28" spans="1:47" ht="15" x14ac:dyDescent="0.2">
      <c r="A28" s="5735"/>
      <c r="B28" s="498" t="s">
        <v>7</v>
      </c>
      <c r="C28" s="468">
        <v>369</v>
      </c>
      <c r="D28" s="467">
        <v>490</v>
      </c>
      <c r="E28" s="469">
        <v>859</v>
      </c>
      <c r="F28" s="468">
        <v>388</v>
      </c>
      <c r="G28" s="467">
        <v>436</v>
      </c>
      <c r="H28" s="500">
        <v>824</v>
      </c>
      <c r="I28" s="468">
        <v>414</v>
      </c>
      <c r="J28" s="467">
        <v>533</v>
      </c>
      <c r="K28" s="500">
        <v>947</v>
      </c>
      <c r="L28" s="467">
        <v>361</v>
      </c>
      <c r="M28" s="467">
        <v>486</v>
      </c>
      <c r="N28" s="500">
        <v>847</v>
      </c>
      <c r="O28" s="467">
        <v>379</v>
      </c>
      <c r="P28" s="467">
        <v>488</v>
      </c>
      <c r="Q28" s="500">
        <v>867</v>
      </c>
      <c r="R28" s="467">
        <v>377</v>
      </c>
      <c r="S28" s="467">
        <v>406</v>
      </c>
      <c r="T28" s="500">
        <v>783</v>
      </c>
      <c r="U28" s="468">
        <v>330</v>
      </c>
      <c r="V28" s="467">
        <v>404</v>
      </c>
      <c r="W28" s="500">
        <v>734</v>
      </c>
      <c r="X28" s="468">
        <v>342</v>
      </c>
      <c r="Y28" s="467">
        <v>402</v>
      </c>
      <c r="Z28" s="500">
        <f>SUM(X28:Y28)</f>
        <v>744</v>
      </c>
      <c r="AA28" s="468">
        <v>364</v>
      </c>
      <c r="AB28" s="467">
        <v>412</v>
      </c>
      <c r="AC28" s="500">
        <f>SUM(AA28:AB28)</f>
        <v>776</v>
      </c>
      <c r="AD28" s="468">
        <f>SUM('Admitidos plan'!AE73:AE76)</f>
        <v>350</v>
      </c>
      <c r="AE28" s="467">
        <f>SUM('Admitidos plan'!AF73:AF76)</f>
        <v>421</v>
      </c>
      <c r="AF28" s="500">
        <f>SUM(AD28:AE28)</f>
        <v>771</v>
      </c>
      <c r="AG28" s="468">
        <f>SUM('Admitidos plan'!AH73:AH76)</f>
        <v>334</v>
      </c>
      <c r="AH28" s="467">
        <f>SUM('Admitidos plan'!AI73:AI76)</f>
        <v>384</v>
      </c>
      <c r="AI28" s="500">
        <f>SUM(AG28:AH28)</f>
        <v>718</v>
      </c>
      <c r="AJ28" s="468">
        <f>SUM('Admitidos plan'!AK73:AK76)</f>
        <v>336</v>
      </c>
      <c r="AK28" s="467">
        <f>SUM('Admitidos plan'!AL73:AL76)</f>
        <v>360</v>
      </c>
      <c r="AL28" s="500">
        <f>SUM(AJ28:AK28)</f>
        <v>696</v>
      </c>
      <c r="AM28" s="468">
        <f>SUM('Admitidos plan'!AN73:AN76)</f>
        <v>359</v>
      </c>
      <c r="AN28" s="467">
        <f>SUM('Admitidos plan'!AO73:AO76)</f>
        <v>391</v>
      </c>
      <c r="AO28" s="500">
        <f>SUM(AM28:AN28)</f>
        <v>750</v>
      </c>
      <c r="AP28" s="468">
        <f>SUM('Admitidos plan'!AQ73:AQ76)</f>
        <v>341</v>
      </c>
      <c r="AQ28" s="467">
        <f>SUM('Admitidos plan'!AR73:AR76)</f>
        <v>453</v>
      </c>
      <c r="AR28" s="500">
        <f>SUM(AP28:AQ28)</f>
        <v>794</v>
      </c>
      <c r="AS28" s="468">
        <f>SUM('Admitidos plan'!AT73:AT76)</f>
        <v>351</v>
      </c>
      <c r="AT28" s="467">
        <f>SUM('Admitidos plan'!AU73:AU76)</f>
        <v>399</v>
      </c>
      <c r="AU28" s="500">
        <f>SUM(AS28:AT28)</f>
        <v>750</v>
      </c>
    </row>
    <row r="29" spans="1:47" ht="15" x14ac:dyDescent="0.2">
      <c r="A29" s="5736"/>
      <c r="B29" s="2307" t="s">
        <v>12</v>
      </c>
      <c r="C29" s="2298">
        <v>1922</v>
      </c>
      <c r="D29" s="2299">
        <v>2471</v>
      </c>
      <c r="E29" s="2300">
        <v>4393</v>
      </c>
      <c r="F29" s="2298">
        <v>2405</v>
      </c>
      <c r="G29" s="2299">
        <v>2389</v>
      </c>
      <c r="H29" s="2300">
        <v>4794</v>
      </c>
      <c r="I29" s="2298">
        <v>2357</v>
      </c>
      <c r="J29" s="2299">
        <v>2812</v>
      </c>
      <c r="K29" s="2300">
        <v>5169</v>
      </c>
      <c r="L29" s="2299">
        <v>2076</v>
      </c>
      <c r="M29" s="2299">
        <v>2693</v>
      </c>
      <c r="N29" s="2300">
        <v>4769</v>
      </c>
      <c r="O29" s="2299">
        <v>2105</v>
      </c>
      <c r="P29" s="2299">
        <v>2570</v>
      </c>
      <c r="Q29" s="2300">
        <v>4675</v>
      </c>
      <c r="R29" s="2299">
        <v>2010</v>
      </c>
      <c r="S29" s="2299">
        <v>2191</v>
      </c>
      <c r="T29" s="2300">
        <v>4201</v>
      </c>
      <c r="U29" s="2298">
        <v>1930</v>
      </c>
      <c r="V29" s="2299">
        <v>2307</v>
      </c>
      <c r="W29" s="2300">
        <v>4237</v>
      </c>
      <c r="X29" s="2298">
        <f>SUM(X26:X28)</f>
        <v>2016</v>
      </c>
      <c r="Y29" s="2299">
        <v>2494</v>
      </c>
      <c r="Z29" s="2300">
        <f>SUM(X29:Y29)</f>
        <v>4510</v>
      </c>
      <c r="AA29" s="2298">
        <v>2068</v>
      </c>
      <c r="AB29" s="2299">
        <f>SUM(AB26:AB28)</f>
        <v>2400</v>
      </c>
      <c r="AC29" s="2300">
        <f>SUM(AA29:AB29)</f>
        <v>4468</v>
      </c>
      <c r="AD29" s="2298">
        <f>SUM(AD26:AD28)</f>
        <v>2081</v>
      </c>
      <c r="AE29" s="2299">
        <f>SUM(AE26:AE28)</f>
        <v>2420</v>
      </c>
      <c r="AF29" s="2300">
        <f>SUM(AD29:AE29)</f>
        <v>4501</v>
      </c>
      <c r="AG29" s="2298">
        <f>SUM(AG26:AG28)</f>
        <v>1961</v>
      </c>
      <c r="AH29" s="2299">
        <f>SUM(AH26:AH28)</f>
        <v>2391</v>
      </c>
      <c r="AI29" s="2300">
        <f>SUM(AG29:AH29)</f>
        <v>4352</v>
      </c>
      <c r="AJ29" s="2298">
        <f>SUM(AJ26:AJ28)</f>
        <v>1979</v>
      </c>
      <c r="AK29" s="2299">
        <f>SUM(AK26:AK28)</f>
        <v>2233</v>
      </c>
      <c r="AL29" s="2300">
        <f>SUM(AJ29:AK29)</f>
        <v>4212</v>
      </c>
      <c r="AM29" s="2298">
        <f>SUM(AM26:AM28)</f>
        <v>2106</v>
      </c>
      <c r="AN29" s="2299">
        <f>SUM(AN26:AN28)</f>
        <v>2268</v>
      </c>
      <c r="AO29" s="2300">
        <f>SUM(AM29:AN29)</f>
        <v>4374</v>
      </c>
      <c r="AP29" s="2298">
        <f>SUM(AP26:AP28)</f>
        <v>2095</v>
      </c>
      <c r="AQ29" s="2299">
        <f>SUM(AQ26:AQ28)</f>
        <v>2635</v>
      </c>
      <c r="AR29" s="2300">
        <f>SUM(AP29:AQ29)</f>
        <v>4730</v>
      </c>
      <c r="AS29" s="2298">
        <f>SUM(AS26:AS28)</f>
        <v>2204</v>
      </c>
      <c r="AT29" s="2299">
        <f>SUM(AT26:AT28)</f>
        <v>2457</v>
      </c>
      <c r="AU29" s="2300">
        <f>SUM(AS29:AT29)</f>
        <v>4661</v>
      </c>
    </row>
    <row r="30" spans="1:47" ht="15" x14ac:dyDescent="0.2">
      <c r="A30" s="262"/>
      <c r="B30" s="26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262"/>
      <c r="Q30" s="262"/>
      <c r="R30" s="262"/>
      <c r="S30" s="262"/>
      <c r="T30" s="262"/>
      <c r="U30" s="262"/>
      <c r="V30" s="262"/>
      <c r="W30" s="262"/>
      <c r="X30" s="262"/>
      <c r="Y30" s="262"/>
      <c r="Z30" s="262"/>
      <c r="AA30" s="262"/>
      <c r="AB30" s="262"/>
      <c r="AC30" s="262"/>
      <c r="AD30" s="765"/>
      <c r="AE30" s="765"/>
      <c r="AF30" s="262"/>
      <c r="AG30" s="765"/>
      <c r="AH30" s="765"/>
      <c r="AI30" s="262"/>
      <c r="AJ30" s="765"/>
      <c r="AK30" s="765"/>
      <c r="AL30" s="262"/>
      <c r="AM30" s="765"/>
      <c r="AN30" s="765"/>
      <c r="AO30" s="262"/>
      <c r="AP30" s="765"/>
      <c r="AQ30" s="765"/>
      <c r="AR30" s="262"/>
      <c r="AS30" s="765"/>
      <c r="AT30" s="765"/>
      <c r="AU30" s="262"/>
    </row>
    <row r="31" spans="1:47" ht="15" x14ac:dyDescent="0.2">
      <c r="A31" s="5683" t="s">
        <v>60</v>
      </c>
      <c r="B31" s="492" t="s">
        <v>5</v>
      </c>
      <c r="C31" s="465">
        <v>741</v>
      </c>
      <c r="D31" s="464">
        <v>1508</v>
      </c>
      <c r="E31" s="466">
        <v>2249</v>
      </c>
      <c r="F31" s="465">
        <v>1069</v>
      </c>
      <c r="G31" s="464">
        <v>1775</v>
      </c>
      <c r="H31" s="494">
        <v>2844</v>
      </c>
      <c r="I31" s="465">
        <v>1075</v>
      </c>
      <c r="J31" s="464">
        <v>1896</v>
      </c>
      <c r="K31" s="494">
        <v>2971</v>
      </c>
      <c r="L31" s="464">
        <v>1199</v>
      </c>
      <c r="M31" s="464">
        <v>1959</v>
      </c>
      <c r="N31" s="494">
        <v>3158</v>
      </c>
      <c r="O31" s="464">
        <v>1007</v>
      </c>
      <c r="P31" s="464">
        <v>1946</v>
      </c>
      <c r="Q31" s="494">
        <v>2953</v>
      </c>
      <c r="R31" s="464">
        <v>1028</v>
      </c>
      <c r="S31" s="464">
        <v>2006</v>
      </c>
      <c r="T31" s="494">
        <v>3034</v>
      </c>
      <c r="U31" s="465">
        <v>1045</v>
      </c>
      <c r="V31" s="464">
        <v>1884</v>
      </c>
      <c r="W31" s="494">
        <v>2929</v>
      </c>
      <c r="X31" s="465">
        <f>X6+X16</f>
        <v>1062</v>
      </c>
      <c r="Y31" s="464">
        <v>2355</v>
      </c>
      <c r="Z31" s="494">
        <f t="shared" ref="Z31:Z37" si="2">SUM(X31:Y31)</f>
        <v>3417</v>
      </c>
      <c r="AA31" s="465">
        <f>SUM(AA6,AA16,AA21)</f>
        <v>1313</v>
      </c>
      <c r="AB31" s="464">
        <f>SUM(AB6,AB16,AB21)</f>
        <v>1898</v>
      </c>
      <c r="AC31" s="494">
        <f t="shared" ref="AC31:AC36" si="3">SUM(AA31:AB31)</f>
        <v>3211</v>
      </c>
      <c r="AD31" s="465">
        <f>SUM(AD6,AD16,AD21)</f>
        <v>731</v>
      </c>
      <c r="AE31" s="464">
        <f>SUM(AE6,AE16,AE21)</f>
        <v>1869</v>
      </c>
      <c r="AF31" s="494">
        <f t="shared" ref="AF31:AF36" si="4">SUM(AD31:AE31)</f>
        <v>2600</v>
      </c>
      <c r="AG31" s="465">
        <f>SUM(AG6,AG16,AG21)</f>
        <v>904</v>
      </c>
      <c r="AH31" s="464">
        <f>SUM(AH6,AH16,AH21)</f>
        <v>2007</v>
      </c>
      <c r="AI31" s="494">
        <f t="shared" ref="AI31:AI36" si="5">SUM(AG31:AH31)</f>
        <v>2911</v>
      </c>
      <c r="AJ31" s="465">
        <f>SUM(AJ6,AJ16,AJ21)</f>
        <v>689</v>
      </c>
      <c r="AK31" s="464">
        <f>SUM(AK6,AK16,AK21)</f>
        <v>1873</v>
      </c>
      <c r="AL31" s="494">
        <f t="shared" ref="AL31:AL36" si="6">SUM(AJ31:AK31)</f>
        <v>2562</v>
      </c>
      <c r="AM31" s="465">
        <f>SUM(AM6,AM16,AM21)</f>
        <v>615</v>
      </c>
      <c r="AN31" s="464">
        <f>SUM(AN6,AN16,AN21)</f>
        <v>1691</v>
      </c>
      <c r="AO31" s="494">
        <f t="shared" ref="AO31:AO36" si="7">SUM(AM31:AN31)</f>
        <v>2306</v>
      </c>
      <c r="AP31" s="465">
        <f>SUM(AP6,AP16,AP21)</f>
        <v>771</v>
      </c>
      <c r="AQ31" s="464">
        <f>SUM(AQ6,AQ16,AQ21)</f>
        <v>1953</v>
      </c>
      <c r="AR31" s="494">
        <f t="shared" ref="AR31:AR36" si="8">SUM(AP31:AQ31)</f>
        <v>2724</v>
      </c>
      <c r="AS31" s="465">
        <f>SUM(AS6,AS16,AS21)</f>
        <v>669</v>
      </c>
      <c r="AT31" s="464">
        <f>SUM(AT6,AT16,AT21)</f>
        <v>2033</v>
      </c>
      <c r="AU31" s="494">
        <f t="shared" ref="AU31:AU36" si="9">SUM(AS31:AT31)</f>
        <v>2702</v>
      </c>
    </row>
    <row r="32" spans="1:47" ht="15" x14ac:dyDescent="0.2">
      <c r="A32" s="5684"/>
      <c r="B32" s="498" t="s">
        <v>6</v>
      </c>
      <c r="C32" s="468">
        <v>1372</v>
      </c>
      <c r="D32" s="467">
        <v>2457</v>
      </c>
      <c r="E32" s="469">
        <v>3829</v>
      </c>
      <c r="F32" s="468">
        <v>1588</v>
      </c>
      <c r="G32" s="467">
        <v>2595</v>
      </c>
      <c r="H32" s="500">
        <v>4183</v>
      </c>
      <c r="I32" s="468">
        <v>1577</v>
      </c>
      <c r="J32" s="467">
        <v>2948</v>
      </c>
      <c r="K32" s="500">
        <v>4525</v>
      </c>
      <c r="L32" s="467">
        <v>1339</v>
      </c>
      <c r="M32" s="467">
        <v>2900</v>
      </c>
      <c r="N32" s="500">
        <v>4239</v>
      </c>
      <c r="O32" s="467">
        <v>1645</v>
      </c>
      <c r="P32" s="467">
        <v>3016</v>
      </c>
      <c r="Q32" s="500">
        <v>4661</v>
      </c>
      <c r="R32" s="467">
        <v>1650</v>
      </c>
      <c r="S32" s="467">
        <v>2684</v>
      </c>
      <c r="T32" s="500">
        <v>4334</v>
      </c>
      <c r="U32" s="468">
        <v>1529</v>
      </c>
      <c r="V32" s="467">
        <v>2910</v>
      </c>
      <c r="W32" s="500">
        <v>4439</v>
      </c>
      <c r="X32" s="468">
        <f>X7+X11+X17+X26</f>
        <v>1537</v>
      </c>
      <c r="Y32" s="467">
        <v>2914</v>
      </c>
      <c r="Z32" s="500">
        <f t="shared" si="2"/>
        <v>4451</v>
      </c>
      <c r="AA32" s="468">
        <f>SUM(AA7,AA11,AA17,AA26,AA22)</f>
        <v>1619</v>
      </c>
      <c r="AB32" s="467">
        <f>SUM(AB7,AB11,AB17,AB26,AB22)</f>
        <v>2958</v>
      </c>
      <c r="AC32" s="500">
        <f t="shared" si="3"/>
        <v>4577</v>
      </c>
      <c r="AD32" s="468">
        <f>SUM(AD7,AD11,AD17,AD26,AD22)</f>
        <v>1671</v>
      </c>
      <c r="AE32" s="467">
        <f>SUM(AE7,AE11,AE17,AE26,AE22)</f>
        <v>3106</v>
      </c>
      <c r="AF32" s="500">
        <f t="shared" si="4"/>
        <v>4777</v>
      </c>
      <c r="AG32" s="468">
        <f>SUM(AG7,AG11,AG17,AG26,AG22)</f>
        <v>1549</v>
      </c>
      <c r="AH32" s="467">
        <f>SUM(AH7,AH11,AH17,AH26,AH22)</f>
        <v>3033</v>
      </c>
      <c r="AI32" s="500">
        <f t="shared" si="5"/>
        <v>4582</v>
      </c>
      <c r="AJ32" s="468">
        <f>SUM(AJ7,AJ11,AJ17,AJ26,AJ22)</f>
        <v>1642</v>
      </c>
      <c r="AK32" s="467">
        <f>SUM(AK7,AK11,AK17,AK26,AK22)</f>
        <v>2991</v>
      </c>
      <c r="AL32" s="500">
        <f t="shared" si="6"/>
        <v>4633</v>
      </c>
      <c r="AM32" s="468">
        <f>SUM(AM7,AM11,AM17,AM26,AM22)</f>
        <v>1747</v>
      </c>
      <c r="AN32" s="467">
        <f>SUM(AN7,AN11,AN17,AN26,AN22)</f>
        <v>3132</v>
      </c>
      <c r="AO32" s="500">
        <f t="shared" si="7"/>
        <v>4879</v>
      </c>
      <c r="AP32" s="468">
        <f>SUM(AP7,AP11,AP17,AP26,AP22)</f>
        <v>1745</v>
      </c>
      <c r="AQ32" s="467">
        <f>SUM(AQ7,AQ11,AQ17,AQ26,AQ22)</f>
        <v>3278</v>
      </c>
      <c r="AR32" s="500">
        <f t="shared" si="8"/>
        <v>5023</v>
      </c>
      <c r="AS32" s="468">
        <f>SUM(AS7,AS11,AS17,AS26,AS22)</f>
        <v>1765</v>
      </c>
      <c r="AT32" s="467">
        <f>SUM(AT7,AT11,AT17,AT26,AT22)</f>
        <v>3210</v>
      </c>
      <c r="AU32" s="500">
        <f t="shared" si="9"/>
        <v>4975</v>
      </c>
    </row>
    <row r="33" spans="1:47" ht="15" x14ac:dyDescent="0.2">
      <c r="A33" s="5684"/>
      <c r="B33" s="498" t="s">
        <v>11</v>
      </c>
      <c r="C33" s="468">
        <v>1039</v>
      </c>
      <c r="D33" s="467">
        <v>1541</v>
      </c>
      <c r="E33" s="469">
        <v>2580</v>
      </c>
      <c r="F33" s="468">
        <v>1322</v>
      </c>
      <c r="G33" s="467">
        <v>1563</v>
      </c>
      <c r="H33" s="500">
        <v>2885</v>
      </c>
      <c r="I33" s="468">
        <v>1299</v>
      </c>
      <c r="J33" s="467">
        <v>1787</v>
      </c>
      <c r="K33" s="500">
        <v>3086</v>
      </c>
      <c r="L33" s="467">
        <v>1294</v>
      </c>
      <c r="M33" s="467">
        <v>1770</v>
      </c>
      <c r="N33" s="500">
        <v>3064</v>
      </c>
      <c r="O33" s="467">
        <v>1173</v>
      </c>
      <c r="P33" s="467">
        <v>1676</v>
      </c>
      <c r="Q33" s="500">
        <v>2849</v>
      </c>
      <c r="R33" s="467">
        <v>1176</v>
      </c>
      <c r="S33" s="467">
        <v>1480</v>
      </c>
      <c r="T33" s="500">
        <v>2656</v>
      </c>
      <c r="U33" s="468">
        <v>1260</v>
      </c>
      <c r="V33" s="467">
        <v>1616</v>
      </c>
      <c r="W33" s="500">
        <v>2876</v>
      </c>
      <c r="X33" s="468">
        <f>X18+X27</f>
        <v>1357</v>
      </c>
      <c r="Y33" s="467">
        <v>1751</v>
      </c>
      <c r="Z33" s="500">
        <f t="shared" si="2"/>
        <v>3108</v>
      </c>
      <c r="AA33" s="468">
        <f>SUM(AA18,AA27,AA23)</f>
        <v>1447</v>
      </c>
      <c r="AB33" s="467">
        <f>SUM(AB18,AB27,AB23)</f>
        <v>1720</v>
      </c>
      <c r="AC33" s="500">
        <f t="shared" si="3"/>
        <v>3167</v>
      </c>
      <c r="AD33" s="468">
        <f>SUM(AD18,AD27,AD23)</f>
        <v>1423</v>
      </c>
      <c r="AE33" s="467">
        <f>SUM(AE18,AE27,AE23)</f>
        <v>1688</v>
      </c>
      <c r="AF33" s="500">
        <f t="shared" si="4"/>
        <v>3111</v>
      </c>
      <c r="AG33" s="468">
        <f>SUM(AG18,AG27,AG23)</f>
        <v>1394</v>
      </c>
      <c r="AH33" s="467">
        <f>SUM(AH18,AH27,AH23)</f>
        <v>1734</v>
      </c>
      <c r="AI33" s="500">
        <f t="shared" si="5"/>
        <v>3128</v>
      </c>
      <c r="AJ33" s="468">
        <f>SUM(AJ18,AJ27,AJ23)</f>
        <v>1309</v>
      </c>
      <c r="AK33" s="467">
        <f>SUM(AK18,AK27,AK23)</f>
        <v>1562</v>
      </c>
      <c r="AL33" s="500">
        <f t="shared" si="6"/>
        <v>2871</v>
      </c>
      <c r="AM33" s="468">
        <f>SUM(AM18,AM27,AM23)</f>
        <v>1348</v>
      </c>
      <c r="AN33" s="467">
        <f>SUM(AN18,AN27,AN23)</f>
        <v>1560</v>
      </c>
      <c r="AO33" s="500">
        <f t="shared" si="7"/>
        <v>2908</v>
      </c>
      <c r="AP33" s="468">
        <f>SUM(AP18,AP27,AP23)</f>
        <v>1348</v>
      </c>
      <c r="AQ33" s="467">
        <f>SUM(AQ18,AQ27,AQ23)</f>
        <v>1773</v>
      </c>
      <c r="AR33" s="500">
        <f t="shared" si="8"/>
        <v>3121</v>
      </c>
      <c r="AS33" s="468">
        <f>SUM(AS18,AS27,AS23)</f>
        <v>1426</v>
      </c>
      <c r="AT33" s="467">
        <f>SUM(AT18,AT27,AT23)</f>
        <v>1762</v>
      </c>
      <c r="AU33" s="500">
        <f t="shared" si="9"/>
        <v>3188</v>
      </c>
    </row>
    <row r="34" spans="1:47" ht="15" x14ac:dyDescent="0.2">
      <c r="A34" s="5684"/>
      <c r="B34" s="498" t="s">
        <v>7</v>
      </c>
      <c r="C34" s="468">
        <v>717</v>
      </c>
      <c r="D34" s="467">
        <v>954</v>
      </c>
      <c r="E34" s="469">
        <v>1671</v>
      </c>
      <c r="F34" s="468">
        <v>736</v>
      </c>
      <c r="G34" s="467">
        <v>815</v>
      </c>
      <c r="H34" s="500">
        <v>1551</v>
      </c>
      <c r="I34" s="468">
        <v>742</v>
      </c>
      <c r="J34" s="467">
        <v>922</v>
      </c>
      <c r="K34" s="500">
        <v>1664</v>
      </c>
      <c r="L34" s="467">
        <v>639</v>
      </c>
      <c r="M34" s="467">
        <v>856</v>
      </c>
      <c r="N34" s="500">
        <v>1495</v>
      </c>
      <c r="O34" s="467">
        <v>672</v>
      </c>
      <c r="P34" s="467">
        <v>858</v>
      </c>
      <c r="Q34" s="500">
        <v>1530</v>
      </c>
      <c r="R34" s="467">
        <v>663</v>
      </c>
      <c r="S34" s="467">
        <v>736</v>
      </c>
      <c r="T34" s="500">
        <v>1399</v>
      </c>
      <c r="U34" s="468">
        <v>620</v>
      </c>
      <c r="V34" s="467">
        <v>761</v>
      </c>
      <c r="W34" s="500">
        <v>1381</v>
      </c>
      <c r="X34" s="468">
        <f>X8+X28</f>
        <v>626</v>
      </c>
      <c r="Y34" s="467">
        <v>740</v>
      </c>
      <c r="Z34" s="500">
        <f t="shared" si="2"/>
        <v>1366</v>
      </c>
      <c r="AA34" s="468">
        <f>SUM(AA8,AA28)</f>
        <v>664</v>
      </c>
      <c r="AB34" s="467">
        <f>SUM(AB8,AB28)</f>
        <v>770</v>
      </c>
      <c r="AC34" s="500">
        <f t="shared" si="3"/>
        <v>1434</v>
      </c>
      <c r="AD34" s="468">
        <f>SUM(AD8,AD28)</f>
        <v>642</v>
      </c>
      <c r="AE34" s="467">
        <f>SUM(AE8,AE28)</f>
        <v>769</v>
      </c>
      <c r="AF34" s="500">
        <f t="shared" si="4"/>
        <v>1411</v>
      </c>
      <c r="AG34" s="468">
        <f>SUM(AG8,AG28)</f>
        <v>651</v>
      </c>
      <c r="AH34" s="467">
        <f>SUM(AH8,AH28)</f>
        <v>758</v>
      </c>
      <c r="AI34" s="500">
        <f t="shared" si="5"/>
        <v>1409</v>
      </c>
      <c r="AJ34" s="468">
        <f>SUM(AJ8,AJ28)</f>
        <v>648</v>
      </c>
      <c r="AK34" s="467">
        <f>SUM(AK8,AK28)</f>
        <v>715</v>
      </c>
      <c r="AL34" s="500">
        <f t="shared" si="6"/>
        <v>1363</v>
      </c>
      <c r="AM34" s="468">
        <f>SUM(AM8,AM28)</f>
        <v>682</v>
      </c>
      <c r="AN34" s="467">
        <f>SUM(AN8,AN28)</f>
        <v>793</v>
      </c>
      <c r="AO34" s="500">
        <f t="shared" si="7"/>
        <v>1475</v>
      </c>
      <c r="AP34" s="468">
        <f>SUM(AP8,AP28)</f>
        <v>640</v>
      </c>
      <c r="AQ34" s="467">
        <f>SUM(AQ8,AQ28)</f>
        <v>877</v>
      </c>
      <c r="AR34" s="500">
        <f t="shared" si="8"/>
        <v>1517</v>
      </c>
      <c r="AS34" s="468">
        <f>SUM(AS8,AS28)</f>
        <v>731</v>
      </c>
      <c r="AT34" s="467">
        <f>SUM(AT8,AT28)</f>
        <v>834</v>
      </c>
      <c r="AU34" s="500">
        <f t="shared" si="9"/>
        <v>1565</v>
      </c>
    </row>
    <row r="35" spans="1:47" ht="15" x14ac:dyDescent="0.2">
      <c r="A35" s="5684"/>
      <c r="B35" s="498" t="s">
        <v>9</v>
      </c>
      <c r="C35" s="468"/>
      <c r="D35" s="467"/>
      <c r="E35" s="469"/>
      <c r="F35" s="468"/>
      <c r="G35" s="467"/>
      <c r="H35" s="500"/>
      <c r="I35" s="468"/>
      <c r="J35" s="467"/>
      <c r="K35" s="500">
        <v>41</v>
      </c>
      <c r="L35" s="467"/>
      <c r="M35" s="467"/>
      <c r="N35" s="500">
        <v>37</v>
      </c>
      <c r="O35" s="467"/>
      <c r="P35" s="467">
        <v>163</v>
      </c>
      <c r="Q35" s="500">
        <v>163</v>
      </c>
      <c r="R35" s="467"/>
      <c r="S35" s="467">
        <v>144</v>
      </c>
      <c r="T35" s="500">
        <v>144</v>
      </c>
      <c r="U35" s="468"/>
      <c r="V35" s="467">
        <v>122</v>
      </c>
      <c r="W35" s="500">
        <v>122</v>
      </c>
      <c r="X35" s="468"/>
      <c r="Y35" s="467">
        <v>159</v>
      </c>
      <c r="Z35" s="500">
        <f t="shared" si="2"/>
        <v>159</v>
      </c>
      <c r="AA35" s="468"/>
      <c r="AB35" s="467">
        <f>SUM(AB12)</f>
        <v>158</v>
      </c>
      <c r="AC35" s="500">
        <f t="shared" si="3"/>
        <v>158</v>
      </c>
      <c r="AD35" s="468">
        <f>SUM(AD12)</f>
        <v>0</v>
      </c>
      <c r="AE35" s="467">
        <f>SUM(AE12)</f>
        <v>153</v>
      </c>
      <c r="AF35" s="500">
        <f t="shared" si="4"/>
        <v>153</v>
      </c>
      <c r="AG35" s="468">
        <f>SUM(AG12)</f>
        <v>0</v>
      </c>
      <c r="AH35" s="467">
        <f>SUM(AH12)</f>
        <v>158</v>
      </c>
      <c r="AI35" s="500">
        <f t="shared" si="5"/>
        <v>158</v>
      </c>
      <c r="AJ35" s="468">
        <f>SUM(AJ12)</f>
        <v>0</v>
      </c>
      <c r="AK35" s="467">
        <f>SUM(AK12)</f>
        <v>189</v>
      </c>
      <c r="AL35" s="500">
        <f t="shared" si="6"/>
        <v>189</v>
      </c>
      <c r="AM35" s="468">
        <f>SUM(AM12)</f>
        <v>0</v>
      </c>
      <c r="AN35" s="467">
        <f>SUM(AN12)</f>
        <v>234</v>
      </c>
      <c r="AO35" s="500">
        <f t="shared" si="7"/>
        <v>234</v>
      </c>
      <c r="AP35" s="468">
        <f>SUM(AP12)</f>
        <v>0</v>
      </c>
      <c r="AQ35" s="467">
        <f>SUM(AQ12)</f>
        <v>251</v>
      </c>
      <c r="AR35" s="500">
        <f t="shared" si="8"/>
        <v>251</v>
      </c>
      <c r="AS35" s="468">
        <f>SUM(AS12)</f>
        <v>0</v>
      </c>
      <c r="AT35" s="467">
        <f>SUM(AT12)</f>
        <v>257</v>
      </c>
      <c r="AU35" s="500">
        <f t="shared" si="9"/>
        <v>257</v>
      </c>
    </row>
    <row r="36" spans="1:47" s="224" customFormat="1" ht="15" x14ac:dyDescent="0.2">
      <c r="A36" s="5685"/>
      <c r="B36" s="504" t="s">
        <v>74</v>
      </c>
      <c r="C36" s="471"/>
      <c r="D36" s="470"/>
      <c r="E36" s="472"/>
      <c r="F36" s="471"/>
      <c r="G36" s="470"/>
      <c r="H36" s="506"/>
      <c r="I36" s="471"/>
      <c r="J36" s="470"/>
      <c r="K36" s="506">
        <v>77</v>
      </c>
      <c r="L36" s="470"/>
      <c r="M36" s="470"/>
      <c r="N36" s="506">
        <v>34</v>
      </c>
      <c r="O36" s="470"/>
      <c r="P36" s="470">
        <v>82</v>
      </c>
      <c r="Q36" s="506">
        <v>82</v>
      </c>
      <c r="R36" s="470"/>
      <c r="S36" s="470">
        <v>137</v>
      </c>
      <c r="T36" s="506">
        <v>137</v>
      </c>
      <c r="U36" s="471"/>
      <c r="V36" s="470">
        <v>103</v>
      </c>
      <c r="W36" s="506">
        <v>103</v>
      </c>
      <c r="X36" s="471"/>
      <c r="Y36" s="470">
        <v>146</v>
      </c>
      <c r="Z36" s="506">
        <f t="shared" si="2"/>
        <v>146</v>
      </c>
      <c r="AA36" s="471"/>
      <c r="AB36" s="470">
        <f>SUM(AB13)</f>
        <v>166</v>
      </c>
      <c r="AC36" s="500">
        <f t="shared" si="3"/>
        <v>166</v>
      </c>
      <c r="AD36" s="471">
        <f>SUM(AD13)</f>
        <v>0</v>
      </c>
      <c r="AE36" s="470">
        <f>SUM(AE13)</f>
        <v>175</v>
      </c>
      <c r="AF36" s="500">
        <f t="shared" si="4"/>
        <v>175</v>
      </c>
      <c r="AG36" s="471">
        <f>SUM(AG13)</f>
        <v>0</v>
      </c>
      <c r="AH36" s="470">
        <f>SUM(AH13)</f>
        <v>222</v>
      </c>
      <c r="AI36" s="500">
        <f t="shared" si="5"/>
        <v>222</v>
      </c>
      <c r="AJ36" s="471">
        <f>SUM(AJ13)</f>
        <v>0</v>
      </c>
      <c r="AK36" s="470">
        <f>SUM(AK13)</f>
        <v>293</v>
      </c>
      <c r="AL36" s="500">
        <f t="shared" si="6"/>
        <v>293</v>
      </c>
      <c r="AM36" s="471">
        <f>SUM(AM13)</f>
        <v>0</v>
      </c>
      <c r="AN36" s="470">
        <f>SUM(AN13)</f>
        <v>283</v>
      </c>
      <c r="AO36" s="500">
        <f t="shared" si="7"/>
        <v>283</v>
      </c>
      <c r="AP36" s="471">
        <f>SUM(AP13)</f>
        <v>0</v>
      </c>
      <c r="AQ36" s="470">
        <f>SUM(AQ13)</f>
        <v>310</v>
      </c>
      <c r="AR36" s="500">
        <f t="shared" si="8"/>
        <v>310</v>
      </c>
      <c r="AS36" s="471">
        <f>SUM(AS13)</f>
        <v>0</v>
      </c>
      <c r="AT36" s="470">
        <f>SUM(AT13)</f>
        <v>322</v>
      </c>
      <c r="AU36" s="500">
        <f t="shared" si="9"/>
        <v>322</v>
      </c>
    </row>
    <row r="37" spans="1:47" ht="15" x14ac:dyDescent="0.2">
      <c r="A37" s="5655" t="s">
        <v>12</v>
      </c>
      <c r="B37" s="5657"/>
      <c r="C37" s="565">
        <v>3869</v>
      </c>
      <c r="D37" s="566">
        <v>6460</v>
      </c>
      <c r="E37" s="566">
        <v>10329</v>
      </c>
      <c r="F37" s="565">
        <v>4715</v>
      </c>
      <c r="G37" s="566">
        <v>6748</v>
      </c>
      <c r="H37" s="567">
        <v>11463</v>
      </c>
      <c r="I37" s="566">
        <v>4693</v>
      </c>
      <c r="J37" s="566">
        <v>7671</v>
      </c>
      <c r="K37" s="567">
        <v>12364</v>
      </c>
      <c r="L37" s="566">
        <v>4471</v>
      </c>
      <c r="M37" s="566">
        <v>7556</v>
      </c>
      <c r="N37" s="567">
        <v>12027</v>
      </c>
      <c r="O37" s="566">
        <v>4497</v>
      </c>
      <c r="P37" s="566">
        <v>7741</v>
      </c>
      <c r="Q37" s="567">
        <v>12238</v>
      </c>
      <c r="R37" s="566">
        <v>4517</v>
      </c>
      <c r="S37" s="566">
        <v>7187</v>
      </c>
      <c r="T37" s="567">
        <v>11704</v>
      </c>
      <c r="U37" s="565">
        <v>4454</v>
      </c>
      <c r="V37" s="566">
        <v>7396</v>
      </c>
      <c r="W37" s="567">
        <v>11850</v>
      </c>
      <c r="X37" s="565">
        <f>SUM(X31:X36)</f>
        <v>4582</v>
      </c>
      <c r="Y37" s="566">
        <v>8065</v>
      </c>
      <c r="Z37" s="567">
        <f t="shared" si="2"/>
        <v>12647</v>
      </c>
      <c r="AA37" s="565">
        <f t="shared" ref="AA37:AF37" si="10">SUM(AA31:AA36)</f>
        <v>5043</v>
      </c>
      <c r="AB37" s="566">
        <f t="shared" si="10"/>
        <v>7670</v>
      </c>
      <c r="AC37" s="567">
        <f t="shared" si="10"/>
        <v>12713</v>
      </c>
      <c r="AD37" s="565">
        <f t="shared" si="10"/>
        <v>4467</v>
      </c>
      <c r="AE37" s="566">
        <f t="shared" si="10"/>
        <v>7760</v>
      </c>
      <c r="AF37" s="567">
        <f t="shared" si="10"/>
        <v>12227</v>
      </c>
      <c r="AG37" s="565">
        <f t="shared" ref="AG37:AL37" si="11">SUM(AG31:AG36)</f>
        <v>4498</v>
      </c>
      <c r="AH37" s="566">
        <f t="shared" si="11"/>
        <v>7912</v>
      </c>
      <c r="AI37" s="567">
        <f t="shared" si="11"/>
        <v>12410</v>
      </c>
      <c r="AJ37" s="565">
        <f t="shared" si="11"/>
        <v>4288</v>
      </c>
      <c r="AK37" s="566">
        <f t="shared" si="11"/>
        <v>7623</v>
      </c>
      <c r="AL37" s="567">
        <f t="shared" si="11"/>
        <v>11911</v>
      </c>
      <c r="AM37" s="565">
        <f t="shared" ref="AM37:AU37" si="12">SUM(AM31:AM36)</f>
        <v>4392</v>
      </c>
      <c r="AN37" s="566">
        <f t="shared" si="12"/>
        <v>7693</v>
      </c>
      <c r="AO37" s="567">
        <f t="shared" si="12"/>
        <v>12085</v>
      </c>
      <c r="AP37" s="565">
        <f t="shared" si="12"/>
        <v>4504</v>
      </c>
      <c r="AQ37" s="566">
        <f t="shared" si="12"/>
        <v>8442</v>
      </c>
      <c r="AR37" s="567">
        <f t="shared" si="12"/>
        <v>12946</v>
      </c>
      <c r="AS37" s="565">
        <f t="shared" si="12"/>
        <v>4591</v>
      </c>
      <c r="AT37" s="566">
        <f t="shared" si="12"/>
        <v>8418</v>
      </c>
      <c r="AU37" s="567">
        <f t="shared" si="12"/>
        <v>13009</v>
      </c>
    </row>
    <row r="38" spans="1:47" x14ac:dyDescent="0.2">
      <c r="A38" s="5737" t="s">
        <v>1238</v>
      </c>
      <c r="B38" s="5737"/>
      <c r="C38" s="5737"/>
      <c r="D38" s="5737"/>
      <c r="E38" s="5737"/>
      <c r="F38" s="5737"/>
      <c r="G38" s="5737"/>
      <c r="H38" s="5737"/>
      <c r="I38" s="5737"/>
    </row>
    <row r="39" spans="1:47" x14ac:dyDescent="0.2">
      <c r="A39" s="5738" t="s">
        <v>648</v>
      </c>
      <c r="B39" s="5738"/>
      <c r="C39" s="5738"/>
      <c r="D39" s="5738"/>
      <c r="E39" s="5738"/>
      <c r="F39" s="5738"/>
      <c r="G39" s="5738"/>
      <c r="H39" s="5738"/>
      <c r="I39" s="5738"/>
    </row>
    <row r="40" spans="1:47" x14ac:dyDescent="0.2">
      <c r="A40" s="5724"/>
      <c r="B40" s="5724"/>
      <c r="C40" s="5724"/>
      <c r="D40" s="5724"/>
      <c r="E40" s="5724"/>
      <c r="F40" s="377"/>
      <c r="G40" s="377"/>
      <c r="H40" s="377"/>
      <c r="I40" s="377"/>
      <c r="AF40" s="185"/>
    </row>
    <row r="41" spans="1:47" x14ac:dyDescent="0.2">
      <c r="W41" s="185"/>
    </row>
    <row r="43" spans="1:47" x14ac:dyDescent="0.2">
      <c r="S43" s="3544">
        <v>2003</v>
      </c>
    </row>
    <row r="44" spans="1:47" x14ac:dyDescent="0.2">
      <c r="S44" s="3544">
        <v>2004</v>
      </c>
    </row>
    <row r="45" spans="1:47" x14ac:dyDescent="0.2">
      <c r="S45" s="3544">
        <v>2005</v>
      </c>
    </row>
    <row r="46" spans="1:47" x14ac:dyDescent="0.2">
      <c r="S46" s="3544">
        <v>2006</v>
      </c>
    </row>
    <row r="47" spans="1:47" x14ac:dyDescent="0.2">
      <c r="S47" s="3544">
        <v>2007</v>
      </c>
    </row>
    <row r="48" spans="1:47" x14ac:dyDescent="0.2">
      <c r="S48" s="3544">
        <v>2008</v>
      </c>
    </row>
    <row r="49" spans="19:19" x14ac:dyDescent="0.2">
      <c r="S49" s="3544">
        <v>2009</v>
      </c>
    </row>
    <row r="50" spans="19:19" x14ac:dyDescent="0.2">
      <c r="S50" s="3544">
        <v>2010</v>
      </c>
    </row>
    <row r="51" spans="19:19" x14ac:dyDescent="0.2">
      <c r="S51" s="3544">
        <v>2011</v>
      </c>
    </row>
    <row r="52" spans="19:19" x14ac:dyDescent="0.2">
      <c r="S52" s="3544">
        <v>2012</v>
      </c>
    </row>
    <row r="53" spans="19:19" x14ac:dyDescent="0.2">
      <c r="S53" s="3544">
        <v>2013</v>
      </c>
    </row>
    <row r="54" spans="19:19" x14ac:dyDescent="0.2">
      <c r="S54" s="3544">
        <v>2014</v>
      </c>
    </row>
    <row r="55" spans="19:19" x14ac:dyDescent="0.2">
      <c r="S55" s="3544">
        <v>2015</v>
      </c>
    </row>
    <row r="56" spans="19:19" x14ac:dyDescent="0.2">
      <c r="S56" s="3544">
        <v>2016</v>
      </c>
    </row>
    <row r="57" spans="19:19" x14ac:dyDescent="0.2">
      <c r="S57" s="3544">
        <v>2017</v>
      </c>
    </row>
    <row r="64" spans="19:19" x14ac:dyDescent="0.2">
      <c r="S64" s="3544" t="s">
        <v>161</v>
      </c>
    </row>
    <row r="65" spans="19:19" x14ac:dyDescent="0.2">
      <c r="S65" s="3544" t="s">
        <v>407</v>
      </c>
    </row>
    <row r="66" spans="19:19" x14ac:dyDescent="0.2">
      <c r="S66" s="3544" t="s">
        <v>162</v>
      </c>
    </row>
    <row r="67" spans="19:19" x14ac:dyDescent="0.2">
      <c r="S67" s="3544" t="s">
        <v>408</v>
      </c>
    </row>
    <row r="68" spans="19:19" x14ac:dyDescent="0.2">
      <c r="S68" s="3544" t="s">
        <v>163</v>
      </c>
    </row>
    <row r="75" spans="19:19" hidden="1" x14ac:dyDescent="0.2"/>
    <row r="76" spans="19:19" hidden="1" x14ac:dyDescent="0.2"/>
    <row r="77" spans="19:19" hidden="1" x14ac:dyDescent="0.2"/>
    <row r="78" spans="19:19" hidden="1" x14ac:dyDescent="0.2"/>
    <row r="79" spans="19:19" hidden="1" x14ac:dyDescent="0.2"/>
    <row r="80" spans="19:19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</sheetData>
  <sheetProtection algorithmName="SHA-512" hashValue="C/Kx2IEkwkE8/YL1PX50NMuB6jNo8Fgp+hHFbhKa6aPL28SC1zt2sRcpQA0nDHgp/2tPxubin6SkYnecus3gVQ==" saltValue="7/zbGavmDqJwadLm6CIBpQ==" spinCount="100000" sheet="1" objects="1" scenarios="1"/>
  <mergeCells count="28">
    <mergeCell ref="A1:B1"/>
    <mergeCell ref="A40:E40"/>
    <mergeCell ref="A6:A9"/>
    <mergeCell ref="A11:A14"/>
    <mergeCell ref="A16:A19"/>
    <mergeCell ref="A26:A29"/>
    <mergeCell ref="A31:A36"/>
    <mergeCell ref="A37:B37"/>
    <mergeCell ref="A38:I38"/>
    <mergeCell ref="A39:I39"/>
    <mergeCell ref="A21:A24"/>
    <mergeCell ref="A3:A4"/>
    <mergeCell ref="B3:B4"/>
    <mergeCell ref="C3:E3"/>
    <mergeCell ref="F3:H3"/>
    <mergeCell ref="I3:K3"/>
    <mergeCell ref="L3:N3"/>
    <mergeCell ref="AD3:AF3"/>
    <mergeCell ref="U3:W3"/>
    <mergeCell ref="X3:Z3"/>
    <mergeCell ref="AA3:AC3"/>
    <mergeCell ref="AS3:AU3"/>
    <mergeCell ref="AP3:AR3"/>
    <mergeCell ref="AM3:AO3"/>
    <mergeCell ref="AJ3:AL3"/>
    <mergeCell ref="O3:Q3"/>
    <mergeCell ref="R3:T3"/>
    <mergeCell ref="AG3:AI3"/>
  </mergeCells>
  <printOptions horizontalCentered="1" verticalCentered="1"/>
  <pageMargins left="0.15748031496062992" right="0.19685039370078741" top="0.31496062992125984" bottom="0.19685039370078741" header="0" footer="0.31496062992125984"/>
  <pageSetup scale="65" pageOrder="overThenDown" orientation="landscape" horizontalDpi="1200" verticalDpi="1200" r:id="rId1"/>
  <headerFooter alignWithMargins="0"/>
  <rowBreaks count="1" manualBreakCount="1">
    <brk id="39" max="37" man="1"/>
  </rowBreaks>
  <colBreaks count="1" manualBreakCount="1">
    <brk id="20" max="38" man="1"/>
  </colBreaks>
  <ignoredErrors>
    <ignoredError sqref="Z7:Z9 Z16:Z19 Z31:Z37 Z26:Z28 Z11:Z13 AQ12:AQ13" formulaRange="1"/>
    <ignoredError sqref="AC24:AC36 AC9:AC19 AF9:AF29 AF31:AF36 AI9:AI36 AL9:AL36 AO9:AO36 AR9:AR36" formula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O100"/>
  <sheetViews>
    <sheetView showGridLines="0" zoomScaleNormal="100" zoomScalePageLayoutView="125" workbookViewId="0">
      <selection activeCell="Q17" sqref="Q17"/>
    </sheetView>
  </sheetViews>
  <sheetFormatPr baseColWidth="10" defaultRowHeight="15" x14ac:dyDescent="0.25"/>
  <cols>
    <col min="1" max="1" width="7.42578125" style="3482" customWidth="1"/>
    <col min="2" max="2" width="9" style="3482" customWidth="1"/>
    <col min="3" max="3" width="35.42578125" style="3487" bestFit="1" customWidth="1"/>
    <col min="4" max="4" width="10" style="3482" customWidth="1"/>
    <col min="5" max="5" width="9.140625" style="3482" customWidth="1"/>
    <col min="6" max="6" width="7.7109375" style="3482" customWidth="1"/>
    <col min="7" max="7" width="10" style="3463" customWidth="1"/>
    <col min="8" max="8" width="9.140625" style="3463" customWidth="1"/>
    <col min="9" max="9" width="7.7109375" style="3463" customWidth="1"/>
    <col min="10" max="10" width="8.85546875" style="3463" customWidth="1"/>
    <col min="11" max="11" width="8.42578125" style="3463" customWidth="1"/>
    <col min="12" max="12" width="7.7109375" style="3463" customWidth="1"/>
    <col min="13" max="13" width="8.42578125" style="3463" bestFit="1" customWidth="1"/>
    <col min="14" max="14" width="8.42578125" style="3463" customWidth="1"/>
    <col min="15" max="15" width="7.7109375" style="3463" customWidth="1"/>
    <col min="16" max="16384" width="11.42578125" style="3463"/>
  </cols>
  <sheetData>
    <row r="1" spans="1:15" ht="18.75" x14ac:dyDescent="0.25">
      <c r="A1" s="3700" t="s">
        <v>1529</v>
      </c>
      <c r="G1" s="250"/>
    </row>
    <row r="2" spans="1:15" x14ac:dyDescent="0.25">
      <c r="A2" s="3484"/>
    </row>
    <row r="3" spans="1:15" x14ac:dyDescent="0.25">
      <c r="A3" s="6835" t="s">
        <v>51</v>
      </c>
      <c r="B3" s="6835" t="s">
        <v>685</v>
      </c>
      <c r="C3" s="6836" t="s">
        <v>1266</v>
      </c>
      <c r="D3" s="6783">
        <v>2014</v>
      </c>
      <c r="E3" s="6783"/>
      <c r="F3" s="6777"/>
      <c r="G3" s="6783">
        <v>2015</v>
      </c>
      <c r="H3" s="6783"/>
      <c r="I3" s="6777"/>
      <c r="J3" s="6783">
        <v>2016</v>
      </c>
      <c r="K3" s="6783"/>
      <c r="L3" s="6777"/>
      <c r="M3" s="6783">
        <v>2017</v>
      </c>
      <c r="N3" s="6874"/>
      <c r="O3" s="6777"/>
    </row>
    <row r="4" spans="1:15" x14ac:dyDescent="0.25">
      <c r="A4" s="6835"/>
      <c r="B4" s="6835"/>
      <c r="C4" s="6837"/>
      <c r="D4" s="4255" t="s">
        <v>658</v>
      </c>
      <c r="E4" s="4255" t="s">
        <v>1268</v>
      </c>
      <c r="F4" s="4139" t="s">
        <v>160</v>
      </c>
      <c r="G4" s="4255" t="s">
        <v>658</v>
      </c>
      <c r="H4" s="4255" t="s">
        <v>1268</v>
      </c>
      <c r="I4" s="4139" t="s">
        <v>160</v>
      </c>
      <c r="J4" s="4255" t="s">
        <v>658</v>
      </c>
      <c r="K4" s="4255" t="s">
        <v>1268</v>
      </c>
      <c r="L4" s="4955" t="s">
        <v>160</v>
      </c>
      <c r="M4" s="4255" t="s">
        <v>658</v>
      </c>
      <c r="N4" s="4255" t="s">
        <v>1268</v>
      </c>
      <c r="O4" s="5388" t="s">
        <v>160</v>
      </c>
    </row>
    <row r="5" spans="1:15" ht="15" customHeight="1" x14ac:dyDescent="0.25">
      <c r="A5" s="6870" t="s">
        <v>161</v>
      </c>
      <c r="B5" s="6783" t="s">
        <v>5</v>
      </c>
      <c r="C5" s="4106" t="s">
        <v>1246</v>
      </c>
      <c r="D5" s="4107"/>
      <c r="E5" s="4108"/>
      <c r="F5" s="3492">
        <f t="shared" ref="F5:F14" si="0">SUM(D5:E5)</f>
        <v>0</v>
      </c>
      <c r="G5" s="4107">
        <v>2</v>
      </c>
      <c r="H5" s="4108">
        <v>1</v>
      </c>
      <c r="I5" s="3492">
        <f>SUM(G5:H5)</f>
        <v>3</v>
      </c>
      <c r="J5" s="4107"/>
      <c r="K5" s="4108"/>
      <c r="L5" s="3492">
        <f>SUM(J5:K5)</f>
        <v>0</v>
      </c>
      <c r="M5" s="4107"/>
      <c r="N5" s="4108"/>
      <c r="O5" s="3492">
        <f>SUM(M5:N5)</f>
        <v>0</v>
      </c>
    </row>
    <row r="6" spans="1:15" ht="15" customHeight="1" x14ac:dyDescent="0.25">
      <c r="A6" s="6870"/>
      <c r="B6" s="6783"/>
      <c r="C6" s="4109" t="s">
        <v>1247</v>
      </c>
      <c r="D6" s="4110"/>
      <c r="E6" s="4111"/>
      <c r="F6" s="3497">
        <f t="shared" si="0"/>
        <v>0</v>
      </c>
      <c r="G6" s="4110"/>
      <c r="H6" s="4111">
        <v>3</v>
      </c>
      <c r="I6" s="3497">
        <f>SUM(G6:H6)</f>
        <v>3</v>
      </c>
      <c r="J6" s="4110"/>
      <c r="K6" s="4111">
        <v>1</v>
      </c>
      <c r="L6" s="3497">
        <f>SUM(J6:K6)</f>
        <v>1</v>
      </c>
      <c r="M6" s="4110">
        <v>1</v>
      </c>
      <c r="N6" s="4111"/>
      <c r="O6" s="3497">
        <f t="shared" ref="O6:O69" si="1">SUM(M6:N6)</f>
        <v>1</v>
      </c>
    </row>
    <row r="7" spans="1:15" ht="15" customHeight="1" x14ac:dyDescent="0.25">
      <c r="A7" s="6870"/>
      <c r="B7" s="6783"/>
      <c r="C7" s="4109" t="s">
        <v>1248</v>
      </c>
      <c r="D7" s="4110"/>
      <c r="E7" s="4111"/>
      <c r="F7" s="3497">
        <f t="shared" si="0"/>
        <v>0</v>
      </c>
      <c r="G7" s="4110"/>
      <c r="H7" s="4111"/>
      <c r="I7" s="3497">
        <f t="shared" ref="I7:I14" si="2">SUM(G7:H7)</f>
        <v>0</v>
      </c>
      <c r="J7" s="4110"/>
      <c r="K7" s="4111"/>
      <c r="L7" s="3497">
        <f t="shared" ref="L7:L14" si="3">SUM(J7:K7)</f>
        <v>0</v>
      </c>
      <c r="M7" s="4110"/>
      <c r="N7" s="4111"/>
      <c r="O7" s="3497">
        <f t="shared" si="1"/>
        <v>0</v>
      </c>
    </row>
    <row r="8" spans="1:15" ht="15" customHeight="1" x14ac:dyDescent="0.25">
      <c r="A8" s="6870"/>
      <c r="B8" s="6783"/>
      <c r="C8" s="4109" t="s">
        <v>1249</v>
      </c>
      <c r="D8" s="4110"/>
      <c r="E8" s="4111"/>
      <c r="F8" s="3497">
        <f t="shared" si="0"/>
        <v>0</v>
      </c>
      <c r="G8" s="4110"/>
      <c r="H8" s="4111">
        <v>1</v>
      </c>
      <c r="I8" s="3497">
        <f t="shared" si="2"/>
        <v>1</v>
      </c>
      <c r="J8" s="4110"/>
      <c r="K8" s="4111">
        <v>1</v>
      </c>
      <c r="L8" s="3497">
        <f t="shared" si="3"/>
        <v>1</v>
      </c>
      <c r="M8" s="4110"/>
      <c r="N8" s="4111"/>
      <c r="O8" s="3497">
        <f t="shared" si="1"/>
        <v>0</v>
      </c>
    </row>
    <row r="9" spans="1:15" ht="15" customHeight="1" x14ac:dyDescent="0.25">
      <c r="A9" s="6870"/>
      <c r="B9" s="6783"/>
      <c r="C9" s="4109" t="s">
        <v>512</v>
      </c>
      <c r="D9" s="4110"/>
      <c r="E9" s="4111"/>
      <c r="F9" s="3497">
        <f t="shared" si="0"/>
        <v>0</v>
      </c>
      <c r="G9" s="4110"/>
      <c r="H9" s="4111"/>
      <c r="I9" s="3497">
        <f t="shared" si="2"/>
        <v>0</v>
      </c>
      <c r="J9" s="4110"/>
      <c r="K9" s="4111">
        <v>1</v>
      </c>
      <c r="L9" s="3497">
        <f t="shared" si="3"/>
        <v>1</v>
      </c>
      <c r="M9" s="4110"/>
      <c r="N9" s="4111"/>
      <c r="O9" s="3497">
        <f t="shared" si="1"/>
        <v>0</v>
      </c>
    </row>
    <row r="10" spans="1:15" ht="15" customHeight="1" x14ac:dyDescent="0.25">
      <c r="A10" s="6870"/>
      <c r="B10" s="6783"/>
      <c r="C10" s="4109" t="s">
        <v>1250</v>
      </c>
      <c r="D10" s="4110"/>
      <c r="E10" s="4111"/>
      <c r="F10" s="3497">
        <f t="shared" si="0"/>
        <v>0</v>
      </c>
      <c r="G10" s="4110"/>
      <c r="H10" s="4111">
        <v>1</v>
      </c>
      <c r="I10" s="3497">
        <f t="shared" si="2"/>
        <v>1</v>
      </c>
      <c r="J10" s="4110"/>
      <c r="K10" s="4111">
        <v>1</v>
      </c>
      <c r="L10" s="3497">
        <f t="shared" si="3"/>
        <v>1</v>
      </c>
      <c r="M10" s="4110"/>
      <c r="N10" s="4111"/>
      <c r="O10" s="3497">
        <f t="shared" si="1"/>
        <v>0</v>
      </c>
    </row>
    <row r="11" spans="1:15" ht="15" customHeight="1" x14ac:dyDescent="0.25">
      <c r="A11" s="6870"/>
      <c r="B11" s="6783"/>
      <c r="C11" s="4109" t="s">
        <v>1251</v>
      </c>
      <c r="D11" s="4110"/>
      <c r="E11" s="4112"/>
      <c r="F11" s="3497">
        <f t="shared" si="0"/>
        <v>0</v>
      </c>
      <c r="G11" s="4110"/>
      <c r="H11" s="4112"/>
      <c r="I11" s="3497">
        <f t="shared" si="2"/>
        <v>0</v>
      </c>
      <c r="J11" s="4110"/>
      <c r="K11" s="4112"/>
      <c r="L11" s="3497">
        <f t="shared" si="3"/>
        <v>0</v>
      </c>
      <c r="M11" s="4110"/>
      <c r="N11" s="4112"/>
      <c r="O11" s="3497">
        <f t="shared" si="1"/>
        <v>0</v>
      </c>
    </row>
    <row r="12" spans="1:15" ht="15" customHeight="1" x14ac:dyDescent="0.25">
      <c r="A12" s="6870"/>
      <c r="B12" s="6783"/>
      <c r="C12" s="4109" t="s">
        <v>1252</v>
      </c>
      <c r="D12" s="4110"/>
      <c r="E12" s="4111"/>
      <c r="F12" s="3497">
        <f t="shared" si="0"/>
        <v>0</v>
      </c>
      <c r="G12" s="4110"/>
      <c r="H12" s="4111"/>
      <c r="I12" s="3497">
        <f t="shared" si="2"/>
        <v>0</v>
      </c>
      <c r="J12" s="4110"/>
      <c r="K12" s="4111"/>
      <c r="L12" s="3497">
        <f t="shared" si="3"/>
        <v>0</v>
      </c>
      <c r="M12" s="4110"/>
      <c r="N12" s="4111"/>
      <c r="O12" s="3497">
        <f t="shared" si="1"/>
        <v>0</v>
      </c>
    </row>
    <row r="13" spans="1:15" ht="15" customHeight="1" x14ac:dyDescent="0.25">
      <c r="A13" s="6870"/>
      <c r="B13" s="6783"/>
      <c r="C13" s="4109" t="s">
        <v>1253</v>
      </c>
      <c r="D13" s="4110"/>
      <c r="E13" s="4111"/>
      <c r="F13" s="3497">
        <f t="shared" si="0"/>
        <v>0</v>
      </c>
      <c r="G13" s="4110"/>
      <c r="H13" s="4111">
        <v>1</v>
      </c>
      <c r="I13" s="3497">
        <f t="shared" si="2"/>
        <v>1</v>
      </c>
      <c r="J13" s="4110"/>
      <c r="K13" s="4111">
        <v>1</v>
      </c>
      <c r="L13" s="3497">
        <f t="shared" si="3"/>
        <v>1</v>
      </c>
      <c r="M13" s="4110"/>
      <c r="N13" s="4111"/>
      <c r="O13" s="3497">
        <f t="shared" si="1"/>
        <v>0</v>
      </c>
    </row>
    <row r="14" spans="1:15" ht="15" customHeight="1" x14ac:dyDescent="0.25">
      <c r="A14" s="6870"/>
      <c r="B14" s="6783"/>
      <c r="C14" s="4109" t="s">
        <v>1254</v>
      </c>
      <c r="D14" s="4110"/>
      <c r="E14" s="4112"/>
      <c r="F14" s="3497">
        <f t="shared" si="0"/>
        <v>0</v>
      </c>
      <c r="G14" s="4110"/>
      <c r="H14" s="4112"/>
      <c r="I14" s="3497">
        <f t="shared" si="2"/>
        <v>0</v>
      </c>
      <c r="J14" s="4110"/>
      <c r="K14" s="4112"/>
      <c r="L14" s="3497">
        <f t="shared" si="3"/>
        <v>0</v>
      </c>
      <c r="M14" s="4110"/>
      <c r="N14" s="4112"/>
      <c r="O14" s="3497">
        <f t="shared" si="1"/>
        <v>0</v>
      </c>
    </row>
    <row r="15" spans="1:15" ht="15" customHeight="1" x14ac:dyDescent="0.25">
      <c r="A15" s="6870"/>
      <c r="B15" s="6783" t="s">
        <v>1255</v>
      </c>
      <c r="C15" s="4113" t="s">
        <v>160</v>
      </c>
      <c r="D15" s="3503">
        <f>SUM(D5:D14)</f>
        <v>0</v>
      </c>
      <c r="E15" s="3504">
        <f>SUM(E5:E14)</f>
        <v>0</v>
      </c>
      <c r="F15" s="3501">
        <f>D15+E15</f>
        <v>0</v>
      </c>
      <c r="G15" s="3503">
        <f t="shared" ref="G15:L15" si="4">SUM(G5:G14)</f>
        <v>2</v>
      </c>
      <c r="H15" s="3504">
        <f t="shared" si="4"/>
        <v>7</v>
      </c>
      <c r="I15" s="3501">
        <f t="shared" si="4"/>
        <v>9</v>
      </c>
      <c r="J15" s="3503">
        <f t="shared" si="4"/>
        <v>0</v>
      </c>
      <c r="K15" s="3504">
        <f t="shared" si="4"/>
        <v>5</v>
      </c>
      <c r="L15" s="3501">
        <f t="shared" si="4"/>
        <v>5</v>
      </c>
      <c r="M15" s="3503">
        <f t="shared" ref="M15" si="5">SUM(M5:M14)</f>
        <v>1</v>
      </c>
      <c r="N15" s="3504">
        <f>SUM(N5:N14)</f>
        <v>0</v>
      </c>
      <c r="O15" s="3501">
        <f t="shared" si="1"/>
        <v>1</v>
      </c>
    </row>
    <row r="16" spans="1:15" ht="15" customHeight="1" x14ac:dyDescent="0.25">
      <c r="A16" s="6870"/>
      <c r="B16" s="6783" t="s">
        <v>6</v>
      </c>
      <c r="C16" s="4109" t="s">
        <v>456</v>
      </c>
      <c r="D16" s="4110"/>
      <c r="E16" s="4114"/>
      <c r="F16" s="3497">
        <v>0</v>
      </c>
      <c r="G16" s="4110">
        <v>2</v>
      </c>
      <c r="H16" s="4114">
        <v>1</v>
      </c>
      <c r="I16" s="3497">
        <f>SUM(G16:H16)</f>
        <v>3</v>
      </c>
      <c r="J16" s="4110">
        <v>1</v>
      </c>
      <c r="K16" s="4114"/>
      <c r="L16" s="3497">
        <f>SUM(J16:K16)</f>
        <v>1</v>
      </c>
      <c r="M16" s="4110">
        <v>3</v>
      </c>
      <c r="N16" s="4114">
        <v>1</v>
      </c>
      <c r="O16" s="3497">
        <f t="shared" si="1"/>
        <v>4</v>
      </c>
    </row>
    <row r="17" spans="1:15" ht="15" customHeight="1" x14ac:dyDescent="0.25">
      <c r="A17" s="6870"/>
      <c r="B17" s="6783"/>
      <c r="C17" s="4109" t="s">
        <v>457</v>
      </c>
      <c r="D17" s="4110"/>
      <c r="E17" s="4114"/>
      <c r="F17" s="3497">
        <v>0</v>
      </c>
      <c r="G17" s="4110"/>
      <c r="H17" s="4114"/>
      <c r="I17" s="3497">
        <f>SUM(G17:H17)</f>
        <v>0</v>
      </c>
      <c r="J17" s="4110"/>
      <c r="K17" s="4114"/>
      <c r="L17" s="3497">
        <f>SUM(J17:K17)</f>
        <v>0</v>
      </c>
      <c r="M17" s="4110"/>
      <c r="N17" s="4114">
        <v>2</v>
      </c>
      <c r="O17" s="3497">
        <f t="shared" si="1"/>
        <v>2</v>
      </c>
    </row>
    <row r="18" spans="1:15" ht="15" customHeight="1" x14ac:dyDescent="0.25">
      <c r="A18" s="6870"/>
      <c r="B18" s="6783"/>
      <c r="C18" s="4109" t="s">
        <v>458</v>
      </c>
      <c r="D18" s="4110"/>
      <c r="E18" s="4114"/>
      <c r="F18" s="3497">
        <v>0</v>
      </c>
      <c r="G18" s="4110"/>
      <c r="H18" s="4114">
        <v>1</v>
      </c>
      <c r="I18" s="3497">
        <f>SUM(G18:H18)</f>
        <v>1</v>
      </c>
      <c r="J18" s="4110"/>
      <c r="K18" s="4114">
        <v>2</v>
      </c>
      <c r="L18" s="3497">
        <f>SUM(J18:K18)</f>
        <v>2</v>
      </c>
      <c r="M18" s="4110"/>
      <c r="N18" s="4114"/>
      <c r="O18" s="3497">
        <f t="shared" si="1"/>
        <v>0</v>
      </c>
    </row>
    <row r="19" spans="1:15" ht="15" customHeight="1" x14ac:dyDescent="0.25">
      <c r="A19" s="6870"/>
      <c r="B19" s="6783"/>
      <c r="C19" s="4109" t="s">
        <v>459</v>
      </c>
      <c r="D19" s="4110"/>
      <c r="E19" s="4114"/>
      <c r="F19" s="3497">
        <v>0</v>
      </c>
      <c r="G19" s="4110">
        <v>3</v>
      </c>
      <c r="H19" s="4114">
        <v>5</v>
      </c>
      <c r="I19" s="3497">
        <f>SUM(G19:H19)</f>
        <v>8</v>
      </c>
      <c r="J19" s="4110">
        <v>2</v>
      </c>
      <c r="K19" s="4114">
        <v>8</v>
      </c>
      <c r="L19" s="3497">
        <f>SUM(J19:K19)</f>
        <v>10</v>
      </c>
      <c r="M19" s="4110">
        <v>12</v>
      </c>
      <c r="N19" s="4114">
        <v>6</v>
      </c>
      <c r="O19" s="3497">
        <f t="shared" si="1"/>
        <v>18</v>
      </c>
    </row>
    <row r="20" spans="1:15" ht="15" customHeight="1" x14ac:dyDescent="0.25">
      <c r="A20" s="6870"/>
      <c r="B20" s="6783" t="s">
        <v>1255</v>
      </c>
      <c r="C20" s="4113" t="s">
        <v>160</v>
      </c>
      <c r="D20" s="3503">
        <f>SUM(D16:D19)</f>
        <v>0</v>
      </c>
      <c r="E20" s="3504">
        <f>SUM(E16:E19)</f>
        <v>0</v>
      </c>
      <c r="F20" s="3501">
        <f>D20+E20</f>
        <v>0</v>
      </c>
      <c r="G20" s="3503">
        <f t="shared" ref="G20:L20" si="6">SUM(G16:G19)</f>
        <v>5</v>
      </c>
      <c r="H20" s="3504">
        <f t="shared" si="6"/>
        <v>7</v>
      </c>
      <c r="I20" s="3501">
        <f t="shared" si="6"/>
        <v>12</v>
      </c>
      <c r="J20" s="3503">
        <f t="shared" si="6"/>
        <v>3</v>
      </c>
      <c r="K20" s="3504">
        <f t="shared" si="6"/>
        <v>10</v>
      </c>
      <c r="L20" s="3501">
        <f t="shared" si="6"/>
        <v>13</v>
      </c>
      <c r="M20" s="3503">
        <f t="shared" ref="M20" si="7">SUM(M16:M19)</f>
        <v>15</v>
      </c>
      <c r="N20" s="3504">
        <f>SUM(N16:N19)</f>
        <v>9</v>
      </c>
      <c r="O20" s="3501">
        <f t="shared" si="1"/>
        <v>24</v>
      </c>
    </row>
    <row r="21" spans="1:15" ht="15" customHeight="1" x14ac:dyDescent="0.25">
      <c r="A21" s="6870"/>
      <c r="B21" s="6783" t="s">
        <v>7</v>
      </c>
      <c r="C21" s="4109" t="s">
        <v>460</v>
      </c>
      <c r="D21" s="4110"/>
      <c r="E21" s="4114"/>
      <c r="F21" s="3497">
        <f>SUM(D21:E21)</f>
        <v>0</v>
      </c>
      <c r="G21" s="4110"/>
      <c r="H21" s="4114"/>
      <c r="I21" s="3497"/>
      <c r="J21" s="4110"/>
      <c r="K21" s="4114"/>
      <c r="L21" s="3497"/>
      <c r="M21" s="4110"/>
      <c r="N21" s="4114"/>
      <c r="O21" s="3497">
        <f t="shared" si="1"/>
        <v>0</v>
      </c>
    </row>
    <row r="22" spans="1:15" x14ac:dyDescent="0.25">
      <c r="A22" s="6870"/>
      <c r="B22" s="6783"/>
      <c r="C22" s="4109" t="s">
        <v>461</v>
      </c>
      <c r="D22" s="4110">
        <v>1</v>
      </c>
      <c r="E22" s="4114"/>
      <c r="F22" s="3497">
        <f>SUM(D22:E22)</f>
        <v>1</v>
      </c>
      <c r="G22" s="4110"/>
      <c r="H22" s="4114"/>
      <c r="I22" s="3497">
        <f>SUM(G22:H22)</f>
        <v>0</v>
      </c>
      <c r="J22" s="4110"/>
      <c r="K22" s="4114"/>
      <c r="L22" s="3497">
        <f>SUM(J22:K22)</f>
        <v>0</v>
      </c>
      <c r="M22" s="4110">
        <v>2</v>
      </c>
      <c r="N22" s="4114">
        <v>2</v>
      </c>
      <c r="O22" s="3497">
        <f t="shared" si="1"/>
        <v>4</v>
      </c>
    </row>
    <row r="23" spans="1:15" ht="15" customHeight="1" x14ac:dyDescent="0.25">
      <c r="A23" s="6870"/>
      <c r="B23" s="6783"/>
      <c r="C23" s="4109" t="s">
        <v>462</v>
      </c>
      <c r="D23" s="4110"/>
      <c r="E23" s="4114"/>
      <c r="F23" s="3497">
        <f>SUM(D23:E23)</f>
        <v>0</v>
      </c>
      <c r="G23" s="4110"/>
      <c r="H23" s="4114">
        <v>1</v>
      </c>
      <c r="I23" s="3497">
        <f>SUM(G23:H23)</f>
        <v>1</v>
      </c>
      <c r="J23" s="4110"/>
      <c r="K23" s="4114">
        <v>1</v>
      </c>
      <c r="L23" s="3497">
        <f>SUM(J23:K23)</f>
        <v>1</v>
      </c>
      <c r="M23" s="4110"/>
      <c r="N23" s="4114"/>
      <c r="O23" s="3497">
        <f t="shared" si="1"/>
        <v>0</v>
      </c>
    </row>
    <row r="24" spans="1:15" x14ac:dyDescent="0.25">
      <c r="A24" s="6870"/>
      <c r="B24" s="6783" t="s">
        <v>1255</v>
      </c>
      <c r="C24" s="4113" t="s">
        <v>160</v>
      </c>
      <c r="D24" s="3505">
        <f>SUM(D21:D23)</f>
        <v>1</v>
      </c>
      <c r="E24" s="3506">
        <f>SUM(E21:E23)</f>
        <v>0</v>
      </c>
      <c r="F24" s="3502">
        <f>D24+E24</f>
        <v>1</v>
      </c>
      <c r="G24" s="3503">
        <f t="shared" ref="G24:L24" si="8">SUM(G21:G23)</f>
        <v>0</v>
      </c>
      <c r="H24" s="3504">
        <f t="shared" si="8"/>
        <v>1</v>
      </c>
      <c r="I24" s="3501">
        <f t="shared" si="8"/>
        <v>1</v>
      </c>
      <c r="J24" s="3503">
        <f t="shared" si="8"/>
        <v>0</v>
      </c>
      <c r="K24" s="3504">
        <f t="shared" si="8"/>
        <v>1</v>
      </c>
      <c r="L24" s="3501">
        <f t="shared" si="8"/>
        <v>1</v>
      </c>
      <c r="M24" s="3503">
        <f t="shared" ref="M24" si="9">SUM(M21:M23)</f>
        <v>2</v>
      </c>
      <c r="N24" s="3504">
        <f>SUM(N21:N23)</f>
        <v>2</v>
      </c>
      <c r="O24" s="3501">
        <f t="shared" si="1"/>
        <v>4</v>
      </c>
    </row>
    <row r="25" spans="1:15" ht="15.75" customHeight="1" x14ac:dyDescent="0.25">
      <c r="A25" s="6871"/>
      <c r="B25" s="6872" t="s">
        <v>444</v>
      </c>
      <c r="C25" s="6873"/>
      <c r="D25" s="4115">
        <f>D24+D20+D15</f>
        <v>1</v>
      </c>
      <c r="E25" s="4116">
        <f>E24+E20+E15</f>
        <v>0</v>
      </c>
      <c r="F25" s="4117">
        <f>F24+F20+F15</f>
        <v>1</v>
      </c>
      <c r="G25" s="4115">
        <f t="shared" ref="G25:L25" si="10">SUM(G15,G20,G24)</f>
        <v>7</v>
      </c>
      <c r="H25" s="4363">
        <f t="shared" si="10"/>
        <v>15</v>
      </c>
      <c r="I25" s="4117">
        <f t="shared" si="10"/>
        <v>22</v>
      </c>
      <c r="J25" s="4115">
        <f t="shared" si="10"/>
        <v>3</v>
      </c>
      <c r="K25" s="4956">
        <f t="shared" si="10"/>
        <v>16</v>
      </c>
      <c r="L25" s="4117">
        <f t="shared" si="10"/>
        <v>19</v>
      </c>
      <c r="M25" s="4115">
        <f t="shared" ref="M25" si="11">SUM(M15,M20,M24)</f>
        <v>18</v>
      </c>
      <c r="N25" s="5389">
        <f>SUM(N15,N20,N24)</f>
        <v>11</v>
      </c>
      <c r="O25" s="4117">
        <f t="shared" si="1"/>
        <v>29</v>
      </c>
    </row>
    <row r="26" spans="1:15" x14ac:dyDescent="0.25">
      <c r="A26" s="6861" t="s">
        <v>407</v>
      </c>
      <c r="B26" s="6783" t="s">
        <v>9</v>
      </c>
      <c r="C26" s="4118" t="s">
        <v>499</v>
      </c>
      <c r="D26" s="4119">
        <v>4</v>
      </c>
      <c r="E26" s="4120">
        <v>2</v>
      </c>
      <c r="F26" s="3512">
        <f>SUM(D26:E26)</f>
        <v>6</v>
      </c>
      <c r="G26" s="4119">
        <v>6</v>
      </c>
      <c r="H26" s="4120">
        <v>4</v>
      </c>
      <c r="I26" s="3512">
        <f>SUM(G26:H26)</f>
        <v>10</v>
      </c>
      <c r="J26" s="4119">
        <v>10</v>
      </c>
      <c r="K26" s="4120">
        <v>5</v>
      </c>
      <c r="L26" s="3512">
        <f>SUM(J26:K26)</f>
        <v>15</v>
      </c>
      <c r="M26" s="4119"/>
      <c r="N26" s="4120">
        <v>3</v>
      </c>
      <c r="O26" s="3512">
        <f t="shared" si="1"/>
        <v>3</v>
      </c>
    </row>
    <row r="27" spans="1:15" x14ac:dyDescent="0.25">
      <c r="A27" s="6861"/>
      <c r="B27" s="6783"/>
      <c r="C27" s="4109" t="s">
        <v>497</v>
      </c>
      <c r="D27" s="4110"/>
      <c r="E27" s="4114">
        <v>1</v>
      </c>
      <c r="F27" s="3497">
        <f>SUM(D27:E27)</f>
        <v>1</v>
      </c>
      <c r="G27" s="4110">
        <v>4</v>
      </c>
      <c r="H27" s="4114">
        <v>6</v>
      </c>
      <c r="I27" s="3497">
        <f t="shared" ref="I27:I33" si="12">SUM(G27:H27)</f>
        <v>10</v>
      </c>
      <c r="J27" s="4110">
        <v>3</v>
      </c>
      <c r="K27" s="4114">
        <v>7</v>
      </c>
      <c r="L27" s="3497">
        <f t="shared" ref="L27:L33" si="13">SUM(J27:K27)</f>
        <v>10</v>
      </c>
      <c r="M27" s="4110">
        <v>2</v>
      </c>
      <c r="N27" s="4114">
        <v>2</v>
      </c>
      <c r="O27" s="3497">
        <f t="shared" si="1"/>
        <v>4</v>
      </c>
    </row>
    <row r="28" spans="1:15" ht="15" customHeight="1" x14ac:dyDescent="0.25">
      <c r="A28" s="6861"/>
      <c r="B28" s="6783"/>
      <c r="C28" s="4109" t="s">
        <v>498</v>
      </c>
      <c r="D28" s="4110">
        <v>0</v>
      </c>
      <c r="E28" s="4114">
        <v>0</v>
      </c>
      <c r="F28" s="3497">
        <f>SUM(D28:E28)</f>
        <v>0</v>
      </c>
      <c r="G28" s="4110">
        <v>1</v>
      </c>
      <c r="H28" s="4114">
        <v>2</v>
      </c>
      <c r="I28" s="3497">
        <f t="shared" si="12"/>
        <v>3</v>
      </c>
      <c r="J28" s="4110">
        <v>1</v>
      </c>
      <c r="K28" s="4114">
        <v>4</v>
      </c>
      <c r="L28" s="3497">
        <f t="shared" si="13"/>
        <v>5</v>
      </c>
      <c r="M28" s="4110"/>
      <c r="N28" s="4114">
        <v>5</v>
      </c>
      <c r="O28" s="3497">
        <f t="shared" si="1"/>
        <v>5</v>
      </c>
    </row>
    <row r="29" spans="1:15" x14ac:dyDescent="0.25">
      <c r="A29" s="6861"/>
      <c r="B29" s="6783" t="s">
        <v>1255</v>
      </c>
      <c r="C29" s="4113" t="s">
        <v>160</v>
      </c>
      <c r="D29" s="3503">
        <f>SUM(D26:D28)</f>
        <v>4</v>
      </c>
      <c r="E29" s="3504">
        <f>SUM(E26:E28)</f>
        <v>3</v>
      </c>
      <c r="F29" s="3501">
        <f>D29+E29</f>
        <v>7</v>
      </c>
      <c r="G29" s="3503">
        <f>SUM(G26:G28)</f>
        <v>11</v>
      </c>
      <c r="H29" s="3504">
        <f>SUM(H26:H28)</f>
        <v>12</v>
      </c>
      <c r="I29" s="3501">
        <f t="shared" si="12"/>
        <v>23</v>
      </c>
      <c r="J29" s="3503">
        <f>SUM(J26:J28)</f>
        <v>14</v>
      </c>
      <c r="K29" s="3504">
        <f>SUM(K26:K28)</f>
        <v>16</v>
      </c>
      <c r="L29" s="3501">
        <f t="shared" si="13"/>
        <v>30</v>
      </c>
      <c r="M29" s="3503">
        <f>SUM(M26:M28)</f>
        <v>2</v>
      </c>
      <c r="N29" s="3504">
        <f>SUM(N26:N28)</f>
        <v>10</v>
      </c>
      <c r="O29" s="3501">
        <f t="shared" si="1"/>
        <v>12</v>
      </c>
    </row>
    <row r="30" spans="1:15" x14ac:dyDescent="0.25">
      <c r="A30" s="6861"/>
      <c r="B30" s="6783" t="s">
        <v>74</v>
      </c>
      <c r="C30" s="4109" t="s">
        <v>1257</v>
      </c>
      <c r="D30" s="4110">
        <v>1</v>
      </c>
      <c r="E30" s="4121"/>
      <c r="F30" s="3497">
        <f>SUM(D30:E30)</f>
        <v>1</v>
      </c>
      <c r="G30" s="4110">
        <v>1</v>
      </c>
      <c r="H30" s="4121">
        <v>1</v>
      </c>
      <c r="I30" s="3497">
        <f t="shared" si="12"/>
        <v>2</v>
      </c>
      <c r="J30" s="4110"/>
      <c r="K30" s="4121"/>
      <c r="L30" s="3497">
        <f t="shared" si="13"/>
        <v>0</v>
      </c>
      <c r="M30" s="4110">
        <v>3</v>
      </c>
      <c r="N30" s="4121">
        <v>1</v>
      </c>
      <c r="O30" s="3497">
        <f t="shared" si="1"/>
        <v>4</v>
      </c>
    </row>
    <row r="31" spans="1:15" x14ac:dyDescent="0.25">
      <c r="A31" s="6861"/>
      <c r="B31" s="6783"/>
      <c r="C31" s="4109" t="s">
        <v>502</v>
      </c>
      <c r="D31" s="4110">
        <v>1</v>
      </c>
      <c r="E31" s="4114">
        <v>1</v>
      </c>
      <c r="F31" s="3497">
        <f>SUM(D31:E31)</f>
        <v>2</v>
      </c>
      <c r="G31" s="4110">
        <v>2</v>
      </c>
      <c r="H31" s="4114">
        <v>1</v>
      </c>
      <c r="I31" s="3497">
        <f t="shared" si="12"/>
        <v>3</v>
      </c>
      <c r="J31" s="4110">
        <v>3</v>
      </c>
      <c r="K31" s="4114">
        <v>1</v>
      </c>
      <c r="L31" s="3497">
        <f t="shared" si="13"/>
        <v>4</v>
      </c>
      <c r="M31" s="4110">
        <v>4</v>
      </c>
      <c r="N31" s="4114"/>
      <c r="O31" s="3497">
        <f t="shared" si="1"/>
        <v>4</v>
      </c>
    </row>
    <row r="32" spans="1:15" x14ac:dyDescent="0.25">
      <c r="A32" s="6861"/>
      <c r="B32" s="6783"/>
      <c r="C32" s="4109" t="s">
        <v>512</v>
      </c>
      <c r="D32" s="4110">
        <v>2</v>
      </c>
      <c r="E32" s="4114">
        <v>2</v>
      </c>
      <c r="F32" s="3497">
        <f>SUM(D32:E32)</f>
        <v>4</v>
      </c>
      <c r="G32" s="4110"/>
      <c r="H32" s="4114">
        <v>5</v>
      </c>
      <c r="I32" s="3497">
        <f t="shared" si="12"/>
        <v>5</v>
      </c>
      <c r="J32" s="4110">
        <v>1</v>
      </c>
      <c r="K32" s="4114">
        <v>3</v>
      </c>
      <c r="L32" s="3497">
        <f t="shared" si="13"/>
        <v>4</v>
      </c>
      <c r="M32" s="4110"/>
      <c r="N32" s="4114">
        <v>2</v>
      </c>
      <c r="O32" s="3497">
        <f t="shared" si="1"/>
        <v>2</v>
      </c>
    </row>
    <row r="33" spans="1:15" ht="15" customHeight="1" x14ac:dyDescent="0.25">
      <c r="A33" s="6861"/>
      <c r="B33" s="6783"/>
      <c r="C33" s="4109" t="s">
        <v>500</v>
      </c>
      <c r="D33" s="4110">
        <v>0</v>
      </c>
      <c r="E33" s="4121">
        <v>0</v>
      </c>
      <c r="F33" s="3497">
        <f>SUM(D33:E33)</f>
        <v>0</v>
      </c>
      <c r="G33" s="4110">
        <v>4</v>
      </c>
      <c r="H33" s="4121">
        <v>1</v>
      </c>
      <c r="I33" s="3497">
        <f t="shared" si="12"/>
        <v>5</v>
      </c>
      <c r="J33" s="4110">
        <v>3</v>
      </c>
      <c r="K33" s="4121">
        <v>2</v>
      </c>
      <c r="L33" s="3497">
        <f t="shared" si="13"/>
        <v>5</v>
      </c>
      <c r="M33" s="4110"/>
      <c r="N33" s="4121">
        <v>1</v>
      </c>
      <c r="O33" s="3497">
        <f t="shared" si="1"/>
        <v>1</v>
      </c>
    </row>
    <row r="34" spans="1:15" x14ac:dyDescent="0.25">
      <c r="A34" s="6861"/>
      <c r="B34" s="6783" t="s">
        <v>1255</v>
      </c>
      <c r="C34" s="4113" t="s">
        <v>160</v>
      </c>
      <c r="D34" s="3503">
        <f>SUM(D30:D33)</f>
        <v>4</v>
      </c>
      <c r="E34" s="3504">
        <f>SUM(E30:E33)</f>
        <v>3</v>
      </c>
      <c r="F34" s="3501">
        <f>D34+E34</f>
        <v>7</v>
      </c>
      <c r="G34" s="3503">
        <f t="shared" ref="G34:L34" si="14">SUM(G30:G33)</f>
        <v>7</v>
      </c>
      <c r="H34" s="3504">
        <f t="shared" si="14"/>
        <v>8</v>
      </c>
      <c r="I34" s="3501">
        <f t="shared" si="14"/>
        <v>15</v>
      </c>
      <c r="J34" s="3503">
        <f t="shared" si="14"/>
        <v>7</v>
      </c>
      <c r="K34" s="3504">
        <f t="shared" si="14"/>
        <v>6</v>
      </c>
      <c r="L34" s="3501">
        <f t="shared" si="14"/>
        <v>13</v>
      </c>
      <c r="M34" s="3503">
        <f t="shared" ref="M34" si="15">SUM(M30:M33)</f>
        <v>7</v>
      </c>
      <c r="N34" s="3504">
        <f>SUM(N30:N33)</f>
        <v>4</v>
      </c>
      <c r="O34" s="3501">
        <f t="shared" si="1"/>
        <v>11</v>
      </c>
    </row>
    <row r="35" spans="1:15" x14ac:dyDescent="0.25">
      <c r="A35" s="6861"/>
      <c r="B35" s="6783" t="s">
        <v>6</v>
      </c>
      <c r="C35" s="4109" t="s">
        <v>456</v>
      </c>
      <c r="D35" s="4110">
        <v>3</v>
      </c>
      <c r="E35" s="4114">
        <v>1</v>
      </c>
      <c r="F35" s="3497">
        <f>SUM(D35:E35)</f>
        <v>4</v>
      </c>
      <c r="G35" s="4110">
        <v>4</v>
      </c>
      <c r="H35" s="4114">
        <v>4</v>
      </c>
      <c r="I35" s="3497">
        <f>SUM(G35:H35)</f>
        <v>8</v>
      </c>
      <c r="J35" s="4110">
        <v>5</v>
      </c>
      <c r="K35" s="4114">
        <v>4</v>
      </c>
      <c r="L35" s="3497">
        <f>SUM(J35:K35)</f>
        <v>9</v>
      </c>
      <c r="M35" s="4110">
        <v>9</v>
      </c>
      <c r="N35" s="4114">
        <v>9</v>
      </c>
      <c r="O35" s="3497">
        <f t="shared" si="1"/>
        <v>18</v>
      </c>
    </row>
    <row r="36" spans="1:15" x14ac:dyDescent="0.25">
      <c r="A36" s="6861"/>
      <c r="B36" s="6783"/>
      <c r="C36" s="4109" t="s">
        <v>496</v>
      </c>
      <c r="D36" s="4110">
        <v>1</v>
      </c>
      <c r="E36" s="4114">
        <v>1</v>
      </c>
      <c r="F36" s="3497">
        <f>SUM(D36:E36)</f>
        <v>2</v>
      </c>
      <c r="G36" s="4110">
        <v>2</v>
      </c>
      <c r="H36" s="4114"/>
      <c r="I36" s="3497">
        <f>SUM(G36:H36)</f>
        <v>2</v>
      </c>
      <c r="J36" s="4110">
        <v>2</v>
      </c>
      <c r="K36" s="4114"/>
      <c r="L36" s="3497">
        <f>SUM(J36:K36)</f>
        <v>2</v>
      </c>
      <c r="M36" s="4110">
        <v>1</v>
      </c>
      <c r="N36" s="4114">
        <v>1</v>
      </c>
      <c r="O36" s="3497">
        <f t="shared" si="1"/>
        <v>2</v>
      </c>
    </row>
    <row r="37" spans="1:15" x14ac:dyDescent="0.25">
      <c r="A37" s="6861"/>
      <c r="B37" s="6783"/>
      <c r="C37" s="4109" t="s">
        <v>495</v>
      </c>
      <c r="D37" s="4110">
        <v>1</v>
      </c>
      <c r="E37" s="4114">
        <v>1</v>
      </c>
      <c r="F37" s="3497">
        <f>SUM(D37:E37)</f>
        <v>2</v>
      </c>
      <c r="G37" s="4110">
        <v>1</v>
      </c>
      <c r="H37" s="4114"/>
      <c r="I37" s="3497">
        <f>SUM(G37:H37)</f>
        <v>1</v>
      </c>
      <c r="J37" s="4110">
        <v>2</v>
      </c>
      <c r="K37" s="4114">
        <v>5</v>
      </c>
      <c r="L37" s="3497">
        <f>SUM(J37:K37)</f>
        <v>7</v>
      </c>
      <c r="M37" s="4110">
        <v>4</v>
      </c>
      <c r="N37" s="4114">
        <v>1</v>
      </c>
      <c r="O37" s="3497">
        <f t="shared" si="1"/>
        <v>5</v>
      </c>
    </row>
    <row r="38" spans="1:15" x14ac:dyDescent="0.25">
      <c r="A38" s="6861"/>
      <c r="B38" s="6777" t="s">
        <v>1255</v>
      </c>
      <c r="C38" s="4113" t="s">
        <v>160</v>
      </c>
      <c r="D38" s="3505">
        <f>SUM(D35:D37)</f>
        <v>5</v>
      </c>
      <c r="E38" s="3506">
        <f>SUM(E35:E37)</f>
        <v>3</v>
      </c>
      <c r="F38" s="3502">
        <f>D38+E38</f>
        <v>8</v>
      </c>
      <c r="G38" s="3505">
        <f t="shared" ref="G38:L38" si="16">SUM(G35:G37)</f>
        <v>7</v>
      </c>
      <c r="H38" s="3506">
        <f t="shared" si="16"/>
        <v>4</v>
      </c>
      <c r="I38" s="3502">
        <f t="shared" si="16"/>
        <v>11</v>
      </c>
      <c r="J38" s="3505">
        <f t="shared" si="16"/>
        <v>9</v>
      </c>
      <c r="K38" s="3506">
        <f t="shared" si="16"/>
        <v>9</v>
      </c>
      <c r="L38" s="3502">
        <f t="shared" si="16"/>
        <v>18</v>
      </c>
      <c r="M38" s="3505">
        <f t="shared" ref="M38" si="17">SUM(M35:M37)</f>
        <v>14</v>
      </c>
      <c r="N38" s="3506">
        <f>SUM(N35:N37)</f>
        <v>11</v>
      </c>
      <c r="O38" s="3502">
        <f t="shared" si="1"/>
        <v>25</v>
      </c>
    </row>
    <row r="39" spans="1:15" x14ac:dyDescent="0.25">
      <c r="A39" s="6862"/>
      <c r="B39" s="6863" t="s">
        <v>444</v>
      </c>
      <c r="C39" s="6864"/>
      <c r="D39" s="4122">
        <f t="shared" ref="D39:I39" si="18">D38+D34+D29</f>
        <v>13</v>
      </c>
      <c r="E39" s="4123">
        <f t="shared" si="18"/>
        <v>9</v>
      </c>
      <c r="F39" s="4124">
        <f t="shared" si="18"/>
        <v>22</v>
      </c>
      <c r="G39" s="4122">
        <f t="shared" si="18"/>
        <v>25</v>
      </c>
      <c r="H39" s="4364">
        <f t="shared" si="18"/>
        <v>24</v>
      </c>
      <c r="I39" s="4124">
        <f t="shared" si="18"/>
        <v>49</v>
      </c>
      <c r="J39" s="4122">
        <f>J38+J34+J29</f>
        <v>30</v>
      </c>
      <c r="K39" s="4957">
        <f>K38+K34+K29</f>
        <v>31</v>
      </c>
      <c r="L39" s="4124">
        <f>L38+L34+L29</f>
        <v>61</v>
      </c>
      <c r="M39" s="4122">
        <f>M38+M34+M29</f>
        <v>23</v>
      </c>
      <c r="N39" s="5392">
        <f>N38+N34+N29</f>
        <v>25</v>
      </c>
      <c r="O39" s="4124">
        <f t="shared" si="1"/>
        <v>48</v>
      </c>
    </row>
    <row r="40" spans="1:15" ht="15" customHeight="1" x14ac:dyDescent="0.25">
      <c r="A40" s="6865" t="s">
        <v>162</v>
      </c>
      <c r="B40" s="6777" t="s">
        <v>5</v>
      </c>
      <c r="C40" s="4118" t="s">
        <v>469</v>
      </c>
      <c r="D40" s="4119"/>
      <c r="E40" s="4120"/>
      <c r="F40" s="3512">
        <f t="shared" ref="F40:F48" si="19">SUM(D40:E40)</f>
        <v>0</v>
      </c>
      <c r="G40" s="4119"/>
      <c r="H40" s="4120"/>
      <c r="I40" s="3512"/>
      <c r="J40" s="4119"/>
      <c r="K40" s="4120"/>
      <c r="L40" s="3512"/>
      <c r="M40" s="4119"/>
      <c r="N40" s="4120"/>
      <c r="O40" s="3512">
        <f t="shared" si="1"/>
        <v>0</v>
      </c>
    </row>
    <row r="41" spans="1:15" ht="15" customHeight="1" x14ac:dyDescent="0.25">
      <c r="A41" s="6866"/>
      <c r="B41" s="6778"/>
      <c r="C41" s="4109" t="s">
        <v>466</v>
      </c>
      <c r="D41" s="4110"/>
      <c r="E41" s="4114"/>
      <c r="F41" s="3497">
        <f t="shared" si="19"/>
        <v>0</v>
      </c>
      <c r="G41" s="4110"/>
      <c r="H41" s="4114">
        <v>1</v>
      </c>
      <c r="I41" s="3497">
        <f>SUM(G41:H41)</f>
        <v>1</v>
      </c>
      <c r="J41" s="4110"/>
      <c r="K41" s="4114"/>
      <c r="L41" s="3497">
        <f>SUM(J41:K41)</f>
        <v>0</v>
      </c>
      <c r="M41" s="4110"/>
      <c r="N41" s="4114"/>
      <c r="O41" s="3497">
        <f t="shared" si="1"/>
        <v>0</v>
      </c>
    </row>
    <row r="42" spans="1:15" ht="15" customHeight="1" x14ac:dyDescent="0.25">
      <c r="A42" s="6866"/>
      <c r="B42" s="6778"/>
      <c r="C42" s="4109" t="s">
        <v>1258</v>
      </c>
      <c r="D42" s="4110"/>
      <c r="E42" s="4114"/>
      <c r="F42" s="3497">
        <f t="shared" si="19"/>
        <v>0</v>
      </c>
      <c r="G42" s="4110"/>
      <c r="H42" s="4114"/>
      <c r="I42" s="3497"/>
      <c r="J42" s="4110"/>
      <c r="K42" s="4114"/>
      <c r="L42" s="3497"/>
      <c r="M42" s="4110"/>
      <c r="N42" s="4114"/>
      <c r="O42" s="3497">
        <f t="shared" si="1"/>
        <v>0</v>
      </c>
    </row>
    <row r="43" spans="1:15" ht="15" customHeight="1" x14ac:dyDescent="0.25">
      <c r="A43" s="6866"/>
      <c r="B43" s="6778"/>
      <c r="C43" s="4109" t="s">
        <v>1249</v>
      </c>
      <c r="D43" s="4110"/>
      <c r="E43" s="4114"/>
      <c r="F43" s="3497">
        <f t="shared" si="19"/>
        <v>0</v>
      </c>
      <c r="G43" s="4110"/>
      <c r="H43" s="4114"/>
      <c r="I43" s="3497"/>
      <c r="J43" s="4110"/>
      <c r="K43" s="4114"/>
      <c r="L43" s="3497"/>
      <c r="M43" s="4110"/>
      <c r="N43" s="4114"/>
      <c r="O43" s="3497">
        <f t="shared" si="1"/>
        <v>0</v>
      </c>
    </row>
    <row r="44" spans="1:15" ht="15" customHeight="1" x14ac:dyDescent="0.25">
      <c r="A44" s="6866"/>
      <c r="B44" s="6778"/>
      <c r="C44" s="4109" t="s">
        <v>1259</v>
      </c>
      <c r="D44" s="4110"/>
      <c r="E44" s="4114"/>
      <c r="F44" s="3497">
        <f t="shared" si="19"/>
        <v>0</v>
      </c>
      <c r="G44" s="4110"/>
      <c r="H44" s="4114"/>
      <c r="I44" s="3497"/>
      <c r="J44" s="4110"/>
      <c r="K44" s="4114">
        <v>2</v>
      </c>
      <c r="L44" s="3497">
        <f>SUM(J44:K44)</f>
        <v>2</v>
      </c>
      <c r="M44" s="4110"/>
      <c r="N44" s="4114"/>
      <c r="O44" s="3497">
        <f t="shared" si="1"/>
        <v>0</v>
      </c>
    </row>
    <row r="45" spans="1:15" ht="15" customHeight="1" x14ac:dyDescent="0.25">
      <c r="A45" s="6866"/>
      <c r="B45" s="6778"/>
      <c r="C45" s="4109" t="s">
        <v>1260</v>
      </c>
      <c r="D45" s="4110"/>
      <c r="E45" s="4121"/>
      <c r="F45" s="3497">
        <f t="shared" si="19"/>
        <v>0</v>
      </c>
      <c r="G45" s="4110"/>
      <c r="H45" s="4121"/>
      <c r="I45" s="3497"/>
      <c r="J45" s="4110"/>
      <c r="K45" s="4121"/>
      <c r="L45" s="3497">
        <f>SUM(J45:K45)</f>
        <v>0</v>
      </c>
      <c r="M45" s="4110"/>
      <c r="N45" s="4121"/>
      <c r="O45" s="3497">
        <f t="shared" si="1"/>
        <v>0</v>
      </c>
    </row>
    <row r="46" spans="1:15" ht="15" customHeight="1" x14ac:dyDescent="0.25">
      <c r="A46" s="6866"/>
      <c r="B46" s="6778"/>
      <c r="C46" s="4109" t="s">
        <v>1254</v>
      </c>
      <c r="D46" s="4110"/>
      <c r="E46" s="4114"/>
      <c r="F46" s="3497">
        <f t="shared" si="19"/>
        <v>0</v>
      </c>
      <c r="G46" s="4110"/>
      <c r="H46" s="4114"/>
      <c r="I46" s="3497"/>
      <c r="J46" s="4110"/>
      <c r="K46" s="4114">
        <v>1</v>
      </c>
      <c r="L46" s="3497">
        <f>SUM(J46:K46)</f>
        <v>1</v>
      </c>
      <c r="M46" s="4110"/>
      <c r="N46" s="4114"/>
      <c r="O46" s="3497">
        <f t="shared" si="1"/>
        <v>0</v>
      </c>
    </row>
    <row r="47" spans="1:15" ht="15" customHeight="1" x14ac:dyDescent="0.25">
      <c r="A47" s="6866"/>
      <c r="B47" s="6778"/>
      <c r="C47" s="4109" t="s">
        <v>467</v>
      </c>
      <c r="D47" s="4110"/>
      <c r="E47" s="4121"/>
      <c r="F47" s="3497">
        <f t="shared" si="19"/>
        <v>0</v>
      </c>
      <c r="G47" s="4110"/>
      <c r="H47" s="4121"/>
      <c r="I47" s="3497"/>
      <c r="J47" s="4110"/>
      <c r="K47" s="4121"/>
      <c r="L47" s="3497">
        <f>SUM(J47:K47)</f>
        <v>0</v>
      </c>
      <c r="M47" s="4110"/>
      <c r="N47" s="4121"/>
      <c r="O47" s="3497">
        <f t="shared" si="1"/>
        <v>0</v>
      </c>
    </row>
    <row r="48" spans="1:15" ht="15" customHeight="1" x14ac:dyDescent="0.25">
      <c r="A48" s="6866"/>
      <c r="B48" s="6778"/>
      <c r="C48" s="4109" t="s">
        <v>468</v>
      </c>
      <c r="D48" s="4110"/>
      <c r="E48" s="4121"/>
      <c r="F48" s="3497">
        <f t="shared" si="19"/>
        <v>0</v>
      </c>
      <c r="G48" s="4110"/>
      <c r="H48" s="4121"/>
      <c r="I48" s="3497"/>
      <c r="J48" s="4110"/>
      <c r="K48" s="4121"/>
      <c r="L48" s="3497">
        <f>SUM(J48:K48)</f>
        <v>0</v>
      </c>
      <c r="M48" s="4110"/>
      <c r="N48" s="4121"/>
      <c r="O48" s="3497">
        <f t="shared" si="1"/>
        <v>0</v>
      </c>
    </row>
    <row r="49" spans="1:15" ht="15" customHeight="1" x14ac:dyDescent="0.25">
      <c r="A49" s="6866"/>
      <c r="B49" s="6779" t="s">
        <v>1255</v>
      </c>
      <c r="C49" s="4113"/>
      <c r="D49" s="3503">
        <f>SUM(D40:D48)</f>
        <v>0</v>
      </c>
      <c r="E49" s="3504">
        <f>SUM(E40:E48)</f>
        <v>0</v>
      </c>
      <c r="F49" s="3501">
        <f>D49+E49</f>
        <v>0</v>
      </c>
      <c r="G49" s="3503">
        <f>SUM(G41)</f>
        <v>0</v>
      </c>
      <c r="H49" s="3504">
        <f>SUM(H41)</f>
        <v>1</v>
      </c>
      <c r="I49" s="3501">
        <f>SUM(I41)</f>
        <v>1</v>
      </c>
      <c r="J49" s="3503">
        <f>SUM(J41)</f>
        <v>0</v>
      </c>
      <c r="K49" s="3504">
        <f>SUM(K41:K46)</f>
        <v>3</v>
      </c>
      <c r="L49" s="3501">
        <f>SUM(L41:L46)</f>
        <v>3</v>
      </c>
      <c r="M49" s="3503">
        <f>SUM(M41:M46)</f>
        <v>0</v>
      </c>
      <c r="N49" s="3504">
        <f>SUM(N41)</f>
        <v>0</v>
      </c>
      <c r="O49" s="3501">
        <f t="shared" si="1"/>
        <v>0</v>
      </c>
    </row>
    <row r="50" spans="1:15" ht="15" customHeight="1" x14ac:dyDescent="0.25">
      <c r="A50" s="6866"/>
      <c r="B50" s="6777" t="s">
        <v>6</v>
      </c>
      <c r="C50" s="4109" t="s">
        <v>456</v>
      </c>
      <c r="D50" s="4110"/>
      <c r="E50" s="4114"/>
      <c r="F50" s="3497">
        <f t="shared" ref="F50:F60" si="20">SUM(D50:E50)</f>
        <v>0</v>
      </c>
      <c r="G50" s="4110"/>
      <c r="H50" s="4114"/>
      <c r="I50" s="3497"/>
      <c r="J50" s="4110"/>
      <c r="K50" s="4114"/>
      <c r="L50" s="3497"/>
      <c r="M50" s="4110"/>
      <c r="N50" s="4114"/>
      <c r="O50" s="3497">
        <f t="shared" si="1"/>
        <v>0</v>
      </c>
    </row>
    <row r="51" spans="1:15" ht="15" customHeight="1" x14ac:dyDescent="0.25">
      <c r="A51" s="6866"/>
      <c r="B51" s="6778"/>
      <c r="C51" s="4109" t="s">
        <v>470</v>
      </c>
      <c r="D51" s="4110"/>
      <c r="E51" s="4114"/>
      <c r="F51" s="3497">
        <f t="shared" si="20"/>
        <v>0</v>
      </c>
      <c r="G51" s="4110"/>
      <c r="H51" s="4114"/>
      <c r="I51" s="3497"/>
      <c r="J51" s="4110"/>
      <c r="K51" s="4114"/>
      <c r="L51" s="3497"/>
      <c r="M51" s="4110"/>
      <c r="N51" s="4114"/>
      <c r="O51" s="3497">
        <f t="shared" si="1"/>
        <v>0</v>
      </c>
    </row>
    <row r="52" spans="1:15" ht="15" customHeight="1" x14ac:dyDescent="0.25">
      <c r="A52" s="6866"/>
      <c r="B52" s="6778"/>
      <c r="C52" s="4109" t="s">
        <v>475</v>
      </c>
      <c r="D52" s="4110"/>
      <c r="E52" s="4114"/>
      <c r="F52" s="3497">
        <f t="shared" si="20"/>
        <v>0</v>
      </c>
      <c r="G52" s="4110">
        <v>2</v>
      </c>
      <c r="H52" s="4114">
        <v>3</v>
      </c>
      <c r="I52" s="3497">
        <f>SUM(G52:H52)</f>
        <v>5</v>
      </c>
      <c r="J52" s="4110"/>
      <c r="K52" s="4114"/>
      <c r="L52" s="3497">
        <f>SUM(J52:K52)</f>
        <v>0</v>
      </c>
      <c r="M52" s="4110">
        <v>1</v>
      </c>
      <c r="N52" s="4114">
        <v>1</v>
      </c>
      <c r="O52" s="3497">
        <f t="shared" si="1"/>
        <v>2</v>
      </c>
    </row>
    <row r="53" spans="1:15" ht="15" customHeight="1" x14ac:dyDescent="0.25">
      <c r="A53" s="6866"/>
      <c r="B53" s="6778"/>
      <c r="C53" s="4109" t="s">
        <v>458</v>
      </c>
      <c r="D53" s="4110"/>
      <c r="E53" s="4114"/>
      <c r="F53" s="3497">
        <f t="shared" si="20"/>
        <v>0</v>
      </c>
      <c r="G53" s="4110"/>
      <c r="H53" s="4114"/>
      <c r="I53" s="3497">
        <f t="shared" ref="I53:I60" si="21">SUM(G53:H53)</f>
        <v>0</v>
      </c>
      <c r="J53" s="4110"/>
      <c r="K53" s="4114"/>
      <c r="L53" s="3497">
        <f t="shared" ref="L53:L60" si="22">SUM(J53:K53)</f>
        <v>0</v>
      </c>
      <c r="M53" s="4110"/>
      <c r="N53" s="4114"/>
      <c r="O53" s="3497">
        <f t="shared" si="1"/>
        <v>0</v>
      </c>
    </row>
    <row r="54" spans="1:15" ht="15" customHeight="1" x14ac:dyDescent="0.25">
      <c r="A54" s="6866"/>
      <c r="B54" s="6778"/>
      <c r="C54" s="4109" t="s">
        <v>472</v>
      </c>
      <c r="D54" s="4110"/>
      <c r="E54" s="4114"/>
      <c r="F54" s="3497">
        <f t="shared" si="20"/>
        <v>0</v>
      </c>
      <c r="G54" s="4110"/>
      <c r="H54" s="4114"/>
      <c r="I54" s="3497">
        <f t="shared" si="21"/>
        <v>0</v>
      </c>
      <c r="J54" s="4110"/>
      <c r="K54" s="4114"/>
      <c r="L54" s="3497">
        <f t="shared" si="22"/>
        <v>0</v>
      </c>
      <c r="M54" s="4110"/>
      <c r="N54" s="4114"/>
      <c r="O54" s="3497">
        <f t="shared" si="1"/>
        <v>0</v>
      </c>
    </row>
    <row r="55" spans="1:15" ht="15" customHeight="1" x14ac:dyDescent="0.25">
      <c r="A55" s="6866"/>
      <c r="B55" s="6778"/>
      <c r="C55" s="4109" t="s">
        <v>477</v>
      </c>
      <c r="D55" s="4110"/>
      <c r="E55" s="4121"/>
      <c r="F55" s="3497">
        <f t="shared" si="20"/>
        <v>0</v>
      </c>
      <c r="G55" s="4110"/>
      <c r="H55" s="4121"/>
      <c r="I55" s="3497">
        <f t="shared" si="21"/>
        <v>0</v>
      </c>
      <c r="J55" s="4110"/>
      <c r="K55" s="4121">
        <v>1</v>
      </c>
      <c r="L55" s="3497">
        <f t="shared" si="22"/>
        <v>1</v>
      </c>
      <c r="M55" s="4110"/>
      <c r="N55" s="4121"/>
      <c r="O55" s="3497">
        <f t="shared" si="1"/>
        <v>0</v>
      </c>
    </row>
    <row r="56" spans="1:15" ht="15" customHeight="1" x14ac:dyDescent="0.25">
      <c r="A56" s="6866"/>
      <c r="B56" s="6778"/>
      <c r="C56" s="4109" t="s">
        <v>473</v>
      </c>
      <c r="D56" s="4110"/>
      <c r="E56" s="4114"/>
      <c r="F56" s="3497">
        <f t="shared" si="20"/>
        <v>0</v>
      </c>
      <c r="G56" s="4110"/>
      <c r="H56" s="4114"/>
      <c r="I56" s="3497">
        <f t="shared" si="21"/>
        <v>0</v>
      </c>
      <c r="J56" s="4110"/>
      <c r="K56" s="4114"/>
      <c r="L56" s="3497">
        <f t="shared" si="22"/>
        <v>0</v>
      </c>
      <c r="M56" s="4110"/>
      <c r="N56" s="4114"/>
      <c r="O56" s="3497">
        <f t="shared" si="1"/>
        <v>0</v>
      </c>
    </row>
    <row r="57" spans="1:15" ht="15" customHeight="1" x14ac:dyDescent="0.25">
      <c r="A57" s="6866"/>
      <c r="B57" s="6778"/>
      <c r="C57" s="4109" t="s">
        <v>471</v>
      </c>
      <c r="D57" s="4110"/>
      <c r="E57" s="4114"/>
      <c r="F57" s="3497">
        <f t="shared" si="20"/>
        <v>0</v>
      </c>
      <c r="G57" s="4110"/>
      <c r="H57" s="4114"/>
      <c r="I57" s="3497">
        <f t="shared" si="21"/>
        <v>0</v>
      </c>
      <c r="J57" s="4110">
        <v>1</v>
      </c>
      <c r="K57" s="4114">
        <v>1</v>
      </c>
      <c r="L57" s="3497">
        <f t="shared" si="22"/>
        <v>2</v>
      </c>
      <c r="M57" s="4110"/>
      <c r="N57" s="4114">
        <v>1</v>
      </c>
      <c r="O57" s="3497">
        <f t="shared" si="1"/>
        <v>1</v>
      </c>
    </row>
    <row r="58" spans="1:15" ht="15" customHeight="1" x14ac:dyDescent="0.25">
      <c r="A58" s="6866"/>
      <c r="B58" s="6778"/>
      <c r="C58" s="4109" t="s">
        <v>474</v>
      </c>
      <c r="D58" s="4110"/>
      <c r="E58" s="4114"/>
      <c r="F58" s="3497">
        <f t="shared" si="20"/>
        <v>0</v>
      </c>
      <c r="G58" s="4110"/>
      <c r="H58" s="4114"/>
      <c r="I58" s="3497">
        <f t="shared" si="21"/>
        <v>0</v>
      </c>
      <c r="J58" s="4110"/>
      <c r="K58" s="4114"/>
      <c r="L58" s="3497">
        <f t="shared" si="22"/>
        <v>0</v>
      </c>
      <c r="M58" s="4110"/>
      <c r="N58" s="4114"/>
      <c r="O58" s="3497">
        <f t="shared" si="1"/>
        <v>0</v>
      </c>
    </row>
    <row r="59" spans="1:15" x14ac:dyDescent="0.25">
      <c r="A59" s="6866"/>
      <c r="B59" s="6778"/>
      <c r="C59" s="4109" t="s">
        <v>476</v>
      </c>
      <c r="D59" s="4110">
        <v>1</v>
      </c>
      <c r="E59" s="4114"/>
      <c r="F59" s="3497">
        <f t="shared" si="20"/>
        <v>1</v>
      </c>
      <c r="G59" s="4110"/>
      <c r="H59" s="4114"/>
      <c r="I59" s="3497">
        <f t="shared" si="21"/>
        <v>0</v>
      </c>
      <c r="J59" s="4110"/>
      <c r="K59" s="4114"/>
      <c r="L59" s="3497">
        <f t="shared" si="22"/>
        <v>0</v>
      </c>
      <c r="M59" s="4110"/>
      <c r="N59" s="4114"/>
      <c r="O59" s="3497">
        <f t="shared" si="1"/>
        <v>0</v>
      </c>
    </row>
    <row r="60" spans="1:15" ht="15" customHeight="1" x14ac:dyDescent="0.25">
      <c r="A60" s="6866"/>
      <c r="B60" s="6778"/>
      <c r="C60" s="4109" t="s">
        <v>459</v>
      </c>
      <c r="D60" s="4110"/>
      <c r="E60" s="4114"/>
      <c r="F60" s="3497">
        <f t="shared" si="20"/>
        <v>0</v>
      </c>
      <c r="G60" s="4110"/>
      <c r="H60" s="4114">
        <v>2</v>
      </c>
      <c r="I60" s="3497">
        <f t="shared" si="21"/>
        <v>2</v>
      </c>
      <c r="J60" s="4110"/>
      <c r="K60" s="4114"/>
      <c r="L60" s="3497">
        <f t="shared" si="22"/>
        <v>0</v>
      </c>
      <c r="M60" s="4110"/>
      <c r="N60" s="4114"/>
      <c r="O60" s="3497">
        <f t="shared" si="1"/>
        <v>0</v>
      </c>
    </row>
    <row r="61" spans="1:15" x14ac:dyDescent="0.25">
      <c r="A61" s="6866"/>
      <c r="B61" s="6779" t="s">
        <v>1255</v>
      </c>
      <c r="C61" s="4113" t="s">
        <v>160</v>
      </c>
      <c r="D61" s="3503">
        <f>SUM(D50:D60)</f>
        <v>1</v>
      </c>
      <c r="E61" s="3504">
        <f>SUM(E50:E60)</f>
        <v>0</v>
      </c>
      <c r="F61" s="3501">
        <f>D61+E61</f>
        <v>1</v>
      </c>
      <c r="G61" s="3503">
        <f t="shared" ref="G61:L61" si="23">SUM(G52:G60)</f>
        <v>2</v>
      </c>
      <c r="H61" s="3504">
        <f t="shared" si="23"/>
        <v>5</v>
      </c>
      <c r="I61" s="3501">
        <f t="shared" si="23"/>
        <v>7</v>
      </c>
      <c r="J61" s="3503">
        <f t="shared" si="23"/>
        <v>1</v>
      </c>
      <c r="K61" s="3504">
        <f t="shared" si="23"/>
        <v>2</v>
      </c>
      <c r="L61" s="3501">
        <f t="shared" si="23"/>
        <v>3</v>
      </c>
      <c r="M61" s="3503">
        <f t="shared" ref="M61" si="24">SUM(M52:M60)</f>
        <v>1</v>
      </c>
      <c r="N61" s="3504">
        <f>SUM(N52:N60)</f>
        <v>2</v>
      </c>
      <c r="O61" s="3501">
        <f t="shared" si="1"/>
        <v>3</v>
      </c>
    </row>
    <row r="62" spans="1:15" ht="15" customHeight="1" x14ac:dyDescent="0.25">
      <c r="A62" s="6866"/>
      <c r="B62" s="6777" t="s">
        <v>11</v>
      </c>
      <c r="C62" s="4109" t="s">
        <v>478</v>
      </c>
      <c r="D62" s="4110"/>
      <c r="E62" s="4114"/>
      <c r="F62" s="3497">
        <f t="shared" ref="F62:F67" si="25">SUM(D62:E62)</f>
        <v>0</v>
      </c>
      <c r="G62" s="4110"/>
      <c r="H62" s="4114"/>
      <c r="I62" s="3497"/>
      <c r="J62" s="4110"/>
      <c r="K62" s="4114"/>
      <c r="L62" s="3497"/>
      <c r="M62" s="4110">
        <v>1</v>
      </c>
      <c r="N62" s="4114"/>
      <c r="O62" s="3497">
        <f t="shared" si="1"/>
        <v>1</v>
      </c>
    </row>
    <row r="63" spans="1:15" x14ac:dyDescent="0.25">
      <c r="A63" s="6866"/>
      <c r="B63" s="6778"/>
      <c r="C63" s="4109" t="s">
        <v>479</v>
      </c>
      <c r="D63" s="4110"/>
      <c r="E63" s="4114">
        <v>1</v>
      </c>
      <c r="F63" s="3497">
        <f t="shared" si="25"/>
        <v>1</v>
      </c>
      <c r="G63" s="4110"/>
      <c r="H63" s="4114">
        <v>1</v>
      </c>
      <c r="I63" s="3497">
        <f>SUM(G63:H63)</f>
        <v>1</v>
      </c>
      <c r="J63" s="4110">
        <v>4</v>
      </c>
      <c r="K63" s="4114">
        <v>1</v>
      </c>
      <c r="L63" s="3497">
        <f>SUM(J63:K63)</f>
        <v>5</v>
      </c>
      <c r="M63" s="4110"/>
      <c r="N63" s="4114"/>
      <c r="O63" s="3497">
        <f t="shared" si="1"/>
        <v>0</v>
      </c>
    </row>
    <row r="64" spans="1:15" x14ac:dyDescent="0.25">
      <c r="A64" s="6866"/>
      <c r="B64" s="6778"/>
      <c r="C64" s="4109" t="s">
        <v>480</v>
      </c>
      <c r="D64" s="4110">
        <v>1</v>
      </c>
      <c r="E64" s="4114">
        <v>1</v>
      </c>
      <c r="F64" s="3497">
        <f t="shared" si="25"/>
        <v>2</v>
      </c>
      <c r="G64" s="4110">
        <v>3</v>
      </c>
      <c r="H64" s="4114">
        <v>1</v>
      </c>
      <c r="I64" s="3497">
        <f>SUM(G64:H64)</f>
        <v>4</v>
      </c>
      <c r="J64" s="4110">
        <v>12</v>
      </c>
      <c r="K64" s="4114">
        <v>4</v>
      </c>
      <c r="L64" s="3497">
        <f>SUM(J64:K64)</f>
        <v>16</v>
      </c>
      <c r="M64" s="4110">
        <v>1</v>
      </c>
      <c r="N64" s="4114"/>
      <c r="O64" s="3497">
        <f t="shared" si="1"/>
        <v>1</v>
      </c>
    </row>
    <row r="65" spans="1:15" ht="15" customHeight="1" x14ac:dyDescent="0.25">
      <c r="A65" s="6866"/>
      <c r="B65" s="6778"/>
      <c r="C65" s="4109" t="s">
        <v>514</v>
      </c>
      <c r="D65" s="4110"/>
      <c r="E65" s="4114"/>
      <c r="F65" s="3497">
        <f t="shared" si="25"/>
        <v>0</v>
      </c>
      <c r="G65" s="4110">
        <v>1</v>
      </c>
      <c r="H65" s="4114"/>
      <c r="I65" s="3497">
        <f>SUM(G65:H65)</f>
        <v>1</v>
      </c>
      <c r="J65" s="4110"/>
      <c r="K65" s="4114"/>
      <c r="L65" s="3497">
        <f>SUM(J65:K65)</f>
        <v>0</v>
      </c>
      <c r="M65" s="4110"/>
      <c r="N65" s="4114"/>
      <c r="O65" s="3497">
        <f t="shared" si="1"/>
        <v>0</v>
      </c>
    </row>
    <row r="66" spans="1:15" ht="15" customHeight="1" x14ac:dyDescent="0.25">
      <c r="A66" s="6866"/>
      <c r="B66" s="6778"/>
      <c r="C66" s="4109" t="s">
        <v>1261</v>
      </c>
      <c r="D66" s="4110"/>
      <c r="E66" s="4114"/>
      <c r="F66" s="3497">
        <f t="shared" si="25"/>
        <v>0</v>
      </c>
      <c r="G66" s="4110"/>
      <c r="H66" s="4114"/>
      <c r="I66" s="3497"/>
      <c r="J66" s="4110"/>
      <c r="K66" s="4114"/>
      <c r="L66" s="3497">
        <f>SUM(J66:K66)</f>
        <v>0</v>
      </c>
      <c r="M66" s="4110"/>
      <c r="N66" s="4114"/>
      <c r="O66" s="3497">
        <f t="shared" si="1"/>
        <v>0</v>
      </c>
    </row>
    <row r="67" spans="1:15" ht="15" customHeight="1" x14ac:dyDescent="0.25">
      <c r="A67" s="6866"/>
      <c r="B67" s="6778"/>
      <c r="C67" s="4109" t="s">
        <v>481</v>
      </c>
      <c r="D67" s="4110"/>
      <c r="E67" s="4114"/>
      <c r="F67" s="3497">
        <f t="shared" si="25"/>
        <v>0</v>
      </c>
      <c r="G67" s="4110"/>
      <c r="H67" s="4114"/>
      <c r="I67" s="3497"/>
      <c r="J67" s="4110">
        <v>1</v>
      </c>
      <c r="K67" s="4114"/>
      <c r="L67" s="3497">
        <f>SUM(J67:K67)</f>
        <v>1</v>
      </c>
      <c r="M67" s="4110"/>
      <c r="N67" s="4114"/>
      <c r="O67" s="3497">
        <f t="shared" si="1"/>
        <v>0</v>
      </c>
    </row>
    <row r="68" spans="1:15" x14ac:dyDescent="0.25">
      <c r="A68" s="6866"/>
      <c r="B68" s="6779" t="s">
        <v>1255</v>
      </c>
      <c r="C68" s="4113" t="s">
        <v>160</v>
      </c>
      <c r="D68" s="3505">
        <f>SUM(D62:D67)</f>
        <v>1</v>
      </c>
      <c r="E68" s="3506">
        <f>SUM(E62:E67)</f>
        <v>2</v>
      </c>
      <c r="F68" s="3502">
        <f>SUM(F62:F67)</f>
        <v>3</v>
      </c>
      <c r="G68" s="3505">
        <f>SUM(G63:G65)</f>
        <v>4</v>
      </c>
      <c r="H68" s="3506">
        <f>SUM(H63:H65)</f>
        <v>2</v>
      </c>
      <c r="I68" s="3502">
        <f>SUM(I63:I65)</f>
        <v>6</v>
      </c>
      <c r="J68" s="3505">
        <f>SUM(J63:J67)</f>
        <v>17</v>
      </c>
      <c r="K68" s="3506">
        <f>SUM(K63:K65)</f>
        <v>5</v>
      </c>
      <c r="L68" s="3502">
        <f>SUM(L63:L67)</f>
        <v>22</v>
      </c>
      <c r="M68" s="3505">
        <f>SUM(M62:M67)</f>
        <v>2</v>
      </c>
      <c r="N68" s="3506">
        <f>SUM(N63:N67)</f>
        <v>0</v>
      </c>
      <c r="O68" s="3502">
        <f t="shared" si="1"/>
        <v>2</v>
      </c>
    </row>
    <row r="69" spans="1:15" x14ac:dyDescent="0.25">
      <c r="A69" s="6867"/>
      <c r="B69" s="6868" t="s">
        <v>444</v>
      </c>
      <c r="C69" s="6869"/>
      <c r="D69" s="4126">
        <f>D68+D61+D49</f>
        <v>2</v>
      </c>
      <c r="E69" s="4127">
        <f>E68+E61+E49</f>
        <v>2</v>
      </c>
      <c r="F69" s="4128">
        <f>F68+F61+F49</f>
        <v>4</v>
      </c>
      <c r="G69" s="4126">
        <f t="shared" ref="G69:L69" si="26">SUM(G49,G61,G68)</f>
        <v>6</v>
      </c>
      <c r="H69" s="4357">
        <f t="shared" si="26"/>
        <v>8</v>
      </c>
      <c r="I69" s="4128">
        <f t="shared" si="26"/>
        <v>14</v>
      </c>
      <c r="J69" s="4126">
        <f t="shared" si="26"/>
        <v>18</v>
      </c>
      <c r="K69" s="4960">
        <f t="shared" si="26"/>
        <v>10</v>
      </c>
      <c r="L69" s="4128">
        <f t="shared" si="26"/>
        <v>28</v>
      </c>
      <c r="M69" s="4126">
        <f t="shared" ref="M69" si="27">SUM(M49,M61,M68)</f>
        <v>3</v>
      </c>
      <c r="N69" s="5396">
        <f>SUM(N49,N61,N68)</f>
        <v>2</v>
      </c>
      <c r="O69" s="4128">
        <f t="shared" si="1"/>
        <v>5</v>
      </c>
    </row>
    <row r="70" spans="1:15" x14ac:dyDescent="0.25">
      <c r="A70" s="6852" t="s">
        <v>408</v>
      </c>
      <c r="B70" s="6783" t="s">
        <v>11</v>
      </c>
      <c r="C70" s="4118" t="s">
        <v>505</v>
      </c>
      <c r="D70" s="4119">
        <v>5</v>
      </c>
      <c r="E70" s="4120"/>
      <c r="F70" s="3512">
        <f>SUM(D70:E70)</f>
        <v>5</v>
      </c>
      <c r="G70" s="4119">
        <v>3</v>
      </c>
      <c r="H70" s="4120"/>
      <c r="I70" s="3512">
        <f>SUM(G70:H70)</f>
        <v>3</v>
      </c>
      <c r="J70" s="4119">
        <v>9</v>
      </c>
      <c r="K70" s="4120">
        <v>1</v>
      </c>
      <c r="L70" s="3512">
        <f>SUM(J70:K70)</f>
        <v>10</v>
      </c>
      <c r="M70" s="4119"/>
      <c r="N70" s="4120">
        <v>3</v>
      </c>
      <c r="O70" s="3512">
        <f t="shared" ref="O70:O100" si="28">SUM(M70:N70)</f>
        <v>3</v>
      </c>
    </row>
    <row r="71" spans="1:15" x14ac:dyDescent="0.25">
      <c r="A71" s="6853"/>
      <c r="B71" s="6783" t="s">
        <v>1255</v>
      </c>
      <c r="C71" s="4113" t="s">
        <v>160</v>
      </c>
      <c r="D71" s="3503">
        <f>D70</f>
        <v>5</v>
      </c>
      <c r="E71" s="3504">
        <f>E70</f>
        <v>0</v>
      </c>
      <c r="F71" s="3501">
        <f>F70</f>
        <v>5</v>
      </c>
      <c r="G71" s="3503">
        <f t="shared" ref="G71:L71" si="29">SUM(G70)</f>
        <v>3</v>
      </c>
      <c r="H71" s="3504">
        <f t="shared" si="29"/>
        <v>0</v>
      </c>
      <c r="I71" s="3501">
        <f t="shared" si="29"/>
        <v>3</v>
      </c>
      <c r="J71" s="3503">
        <f t="shared" si="29"/>
        <v>9</v>
      </c>
      <c r="K71" s="3504">
        <f t="shared" si="29"/>
        <v>1</v>
      </c>
      <c r="L71" s="3501">
        <f t="shared" si="29"/>
        <v>10</v>
      </c>
      <c r="M71" s="3503">
        <f t="shared" ref="M71" si="30">SUM(M70)</f>
        <v>0</v>
      </c>
      <c r="N71" s="3504">
        <f>SUM(N70)</f>
        <v>3</v>
      </c>
      <c r="O71" s="3501">
        <f t="shared" si="28"/>
        <v>3</v>
      </c>
    </row>
    <row r="72" spans="1:15" ht="15" customHeight="1" x14ac:dyDescent="0.25">
      <c r="A72" s="6853"/>
      <c r="B72" s="6783" t="s">
        <v>5</v>
      </c>
      <c r="C72" s="4109" t="s">
        <v>1262</v>
      </c>
      <c r="D72" s="4110">
        <v>0</v>
      </c>
      <c r="E72" s="4114">
        <v>0</v>
      </c>
      <c r="F72" s="3497">
        <f>SUM(D72:E72)</f>
        <v>0</v>
      </c>
      <c r="G72" s="4110">
        <v>1</v>
      </c>
      <c r="H72" s="4114">
        <v>3</v>
      </c>
      <c r="I72" s="3497">
        <f>SUM(G72:H72)</f>
        <v>4</v>
      </c>
      <c r="J72" s="4110">
        <v>2</v>
      </c>
      <c r="K72" s="4114">
        <v>4</v>
      </c>
      <c r="L72" s="3497">
        <f>SUM(J72:K72)</f>
        <v>6</v>
      </c>
      <c r="M72" s="4110"/>
      <c r="N72" s="4114">
        <v>2</v>
      </c>
      <c r="O72" s="3497">
        <f t="shared" si="28"/>
        <v>2</v>
      </c>
    </row>
    <row r="73" spans="1:15" ht="15" customHeight="1" x14ac:dyDescent="0.25">
      <c r="A73" s="6853"/>
      <c r="B73" s="6783" t="s">
        <v>1255</v>
      </c>
      <c r="C73" s="4113" t="s">
        <v>160</v>
      </c>
      <c r="D73" s="3503">
        <f>D72</f>
        <v>0</v>
      </c>
      <c r="E73" s="3504">
        <f>E72</f>
        <v>0</v>
      </c>
      <c r="F73" s="3501">
        <f>F72</f>
        <v>0</v>
      </c>
      <c r="G73" s="3503">
        <f t="shared" ref="G73:L73" si="31">SUM(G72)</f>
        <v>1</v>
      </c>
      <c r="H73" s="3504">
        <f t="shared" si="31"/>
        <v>3</v>
      </c>
      <c r="I73" s="3501">
        <f t="shared" si="31"/>
        <v>4</v>
      </c>
      <c r="J73" s="3503">
        <f t="shared" si="31"/>
        <v>2</v>
      </c>
      <c r="K73" s="3504">
        <f t="shared" si="31"/>
        <v>4</v>
      </c>
      <c r="L73" s="3501">
        <f t="shared" si="31"/>
        <v>6</v>
      </c>
      <c r="M73" s="3503">
        <f t="shared" ref="M73" si="32">SUM(M72)</f>
        <v>0</v>
      </c>
      <c r="N73" s="3504">
        <f>SUM(N72)</f>
        <v>2</v>
      </c>
      <c r="O73" s="3501">
        <f t="shared" si="28"/>
        <v>2</v>
      </c>
    </row>
    <row r="74" spans="1:15" x14ac:dyDescent="0.25">
      <c r="A74" s="6853"/>
      <c r="B74" s="6783" t="s">
        <v>6</v>
      </c>
      <c r="C74" s="4109" t="s">
        <v>504</v>
      </c>
      <c r="D74" s="4110"/>
      <c r="E74" s="4114">
        <v>2</v>
      </c>
      <c r="F74" s="3497">
        <f>SUM(D74:E74)</f>
        <v>2</v>
      </c>
      <c r="G74" s="4110">
        <v>1</v>
      </c>
      <c r="H74" s="4114"/>
      <c r="I74" s="3497">
        <f>SUM(G74:H74)</f>
        <v>1</v>
      </c>
      <c r="J74" s="4110">
        <v>4</v>
      </c>
      <c r="K74" s="4114">
        <v>3</v>
      </c>
      <c r="L74" s="3497">
        <f>SUM(J74:K74)</f>
        <v>7</v>
      </c>
      <c r="M74" s="4110">
        <v>2</v>
      </c>
      <c r="N74" s="4114">
        <v>1</v>
      </c>
      <c r="O74" s="3497">
        <f t="shared" si="28"/>
        <v>3</v>
      </c>
    </row>
    <row r="75" spans="1:15" x14ac:dyDescent="0.25">
      <c r="A75" s="6853"/>
      <c r="B75" s="6783"/>
      <c r="C75" s="4109" t="s">
        <v>612</v>
      </c>
      <c r="D75" s="4110"/>
      <c r="E75" s="4114"/>
      <c r="F75" s="3497">
        <f>SUM(D75:E75)</f>
        <v>0</v>
      </c>
      <c r="G75" s="4110"/>
      <c r="H75" s="4114"/>
      <c r="I75" s="3497">
        <f>SUM(G75:H75)</f>
        <v>0</v>
      </c>
      <c r="J75" s="4110">
        <v>1</v>
      </c>
      <c r="K75" s="4114"/>
      <c r="L75" s="3497">
        <f>SUM(J75:K75)</f>
        <v>1</v>
      </c>
      <c r="M75" s="4110"/>
      <c r="N75" s="4114"/>
      <c r="O75" s="3497">
        <f t="shared" si="28"/>
        <v>0</v>
      </c>
    </row>
    <row r="76" spans="1:15" x14ac:dyDescent="0.25">
      <c r="A76" s="6853"/>
      <c r="B76" s="6783" t="s">
        <v>1255</v>
      </c>
      <c r="C76" s="4113" t="s">
        <v>160</v>
      </c>
      <c r="D76" s="3505">
        <f t="shared" ref="D76:L76" si="33">SUM(D74:D75)</f>
        <v>0</v>
      </c>
      <c r="E76" s="3506">
        <f t="shared" si="33"/>
        <v>2</v>
      </c>
      <c r="F76" s="3502">
        <f t="shared" si="33"/>
        <v>2</v>
      </c>
      <c r="G76" s="3505">
        <f t="shared" si="33"/>
        <v>1</v>
      </c>
      <c r="H76" s="3506">
        <f t="shared" si="33"/>
        <v>0</v>
      </c>
      <c r="I76" s="3502">
        <f t="shared" si="33"/>
        <v>1</v>
      </c>
      <c r="J76" s="3505">
        <f t="shared" si="33"/>
        <v>5</v>
      </c>
      <c r="K76" s="3506">
        <f t="shared" si="33"/>
        <v>3</v>
      </c>
      <c r="L76" s="3502">
        <f t="shared" si="33"/>
        <v>8</v>
      </c>
      <c r="M76" s="3505">
        <f t="shared" ref="M76" si="34">SUM(M74:M75)</f>
        <v>2</v>
      </c>
      <c r="N76" s="3506">
        <f>SUM(N74:N75)</f>
        <v>1</v>
      </c>
      <c r="O76" s="3502">
        <f t="shared" si="28"/>
        <v>3</v>
      </c>
    </row>
    <row r="77" spans="1:15" x14ac:dyDescent="0.25">
      <c r="A77" s="6854"/>
      <c r="B77" s="6855" t="s">
        <v>444</v>
      </c>
      <c r="C77" s="6856"/>
      <c r="D77" s="4129">
        <f>D76+D73+D71</f>
        <v>5</v>
      </c>
      <c r="E77" s="4130">
        <f>E76+E73+E71</f>
        <v>2</v>
      </c>
      <c r="F77" s="4131">
        <f>F76+F73+F71</f>
        <v>7</v>
      </c>
      <c r="G77" s="4129">
        <f t="shared" ref="G77:L77" si="35">SUM(G71,G73,G76)</f>
        <v>5</v>
      </c>
      <c r="H77" s="4359">
        <f t="shared" si="35"/>
        <v>3</v>
      </c>
      <c r="I77" s="4131">
        <f t="shared" si="35"/>
        <v>8</v>
      </c>
      <c r="J77" s="4129">
        <f t="shared" si="35"/>
        <v>16</v>
      </c>
      <c r="K77" s="4958">
        <f t="shared" si="35"/>
        <v>8</v>
      </c>
      <c r="L77" s="4131">
        <f t="shared" si="35"/>
        <v>24</v>
      </c>
      <c r="M77" s="4129">
        <f t="shared" ref="M77" si="36">SUM(M71,M73,M76)</f>
        <v>2</v>
      </c>
      <c r="N77" s="5393">
        <f>SUM(N71,N73,N76)</f>
        <v>6</v>
      </c>
      <c r="O77" s="4131">
        <f t="shared" si="28"/>
        <v>8</v>
      </c>
    </row>
    <row r="78" spans="1:15" ht="14.25" customHeight="1" x14ac:dyDescent="0.25">
      <c r="A78" s="6857" t="s">
        <v>163</v>
      </c>
      <c r="B78" s="6783" t="s">
        <v>6</v>
      </c>
      <c r="C78" s="4106" t="s">
        <v>456</v>
      </c>
      <c r="D78" s="4107">
        <v>1</v>
      </c>
      <c r="E78" s="4132"/>
      <c r="F78" s="3492">
        <f t="shared" ref="F78:F83" si="37">SUM(D78:E78)</f>
        <v>1</v>
      </c>
      <c r="G78" s="4107"/>
      <c r="H78" s="4132"/>
      <c r="I78" s="3492">
        <f>SUM(G78:H78)</f>
        <v>0</v>
      </c>
      <c r="J78" s="4107">
        <v>1</v>
      </c>
      <c r="K78" s="4132"/>
      <c r="L78" s="3492">
        <f>SUM(J78:K78)</f>
        <v>1</v>
      </c>
      <c r="M78" s="4107"/>
      <c r="N78" s="4132"/>
      <c r="O78" s="3492">
        <f t="shared" si="28"/>
        <v>0</v>
      </c>
    </row>
    <row r="79" spans="1:15" ht="15" customHeight="1" x14ac:dyDescent="0.25">
      <c r="A79" s="6857"/>
      <c r="B79" s="6783"/>
      <c r="C79" s="4109" t="s">
        <v>484</v>
      </c>
      <c r="D79" s="4110"/>
      <c r="E79" s="4114"/>
      <c r="F79" s="3497">
        <f t="shared" si="37"/>
        <v>0</v>
      </c>
      <c r="G79" s="4110"/>
      <c r="H79" s="4114"/>
      <c r="I79" s="3497"/>
      <c r="J79" s="4110"/>
      <c r="K79" s="4114"/>
      <c r="L79" s="3497"/>
      <c r="M79" s="4110"/>
      <c r="N79" s="4114">
        <v>2</v>
      </c>
      <c r="O79" s="3497">
        <f t="shared" si="28"/>
        <v>2</v>
      </c>
    </row>
    <row r="80" spans="1:15" ht="15" customHeight="1" x14ac:dyDescent="0.25">
      <c r="A80" s="6857"/>
      <c r="B80" s="6783"/>
      <c r="C80" s="4109" t="s">
        <v>458</v>
      </c>
      <c r="D80" s="4110"/>
      <c r="E80" s="4114"/>
      <c r="F80" s="3497">
        <f t="shared" si="37"/>
        <v>0</v>
      </c>
      <c r="G80" s="4110">
        <v>2</v>
      </c>
      <c r="H80" s="4114">
        <v>2</v>
      </c>
      <c r="I80" s="3497">
        <f>SUM(G80:H80)</f>
        <v>4</v>
      </c>
      <c r="J80" s="4110"/>
      <c r="K80" s="4114"/>
      <c r="L80" s="3497">
        <f>SUM(J80:K80)</f>
        <v>0</v>
      </c>
      <c r="M80" s="4110"/>
      <c r="N80" s="4114"/>
      <c r="O80" s="3497">
        <f t="shared" si="28"/>
        <v>0</v>
      </c>
    </row>
    <row r="81" spans="1:15" ht="15" customHeight="1" x14ac:dyDescent="0.25">
      <c r="A81" s="6857"/>
      <c r="B81" s="6783"/>
      <c r="C81" s="4109" t="s">
        <v>486</v>
      </c>
      <c r="D81" s="4110"/>
      <c r="E81" s="4114"/>
      <c r="F81" s="3497">
        <f t="shared" si="37"/>
        <v>0</v>
      </c>
      <c r="G81" s="4110"/>
      <c r="H81" s="4114"/>
      <c r="I81" s="3497"/>
      <c r="J81" s="4110"/>
      <c r="K81" s="4114"/>
      <c r="L81" s="3497">
        <f>SUM(J81:K81)</f>
        <v>0</v>
      </c>
      <c r="M81" s="4110"/>
      <c r="N81" s="4114"/>
      <c r="O81" s="3497">
        <f t="shared" si="28"/>
        <v>0</v>
      </c>
    </row>
    <row r="82" spans="1:15" ht="15" customHeight="1" x14ac:dyDescent="0.25">
      <c r="A82" s="6857"/>
      <c r="B82" s="6783"/>
      <c r="C82" s="4109" t="s">
        <v>485</v>
      </c>
      <c r="D82" s="4110"/>
      <c r="E82" s="4114"/>
      <c r="F82" s="3497">
        <f t="shared" si="37"/>
        <v>0</v>
      </c>
      <c r="G82" s="4110"/>
      <c r="H82" s="4114"/>
      <c r="I82" s="3497"/>
      <c r="J82" s="4110">
        <v>2</v>
      </c>
      <c r="K82" s="4114"/>
      <c r="L82" s="3497">
        <f>SUM(J82:K82)</f>
        <v>2</v>
      </c>
      <c r="M82" s="4110"/>
      <c r="N82" s="4114"/>
      <c r="O82" s="3497">
        <f t="shared" si="28"/>
        <v>0</v>
      </c>
    </row>
    <row r="83" spans="1:15" ht="15" customHeight="1" x14ac:dyDescent="0.25">
      <c r="A83" s="6857"/>
      <c r="B83" s="6783"/>
      <c r="C83" s="4109" t="s">
        <v>459</v>
      </c>
      <c r="D83" s="4110"/>
      <c r="E83" s="4114"/>
      <c r="F83" s="3497">
        <f t="shared" si="37"/>
        <v>0</v>
      </c>
      <c r="G83" s="4110">
        <v>1</v>
      </c>
      <c r="H83" s="4114"/>
      <c r="I83" s="3497">
        <f>SUM(G83:H83)</f>
        <v>1</v>
      </c>
      <c r="J83" s="4110"/>
      <c r="K83" s="4114"/>
      <c r="L83" s="3497">
        <f>SUM(J83:K83)</f>
        <v>0</v>
      </c>
      <c r="M83" s="4110"/>
      <c r="N83" s="4114"/>
      <c r="O83" s="3497">
        <f t="shared" si="28"/>
        <v>0</v>
      </c>
    </row>
    <row r="84" spans="1:15" x14ac:dyDescent="0.25">
      <c r="A84" s="6857"/>
      <c r="B84" s="6783" t="s">
        <v>1255</v>
      </c>
      <c r="C84" s="4113" t="s">
        <v>160</v>
      </c>
      <c r="D84" s="3503">
        <f t="shared" ref="D84:L84" si="38">SUM(D78:D83)</f>
        <v>1</v>
      </c>
      <c r="E84" s="3504">
        <f t="shared" si="38"/>
        <v>0</v>
      </c>
      <c r="F84" s="3501">
        <f t="shared" si="38"/>
        <v>1</v>
      </c>
      <c r="G84" s="3503">
        <f t="shared" si="38"/>
        <v>3</v>
      </c>
      <c r="H84" s="3504">
        <f t="shared" si="38"/>
        <v>2</v>
      </c>
      <c r="I84" s="3501">
        <f t="shared" si="38"/>
        <v>5</v>
      </c>
      <c r="J84" s="3503">
        <f t="shared" si="38"/>
        <v>3</v>
      </c>
      <c r="K84" s="3504">
        <f t="shared" si="38"/>
        <v>0</v>
      </c>
      <c r="L84" s="3501">
        <f t="shared" si="38"/>
        <v>3</v>
      </c>
      <c r="M84" s="3503">
        <f t="shared" ref="M84" si="39">SUM(M78:M83)</f>
        <v>0</v>
      </c>
      <c r="N84" s="3504">
        <f>SUM(N78:N83)</f>
        <v>2</v>
      </c>
      <c r="O84" s="3501">
        <f t="shared" si="28"/>
        <v>2</v>
      </c>
    </row>
    <row r="85" spans="1:15" ht="15" customHeight="1" x14ac:dyDescent="0.25">
      <c r="A85" s="6857"/>
      <c r="B85" s="6783" t="s">
        <v>11</v>
      </c>
      <c r="C85" s="4109" t="s">
        <v>491</v>
      </c>
      <c r="D85" s="4110"/>
      <c r="E85" s="4114"/>
      <c r="F85" s="3497">
        <f t="shared" ref="F85:F92" si="40">SUM(D85:E85)</f>
        <v>0</v>
      </c>
      <c r="G85" s="4110"/>
      <c r="H85" s="4114">
        <v>4</v>
      </c>
      <c r="I85" s="3497">
        <f>SUM(G85:H85)</f>
        <v>4</v>
      </c>
      <c r="J85" s="4110">
        <v>1</v>
      </c>
      <c r="K85" s="4114">
        <v>6</v>
      </c>
      <c r="L85" s="3497">
        <f>SUM(J85:K85)</f>
        <v>7</v>
      </c>
      <c r="M85" s="4110">
        <v>2</v>
      </c>
      <c r="N85" s="4114">
        <v>1</v>
      </c>
      <c r="O85" s="3497">
        <f t="shared" si="28"/>
        <v>3</v>
      </c>
    </row>
    <row r="86" spans="1:15" x14ac:dyDescent="0.25">
      <c r="A86" s="6857"/>
      <c r="B86" s="6783"/>
      <c r="C86" s="4109" t="s">
        <v>478</v>
      </c>
      <c r="D86" s="4110">
        <v>1</v>
      </c>
      <c r="E86" s="4114">
        <v>2</v>
      </c>
      <c r="F86" s="3497">
        <f t="shared" si="40"/>
        <v>3</v>
      </c>
      <c r="G86" s="4110">
        <v>1</v>
      </c>
      <c r="H86" s="4114"/>
      <c r="I86" s="3497">
        <f t="shared" ref="I86:I92" si="41">SUM(G86:H86)</f>
        <v>1</v>
      </c>
      <c r="J86" s="4110"/>
      <c r="K86" s="4114"/>
      <c r="L86" s="3497">
        <f t="shared" ref="L86:L92" si="42">SUM(J86:K86)</f>
        <v>0</v>
      </c>
      <c r="M86" s="4110">
        <v>3</v>
      </c>
      <c r="N86" s="4114">
        <v>3</v>
      </c>
      <c r="O86" s="3497">
        <f t="shared" si="28"/>
        <v>6</v>
      </c>
    </row>
    <row r="87" spans="1:15" ht="15" customHeight="1" x14ac:dyDescent="0.25">
      <c r="A87" s="6857"/>
      <c r="B87" s="6783"/>
      <c r="C87" s="4109" t="s">
        <v>487</v>
      </c>
      <c r="D87" s="4110"/>
      <c r="E87" s="4121"/>
      <c r="F87" s="3497">
        <f t="shared" si="40"/>
        <v>0</v>
      </c>
      <c r="G87" s="4110"/>
      <c r="H87" s="4121"/>
      <c r="I87" s="3497">
        <f t="shared" si="41"/>
        <v>0</v>
      </c>
      <c r="J87" s="4110"/>
      <c r="K87" s="4121"/>
      <c r="L87" s="3497">
        <f t="shared" si="42"/>
        <v>0</v>
      </c>
      <c r="M87" s="4110"/>
      <c r="N87" s="4121"/>
      <c r="O87" s="3497">
        <f t="shared" si="28"/>
        <v>0</v>
      </c>
    </row>
    <row r="88" spans="1:15" x14ac:dyDescent="0.25">
      <c r="A88" s="6857"/>
      <c r="B88" s="6783"/>
      <c r="C88" s="4109" t="s">
        <v>488</v>
      </c>
      <c r="D88" s="4110"/>
      <c r="E88" s="4121">
        <v>1</v>
      </c>
      <c r="F88" s="3497">
        <f t="shared" si="40"/>
        <v>1</v>
      </c>
      <c r="G88" s="4110"/>
      <c r="H88" s="4121"/>
      <c r="I88" s="3497">
        <f t="shared" si="41"/>
        <v>0</v>
      </c>
      <c r="J88" s="4110"/>
      <c r="K88" s="4121"/>
      <c r="L88" s="3497">
        <f t="shared" si="42"/>
        <v>0</v>
      </c>
      <c r="M88" s="4110"/>
      <c r="N88" s="4121"/>
      <c r="O88" s="3497">
        <f t="shared" si="28"/>
        <v>0</v>
      </c>
    </row>
    <row r="89" spans="1:15" ht="15" customHeight="1" x14ac:dyDescent="0.25">
      <c r="A89" s="6857"/>
      <c r="B89" s="6783"/>
      <c r="C89" s="4109" t="s">
        <v>492</v>
      </c>
      <c r="D89" s="4110"/>
      <c r="E89" s="4114"/>
      <c r="F89" s="3497">
        <f t="shared" si="40"/>
        <v>0</v>
      </c>
      <c r="G89" s="4110"/>
      <c r="H89" s="4114"/>
      <c r="I89" s="3497">
        <f t="shared" si="41"/>
        <v>0</v>
      </c>
      <c r="J89" s="4110"/>
      <c r="K89" s="4114"/>
      <c r="L89" s="3497">
        <f t="shared" si="42"/>
        <v>0</v>
      </c>
      <c r="M89" s="4110"/>
      <c r="N89" s="4114"/>
      <c r="O89" s="3497">
        <f t="shared" si="28"/>
        <v>0</v>
      </c>
    </row>
    <row r="90" spans="1:15" ht="15" customHeight="1" x14ac:dyDescent="0.25">
      <c r="A90" s="6857"/>
      <c r="B90" s="6783"/>
      <c r="C90" s="4109" t="s">
        <v>490</v>
      </c>
      <c r="D90" s="4110"/>
      <c r="E90" s="4121"/>
      <c r="F90" s="3497">
        <f t="shared" si="40"/>
        <v>0</v>
      </c>
      <c r="G90" s="4110">
        <v>1</v>
      </c>
      <c r="H90" s="4121">
        <v>1</v>
      </c>
      <c r="I90" s="3497">
        <f t="shared" si="41"/>
        <v>2</v>
      </c>
      <c r="J90" s="4110">
        <v>3</v>
      </c>
      <c r="K90" s="4121">
        <v>2</v>
      </c>
      <c r="L90" s="3497">
        <f t="shared" si="42"/>
        <v>5</v>
      </c>
      <c r="M90" s="4110"/>
      <c r="N90" s="4121"/>
      <c r="O90" s="3497">
        <f t="shared" si="28"/>
        <v>0</v>
      </c>
    </row>
    <row r="91" spans="1:15" ht="15" customHeight="1" x14ac:dyDescent="0.25">
      <c r="A91" s="6857"/>
      <c r="B91" s="6783"/>
      <c r="C91" s="4109" t="s">
        <v>493</v>
      </c>
      <c r="D91" s="4110"/>
      <c r="E91" s="4114"/>
      <c r="F91" s="3497">
        <f t="shared" si="40"/>
        <v>0</v>
      </c>
      <c r="G91" s="4110">
        <v>1</v>
      </c>
      <c r="H91" s="4114">
        <v>1</v>
      </c>
      <c r="I91" s="3497">
        <f t="shared" si="41"/>
        <v>2</v>
      </c>
      <c r="J91" s="4110"/>
      <c r="K91" s="4114"/>
      <c r="L91" s="3497">
        <f t="shared" si="42"/>
        <v>0</v>
      </c>
      <c r="M91" s="4110"/>
      <c r="N91" s="4114"/>
      <c r="O91" s="3497">
        <f t="shared" si="28"/>
        <v>0</v>
      </c>
    </row>
    <row r="92" spans="1:15" ht="15" customHeight="1" x14ac:dyDescent="0.25">
      <c r="A92" s="6857"/>
      <c r="B92" s="6783"/>
      <c r="C92" s="4109" t="s">
        <v>489</v>
      </c>
      <c r="D92" s="4110"/>
      <c r="E92" s="4114"/>
      <c r="F92" s="3497">
        <f t="shared" si="40"/>
        <v>0</v>
      </c>
      <c r="G92" s="4110">
        <v>2</v>
      </c>
      <c r="H92" s="4114"/>
      <c r="I92" s="3497">
        <f t="shared" si="41"/>
        <v>2</v>
      </c>
      <c r="J92" s="4110">
        <v>2</v>
      </c>
      <c r="K92" s="4114">
        <v>1</v>
      </c>
      <c r="L92" s="3497">
        <f t="shared" si="42"/>
        <v>3</v>
      </c>
      <c r="M92" s="4110"/>
      <c r="N92" s="4114"/>
      <c r="O92" s="3497">
        <f t="shared" si="28"/>
        <v>0</v>
      </c>
    </row>
    <row r="93" spans="1:15" x14ac:dyDescent="0.25">
      <c r="A93" s="6857"/>
      <c r="B93" s="6783" t="s">
        <v>1255</v>
      </c>
      <c r="C93" s="4113" t="s">
        <v>160</v>
      </c>
      <c r="D93" s="3503">
        <f t="shared" ref="D93:L93" si="43">SUM(D85:D92)</f>
        <v>1</v>
      </c>
      <c r="E93" s="3504">
        <f t="shared" si="43"/>
        <v>3</v>
      </c>
      <c r="F93" s="3501">
        <f t="shared" si="43"/>
        <v>4</v>
      </c>
      <c r="G93" s="3503">
        <f t="shared" si="43"/>
        <v>5</v>
      </c>
      <c r="H93" s="3504">
        <f t="shared" si="43"/>
        <v>6</v>
      </c>
      <c r="I93" s="3501">
        <f t="shared" si="43"/>
        <v>11</v>
      </c>
      <c r="J93" s="3503">
        <f t="shared" si="43"/>
        <v>6</v>
      </c>
      <c r="K93" s="3504">
        <f t="shared" si="43"/>
        <v>9</v>
      </c>
      <c r="L93" s="3501">
        <f t="shared" si="43"/>
        <v>15</v>
      </c>
      <c r="M93" s="3503">
        <f t="shared" ref="M93" si="44">SUM(M85:M92)</f>
        <v>5</v>
      </c>
      <c r="N93" s="3504">
        <f>SUM(N85:N92)</f>
        <v>4</v>
      </c>
      <c r="O93" s="3501">
        <f t="shared" si="28"/>
        <v>9</v>
      </c>
    </row>
    <row r="94" spans="1:15" ht="15" customHeight="1" x14ac:dyDescent="0.25">
      <c r="A94" s="6857"/>
      <c r="B94" s="6783" t="s">
        <v>1256</v>
      </c>
      <c r="C94" s="4109" t="s">
        <v>460</v>
      </c>
      <c r="D94" s="4110"/>
      <c r="E94" s="4114"/>
      <c r="F94" s="3497">
        <f>SUM(D94:E94)</f>
        <v>0</v>
      </c>
      <c r="G94" s="4110"/>
      <c r="H94" s="4114">
        <v>1</v>
      </c>
      <c r="I94" s="3497">
        <f>SUM(G94:H94)</f>
        <v>1</v>
      </c>
      <c r="J94" s="4110"/>
      <c r="K94" s="4114">
        <v>1</v>
      </c>
      <c r="L94" s="3497">
        <f>SUM(J94:K94)</f>
        <v>1</v>
      </c>
      <c r="M94" s="4110">
        <v>1</v>
      </c>
      <c r="N94" s="4114">
        <v>3</v>
      </c>
      <c r="O94" s="3497">
        <f t="shared" si="28"/>
        <v>4</v>
      </c>
    </row>
    <row r="95" spans="1:15" ht="15" customHeight="1" x14ac:dyDescent="0.25">
      <c r="A95" s="6857"/>
      <c r="B95" s="6783"/>
      <c r="C95" s="4109" t="s">
        <v>461</v>
      </c>
      <c r="D95" s="4110"/>
      <c r="E95" s="4114"/>
      <c r="F95" s="3497">
        <f>SUM(D95:E95)</f>
        <v>0</v>
      </c>
      <c r="G95" s="4110">
        <v>1</v>
      </c>
      <c r="H95" s="4114"/>
      <c r="I95" s="3497">
        <f>SUM(G95:H95)</f>
        <v>1</v>
      </c>
      <c r="J95" s="4110">
        <v>2</v>
      </c>
      <c r="K95" s="4114">
        <v>1</v>
      </c>
      <c r="L95" s="3497">
        <f>SUM(J95:K95)</f>
        <v>3</v>
      </c>
      <c r="M95" s="4110"/>
      <c r="N95" s="4114"/>
      <c r="O95" s="3497">
        <f t="shared" si="28"/>
        <v>0</v>
      </c>
    </row>
    <row r="96" spans="1:15" ht="15" customHeight="1" x14ac:dyDescent="0.25">
      <c r="A96" s="6857"/>
      <c r="B96" s="6783"/>
      <c r="C96" s="4109" t="s">
        <v>462</v>
      </c>
      <c r="D96" s="4110"/>
      <c r="E96" s="4114"/>
      <c r="F96" s="3497">
        <f>SUM(D96:E96)</f>
        <v>0</v>
      </c>
      <c r="G96" s="4110">
        <v>4</v>
      </c>
      <c r="H96" s="4114">
        <v>1</v>
      </c>
      <c r="I96" s="3497">
        <f>SUM(G96:H96)</f>
        <v>5</v>
      </c>
      <c r="J96" s="4110">
        <v>1</v>
      </c>
      <c r="K96" s="4114"/>
      <c r="L96" s="3497">
        <f>SUM(J96:K96)</f>
        <v>1</v>
      </c>
      <c r="M96" s="4110"/>
      <c r="N96" s="4114">
        <v>2</v>
      </c>
      <c r="O96" s="3497">
        <f t="shared" si="28"/>
        <v>2</v>
      </c>
    </row>
    <row r="97" spans="1:15" ht="15" customHeight="1" x14ac:dyDescent="0.25">
      <c r="A97" s="6857"/>
      <c r="B97" s="6783"/>
      <c r="C97" s="4109" t="s">
        <v>494</v>
      </c>
      <c r="D97" s="4110"/>
      <c r="E97" s="4121"/>
      <c r="F97" s="3497">
        <f>SUM(D97:E97)</f>
        <v>0</v>
      </c>
      <c r="G97" s="4110">
        <v>4</v>
      </c>
      <c r="H97" s="4121">
        <v>2</v>
      </c>
      <c r="I97" s="3497">
        <f>SUM(G97:H97)</f>
        <v>6</v>
      </c>
      <c r="J97" s="4110"/>
      <c r="K97" s="4121"/>
      <c r="L97" s="3497">
        <f>SUM(J97:K97)</f>
        <v>0</v>
      </c>
      <c r="M97" s="4110"/>
      <c r="N97" s="4121"/>
      <c r="O97" s="3497">
        <f t="shared" si="28"/>
        <v>0</v>
      </c>
    </row>
    <row r="98" spans="1:15" ht="15" customHeight="1" x14ac:dyDescent="0.25">
      <c r="A98" s="6857"/>
      <c r="B98" s="6777" t="s">
        <v>1255</v>
      </c>
      <c r="C98" s="4113" t="s">
        <v>160</v>
      </c>
      <c r="D98" s="3526">
        <f t="shared" ref="D98:L98" si="45">SUM(D94:D97)</f>
        <v>0</v>
      </c>
      <c r="E98" s="3527">
        <f t="shared" si="45"/>
        <v>0</v>
      </c>
      <c r="F98" s="3528">
        <f t="shared" si="45"/>
        <v>0</v>
      </c>
      <c r="G98" s="3526">
        <f t="shared" si="45"/>
        <v>9</v>
      </c>
      <c r="H98" s="3527">
        <f t="shared" si="45"/>
        <v>4</v>
      </c>
      <c r="I98" s="3528">
        <f t="shared" si="45"/>
        <v>13</v>
      </c>
      <c r="J98" s="3526">
        <f t="shared" si="45"/>
        <v>3</v>
      </c>
      <c r="K98" s="3527">
        <f t="shared" si="45"/>
        <v>2</v>
      </c>
      <c r="L98" s="3528">
        <f t="shared" si="45"/>
        <v>5</v>
      </c>
      <c r="M98" s="3526">
        <f t="shared" ref="M98" si="46">SUM(M94:M97)</f>
        <v>1</v>
      </c>
      <c r="N98" s="3527">
        <f>SUM(N94:N97)</f>
        <v>5</v>
      </c>
      <c r="O98" s="3528">
        <f t="shared" si="28"/>
        <v>6</v>
      </c>
    </row>
    <row r="99" spans="1:15" x14ac:dyDescent="0.25">
      <c r="A99" s="6858"/>
      <c r="B99" s="6859" t="s">
        <v>444</v>
      </c>
      <c r="C99" s="6860"/>
      <c r="D99" s="4133">
        <f t="shared" ref="D99:I99" si="47">D98+D93+D84</f>
        <v>2</v>
      </c>
      <c r="E99" s="4134">
        <f t="shared" si="47"/>
        <v>3</v>
      </c>
      <c r="F99" s="4135">
        <f t="shared" si="47"/>
        <v>5</v>
      </c>
      <c r="G99" s="4133">
        <f t="shared" si="47"/>
        <v>17</v>
      </c>
      <c r="H99" s="4358">
        <f t="shared" si="47"/>
        <v>12</v>
      </c>
      <c r="I99" s="4135">
        <f t="shared" si="47"/>
        <v>29</v>
      </c>
      <c r="J99" s="4133">
        <f>J98+J93+J84</f>
        <v>12</v>
      </c>
      <c r="K99" s="4959">
        <f>K98+K93+K84</f>
        <v>11</v>
      </c>
      <c r="L99" s="4135">
        <f>L98+L93+L84</f>
        <v>23</v>
      </c>
      <c r="M99" s="4133">
        <f>M98+M93+M84</f>
        <v>6</v>
      </c>
      <c r="N99" s="5395">
        <f>N98+N93+N84</f>
        <v>11</v>
      </c>
      <c r="O99" s="4135">
        <f t="shared" si="28"/>
        <v>17</v>
      </c>
    </row>
    <row r="100" spans="1:15" x14ac:dyDescent="0.25">
      <c r="A100" s="6792" t="s">
        <v>76</v>
      </c>
      <c r="B100" s="6793"/>
      <c r="C100" s="6794"/>
      <c r="D100" s="4136">
        <f t="shared" ref="D100:L100" si="48">D99+D77+D69+D39+D25</f>
        <v>23</v>
      </c>
      <c r="E100" s="4137">
        <f t="shared" si="48"/>
        <v>16</v>
      </c>
      <c r="F100" s="4138">
        <f t="shared" si="48"/>
        <v>39</v>
      </c>
      <c r="G100" s="4361">
        <f t="shared" si="48"/>
        <v>60</v>
      </c>
      <c r="H100" s="4362">
        <f t="shared" si="48"/>
        <v>62</v>
      </c>
      <c r="I100" s="4360">
        <f t="shared" si="48"/>
        <v>122</v>
      </c>
      <c r="J100" s="4953">
        <f t="shared" si="48"/>
        <v>79</v>
      </c>
      <c r="K100" s="4954">
        <f t="shared" si="48"/>
        <v>76</v>
      </c>
      <c r="L100" s="4952">
        <f t="shared" si="48"/>
        <v>155</v>
      </c>
      <c r="M100" s="5385">
        <f t="shared" ref="M100" si="49">M99+M77+M69+M39+M25</f>
        <v>52</v>
      </c>
      <c r="N100" s="5386">
        <f>N99+N77+N69+N39+N25</f>
        <v>55</v>
      </c>
      <c r="O100" s="5384">
        <f t="shared" si="28"/>
        <v>107</v>
      </c>
    </row>
  </sheetData>
  <sheetProtection algorithmName="SHA-512" hashValue="UsUDSp7XX7CB0MBbPek99vereyVIGVl5JmM0JDy94QP0MMHRx44vGZ1gVhuwoWMAdZewVxlR8H8jsJMAWCJYhg==" saltValue="3mqj1SuHEFByA1VXGjqbnw==" spinCount="100000" sheet="1" objects="1" scenarios="1"/>
  <mergeCells count="33">
    <mergeCell ref="M3:O3"/>
    <mergeCell ref="J3:L3"/>
    <mergeCell ref="G3:I3"/>
    <mergeCell ref="A3:A4"/>
    <mergeCell ref="B3:B4"/>
    <mergeCell ref="C3:C4"/>
    <mergeCell ref="D3:F3"/>
    <mergeCell ref="A5:A25"/>
    <mergeCell ref="B5:B15"/>
    <mergeCell ref="B16:B20"/>
    <mergeCell ref="B21:B24"/>
    <mergeCell ref="B25:C25"/>
    <mergeCell ref="A40:A69"/>
    <mergeCell ref="B40:B49"/>
    <mergeCell ref="B50:B61"/>
    <mergeCell ref="B62:B68"/>
    <mergeCell ref="B69:C69"/>
    <mergeCell ref="A26:A39"/>
    <mergeCell ref="B26:B29"/>
    <mergeCell ref="B30:B34"/>
    <mergeCell ref="B35:B38"/>
    <mergeCell ref="B39:C39"/>
    <mergeCell ref="A100:C100"/>
    <mergeCell ref="A70:A77"/>
    <mergeCell ref="B70:B71"/>
    <mergeCell ref="B72:B73"/>
    <mergeCell ref="B74:B76"/>
    <mergeCell ref="B77:C77"/>
    <mergeCell ref="A78:A99"/>
    <mergeCell ref="B78:B84"/>
    <mergeCell ref="B85:B93"/>
    <mergeCell ref="B94:B98"/>
    <mergeCell ref="B99:C99"/>
  </mergeCells>
  <printOptions horizontalCentered="1" verticalCentered="1"/>
  <pageMargins left="0.35433070866141736" right="0.35433070866141736" top="0.39370078740157483" bottom="0.39370078740157483" header="0.51181102362204722" footer="0.51181102362204722"/>
  <pageSetup scale="50" orientation="landscape" horizontalDpi="4294967292" verticalDpi="4294967292" r:id="rId1"/>
  <ignoredErrors>
    <ignoredError sqref="F34:F61 F93 I15 I34 F15:F29 I71:I73 F72:F73 I84:I93 L15 L34 J68:K68 L71:L73 I29" formula="1"/>
    <ignoredError sqref="I16:I19" formula="1" formulaRange="1"/>
  </ignoredErrors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37"/>
  <sheetViews>
    <sheetView showGridLines="0" zoomScaleNormal="100" workbookViewId="0">
      <selection activeCell="P42" sqref="P42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.28515625" style="250" bestFit="1" customWidth="1"/>
    <col min="10" max="10" width="9.140625" style="250" bestFit="1" customWidth="1"/>
    <col min="11" max="11" width="7.7109375" style="250" customWidth="1"/>
    <col min="12" max="12" width="9.28515625" style="250" bestFit="1" customWidth="1"/>
    <col min="13" max="13" width="9.140625" style="250" bestFit="1" customWidth="1"/>
    <col min="14" max="14" width="7.7109375" style="250" customWidth="1"/>
    <col min="15" max="16384" width="11.42578125" style="250"/>
  </cols>
  <sheetData>
    <row r="1" spans="1:14" ht="18.75" x14ac:dyDescent="0.3">
      <c r="A1" s="3701" t="s">
        <v>1265</v>
      </c>
    </row>
    <row r="3" spans="1:14" x14ac:dyDescent="0.25">
      <c r="A3" s="6851" t="s">
        <v>16</v>
      </c>
      <c r="B3" s="6851" t="s">
        <v>4</v>
      </c>
      <c r="C3" s="6810">
        <v>2014</v>
      </c>
      <c r="D3" s="6811"/>
      <c r="E3" s="6812"/>
      <c r="F3" s="6810">
        <v>2015</v>
      </c>
      <c r="G3" s="6811"/>
      <c r="H3" s="6812"/>
      <c r="I3" s="6810">
        <v>2016</v>
      </c>
      <c r="J3" s="6811"/>
      <c r="K3" s="6812"/>
      <c r="L3" s="6810">
        <v>2017</v>
      </c>
      <c r="M3" s="6811"/>
      <c r="N3" s="6812"/>
    </row>
    <row r="4" spans="1:14" x14ac:dyDescent="0.25">
      <c r="A4" s="6832"/>
      <c r="B4" s="6832"/>
      <c r="C4" s="2764" t="s">
        <v>1267</v>
      </c>
      <c r="D4" s="2764" t="s">
        <v>659</v>
      </c>
      <c r="E4" s="3477" t="s">
        <v>160</v>
      </c>
      <c r="F4" s="2764" t="s">
        <v>1267</v>
      </c>
      <c r="G4" s="2764" t="s">
        <v>659</v>
      </c>
      <c r="H4" s="3477" t="s">
        <v>160</v>
      </c>
      <c r="I4" s="2764" t="s">
        <v>1267</v>
      </c>
      <c r="J4" s="2764" t="s">
        <v>659</v>
      </c>
      <c r="K4" s="3477" t="s">
        <v>160</v>
      </c>
      <c r="L4" s="2764" t="s">
        <v>1267</v>
      </c>
      <c r="M4" s="2764" t="s">
        <v>659</v>
      </c>
      <c r="N4" s="3477" t="s">
        <v>160</v>
      </c>
    </row>
    <row r="5" spans="1:14" x14ac:dyDescent="0.25">
      <c r="A5" s="3464"/>
      <c r="B5" s="3464"/>
      <c r="C5" s="3464"/>
      <c r="D5" s="3464"/>
      <c r="E5" s="3464"/>
      <c r="F5" s="3464"/>
      <c r="G5" s="3464"/>
      <c r="H5" s="3464"/>
      <c r="I5" s="3464"/>
      <c r="J5" s="3464"/>
      <c r="K5" s="3464"/>
      <c r="L5" s="3464"/>
      <c r="M5" s="3464"/>
      <c r="N5" s="3464"/>
    </row>
    <row r="6" spans="1:14" x14ac:dyDescent="0.25">
      <c r="A6" s="6828" t="s">
        <v>3</v>
      </c>
      <c r="B6" s="3465" t="s">
        <v>5</v>
      </c>
      <c r="C6" s="3466"/>
      <c r="D6" s="3467"/>
      <c r="E6" s="3467">
        <f>SUM(C6:D6)</f>
        <v>0</v>
      </c>
      <c r="F6" s="3466">
        <f>+'7 Mov Nal Lic plan'!G15</f>
        <v>2</v>
      </c>
      <c r="G6" s="3467">
        <f>+'7 Mov Nal Lic plan'!H15</f>
        <v>7</v>
      </c>
      <c r="H6" s="3467">
        <f>SUM(F6:G6)</f>
        <v>9</v>
      </c>
      <c r="I6" s="3466">
        <f>+'7 Mov Nal Lic plan'!J15</f>
        <v>0</v>
      </c>
      <c r="J6" s="3467">
        <f>+'7 Mov Nal Lic plan'!K15</f>
        <v>5</v>
      </c>
      <c r="K6" s="3467">
        <f>SUM(I6:J6)</f>
        <v>5</v>
      </c>
      <c r="L6" s="3466">
        <f>+'7 Mov Nal Lic plan'!M15</f>
        <v>1</v>
      </c>
      <c r="M6" s="3467">
        <f>+'7 Mov Nal Lic plan'!N15</f>
        <v>0</v>
      </c>
      <c r="N6" s="3467">
        <f>SUM(L6:M6)</f>
        <v>1</v>
      </c>
    </row>
    <row r="7" spans="1:14" x14ac:dyDescent="0.25">
      <c r="A7" s="6829"/>
      <c r="B7" s="3468" t="s">
        <v>6</v>
      </c>
      <c r="C7" s="3469"/>
      <c r="D7" s="3470"/>
      <c r="E7" s="3470">
        <f>SUM(C7:D7)</f>
        <v>0</v>
      </c>
      <c r="F7" s="3469">
        <f>+'7 Mov Nal Lic plan'!G20</f>
        <v>5</v>
      </c>
      <c r="G7" s="3470">
        <f>+'7 Mov Nal Lic plan'!H20</f>
        <v>7</v>
      </c>
      <c r="H7" s="3470">
        <f>SUM(F7:G7)</f>
        <v>12</v>
      </c>
      <c r="I7" s="3469">
        <f>+'7 Mov Nal Lic plan'!J20</f>
        <v>3</v>
      </c>
      <c r="J7" s="3470">
        <f>+'7 Mov Nal Lic plan'!K20</f>
        <v>10</v>
      </c>
      <c r="K7" s="3470">
        <f>SUM(I7:J7)</f>
        <v>13</v>
      </c>
      <c r="L7" s="3469">
        <f>+'7 Mov Nal Lic plan'!M20</f>
        <v>15</v>
      </c>
      <c r="M7" s="3470">
        <f>+'7 Mov Nal Lic plan'!N20</f>
        <v>9</v>
      </c>
      <c r="N7" s="3470">
        <f>SUM(L7:M7)</f>
        <v>24</v>
      </c>
    </row>
    <row r="8" spans="1:14" x14ac:dyDescent="0.25">
      <c r="A8" s="6829"/>
      <c r="B8" s="3468" t="s">
        <v>7</v>
      </c>
      <c r="C8" s="3469">
        <f>+'7 Mov Nal Lic plan'!D24</f>
        <v>1</v>
      </c>
      <c r="D8" s="3470">
        <f>+'7 Mov Nal Lic plan'!E24</f>
        <v>0</v>
      </c>
      <c r="E8" s="3470">
        <f>+'7 Mov Nal Lic plan'!F24</f>
        <v>1</v>
      </c>
      <c r="F8" s="3469">
        <f>+'7 Mov Nal Lic plan'!G24</f>
        <v>0</v>
      </c>
      <c r="G8" s="3470">
        <f>+'7 Mov Nal Lic plan'!H24</f>
        <v>1</v>
      </c>
      <c r="H8" s="3470">
        <f>+'7 Mov Nal Lic plan'!I24</f>
        <v>1</v>
      </c>
      <c r="I8" s="3469">
        <f>+'7 Mov Nal Lic plan'!J24</f>
        <v>0</v>
      </c>
      <c r="J8" s="3470">
        <f>+'7 Mov Nal Lic plan'!K24</f>
        <v>1</v>
      </c>
      <c r="K8" s="3470">
        <f>+'7 Mov Nal Lic plan'!L24</f>
        <v>1</v>
      </c>
      <c r="L8" s="3469">
        <f>+'7 Mov Nal Lic plan'!M24</f>
        <v>2</v>
      </c>
      <c r="M8" s="3470">
        <f>+'7 Mov Nal Lic plan'!N24</f>
        <v>2</v>
      </c>
      <c r="N8" s="3470">
        <f>+'7 Mov Nal Lic plan'!O24</f>
        <v>4</v>
      </c>
    </row>
    <row r="9" spans="1:14" x14ac:dyDescent="0.25">
      <c r="A9" s="6830"/>
      <c r="B9" s="2467" t="s">
        <v>160</v>
      </c>
      <c r="C9" s="2468">
        <f t="shared" ref="C9:H9" si="0">SUM(C6:C8)</f>
        <v>1</v>
      </c>
      <c r="D9" s="2469">
        <f t="shared" si="0"/>
        <v>0</v>
      </c>
      <c r="E9" s="2469">
        <f t="shared" si="0"/>
        <v>1</v>
      </c>
      <c r="F9" s="2468">
        <f t="shared" si="0"/>
        <v>7</v>
      </c>
      <c r="G9" s="2469">
        <f t="shared" si="0"/>
        <v>15</v>
      </c>
      <c r="H9" s="2469">
        <f t="shared" si="0"/>
        <v>22</v>
      </c>
      <c r="I9" s="2468">
        <f t="shared" ref="I9:N9" si="1">SUM(I6:I8)</f>
        <v>3</v>
      </c>
      <c r="J9" s="2469">
        <f t="shared" si="1"/>
        <v>16</v>
      </c>
      <c r="K9" s="2469">
        <f t="shared" si="1"/>
        <v>19</v>
      </c>
      <c r="L9" s="2468">
        <f t="shared" si="1"/>
        <v>18</v>
      </c>
      <c r="M9" s="2469">
        <f t="shared" si="1"/>
        <v>11</v>
      </c>
      <c r="N9" s="2469">
        <f t="shared" si="1"/>
        <v>29</v>
      </c>
    </row>
    <row r="10" spans="1:14" x14ac:dyDescent="0.25">
      <c r="A10" s="3471"/>
      <c r="B10" s="3471"/>
      <c r="C10" s="3471"/>
      <c r="D10" s="3471"/>
      <c r="F10" s="3471"/>
      <c r="G10" s="3471"/>
      <c r="I10" s="3471"/>
      <c r="J10" s="3471"/>
      <c r="L10" s="3471"/>
      <c r="M10" s="3471"/>
    </row>
    <row r="11" spans="1:14" x14ac:dyDescent="0.25">
      <c r="A11" s="6813" t="s">
        <v>8</v>
      </c>
      <c r="B11" s="3465" t="s">
        <v>6</v>
      </c>
      <c r="C11" s="3466">
        <f>+'7 Mov Nal Lic plan'!D38</f>
        <v>5</v>
      </c>
      <c r="D11" s="3467">
        <f>+'7 Mov Nal Lic plan'!E38</f>
        <v>3</v>
      </c>
      <c r="E11" s="3467">
        <f>+'7 Mov Nal Lic plan'!F38</f>
        <v>8</v>
      </c>
      <c r="F11" s="3466">
        <f>+'7 Mov Nal Lic plan'!G38</f>
        <v>7</v>
      </c>
      <c r="G11" s="3467">
        <f>+'7 Mov Nal Lic plan'!H38</f>
        <v>4</v>
      </c>
      <c r="H11" s="3467">
        <f>+'7 Mov Nal Lic plan'!I38</f>
        <v>11</v>
      </c>
      <c r="I11" s="3466">
        <f>+'7 Mov Nal Lic plan'!J38</f>
        <v>9</v>
      </c>
      <c r="J11" s="3467">
        <f>+'7 Mov Nal Lic plan'!K38</f>
        <v>9</v>
      </c>
      <c r="K11" s="3467">
        <f>+'7 Mov Nal Lic plan'!L38</f>
        <v>18</v>
      </c>
      <c r="L11" s="3466">
        <f>+'7 Mov Nal Lic plan'!M38</f>
        <v>14</v>
      </c>
      <c r="M11" s="3467">
        <f>+'7 Mov Nal Lic plan'!N38</f>
        <v>11</v>
      </c>
      <c r="N11" s="3467">
        <f>+'7 Mov Nal Lic plan'!O38</f>
        <v>25</v>
      </c>
    </row>
    <row r="12" spans="1:14" x14ac:dyDescent="0.25">
      <c r="A12" s="6814"/>
      <c r="B12" s="3468" t="s">
        <v>9</v>
      </c>
      <c r="C12" s="3469">
        <f>+'7 Mov Nal Lic plan'!D29</f>
        <v>4</v>
      </c>
      <c r="D12" s="3470">
        <f>+'7 Mov Nal Lic plan'!E29</f>
        <v>3</v>
      </c>
      <c r="E12" s="3470">
        <f>+'7 Mov Nal Lic plan'!F29</f>
        <v>7</v>
      </c>
      <c r="F12" s="3469">
        <f>+'7 Mov Nal Lic plan'!G29</f>
        <v>11</v>
      </c>
      <c r="G12" s="3470">
        <f>+'7 Mov Nal Lic plan'!H29</f>
        <v>12</v>
      </c>
      <c r="H12" s="3470">
        <f>+'7 Mov Nal Lic plan'!I29</f>
        <v>23</v>
      </c>
      <c r="I12" s="3469">
        <f>+'7 Mov Nal Lic plan'!J29</f>
        <v>14</v>
      </c>
      <c r="J12" s="3470">
        <f>+'7 Mov Nal Lic plan'!K29</f>
        <v>16</v>
      </c>
      <c r="K12" s="3470">
        <f>+'7 Mov Nal Lic plan'!L29</f>
        <v>30</v>
      </c>
      <c r="L12" s="3469">
        <f>+'7 Mov Nal Lic plan'!M29</f>
        <v>2</v>
      </c>
      <c r="M12" s="3470">
        <f>+'7 Mov Nal Lic plan'!N29</f>
        <v>10</v>
      </c>
      <c r="N12" s="3470">
        <f>+'7 Mov Nal Lic plan'!O29</f>
        <v>12</v>
      </c>
    </row>
    <row r="13" spans="1:14" x14ac:dyDescent="0.25">
      <c r="A13" s="6814"/>
      <c r="B13" s="3468" t="s">
        <v>74</v>
      </c>
      <c r="C13" s="3469">
        <f>+'7 Mov Nal Lic plan'!D34</f>
        <v>4</v>
      </c>
      <c r="D13" s="3470">
        <f>+'7 Mov Nal Lic plan'!E34</f>
        <v>3</v>
      </c>
      <c r="E13" s="3470">
        <f>+'7 Mov Nal Lic plan'!F34</f>
        <v>7</v>
      </c>
      <c r="F13" s="3469">
        <f>+'7 Mov Nal Lic plan'!G34</f>
        <v>7</v>
      </c>
      <c r="G13" s="3470">
        <f>+'7 Mov Nal Lic plan'!H34</f>
        <v>8</v>
      </c>
      <c r="H13" s="3470">
        <f>+'7 Mov Nal Lic plan'!I34</f>
        <v>15</v>
      </c>
      <c r="I13" s="3469">
        <f>+'7 Mov Nal Lic plan'!J34</f>
        <v>7</v>
      </c>
      <c r="J13" s="3470">
        <f>+'7 Mov Nal Lic plan'!K34</f>
        <v>6</v>
      </c>
      <c r="K13" s="3470">
        <f>+'7 Mov Nal Lic plan'!L34</f>
        <v>13</v>
      </c>
      <c r="L13" s="3469">
        <f>+'7 Mov Nal Lic plan'!M34</f>
        <v>7</v>
      </c>
      <c r="M13" s="3470">
        <f>+'7 Mov Nal Lic plan'!N34</f>
        <v>4</v>
      </c>
      <c r="N13" s="3470">
        <f>+'7 Mov Nal Lic plan'!O34</f>
        <v>11</v>
      </c>
    </row>
    <row r="14" spans="1:14" x14ac:dyDescent="0.25">
      <c r="A14" s="6815"/>
      <c r="B14" s="2464" t="s">
        <v>160</v>
      </c>
      <c r="C14" s="2465">
        <f t="shared" ref="C14:H14" si="2">SUM(C11:C13)</f>
        <v>13</v>
      </c>
      <c r="D14" s="2466">
        <f t="shared" si="2"/>
        <v>9</v>
      </c>
      <c r="E14" s="2464">
        <f t="shared" si="2"/>
        <v>22</v>
      </c>
      <c r="F14" s="2465">
        <f t="shared" si="2"/>
        <v>25</v>
      </c>
      <c r="G14" s="2466">
        <f t="shared" si="2"/>
        <v>24</v>
      </c>
      <c r="H14" s="2464">
        <f t="shared" si="2"/>
        <v>49</v>
      </c>
      <c r="I14" s="2465">
        <f t="shared" ref="I14:N14" si="3">SUM(I11:I13)</f>
        <v>30</v>
      </c>
      <c r="J14" s="2466">
        <f t="shared" si="3"/>
        <v>31</v>
      </c>
      <c r="K14" s="2464">
        <f t="shared" si="3"/>
        <v>61</v>
      </c>
      <c r="L14" s="2465">
        <f t="shared" si="3"/>
        <v>23</v>
      </c>
      <c r="M14" s="2466">
        <f t="shared" si="3"/>
        <v>25</v>
      </c>
      <c r="N14" s="2464">
        <f t="shared" si="3"/>
        <v>48</v>
      </c>
    </row>
    <row r="15" spans="1:14" x14ac:dyDescent="0.25">
      <c r="A15" s="3464"/>
      <c r="B15" s="3464"/>
      <c r="C15" s="3472"/>
      <c r="D15" s="3472"/>
      <c r="F15" s="3472"/>
      <c r="G15" s="3472"/>
      <c r="I15" s="3472"/>
      <c r="J15" s="3472"/>
      <c r="L15" s="3472"/>
      <c r="M15" s="3472"/>
    </row>
    <row r="16" spans="1:14" x14ac:dyDescent="0.25">
      <c r="A16" s="6816" t="s">
        <v>75</v>
      </c>
      <c r="B16" s="3465" t="s">
        <v>5</v>
      </c>
      <c r="C16" s="3466"/>
      <c r="D16" s="3467"/>
      <c r="E16" s="3467">
        <f>SUM(C16:D16)</f>
        <v>0</v>
      </c>
      <c r="F16" s="3466">
        <f>+'7 Mov Nal Lic plan'!G49</f>
        <v>0</v>
      </c>
      <c r="G16" s="3467">
        <f>+'7 Mov Nal Lic plan'!H49</f>
        <v>1</v>
      </c>
      <c r="H16" s="3467">
        <f>SUM(F16:G16)</f>
        <v>1</v>
      </c>
      <c r="I16" s="3466">
        <f>+'7 Mov Nal Lic plan'!J49</f>
        <v>0</v>
      </c>
      <c r="J16" s="3467">
        <f>+'7 Mov Nal Lic plan'!K49</f>
        <v>3</v>
      </c>
      <c r="K16" s="3467">
        <f>SUM(I16:J16)</f>
        <v>3</v>
      </c>
      <c r="L16" s="3466">
        <f>+'7 Mov Nal Lic plan'!M49</f>
        <v>0</v>
      </c>
      <c r="M16" s="3467">
        <f>+'7 Mov Nal Lic plan'!N49</f>
        <v>0</v>
      </c>
      <c r="N16" s="3467">
        <f>SUM(L16:M16)</f>
        <v>0</v>
      </c>
    </row>
    <row r="17" spans="1:14" x14ac:dyDescent="0.25">
      <c r="A17" s="6817"/>
      <c r="B17" s="3468" t="s">
        <v>6</v>
      </c>
      <c r="C17" s="3469">
        <f>+'7 Mov Nal Lic plan'!D61</f>
        <v>1</v>
      </c>
      <c r="D17" s="3470">
        <f>+'7 Mov Nal Lic plan'!E61</f>
        <v>0</v>
      </c>
      <c r="E17" s="3470">
        <f>+'7 Mov Nal Lic plan'!F61</f>
        <v>1</v>
      </c>
      <c r="F17" s="3469">
        <f>+'7 Mov Nal Lic plan'!G61</f>
        <v>2</v>
      </c>
      <c r="G17" s="3470">
        <f>+'7 Mov Nal Lic plan'!H61</f>
        <v>5</v>
      </c>
      <c r="H17" s="3470">
        <f>+'7 Mov Nal Lic plan'!I61</f>
        <v>7</v>
      </c>
      <c r="I17" s="3469">
        <f>+'7 Mov Nal Lic plan'!J61</f>
        <v>1</v>
      </c>
      <c r="J17" s="3470">
        <f>+'7 Mov Nal Lic plan'!K61</f>
        <v>2</v>
      </c>
      <c r="K17" s="3470">
        <f>+'7 Mov Nal Lic plan'!L61</f>
        <v>3</v>
      </c>
      <c r="L17" s="3469">
        <f>+'7 Mov Nal Lic plan'!M61</f>
        <v>1</v>
      </c>
      <c r="M17" s="3470">
        <f>+'7 Mov Nal Lic plan'!N61</f>
        <v>2</v>
      </c>
      <c r="N17" s="3470">
        <f>+'7 Mov Nal Lic plan'!O61</f>
        <v>3</v>
      </c>
    </row>
    <row r="18" spans="1:14" x14ac:dyDescent="0.25">
      <c r="A18" s="6817"/>
      <c r="B18" s="3468" t="s">
        <v>11</v>
      </c>
      <c r="C18" s="3469">
        <f>+'7 Mov Nal Lic plan'!D68</f>
        <v>1</v>
      </c>
      <c r="D18" s="3470">
        <f>+'7 Mov Nal Lic plan'!E68</f>
        <v>2</v>
      </c>
      <c r="E18" s="3470">
        <f>+'7 Mov Nal Lic plan'!F68</f>
        <v>3</v>
      </c>
      <c r="F18" s="3469">
        <f>+'7 Mov Nal Lic plan'!G68</f>
        <v>4</v>
      </c>
      <c r="G18" s="3470">
        <f>+'7 Mov Nal Lic plan'!H68</f>
        <v>2</v>
      </c>
      <c r="H18" s="3470">
        <f>+'7 Mov Nal Lic plan'!I68</f>
        <v>6</v>
      </c>
      <c r="I18" s="3469">
        <f>+'7 Mov Nal Lic plan'!J68</f>
        <v>17</v>
      </c>
      <c r="J18" s="3470">
        <f>+'7 Mov Nal Lic plan'!K68</f>
        <v>5</v>
      </c>
      <c r="K18" s="3470">
        <f>+'7 Mov Nal Lic plan'!L68</f>
        <v>22</v>
      </c>
      <c r="L18" s="3469">
        <f>+'7 Mov Nal Lic plan'!M68</f>
        <v>2</v>
      </c>
      <c r="M18" s="3470">
        <f>+'7 Mov Nal Lic plan'!N68</f>
        <v>0</v>
      </c>
      <c r="N18" s="3470">
        <f>+'7 Mov Nal Lic plan'!O68</f>
        <v>2</v>
      </c>
    </row>
    <row r="19" spans="1:14" x14ac:dyDescent="0.25">
      <c r="A19" s="6818"/>
      <c r="B19" s="2461" t="s">
        <v>160</v>
      </c>
      <c r="C19" s="2462">
        <f t="shared" ref="C19:H19" si="4">SUM(C16:C18)</f>
        <v>2</v>
      </c>
      <c r="D19" s="2463">
        <f t="shared" si="4"/>
        <v>2</v>
      </c>
      <c r="E19" s="2463">
        <f t="shared" si="4"/>
        <v>4</v>
      </c>
      <c r="F19" s="2462">
        <f t="shared" si="4"/>
        <v>6</v>
      </c>
      <c r="G19" s="2463">
        <f t="shared" si="4"/>
        <v>8</v>
      </c>
      <c r="H19" s="2463">
        <f t="shared" si="4"/>
        <v>14</v>
      </c>
      <c r="I19" s="2462">
        <f t="shared" ref="I19:N19" si="5">SUM(I16:I18)</f>
        <v>18</v>
      </c>
      <c r="J19" s="2463">
        <f t="shared" si="5"/>
        <v>10</v>
      </c>
      <c r="K19" s="2463">
        <f t="shared" si="5"/>
        <v>28</v>
      </c>
      <c r="L19" s="2462">
        <f t="shared" si="5"/>
        <v>3</v>
      </c>
      <c r="M19" s="2463">
        <f t="shared" si="5"/>
        <v>2</v>
      </c>
      <c r="N19" s="2463">
        <f t="shared" si="5"/>
        <v>5</v>
      </c>
    </row>
    <row r="21" spans="1:14" x14ac:dyDescent="0.25">
      <c r="A21" s="6825" t="s">
        <v>325</v>
      </c>
      <c r="B21" s="3465" t="s">
        <v>5</v>
      </c>
      <c r="C21" s="3466"/>
      <c r="D21" s="3467"/>
      <c r="E21" s="3467">
        <f>SUM(C21:D21)</f>
        <v>0</v>
      </c>
      <c r="F21" s="3466">
        <f>+'7 Mov Nal Lic plan'!G71</f>
        <v>3</v>
      </c>
      <c r="G21" s="3467">
        <f>+'7 Mov Nal Lic plan'!H71</f>
        <v>0</v>
      </c>
      <c r="H21" s="3467">
        <f>SUM(F21:G21)</f>
        <v>3</v>
      </c>
      <c r="I21" s="3466">
        <f>+'7 Mov Nal Lic plan'!J71</f>
        <v>9</v>
      </c>
      <c r="J21" s="3467">
        <f>+'7 Mov Nal Lic plan'!K71</f>
        <v>1</v>
      </c>
      <c r="K21" s="3467">
        <f>SUM(I21:J21)</f>
        <v>10</v>
      </c>
      <c r="L21" s="3466">
        <f>+'7 Mov Nal Lic plan'!M71</f>
        <v>0</v>
      </c>
      <c r="M21" s="3467">
        <f>+'7 Mov Nal Lic plan'!N71</f>
        <v>3</v>
      </c>
      <c r="N21" s="3467">
        <f>SUM(L21:M21)</f>
        <v>3</v>
      </c>
    </row>
    <row r="22" spans="1:14" x14ac:dyDescent="0.25">
      <c r="A22" s="6826"/>
      <c r="B22" s="3468" t="s">
        <v>6</v>
      </c>
      <c r="C22" s="3469">
        <f>+'7 Mov Nal Lic plan'!D76</f>
        <v>0</v>
      </c>
      <c r="D22" s="3470">
        <f>+'7 Mov Nal Lic plan'!E76</f>
        <v>2</v>
      </c>
      <c r="E22" s="3470">
        <f>+'7 Mov Nal Lic plan'!F76</f>
        <v>2</v>
      </c>
      <c r="F22" s="3469">
        <f>+'7 Mov Nal Lic plan'!G73</f>
        <v>1</v>
      </c>
      <c r="G22" s="3470">
        <f>+'7 Mov Nal Lic plan'!H73</f>
        <v>3</v>
      </c>
      <c r="H22" s="3470">
        <f>SUM(F22:G22)</f>
        <v>4</v>
      </c>
      <c r="I22" s="3469">
        <f>+'7 Mov Nal Lic plan'!J73</f>
        <v>2</v>
      </c>
      <c r="J22" s="3470">
        <f>+'7 Mov Nal Lic plan'!K73</f>
        <v>4</v>
      </c>
      <c r="K22" s="3470">
        <f>SUM(I22:J22)</f>
        <v>6</v>
      </c>
      <c r="L22" s="3469">
        <f>+'7 Mov Nal Lic plan'!M73</f>
        <v>0</v>
      </c>
      <c r="M22" s="3470">
        <f>+'7 Mov Nal Lic plan'!N73</f>
        <v>2</v>
      </c>
      <c r="N22" s="3470">
        <f>SUM(L22:M22)</f>
        <v>2</v>
      </c>
    </row>
    <row r="23" spans="1:14" x14ac:dyDescent="0.25">
      <c r="A23" s="6826"/>
      <c r="B23" s="3468" t="s">
        <v>11</v>
      </c>
      <c r="C23" s="3469">
        <f>+'7 Mov Nal Lic plan'!D71</f>
        <v>5</v>
      </c>
      <c r="D23" s="3470">
        <f>+'7 Mov Nal Lic plan'!E71</f>
        <v>0</v>
      </c>
      <c r="E23" s="3470">
        <f>+'7 Mov Nal Lic plan'!F71</f>
        <v>5</v>
      </c>
      <c r="F23" s="3469">
        <f>+'7 Mov Nal Lic plan'!G76</f>
        <v>1</v>
      </c>
      <c r="G23" s="3470">
        <f>+'7 Mov Nal Lic plan'!H76</f>
        <v>0</v>
      </c>
      <c r="H23" s="3470">
        <f>SUM(F23:G23)</f>
        <v>1</v>
      </c>
      <c r="I23" s="3469">
        <f>+'7 Mov Nal Lic plan'!J76</f>
        <v>5</v>
      </c>
      <c r="J23" s="3470">
        <f>+'7 Mov Nal Lic plan'!K76</f>
        <v>3</v>
      </c>
      <c r="K23" s="3470">
        <f>SUM(I23:J23)</f>
        <v>8</v>
      </c>
      <c r="L23" s="3469">
        <f>+'7 Mov Nal Lic plan'!M76</f>
        <v>2</v>
      </c>
      <c r="M23" s="3470">
        <f>+'7 Mov Nal Lic plan'!N76</f>
        <v>1</v>
      </c>
      <c r="N23" s="3470">
        <f>SUM(L23:M23)</f>
        <v>3</v>
      </c>
    </row>
    <row r="24" spans="1:14" x14ac:dyDescent="0.25">
      <c r="A24" s="6827"/>
      <c r="B24" s="3479" t="s">
        <v>160</v>
      </c>
      <c r="C24" s="3480">
        <f t="shared" ref="C24:H24" si="6">SUM(C21:C23)</f>
        <v>5</v>
      </c>
      <c r="D24" s="3481">
        <f t="shared" si="6"/>
        <v>2</v>
      </c>
      <c r="E24" s="3481">
        <f t="shared" si="6"/>
        <v>7</v>
      </c>
      <c r="F24" s="3480">
        <f t="shared" si="6"/>
        <v>5</v>
      </c>
      <c r="G24" s="3481">
        <f t="shared" si="6"/>
        <v>3</v>
      </c>
      <c r="H24" s="3481">
        <f t="shared" si="6"/>
        <v>8</v>
      </c>
      <c r="I24" s="3480">
        <f t="shared" ref="I24:N24" si="7">SUM(I21:I23)</f>
        <v>16</v>
      </c>
      <c r="J24" s="3481">
        <f t="shared" si="7"/>
        <v>8</v>
      </c>
      <c r="K24" s="3481">
        <f t="shared" si="7"/>
        <v>24</v>
      </c>
      <c r="L24" s="3480">
        <f t="shared" si="7"/>
        <v>2</v>
      </c>
      <c r="M24" s="3481">
        <f t="shared" si="7"/>
        <v>6</v>
      </c>
      <c r="N24" s="3481">
        <f t="shared" si="7"/>
        <v>8</v>
      </c>
    </row>
    <row r="25" spans="1:14" x14ac:dyDescent="0.25">
      <c r="A25" s="1501"/>
      <c r="B25" s="3464"/>
      <c r="C25" s="3472"/>
      <c r="D25" s="3472"/>
      <c r="F25" s="3472"/>
      <c r="G25" s="3472"/>
      <c r="I25" s="3472"/>
      <c r="J25" s="3472"/>
      <c r="L25" s="3472"/>
      <c r="M25" s="3472"/>
    </row>
    <row r="26" spans="1:14" x14ac:dyDescent="0.25">
      <c r="A26" s="6819" t="s">
        <v>10</v>
      </c>
      <c r="B26" s="3465" t="s">
        <v>6</v>
      </c>
      <c r="C26" s="3466">
        <f>+'7 Mov Nal Lic plan'!D84</f>
        <v>1</v>
      </c>
      <c r="D26" s="3467">
        <f>+'7 Mov Nal Lic plan'!E84</f>
        <v>0</v>
      </c>
      <c r="E26" s="3467">
        <f>+'7 Mov Nal Lic plan'!F84</f>
        <v>1</v>
      </c>
      <c r="F26" s="3466">
        <f>+'7 Mov Nal Lic plan'!G84</f>
        <v>3</v>
      </c>
      <c r="G26" s="3467">
        <f>+'7 Mov Nal Lic plan'!H84</f>
        <v>2</v>
      </c>
      <c r="H26" s="3467">
        <f>+'7 Mov Nal Lic plan'!I84</f>
        <v>5</v>
      </c>
      <c r="I26" s="3466">
        <f>+'7 Mov Nal Lic plan'!J84</f>
        <v>3</v>
      </c>
      <c r="J26" s="3467">
        <f>+'7 Mov Nal Lic plan'!K84</f>
        <v>0</v>
      </c>
      <c r="K26" s="3467">
        <f>+'7 Mov Nal Lic plan'!L84</f>
        <v>3</v>
      </c>
      <c r="L26" s="3466">
        <f>+'7 Mov Nal Lic plan'!M84</f>
        <v>0</v>
      </c>
      <c r="M26" s="3467">
        <f>+'7 Mov Nal Lic plan'!N84</f>
        <v>2</v>
      </c>
      <c r="N26" s="3467">
        <f>+'7 Mov Nal Lic plan'!O84</f>
        <v>2</v>
      </c>
    </row>
    <row r="27" spans="1:14" x14ac:dyDescent="0.25">
      <c r="A27" s="6820"/>
      <c r="B27" s="3468" t="s">
        <v>11</v>
      </c>
      <c r="C27" s="3469">
        <f>+'7 Mov Nal Lic plan'!D93</f>
        <v>1</v>
      </c>
      <c r="D27" s="3470">
        <f>+'7 Mov Nal Lic plan'!E93</f>
        <v>3</v>
      </c>
      <c r="E27" s="3470">
        <f>+'7 Mov Nal Lic plan'!F93</f>
        <v>4</v>
      </c>
      <c r="F27" s="3469">
        <f>+'7 Mov Nal Lic plan'!G93</f>
        <v>5</v>
      </c>
      <c r="G27" s="3470">
        <f>+'7 Mov Nal Lic plan'!H93</f>
        <v>6</v>
      </c>
      <c r="H27" s="3470">
        <f>+'7 Mov Nal Lic plan'!I93</f>
        <v>11</v>
      </c>
      <c r="I27" s="3469">
        <f>+'7 Mov Nal Lic plan'!J93</f>
        <v>6</v>
      </c>
      <c r="J27" s="3470">
        <f>+'7 Mov Nal Lic plan'!K93</f>
        <v>9</v>
      </c>
      <c r="K27" s="3470">
        <f>+'7 Mov Nal Lic plan'!L93</f>
        <v>15</v>
      </c>
      <c r="L27" s="3469">
        <f>+'7 Mov Nal Lic plan'!M93</f>
        <v>5</v>
      </c>
      <c r="M27" s="3470">
        <f>+'7 Mov Nal Lic plan'!N93</f>
        <v>4</v>
      </c>
      <c r="N27" s="3470">
        <f>+'7 Mov Nal Lic plan'!O93</f>
        <v>9</v>
      </c>
    </row>
    <row r="28" spans="1:14" x14ac:dyDescent="0.25">
      <c r="A28" s="6820"/>
      <c r="B28" s="3468" t="s">
        <v>7</v>
      </c>
      <c r="C28" s="3469"/>
      <c r="D28" s="3470"/>
      <c r="E28" s="3470">
        <f>SUM(C28:D28)</f>
        <v>0</v>
      </c>
      <c r="F28" s="3469">
        <f>+'7 Mov Nal Lic plan'!G98</f>
        <v>9</v>
      </c>
      <c r="G28" s="3470">
        <f>+'7 Mov Nal Lic plan'!H98</f>
        <v>4</v>
      </c>
      <c r="H28" s="3470">
        <f>SUM(F28:G28)</f>
        <v>13</v>
      </c>
      <c r="I28" s="3469">
        <f>+'7 Mov Nal Lic plan'!J98</f>
        <v>3</v>
      </c>
      <c r="J28" s="3470">
        <f>+'7 Mov Nal Lic plan'!K98</f>
        <v>2</v>
      </c>
      <c r="K28" s="3470">
        <f>SUM(I28:J28)</f>
        <v>5</v>
      </c>
      <c r="L28" s="3469">
        <f>+'7 Mov Nal Lic plan'!M98</f>
        <v>1</v>
      </c>
      <c r="M28" s="3470">
        <f>+'7 Mov Nal Lic plan'!N98</f>
        <v>5</v>
      </c>
      <c r="N28" s="3470">
        <f>SUM(L28:M28)</f>
        <v>6</v>
      </c>
    </row>
    <row r="29" spans="1:14" x14ac:dyDescent="0.25">
      <c r="A29" s="6821"/>
      <c r="B29" s="2458" t="s">
        <v>160</v>
      </c>
      <c r="C29" s="2459">
        <f t="shared" ref="C29:H29" si="8">SUM(C26:C28)</f>
        <v>2</v>
      </c>
      <c r="D29" s="2460">
        <f t="shared" si="8"/>
        <v>3</v>
      </c>
      <c r="E29" s="2460">
        <f t="shared" si="8"/>
        <v>5</v>
      </c>
      <c r="F29" s="2459">
        <f t="shared" si="8"/>
        <v>17</v>
      </c>
      <c r="G29" s="2460">
        <f t="shared" si="8"/>
        <v>12</v>
      </c>
      <c r="H29" s="2460">
        <f t="shared" si="8"/>
        <v>29</v>
      </c>
      <c r="I29" s="2459">
        <f t="shared" ref="I29:N29" si="9">SUM(I26:I28)</f>
        <v>12</v>
      </c>
      <c r="J29" s="2460">
        <f t="shared" si="9"/>
        <v>11</v>
      </c>
      <c r="K29" s="2460">
        <f t="shared" si="9"/>
        <v>23</v>
      </c>
      <c r="L29" s="2459">
        <f t="shared" si="9"/>
        <v>6</v>
      </c>
      <c r="M29" s="2460">
        <f t="shared" si="9"/>
        <v>11</v>
      </c>
      <c r="N29" s="2460">
        <f t="shared" si="9"/>
        <v>17</v>
      </c>
    </row>
    <row r="30" spans="1:14" x14ac:dyDescent="0.25">
      <c r="A30" s="3464"/>
      <c r="B30" s="3464"/>
      <c r="C30" s="3472"/>
      <c r="D30" s="3472"/>
      <c r="E30" s="3472"/>
      <c r="F30" s="3472"/>
      <c r="G30" s="3472"/>
      <c r="H30" s="3472"/>
      <c r="I30" s="3472"/>
      <c r="J30" s="3472"/>
      <c r="K30" s="3472"/>
      <c r="L30" s="3472"/>
      <c r="M30" s="3472"/>
      <c r="N30" s="3472"/>
    </row>
    <row r="31" spans="1:14" x14ac:dyDescent="0.25">
      <c r="A31" s="6822" t="s">
        <v>60</v>
      </c>
      <c r="B31" s="3465" t="s">
        <v>5</v>
      </c>
      <c r="C31" s="3466">
        <f t="shared" ref="C31:K31" si="10">SUM(C6,C16,C21)</f>
        <v>0</v>
      </c>
      <c r="D31" s="3467">
        <f t="shared" si="10"/>
        <v>0</v>
      </c>
      <c r="E31" s="3465">
        <f t="shared" si="10"/>
        <v>0</v>
      </c>
      <c r="F31" s="3466">
        <f t="shared" si="10"/>
        <v>5</v>
      </c>
      <c r="G31" s="3467">
        <f t="shared" si="10"/>
        <v>8</v>
      </c>
      <c r="H31" s="3465">
        <f t="shared" si="10"/>
        <v>13</v>
      </c>
      <c r="I31" s="3466">
        <f t="shared" si="10"/>
        <v>9</v>
      </c>
      <c r="J31" s="3467">
        <f t="shared" si="10"/>
        <v>9</v>
      </c>
      <c r="K31" s="3465">
        <f t="shared" si="10"/>
        <v>18</v>
      </c>
      <c r="L31" s="3466">
        <f t="shared" ref="L31:N31" si="11">SUM(L6,L16,L21)</f>
        <v>1</v>
      </c>
      <c r="M31" s="3467">
        <f t="shared" si="11"/>
        <v>3</v>
      </c>
      <c r="N31" s="3465">
        <f t="shared" si="11"/>
        <v>4</v>
      </c>
    </row>
    <row r="32" spans="1:14" x14ac:dyDescent="0.25">
      <c r="A32" s="6823"/>
      <c r="B32" s="3468" t="s">
        <v>6</v>
      </c>
      <c r="C32" s="3469">
        <f t="shared" ref="C32:K32" si="12">SUM(C7,C11,C17,C22,C26)</f>
        <v>7</v>
      </c>
      <c r="D32" s="3470">
        <f t="shared" si="12"/>
        <v>5</v>
      </c>
      <c r="E32" s="3468">
        <f t="shared" si="12"/>
        <v>12</v>
      </c>
      <c r="F32" s="3469">
        <f t="shared" si="12"/>
        <v>18</v>
      </c>
      <c r="G32" s="3470">
        <f t="shared" si="12"/>
        <v>21</v>
      </c>
      <c r="H32" s="3468">
        <f t="shared" si="12"/>
        <v>39</v>
      </c>
      <c r="I32" s="3469">
        <f t="shared" si="12"/>
        <v>18</v>
      </c>
      <c r="J32" s="3470">
        <f t="shared" si="12"/>
        <v>25</v>
      </c>
      <c r="K32" s="3468">
        <f t="shared" si="12"/>
        <v>43</v>
      </c>
      <c r="L32" s="3469">
        <f t="shared" ref="L32:N32" si="13">SUM(L7,L11,L17,L22,L26)</f>
        <v>30</v>
      </c>
      <c r="M32" s="3470">
        <f t="shared" si="13"/>
        <v>26</v>
      </c>
      <c r="N32" s="3468">
        <f t="shared" si="13"/>
        <v>56</v>
      </c>
    </row>
    <row r="33" spans="1:14" x14ac:dyDescent="0.25">
      <c r="A33" s="6823"/>
      <c r="B33" s="3468" t="s">
        <v>11</v>
      </c>
      <c r="C33" s="3469">
        <f t="shared" ref="C33:K33" si="14">SUM(C18,C23,C27)</f>
        <v>7</v>
      </c>
      <c r="D33" s="3470">
        <f t="shared" si="14"/>
        <v>5</v>
      </c>
      <c r="E33" s="3468">
        <f t="shared" si="14"/>
        <v>12</v>
      </c>
      <c r="F33" s="3469">
        <f t="shared" si="14"/>
        <v>10</v>
      </c>
      <c r="G33" s="3470">
        <f t="shared" si="14"/>
        <v>8</v>
      </c>
      <c r="H33" s="3468">
        <f t="shared" si="14"/>
        <v>18</v>
      </c>
      <c r="I33" s="3469">
        <f t="shared" si="14"/>
        <v>28</v>
      </c>
      <c r="J33" s="3470">
        <f t="shared" si="14"/>
        <v>17</v>
      </c>
      <c r="K33" s="3468">
        <f t="shared" si="14"/>
        <v>45</v>
      </c>
      <c r="L33" s="3469">
        <f t="shared" ref="L33:N33" si="15">SUM(L18,L23,L27)</f>
        <v>9</v>
      </c>
      <c r="M33" s="3470">
        <f t="shared" si="15"/>
        <v>5</v>
      </c>
      <c r="N33" s="3468">
        <f t="shared" si="15"/>
        <v>14</v>
      </c>
    </row>
    <row r="34" spans="1:14" x14ac:dyDescent="0.25">
      <c r="A34" s="6823"/>
      <c r="B34" s="3468" t="s">
        <v>7</v>
      </c>
      <c r="C34" s="3469">
        <f t="shared" ref="C34:K34" si="16">SUM(C8,C28)</f>
        <v>1</v>
      </c>
      <c r="D34" s="3470">
        <f t="shared" si="16"/>
        <v>0</v>
      </c>
      <c r="E34" s="3468">
        <f t="shared" si="16"/>
        <v>1</v>
      </c>
      <c r="F34" s="3469">
        <f t="shared" si="16"/>
        <v>9</v>
      </c>
      <c r="G34" s="3470">
        <f t="shared" si="16"/>
        <v>5</v>
      </c>
      <c r="H34" s="3468">
        <f t="shared" si="16"/>
        <v>14</v>
      </c>
      <c r="I34" s="3469">
        <f t="shared" si="16"/>
        <v>3</v>
      </c>
      <c r="J34" s="3470">
        <f t="shared" si="16"/>
        <v>3</v>
      </c>
      <c r="K34" s="3468">
        <f t="shared" si="16"/>
        <v>6</v>
      </c>
      <c r="L34" s="3469">
        <f t="shared" ref="L34:N34" si="17">SUM(L8,L28)</f>
        <v>3</v>
      </c>
      <c r="M34" s="3470">
        <f t="shared" si="17"/>
        <v>7</v>
      </c>
      <c r="N34" s="3468">
        <f t="shared" si="17"/>
        <v>10</v>
      </c>
    </row>
    <row r="35" spans="1:14" x14ac:dyDescent="0.25">
      <c r="A35" s="6823"/>
      <c r="B35" s="3468" t="s">
        <v>9</v>
      </c>
      <c r="C35" s="3469">
        <f t="shared" ref="C35:K35" si="18">SUM(C12)</f>
        <v>4</v>
      </c>
      <c r="D35" s="3470">
        <f t="shared" si="18"/>
        <v>3</v>
      </c>
      <c r="E35" s="3468">
        <f t="shared" si="18"/>
        <v>7</v>
      </c>
      <c r="F35" s="3469">
        <f t="shared" si="18"/>
        <v>11</v>
      </c>
      <c r="G35" s="3470">
        <f t="shared" si="18"/>
        <v>12</v>
      </c>
      <c r="H35" s="3468">
        <f t="shared" si="18"/>
        <v>23</v>
      </c>
      <c r="I35" s="3469">
        <f t="shared" si="18"/>
        <v>14</v>
      </c>
      <c r="J35" s="3470">
        <f t="shared" si="18"/>
        <v>16</v>
      </c>
      <c r="K35" s="3468">
        <f t="shared" si="18"/>
        <v>30</v>
      </c>
      <c r="L35" s="3469">
        <f t="shared" ref="L35:N35" si="19">SUM(L12)</f>
        <v>2</v>
      </c>
      <c r="M35" s="3470">
        <f t="shared" si="19"/>
        <v>10</v>
      </c>
      <c r="N35" s="3468">
        <f t="shared" si="19"/>
        <v>12</v>
      </c>
    </row>
    <row r="36" spans="1:14" x14ac:dyDescent="0.25">
      <c r="A36" s="6823"/>
      <c r="B36" s="3468" t="s">
        <v>74</v>
      </c>
      <c r="C36" s="3473">
        <f t="shared" ref="C36:K36" si="20">SUM(C13)</f>
        <v>4</v>
      </c>
      <c r="D36" s="3474">
        <f t="shared" si="20"/>
        <v>3</v>
      </c>
      <c r="E36" s="3475">
        <f t="shared" si="20"/>
        <v>7</v>
      </c>
      <c r="F36" s="3473">
        <f t="shared" si="20"/>
        <v>7</v>
      </c>
      <c r="G36" s="3474">
        <f t="shared" si="20"/>
        <v>8</v>
      </c>
      <c r="H36" s="3475">
        <f t="shared" si="20"/>
        <v>15</v>
      </c>
      <c r="I36" s="3473">
        <f t="shared" si="20"/>
        <v>7</v>
      </c>
      <c r="J36" s="3474">
        <f t="shared" si="20"/>
        <v>6</v>
      </c>
      <c r="K36" s="3475">
        <f t="shared" si="20"/>
        <v>13</v>
      </c>
      <c r="L36" s="3473">
        <f t="shared" ref="L36:N36" si="21">SUM(L13)</f>
        <v>7</v>
      </c>
      <c r="M36" s="3474">
        <f t="shared" si="21"/>
        <v>4</v>
      </c>
      <c r="N36" s="3475">
        <f t="shared" si="21"/>
        <v>11</v>
      </c>
    </row>
    <row r="37" spans="1:14" x14ac:dyDescent="0.25">
      <c r="A37" s="6824"/>
      <c r="B37" s="1662" t="s">
        <v>160</v>
      </c>
      <c r="C37" s="1662">
        <f t="shared" ref="C37:K37" si="22">SUM(C31:C36)</f>
        <v>23</v>
      </c>
      <c r="D37" s="1663">
        <f t="shared" si="22"/>
        <v>16</v>
      </c>
      <c r="E37" s="3476">
        <f t="shared" si="22"/>
        <v>39</v>
      </c>
      <c r="F37" s="1662">
        <f t="shared" si="22"/>
        <v>60</v>
      </c>
      <c r="G37" s="1663">
        <f t="shared" si="22"/>
        <v>62</v>
      </c>
      <c r="H37" s="3476">
        <f t="shared" si="22"/>
        <v>122</v>
      </c>
      <c r="I37" s="1662">
        <f t="shared" si="22"/>
        <v>79</v>
      </c>
      <c r="J37" s="1663">
        <f t="shared" si="22"/>
        <v>76</v>
      </c>
      <c r="K37" s="3476">
        <f t="shared" si="22"/>
        <v>155</v>
      </c>
      <c r="L37" s="1662">
        <f t="shared" ref="L37:N37" si="23">SUM(L31:L36)</f>
        <v>52</v>
      </c>
      <c r="M37" s="1663">
        <f t="shared" si="23"/>
        <v>55</v>
      </c>
      <c r="N37" s="3476">
        <f t="shared" si="23"/>
        <v>107</v>
      </c>
    </row>
  </sheetData>
  <sheetProtection algorithmName="SHA-512" hashValue="SylR7AupJkKI9YHb+6XOcmaWkvGbWZopFaK0ewreE6axwInp+C9D5sG98UoPbNiTcUSfssoY8kpFUbcpAJUUjA==" saltValue="ywceTNRwCsgWb5H4gzW5ZA==" spinCount="100000" sheet="1" objects="1" scenarios="1"/>
  <mergeCells count="12">
    <mergeCell ref="L3:N3"/>
    <mergeCell ref="I3:K3"/>
    <mergeCell ref="A26:A29"/>
    <mergeCell ref="A31:A37"/>
    <mergeCell ref="A3:A4"/>
    <mergeCell ref="B3:B4"/>
    <mergeCell ref="F3:H3"/>
    <mergeCell ref="A6:A9"/>
    <mergeCell ref="A11:A14"/>
    <mergeCell ref="A16:A19"/>
    <mergeCell ref="A21:A24"/>
    <mergeCell ref="C3:E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2" orientation="landscape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O79"/>
  <sheetViews>
    <sheetView showGridLines="0" zoomScaleNormal="100" workbookViewId="0">
      <selection activeCell="R31" sqref="R31"/>
    </sheetView>
  </sheetViews>
  <sheetFormatPr baseColWidth="10" defaultRowHeight="15" x14ac:dyDescent="0.2"/>
  <cols>
    <col min="1" max="1" width="8.7109375" style="3482" customWidth="1"/>
    <col min="2" max="2" width="8.140625" style="3482" bestFit="1" customWidth="1"/>
    <col min="3" max="3" width="35.42578125" style="3482" bestFit="1" customWidth="1"/>
    <col min="4" max="5" width="10" style="3482" customWidth="1"/>
    <col min="6" max="6" width="7.7109375" style="3482" customWidth="1"/>
    <col min="7" max="8" width="10" style="3482" customWidth="1"/>
    <col min="9" max="9" width="7.7109375" style="3482" customWidth="1"/>
    <col min="10" max="10" width="8.5703125" style="3482" customWidth="1"/>
    <col min="11" max="11" width="9.42578125" style="3482" customWidth="1"/>
    <col min="12" max="12" width="7.7109375" style="3482" customWidth="1"/>
    <col min="13" max="13" width="9.42578125" style="3482" bestFit="1" customWidth="1"/>
    <col min="14" max="14" width="9.42578125" style="3482" customWidth="1"/>
    <col min="15" max="15" width="7.7109375" style="3482" customWidth="1"/>
    <col min="16" max="16384" width="11.42578125" style="3482"/>
  </cols>
  <sheetData>
    <row r="1" spans="1:15" ht="37.5" customHeight="1" x14ac:dyDescent="0.2">
      <c r="A1" s="6875" t="s">
        <v>1207</v>
      </c>
      <c r="B1" s="6875"/>
      <c r="C1" s="6875"/>
      <c r="D1" s="6875"/>
      <c r="E1" s="6875"/>
      <c r="F1" s="6875"/>
    </row>
    <row r="2" spans="1:15" x14ac:dyDescent="0.2">
      <c r="G2" s="3703"/>
      <c r="H2" s="3703"/>
      <c r="I2" s="3703"/>
    </row>
    <row r="3" spans="1:15" x14ac:dyDescent="0.2">
      <c r="A3" s="6791" t="s">
        <v>51</v>
      </c>
      <c r="B3" s="6791" t="s">
        <v>685</v>
      </c>
      <c r="C3" s="6791" t="s">
        <v>684</v>
      </c>
      <c r="D3" s="6879">
        <v>2014</v>
      </c>
      <c r="E3" s="6880"/>
      <c r="F3" s="6797"/>
      <c r="G3" s="6876">
        <v>2015</v>
      </c>
      <c r="H3" s="6877"/>
      <c r="I3" s="6878"/>
      <c r="J3" s="6876">
        <v>2016</v>
      </c>
      <c r="K3" s="6877"/>
      <c r="L3" s="6878"/>
      <c r="M3" s="6877">
        <v>2017</v>
      </c>
      <c r="N3" s="6885"/>
      <c r="O3" s="6878"/>
    </row>
    <row r="4" spans="1:15" ht="14.25" customHeight="1" x14ac:dyDescent="0.2">
      <c r="A4" s="6791"/>
      <c r="B4" s="6791"/>
      <c r="C4" s="6791"/>
      <c r="D4" s="4685" t="s">
        <v>658</v>
      </c>
      <c r="E4" s="4685" t="s">
        <v>659</v>
      </c>
      <c r="F4" s="3488" t="s">
        <v>160</v>
      </c>
      <c r="G4" s="4686" t="s">
        <v>658</v>
      </c>
      <c r="H4" s="4686" t="s">
        <v>659</v>
      </c>
      <c r="I4" s="3488" t="s">
        <v>160</v>
      </c>
      <c r="J4" s="4686" t="s">
        <v>658</v>
      </c>
      <c r="K4" s="4686" t="s">
        <v>659</v>
      </c>
      <c r="L4" s="3488" t="s">
        <v>160</v>
      </c>
      <c r="M4" s="4686" t="s">
        <v>658</v>
      </c>
      <c r="N4" s="4686" t="s">
        <v>659</v>
      </c>
      <c r="O4" s="3488" t="s">
        <v>160</v>
      </c>
    </row>
    <row r="5" spans="1:15" x14ac:dyDescent="0.2">
      <c r="A5" s="6838" t="s">
        <v>161</v>
      </c>
      <c r="B5" s="6783" t="s">
        <v>5</v>
      </c>
      <c r="C5" s="4106" t="s">
        <v>1246</v>
      </c>
      <c r="D5" s="4107">
        <v>1</v>
      </c>
      <c r="E5" s="4132"/>
      <c r="F5" s="3492">
        <f t="shared" ref="F5:F10" si="0">SUM(D5:E5)</f>
        <v>1</v>
      </c>
      <c r="G5" s="4107"/>
      <c r="H5" s="4132"/>
      <c r="I5" s="3492"/>
      <c r="J5" s="4107">
        <v>1</v>
      </c>
      <c r="K5" s="4132"/>
      <c r="L5" s="3497">
        <f>SUM(J5:K5)</f>
        <v>1</v>
      </c>
      <c r="M5" s="4107"/>
      <c r="N5" s="4132"/>
      <c r="O5" s="3497">
        <f>SUM(M5:N5)</f>
        <v>0</v>
      </c>
    </row>
    <row r="6" spans="1:15" x14ac:dyDescent="0.2">
      <c r="A6" s="6838"/>
      <c r="B6" s="6783"/>
      <c r="C6" s="4109" t="s">
        <v>1247</v>
      </c>
      <c r="D6" s="4110"/>
      <c r="E6" s="4114"/>
      <c r="F6" s="3497">
        <f t="shared" si="0"/>
        <v>0</v>
      </c>
      <c r="G6" s="4110"/>
      <c r="H6" s="4114">
        <v>1</v>
      </c>
      <c r="I6" s="3497">
        <f>SUM(G6:H6)</f>
        <v>1</v>
      </c>
      <c r="J6" s="4110">
        <v>2</v>
      </c>
      <c r="K6" s="4114"/>
      <c r="L6" s="3497">
        <f>SUM(J6:K6)</f>
        <v>2</v>
      </c>
      <c r="M6" s="4110">
        <v>2</v>
      </c>
      <c r="N6" s="4114"/>
      <c r="O6" s="3497">
        <f t="shared" ref="O6:O69" si="1">SUM(M6:N6)</f>
        <v>2</v>
      </c>
    </row>
    <row r="7" spans="1:15" x14ac:dyDescent="0.2">
      <c r="A7" s="6838"/>
      <c r="B7" s="6783"/>
      <c r="C7" s="4109" t="s">
        <v>1248</v>
      </c>
      <c r="D7" s="4110"/>
      <c r="E7" s="4114">
        <v>1</v>
      </c>
      <c r="F7" s="3497">
        <f t="shared" si="0"/>
        <v>1</v>
      </c>
      <c r="G7" s="4110"/>
      <c r="H7" s="4114"/>
      <c r="I7" s="3497"/>
      <c r="J7" s="4110"/>
      <c r="K7" s="4114"/>
      <c r="L7" s="3497">
        <f>SUM(J7:K7)</f>
        <v>0</v>
      </c>
      <c r="M7" s="4110"/>
      <c r="N7" s="4114"/>
      <c r="O7" s="3497">
        <f t="shared" si="1"/>
        <v>0</v>
      </c>
    </row>
    <row r="8" spans="1:15" x14ac:dyDescent="0.2">
      <c r="A8" s="6838"/>
      <c r="B8" s="6783"/>
      <c r="C8" s="4109" t="s">
        <v>1249</v>
      </c>
      <c r="D8" s="4110"/>
      <c r="E8" s="4114">
        <v>1</v>
      </c>
      <c r="F8" s="3497">
        <f t="shared" si="0"/>
        <v>1</v>
      </c>
      <c r="G8" s="4110"/>
      <c r="H8" s="4114">
        <v>1</v>
      </c>
      <c r="I8" s="3497">
        <f>SUM(G8:H8)</f>
        <v>1</v>
      </c>
      <c r="J8" s="4110"/>
      <c r="K8" s="4114"/>
      <c r="L8" s="3497">
        <f t="shared" ref="L8:L13" si="2">SUM(J8:K8)</f>
        <v>0</v>
      </c>
      <c r="M8" s="4110">
        <v>1</v>
      </c>
      <c r="N8" s="4114"/>
      <c r="O8" s="3497">
        <f t="shared" si="1"/>
        <v>1</v>
      </c>
    </row>
    <row r="9" spans="1:15" x14ac:dyDescent="0.2">
      <c r="A9" s="6838"/>
      <c r="B9" s="6783"/>
      <c r="C9" s="4109" t="s">
        <v>512</v>
      </c>
      <c r="D9" s="4110"/>
      <c r="E9" s="4114"/>
      <c r="F9" s="3497">
        <f t="shared" si="0"/>
        <v>0</v>
      </c>
      <c r="G9" s="4110"/>
      <c r="H9" s="4114">
        <v>1</v>
      </c>
      <c r="I9" s="3497">
        <f>SUM(G9:H9)</f>
        <v>1</v>
      </c>
      <c r="J9" s="4110"/>
      <c r="K9" s="4114">
        <v>1</v>
      </c>
      <c r="L9" s="3497">
        <f t="shared" si="2"/>
        <v>1</v>
      </c>
      <c r="M9" s="4110"/>
      <c r="N9" s="4114"/>
      <c r="O9" s="3497">
        <f t="shared" si="1"/>
        <v>0</v>
      </c>
    </row>
    <row r="10" spans="1:15" x14ac:dyDescent="0.2">
      <c r="A10" s="6838"/>
      <c r="B10" s="6783"/>
      <c r="C10" s="4109" t="s">
        <v>1251</v>
      </c>
      <c r="D10" s="4110">
        <v>2</v>
      </c>
      <c r="E10" s="4121">
        <v>1</v>
      </c>
      <c r="F10" s="3497">
        <f t="shared" si="0"/>
        <v>3</v>
      </c>
      <c r="G10" s="4110">
        <v>1</v>
      </c>
      <c r="H10" s="4121">
        <v>2</v>
      </c>
      <c r="I10" s="3497">
        <f>SUM(G10:H10)</f>
        <v>3</v>
      </c>
      <c r="J10" s="4110"/>
      <c r="K10" s="4121">
        <v>2</v>
      </c>
      <c r="L10" s="3497">
        <f t="shared" si="2"/>
        <v>2</v>
      </c>
      <c r="M10" s="4110"/>
      <c r="N10" s="4121">
        <v>2</v>
      </c>
      <c r="O10" s="3497">
        <f t="shared" si="1"/>
        <v>2</v>
      </c>
    </row>
    <row r="11" spans="1:15" x14ac:dyDescent="0.2">
      <c r="A11" s="6838"/>
      <c r="B11" s="6783"/>
      <c r="C11" s="4985" t="s">
        <v>1252</v>
      </c>
      <c r="D11" s="4110"/>
      <c r="E11" s="4121"/>
      <c r="F11" s="3497"/>
      <c r="G11" s="4110"/>
      <c r="H11" s="4121"/>
      <c r="I11" s="3497"/>
      <c r="J11" s="4110">
        <v>1</v>
      </c>
      <c r="K11" s="4121"/>
      <c r="L11" s="3497">
        <f t="shared" si="2"/>
        <v>1</v>
      </c>
      <c r="M11" s="4110"/>
      <c r="N11" s="4121"/>
      <c r="O11" s="3497">
        <f t="shared" si="1"/>
        <v>0</v>
      </c>
    </row>
    <row r="12" spans="1:15" x14ac:dyDescent="0.2">
      <c r="A12" s="6838"/>
      <c r="B12" s="6783"/>
      <c r="C12" s="4985" t="s">
        <v>1253</v>
      </c>
      <c r="D12" s="4110"/>
      <c r="E12" s="4121"/>
      <c r="F12" s="3497"/>
      <c r="G12" s="4110"/>
      <c r="H12" s="4121"/>
      <c r="I12" s="3497"/>
      <c r="J12" s="4110">
        <v>1</v>
      </c>
      <c r="K12" s="4121">
        <v>2</v>
      </c>
      <c r="L12" s="3497">
        <f t="shared" si="2"/>
        <v>3</v>
      </c>
      <c r="M12" s="4110"/>
      <c r="N12" s="4121"/>
      <c r="O12" s="3497">
        <f t="shared" si="1"/>
        <v>0</v>
      </c>
    </row>
    <row r="13" spans="1:15" x14ac:dyDescent="0.2">
      <c r="A13" s="6838"/>
      <c r="B13" s="6783"/>
      <c r="C13" s="4985" t="s">
        <v>1254</v>
      </c>
      <c r="D13" s="4110"/>
      <c r="E13" s="4121"/>
      <c r="F13" s="3497"/>
      <c r="G13" s="4110"/>
      <c r="H13" s="4121"/>
      <c r="I13" s="3497"/>
      <c r="J13" s="4110"/>
      <c r="K13" s="4121">
        <v>1</v>
      </c>
      <c r="L13" s="3497">
        <f t="shared" si="2"/>
        <v>1</v>
      </c>
      <c r="M13" s="4110"/>
      <c r="N13" s="4121"/>
      <c r="O13" s="3497">
        <f t="shared" si="1"/>
        <v>0</v>
      </c>
    </row>
    <row r="14" spans="1:15" x14ac:dyDescent="0.2">
      <c r="A14" s="6838"/>
      <c r="B14" s="6783"/>
      <c r="C14" s="4113" t="s">
        <v>160</v>
      </c>
      <c r="D14" s="3503">
        <f>SUM(D5:D10)</f>
        <v>3</v>
      </c>
      <c r="E14" s="3504">
        <f>SUM(E5:E10)</f>
        <v>3</v>
      </c>
      <c r="F14" s="3501">
        <f>SUM(F5:F10)</f>
        <v>6</v>
      </c>
      <c r="G14" s="3503">
        <f>SUM(G6:G10)</f>
        <v>1</v>
      </c>
      <c r="H14" s="3504">
        <f>SUM(H6:H10)</f>
        <v>5</v>
      </c>
      <c r="I14" s="3501">
        <f>SUM(I6:I10)</f>
        <v>6</v>
      </c>
      <c r="J14" s="3503">
        <f>SUM(J5:J13)</f>
        <v>5</v>
      </c>
      <c r="K14" s="3504">
        <f>SUM(K5:K13)</f>
        <v>6</v>
      </c>
      <c r="L14" s="3501">
        <f>SUM(L5:L13)</f>
        <v>11</v>
      </c>
      <c r="M14" s="3503">
        <f>SUM(M5:M13)</f>
        <v>3</v>
      </c>
      <c r="N14" s="3504">
        <f>SUM(N5:N13)</f>
        <v>2</v>
      </c>
      <c r="O14" s="3501">
        <f t="shared" si="1"/>
        <v>5</v>
      </c>
    </row>
    <row r="15" spans="1:15" s="3484" customFormat="1" x14ac:dyDescent="0.2">
      <c r="A15" s="6838"/>
      <c r="B15" s="6783" t="s">
        <v>6</v>
      </c>
      <c r="C15" s="4109" t="s">
        <v>456</v>
      </c>
      <c r="D15" s="4110"/>
      <c r="E15" s="4114">
        <v>1</v>
      </c>
      <c r="F15" s="3497">
        <f>SUM(D15:E15)</f>
        <v>1</v>
      </c>
      <c r="G15" s="4110">
        <v>1</v>
      </c>
      <c r="H15" s="4114"/>
      <c r="I15" s="3497">
        <f>SUM(G15:H15)</f>
        <v>1</v>
      </c>
      <c r="J15" s="4110">
        <v>5</v>
      </c>
      <c r="K15" s="4114">
        <v>1</v>
      </c>
      <c r="L15" s="3497">
        <f>SUM(J15:K15)</f>
        <v>6</v>
      </c>
      <c r="M15" s="4110">
        <v>4</v>
      </c>
      <c r="N15" s="4114"/>
      <c r="O15" s="3497">
        <f t="shared" si="1"/>
        <v>4</v>
      </c>
    </row>
    <row r="16" spans="1:15" s="3484" customFormat="1" x14ac:dyDescent="0.2">
      <c r="A16" s="6838"/>
      <c r="B16" s="6783"/>
      <c r="C16" s="4109" t="s">
        <v>457</v>
      </c>
      <c r="D16" s="4110">
        <v>2</v>
      </c>
      <c r="E16" s="4114">
        <v>1</v>
      </c>
      <c r="F16" s="3497">
        <f>SUM(D16:E16)</f>
        <v>3</v>
      </c>
      <c r="G16" s="4110">
        <v>3</v>
      </c>
      <c r="H16" s="4114"/>
      <c r="I16" s="3497">
        <f>SUM(G16:H16)</f>
        <v>3</v>
      </c>
      <c r="J16" s="4110">
        <v>2</v>
      </c>
      <c r="K16" s="4114"/>
      <c r="L16" s="3497">
        <f>SUM(J16:K16)</f>
        <v>2</v>
      </c>
      <c r="M16" s="4110"/>
      <c r="N16" s="4114">
        <v>2</v>
      </c>
      <c r="O16" s="3497">
        <f t="shared" si="1"/>
        <v>2</v>
      </c>
    </row>
    <row r="17" spans="1:15" s="3484" customFormat="1" x14ac:dyDescent="0.2">
      <c r="A17" s="6838"/>
      <c r="B17" s="6783"/>
      <c r="C17" s="4109" t="s">
        <v>458</v>
      </c>
      <c r="D17" s="4110"/>
      <c r="E17" s="4114"/>
      <c r="F17" s="3497"/>
      <c r="G17" s="4110"/>
      <c r="H17" s="4114"/>
      <c r="I17" s="3497"/>
      <c r="J17" s="4110"/>
      <c r="K17" s="4114">
        <v>1</v>
      </c>
      <c r="L17" s="3497">
        <f>SUM(J17:K17)</f>
        <v>1</v>
      </c>
      <c r="M17" s="4110"/>
      <c r="N17" s="4114"/>
      <c r="O17" s="3497">
        <f t="shared" si="1"/>
        <v>0</v>
      </c>
    </row>
    <row r="18" spans="1:15" s="3484" customFormat="1" x14ac:dyDescent="0.2">
      <c r="A18" s="6838"/>
      <c r="B18" s="6783"/>
      <c r="C18" s="4109" t="s">
        <v>459</v>
      </c>
      <c r="D18" s="4110"/>
      <c r="E18" s="4114"/>
      <c r="F18" s="3497">
        <f>SUM(D18:E18)</f>
        <v>0</v>
      </c>
      <c r="G18" s="4110">
        <v>1</v>
      </c>
      <c r="H18" s="4114"/>
      <c r="I18" s="3497">
        <f>SUM(G18:H18)</f>
        <v>1</v>
      </c>
      <c r="J18" s="4110">
        <v>1</v>
      </c>
      <c r="K18" s="4114"/>
      <c r="L18" s="3497">
        <f>SUM(J18:K18)</f>
        <v>1</v>
      </c>
      <c r="M18" s="4110">
        <v>1</v>
      </c>
      <c r="N18" s="4114">
        <v>1</v>
      </c>
      <c r="O18" s="3497">
        <f t="shared" si="1"/>
        <v>2</v>
      </c>
    </row>
    <row r="19" spans="1:15" x14ac:dyDescent="0.2">
      <c r="A19" s="6838"/>
      <c r="B19" s="6783"/>
      <c r="C19" s="4113" t="s">
        <v>160</v>
      </c>
      <c r="D19" s="3503">
        <f t="shared" ref="D19:I19" si="3">SUM(D15:D18)</f>
        <v>2</v>
      </c>
      <c r="E19" s="3504">
        <f t="shared" si="3"/>
        <v>2</v>
      </c>
      <c r="F19" s="3501">
        <f t="shared" si="3"/>
        <v>4</v>
      </c>
      <c r="G19" s="3503">
        <f t="shared" si="3"/>
        <v>5</v>
      </c>
      <c r="H19" s="3504">
        <f t="shared" si="3"/>
        <v>0</v>
      </c>
      <c r="I19" s="3501">
        <f t="shared" si="3"/>
        <v>5</v>
      </c>
      <c r="J19" s="3503">
        <f>SUM(J15:J18)</f>
        <v>8</v>
      </c>
      <c r="K19" s="3504">
        <f>SUM(K15:K18)</f>
        <v>2</v>
      </c>
      <c r="L19" s="3501">
        <f>SUM(L15:L18)</f>
        <v>10</v>
      </c>
      <c r="M19" s="3503">
        <f>SUM(M15:M18)</f>
        <v>5</v>
      </c>
      <c r="N19" s="3504">
        <f>SUM(N15:N18)</f>
        <v>3</v>
      </c>
      <c r="O19" s="3501">
        <f t="shared" si="1"/>
        <v>8</v>
      </c>
    </row>
    <row r="20" spans="1:15" s="3484" customFormat="1" x14ac:dyDescent="0.2">
      <c r="A20" s="6838"/>
      <c r="B20" s="6783" t="s">
        <v>7</v>
      </c>
      <c r="C20" s="4109" t="s">
        <v>460</v>
      </c>
      <c r="D20" s="4110">
        <v>3</v>
      </c>
      <c r="E20" s="4114"/>
      <c r="F20" s="3497">
        <f>SUM(D20:E20)</f>
        <v>3</v>
      </c>
      <c r="G20" s="4110">
        <v>6</v>
      </c>
      <c r="H20" s="4114"/>
      <c r="I20" s="3497">
        <f>SUM(G20:H20)</f>
        <v>6</v>
      </c>
      <c r="J20" s="4110">
        <v>5</v>
      </c>
      <c r="K20" s="4114">
        <v>1</v>
      </c>
      <c r="L20" s="3497">
        <f>SUM(J20:K20)</f>
        <v>6</v>
      </c>
      <c r="M20" s="4110">
        <v>2</v>
      </c>
      <c r="N20" s="4114">
        <v>3</v>
      </c>
      <c r="O20" s="3497">
        <f t="shared" si="1"/>
        <v>5</v>
      </c>
    </row>
    <row r="21" spans="1:15" x14ac:dyDescent="0.2">
      <c r="A21" s="6838"/>
      <c r="B21" s="6783"/>
      <c r="C21" s="4109" t="s">
        <v>461</v>
      </c>
      <c r="D21" s="4110">
        <v>3</v>
      </c>
      <c r="E21" s="4114"/>
      <c r="F21" s="3497">
        <f>SUM(D21:E21)</f>
        <v>3</v>
      </c>
      <c r="G21" s="4110"/>
      <c r="H21" s="4114"/>
      <c r="I21" s="3497">
        <f>SUM(G21:H21)</f>
        <v>0</v>
      </c>
      <c r="J21" s="4110">
        <v>1</v>
      </c>
      <c r="K21" s="4114">
        <v>1</v>
      </c>
      <c r="L21" s="3497">
        <f>SUM(J21:K21)</f>
        <v>2</v>
      </c>
      <c r="M21" s="4110"/>
      <c r="N21" s="4114">
        <v>1</v>
      </c>
      <c r="O21" s="3497">
        <f t="shared" si="1"/>
        <v>1</v>
      </c>
    </row>
    <row r="22" spans="1:15" s="3484" customFormat="1" x14ac:dyDescent="0.2">
      <c r="A22" s="6838"/>
      <c r="B22" s="6783"/>
      <c r="C22" s="4109" t="s">
        <v>462</v>
      </c>
      <c r="D22" s="4110"/>
      <c r="E22" s="4114"/>
      <c r="F22" s="3497">
        <f>SUM(D22:E22)</f>
        <v>0</v>
      </c>
      <c r="G22" s="4110">
        <v>1</v>
      </c>
      <c r="H22" s="4114">
        <v>1</v>
      </c>
      <c r="I22" s="3497">
        <f>SUM(G22:H22)</f>
        <v>2</v>
      </c>
      <c r="J22" s="4110"/>
      <c r="K22" s="4114"/>
      <c r="L22" s="3497">
        <f>SUM(J22:K22)</f>
        <v>0</v>
      </c>
      <c r="M22" s="4110">
        <v>2</v>
      </c>
      <c r="N22" s="4114"/>
      <c r="O22" s="3497">
        <f t="shared" si="1"/>
        <v>2</v>
      </c>
    </row>
    <row r="23" spans="1:15" s="3484" customFormat="1" x14ac:dyDescent="0.2">
      <c r="A23" s="6838"/>
      <c r="B23" s="6783"/>
      <c r="C23" s="4113" t="s">
        <v>160</v>
      </c>
      <c r="D23" s="3503">
        <f t="shared" ref="D23:I23" si="4">SUM(D20:D22)</f>
        <v>6</v>
      </c>
      <c r="E23" s="3504">
        <f t="shared" si="4"/>
        <v>0</v>
      </c>
      <c r="F23" s="3501">
        <f t="shared" si="4"/>
        <v>6</v>
      </c>
      <c r="G23" s="3503">
        <f t="shared" si="4"/>
        <v>7</v>
      </c>
      <c r="H23" s="3504">
        <f t="shared" si="4"/>
        <v>1</v>
      </c>
      <c r="I23" s="3501">
        <f t="shared" si="4"/>
        <v>8</v>
      </c>
      <c r="J23" s="3503">
        <f>SUM(J20:J22)</f>
        <v>6</v>
      </c>
      <c r="K23" s="3504">
        <f>SUM(K20:K22)</f>
        <v>2</v>
      </c>
      <c r="L23" s="3501">
        <f>SUM(L20:L22)</f>
        <v>8</v>
      </c>
      <c r="M23" s="3503">
        <f>SUM(M20:M22)</f>
        <v>4</v>
      </c>
      <c r="N23" s="3504">
        <f>SUM(N20:N22)</f>
        <v>4</v>
      </c>
      <c r="O23" s="3501">
        <f t="shared" si="1"/>
        <v>8</v>
      </c>
    </row>
    <row r="24" spans="1:15" ht="15" customHeight="1" x14ac:dyDescent="0.2">
      <c r="A24" s="6839"/>
      <c r="B24" s="6801" t="s">
        <v>444</v>
      </c>
      <c r="C24" s="6802"/>
      <c r="D24" s="4115">
        <f t="shared" ref="D24:I24" si="5">D23+D19+D14</f>
        <v>11</v>
      </c>
      <c r="E24" s="4116">
        <f t="shared" si="5"/>
        <v>5</v>
      </c>
      <c r="F24" s="4117">
        <f t="shared" si="5"/>
        <v>16</v>
      </c>
      <c r="G24" s="4115">
        <f t="shared" si="5"/>
        <v>13</v>
      </c>
      <c r="H24" s="4116">
        <f t="shared" si="5"/>
        <v>6</v>
      </c>
      <c r="I24" s="4117">
        <f t="shared" si="5"/>
        <v>19</v>
      </c>
      <c r="J24" s="4115">
        <f>J23+J19+J14</f>
        <v>19</v>
      </c>
      <c r="K24" s="4956">
        <f>K23+K19+K14</f>
        <v>10</v>
      </c>
      <c r="L24" s="4117">
        <f>L23+L19+L14</f>
        <v>29</v>
      </c>
      <c r="M24" s="4115">
        <f>M23+M19+M14</f>
        <v>12</v>
      </c>
      <c r="N24" s="5389">
        <f>N23+N19+N14</f>
        <v>9</v>
      </c>
      <c r="O24" s="4117">
        <f t="shared" si="1"/>
        <v>21</v>
      </c>
    </row>
    <row r="25" spans="1:15" s="3484" customFormat="1" ht="15" customHeight="1" x14ac:dyDescent="0.2">
      <c r="A25" s="6840" t="s">
        <v>407</v>
      </c>
      <c r="B25" s="6783" t="s">
        <v>9</v>
      </c>
      <c r="C25" s="4118" t="s">
        <v>499</v>
      </c>
      <c r="D25" s="4119">
        <v>4</v>
      </c>
      <c r="E25" s="4120">
        <v>1</v>
      </c>
      <c r="F25" s="3512">
        <f>SUM(D25:E25)</f>
        <v>5</v>
      </c>
      <c r="G25" s="4119">
        <v>1</v>
      </c>
      <c r="H25" s="4120"/>
      <c r="I25" s="3512">
        <f>SUM(G25:H25)</f>
        <v>1</v>
      </c>
      <c r="J25" s="4119"/>
      <c r="K25" s="4120">
        <v>1</v>
      </c>
      <c r="L25" s="3512">
        <f>SUM(J25:K25)</f>
        <v>1</v>
      </c>
      <c r="M25" s="4119">
        <v>1</v>
      </c>
      <c r="N25" s="4120">
        <v>1</v>
      </c>
      <c r="O25" s="3512">
        <f t="shared" si="1"/>
        <v>2</v>
      </c>
    </row>
    <row r="26" spans="1:15" s="3484" customFormat="1" ht="15" customHeight="1" x14ac:dyDescent="0.2">
      <c r="A26" s="6888"/>
      <c r="B26" s="6889"/>
      <c r="C26" s="5404" t="s">
        <v>497</v>
      </c>
      <c r="D26" s="4107"/>
      <c r="E26" s="4132"/>
      <c r="F26" s="3492"/>
      <c r="G26" s="4107"/>
      <c r="H26" s="4132"/>
      <c r="I26" s="3492"/>
      <c r="J26" s="4107"/>
      <c r="K26" s="4132"/>
      <c r="L26" s="3492"/>
      <c r="M26" s="4107"/>
      <c r="N26" s="4132">
        <v>1</v>
      </c>
      <c r="O26" s="3492">
        <f t="shared" si="1"/>
        <v>1</v>
      </c>
    </row>
    <row r="27" spans="1:15" s="3484" customFormat="1" ht="15" customHeight="1" x14ac:dyDescent="0.2">
      <c r="A27" s="6840"/>
      <c r="B27" s="6783"/>
      <c r="C27" s="4106" t="s">
        <v>498</v>
      </c>
      <c r="D27" s="4107"/>
      <c r="E27" s="4132"/>
      <c r="F27" s="3492"/>
      <c r="G27" s="4107"/>
      <c r="H27" s="4132"/>
      <c r="I27" s="3492"/>
      <c r="J27" s="4107"/>
      <c r="K27" s="4132">
        <v>1</v>
      </c>
      <c r="L27" s="3492">
        <f>SUM(J27:K27)</f>
        <v>1</v>
      </c>
      <c r="M27" s="4107"/>
      <c r="N27" s="4132"/>
      <c r="O27" s="3492">
        <f t="shared" si="1"/>
        <v>0</v>
      </c>
    </row>
    <row r="28" spans="1:15" x14ac:dyDescent="0.2">
      <c r="A28" s="6840"/>
      <c r="B28" s="6783"/>
      <c r="C28" s="4113" t="s">
        <v>160</v>
      </c>
      <c r="D28" s="3503">
        <f t="shared" ref="D28:I28" si="6">SUM(D25:D25)</f>
        <v>4</v>
      </c>
      <c r="E28" s="3504">
        <f t="shared" si="6"/>
        <v>1</v>
      </c>
      <c r="F28" s="3501">
        <f t="shared" si="6"/>
        <v>5</v>
      </c>
      <c r="G28" s="3503">
        <f t="shared" si="6"/>
        <v>1</v>
      </c>
      <c r="H28" s="3504">
        <f t="shared" si="6"/>
        <v>0</v>
      </c>
      <c r="I28" s="3501">
        <f t="shared" si="6"/>
        <v>1</v>
      </c>
      <c r="J28" s="3503">
        <f>SUM(J25:J25)</f>
        <v>0</v>
      </c>
      <c r="K28" s="3504">
        <f>SUM(K25:K27)</f>
        <v>2</v>
      </c>
      <c r="L28" s="3501">
        <f>SUM(L25:L27)</f>
        <v>2</v>
      </c>
      <c r="M28" s="3503">
        <f>SUM(M25:M27)</f>
        <v>1</v>
      </c>
      <c r="N28" s="3504">
        <f>SUM(N25:N27)</f>
        <v>2</v>
      </c>
      <c r="O28" s="3501">
        <f t="shared" si="1"/>
        <v>3</v>
      </c>
    </row>
    <row r="29" spans="1:15" x14ac:dyDescent="0.2">
      <c r="A29" s="6840"/>
      <c r="B29" s="6783" t="s">
        <v>74</v>
      </c>
      <c r="C29" s="4109" t="s">
        <v>1257</v>
      </c>
      <c r="D29" s="4110">
        <v>1</v>
      </c>
      <c r="E29" s="4121"/>
      <c r="F29" s="3497">
        <f>SUM(D29:E29)</f>
        <v>1</v>
      </c>
      <c r="G29" s="4110"/>
      <c r="H29" s="4121"/>
      <c r="I29" s="3497"/>
      <c r="J29" s="4110"/>
      <c r="K29" s="4121"/>
      <c r="L29" s="3497">
        <f>SUM(J29:K29)</f>
        <v>0</v>
      </c>
      <c r="M29" s="4110"/>
      <c r="N29" s="4121"/>
      <c r="O29" s="3497">
        <f t="shared" si="1"/>
        <v>0</v>
      </c>
    </row>
    <row r="30" spans="1:15" x14ac:dyDescent="0.2">
      <c r="A30" s="6888"/>
      <c r="B30" s="6889"/>
      <c r="C30" s="5403" t="s">
        <v>1657</v>
      </c>
      <c r="D30" s="4110"/>
      <c r="E30" s="4121"/>
      <c r="F30" s="3497"/>
      <c r="G30" s="4110"/>
      <c r="H30" s="4121"/>
      <c r="I30" s="3497"/>
      <c r="J30" s="4110"/>
      <c r="K30" s="4121"/>
      <c r="L30" s="3497"/>
      <c r="M30" s="4110"/>
      <c r="N30" s="4121">
        <v>1</v>
      </c>
      <c r="O30" s="3497">
        <f t="shared" si="1"/>
        <v>1</v>
      </c>
    </row>
    <row r="31" spans="1:15" x14ac:dyDescent="0.2">
      <c r="A31" s="6840"/>
      <c r="B31" s="6783"/>
      <c r="C31" s="4109" t="s">
        <v>500</v>
      </c>
      <c r="D31" s="4110"/>
      <c r="E31" s="4121"/>
      <c r="F31" s="3497">
        <f>SUM(D31:E31)</f>
        <v>0</v>
      </c>
      <c r="G31" s="4110">
        <v>2</v>
      </c>
      <c r="H31" s="4121"/>
      <c r="I31" s="3497">
        <f>SUM(G31:H31)</f>
        <v>2</v>
      </c>
      <c r="J31" s="4110"/>
      <c r="K31" s="4121"/>
      <c r="L31" s="3497">
        <f>SUM(J31:K31)</f>
        <v>0</v>
      </c>
      <c r="M31" s="4110"/>
      <c r="N31" s="4121"/>
      <c r="O31" s="3497">
        <f t="shared" si="1"/>
        <v>0</v>
      </c>
    </row>
    <row r="32" spans="1:15" x14ac:dyDescent="0.2">
      <c r="A32" s="6840"/>
      <c r="B32" s="6783"/>
      <c r="C32" s="4113" t="s">
        <v>160</v>
      </c>
      <c r="D32" s="3503">
        <f>SUM(D29:D31)</f>
        <v>1</v>
      </c>
      <c r="E32" s="3504">
        <f>SUM(E29:E31)</f>
        <v>0</v>
      </c>
      <c r="F32" s="3501">
        <f>SUM(F29:F31)</f>
        <v>1</v>
      </c>
      <c r="G32" s="3503">
        <f t="shared" ref="G32:L32" si="7">SUM(G31:G31)</f>
        <v>2</v>
      </c>
      <c r="H32" s="3504">
        <f t="shared" si="7"/>
        <v>0</v>
      </c>
      <c r="I32" s="3501">
        <f t="shared" si="7"/>
        <v>2</v>
      </c>
      <c r="J32" s="3503">
        <f t="shared" si="7"/>
        <v>0</v>
      </c>
      <c r="K32" s="3504">
        <f t="shared" si="7"/>
        <v>0</v>
      </c>
      <c r="L32" s="3501">
        <f t="shared" si="7"/>
        <v>0</v>
      </c>
      <c r="M32" s="3503">
        <f t="shared" ref="M32" si="8">SUM(M31:M31)</f>
        <v>0</v>
      </c>
      <c r="N32" s="3504">
        <f>SUM(N29:N31)</f>
        <v>1</v>
      </c>
      <c r="O32" s="3501">
        <f t="shared" si="1"/>
        <v>1</v>
      </c>
    </row>
    <row r="33" spans="1:15" x14ac:dyDescent="0.2">
      <c r="A33" s="6840"/>
      <c r="B33" s="6783" t="s">
        <v>6</v>
      </c>
      <c r="C33" s="4109" t="s">
        <v>456</v>
      </c>
      <c r="D33" s="4110"/>
      <c r="E33" s="4114"/>
      <c r="F33" s="3497">
        <f>SUM(D33:E33)</f>
        <v>0</v>
      </c>
      <c r="G33" s="4110">
        <v>1</v>
      </c>
      <c r="H33" s="4114"/>
      <c r="I33" s="3497">
        <f>SUM(G33:H33)</f>
        <v>1</v>
      </c>
      <c r="J33" s="4110"/>
      <c r="K33" s="4114"/>
      <c r="L33" s="3497">
        <f>SUM(J33:K33)</f>
        <v>0</v>
      </c>
      <c r="M33" s="4110"/>
      <c r="N33" s="4114"/>
      <c r="O33" s="3497">
        <f t="shared" si="1"/>
        <v>0</v>
      </c>
    </row>
    <row r="34" spans="1:15" x14ac:dyDescent="0.2">
      <c r="A34" s="6840"/>
      <c r="B34" s="6874"/>
      <c r="C34" s="4109" t="s">
        <v>457</v>
      </c>
      <c r="D34" s="4986"/>
      <c r="E34" s="4987"/>
      <c r="F34" s="4988"/>
      <c r="G34" s="4986"/>
      <c r="H34" s="4987"/>
      <c r="I34" s="4988"/>
      <c r="J34" s="4986">
        <v>1</v>
      </c>
      <c r="K34" s="4987"/>
      <c r="L34" s="3497">
        <f>SUM(J34:K34)</f>
        <v>1</v>
      </c>
      <c r="M34" s="4986"/>
      <c r="N34" s="4987"/>
      <c r="O34" s="3497">
        <f t="shared" si="1"/>
        <v>0</v>
      </c>
    </row>
    <row r="35" spans="1:15" x14ac:dyDescent="0.2">
      <c r="A35" s="6888"/>
      <c r="B35" s="6890"/>
      <c r="C35" s="5403" t="s">
        <v>495</v>
      </c>
      <c r="D35" s="4986"/>
      <c r="E35" s="4987"/>
      <c r="F35" s="4988"/>
      <c r="G35" s="4986"/>
      <c r="H35" s="4987"/>
      <c r="I35" s="4988"/>
      <c r="J35" s="4986"/>
      <c r="K35" s="4987"/>
      <c r="L35" s="3497"/>
      <c r="M35" s="4986"/>
      <c r="N35" s="4987">
        <v>2</v>
      </c>
      <c r="O35" s="3497">
        <f t="shared" si="1"/>
        <v>2</v>
      </c>
    </row>
    <row r="36" spans="1:15" x14ac:dyDescent="0.2">
      <c r="A36" s="6840"/>
      <c r="B36" s="6874"/>
      <c r="C36" s="4985" t="s">
        <v>1530</v>
      </c>
      <c r="D36" s="4986"/>
      <c r="E36" s="4987"/>
      <c r="F36" s="4988"/>
      <c r="G36" s="4986"/>
      <c r="H36" s="4987"/>
      <c r="I36" s="4988"/>
      <c r="J36" s="4986"/>
      <c r="K36" s="4987">
        <v>1</v>
      </c>
      <c r="L36" s="3497">
        <f>SUM(J36:K36)</f>
        <v>1</v>
      </c>
      <c r="M36" s="4986">
        <v>1</v>
      </c>
      <c r="N36" s="4987">
        <v>1</v>
      </c>
      <c r="O36" s="3497">
        <f t="shared" si="1"/>
        <v>2</v>
      </c>
    </row>
    <row r="37" spans="1:15" x14ac:dyDescent="0.2">
      <c r="A37" s="6840"/>
      <c r="B37" s="6777"/>
      <c r="C37" s="4113" t="s">
        <v>160</v>
      </c>
      <c r="D37" s="3505">
        <f t="shared" ref="D37:I37" si="9">SUM(D33:D33)</f>
        <v>0</v>
      </c>
      <c r="E37" s="3506">
        <f t="shared" si="9"/>
        <v>0</v>
      </c>
      <c r="F37" s="3502">
        <f t="shared" si="9"/>
        <v>0</v>
      </c>
      <c r="G37" s="3505">
        <f t="shared" si="9"/>
        <v>1</v>
      </c>
      <c r="H37" s="3506">
        <f t="shared" si="9"/>
        <v>0</v>
      </c>
      <c r="I37" s="3502">
        <f t="shared" si="9"/>
        <v>1</v>
      </c>
      <c r="J37" s="3505">
        <f>SUM(J33:J36)</f>
        <v>1</v>
      </c>
      <c r="K37" s="3506">
        <f>SUM(K33:K36)</f>
        <v>1</v>
      </c>
      <c r="L37" s="3502">
        <f>SUM(L33:L36)</f>
        <v>2</v>
      </c>
      <c r="M37" s="3505">
        <f>SUM(M33:M36)</f>
        <v>1</v>
      </c>
      <c r="N37" s="3506">
        <f>SUM(N33:N36)</f>
        <v>3</v>
      </c>
      <c r="O37" s="3502">
        <f t="shared" si="1"/>
        <v>4</v>
      </c>
    </row>
    <row r="38" spans="1:15" x14ac:dyDescent="0.2">
      <c r="A38" s="6841"/>
      <c r="B38" s="6805" t="s">
        <v>444</v>
      </c>
      <c r="C38" s="6806"/>
      <c r="D38" s="4122">
        <f t="shared" ref="D38:I38" si="10">D37+D32+D28</f>
        <v>5</v>
      </c>
      <c r="E38" s="4123">
        <f t="shared" si="10"/>
        <v>1</v>
      </c>
      <c r="F38" s="4124">
        <f t="shared" si="10"/>
        <v>6</v>
      </c>
      <c r="G38" s="4122">
        <f t="shared" si="10"/>
        <v>4</v>
      </c>
      <c r="H38" s="4123">
        <f t="shared" si="10"/>
        <v>0</v>
      </c>
      <c r="I38" s="4124">
        <f t="shared" si="10"/>
        <v>4</v>
      </c>
      <c r="J38" s="4122">
        <f>J37+J32+J28</f>
        <v>1</v>
      </c>
      <c r="K38" s="4957">
        <f>K37+K32+K28</f>
        <v>3</v>
      </c>
      <c r="L38" s="4124">
        <f>L37+L32+L28</f>
        <v>4</v>
      </c>
      <c r="M38" s="4122">
        <f>M37+M32+M28</f>
        <v>2</v>
      </c>
      <c r="N38" s="5392">
        <f>N37+N32+N28</f>
        <v>6</v>
      </c>
      <c r="O38" s="4124">
        <f t="shared" si="1"/>
        <v>8</v>
      </c>
    </row>
    <row r="39" spans="1:15" x14ac:dyDescent="0.2">
      <c r="A39" s="6886" t="s">
        <v>162</v>
      </c>
      <c r="B39" s="6874" t="s">
        <v>5</v>
      </c>
      <c r="C39" s="4118" t="s">
        <v>466</v>
      </c>
      <c r="D39" s="4119"/>
      <c r="E39" s="4120"/>
      <c r="F39" s="3512"/>
      <c r="G39" s="4119"/>
      <c r="H39" s="4120"/>
      <c r="I39" s="3512"/>
      <c r="J39" s="4119">
        <v>1</v>
      </c>
      <c r="K39" s="4120"/>
      <c r="L39" s="3512">
        <f>SUM(J39:K39)</f>
        <v>1</v>
      </c>
      <c r="M39" s="4119"/>
      <c r="N39" s="4120"/>
      <c r="O39" s="3512">
        <f t="shared" si="1"/>
        <v>0</v>
      </c>
    </row>
    <row r="40" spans="1:15" ht="15" customHeight="1" x14ac:dyDescent="0.2">
      <c r="A40" s="6887"/>
      <c r="B40" s="6778"/>
      <c r="C40" s="4989" t="s">
        <v>1258</v>
      </c>
      <c r="D40" s="4110"/>
      <c r="E40" s="4114"/>
      <c r="F40" s="3497">
        <f>SUM(D40:E40)</f>
        <v>0</v>
      </c>
      <c r="G40" s="4110">
        <v>2</v>
      </c>
      <c r="H40" s="4114"/>
      <c r="I40" s="3497">
        <f>SUM(G40:H40)</f>
        <v>2</v>
      </c>
      <c r="J40" s="4110"/>
      <c r="K40" s="4114">
        <v>1</v>
      </c>
      <c r="L40" s="3497">
        <f>SUM(J40:K40)</f>
        <v>1</v>
      </c>
      <c r="M40" s="4110">
        <v>1</v>
      </c>
      <c r="N40" s="4114"/>
      <c r="O40" s="3497">
        <f t="shared" si="1"/>
        <v>1</v>
      </c>
    </row>
    <row r="41" spans="1:15" ht="15" customHeight="1" x14ac:dyDescent="0.2">
      <c r="A41" s="6887"/>
      <c r="B41" s="6778"/>
      <c r="C41" s="4989" t="s">
        <v>467</v>
      </c>
      <c r="D41" s="4110">
        <v>1</v>
      </c>
      <c r="E41" s="4121"/>
      <c r="F41" s="3497">
        <f>SUM(D41:E41)</f>
        <v>1</v>
      </c>
      <c r="G41" s="4110"/>
      <c r="H41" s="4121"/>
      <c r="I41" s="3497"/>
      <c r="J41" s="4110"/>
      <c r="K41" s="4121"/>
      <c r="L41" s="3497"/>
      <c r="M41" s="4110">
        <v>2</v>
      </c>
      <c r="N41" s="4121"/>
      <c r="O41" s="3497">
        <f t="shared" si="1"/>
        <v>2</v>
      </c>
    </row>
    <row r="42" spans="1:15" s="3484" customFormat="1" ht="15" customHeight="1" x14ac:dyDescent="0.2">
      <c r="A42" s="6887"/>
      <c r="B42" s="6779"/>
      <c r="C42" s="5405" t="s">
        <v>160</v>
      </c>
      <c r="D42" s="3505">
        <f t="shared" ref="D42:I42" si="11">SUM(D40:D41)</f>
        <v>1</v>
      </c>
      <c r="E42" s="3506">
        <f t="shared" si="11"/>
        <v>0</v>
      </c>
      <c r="F42" s="3502">
        <f t="shared" si="11"/>
        <v>1</v>
      </c>
      <c r="G42" s="3505">
        <f t="shared" si="11"/>
        <v>2</v>
      </c>
      <c r="H42" s="3506">
        <f t="shared" si="11"/>
        <v>0</v>
      </c>
      <c r="I42" s="3502">
        <f t="shared" si="11"/>
        <v>2</v>
      </c>
      <c r="J42" s="3505">
        <f>SUM(J39:J41)</f>
        <v>1</v>
      </c>
      <c r="K42" s="3506">
        <f>SUM(K40:K41)</f>
        <v>1</v>
      </c>
      <c r="L42" s="3502">
        <f>SUM(L39:L41)</f>
        <v>2</v>
      </c>
      <c r="M42" s="3505">
        <f>SUM(M40:M41)</f>
        <v>3</v>
      </c>
      <c r="N42" s="3506">
        <f>SUM(N39:N41)</f>
        <v>0</v>
      </c>
      <c r="O42" s="3502">
        <f t="shared" si="1"/>
        <v>3</v>
      </c>
    </row>
    <row r="43" spans="1:15" s="3484" customFormat="1" ht="15" customHeight="1" x14ac:dyDescent="0.2">
      <c r="A43" s="6887"/>
      <c r="B43" s="6778" t="s">
        <v>6</v>
      </c>
      <c r="C43" s="5404" t="s">
        <v>456</v>
      </c>
      <c r="D43" s="4107"/>
      <c r="E43" s="4132"/>
      <c r="F43" s="3492"/>
      <c r="G43" s="4107"/>
      <c r="H43" s="4132"/>
      <c r="I43" s="3492"/>
      <c r="J43" s="4107"/>
      <c r="K43" s="4132"/>
      <c r="L43" s="3492"/>
      <c r="M43" s="4107">
        <v>2</v>
      </c>
      <c r="N43" s="4132">
        <v>1</v>
      </c>
      <c r="O43" s="3492">
        <f t="shared" si="1"/>
        <v>3</v>
      </c>
    </row>
    <row r="44" spans="1:15" x14ac:dyDescent="0.2">
      <c r="A44" s="6887"/>
      <c r="B44" s="6778"/>
      <c r="C44" s="4989" t="s">
        <v>470</v>
      </c>
      <c r="D44" s="4110">
        <v>1</v>
      </c>
      <c r="E44" s="4114"/>
      <c r="F44" s="3497">
        <f t="shared" ref="F44:F53" si="12">SUM(D44:E44)</f>
        <v>1</v>
      </c>
      <c r="G44" s="4110">
        <v>2</v>
      </c>
      <c r="H44" s="4114"/>
      <c r="I44" s="3497">
        <f t="shared" ref="I44:I53" si="13">SUM(G44:H44)</f>
        <v>2</v>
      </c>
      <c r="J44" s="4110">
        <v>2</v>
      </c>
      <c r="K44" s="4114"/>
      <c r="L44" s="3497">
        <f t="shared" ref="L44:L53" si="14">SUM(J44:K44)</f>
        <v>2</v>
      </c>
      <c r="M44" s="4110">
        <v>1</v>
      </c>
      <c r="N44" s="4114"/>
      <c r="O44" s="3497">
        <f t="shared" si="1"/>
        <v>1</v>
      </c>
    </row>
    <row r="45" spans="1:15" x14ac:dyDescent="0.2">
      <c r="A45" s="6887"/>
      <c r="B45" s="6778"/>
      <c r="C45" s="4109" t="s">
        <v>475</v>
      </c>
      <c r="D45" s="4110"/>
      <c r="E45" s="4114">
        <v>2</v>
      </c>
      <c r="F45" s="3497">
        <f t="shared" si="12"/>
        <v>2</v>
      </c>
      <c r="G45" s="4110">
        <v>1</v>
      </c>
      <c r="H45" s="4114"/>
      <c r="I45" s="3497">
        <f t="shared" si="13"/>
        <v>1</v>
      </c>
      <c r="J45" s="4110"/>
      <c r="K45" s="4114">
        <v>1</v>
      </c>
      <c r="L45" s="3497">
        <f t="shared" si="14"/>
        <v>1</v>
      </c>
      <c r="M45" s="4110"/>
      <c r="N45" s="4114"/>
      <c r="O45" s="3497">
        <f t="shared" si="1"/>
        <v>0</v>
      </c>
    </row>
    <row r="46" spans="1:15" s="3484" customFormat="1" ht="15" customHeight="1" x14ac:dyDescent="0.2">
      <c r="A46" s="6887"/>
      <c r="B46" s="6778"/>
      <c r="C46" s="4109" t="s">
        <v>458</v>
      </c>
      <c r="D46" s="4110"/>
      <c r="E46" s="4114"/>
      <c r="F46" s="3497">
        <f t="shared" si="12"/>
        <v>0</v>
      </c>
      <c r="G46" s="4110"/>
      <c r="H46" s="4114"/>
      <c r="I46" s="3497">
        <f t="shared" si="13"/>
        <v>0</v>
      </c>
      <c r="J46" s="4110"/>
      <c r="K46" s="4114"/>
      <c r="L46" s="3497">
        <f t="shared" si="14"/>
        <v>0</v>
      </c>
      <c r="M46" s="4110"/>
      <c r="N46" s="4114"/>
      <c r="O46" s="3497">
        <f t="shared" si="1"/>
        <v>0</v>
      </c>
    </row>
    <row r="47" spans="1:15" x14ac:dyDescent="0.2">
      <c r="A47" s="6887"/>
      <c r="B47" s="6778"/>
      <c r="C47" s="4109" t="s">
        <v>472</v>
      </c>
      <c r="D47" s="4110"/>
      <c r="E47" s="4114"/>
      <c r="F47" s="3497">
        <f t="shared" si="12"/>
        <v>0</v>
      </c>
      <c r="G47" s="4110">
        <v>1</v>
      </c>
      <c r="H47" s="4114"/>
      <c r="I47" s="3497">
        <f t="shared" si="13"/>
        <v>1</v>
      </c>
      <c r="J47" s="4110">
        <v>1</v>
      </c>
      <c r="K47" s="4114"/>
      <c r="L47" s="3497">
        <f t="shared" si="14"/>
        <v>1</v>
      </c>
      <c r="M47" s="4110"/>
      <c r="N47" s="4114">
        <v>2</v>
      </c>
      <c r="O47" s="3497">
        <f t="shared" si="1"/>
        <v>2</v>
      </c>
    </row>
    <row r="48" spans="1:15" x14ac:dyDescent="0.2">
      <c r="A48" s="6887"/>
      <c r="B48" s="6778"/>
      <c r="C48" s="4109" t="s">
        <v>477</v>
      </c>
      <c r="D48" s="4110"/>
      <c r="E48" s="4121"/>
      <c r="F48" s="3497">
        <f t="shared" si="12"/>
        <v>0</v>
      </c>
      <c r="G48" s="4110">
        <v>1</v>
      </c>
      <c r="H48" s="4121"/>
      <c r="I48" s="3497">
        <f t="shared" si="13"/>
        <v>1</v>
      </c>
      <c r="J48" s="4110"/>
      <c r="K48" s="4121"/>
      <c r="L48" s="3497">
        <f t="shared" si="14"/>
        <v>0</v>
      </c>
      <c r="M48" s="4110"/>
      <c r="N48" s="4121"/>
      <c r="O48" s="3497">
        <f t="shared" si="1"/>
        <v>0</v>
      </c>
    </row>
    <row r="49" spans="1:15" x14ac:dyDescent="0.2">
      <c r="A49" s="6887"/>
      <c r="B49" s="6778"/>
      <c r="C49" s="4109" t="s">
        <v>473</v>
      </c>
      <c r="D49" s="4110">
        <v>2</v>
      </c>
      <c r="E49" s="4114"/>
      <c r="F49" s="3497">
        <f t="shared" si="12"/>
        <v>2</v>
      </c>
      <c r="G49" s="4110">
        <v>1</v>
      </c>
      <c r="H49" s="4114">
        <v>1</v>
      </c>
      <c r="I49" s="3497">
        <f t="shared" si="13"/>
        <v>2</v>
      </c>
      <c r="J49" s="4110">
        <v>1</v>
      </c>
      <c r="K49" s="4114"/>
      <c r="L49" s="3497">
        <f t="shared" si="14"/>
        <v>1</v>
      </c>
      <c r="M49" s="4110">
        <v>1</v>
      </c>
      <c r="N49" s="4114"/>
      <c r="O49" s="3497">
        <f t="shared" si="1"/>
        <v>1</v>
      </c>
    </row>
    <row r="50" spans="1:15" x14ac:dyDescent="0.2">
      <c r="A50" s="6887"/>
      <c r="B50" s="6778"/>
      <c r="C50" s="4109" t="s">
        <v>471</v>
      </c>
      <c r="D50" s="4110"/>
      <c r="E50" s="4114"/>
      <c r="F50" s="3497">
        <f t="shared" si="12"/>
        <v>0</v>
      </c>
      <c r="G50" s="4110">
        <v>5</v>
      </c>
      <c r="H50" s="4114"/>
      <c r="I50" s="3497">
        <f t="shared" si="13"/>
        <v>5</v>
      </c>
      <c r="J50" s="4110">
        <v>1</v>
      </c>
      <c r="K50" s="4114"/>
      <c r="L50" s="3497">
        <f t="shared" si="14"/>
        <v>1</v>
      </c>
      <c r="M50" s="4110"/>
      <c r="N50" s="4114"/>
      <c r="O50" s="3497">
        <f t="shared" si="1"/>
        <v>0</v>
      </c>
    </row>
    <row r="51" spans="1:15" x14ac:dyDescent="0.2">
      <c r="A51" s="6887"/>
      <c r="B51" s="6778"/>
      <c r="C51" s="4109" t="s">
        <v>474</v>
      </c>
      <c r="D51" s="4110"/>
      <c r="E51" s="4114"/>
      <c r="F51" s="3497">
        <f t="shared" si="12"/>
        <v>0</v>
      </c>
      <c r="G51" s="4110"/>
      <c r="H51" s="4114">
        <v>1</v>
      </c>
      <c r="I51" s="3497">
        <f t="shared" si="13"/>
        <v>1</v>
      </c>
      <c r="J51" s="4110">
        <v>2</v>
      </c>
      <c r="K51" s="4114"/>
      <c r="L51" s="3497">
        <f t="shared" si="14"/>
        <v>2</v>
      </c>
      <c r="M51" s="4110">
        <v>4</v>
      </c>
      <c r="N51" s="4114">
        <v>1</v>
      </c>
      <c r="O51" s="3497">
        <f t="shared" si="1"/>
        <v>5</v>
      </c>
    </row>
    <row r="52" spans="1:15" x14ac:dyDescent="0.2">
      <c r="A52" s="6887"/>
      <c r="B52" s="6778"/>
      <c r="C52" s="4109" t="s">
        <v>476</v>
      </c>
      <c r="D52" s="4110"/>
      <c r="E52" s="4114"/>
      <c r="F52" s="3497">
        <f t="shared" si="12"/>
        <v>0</v>
      </c>
      <c r="G52" s="4110">
        <v>1</v>
      </c>
      <c r="H52" s="4114"/>
      <c r="I52" s="3497">
        <f t="shared" si="13"/>
        <v>1</v>
      </c>
      <c r="J52" s="4110">
        <v>1</v>
      </c>
      <c r="K52" s="4114"/>
      <c r="L52" s="3497">
        <f t="shared" si="14"/>
        <v>1</v>
      </c>
      <c r="M52" s="4110"/>
      <c r="N52" s="4114"/>
      <c r="O52" s="3497">
        <f t="shared" si="1"/>
        <v>0</v>
      </c>
    </row>
    <row r="53" spans="1:15" s="3484" customFormat="1" x14ac:dyDescent="0.2">
      <c r="A53" s="6887"/>
      <c r="B53" s="6778"/>
      <c r="C53" s="4109" t="s">
        <v>459</v>
      </c>
      <c r="D53" s="4110">
        <v>3</v>
      </c>
      <c r="E53" s="4114">
        <v>1</v>
      </c>
      <c r="F53" s="3497">
        <f t="shared" si="12"/>
        <v>4</v>
      </c>
      <c r="G53" s="4110">
        <v>4</v>
      </c>
      <c r="H53" s="4114"/>
      <c r="I53" s="3497">
        <f t="shared" si="13"/>
        <v>4</v>
      </c>
      <c r="J53" s="4110">
        <v>1</v>
      </c>
      <c r="K53" s="4114">
        <v>2</v>
      </c>
      <c r="L53" s="3497">
        <f t="shared" si="14"/>
        <v>3</v>
      </c>
      <c r="M53" s="4110">
        <v>1</v>
      </c>
      <c r="N53" s="4114">
        <v>1</v>
      </c>
      <c r="O53" s="3497">
        <f t="shared" si="1"/>
        <v>2</v>
      </c>
    </row>
    <row r="54" spans="1:15" s="3484" customFormat="1" x14ac:dyDescent="0.2">
      <c r="A54" s="6887"/>
      <c r="B54" s="6779"/>
      <c r="C54" s="4113" t="s">
        <v>160</v>
      </c>
      <c r="D54" s="3503">
        <f t="shared" ref="D54:I54" si="15">SUM(D44:D53)</f>
        <v>6</v>
      </c>
      <c r="E54" s="3504">
        <f t="shared" si="15"/>
        <v>3</v>
      </c>
      <c r="F54" s="3501">
        <f t="shared" si="15"/>
        <v>9</v>
      </c>
      <c r="G54" s="3503">
        <f t="shared" si="15"/>
        <v>16</v>
      </c>
      <c r="H54" s="3504">
        <f t="shared" si="15"/>
        <v>2</v>
      </c>
      <c r="I54" s="3501">
        <f t="shared" si="15"/>
        <v>18</v>
      </c>
      <c r="J54" s="3503">
        <f>SUM(J44:J53)</f>
        <v>9</v>
      </c>
      <c r="K54" s="3504">
        <f>SUM(K44:K53)</f>
        <v>3</v>
      </c>
      <c r="L54" s="3501">
        <f>SUM(L44:L53)</f>
        <v>12</v>
      </c>
      <c r="M54" s="3503">
        <f>SUM(M43:M53)</f>
        <v>9</v>
      </c>
      <c r="N54" s="3504">
        <f>SUM(N43:N53)</f>
        <v>5</v>
      </c>
      <c r="O54" s="3501">
        <f t="shared" si="1"/>
        <v>14</v>
      </c>
    </row>
    <row r="55" spans="1:15" s="3484" customFormat="1" x14ac:dyDescent="0.2">
      <c r="A55" s="6887"/>
      <c r="B55" s="4961"/>
      <c r="C55" s="4985" t="s">
        <v>478</v>
      </c>
      <c r="D55" s="4110"/>
      <c r="E55" s="4114"/>
      <c r="F55" s="3497"/>
      <c r="G55" s="4110"/>
      <c r="H55" s="4114"/>
      <c r="I55" s="3497"/>
      <c r="J55" s="4110">
        <v>1</v>
      </c>
      <c r="K55" s="4114"/>
      <c r="L55" s="3497">
        <f>SUM(J55:K55)</f>
        <v>1</v>
      </c>
      <c r="M55" s="4110">
        <v>1</v>
      </c>
      <c r="N55" s="4114"/>
      <c r="O55" s="3497">
        <f t="shared" si="1"/>
        <v>1</v>
      </c>
    </row>
    <row r="56" spans="1:15" x14ac:dyDescent="0.2">
      <c r="A56" s="6887"/>
      <c r="B56" s="6778" t="s">
        <v>11</v>
      </c>
      <c r="C56" s="4109" t="s">
        <v>479</v>
      </c>
      <c r="D56" s="4110"/>
      <c r="E56" s="4114">
        <v>1</v>
      </c>
      <c r="F56" s="3497">
        <f>SUM(D56:E56)</f>
        <v>1</v>
      </c>
      <c r="G56" s="4110"/>
      <c r="H56" s="4114"/>
      <c r="I56" s="3497"/>
      <c r="J56" s="4110"/>
      <c r="K56" s="4114"/>
      <c r="L56" s="3497"/>
      <c r="M56" s="4110"/>
      <c r="N56" s="4114"/>
      <c r="O56" s="3497">
        <f t="shared" si="1"/>
        <v>0</v>
      </c>
    </row>
    <row r="57" spans="1:15" x14ac:dyDescent="0.2">
      <c r="A57" s="6887"/>
      <c r="B57" s="6778"/>
      <c r="C57" s="4109" t="s">
        <v>1365</v>
      </c>
      <c r="D57" s="4110"/>
      <c r="E57" s="4114"/>
      <c r="F57" s="3497">
        <f>SUM(D57:E57)</f>
        <v>0</v>
      </c>
      <c r="G57" s="4110">
        <v>1</v>
      </c>
      <c r="H57" s="4114"/>
      <c r="I57" s="3497">
        <f>SUM(G57:H57)</f>
        <v>1</v>
      </c>
      <c r="J57" s="4110"/>
      <c r="K57" s="4114"/>
      <c r="L57" s="3497">
        <f>SUM(J57:K57)</f>
        <v>0</v>
      </c>
      <c r="M57" s="4110"/>
      <c r="N57" s="4114"/>
      <c r="O57" s="3497">
        <f t="shared" si="1"/>
        <v>0</v>
      </c>
    </row>
    <row r="58" spans="1:15" x14ac:dyDescent="0.2">
      <c r="A58" s="6887"/>
      <c r="B58" s="6779"/>
      <c r="C58" s="4125" t="s">
        <v>160</v>
      </c>
      <c r="D58" s="3505">
        <f t="shared" ref="D58:I58" si="16">SUM(D56:D57)</f>
        <v>0</v>
      </c>
      <c r="E58" s="3506">
        <f t="shared" si="16"/>
        <v>1</v>
      </c>
      <c r="F58" s="3502">
        <f t="shared" si="16"/>
        <v>1</v>
      </c>
      <c r="G58" s="3505">
        <f t="shared" si="16"/>
        <v>1</v>
      </c>
      <c r="H58" s="3506">
        <f t="shared" si="16"/>
        <v>0</v>
      </c>
      <c r="I58" s="3502">
        <f t="shared" si="16"/>
        <v>1</v>
      </c>
      <c r="J58" s="3505">
        <f>SUM(J55:J57)</f>
        <v>1</v>
      </c>
      <c r="K58" s="3506">
        <f>SUM(K55:K57)</f>
        <v>0</v>
      </c>
      <c r="L58" s="3502">
        <f>SUM(L55:L57)</f>
        <v>1</v>
      </c>
      <c r="M58" s="3505">
        <f>SUM(M55:M57)</f>
        <v>1</v>
      </c>
      <c r="N58" s="3506">
        <f>SUM(N55:N57)</f>
        <v>0</v>
      </c>
      <c r="O58" s="3502">
        <f t="shared" si="1"/>
        <v>1</v>
      </c>
    </row>
    <row r="59" spans="1:15" x14ac:dyDescent="0.2">
      <c r="A59" s="6850"/>
      <c r="B59" s="6775" t="s">
        <v>444</v>
      </c>
      <c r="C59" s="6776"/>
      <c r="D59" s="4126">
        <f>D58+D54+D42</f>
        <v>7</v>
      </c>
      <c r="E59" s="4127">
        <f>E58+E54+E42</f>
        <v>4</v>
      </c>
      <c r="F59" s="4128">
        <f>F58+F54+F42</f>
        <v>11</v>
      </c>
      <c r="G59" s="4126">
        <f t="shared" ref="G59:L59" si="17">SUM(G42,G54,G58)</f>
        <v>19</v>
      </c>
      <c r="H59" s="4127">
        <f t="shared" si="17"/>
        <v>2</v>
      </c>
      <c r="I59" s="4128">
        <f t="shared" si="17"/>
        <v>21</v>
      </c>
      <c r="J59" s="4126">
        <f t="shared" si="17"/>
        <v>11</v>
      </c>
      <c r="K59" s="4960">
        <f t="shared" si="17"/>
        <v>4</v>
      </c>
      <c r="L59" s="4128">
        <f t="shared" si="17"/>
        <v>15</v>
      </c>
      <c r="M59" s="4126">
        <f t="shared" ref="M59" si="18">SUM(M42,M54,M58)</f>
        <v>13</v>
      </c>
      <c r="N59" s="5396">
        <f>SUM(N42,N54,N58)</f>
        <v>5</v>
      </c>
      <c r="O59" s="4128">
        <f t="shared" si="1"/>
        <v>18</v>
      </c>
    </row>
    <row r="60" spans="1:15" x14ac:dyDescent="0.2">
      <c r="A60" s="6843" t="s">
        <v>163</v>
      </c>
      <c r="B60" s="6783" t="s">
        <v>6</v>
      </c>
      <c r="C60" s="4106" t="s">
        <v>456</v>
      </c>
      <c r="D60" s="4107"/>
      <c r="E60" s="4132"/>
      <c r="F60" s="3492">
        <f>SUM(D60:E60)</f>
        <v>0</v>
      </c>
      <c r="G60" s="4107"/>
      <c r="H60" s="4132">
        <v>2</v>
      </c>
      <c r="I60" s="3492">
        <f>SUM(G60:H60)</f>
        <v>2</v>
      </c>
      <c r="J60" s="4107">
        <v>1</v>
      </c>
      <c r="K60" s="4132"/>
      <c r="L60" s="3492">
        <f>SUM(J60:K60)</f>
        <v>1</v>
      </c>
      <c r="M60" s="4107"/>
      <c r="N60" s="4132"/>
      <c r="O60" s="3492">
        <f t="shared" si="1"/>
        <v>0</v>
      </c>
    </row>
    <row r="61" spans="1:15" x14ac:dyDescent="0.2">
      <c r="A61" s="6843"/>
      <c r="B61" s="6783"/>
      <c r="C61" s="4990" t="s">
        <v>484</v>
      </c>
      <c r="D61" s="4107"/>
      <c r="E61" s="4132"/>
      <c r="F61" s="3492"/>
      <c r="G61" s="4107"/>
      <c r="H61" s="4132"/>
      <c r="I61" s="3492"/>
      <c r="J61" s="4107">
        <v>1</v>
      </c>
      <c r="K61" s="4132">
        <v>1</v>
      </c>
      <c r="L61" s="3492">
        <f>SUM(J61:K61)</f>
        <v>2</v>
      </c>
      <c r="M61" s="4107"/>
      <c r="N61" s="4132"/>
      <c r="O61" s="3492">
        <f t="shared" si="1"/>
        <v>0</v>
      </c>
    </row>
    <row r="62" spans="1:15" x14ac:dyDescent="0.2">
      <c r="A62" s="6843"/>
      <c r="B62" s="6783"/>
      <c r="C62" s="4106" t="s">
        <v>458</v>
      </c>
      <c r="D62" s="4107"/>
      <c r="E62" s="4132"/>
      <c r="F62" s="3492"/>
      <c r="G62" s="4107"/>
      <c r="H62" s="4132"/>
      <c r="I62" s="3492"/>
      <c r="J62" s="4107">
        <v>1</v>
      </c>
      <c r="K62" s="4132"/>
      <c r="L62" s="3492">
        <f>SUM(J62:K62)</f>
        <v>1</v>
      </c>
      <c r="M62" s="4107"/>
      <c r="N62" s="4132"/>
      <c r="O62" s="3492">
        <f t="shared" si="1"/>
        <v>0</v>
      </c>
    </row>
    <row r="63" spans="1:15" x14ac:dyDescent="0.2">
      <c r="A63" s="6843"/>
      <c r="B63" s="6783"/>
      <c r="C63" s="4109" t="s">
        <v>485</v>
      </c>
      <c r="D63" s="4110">
        <v>1</v>
      </c>
      <c r="E63" s="4114"/>
      <c r="F63" s="3497">
        <f>SUM(D63:E63)</f>
        <v>1</v>
      </c>
      <c r="G63" s="4110">
        <v>1</v>
      </c>
      <c r="H63" s="4114"/>
      <c r="I63" s="3492">
        <f>SUM(G63:H63)</f>
        <v>1</v>
      </c>
      <c r="J63" s="4110"/>
      <c r="K63" s="4114">
        <v>1</v>
      </c>
      <c r="L63" s="3492">
        <f>SUM(J63:K63)</f>
        <v>1</v>
      </c>
      <c r="M63" s="4110"/>
      <c r="N63" s="4114"/>
      <c r="O63" s="3492">
        <f t="shared" si="1"/>
        <v>0</v>
      </c>
    </row>
    <row r="64" spans="1:15" x14ac:dyDescent="0.2">
      <c r="A64" s="6843"/>
      <c r="B64" s="6783"/>
      <c r="C64" s="4109" t="s">
        <v>459</v>
      </c>
      <c r="D64" s="4110"/>
      <c r="E64" s="4114"/>
      <c r="F64" s="3497">
        <f>SUM(D64:E64)</f>
        <v>0</v>
      </c>
      <c r="G64" s="4110">
        <v>1</v>
      </c>
      <c r="H64" s="4114"/>
      <c r="I64" s="3492">
        <f>SUM(G64:H64)</f>
        <v>1</v>
      </c>
      <c r="J64" s="4110">
        <v>1</v>
      </c>
      <c r="K64" s="4114">
        <v>1</v>
      </c>
      <c r="L64" s="3492">
        <f>SUM(J64:K64)</f>
        <v>2</v>
      </c>
      <c r="M64" s="4110"/>
      <c r="N64" s="4114"/>
      <c r="O64" s="3492">
        <f t="shared" si="1"/>
        <v>0</v>
      </c>
    </row>
    <row r="65" spans="1:15" x14ac:dyDescent="0.2">
      <c r="A65" s="6843"/>
      <c r="B65" s="6783"/>
      <c r="C65" s="4113" t="s">
        <v>160</v>
      </c>
      <c r="D65" s="3503">
        <f t="shared" ref="D65:I65" si="19">SUM(D60:D64)</f>
        <v>1</v>
      </c>
      <c r="E65" s="3504">
        <f t="shared" si="19"/>
        <v>0</v>
      </c>
      <c r="F65" s="3501">
        <f t="shared" si="19"/>
        <v>1</v>
      </c>
      <c r="G65" s="3503">
        <f t="shared" si="19"/>
        <v>2</v>
      </c>
      <c r="H65" s="3504">
        <f t="shared" si="19"/>
        <v>2</v>
      </c>
      <c r="I65" s="3501">
        <f t="shared" si="19"/>
        <v>4</v>
      </c>
      <c r="J65" s="3503">
        <f>SUM(J60:J64)</f>
        <v>4</v>
      </c>
      <c r="K65" s="3504">
        <f>SUM(K60:K64)</f>
        <v>3</v>
      </c>
      <c r="L65" s="3501">
        <f>SUM(L60:L64)</f>
        <v>7</v>
      </c>
      <c r="M65" s="3503">
        <f>SUM(M60:M64)</f>
        <v>0</v>
      </c>
      <c r="N65" s="3504">
        <f>SUM(N60:N64)</f>
        <v>0</v>
      </c>
      <c r="O65" s="3501">
        <f t="shared" si="1"/>
        <v>0</v>
      </c>
    </row>
    <row r="66" spans="1:15" x14ac:dyDescent="0.2">
      <c r="A66" s="6843"/>
      <c r="B66" s="6783" t="s">
        <v>11</v>
      </c>
      <c r="C66" s="4109" t="s">
        <v>491</v>
      </c>
      <c r="D66" s="4110"/>
      <c r="E66" s="4114"/>
      <c r="F66" s="3497">
        <f t="shared" ref="F66:F71" si="20">SUM(D66:E66)</f>
        <v>0</v>
      </c>
      <c r="G66" s="4110">
        <v>1</v>
      </c>
      <c r="H66" s="4114"/>
      <c r="I66" s="3497">
        <f t="shared" ref="I66:I71" si="21">SUM(G66:H66)</f>
        <v>1</v>
      </c>
      <c r="J66" s="4110"/>
      <c r="K66" s="4114"/>
      <c r="L66" s="3497">
        <f t="shared" ref="L66:L71" si="22">SUM(J66:K66)</f>
        <v>0</v>
      </c>
      <c r="M66" s="4110"/>
      <c r="N66" s="4114"/>
      <c r="O66" s="3497">
        <f t="shared" si="1"/>
        <v>0</v>
      </c>
    </row>
    <row r="67" spans="1:15" x14ac:dyDescent="0.2">
      <c r="A67" s="6843"/>
      <c r="B67" s="6783"/>
      <c r="C67" s="4109" t="s">
        <v>488</v>
      </c>
      <c r="D67" s="4110"/>
      <c r="E67" s="4121"/>
      <c r="F67" s="3497">
        <f t="shared" si="20"/>
        <v>0</v>
      </c>
      <c r="G67" s="4110">
        <v>1</v>
      </c>
      <c r="H67" s="4121">
        <v>1</v>
      </c>
      <c r="I67" s="3497">
        <f t="shared" si="21"/>
        <v>2</v>
      </c>
      <c r="J67" s="4110"/>
      <c r="K67" s="4121"/>
      <c r="L67" s="3497">
        <f t="shared" si="22"/>
        <v>0</v>
      </c>
      <c r="M67" s="4110"/>
      <c r="N67" s="4121"/>
      <c r="O67" s="3497">
        <f t="shared" si="1"/>
        <v>0</v>
      </c>
    </row>
    <row r="68" spans="1:15" x14ac:dyDescent="0.2">
      <c r="A68" s="6843"/>
      <c r="B68" s="6783"/>
      <c r="C68" s="4109" t="s">
        <v>492</v>
      </c>
      <c r="D68" s="4110">
        <v>5</v>
      </c>
      <c r="E68" s="4114">
        <v>1</v>
      </c>
      <c r="F68" s="3497">
        <f t="shared" si="20"/>
        <v>6</v>
      </c>
      <c r="G68" s="4110">
        <v>4</v>
      </c>
      <c r="H68" s="4114"/>
      <c r="I68" s="3497">
        <f t="shared" si="21"/>
        <v>4</v>
      </c>
      <c r="J68" s="4110">
        <v>1</v>
      </c>
      <c r="K68" s="4114">
        <v>1</v>
      </c>
      <c r="L68" s="3497">
        <f t="shared" si="22"/>
        <v>2</v>
      </c>
      <c r="M68" s="4110">
        <v>2</v>
      </c>
      <c r="N68" s="4114">
        <v>1</v>
      </c>
      <c r="O68" s="3497">
        <f t="shared" si="1"/>
        <v>3</v>
      </c>
    </row>
    <row r="69" spans="1:15" x14ac:dyDescent="0.2">
      <c r="A69" s="6843"/>
      <c r="B69" s="6783"/>
      <c r="C69" s="4109" t="s">
        <v>490</v>
      </c>
      <c r="D69" s="4110"/>
      <c r="E69" s="4121"/>
      <c r="F69" s="3497">
        <f t="shared" si="20"/>
        <v>0</v>
      </c>
      <c r="G69" s="4110"/>
      <c r="H69" s="4121">
        <v>1</v>
      </c>
      <c r="I69" s="3497">
        <f t="shared" si="21"/>
        <v>1</v>
      </c>
      <c r="J69" s="4110"/>
      <c r="K69" s="4121"/>
      <c r="L69" s="3497">
        <f t="shared" si="22"/>
        <v>0</v>
      </c>
      <c r="M69" s="4110">
        <v>1</v>
      </c>
      <c r="N69" s="4121">
        <v>1</v>
      </c>
      <c r="O69" s="3497">
        <f t="shared" si="1"/>
        <v>2</v>
      </c>
    </row>
    <row r="70" spans="1:15" x14ac:dyDescent="0.2">
      <c r="A70" s="6843"/>
      <c r="B70" s="6783"/>
      <c r="C70" s="4109" t="s">
        <v>493</v>
      </c>
      <c r="D70" s="4110"/>
      <c r="E70" s="4114"/>
      <c r="F70" s="3497">
        <f t="shared" si="20"/>
        <v>0</v>
      </c>
      <c r="G70" s="4110">
        <v>1</v>
      </c>
      <c r="H70" s="4114"/>
      <c r="I70" s="3497">
        <f t="shared" si="21"/>
        <v>1</v>
      </c>
      <c r="J70" s="4110"/>
      <c r="K70" s="4114"/>
      <c r="L70" s="3497">
        <f t="shared" si="22"/>
        <v>0</v>
      </c>
      <c r="M70" s="4110"/>
      <c r="N70" s="4114"/>
      <c r="O70" s="3497">
        <f t="shared" ref="O70:O79" si="23">SUM(M70:N70)</f>
        <v>0</v>
      </c>
    </row>
    <row r="71" spans="1:15" x14ac:dyDescent="0.2">
      <c r="A71" s="6843"/>
      <c r="B71" s="6783"/>
      <c r="C71" s="4109" t="s">
        <v>489</v>
      </c>
      <c r="D71" s="4110"/>
      <c r="E71" s="4114"/>
      <c r="F71" s="3497">
        <f t="shared" si="20"/>
        <v>0</v>
      </c>
      <c r="G71" s="4110">
        <v>1</v>
      </c>
      <c r="H71" s="4114"/>
      <c r="I71" s="3497">
        <f t="shared" si="21"/>
        <v>1</v>
      </c>
      <c r="J71" s="4110"/>
      <c r="K71" s="4114"/>
      <c r="L71" s="3497">
        <f t="shared" si="22"/>
        <v>0</v>
      </c>
      <c r="M71" s="4110"/>
      <c r="N71" s="4114"/>
      <c r="O71" s="3497">
        <f t="shared" si="23"/>
        <v>0</v>
      </c>
    </row>
    <row r="72" spans="1:15" x14ac:dyDescent="0.2">
      <c r="A72" s="6843"/>
      <c r="B72" s="6783"/>
      <c r="C72" s="4113" t="s">
        <v>160</v>
      </c>
      <c r="D72" s="3503">
        <f t="shared" ref="D72:I72" si="24">SUM(D66:D71)</f>
        <v>5</v>
      </c>
      <c r="E72" s="3504">
        <f t="shared" si="24"/>
        <v>1</v>
      </c>
      <c r="F72" s="3501">
        <f t="shared" si="24"/>
        <v>6</v>
      </c>
      <c r="G72" s="3503">
        <f t="shared" si="24"/>
        <v>8</v>
      </c>
      <c r="H72" s="3504">
        <f t="shared" si="24"/>
        <v>2</v>
      </c>
      <c r="I72" s="3501">
        <f t="shared" si="24"/>
        <v>10</v>
      </c>
      <c r="J72" s="3503">
        <f>SUM(J66:J71)</f>
        <v>1</v>
      </c>
      <c r="K72" s="3504">
        <f>SUM(K66:K71)</f>
        <v>1</v>
      </c>
      <c r="L72" s="3501">
        <f>SUM(L66:L71)</f>
        <v>2</v>
      </c>
      <c r="M72" s="3503">
        <f>SUM(M66:M71)</f>
        <v>3</v>
      </c>
      <c r="N72" s="3504">
        <f>SUM(N66:N71)</f>
        <v>2</v>
      </c>
      <c r="O72" s="3501">
        <f t="shared" si="23"/>
        <v>5</v>
      </c>
    </row>
    <row r="73" spans="1:15" x14ac:dyDescent="0.2">
      <c r="A73" s="6884"/>
      <c r="B73" s="6881" t="s">
        <v>7</v>
      </c>
      <c r="C73" s="4990" t="s">
        <v>460</v>
      </c>
      <c r="D73" s="4107"/>
      <c r="E73" s="4132"/>
      <c r="F73" s="3492"/>
      <c r="G73" s="4107"/>
      <c r="H73" s="4132"/>
      <c r="I73" s="3492"/>
      <c r="J73" s="4107">
        <v>1</v>
      </c>
      <c r="K73" s="4132"/>
      <c r="L73" s="3492">
        <f>SUM(J73:K73)</f>
        <v>1</v>
      </c>
      <c r="M73" s="4107"/>
      <c r="N73" s="4132"/>
      <c r="O73" s="3492">
        <f t="shared" si="23"/>
        <v>0</v>
      </c>
    </row>
    <row r="74" spans="1:15" x14ac:dyDescent="0.2">
      <c r="A74" s="6884"/>
      <c r="B74" s="6882"/>
      <c r="C74" s="4106" t="s">
        <v>461</v>
      </c>
      <c r="D74" s="4107"/>
      <c r="E74" s="4132"/>
      <c r="F74" s="3492"/>
      <c r="G74" s="4107"/>
      <c r="H74" s="4132"/>
      <c r="I74" s="3492"/>
      <c r="J74" s="4107">
        <v>2</v>
      </c>
      <c r="K74" s="4132"/>
      <c r="L74" s="3492">
        <f>SUM(J74:K74)</f>
        <v>2</v>
      </c>
      <c r="M74" s="4107"/>
      <c r="N74" s="4132"/>
      <c r="O74" s="3492">
        <f t="shared" si="23"/>
        <v>0</v>
      </c>
    </row>
    <row r="75" spans="1:15" x14ac:dyDescent="0.2">
      <c r="A75" s="6884"/>
      <c r="B75" s="6882"/>
      <c r="C75" s="4109" t="s">
        <v>462</v>
      </c>
      <c r="D75" s="4110"/>
      <c r="E75" s="4114"/>
      <c r="F75" s="3497"/>
      <c r="G75" s="4110"/>
      <c r="H75" s="4114"/>
      <c r="I75" s="3492"/>
      <c r="J75" s="4110">
        <v>1</v>
      </c>
      <c r="K75" s="4114"/>
      <c r="L75" s="3492">
        <f>SUM(J75:K75)</f>
        <v>1</v>
      </c>
      <c r="M75" s="4110"/>
      <c r="N75" s="4114"/>
      <c r="O75" s="3492">
        <f t="shared" si="23"/>
        <v>0</v>
      </c>
    </row>
    <row r="76" spans="1:15" x14ac:dyDescent="0.2">
      <c r="A76" s="6884"/>
      <c r="B76" s="6883"/>
      <c r="C76" s="4991" t="s">
        <v>160</v>
      </c>
      <c r="D76" s="3503"/>
      <c r="E76" s="3504"/>
      <c r="F76" s="3501"/>
      <c r="G76" s="3503"/>
      <c r="H76" s="3504"/>
      <c r="I76" s="3501"/>
      <c r="J76" s="3503">
        <f>SUM(J73:J75)</f>
        <v>4</v>
      </c>
      <c r="K76" s="3504">
        <f>SUM(K73:K75)</f>
        <v>0</v>
      </c>
      <c r="L76" s="3501">
        <f>SUM(L73:L75)</f>
        <v>4</v>
      </c>
      <c r="M76" s="3503">
        <f>SUM(M73:M75)</f>
        <v>0</v>
      </c>
      <c r="N76" s="3504">
        <f>SUM(N73:N75)</f>
        <v>0</v>
      </c>
      <c r="O76" s="3501">
        <f t="shared" si="23"/>
        <v>0</v>
      </c>
    </row>
    <row r="77" spans="1:15" x14ac:dyDescent="0.2">
      <c r="A77" s="6844"/>
      <c r="B77" s="6784" t="s">
        <v>444</v>
      </c>
      <c r="C77" s="6785"/>
      <c r="D77" s="4133">
        <f t="shared" ref="D77:I77" si="25">SUM(D72,D65)</f>
        <v>6</v>
      </c>
      <c r="E77" s="4134">
        <f t="shared" si="25"/>
        <v>1</v>
      </c>
      <c r="F77" s="4135">
        <f t="shared" si="25"/>
        <v>7</v>
      </c>
      <c r="G77" s="4133">
        <f t="shared" si="25"/>
        <v>10</v>
      </c>
      <c r="H77" s="4134">
        <f t="shared" si="25"/>
        <v>4</v>
      </c>
      <c r="I77" s="4135">
        <f t="shared" si="25"/>
        <v>14</v>
      </c>
      <c r="J77" s="4133">
        <f>SUM(J76,J72,J65)</f>
        <v>9</v>
      </c>
      <c r="K77" s="4959">
        <f>SUM(K76,K72,K65)</f>
        <v>4</v>
      </c>
      <c r="L77" s="4135">
        <f>SUM(L65,L72,L76)</f>
        <v>13</v>
      </c>
      <c r="M77" s="4133">
        <f>SUM(M76,M72,M65)</f>
        <v>3</v>
      </c>
      <c r="N77" s="5395">
        <f>SUM(N76,N72,N65)</f>
        <v>2</v>
      </c>
      <c r="O77" s="4135">
        <f t="shared" si="23"/>
        <v>5</v>
      </c>
    </row>
    <row r="78" spans="1:15" x14ac:dyDescent="0.2">
      <c r="A78" s="3484"/>
      <c r="B78" s="3484"/>
      <c r="C78" s="3484"/>
      <c r="D78" s="3484"/>
      <c r="E78" s="3484"/>
      <c r="F78" s="3484"/>
      <c r="G78" s="3484"/>
      <c r="H78" s="3484"/>
      <c r="I78" s="3484"/>
      <c r="J78" s="3484"/>
      <c r="K78" s="3484"/>
      <c r="L78" s="3484"/>
      <c r="M78" s="3484"/>
      <c r="N78" s="3484"/>
      <c r="O78" s="3484"/>
    </row>
    <row r="79" spans="1:15" x14ac:dyDescent="0.2">
      <c r="A79" s="6792" t="s">
        <v>76</v>
      </c>
      <c r="B79" s="6793"/>
      <c r="C79" s="6794"/>
      <c r="D79" s="4136">
        <f t="shared" ref="D79:L79" si="26">SUM(D24,D38,D59,D77)</f>
        <v>29</v>
      </c>
      <c r="E79" s="4137">
        <f t="shared" si="26"/>
        <v>11</v>
      </c>
      <c r="F79" s="4138">
        <f t="shared" si="26"/>
        <v>40</v>
      </c>
      <c r="G79" s="4136">
        <f t="shared" si="26"/>
        <v>46</v>
      </c>
      <c r="H79" s="4137">
        <f t="shared" si="26"/>
        <v>12</v>
      </c>
      <c r="I79" s="4138">
        <f t="shared" si="26"/>
        <v>58</v>
      </c>
      <c r="J79" s="4953">
        <f t="shared" si="26"/>
        <v>40</v>
      </c>
      <c r="K79" s="4954">
        <f t="shared" si="26"/>
        <v>21</v>
      </c>
      <c r="L79" s="4952">
        <f t="shared" si="26"/>
        <v>61</v>
      </c>
      <c r="M79" s="5385">
        <f t="shared" ref="M79" si="27">SUM(M24,M38,M59,M77)</f>
        <v>30</v>
      </c>
      <c r="N79" s="5386">
        <f>SUM(N24,N38,N59,N77)</f>
        <v>22</v>
      </c>
      <c r="O79" s="5384">
        <f t="shared" si="23"/>
        <v>52</v>
      </c>
    </row>
  </sheetData>
  <sheetProtection algorithmName="SHA-512" hashValue="kP37Ib7sax8o0zfxRKd0R1cIDhpkxXueRd/D306Ysy5CFY+jzX6Vi2EjYcvpNt45wW7EweIFE9KIE4YuzZqwNg==" saltValue="3LGihBG9/SMMaSreF2q73A==" spinCount="100000" sheet="1" objects="1" scenarios="1"/>
  <mergeCells count="29">
    <mergeCell ref="M3:O3"/>
    <mergeCell ref="B43:B54"/>
    <mergeCell ref="J3:L3"/>
    <mergeCell ref="B39:B42"/>
    <mergeCell ref="A39:A59"/>
    <mergeCell ref="B56:B58"/>
    <mergeCell ref="B59:C59"/>
    <mergeCell ref="A25:A38"/>
    <mergeCell ref="B25:B28"/>
    <mergeCell ref="B29:B32"/>
    <mergeCell ref="B33:B37"/>
    <mergeCell ref="B38:C38"/>
    <mergeCell ref="A5:A24"/>
    <mergeCell ref="B5:B14"/>
    <mergeCell ref="B15:B19"/>
    <mergeCell ref="B20:B23"/>
    <mergeCell ref="B73:B76"/>
    <mergeCell ref="A79:C79"/>
    <mergeCell ref="A60:A77"/>
    <mergeCell ref="B60:B65"/>
    <mergeCell ref="B66:B72"/>
    <mergeCell ref="B77:C77"/>
    <mergeCell ref="B24:C24"/>
    <mergeCell ref="A1:F1"/>
    <mergeCell ref="G3:I3"/>
    <mergeCell ref="A3:A4"/>
    <mergeCell ref="B3:B4"/>
    <mergeCell ref="C3:C4"/>
    <mergeCell ref="D3:F3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0" orientation="landscape" horizontalDpi="4294967292" verticalDpi="4294967292" r:id="rId1"/>
  <ignoredErrors>
    <ignoredError sqref="I14:I16 I65 I31:I33 I72 I44:I54 I19 I28 F14:F16 F18:F19 F32 F42 F54 L14:L16 J42:L42 L31:L32 J45:L51 J44 L44 J54:L54 J52:J53 L52:L53 L18:L25 L27:L29 M42" formula="1"/>
  </ignoredErrors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37"/>
  <sheetViews>
    <sheetView showGridLines="0" zoomScaleNormal="100" workbookViewId="0">
      <selection activeCell="Q31" sqref="Q31"/>
    </sheetView>
  </sheetViews>
  <sheetFormatPr baseColWidth="10" defaultRowHeight="15" x14ac:dyDescent="0.25"/>
  <cols>
    <col min="1" max="1" width="15" style="250" bestFit="1" customWidth="1"/>
    <col min="2" max="2" width="11.42578125" style="250"/>
    <col min="3" max="3" width="10.42578125" style="250" bestFit="1" customWidth="1"/>
    <col min="4" max="4" width="10" style="250" bestFit="1" customWidth="1"/>
    <col min="5" max="5" width="7.7109375" style="250" customWidth="1"/>
    <col min="6" max="6" width="10.42578125" style="250" bestFit="1" customWidth="1"/>
    <col min="7" max="7" width="10" style="250" bestFit="1" customWidth="1"/>
    <col min="8" max="8" width="7.7109375" style="250" customWidth="1"/>
    <col min="9" max="9" width="9" style="250" bestFit="1" customWidth="1"/>
    <col min="10" max="10" width="9.42578125" style="250" bestFit="1" customWidth="1"/>
    <col min="11" max="11" width="7.7109375" style="250" customWidth="1"/>
    <col min="12" max="12" width="9" style="250" bestFit="1" customWidth="1"/>
    <col min="13" max="13" width="9.42578125" style="250" bestFit="1" customWidth="1"/>
    <col min="14" max="14" width="7.7109375" style="250" customWidth="1"/>
    <col min="15" max="16384" width="11.42578125" style="250"/>
  </cols>
  <sheetData>
    <row r="1" spans="1:14" ht="30" customHeight="1" x14ac:dyDescent="0.25">
      <c r="A1" s="6891" t="s">
        <v>1207</v>
      </c>
      <c r="B1" s="6891"/>
      <c r="C1" s="6891"/>
      <c r="D1" s="6891"/>
      <c r="E1" s="6891"/>
      <c r="F1" s="6891"/>
      <c r="G1" s="6891"/>
      <c r="H1" s="6891"/>
    </row>
    <row r="3" spans="1:14" x14ac:dyDescent="0.25">
      <c r="A3" s="6851" t="s">
        <v>16</v>
      </c>
      <c r="B3" s="6851" t="s">
        <v>4</v>
      </c>
      <c r="C3" s="6892">
        <v>2014</v>
      </c>
      <c r="D3" s="6892"/>
      <c r="E3" s="6893"/>
      <c r="F3" s="6892">
        <v>2015</v>
      </c>
      <c r="G3" s="6892"/>
      <c r="H3" s="6893"/>
      <c r="I3" s="6892">
        <v>2016</v>
      </c>
      <c r="J3" s="6892"/>
      <c r="K3" s="6893"/>
      <c r="L3" s="6892">
        <v>2017</v>
      </c>
      <c r="M3" s="6892"/>
      <c r="N3" s="6893"/>
    </row>
    <row r="4" spans="1:14" x14ac:dyDescent="0.25">
      <c r="A4" s="6832"/>
      <c r="B4" s="6832"/>
      <c r="C4" s="4687" t="s">
        <v>1267</v>
      </c>
      <c r="D4" s="4687" t="s">
        <v>659</v>
      </c>
      <c r="E4" s="3478" t="s">
        <v>160</v>
      </c>
      <c r="F4" s="4687" t="s">
        <v>1267</v>
      </c>
      <c r="G4" s="4687" t="s">
        <v>659</v>
      </c>
      <c r="H4" s="3478" t="s">
        <v>160</v>
      </c>
      <c r="I4" s="4687" t="s">
        <v>1267</v>
      </c>
      <c r="J4" s="4687" t="s">
        <v>659</v>
      </c>
      <c r="K4" s="3478" t="s">
        <v>160</v>
      </c>
      <c r="L4" s="4687" t="s">
        <v>1267</v>
      </c>
      <c r="M4" s="4687" t="s">
        <v>659</v>
      </c>
      <c r="N4" s="3478" t="s">
        <v>160</v>
      </c>
    </row>
    <row r="5" spans="1:14" x14ac:dyDescent="0.25">
      <c r="A5" s="3464"/>
      <c r="B5" s="3464"/>
    </row>
    <row r="6" spans="1:14" x14ac:dyDescent="0.25">
      <c r="A6" s="6828" t="s">
        <v>3</v>
      </c>
      <c r="B6" s="3465" t="s">
        <v>5</v>
      </c>
      <c r="C6" s="3466">
        <f>SUM('8 Partic Lic plan'!D14)</f>
        <v>3</v>
      </c>
      <c r="D6" s="3467">
        <f>SUM('8 Partic Lic plan'!E14)</f>
        <v>3</v>
      </c>
      <c r="E6" s="3467">
        <f>SUM(C6:D6)</f>
        <v>6</v>
      </c>
      <c r="F6" s="3466">
        <f>SUM('8 Partic Lic plan'!G14)</f>
        <v>1</v>
      </c>
      <c r="G6" s="3467">
        <f>SUM('8 Partic Lic plan'!H14)</f>
        <v>5</v>
      </c>
      <c r="H6" s="3467">
        <f>SUM(F6:G6)</f>
        <v>6</v>
      </c>
      <c r="I6" s="3466">
        <f>SUM('8 Partic Lic plan'!J14)</f>
        <v>5</v>
      </c>
      <c r="J6" s="3467">
        <f>SUM('8 Partic Lic plan'!K14)</f>
        <v>6</v>
      </c>
      <c r="K6" s="3467">
        <f>SUM(I6:J6)</f>
        <v>11</v>
      </c>
      <c r="L6" s="3466">
        <f>SUM('8 Partic Lic plan'!M14)</f>
        <v>3</v>
      </c>
      <c r="M6" s="3467">
        <f>SUM('8 Partic Lic plan'!N14)</f>
        <v>2</v>
      </c>
      <c r="N6" s="3467">
        <f>SUM(L6:M6)</f>
        <v>5</v>
      </c>
    </row>
    <row r="7" spans="1:14" x14ac:dyDescent="0.25">
      <c r="A7" s="6829"/>
      <c r="B7" s="3468" t="s">
        <v>6</v>
      </c>
      <c r="C7" s="3469">
        <f>SUM('8 Partic Lic plan'!D19)</f>
        <v>2</v>
      </c>
      <c r="D7" s="3470">
        <f>SUM('8 Partic Lic plan'!E19)</f>
        <v>2</v>
      </c>
      <c r="E7" s="3470">
        <f>SUM(C7:D7)</f>
        <v>4</v>
      </c>
      <c r="F7" s="3469">
        <f>SUM('8 Partic Lic plan'!G19)</f>
        <v>5</v>
      </c>
      <c r="G7" s="3470">
        <f>SUM('8 Partic Lic plan'!H19)</f>
        <v>0</v>
      </c>
      <c r="H7" s="3470">
        <f>SUM(F7:G7)</f>
        <v>5</v>
      </c>
      <c r="I7" s="3469">
        <f>SUM('8 Partic Lic plan'!J19)</f>
        <v>8</v>
      </c>
      <c r="J7" s="3470">
        <f>SUM('8 Partic Lic plan'!K19)</f>
        <v>2</v>
      </c>
      <c r="K7" s="3470">
        <f>SUM(I7:J7)</f>
        <v>10</v>
      </c>
      <c r="L7" s="3469">
        <f>SUM('8 Partic Lic plan'!M19)</f>
        <v>5</v>
      </c>
      <c r="M7" s="3470">
        <f>SUM('8 Partic Lic plan'!N19)</f>
        <v>3</v>
      </c>
      <c r="N7" s="3470">
        <f>SUM(L7:M7)</f>
        <v>8</v>
      </c>
    </row>
    <row r="8" spans="1:14" x14ac:dyDescent="0.25">
      <c r="A8" s="6829"/>
      <c r="B8" s="3468" t="s">
        <v>7</v>
      </c>
      <c r="C8" s="3469">
        <f>SUM('8 Partic Lic plan'!D23)</f>
        <v>6</v>
      </c>
      <c r="D8" s="3470">
        <f>SUM('8 Partic Lic plan'!E23)</f>
        <v>0</v>
      </c>
      <c r="E8" s="3470">
        <f>SUM(C8:D8)</f>
        <v>6</v>
      </c>
      <c r="F8" s="3469">
        <f>SUM('8 Partic Lic plan'!G23)</f>
        <v>7</v>
      </c>
      <c r="G8" s="3470">
        <f>SUM('8 Partic Lic plan'!H23)</f>
        <v>1</v>
      </c>
      <c r="H8" s="3470">
        <f>SUM(F8:G8)</f>
        <v>8</v>
      </c>
      <c r="I8" s="3469">
        <f>SUM('8 Partic Lic plan'!J23)</f>
        <v>6</v>
      </c>
      <c r="J8" s="3470">
        <f>SUM('8 Partic Lic plan'!K23)</f>
        <v>2</v>
      </c>
      <c r="K8" s="3470">
        <f>SUM(I8:J8)</f>
        <v>8</v>
      </c>
      <c r="L8" s="3469">
        <f>SUM('8 Partic Lic plan'!M23)</f>
        <v>4</v>
      </c>
      <c r="M8" s="3470">
        <f>SUM('8 Partic Lic plan'!N23)</f>
        <v>4</v>
      </c>
      <c r="N8" s="3470">
        <f>SUM(L8:M8)</f>
        <v>8</v>
      </c>
    </row>
    <row r="9" spans="1:14" x14ac:dyDescent="0.25">
      <c r="A9" s="6830"/>
      <c r="B9" s="2467" t="s">
        <v>160</v>
      </c>
      <c r="C9" s="2468">
        <f t="shared" ref="C9:H9" si="0">SUM(C6:C8)</f>
        <v>11</v>
      </c>
      <c r="D9" s="2469">
        <f t="shared" si="0"/>
        <v>5</v>
      </c>
      <c r="E9" s="2469">
        <f t="shared" si="0"/>
        <v>16</v>
      </c>
      <c r="F9" s="2468">
        <f t="shared" si="0"/>
        <v>13</v>
      </c>
      <c r="G9" s="2469">
        <f t="shared" si="0"/>
        <v>6</v>
      </c>
      <c r="H9" s="2469">
        <f t="shared" si="0"/>
        <v>19</v>
      </c>
      <c r="I9" s="2468">
        <f t="shared" ref="I9:N9" si="1">SUM(I6:I8)</f>
        <v>19</v>
      </c>
      <c r="J9" s="2469">
        <f t="shared" si="1"/>
        <v>10</v>
      </c>
      <c r="K9" s="2469">
        <f t="shared" si="1"/>
        <v>29</v>
      </c>
      <c r="L9" s="2468">
        <f t="shared" si="1"/>
        <v>12</v>
      </c>
      <c r="M9" s="2469">
        <f t="shared" si="1"/>
        <v>9</v>
      </c>
      <c r="N9" s="2469">
        <f t="shared" si="1"/>
        <v>21</v>
      </c>
    </row>
    <row r="10" spans="1:14" x14ac:dyDescent="0.25">
      <c r="A10" s="3471"/>
      <c r="B10" s="3471"/>
    </row>
    <row r="11" spans="1:14" x14ac:dyDescent="0.25">
      <c r="A11" s="6813" t="s">
        <v>8</v>
      </c>
      <c r="B11" s="3465" t="s">
        <v>6</v>
      </c>
      <c r="C11" s="3466">
        <f>+'8 Partic Lic plan'!D37</f>
        <v>0</v>
      </c>
      <c r="D11" s="3467">
        <f>+'8 Partic Lic plan'!E37</f>
        <v>0</v>
      </c>
      <c r="E11" s="3467">
        <f>+'8 Partic Lic plan'!F37</f>
        <v>0</v>
      </c>
      <c r="F11" s="3466">
        <f>+'8 Partic Lic plan'!G37</f>
        <v>1</v>
      </c>
      <c r="G11" s="3467">
        <f>+'8 Partic Lic plan'!H37</f>
        <v>0</v>
      </c>
      <c r="H11" s="3467">
        <f>+'8 Partic Lic plan'!I37</f>
        <v>1</v>
      </c>
      <c r="I11" s="3466">
        <f>+'8 Partic Lic plan'!J37</f>
        <v>1</v>
      </c>
      <c r="J11" s="3467">
        <f>+'8 Partic Lic plan'!K37</f>
        <v>1</v>
      </c>
      <c r="K11" s="3467">
        <f>+'8 Partic Lic plan'!L37</f>
        <v>2</v>
      </c>
      <c r="L11" s="3466">
        <f>+'8 Partic Lic plan'!M37</f>
        <v>1</v>
      </c>
      <c r="M11" s="3467">
        <f>+'8 Partic Lic plan'!N37</f>
        <v>3</v>
      </c>
      <c r="N11" s="3467">
        <f>+'8 Partic Lic plan'!O37</f>
        <v>4</v>
      </c>
    </row>
    <row r="12" spans="1:14" x14ac:dyDescent="0.25">
      <c r="A12" s="6814"/>
      <c r="B12" s="3468" t="s">
        <v>9</v>
      </c>
      <c r="C12" s="3469">
        <f>+'8 Partic Lic plan'!D28</f>
        <v>4</v>
      </c>
      <c r="D12" s="3470">
        <f>+'8 Partic Lic plan'!E28</f>
        <v>1</v>
      </c>
      <c r="E12" s="3470">
        <f>+'8 Partic Lic plan'!F28</f>
        <v>5</v>
      </c>
      <c r="F12" s="3469">
        <f>+'8 Partic Lic plan'!G28</f>
        <v>1</v>
      </c>
      <c r="G12" s="3470">
        <f>+'8 Partic Lic plan'!H28</f>
        <v>0</v>
      </c>
      <c r="H12" s="3470">
        <f>+'8 Partic Lic plan'!I28</f>
        <v>1</v>
      </c>
      <c r="I12" s="3469">
        <f>+'8 Partic Lic plan'!J28</f>
        <v>0</v>
      </c>
      <c r="J12" s="3470">
        <f>+'8 Partic Lic plan'!K28</f>
        <v>2</v>
      </c>
      <c r="K12" s="3470">
        <f>+'8 Partic Lic plan'!L28</f>
        <v>2</v>
      </c>
      <c r="L12" s="3469">
        <f>+'8 Partic Lic plan'!M28</f>
        <v>1</v>
      </c>
      <c r="M12" s="3470">
        <f>+'8 Partic Lic plan'!N28</f>
        <v>2</v>
      </c>
      <c r="N12" s="3470">
        <f>+'8 Partic Lic plan'!O28</f>
        <v>3</v>
      </c>
    </row>
    <row r="13" spans="1:14" x14ac:dyDescent="0.25">
      <c r="A13" s="6814"/>
      <c r="B13" s="3468" t="s">
        <v>74</v>
      </c>
      <c r="C13" s="3469">
        <f>+'8 Partic Lic plan'!D32</f>
        <v>1</v>
      </c>
      <c r="D13" s="3470">
        <f>+'8 Partic Lic plan'!E32</f>
        <v>0</v>
      </c>
      <c r="E13" s="3470">
        <f>+'8 Partic Lic plan'!F32</f>
        <v>1</v>
      </c>
      <c r="F13" s="3469">
        <f>+'8 Partic Lic plan'!G32</f>
        <v>2</v>
      </c>
      <c r="G13" s="3470">
        <f>+'8 Partic Lic plan'!H32</f>
        <v>0</v>
      </c>
      <c r="H13" s="3470">
        <f>+'8 Partic Lic plan'!I32</f>
        <v>2</v>
      </c>
      <c r="I13" s="3469">
        <f>+'8 Partic Lic plan'!J32</f>
        <v>0</v>
      </c>
      <c r="J13" s="3470">
        <f>+'8 Partic Lic plan'!K32</f>
        <v>0</v>
      </c>
      <c r="K13" s="3470">
        <f>+'8 Partic Lic plan'!L32</f>
        <v>0</v>
      </c>
      <c r="L13" s="3469">
        <f>+'8 Partic Lic plan'!M32</f>
        <v>0</v>
      </c>
      <c r="M13" s="3470">
        <f>+'8 Partic Lic plan'!N32</f>
        <v>1</v>
      </c>
      <c r="N13" s="3470">
        <f>+'8 Partic Lic plan'!O32</f>
        <v>1</v>
      </c>
    </row>
    <row r="14" spans="1:14" x14ac:dyDescent="0.25">
      <c r="A14" s="6815"/>
      <c r="B14" s="2464" t="s">
        <v>160</v>
      </c>
      <c r="C14" s="2465">
        <f t="shared" ref="C14:H14" si="2">SUM(C11:C13)</f>
        <v>5</v>
      </c>
      <c r="D14" s="2466">
        <f t="shared" si="2"/>
        <v>1</v>
      </c>
      <c r="E14" s="2464">
        <f t="shared" si="2"/>
        <v>6</v>
      </c>
      <c r="F14" s="2465">
        <f t="shared" si="2"/>
        <v>4</v>
      </c>
      <c r="G14" s="2466">
        <f t="shared" si="2"/>
        <v>0</v>
      </c>
      <c r="H14" s="2464">
        <f t="shared" si="2"/>
        <v>4</v>
      </c>
      <c r="I14" s="2465">
        <f t="shared" ref="I14:N14" si="3">SUM(I11:I13)</f>
        <v>1</v>
      </c>
      <c r="J14" s="2466">
        <f t="shared" si="3"/>
        <v>3</v>
      </c>
      <c r="K14" s="2464">
        <f t="shared" si="3"/>
        <v>4</v>
      </c>
      <c r="L14" s="2465">
        <f t="shared" si="3"/>
        <v>2</v>
      </c>
      <c r="M14" s="2466">
        <f t="shared" si="3"/>
        <v>6</v>
      </c>
      <c r="N14" s="2464">
        <f t="shared" si="3"/>
        <v>8</v>
      </c>
    </row>
    <row r="15" spans="1:14" x14ac:dyDescent="0.25">
      <c r="A15" s="3464"/>
      <c r="B15" s="3464"/>
    </row>
    <row r="16" spans="1:14" x14ac:dyDescent="0.25">
      <c r="A16" s="6816" t="s">
        <v>75</v>
      </c>
      <c r="B16" s="3465" t="s">
        <v>5</v>
      </c>
      <c r="C16" s="3466">
        <f>+'8 Partic Lic plan'!D42</f>
        <v>1</v>
      </c>
      <c r="D16" s="3467">
        <f>+'8 Partic Lic plan'!E42</f>
        <v>0</v>
      </c>
      <c r="E16" s="3467">
        <f>+'8 Partic Lic plan'!F42</f>
        <v>1</v>
      </c>
      <c r="F16" s="3466">
        <f>+'8 Partic Lic plan'!G42</f>
        <v>2</v>
      </c>
      <c r="G16" s="3467">
        <f>+'8 Partic Lic plan'!H42</f>
        <v>0</v>
      </c>
      <c r="H16" s="3467">
        <f>+'8 Partic Lic plan'!I42</f>
        <v>2</v>
      </c>
      <c r="I16" s="3466">
        <f>+'8 Partic Lic plan'!J42</f>
        <v>1</v>
      </c>
      <c r="J16" s="3467">
        <f>+'8 Partic Lic plan'!K42</f>
        <v>1</v>
      </c>
      <c r="K16" s="3467">
        <f>+'8 Partic Lic plan'!L42</f>
        <v>2</v>
      </c>
      <c r="L16" s="3466">
        <f>+'8 Partic Lic plan'!M42</f>
        <v>3</v>
      </c>
      <c r="M16" s="3467">
        <f>+'8 Partic Lic plan'!N42</f>
        <v>0</v>
      </c>
      <c r="N16" s="3467">
        <f>+'8 Partic Lic plan'!O42</f>
        <v>3</v>
      </c>
    </row>
    <row r="17" spans="1:14" x14ac:dyDescent="0.25">
      <c r="A17" s="6817"/>
      <c r="B17" s="3468" t="s">
        <v>6</v>
      </c>
      <c r="C17" s="3469">
        <f>+'8 Partic Lic plan'!D54</f>
        <v>6</v>
      </c>
      <c r="D17" s="3470">
        <f>+'8 Partic Lic plan'!E54</f>
        <v>3</v>
      </c>
      <c r="E17" s="3470">
        <f>SUM(C17:D17)</f>
        <v>9</v>
      </c>
      <c r="F17" s="3469">
        <f>+'8 Partic Lic plan'!G54</f>
        <v>16</v>
      </c>
      <c r="G17" s="3470">
        <f>+'8 Partic Lic plan'!H54</f>
        <v>2</v>
      </c>
      <c r="H17" s="3470">
        <f>SUM(F17:G17)</f>
        <v>18</v>
      </c>
      <c r="I17" s="3469">
        <f>+'8 Partic Lic plan'!J54</f>
        <v>9</v>
      </c>
      <c r="J17" s="3470">
        <f>+'8 Partic Lic plan'!K54</f>
        <v>3</v>
      </c>
      <c r="K17" s="3470">
        <f>SUM(I17:J17)</f>
        <v>12</v>
      </c>
      <c r="L17" s="3469">
        <f>+'8 Partic Lic plan'!M54</f>
        <v>9</v>
      </c>
      <c r="M17" s="3470">
        <f>+'8 Partic Lic plan'!N54</f>
        <v>5</v>
      </c>
      <c r="N17" s="3470">
        <f>SUM(L17:M17)</f>
        <v>14</v>
      </c>
    </row>
    <row r="18" spans="1:14" x14ac:dyDescent="0.25">
      <c r="A18" s="6817"/>
      <c r="B18" s="3468" t="s">
        <v>11</v>
      </c>
      <c r="C18" s="3469">
        <f>+'8 Partic Lic plan'!D58</f>
        <v>0</v>
      </c>
      <c r="D18" s="3470">
        <f>+'8 Partic Lic plan'!E58</f>
        <v>1</v>
      </c>
      <c r="E18" s="3470">
        <f>SUM(C18:D18)</f>
        <v>1</v>
      </c>
      <c r="F18" s="3469">
        <f>+'8 Partic Lic plan'!G58</f>
        <v>1</v>
      </c>
      <c r="G18" s="3470">
        <f>+'8 Partic Lic plan'!H58</f>
        <v>0</v>
      </c>
      <c r="H18" s="3470">
        <f>SUM(F18:G18)</f>
        <v>1</v>
      </c>
      <c r="I18" s="3469">
        <f>+'8 Partic Lic plan'!J58</f>
        <v>1</v>
      </c>
      <c r="J18" s="3470">
        <f>+'8 Partic Lic plan'!K58</f>
        <v>0</v>
      </c>
      <c r="K18" s="3470">
        <f>SUM(I18:J18)</f>
        <v>1</v>
      </c>
      <c r="L18" s="3469">
        <f>+'8 Partic Lic plan'!M58</f>
        <v>1</v>
      </c>
      <c r="M18" s="3470">
        <f>+'8 Partic Lic plan'!N58</f>
        <v>0</v>
      </c>
      <c r="N18" s="3470">
        <f>SUM(L18:M18)</f>
        <v>1</v>
      </c>
    </row>
    <row r="19" spans="1:14" x14ac:dyDescent="0.25">
      <c r="A19" s="6818"/>
      <c r="B19" s="2461" t="s">
        <v>160</v>
      </c>
      <c r="C19" s="2462">
        <f t="shared" ref="C19:H19" si="4">SUM(C16:C18)</f>
        <v>7</v>
      </c>
      <c r="D19" s="2463">
        <f t="shared" si="4"/>
        <v>4</v>
      </c>
      <c r="E19" s="2463">
        <f t="shared" si="4"/>
        <v>11</v>
      </c>
      <c r="F19" s="2462">
        <f t="shared" si="4"/>
        <v>19</v>
      </c>
      <c r="G19" s="2463">
        <f t="shared" si="4"/>
        <v>2</v>
      </c>
      <c r="H19" s="2463">
        <f t="shared" si="4"/>
        <v>21</v>
      </c>
      <c r="I19" s="2462">
        <f t="shared" ref="I19:N19" si="5">SUM(I16:I18)</f>
        <v>11</v>
      </c>
      <c r="J19" s="2463">
        <f t="shared" si="5"/>
        <v>4</v>
      </c>
      <c r="K19" s="2463">
        <f t="shared" si="5"/>
        <v>15</v>
      </c>
      <c r="L19" s="2462">
        <f t="shared" si="5"/>
        <v>13</v>
      </c>
      <c r="M19" s="2463">
        <f t="shared" si="5"/>
        <v>5</v>
      </c>
      <c r="N19" s="2463">
        <f t="shared" si="5"/>
        <v>18</v>
      </c>
    </row>
    <row r="20" spans="1:14" hidden="1" x14ac:dyDescent="0.25"/>
    <row r="21" spans="1:14" hidden="1" x14ac:dyDescent="0.25">
      <c r="A21" s="6825" t="s">
        <v>325</v>
      </c>
      <c r="B21" s="3465" t="s">
        <v>5</v>
      </c>
      <c r="C21" s="3466"/>
      <c r="D21" s="3467"/>
      <c r="E21" s="3467"/>
      <c r="F21" s="3466"/>
      <c r="G21" s="3467"/>
      <c r="H21" s="3467"/>
      <c r="I21" s="3466"/>
      <c r="J21" s="3467"/>
      <c r="K21" s="3467"/>
      <c r="L21" s="3466"/>
      <c r="M21" s="3467"/>
      <c r="N21" s="3467"/>
    </row>
    <row r="22" spans="1:14" hidden="1" x14ac:dyDescent="0.25">
      <c r="A22" s="6826"/>
      <c r="B22" s="3468" t="s">
        <v>6</v>
      </c>
      <c r="C22" s="3469"/>
      <c r="D22" s="3470"/>
      <c r="E22" s="3470"/>
      <c r="F22" s="3469"/>
      <c r="G22" s="3470"/>
      <c r="H22" s="3470"/>
      <c r="I22" s="3469"/>
      <c r="J22" s="3470"/>
      <c r="K22" s="3470"/>
      <c r="L22" s="3469"/>
      <c r="M22" s="3470"/>
      <c r="N22" s="3470"/>
    </row>
    <row r="23" spans="1:14" hidden="1" x14ac:dyDescent="0.25">
      <c r="A23" s="6826"/>
      <c r="B23" s="3468" t="s">
        <v>11</v>
      </c>
      <c r="C23" s="3469"/>
      <c r="D23" s="3470"/>
      <c r="E23" s="3470"/>
      <c r="F23" s="3469"/>
      <c r="G23" s="3470"/>
      <c r="H23" s="3470"/>
      <c r="I23" s="3469"/>
      <c r="J23" s="3470"/>
      <c r="K23" s="3470"/>
      <c r="L23" s="3469"/>
      <c r="M23" s="3470"/>
      <c r="N23" s="3470"/>
    </row>
    <row r="24" spans="1:14" hidden="1" x14ac:dyDescent="0.25">
      <c r="A24" s="6827"/>
      <c r="B24" s="3479" t="s">
        <v>160</v>
      </c>
      <c r="C24" s="3480">
        <f t="shared" ref="C24:H24" si="6">SUM(C21:C23)</f>
        <v>0</v>
      </c>
      <c r="D24" s="3481">
        <f t="shared" si="6"/>
        <v>0</v>
      </c>
      <c r="E24" s="3481">
        <f t="shared" si="6"/>
        <v>0</v>
      </c>
      <c r="F24" s="3480">
        <f t="shared" si="6"/>
        <v>0</v>
      </c>
      <c r="G24" s="3481">
        <f t="shared" si="6"/>
        <v>0</v>
      </c>
      <c r="H24" s="3481">
        <f t="shared" si="6"/>
        <v>0</v>
      </c>
      <c r="I24" s="3480">
        <f t="shared" ref="I24:N24" si="7">SUM(I21:I23)</f>
        <v>0</v>
      </c>
      <c r="J24" s="3481">
        <f t="shared" si="7"/>
        <v>0</v>
      </c>
      <c r="K24" s="3481">
        <f t="shared" si="7"/>
        <v>0</v>
      </c>
      <c r="L24" s="3480">
        <f t="shared" si="7"/>
        <v>0</v>
      </c>
      <c r="M24" s="3481">
        <f t="shared" si="7"/>
        <v>0</v>
      </c>
      <c r="N24" s="3481">
        <f t="shared" si="7"/>
        <v>0</v>
      </c>
    </row>
    <row r="25" spans="1:14" x14ac:dyDescent="0.25">
      <c r="A25" s="1501"/>
      <c r="B25" s="3464"/>
    </row>
    <row r="26" spans="1:14" x14ac:dyDescent="0.25">
      <c r="A26" s="6819" t="s">
        <v>10</v>
      </c>
      <c r="B26" s="3465" t="s">
        <v>6</v>
      </c>
      <c r="C26" s="3466">
        <f>+'8 Partic Lic plan'!D65</f>
        <v>1</v>
      </c>
      <c r="D26" s="3467">
        <f>+'8 Partic Lic plan'!E65</f>
        <v>0</v>
      </c>
      <c r="E26" s="3467">
        <f>SUM(C26:D26)</f>
        <v>1</v>
      </c>
      <c r="F26" s="3466">
        <f>+'8 Partic Lic plan'!G65</f>
        <v>2</v>
      </c>
      <c r="G26" s="3467">
        <f>+'8 Partic Lic plan'!H65</f>
        <v>2</v>
      </c>
      <c r="H26" s="3467">
        <f>SUM(F26:G26)</f>
        <v>4</v>
      </c>
      <c r="I26" s="3466">
        <f>+'8 Partic Lic plan'!J65</f>
        <v>4</v>
      </c>
      <c r="J26" s="3467">
        <f>+'8 Partic Lic plan'!K65</f>
        <v>3</v>
      </c>
      <c r="K26" s="3467">
        <f>SUM(I26:J26)</f>
        <v>7</v>
      </c>
      <c r="L26" s="3466">
        <f>+'8 Partic Lic plan'!M65</f>
        <v>0</v>
      </c>
      <c r="M26" s="3467">
        <f>+'8 Partic Lic plan'!N65</f>
        <v>0</v>
      </c>
      <c r="N26" s="3467">
        <f>SUM(L26:M26)</f>
        <v>0</v>
      </c>
    </row>
    <row r="27" spans="1:14" x14ac:dyDescent="0.25">
      <c r="A27" s="6820"/>
      <c r="B27" s="3468" t="s">
        <v>11</v>
      </c>
      <c r="C27" s="3469">
        <f>+'8 Partic Lic plan'!D72</f>
        <v>5</v>
      </c>
      <c r="D27" s="3470">
        <f>+'8 Partic Lic plan'!E72</f>
        <v>1</v>
      </c>
      <c r="E27" s="3470">
        <f>SUM(C27:D27)</f>
        <v>6</v>
      </c>
      <c r="F27" s="3469">
        <f>+'8 Partic Lic plan'!G72</f>
        <v>8</v>
      </c>
      <c r="G27" s="3470">
        <f>+'8 Partic Lic plan'!H72</f>
        <v>2</v>
      </c>
      <c r="H27" s="3470">
        <f>SUM(F27:G27)</f>
        <v>10</v>
      </c>
      <c r="I27" s="3469">
        <f>+'8 Partic Lic plan'!J72</f>
        <v>1</v>
      </c>
      <c r="J27" s="3470">
        <f>+'8 Partic Lic plan'!K72</f>
        <v>1</v>
      </c>
      <c r="K27" s="3470">
        <f>SUM(I27:J27)</f>
        <v>2</v>
      </c>
      <c r="L27" s="3469">
        <f>+'8 Partic Lic plan'!M72</f>
        <v>3</v>
      </c>
      <c r="M27" s="3470">
        <f>+'8 Partic Lic plan'!N72</f>
        <v>2</v>
      </c>
      <c r="N27" s="3470">
        <f>SUM(L27:M27)</f>
        <v>5</v>
      </c>
    </row>
    <row r="28" spans="1:14" x14ac:dyDescent="0.25">
      <c r="A28" s="6820"/>
      <c r="B28" s="3468" t="s">
        <v>7</v>
      </c>
      <c r="C28" s="3469"/>
      <c r="D28" s="3470"/>
      <c r="E28" s="3470">
        <f>SUM(C28:D28)</f>
        <v>0</v>
      </c>
      <c r="F28" s="3469"/>
      <c r="G28" s="3470"/>
      <c r="H28" s="3470">
        <f>SUM(F28:G28)</f>
        <v>0</v>
      </c>
      <c r="I28" s="3469">
        <f>SUM('8 Partic Lic plan'!J76)</f>
        <v>4</v>
      </c>
      <c r="J28" s="3470">
        <f>SUM('8 Partic Lic plan'!K76)</f>
        <v>0</v>
      </c>
      <c r="K28" s="3470">
        <f>SUM(I28:J28)</f>
        <v>4</v>
      </c>
      <c r="L28" s="3469">
        <f>SUM('8 Partic Lic plan'!M76)</f>
        <v>0</v>
      </c>
      <c r="M28" s="3470">
        <f>SUM('8 Partic Lic plan'!N76)</f>
        <v>0</v>
      </c>
      <c r="N28" s="3470">
        <f>SUM(L28:M28)</f>
        <v>0</v>
      </c>
    </row>
    <row r="29" spans="1:14" x14ac:dyDescent="0.25">
      <c r="A29" s="6821"/>
      <c r="B29" s="2458" t="s">
        <v>160</v>
      </c>
      <c r="C29" s="2459">
        <f t="shared" ref="C29:H29" si="8">SUM(C26:C28)</f>
        <v>6</v>
      </c>
      <c r="D29" s="2460">
        <f t="shared" si="8"/>
        <v>1</v>
      </c>
      <c r="E29" s="2460">
        <f t="shared" si="8"/>
        <v>7</v>
      </c>
      <c r="F29" s="2459">
        <f t="shared" si="8"/>
        <v>10</v>
      </c>
      <c r="G29" s="2460">
        <f t="shared" si="8"/>
        <v>4</v>
      </c>
      <c r="H29" s="2460">
        <f t="shared" si="8"/>
        <v>14</v>
      </c>
      <c r="I29" s="2459">
        <f t="shared" ref="I29:N29" si="9">SUM(I26:I28)</f>
        <v>9</v>
      </c>
      <c r="J29" s="2460">
        <f t="shared" si="9"/>
        <v>4</v>
      </c>
      <c r="K29" s="2460">
        <f t="shared" si="9"/>
        <v>13</v>
      </c>
      <c r="L29" s="2459">
        <f t="shared" si="9"/>
        <v>3</v>
      </c>
      <c r="M29" s="2460">
        <f t="shared" si="9"/>
        <v>2</v>
      </c>
      <c r="N29" s="2460">
        <f t="shared" si="9"/>
        <v>5</v>
      </c>
    </row>
    <row r="30" spans="1:14" x14ac:dyDescent="0.25">
      <c r="A30" s="3464"/>
      <c r="B30" s="3464"/>
    </row>
    <row r="31" spans="1:14" x14ac:dyDescent="0.25">
      <c r="A31" s="6822" t="s">
        <v>60</v>
      </c>
      <c r="B31" s="3465" t="s">
        <v>5</v>
      </c>
      <c r="C31" s="3466">
        <f t="shared" ref="C31:H31" si="10">SUM(C6,C16)</f>
        <v>4</v>
      </c>
      <c r="D31" s="3467">
        <f t="shared" si="10"/>
        <v>3</v>
      </c>
      <c r="E31" s="3467">
        <f t="shared" si="10"/>
        <v>7</v>
      </c>
      <c r="F31" s="3466">
        <f t="shared" si="10"/>
        <v>3</v>
      </c>
      <c r="G31" s="3467">
        <f t="shared" si="10"/>
        <v>5</v>
      </c>
      <c r="H31" s="3467">
        <f t="shared" si="10"/>
        <v>8</v>
      </c>
      <c r="I31" s="3466">
        <f t="shared" ref="I31:N31" si="11">SUM(I6,I16)</f>
        <v>6</v>
      </c>
      <c r="J31" s="3467">
        <f t="shared" si="11"/>
        <v>7</v>
      </c>
      <c r="K31" s="3467">
        <f t="shared" si="11"/>
        <v>13</v>
      </c>
      <c r="L31" s="3466">
        <f t="shared" si="11"/>
        <v>6</v>
      </c>
      <c r="M31" s="3467">
        <f t="shared" si="11"/>
        <v>2</v>
      </c>
      <c r="N31" s="3467">
        <f t="shared" si="11"/>
        <v>8</v>
      </c>
    </row>
    <row r="32" spans="1:14" x14ac:dyDescent="0.25">
      <c r="A32" s="6823"/>
      <c r="B32" s="3468" t="s">
        <v>6</v>
      </c>
      <c r="C32" s="3469">
        <f>SUM(C7,C17,C26,C11)</f>
        <v>9</v>
      </c>
      <c r="D32" s="3470">
        <f>SUM(D7,D11,D17,D26)</f>
        <v>5</v>
      </c>
      <c r="E32" s="3470">
        <f>SUM(E7,E11,E17,E26)</f>
        <v>14</v>
      </c>
      <c r="F32" s="3469">
        <f>SUM(F7,F17,F26,F11)</f>
        <v>24</v>
      </c>
      <c r="G32" s="3470">
        <f>SUM(G7,G11,G17,G26)</f>
        <v>4</v>
      </c>
      <c r="H32" s="3470">
        <f>SUM(H7,H11,H17,H26)</f>
        <v>28</v>
      </c>
      <c r="I32" s="3469">
        <f>SUM(I7,I17,I26,I11)</f>
        <v>22</v>
      </c>
      <c r="J32" s="3470">
        <f>SUM(J7,J11,J17,J26)</f>
        <v>9</v>
      </c>
      <c r="K32" s="3470">
        <f>SUM(K7,K11,K17,K26)</f>
        <v>31</v>
      </c>
      <c r="L32" s="3469">
        <f>SUM(L7,L17,L26,L11)</f>
        <v>15</v>
      </c>
      <c r="M32" s="3470">
        <f>SUM(M7,M11,M17,M26)</f>
        <v>11</v>
      </c>
      <c r="N32" s="3470">
        <f>SUM(N7,N11,N17,N26)</f>
        <v>26</v>
      </c>
    </row>
    <row r="33" spans="1:14" x14ac:dyDescent="0.25">
      <c r="A33" s="6823"/>
      <c r="B33" s="3468" t="s">
        <v>11</v>
      </c>
      <c r="C33" s="3469">
        <f t="shared" ref="C33:H33" si="12">SUM(C18,C27)</f>
        <v>5</v>
      </c>
      <c r="D33" s="3470">
        <f t="shared" si="12"/>
        <v>2</v>
      </c>
      <c r="E33" s="3470">
        <f t="shared" si="12"/>
        <v>7</v>
      </c>
      <c r="F33" s="3469">
        <f t="shared" si="12"/>
        <v>9</v>
      </c>
      <c r="G33" s="3470">
        <f t="shared" si="12"/>
        <v>2</v>
      </c>
      <c r="H33" s="3470">
        <f t="shared" si="12"/>
        <v>11</v>
      </c>
      <c r="I33" s="3469">
        <f t="shared" ref="I33:N33" si="13">SUM(I18,I27)</f>
        <v>2</v>
      </c>
      <c r="J33" s="3470">
        <f t="shared" si="13"/>
        <v>1</v>
      </c>
      <c r="K33" s="3470">
        <f t="shared" si="13"/>
        <v>3</v>
      </c>
      <c r="L33" s="3469">
        <f t="shared" si="13"/>
        <v>4</v>
      </c>
      <c r="M33" s="3470">
        <f t="shared" si="13"/>
        <v>2</v>
      </c>
      <c r="N33" s="3470">
        <f t="shared" si="13"/>
        <v>6</v>
      </c>
    </row>
    <row r="34" spans="1:14" x14ac:dyDescent="0.25">
      <c r="A34" s="6823"/>
      <c r="B34" s="3468" t="s">
        <v>7</v>
      </c>
      <c r="C34" s="3469">
        <f t="shared" ref="C34:H34" si="14">SUM(C8,C28)</f>
        <v>6</v>
      </c>
      <c r="D34" s="3470">
        <f t="shared" si="14"/>
        <v>0</v>
      </c>
      <c r="E34" s="3470">
        <f t="shared" si="14"/>
        <v>6</v>
      </c>
      <c r="F34" s="3469">
        <f t="shared" si="14"/>
        <v>7</v>
      </c>
      <c r="G34" s="3470">
        <f t="shared" si="14"/>
        <v>1</v>
      </c>
      <c r="H34" s="3470">
        <f t="shared" si="14"/>
        <v>8</v>
      </c>
      <c r="I34" s="3469">
        <f t="shared" ref="I34:N34" si="15">SUM(I8,I28)</f>
        <v>10</v>
      </c>
      <c r="J34" s="3470">
        <f t="shared" si="15"/>
        <v>2</v>
      </c>
      <c r="K34" s="3470">
        <f t="shared" si="15"/>
        <v>12</v>
      </c>
      <c r="L34" s="3469">
        <f t="shared" si="15"/>
        <v>4</v>
      </c>
      <c r="M34" s="3470">
        <f t="shared" si="15"/>
        <v>4</v>
      </c>
      <c r="N34" s="3470">
        <f t="shared" si="15"/>
        <v>8</v>
      </c>
    </row>
    <row r="35" spans="1:14" x14ac:dyDescent="0.25">
      <c r="A35" s="6823"/>
      <c r="B35" s="3468" t="s">
        <v>9</v>
      </c>
      <c r="C35" s="3469">
        <f t="shared" ref="C35:E36" si="16">SUM(C12)</f>
        <v>4</v>
      </c>
      <c r="D35" s="3470">
        <f t="shared" si="16"/>
        <v>1</v>
      </c>
      <c r="E35" s="3470">
        <f t="shared" si="16"/>
        <v>5</v>
      </c>
      <c r="F35" s="3469">
        <f t="shared" ref="F35:H36" si="17">SUM(F12)</f>
        <v>1</v>
      </c>
      <c r="G35" s="3470">
        <f t="shared" si="17"/>
        <v>0</v>
      </c>
      <c r="H35" s="3470">
        <f t="shared" si="17"/>
        <v>1</v>
      </c>
      <c r="I35" s="3469">
        <f t="shared" ref="I35:K36" si="18">SUM(I12)</f>
        <v>0</v>
      </c>
      <c r="J35" s="3470">
        <f t="shared" si="18"/>
        <v>2</v>
      </c>
      <c r="K35" s="3470">
        <f t="shared" si="18"/>
        <v>2</v>
      </c>
      <c r="L35" s="3469">
        <f t="shared" ref="L35:M35" si="19">SUM(L12)</f>
        <v>1</v>
      </c>
      <c r="M35" s="3470">
        <f t="shared" si="19"/>
        <v>2</v>
      </c>
      <c r="N35" s="3470">
        <f t="shared" ref="N35" si="20">SUM(N12)</f>
        <v>3</v>
      </c>
    </row>
    <row r="36" spans="1:14" x14ac:dyDescent="0.25">
      <c r="A36" s="6823"/>
      <c r="B36" s="3468" t="s">
        <v>74</v>
      </c>
      <c r="C36" s="3473">
        <f t="shared" si="16"/>
        <v>1</v>
      </c>
      <c r="D36" s="3474">
        <f t="shared" si="16"/>
        <v>0</v>
      </c>
      <c r="E36" s="3474">
        <f t="shared" si="16"/>
        <v>1</v>
      </c>
      <c r="F36" s="3473">
        <f t="shared" si="17"/>
        <v>2</v>
      </c>
      <c r="G36" s="3474">
        <f t="shared" si="17"/>
        <v>0</v>
      </c>
      <c r="H36" s="3474">
        <f t="shared" si="17"/>
        <v>2</v>
      </c>
      <c r="I36" s="3473">
        <f t="shared" si="18"/>
        <v>0</v>
      </c>
      <c r="J36" s="3474">
        <f t="shared" si="18"/>
        <v>0</v>
      </c>
      <c r="K36" s="3474">
        <f t="shared" si="18"/>
        <v>0</v>
      </c>
      <c r="L36" s="3473">
        <f t="shared" ref="L36:M36" si="21">SUM(L13)</f>
        <v>0</v>
      </c>
      <c r="M36" s="3474">
        <f t="shared" si="21"/>
        <v>1</v>
      </c>
      <c r="N36" s="3474">
        <f t="shared" ref="N36" si="22">SUM(N13)</f>
        <v>1</v>
      </c>
    </row>
    <row r="37" spans="1:14" x14ac:dyDescent="0.25">
      <c r="A37" s="6824"/>
      <c r="B37" s="1662" t="s">
        <v>160</v>
      </c>
      <c r="C37" s="1662">
        <f t="shared" ref="C37:K37" si="23">SUM(C31:C36)</f>
        <v>29</v>
      </c>
      <c r="D37" s="1663">
        <f t="shared" si="23"/>
        <v>11</v>
      </c>
      <c r="E37" s="1663">
        <f t="shared" si="23"/>
        <v>40</v>
      </c>
      <c r="F37" s="1662">
        <f t="shared" si="23"/>
        <v>46</v>
      </c>
      <c r="G37" s="1663">
        <f t="shared" si="23"/>
        <v>12</v>
      </c>
      <c r="H37" s="1663">
        <f t="shared" si="23"/>
        <v>58</v>
      </c>
      <c r="I37" s="1662">
        <f t="shared" si="23"/>
        <v>40</v>
      </c>
      <c r="J37" s="1663">
        <f t="shared" si="23"/>
        <v>21</v>
      </c>
      <c r="K37" s="1663">
        <f t="shared" si="23"/>
        <v>61</v>
      </c>
      <c r="L37" s="1662">
        <f t="shared" ref="L37:M37" si="24">SUM(L31:L36)</f>
        <v>30</v>
      </c>
      <c r="M37" s="1663">
        <f t="shared" si="24"/>
        <v>22</v>
      </c>
      <c r="N37" s="1663">
        <f t="shared" ref="N37" si="25">SUM(N31:N36)</f>
        <v>52</v>
      </c>
    </row>
  </sheetData>
  <sheetProtection algorithmName="SHA-512" hashValue="gefQ9kbvHVxYVPiyHvbji/QeNh2Its3tQ5KIBG9oCvyhurGOW6hWzOeIInD9xH+8SJ+w/4Yd8jaDtyjOhRIhDg==" saltValue="KzN8gW7zVAEecHjXcvdVjA==" spinCount="100000" sheet="1" objects="1" scenarios="1"/>
  <mergeCells count="13">
    <mergeCell ref="L3:N3"/>
    <mergeCell ref="A26:A29"/>
    <mergeCell ref="A31:A37"/>
    <mergeCell ref="A3:A4"/>
    <mergeCell ref="B3:B4"/>
    <mergeCell ref="F3:H3"/>
    <mergeCell ref="A6:A9"/>
    <mergeCell ref="A11:A14"/>
    <mergeCell ref="A1:H1"/>
    <mergeCell ref="C3:E3"/>
    <mergeCell ref="I3:K3"/>
    <mergeCell ref="A16:A19"/>
    <mergeCell ref="A21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F32 I32" formula="1"/>
  </ignoredErrors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AG101"/>
  <sheetViews>
    <sheetView showGridLines="0" zoomScaleNormal="100" workbookViewId="0">
      <pane xSplit="3" ySplit="5" topLeftCell="N6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8" customWidth="1"/>
    <col min="2" max="2" width="8.140625" bestFit="1" customWidth="1"/>
    <col min="3" max="3" width="60.7109375" customWidth="1"/>
    <col min="4" max="21" width="8.7109375" customWidth="1"/>
    <col min="22" max="22" width="7.42578125" customWidth="1"/>
    <col min="23" max="23" width="8" customWidth="1"/>
    <col min="24" max="24" width="8.7109375" customWidth="1"/>
    <col min="25" max="25" width="7.42578125" customWidth="1"/>
    <col min="26" max="26" width="8" customWidth="1"/>
    <col min="27" max="27" width="8.7109375" customWidth="1"/>
    <col min="28" max="28" width="7.42578125" bestFit="1" customWidth="1"/>
    <col min="29" max="29" width="8" bestFit="1" customWidth="1"/>
    <col min="30" max="30" width="8.7109375" customWidth="1"/>
    <col min="31" max="31" width="7.42578125" bestFit="1" customWidth="1"/>
    <col min="32" max="32" width="8" bestFit="1" customWidth="1"/>
    <col min="33" max="33" width="8.7109375" customWidth="1"/>
  </cols>
  <sheetData>
    <row r="1" spans="1:33" ht="18" x14ac:dyDescent="0.25">
      <c r="A1" s="4458" t="s">
        <v>1468</v>
      </c>
    </row>
    <row r="2" spans="1:33" ht="18" x14ac:dyDescent="0.25">
      <c r="A2" s="4458"/>
    </row>
    <row r="3" spans="1:33" ht="15" x14ac:dyDescent="0.25">
      <c r="A3" s="6901" t="s">
        <v>51</v>
      </c>
      <c r="B3" s="6901" t="s">
        <v>685</v>
      </c>
      <c r="C3" s="6901" t="s">
        <v>684</v>
      </c>
      <c r="D3" s="6894">
        <v>2013</v>
      </c>
      <c r="E3" s="6894"/>
      <c r="F3" s="6894"/>
      <c r="G3" s="6894"/>
      <c r="H3" s="6894"/>
      <c r="I3" s="6894"/>
      <c r="J3" s="6894">
        <v>2014</v>
      </c>
      <c r="K3" s="6894"/>
      <c r="L3" s="6894"/>
      <c r="M3" s="6894"/>
      <c r="N3" s="6894"/>
      <c r="O3" s="6894"/>
      <c r="P3" s="6894">
        <v>2015</v>
      </c>
      <c r="Q3" s="6894"/>
      <c r="R3" s="6894"/>
      <c r="S3" s="6894"/>
      <c r="T3" s="6894"/>
      <c r="U3" s="6894"/>
      <c r="V3" s="6894">
        <v>2016</v>
      </c>
      <c r="W3" s="6894"/>
      <c r="X3" s="6894"/>
      <c r="Y3" s="6894"/>
      <c r="Z3" s="6894"/>
      <c r="AA3" s="6894"/>
      <c r="AB3" s="6894">
        <v>2017</v>
      </c>
      <c r="AC3" s="6894"/>
      <c r="AD3" s="6894"/>
      <c r="AE3" s="6894"/>
      <c r="AF3" s="6894"/>
      <c r="AG3" s="6894"/>
    </row>
    <row r="4" spans="1:33" ht="15" customHeight="1" x14ac:dyDescent="0.2">
      <c r="A4" s="6902"/>
      <c r="B4" s="6902"/>
      <c r="C4" s="6902"/>
      <c r="D4" s="6898" t="s">
        <v>1507</v>
      </c>
      <c r="E4" s="6899"/>
      <c r="F4" s="6900"/>
      <c r="G4" s="6895" t="s">
        <v>1508</v>
      </c>
      <c r="H4" s="6896"/>
      <c r="I4" s="6897"/>
      <c r="J4" s="6898" t="s">
        <v>1507</v>
      </c>
      <c r="K4" s="6899"/>
      <c r="L4" s="6900"/>
      <c r="M4" s="6895" t="s">
        <v>1508</v>
      </c>
      <c r="N4" s="6896"/>
      <c r="O4" s="6897"/>
      <c r="P4" s="6898" t="s">
        <v>1507</v>
      </c>
      <c r="Q4" s="6899"/>
      <c r="R4" s="6900"/>
      <c r="S4" s="6895" t="s">
        <v>1508</v>
      </c>
      <c r="T4" s="6896"/>
      <c r="U4" s="6897"/>
      <c r="V4" s="6898" t="s">
        <v>1507</v>
      </c>
      <c r="W4" s="6899"/>
      <c r="X4" s="6900"/>
      <c r="Y4" s="6895" t="s">
        <v>1508</v>
      </c>
      <c r="Z4" s="6896"/>
      <c r="AA4" s="6897"/>
      <c r="AB4" s="6898" t="s">
        <v>1655</v>
      </c>
      <c r="AC4" s="6899"/>
      <c r="AD4" s="6900"/>
      <c r="AE4" s="6895" t="s">
        <v>1656</v>
      </c>
      <c r="AF4" s="6896"/>
      <c r="AG4" s="6897"/>
    </row>
    <row r="5" spans="1:33" ht="15" x14ac:dyDescent="0.2">
      <c r="A5" s="6903"/>
      <c r="B5" s="6903"/>
      <c r="C5" s="6903"/>
      <c r="D5" s="2770" t="s">
        <v>850</v>
      </c>
      <c r="E5" s="2770" t="s">
        <v>851</v>
      </c>
      <c r="F5" s="4140" t="s">
        <v>160</v>
      </c>
      <c r="G5" s="2770" t="s">
        <v>850</v>
      </c>
      <c r="H5" s="2770" t="s">
        <v>851</v>
      </c>
      <c r="I5" s="4140" t="s">
        <v>160</v>
      </c>
      <c r="J5" s="2770" t="s">
        <v>850</v>
      </c>
      <c r="K5" s="2770" t="s">
        <v>851</v>
      </c>
      <c r="L5" s="4438" t="s">
        <v>160</v>
      </c>
      <c r="M5" s="2770" t="s">
        <v>850</v>
      </c>
      <c r="N5" s="2770" t="s">
        <v>851</v>
      </c>
      <c r="O5" s="4438" t="s">
        <v>160</v>
      </c>
      <c r="P5" s="2770" t="s">
        <v>850</v>
      </c>
      <c r="Q5" s="2770" t="s">
        <v>851</v>
      </c>
      <c r="R5" s="4438" t="s">
        <v>160</v>
      </c>
      <c r="S5" s="2770" t="s">
        <v>850</v>
      </c>
      <c r="T5" s="2770" t="s">
        <v>851</v>
      </c>
      <c r="U5" s="4438" t="s">
        <v>160</v>
      </c>
      <c r="V5" s="2770" t="s">
        <v>850</v>
      </c>
      <c r="W5" s="2770" t="s">
        <v>851</v>
      </c>
      <c r="X5" s="4906" t="s">
        <v>160</v>
      </c>
      <c r="Y5" s="2770" t="s">
        <v>850</v>
      </c>
      <c r="Z5" s="2770" t="s">
        <v>851</v>
      </c>
      <c r="AA5" s="4906" t="s">
        <v>160</v>
      </c>
      <c r="AB5" s="2770" t="s">
        <v>850</v>
      </c>
      <c r="AC5" s="2770" t="s">
        <v>851</v>
      </c>
      <c r="AD5" s="5355" t="s">
        <v>160</v>
      </c>
      <c r="AE5" s="2770" t="s">
        <v>850</v>
      </c>
      <c r="AF5" s="2770" t="s">
        <v>851</v>
      </c>
      <c r="AG5" s="5355" t="s">
        <v>160</v>
      </c>
    </row>
    <row r="6" spans="1:33" ht="15" x14ac:dyDescent="0.2">
      <c r="A6" s="6904" t="s">
        <v>161</v>
      </c>
      <c r="B6" s="6913" t="s">
        <v>7</v>
      </c>
      <c r="C6" s="4444" t="s">
        <v>1454</v>
      </c>
      <c r="D6" s="4443">
        <v>8</v>
      </c>
      <c r="E6" s="1184">
        <v>5</v>
      </c>
      <c r="F6" s="1047">
        <f>SUM(D6:E6)</f>
        <v>13</v>
      </c>
      <c r="G6" s="4443">
        <v>8</v>
      </c>
      <c r="H6" s="1184">
        <v>5</v>
      </c>
      <c r="I6" s="1047">
        <f>SUM(G6:H6)</f>
        <v>13</v>
      </c>
      <c r="J6" s="4443">
        <v>1</v>
      </c>
      <c r="K6" s="1184"/>
      <c r="L6" s="1047">
        <f>SUM(J6:K6)</f>
        <v>1</v>
      </c>
      <c r="M6" s="4443">
        <v>6</v>
      </c>
      <c r="N6" s="1184">
        <v>8</v>
      </c>
      <c r="O6" s="1047">
        <f>SUM(M6:N6)</f>
        <v>14</v>
      </c>
      <c r="P6" s="4443">
        <v>5</v>
      </c>
      <c r="Q6" s="1184">
        <v>6</v>
      </c>
      <c r="R6" s="1047">
        <f>SUM(P6:Q6)</f>
        <v>11</v>
      </c>
      <c r="S6" s="4443">
        <v>5</v>
      </c>
      <c r="T6" s="1184">
        <v>6</v>
      </c>
      <c r="U6" s="1047">
        <f>SUM(S6:T6)</f>
        <v>11</v>
      </c>
      <c r="V6" s="4443">
        <v>5</v>
      </c>
      <c r="W6" s="1184">
        <v>8</v>
      </c>
      <c r="X6" s="1047">
        <f>SUM(V6:W6)</f>
        <v>13</v>
      </c>
      <c r="Y6" s="4443">
        <v>5</v>
      </c>
      <c r="Z6" s="1184">
        <v>8</v>
      </c>
      <c r="AA6" s="1047">
        <f>SUM(Y6:Z6)</f>
        <v>13</v>
      </c>
      <c r="AB6" s="4443"/>
      <c r="AC6" s="1184"/>
      <c r="AD6" s="1047">
        <f>SUM(AB6:AC6)</f>
        <v>0</v>
      </c>
      <c r="AE6" s="4443"/>
      <c r="AF6" s="1184"/>
      <c r="AG6" s="1047">
        <f>SUM(AE6:AF6)</f>
        <v>0</v>
      </c>
    </row>
    <row r="7" spans="1:33" ht="15" x14ac:dyDescent="0.2">
      <c r="A7" s="6904"/>
      <c r="B7" s="6968"/>
      <c r="C7" s="4444" t="s">
        <v>1453</v>
      </c>
      <c r="D7" s="4443"/>
      <c r="E7" s="1184"/>
      <c r="F7" s="1047"/>
      <c r="G7" s="4443">
        <v>2</v>
      </c>
      <c r="H7" s="1184"/>
      <c r="I7" s="1047">
        <f>SUM(G7:H7)</f>
        <v>2</v>
      </c>
      <c r="J7" s="4443"/>
      <c r="K7" s="1184"/>
      <c r="L7" s="1047"/>
      <c r="M7" s="4443"/>
      <c r="N7" s="1184">
        <v>2</v>
      </c>
      <c r="O7" s="1047">
        <f>SUM(M7:N7)</f>
        <v>2</v>
      </c>
      <c r="P7" s="4443"/>
      <c r="Q7" s="1184"/>
      <c r="R7" s="1047"/>
      <c r="S7" s="4443"/>
      <c r="T7" s="1184"/>
      <c r="U7" s="1047"/>
      <c r="V7" s="4443"/>
      <c r="W7" s="1184"/>
      <c r="X7" s="1047"/>
      <c r="Y7" s="4443"/>
      <c r="Z7" s="1184"/>
      <c r="AA7" s="1047"/>
      <c r="AB7" s="4443">
        <v>5</v>
      </c>
      <c r="AC7" s="1184">
        <v>5</v>
      </c>
      <c r="AD7" s="1047">
        <f>SUM(AB7:AC7)</f>
        <v>10</v>
      </c>
      <c r="AE7" s="4443">
        <v>5</v>
      </c>
      <c r="AF7" s="1184">
        <v>5</v>
      </c>
      <c r="AG7" s="1047">
        <f>SUM(AE7:AF7)</f>
        <v>10</v>
      </c>
    </row>
    <row r="8" spans="1:33" ht="30" x14ac:dyDescent="0.2">
      <c r="A8" s="6904"/>
      <c r="B8" s="6913"/>
      <c r="C8" s="4459" t="s">
        <v>1455</v>
      </c>
      <c r="D8" s="4443"/>
      <c r="E8" s="1184"/>
      <c r="F8" s="1047"/>
      <c r="G8" s="4443"/>
      <c r="H8" s="1184"/>
      <c r="I8" s="1047"/>
      <c r="J8" s="4443"/>
      <c r="K8" s="1184"/>
      <c r="L8" s="1047"/>
      <c r="M8" s="4443"/>
      <c r="N8" s="1184"/>
      <c r="O8" s="1047"/>
      <c r="P8" s="4443">
        <v>7</v>
      </c>
      <c r="Q8" s="1184">
        <v>8</v>
      </c>
      <c r="R8" s="1047">
        <f t="shared" ref="R8:R14" si="0">SUM(P8:Q8)</f>
        <v>15</v>
      </c>
      <c r="S8" s="4443">
        <v>7</v>
      </c>
      <c r="T8" s="1184">
        <v>8</v>
      </c>
      <c r="U8" s="1047">
        <f t="shared" ref="U8:U14" si="1">SUM(S8:T8)</f>
        <v>15</v>
      </c>
      <c r="V8" s="4443">
        <v>7</v>
      </c>
      <c r="W8" s="1184">
        <v>8</v>
      </c>
      <c r="X8" s="1047">
        <f t="shared" ref="X8:X14" si="2">SUM(V8:W8)</f>
        <v>15</v>
      </c>
      <c r="Y8" s="4443">
        <v>7</v>
      </c>
      <c r="Z8" s="1184">
        <v>8</v>
      </c>
      <c r="AA8" s="1047">
        <f t="shared" ref="AA8:AA14" si="3">SUM(Y8:Z8)</f>
        <v>15</v>
      </c>
      <c r="AB8" s="4443">
        <v>11</v>
      </c>
      <c r="AC8" s="1184">
        <v>13</v>
      </c>
      <c r="AD8" s="1047">
        <f t="shared" ref="AD8:AD9" si="4">SUM(AB8:AC8)</f>
        <v>24</v>
      </c>
      <c r="AE8" s="4443">
        <v>11</v>
      </c>
      <c r="AF8" s="1184">
        <v>13</v>
      </c>
      <c r="AG8" s="1047">
        <f t="shared" ref="AG8:AG9" si="5">SUM(AE8:AF8)</f>
        <v>24</v>
      </c>
    </row>
    <row r="9" spans="1:33" ht="15" x14ac:dyDescent="0.2">
      <c r="A9" s="6904"/>
      <c r="B9" s="6913"/>
      <c r="C9" s="4471" t="s">
        <v>1323</v>
      </c>
      <c r="D9" s="4443"/>
      <c r="E9" s="1184"/>
      <c r="F9" s="1047"/>
      <c r="G9" s="4443"/>
      <c r="H9" s="1184"/>
      <c r="I9" s="1047"/>
      <c r="J9" s="4443"/>
      <c r="K9" s="1184"/>
      <c r="L9" s="1047"/>
      <c r="M9" s="4443"/>
      <c r="N9" s="1184"/>
      <c r="O9" s="1047"/>
      <c r="P9" s="4443">
        <v>3</v>
      </c>
      <c r="Q9" s="1184">
        <v>8</v>
      </c>
      <c r="R9" s="1047">
        <f t="shared" si="0"/>
        <v>11</v>
      </c>
      <c r="S9" s="4443">
        <v>3</v>
      </c>
      <c r="T9" s="1184">
        <v>8</v>
      </c>
      <c r="U9" s="1047">
        <f t="shared" si="1"/>
        <v>11</v>
      </c>
      <c r="V9" s="4443">
        <v>4</v>
      </c>
      <c r="W9" s="1184">
        <v>10</v>
      </c>
      <c r="X9" s="1047">
        <f t="shared" si="2"/>
        <v>14</v>
      </c>
      <c r="Y9" s="4443">
        <v>4</v>
      </c>
      <c r="Z9" s="1184">
        <v>10</v>
      </c>
      <c r="AA9" s="1047">
        <f t="shared" si="3"/>
        <v>14</v>
      </c>
      <c r="AB9" s="4443"/>
      <c r="AC9" s="1184"/>
      <c r="AD9" s="1047">
        <f t="shared" si="4"/>
        <v>0</v>
      </c>
      <c r="AE9" s="4443"/>
      <c r="AF9" s="1184"/>
      <c r="AG9" s="1047">
        <f t="shared" si="5"/>
        <v>0</v>
      </c>
    </row>
    <row r="10" spans="1:33" ht="15" x14ac:dyDescent="0.25">
      <c r="A10" s="6904"/>
      <c r="B10" s="6968"/>
      <c r="C10" s="1192" t="s">
        <v>1509</v>
      </c>
      <c r="D10" s="4443"/>
      <c r="E10" s="1184"/>
      <c r="F10" s="1047"/>
      <c r="G10" s="4443"/>
      <c r="H10" s="1184"/>
      <c r="I10" s="1047"/>
      <c r="J10" s="4443"/>
      <c r="K10" s="1184"/>
      <c r="L10" s="1047"/>
      <c r="M10" s="4443"/>
      <c r="N10" s="1184"/>
      <c r="O10" s="1047"/>
      <c r="P10" s="4443"/>
      <c r="Q10" s="1184"/>
      <c r="R10" s="1047"/>
      <c r="S10" s="4443"/>
      <c r="T10" s="1184"/>
      <c r="U10" s="1047"/>
      <c r="V10" s="4443">
        <v>1</v>
      </c>
      <c r="W10" s="1184">
        <v>2</v>
      </c>
      <c r="X10" s="1047">
        <f>SUM(V10:W10)</f>
        <v>3</v>
      </c>
      <c r="Y10" s="4443">
        <v>1</v>
      </c>
      <c r="Z10" s="1184">
        <v>2</v>
      </c>
      <c r="AA10" s="1047">
        <f>SUM(Y10:Z10)</f>
        <v>3</v>
      </c>
      <c r="AB10" s="4443">
        <v>8</v>
      </c>
      <c r="AC10" s="1184">
        <v>11</v>
      </c>
      <c r="AD10" s="1047">
        <f>SUM(AB10:AC10)</f>
        <v>19</v>
      </c>
      <c r="AE10" s="4443">
        <v>8</v>
      </c>
      <c r="AF10" s="1184">
        <v>11</v>
      </c>
      <c r="AG10" s="1047">
        <f>SUM(AE10:AF10)</f>
        <v>19</v>
      </c>
    </row>
    <row r="11" spans="1:33" ht="30" x14ac:dyDescent="0.25">
      <c r="A11" s="6904"/>
      <c r="B11" s="6968"/>
      <c r="C11" s="1192" t="s">
        <v>1324</v>
      </c>
      <c r="D11" s="4443"/>
      <c r="E11" s="1184"/>
      <c r="F11" s="1047"/>
      <c r="G11" s="4443"/>
      <c r="H11" s="1184"/>
      <c r="I11" s="1047"/>
      <c r="J11" s="4443"/>
      <c r="K11" s="1184"/>
      <c r="L11" s="1047"/>
      <c r="M11" s="4443"/>
      <c r="N11" s="1184"/>
      <c r="O11" s="1047"/>
      <c r="P11" s="4443"/>
      <c r="Q11" s="1184"/>
      <c r="R11" s="1047"/>
      <c r="S11" s="4443"/>
      <c r="T11" s="1184"/>
      <c r="U11" s="1047"/>
      <c r="V11" s="4443">
        <v>1</v>
      </c>
      <c r="W11" s="1184">
        <v>1</v>
      </c>
      <c r="X11" s="1047">
        <f>SUM(V11:W11)</f>
        <v>2</v>
      </c>
      <c r="Y11" s="4443">
        <v>1</v>
      </c>
      <c r="Z11" s="1184">
        <v>1</v>
      </c>
      <c r="AA11" s="1047">
        <f>SUM(Y11:Z11)</f>
        <v>2</v>
      </c>
      <c r="AB11" s="4443">
        <v>1</v>
      </c>
      <c r="AC11" s="1184">
        <v>1</v>
      </c>
      <c r="AD11" s="1047">
        <f>SUM(AB11:AC11)</f>
        <v>2</v>
      </c>
      <c r="AE11" s="4443">
        <v>1</v>
      </c>
      <c r="AF11" s="1184">
        <v>1</v>
      </c>
      <c r="AG11" s="1047">
        <f>SUM(AE11:AF11)</f>
        <v>2</v>
      </c>
    </row>
    <row r="12" spans="1:33" ht="30" x14ac:dyDescent="0.25">
      <c r="A12" s="6904"/>
      <c r="B12" s="6968"/>
      <c r="C12" s="1192" t="s">
        <v>1330</v>
      </c>
      <c r="D12" s="4443"/>
      <c r="E12" s="1184"/>
      <c r="F12" s="1047"/>
      <c r="G12" s="4443"/>
      <c r="H12" s="1184"/>
      <c r="I12" s="1047"/>
      <c r="J12" s="4443"/>
      <c r="K12" s="1184"/>
      <c r="L12" s="1047"/>
      <c r="M12" s="4443"/>
      <c r="N12" s="1184"/>
      <c r="O12" s="1047"/>
      <c r="P12" s="4443"/>
      <c r="Q12" s="1184"/>
      <c r="R12" s="1047"/>
      <c r="S12" s="4443"/>
      <c r="T12" s="1184"/>
      <c r="U12" s="1047"/>
      <c r="V12" s="4443"/>
      <c r="W12" s="1184"/>
      <c r="X12" s="1047"/>
      <c r="Y12" s="4443"/>
      <c r="Z12" s="1184"/>
      <c r="AA12" s="1047"/>
      <c r="AB12" s="4443"/>
      <c r="AC12" s="1184"/>
      <c r="AD12" s="1047"/>
      <c r="AE12" s="4443"/>
      <c r="AF12" s="1184"/>
      <c r="AG12" s="1047"/>
    </row>
    <row r="13" spans="1:33" ht="15" x14ac:dyDescent="0.25">
      <c r="A13" s="6904"/>
      <c r="B13" s="6913"/>
      <c r="C13" s="1192" t="s">
        <v>1320</v>
      </c>
      <c r="D13" s="4443"/>
      <c r="E13" s="1184"/>
      <c r="F13" s="1047"/>
      <c r="G13" s="4443"/>
      <c r="H13" s="1184"/>
      <c r="I13" s="1047"/>
      <c r="J13" s="4443"/>
      <c r="K13" s="1184"/>
      <c r="L13" s="1047"/>
      <c r="M13" s="4443"/>
      <c r="N13" s="1184"/>
      <c r="O13" s="1047"/>
      <c r="P13" s="4443">
        <v>1</v>
      </c>
      <c r="Q13" s="1184">
        <v>5</v>
      </c>
      <c r="R13" s="1047">
        <f t="shared" si="0"/>
        <v>6</v>
      </c>
      <c r="S13" s="4443">
        <v>1</v>
      </c>
      <c r="T13" s="1184">
        <v>5</v>
      </c>
      <c r="U13" s="1047">
        <f t="shared" si="1"/>
        <v>6</v>
      </c>
      <c r="V13" s="4443">
        <v>2</v>
      </c>
      <c r="W13" s="1184">
        <v>5</v>
      </c>
      <c r="X13" s="1047">
        <f t="shared" si="2"/>
        <v>7</v>
      </c>
      <c r="Y13" s="4443">
        <v>2</v>
      </c>
      <c r="Z13" s="1184">
        <v>5</v>
      </c>
      <c r="AA13" s="1047">
        <f t="shared" si="3"/>
        <v>7</v>
      </c>
      <c r="AB13" s="4443"/>
      <c r="AC13" s="1184"/>
      <c r="AD13" s="1047">
        <f t="shared" ref="AD13:AD14" si="6">SUM(AB13:AC13)</f>
        <v>0</v>
      </c>
      <c r="AE13" s="4443"/>
      <c r="AF13" s="1184"/>
      <c r="AG13" s="1047">
        <f t="shared" ref="AG13:AG14" si="7">SUM(AE13:AF13)</f>
        <v>0</v>
      </c>
    </row>
    <row r="14" spans="1:33" ht="15" x14ac:dyDescent="0.25">
      <c r="A14" s="6904"/>
      <c r="B14" s="6913"/>
      <c r="C14" s="1192" t="s">
        <v>1456</v>
      </c>
      <c r="D14" s="4443"/>
      <c r="E14" s="1184"/>
      <c r="F14" s="1047"/>
      <c r="G14" s="4443"/>
      <c r="H14" s="1184"/>
      <c r="I14" s="1047"/>
      <c r="J14" s="4443"/>
      <c r="K14" s="1184"/>
      <c r="L14" s="1047"/>
      <c r="M14" s="4443"/>
      <c r="N14" s="1184"/>
      <c r="O14" s="1047"/>
      <c r="P14" s="4443">
        <v>2</v>
      </c>
      <c r="Q14" s="1184">
        <v>2</v>
      </c>
      <c r="R14" s="1047">
        <f t="shared" si="0"/>
        <v>4</v>
      </c>
      <c r="S14" s="4443">
        <v>2</v>
      </c>
      <c r="T14" s="1184">
        <v>2</v>
      </c>
      <c r="U14" s="1047">
        <f t="shared" si="1"/>
        <v>4</v>
      </c>
      <c r="V14" s="4443">
        <v>2</v>
      </c>
      <c r="W14" s="1184">
        <v>2</v>
      </c>
      <c r="X14" s="1047">
        <f t="shared" si="2"/>
        <v>4</v>
      </c>
      <c r="Y14" s="4443">
        <v>2</v>
      </c>
      <c r="Z14" s="1184">
        <v>2</v>
      </c>
      <c r="AA14" s="1047">
        <f t="shared" si="3"/>
        <v>4</v>
      </c>
      <c r="AB14" s="4443">
        <v>5</v>
      </c>
      <c r="AC14" s="1184">
        <v>7</v>
      </c>
      <c r="AD14" s="1047">
        <f t="shared" si="6"/>
        <v>12</v>
      </c>
      <c r="AE14" s="4443">
        <v>5</v>
      </c>
      <c r="AF14" s="1184">
        <v>7</v>
      </c>
      <c r="AG14" s="1047">
        <f t="shared" si="7"/>
        <v>12</v>
      </c>
    </row>
    <row r="15" spans="1:33" ht="15" x14ac:dyDescent="0.2">
      <c r="A15" s="6904"/>
      <c r="B15" s="6913"/>
      <c r="C15" s="4927" t="s">
        <v>1457</v>
      </c>
      <c r="D15" s="2747">
        <f t="shared" ref="D15:J15" si="8">SUM(D6:D6)</f>
        <v>8</v>
      </c>
      <c r="E15" s="2738">
        <f t="shared" si="8"/>
        <v>5</v>
      </c>
      <c r="F15" s="4928">
        <f t="shared" si="8"/>
        <v>13</v>
      </c>
      <c r="G15" s="2747">
        <f t="shared" si="8"/>
        <v>8</v>
      </c>
      <c r="H15" s="2738">
        <f t="shared" si="8"/>
        <v>5</v>
      </c>
      <c r="I15" s="4928">
        <f t="shared" si="8"/>
        <v>13</v>
      </c>
      <c r="J15" s="2747">
        <f t="shared" si="8"/>
        <v>1</v>
      </c>
      <c r="K15" s="2738"/>
      <c r="L15" s="4928">
        <f>SUM(L6:L6)</f>
        <v>1</v>
      </c>
      <c r="M15" s="2747">
        <f>SUM(M6:M14)</f>
        <v>6</v>
      </c>
      <c r="N15" s="2738">
        <f>SUM(N6:N14)</f>
        <v>10</v>
      </c>
      <c r="O15" s="2738">
        <f>SUM(O6:O14)</f>
        <v>16</v>
      </c>
      <c r="P15" s="2747">
        <f t="shared" ref="P15:AA15" si="9">SUM(P6:P14)</f>
        <v>18</v>
      </c>
      <c r="Q15" s="2738">
        <f t="shared" si="9"/>
        <v>29</v>
      </c>
      <c r="R15" s="4928">
        <f t="shared" si="9"/>
        <v>47</v>
      </c>
      <c r="S15" s="2747">
        <f t="shared" si="9"/>
        <v>18</v>
      </c>
      <c r="T15" s="2738">
        <f t="shared" si="9"/>
        <v>29</v>
      </c>
      <c r="U15" s="4928">
        <f t="shared" si="9"/>
        <v>47</v>
      </c>
      <c r="V15" s="2747">
        <f t="shared" si="9"/>
        <v>22</v>
      </c>
      <c r="W15" s="2738">
        <f t="shared" si="9"/>
        <v>36</v>
      </c>
      <c r="X15" s="4928">
        <f t="shared" si="9"/>
        <v>58</v>
      </c>
      <c r="Y15" s="2747">
        <f t="shared" si="9"/>
        <v>22</v>
      </c>
      <c r="Z15" s="2738">
        <f t="shared" si="9"/>
        <v>36</v>
      </c>
      <c r="AA15" s="4928">
        <f t="shared" si="9"/>
        <v>58</v>
      </c>
      <c r="AB15" s="2747">
        <f t="shared" ref="AB15:AG15" si="10">SUM(AB6:AB14)</f>
        <v>30</v>
      </c>
      <c r="AC15" s="2738">
        <f t="shared" si="10"/>
        <v>37</v>
      </c>
      <c r="AD15" s="4928">
        <f t="shared" si="10"/>
        <v>67</v>
      </c>
      <c r="AE15" s="2747">
        <f t="shared" si="10"/>
        <v>30</v>
      </c>
      <c r="AF15" s="2738">
        <f t="shared" si="10"/>
        <v>37</v>
      </c>
      <c r="AG15" s="4928">
        <f t="shared" si="10"/>
        <v>67</v>
      </c>
    </row>
    <row r="16" spans="1:33" ht="15" x14ac:dyDescent="0.2">
      <c r="A16" s="6904"/>
      <c r="B16" s="6913" t="s">
        <v>5</v>
      </c>
      <c r="C16" s="4444" t="s">
        <v>613</v>
      </c>
      <c r="D16" s="4443">
        <v>2</v>
      </c>
      <c r="E16" s="1184">
        <v>1</v>
      </c>
      <c r="F16" s="1047">
        <f>SUM(D16:E16)</f>
        <v>3</v>
      </c>
      <c r="G16" s="4443">
        <v>2</v>
      </c>
      <c r="H16" s="1184">
        <v>1</v>
      </c>
      <c r="I16" s="1047">
        <f>SUM(G16:H16)</f>
        <v>3</v>
      </c>
      <c r="J16" s="4443"/>
      <c r="K16" s="1184"/>
      <c r="L16" s="1047"/>
      <c r="M16" s="4443">
        <v>1</v>
      </c>
      <c r="N16" s="1184">
        <v>2</v>
      </c>
      <c r="O16" s="1047">
        <f>SUM(M16:N16)</f>
        <v>3</v>
      </c>
      <c r="P16" s="4443">
        <v>1</v>
      </c>
      <c r="Q16" s="1184">
        <v>5</v>
      </c>
      <c r="R16" s="1047">
        <f>SUM(P16:Q16)</f>
        <v>6</v>
      </c>
      <c r="S16" s="4443">
        <v>2</v>
      </c>
      <c r="T16" s="1184">
        <v>7</v>
      </c>
      <c r="U16" s="1047">
        <f>SUM(S16:T16)</f>
        <v>9</v>
      </c>
      <c r="V16" s="4443">
        <v>2</v>
      </c>
      <c r="W16" s="1184">
        <v>7</v>
      </c>
      <c r="X16" s="1047">
        <f>SUM(V16:W16)</f>
        <v>9</v>
      </c>
      <c r="Y16" s="4443">
        <v>2</v>
      </c>
      <c r="Z16" s="1184">
        <v>7</v>
      </c>
      <c r="AA16" s="1047">
        <f>SUM(Y16:Z16)</f>
        <v>9</v>
      </c>
      <c r="AB16" s="4443">
        <v>1</v>
      </c>
      <c r="AC16" s="1184">
        <v>7</v>
      </c>
      <c r="AD16" s="1047">
        <f>SUM(AB16:AC16)</f>
        <v>8</v>
      </c>
      <c r="AE16" s="4443">
        <v>1</v>
      </c>
      <c r="AF16" s="1184">
        <v>7</v>
      </c>
      <c r="AG16" s="1047">
        <f>SUM(AE16:AF16)</f>
        <v>8</v>
      </c>
    </row>
    <row r="17" spans="1:33" ht="15" x14ac:dyDescent="0.2">
      <c r="A17" s="6904"/>
      <c r="B17" s="6913"/>
      <c r="C17" s="4444" t="s">
        <v>614</v>
      </c>
      <c r="D17" s="4443">
        <v>1</v>
      </c>
      <c r="E17" s="1184"/>
      <c r="F17" s="1047">
        <f>SUM(D17:E17)</f>
        <v>1</v>
      </c>
      <c r="G17" s="4443">
        <v>1</v>
      </c>
      <c r="H17" s="1184"/>
      <c r="I17" s="1047">
        <f>SUM(G17:H17)</f>
        <v>1</v>
      </c>
      <c r="J17" s="4443"/>
      <c r="K17" s="1184"/>
      <c r="L17" s="1047"/>
      <c r="M17" s="4443"/>
      <c r="N17" s="1184">
        <v>1</v>
      </c>
      <c r="O17" s="1047">
        <f>SUM(M17:N17)</f>
        <v>1</v>
      </c>
      <c r="P17" s="4443"/>
      <c r="Q17" s="1184"/>
      <c r="R17" s="1047"/>
      <c r="S17" s="4443"/>
      <c r="T17" s="1184"/>
      <c r="U17" s="1047"/>
      <c r="V17" s="4443"/>
      <c r="W17" s="1184"/>
      <c r="X17" s="1047"/>
      <c r="Y17" s="4443"/>
      <c r="Z17" s="1184"/>
      <c r="AA17" s="1047"/>
      <c r="AB17" s="4443"/>
      <c r="AC17" s="1184"/>
      <c r="AD17" s="1047"/>
      <c r="AE17" s="4443"/>
      <c r="AF17" s="1184"/>
      <c r="AG17" s="1047"/>
    </row>
    <row r="18" spans="1:33" ht="15" x14ac:dyDescent="0.2">
      <c r="A18" s="6905"/>
      <c r="B18" s="6913"/>
      <c r="C18" s="4444" t="s">
        <v>410</v>
      </c>
      <c r="D18" s="4443"/>
      <c r="E18" s="1184"/>
      <c r="F18" s="1047"/>
      <c r="G18" s="4443">
        <v>4</v>
      </c>
      <c r="H18" s="1184"/>
      <c r="I18" s="1047">
        <f>SUM(G18:H18)</f>
        <v>4</v>
      </c>
      <c r="J18" s="4443"/>
      <c r="K18" s="1184"/>
      <c r="L18" s="1047"/>
      <c r="M18" s="4443"/>
      <c r="N18" s="1184"/>
      <c r="O18" s="1047"/>
      <c r="P18" s="4443"/>
      <c r="Q18" s="1184"/>
      <c r="R18" s="1047"/>
      <c r="S18" s="4443"/>
      <c r="T18" s="1184"/>
      <c r="U18" s="1047"/>
      <c r="V18" s="4443"/>
      <c r="W18" s="1184"/>
      <c r="X18" s="1047"/>
      <c r="Y18" s="4443"/>
      <c r="Z18" s="1184"/>
      <c r="AA18" s="1047"/>
      <c r="AB18" s="4443"/>
      <c r="AC18" s="1184"/>
      <c r="AD18" s="1047"/>
      <c r="AE18" s="4443"/>
      <c r="AF18" s="1184"/>
      <c r="AG18" s="1047"/>
    </row>
    <row r="19" spans="1:33" ht="15" x14ac:dyDescent="0.2">
      <c r="A19" s="6905"/>
      <c r="B19" s="6913"/>
      <c r="C19" s="4927" t="s">
        <v>1457</v>
      </c>
      <c r="D19" s="2747">
        <f t="shared" ref="D19:I19" si="11">SUM(D16:D18)</f>
        <v>3</v>
      </c>
      <c r="E19" s="2738">
        <f t="shared" si="11"/>
        <v>1</v>
      </c>
      <c r="F19" s="4928">
        <f t="shared" si="11"/>
        <v>4</v>
      </c>
      <c r="G19" s="2747">
        <f t="shared" si="11"/>
        <v>7</v>
      </c>
      <c r="H19" s="2738">
        <f t="shared" si="11"/>
        <v>1</v>
      </c>
      <c r="I19" s="4928">
        <f t="shared" si="11"/>
        <v>8</v>
      </c>
      <c r="J19" s="2747"/>
      <c r="K19" s="2738"/>
      <c r="L19" s="4928"/>
      <c r="M19" s="2747">
        <f t="shared" ref="M19:AA19" si="12">SUM(M16:M18)</f>
        <v>1</v>
      </c>
      <c r="N19" s="2738">
        <f t="shared" si="12"/>
        <v>3</v>
      </c>
      <c r="O19" s="4928">
        <f t="shared" si="12"/>
        <v>4</v>
      </c>
      <c r="P19" s="2747">
        <f t="shared" si="12"/>
        <v>1</v>
      </c>
      <c r="Q19" s="2738">
        <f t="shared" si="12"/>
        <v>5</v>
      </c>
      <c r="R19" s="4928">
        <f t="shared" si="12"/>
        <v>6</v>
      </c>
      <c r="S19" s="2747">
        <f t="shared" si="12"/>
        <v>2</v>
      </c>
      <c r="T19" s="2738">
        <f t="shared" si="12"/>
        <v>7</v>
      </c>
      <c r="U19" s="4928">
        <f t="shared" si="12"/>
        <v>9</v>
      </c>
      <c r="V19" s="2747">
        <f t="shared" si="12"/>
        <v>2</v>
      </c>
      <c r="W19" s="2738">
        <f t="shared" si="12"/>
        <v>7</v>
      </c>
      <c r="X19" s="4928">
        <f t="shared" si="12"/>
        <v>9</v>
      </c>
      <c r="Y19" s="2747">
        <f t="shared" si="12"/>
        <v>2</v>
      </c>
      <c r="Z19" s="2738">
        <f t="shared" si="12"/>
        <v>7</v>
      </c>
      <c r="AA19" s="4928">
        <f t="shared" si="12"/>
        <v>9</v>
      </c>
      <c r="AB19" s="2747">
        <f t="shared" ref="AB19:AG19" si="13">SUM(AB16:AB18)</f>
        <v>1</v>
      </c>
      <c r="AC19" s="2738">
        <f t="shared" si="13"/>
        <v>7</v>
      </c>
      <c r="AD19" s="4928">
        <f t="shared" si="13"/>
        <v>8</v>
      </c>
      <c r="AE19" s="2747">
        <f t="shared" si="13"/>
        <v>1</v>
      </c>
      <c r="AF19" s="2738">
        <f t="shared" si="13"/>
        <v>7</v>
      </c>
      <c r="AG19" s="4928">
        <f t="shared" si="13"/>
        <v>8</v>
      </c>
    </row>
    <row r="20" spans="1:33" ht="15" x14ac:dyDescent="0.2">
      <c r="A20" s="6905"/>
      <c r="B20" s="6913" t="s">
        <v>6</v>
      </c>
      <c r="C20" s="4444" t="s">
        <v>847</v>
      </c>
      <c r="D20" s="4443">
        <v>6</v>
      </c>
      <c r="E20" s="1184">
        <v>4</v>
      </c>
      <c r="F20" s="1047">
        <f>SUM(D20:E20)</f>
        <v>10</v>
      </c>
      <c r="G20" s="4443">
        <v>10</v>
      </c>
      <c r="H20" s="1184">
        <v>7</v>
      </c>
      <c r="I20" s="1047">
        <f>SUM(G20:H20)</f>
        <v>17</v>
      </c>
      <c r="J20" s="4443"/>
      <c r="K20" s="1184"/>
      <c r="L20" s="1047"/>
      <c r="M20" s="4443">
        <v>4</v>
      </c>
      <c r="N20" s="1184">
        <v>6</v>
      </c>
      <c r="O20" s="1047">
        <f>SUM(M20:N20)</f>
        <v>10</v>
      </c>
      <c r="P20" s="4443"/>
      <c r="Q20" s="1184"/>
      <c r="R20" s="1047"/>
      <c r="S20" s="4443"/>
      <c r="T20" s="1184"/>
      <c r="U20" s="1047"/>
      <c r="V20" s="4443"/>
      <c r="W20" s="1184"/>
      <c r="X20" s="1047"/>
      <c r="Y20" s="4443"/>
      <c r="Z20" s="1184"/>
      <c r="AA20" s="1047"/>
      <c r="AB20" s="4443"/>
      <c r="AC20" s="1184"/>
      <c r="AD20" s="1047"/>
      <c r="AE20" s="4443"/>
      <c r="AF20" s="1184"/>
      <c r="AG20" s="1047"/>
    </row>
    <row r="21" spans="1:33" ht="15" x14ac:dyDescent="0.2">
      <c r="A21" s="6905"/>
      <c r="B21" s="6913"/>
      <c r="C21" s="4444" t="s">
        <v>852</v>
      </c>
      <c r="D21" s="4443"/>
      <c r="E21" s="1184"/>
      <c r="F21" s="1047"/>
      <c r="G21" s="4443">
        <v>6</v>
      </c>
      <c r="H21" s="1184">
        <v>4</v>
      </c>
      <c r="I21" s="1047">
        <f>SUM(G21:H21)</f>
        <v>10</v>
      </c>
      <c r="J21" s="4443"/>
      <c r="K21" s="1184"/>
      <c r="L21" s="1047"/>
      <c r="M21" s="4443"/>
      <c r="N21" s="1184"/>
      <c r="O21" s="1047"/>
      <c r="P21" s="4443"/>
      <c r="Q21" s="1184"/>
      <c r="R21" s="1047"/>
      <c r="S21" s="4443"/>
      <c r="T21" s="1184"/>
      <c r="U21" s="1047"/>
      <c r="V21" s="4443"/>
      <c r="W21" s="1184"/>
      <c r="X21" s="1047"/>
      <c r="Y21" s="4443"/>
      <c r="Z21" s="1184"/>
      <c r="AA21" s="1047"/>
      <c r="AB21" s="4443"/>
      <c r="AC21" s="1184"/>
      <c r="AD21" s="1047"/>
      <c r="AE21" s="4443"/>
      <c r="AF21" s="1184"/>
      <c r="AG21" s="1047"/>
    </row>
    <row r="22" spans="1:33" ht="15" x14ac:dyDescent="0.2">
      <c r="A22" s="6906"/>
      <c r="B22" s="6927"/>
      <c r="C22" s="5365" t="s">
        <v>1594</v>
      </c>
      <c r="D22" s="5366"/>
      <c r="E22" s="5367"/>
      <c r="F22" s="5368"/>
      <c r="G22" s="5366"/>
      <c r="H22" s="5367"/>
      <c r="I22" s="5368"/>
      <c r="J22" s="5366"/>
      <c r="K22" s="5367"/>
      <c r="L22" s="5368"/>
      <c r="M22" s="5366"/>
      <c r="N22" s="5367"/>
      <c r="O22" s="5368"/>
      <c r="P22" s="5366"/>
      <c r="Q22" s="5367"/>
      <c r="R22" s="5368"/>
      <c r="S22" s="5366"/>
      <c r="T22" s="5367"/>
      <c r="U22" s="5368"/>
      <c r="V22" s="5366"/>
      <c r="W22" s="5367"/>
      <c r="X22" s="5368"/>
      <c r="Y22" s="5366"/>
      <c r="Z22" s="5367"/>
      <c r="AA22" s="5368"/>
      <c r="AB22" s="5366">
        <v>14</v>
      </c>
      <c r="AC22" s="5367">
        <v>13</v>
      </c>
      <c r="AD22" s="5368">
        <f>SUM(AB22:AC22)</f>
        <v>27</v>
      </c>
      <c r="AE22" s="5366">
        <v>11</v>
      </c>
      <c r="AF22" s="5367">
        <v>11</v>
      </c>
      <c r="AG22" s="5368">
        <f>SUM(AE22:AF22)</f>
        <v>22</v>
      </c>
    </row>
    <row r="23" spans="1:33" ht="15" x14ac:dyDescent="0.2">
      <c r="A23" s="6906"/>
      <c r="B23" s="6927"/>
      <c r="C23" s="5365" t="s">
        <v>1645</v>
      </c>
      <c r="D23" s="5366"/>
      <c r="E23" s="5367"/>
      <c r="F23" s="5368"/>
      <c r="G23" s="5366"/>
      <c r="H23" s="5367"/>
      <c r="I23" s="5368"/>
      <c r="J23" s="5366"/>
      <c r="K23" s="5367"/>
      <c r="L23" s="5368"/>
      <c r="M23" s="5366"/>
      <c r="N23" s="5367"/>
      <c r="O23" s="5368"/>
      <c r="P23" s="5366"/>
      <c r="Q23" s="5367"/>
      <c r="R23" s="5368"/>
      <c r="S23" s="5366"/>
      <c r="T23" s="5367"/>
      <c r="U23" s="5368"/>
      <c r="V23" s="5366"/>
      <c r="W23" s="5367"/>
      <c r="X23" s="5368"/>
      <c r="Y23" s="5366"/>
      <c r="Z23" s="5367"/>
      <c r="AA23" s="5368"/>
      <c r="AB23" s="5366">
        <v>5</v>
      </c>
      <c r="AC23" s="5367">
        <v>8</v>
      </c>
      <c r="AD23" s="5368">
        <f>SUM(AB23:AC23)</f>
        <v>13</v>
      </c>
      <c r="AE23" s="5366">
        <v>5</v>
      </c>
      <c r="AF23" s="5367">
        <v>7</v>
      </c>
      <c r="AG23" s="5368">
        <f>SUM(AE23:AF23)</f>
        <v>12</v>
      </c>
    </row>
    <row r="24" spans="1:33" ht="15" x14ac:dyDescent="0.2">
      <c r="A24" s="6905"/>
      <c r="B24" s="6914"/>
      <c r="C24" s="4929" t="s">
        <v>1457</v>
      </c>
      <c r="D24" s="2749">
        <f t="shared" ref="D24:I24" si="14">SUM(D20:D21)</f>
        <v>6</v>
      </c>
      <c r="E24" s="2740">
        <f t="shared" si="14"/>
        <v>4</v>
      </c>
      <c r="F24" s="4930">
        <f t="shared" si="14"/>
        <v>10</v>
      </c>
      <c r="G24" s="2749">
        <f t="shared" si="14"/>
        <v>16</v>
      </c>
      <c r="H24" s="2740">
        <f t="shared" si="14"/>
        <v>11</v>
      </c>
      <c r="I24" s="4930">
        <f t="shared" si="14"/>
        <v>27</v>
      </c>
      <c r="J24" s="2749"/>
      <c r="K24" s="2740"/>
      <c r="L24" s="4930"/>
      <c r="M24" s="2749">
        <f>SUM(M20:M21)</f>
        <v>4</v>
      </c>
      <c r="N24" s="2740">
        <f>SUM(N20:N21)</f>
        <v>6</v>
      </c>
      <c r="O24" s="4930">
        <f>SUM(O20:O21)</f>
        <v>10</v>
      </c>
      <c r="P24" s="2749"/>
      <c r="Q24" s="2740"/>
      <c r="R24" s="4930"/>
      <c r="S24" s="2749"/>
      <c r="T24" s="2740"/>
      <c r="U24" s="4930"/>
      <c r="V24" s="2749"/>
      <c r="W24" s="2740"/>
      <c r="X24" s="4930"/>
      <c r="Y24" s="2749"/>
      <c r="Z24" s="2740"/>
      <c r="AA24" s="4930"/>
      <c r="AB24" s="2747">
        <f>SUM(AB20:AB23)</f>
        <v>19</v>
      </c>
      <c r="AC24" s="2738">
        <f t="shared" ref="AC24:AG24" si="15">SUM(AC20:AC23)</f>
        <v>21</v>
      </c>
      <c r="AD24" s="4928">
        <f t="shared" si="15"/>
        <v>40</v>
      </c>
      <c r="AE24" s="2747">
        <f t="shared" si="15"/>
        <v>16</v>
      </c>
      <c r="AF24" s="2738">
        <f t="shared" si="15"/>
        <v>18</v>
      </c>
      <c r="AG24" s="4928">
        <f t="shared" si="15"/>
        <v>34</v>
      </c>
    </row>
    <row r="25" spans="1:33" ht="15" x14ac:dyDescent="0.2">
      <c r="A25" s="6907"/>
      <c r="B25" s="6969" t="s">
        <v>444</v>
      </c>
      <c r="C25" s="6970"/>
      <c r="D25" s="4450">
        <f t="shared" ref="D25:O25" si="16">SUM(D24,D19,D15)</f>
        <v>17</v>
      </c>
      <c r="E25" s="4451">
        <f t="shared" si="16"/>
        <v>10</v>
      </c>
      <c r="F25" s="4441">
        <f t="shared" si="16"/>
        <v>27</v>
      </c>
      <c r="G25" s="4450">
        <f t="shared" si="16"/>
        <v>31</v>
      </c>
      <c r="H25" s="4451">
        <f t="shared" si="16"/>
        <v>17</v>
      </c>
      <c r="I25" s="4441">
        <f t="shared" si="16"/>
        <v>48</v>
      </c>
      <c r="J25" s="4450">
        <f t="shared" si="16"/>
        <v>1</v>
      </c>
      <c r="K25" s="4451">
        <f t="shared" si="16"/>
        <v>0</v>
      </c>
      <c r="L25" s="4441">
        <f t="shared" si="16"/>
        <v>1</v>
      </c>
      <c r="M25" s="4450">
        <f t="shared" si="16"/>
        <v>11</v>
      </c>
      <c r="N25" s="4451">
        <f t="shared" si="16"/>
        <v>19</v>
      </c>
      <c r="O25" s="4441">
        <f t="shared" si="16"/>
        <v>30</v>
      </c>
      <c r="P25" s="4450">
        <f t="shared" ref="P25:AA25" si="17">SUM(P15,P19,P24)</f>
        <v>19</v>
      </c>
      <c r="Q25" s="4451">
        <f t="shared" si="17"/>
        <v>34</v>
      </c>
      <c r="R25" s="4441">
        <f t="shared" si="17"/>
        <v>53</v>
      </c>
      <c r="S25" s="4450">
        <f t="shared" si="17"/>
        <v>20</v>
      </c>
      <c r="T25" s="4451">
        <f t="shared" si="17"/>
        <v>36</v>
      </c>
      <c r="U25" s="4441">
        <f t="shared" si="17"/>
        <v>56</v>
      </c>
      <c r="V25" s="4450">
        <f t="shared" si="17"/>
        <v>24</v>
      </c>
      <c r="W25" s="4451">
        <f t="shared" si="17"/>
        <v>43</v>
      </c>
      <c r="X25" s="4907">
        <f t="shared" si="17"/>
        <v>67</v>
      </c>
      <c r="Y25" s="4450">
        <f t="shared" si="17"/>
        <v>24</v>
      </c>
      <c r="Z25" s="4451">
        <f t="shared" si="17"/>
        <v>43</v>
      </c>
      <c r="AA25" s="4907">
        <f t="shared" si="17"/>
        <v>67</v>
      </c>
      <c r="AB25" s="4450">
        <f t="shared" ref="AB25:AG25" si="18">SUM(AB15,AB19,AB24)</f>
        <v>50</v>
      </c>
      <c r="AC25" s="4451">
        <f t="shared" si="18"/>
        <v>65</v>
      </c>
      <c r="AD25" s="5358">
        <f t="shared" si="18"/>
        <v>115</v>
      </c>
      <c r="AE25" s="4450">
        <f t="shared" si="18"/>
        <v>47</v>
      </c>
      <c r="AF25" s="4451">
        <f t="shared" si="18"/>
        <v>62</v>
      </c>
      <c r="AG25" s="5358">
        <f t="shared" si="18"/>
        <v>109</v>
      </c>
    </row>
    <row r="26" spans="1:33" ht="15" x14ac:dyDescent="0.2">
      <c r="A26" s="6917" t="s">
        <v>407</v>
      </c>
      <c r="B26" s="6912" t="s">
        <v>74</v>
      </c>
      <c r="C26" s="4446" t="s">
        <v>415</v>
      </c>
      <c r="D26" s="4447">
        <v>3</v>
      </c>
      <c r="E26" s="4448">
        <v>2</v>
      </c>
      <c r="F26" s="4449">
        <f>SUM(D26:E26)</f>
        <v>5</v>
      </c>
      <c r="G26" s="4447">
        <v>7</v>
      </c>
      <c r="H26" s="4448">
        <v>3</v>
      </c>
      <c r="I26" s="4449">
        <f>SUM(G26:H26)</f>
        <v>10</v>
      </c>
      <c r="J26" s="4447"/>
      <c r="K26" s="4448"/>
      <c r="L26" s="4449"/>
      <c r="M26" s="4447"/>
      <c r="N26" s="4448"/>
      <c r="O26" s="4449"/>
      <c r="P26" s="4447"/>
      <c r="Q26" s="4448"/>
      <c r="R26" s="4449"/>
      <c r="S26" s="4447"/>
      <c r="T26" s="4448"/>
      <c r="U26" s="4449"/>
      <c r="V26" s="4447"/>
      <c r="W26" s="4448"/>
      <c r="X26" s="4449"/>
      <c r="Y26" s="4447"/>
      <c r="Z26" s="4448"/>
      <c r="AA26" s="4449"/>
      <c r="AB26" s="4447"/>
      <c r="AC26" s="4448"/>
      <c r="AD26" s="4449"/>
      <c r="AE26" s="4447"/>
      <c r="AF26" s="4448"/>
      <c r="AG26" s="4449"/>
    </row>
    <row r="27" spans="1:33" ht="15" x14ac:dyDescent="0.2">
      <c r="A27" s="6917"/>
      <c r="B27" s="6913"/>
      <c r="C27" s="4444" t="s">
        <v>414</v>
      </c>
      <c r="D27" s="4443">
        <v>12</v>
      </c>
      <c r="E27" s="1184">
        <v>3</v>
      </c>
      <c r="F27" s="1047">
        <f>SUM(D27:E27)</f>
        <v>15</v>
      </c>
      <c r="G27" s="4443">
        <v>17</v>
      </c>
      <c r="H27" s="1184">
        <v>7</v>
      </c>
      <c r="I27" s="1047">
        <f>SUM(G27:H27)</f>
        <v>24</v>
      </c>
      <c r="J27" s="4443"/>
      <c r="K27" s="1184"/>
      <c r="L27" s="1047"/>
      <c r="M27" s="4443"/>
      <c r="N27" s="1184"/>
      <c r="O27" s="1047"/>
      <c r="P27" s="4443"/>
      <c r="Q27" s="1184"/>
      <c r="R27" s="1047"/>
      <c r="S27" s="4443"/>
      <c r="T27" s="1184"/>
      <c r="U27" s="1047"/>
      <c r="V27" s="4443"/>
      <c r="W27" s="1184"/>
      <c r="X27" s="1047"/>
      <c r="Y27" s="4443"/>
      <c r="Z27" s="1184"/>
      <c r="AA27" s="1047"/>
      <c r="AB27" s="4443"/>
      <c r="AC27" s="1184"/>
      <c r="AD27" s="1047"/>
      <c r="AE27" s="4443"/>
      <c r="AF27" s="1184"/>
      <c r="AG27" s="1047"/>
    </row>
    <row r="28" spans="1:33" ht="15" x14ac:dyDescent="0.2">
      <c r="A28" s="6917"/>
      <c r="B28" s="6913"/>
      <c r="C28" s="4927" t="s">
        <v>1457</v>
      </c>
      <c r="D28" s="2747">
        <f t="shared" ref="D28:I28" si="19">SUM(D26:D27)</f>
        <v>15</v>
      </c>
      <c r="E28" s="2738">
        <f t="shared" si="19"/>
        <v>5</v>
      </c>
      <c r="F28" s="4928">
        <f t="shared" si="19"/>
        <v>20</v>
      </c>
      <c r="G28" s="2747">
        <f t="shared" si="19"/>
        <v>24</v>
      </c>
      <c r="H28" s="2738">
        <f t="shared" si="19"/>
        <v>10</v>
      </c>
      <c r="I28" s="4928">
        <f t="shared" si="19"/>
        <v>34</v>
      </c>
      <c r="J28" s="2747"/>
      <c r="K28" s="2738"/>
      <c r="L28" s="4928"/>
      <c r="M28" s="2747"/>
      <c r="N28" s="2738"/>
      <c r="O28" s="4928"/>
      <c r="P28" s="2747"/>
      <c r="Q28" s="2738"/>
      <c r="R28" s="4928"/>
      <c r="S28" s="2747"/>
      <c r="T28" s="2738"/>
      <c r="U28" s="4928"/>
      <c r="V28" s="2747"/>
      <c r="W28" s="2738"/>
      <c r="X28" s="4928"/>
      <c r="Y28" s="2747"/>
      <c r="Z28" s="2738"/>
      <c r="AA28" s="4928"/>
      <c r="AB28" s="2747"/>
      <c r="AC28" s="2738"/>
      <c r="AD28" s="4928"/>
      <c r="AE28" s="2747"/>
      <c r="AF28" s="2738"/>
      <c r="AG28" s="4928"/>
    </row>
    <row r="29" spans="1:33" ht="15" x14ac:dyDescent="0.2">
      <c r="A29" s="6917"/>
      <c r="B29" s="6913" t="s">
        <v>9</v>
      </c>
      <c r="C29" s="4444" t="s">
        <v>412</v>
      </c>
      <c r="D29" s="4443">
        <v>4</v>
      </c>
      <c r="E29" s="1184">
        <v>7</v>
      </c>
      <c r="F29" s="1047">
        <f>SUM(D29:E29)</f>
        <v>11</v>
      </c>
      <c r="G29" s="4443">
        <v>12</v>
      </c>
      <c r="H29" s="1184">
        <v>10</v>
      </c>
      <c r="I29" s="1047">
        <f>SUM(G29:H29)</f>
        <v>22</v>
      </c>
      <c r="J29" s="4443"/>
      <c r="K29" s="1184"/>
      <c r="L29" s="1047"/>
      <c r="M29" s="4443"/>
      <c r="N29" s="1184"/>
      <c r="O29" s="1047"/>
      <c r="P29" s="4443"/>
      <c r="Q29" s="1184"/>
      <c r="R29" s="1047"/>
      <c r="S29" s="4443"/>
      <c r="T29" s="1184"/>
      <c r="U29" s="1047"/>
      <c r="V29" s="4443"/>
      <c r="W29" s="1184"/>
      <c r="X29" s="1047"/>
      <c r="Y29" s="4443"/>
      <c r="Z29" s="1184"/>
      <c r="AA29" s="1047"/>
      <c r="AB29" s="4443"/>
      <c r="AC29" s="1184"/>
      <c r="AD29" s="1047"/>
      <c r="AE29" s="4443"/>
      <c r="AF29" s="1184"/>
      <c r="AG29" s="1047"/>
    </row>
    <row r="30" spans="1:33" ht="15" x14ac:dyDescent="0.2">
      <c r="A30" s="6917"/>
      <c r="B30" s="6914"/>
      <c r="C30" s="4929" t="s">
        <v>1457</v>
      </c>
      <c r="D30" s="2749">
        <f t="shared" ref="D30:I30" si="20">SUM(D29)</f>
        <v>4</v>
      </c>
      <c r="E30" s="2740">
        <f t="shared" si="20"/>
        <v>7</v>
      </c>
      <c r="F30" s="4930">
        <f t="shared" si="20"/>
        <v>11</v>
      </c>
      <c r="G30" s="2749">
        <f t="shared" si="20"/>
        <v>12</v>
      </c>
      <c r="H30" s="2740">
        <f t="shared" si="20"/>
        <v>10</v>
      </c>
      <c r="I30" s="4930">
        <f t="shared" si="20"/>
        <v>22</v>
      </c>
      <c r="J30" s="2749"/>
      <c r="K30" s="2740"/>
      <c r="L30" s="4930"/>
      <c r="M30" s="2749"/>
      <c r="N30" s="2740"/>
      <c r="O30" s="4930"/>
      <c r="P30" s="2749"/>
      <c r="Q30" s="2740"/>
      <c r="R30" s="4930"/>
      <c r="S30" s="2749"/>
      <c r="T30" s="2740"/>
      <c r="U30" s="4930"/>
      <c r="V30" s="2749"/>
      <c r="W30" s="2740"/>
      <c r="X30" s="4930"/>
      <c r="Y30" s="2749"/>
      <c r="Z30" s="2740"/>
      <c r="AA30" s="4930"/>
      <c r="AB30" s="2749"/>
      <c r="AC30" s="2740"/>
      <c r="AD30" s="4930"/>
      <c r="AE30" s="2749"/>
      <c r="AF30" s="2740"/>
      <c r="AG30" s="4930"/>
    </row>
    <row r="31" spans="1:33" ht="15" x14ac:dyDescent="0.2">
      <c r="A31" s="6918"/>
      <c r="B31" s="6919" t="s">
        <v>444</v>
      </c>
      <c r="C31" s="6920"/>
      <c r="D31" s="4452">
        <f t="shared" ref="D31:I31" si="21">SUM(D30,D28)</f>
        <v>19</v>
      </c>
      <c r="E31" s="4453">
        <f t="shared" si="21"/>
        <v>12</v>
      </c>
      <c r="F31" s="4439">
        <f t="shared" si="21"/>
        <v>31</v>
      </c>
      <c r="G31" s="4452">
        <f t="shared" si="21"/>
        <v>36</v>
      </c>
      <c r="H31" s="4453">
        <f t="shared" si="21"/>
        <v>20</v>
      </c>
      <c r="I31" s="4439">
        <f t="shared" si="21"/>
        <v>56</v>
      </c>
      <c r="J31" s="4452"/>
      <c r="K31" s="4453"/>
      <c r="L31" s="4439"/>
      <c r="M31" s="4452"/>
      <c r="N31" s="4453"/>
      <c r="O31" s="4439"/>
      <c r="P31" s="4452"/>
      <c r="Q31" s="4453"/>
      <c r="R31" s="4439"/>
      <c r="S31" s="4452"/>
      <c r="T31" s="4453"/>
      <c r="U31" s="4439"/>
      <c r="V31" s="4452"/>
      <c r="W31" s="4453"/>
      <c r="X31" s="4909"/>
      <c r="Y31" s="4452"/>
      <c r="Z31" s="4453"/>
      <c r="AA31" s="4909"/>
      <c r="AB31" s="4452"/>
      <c r="AC31" s="4453"/>
      <c r="AD31" s="5356"/>
      <c r="AE31" s="4452"/>
      <c r="AF31" s="4453"/>
      <c r="AG31" s="5356"/>
    </row>
    <row r="32" spans="1:33" ht="15" x14ac:dyDescent="0.2">
      <c r="A32" s="6909" t="s">
        <v>162</v>
      </c>
      <c r="B32" s="6912" t="s">
        <v>5</v>
      </c>
      <c r="C32" s="4446" t="s">
        <v>853</v>
      </c>
      <c r="D32" s="4447">
        <v>2</v>
      </c>
      <c r="E32" s="4448"/>
      <c r="F32" s="4449">
        <f>SUM(D32:E32)</f>
        <v>2</v>
      </c>
      <c r="G32" s="4447">
        <v>2</v>
      </c>
      <c r="H32" s="4448"/>
      <c r="I32" s="4449">
        <f>SUM(G32:H32)</f>
        <v>2</v>
      </c>
      <c r="J32" s="4447">
        <v>1</v>
      </c>
      <c r="K32" s="4448">
        <v>6</v>
      </c>
      <c r="L32" s="4449">
        <f>SUM(J32:K32)</f>
        <v>7</v>
      </c>
      <c r="M32" s="4447">
        <v>1</v>
      </c>
      <c r="N32" s="4448">
        <v>8</v>
      </c>
      <c r="O32" s="4449">
        <f>SUM(M32:N32)</f>
        <v>9</v>
      </c>
      <c r="P32" s="4447">
        <v>2</v>
      </c>
      <c r="Q32" s="4448">
        <v>8</v>
      </c>
      <c r="R32" s="4449">
        <f>SUM(P32:Q32)</f>
        <v>10</v>
      </c>
      <c r="S32" s="4447">
        <v>3</v>
      </c>
      <c r="T32" s="4448">
        <v>16</v>
      </c>
      <c r="U32" s="4449">
        <f>SUM(S32:T32)</f>
        <v>19</v>
      </c>
      <c r="V32" s="4447">
        <v>4</v>
      </c>
      <c r="W32" s="4448">
        <v>17</v>
      </c>
      <c r="X32" s="4449">
        <f>SUM(V32:W32)</f>
        <v>21</v>
      </c>
      <c r="Y32" s="4447">
        <v>4</v>
      </c>
      <c r="Z32" s="4448">
        <v>17</v>
      </c>
      <c r="AA32" s="4449">
        <f>SUM(Y32:Z32)</f>
        <v>21</v>
      </c>
      <c r="AB32" s="4447">
        <v>5</v>
      </c>
      <c r="AC32" s="4448">
        <v>19</v>
      </c>
      <c r="AD32" s="4449">
        <f>SUM(AB32:AC32)</f>
        <v>24</v>
      </c>
      <c r="AE32" s="4447">
        <v>5</v>
      </c>
      <c r="AF32" s="4448">
        <v>19</v>
      </c>
      <c r="AG32" s="4449">
        <f>SUM(AE32:AF32)</f>
        <v>24</v>
      </c>
    </row>
    <row r="33" spans="1:33" ht="15" x14ac:dyDescent="0.2">
      <c r="A33" s="6909"/>
      <c r="B33" s="6913"/>
      <c r="C33" s="4444" t="s">
        <v>649</v>
      </c>
      <c r="D33" s="4443">
        <v>1</v>
      </c>
      <c r="E33" s="1184">
        <v>2</v>
      </c>
      <c r="F33" s="1047">
        <f>SUM(D33:E33)</f>
        <v>3</v>
      </c>
      <c r="G33" s="4443">
        <v>1</v>
      </c>
      <c r="H33" s="1184">
        <v>2</v>
      </c>
      <c r="I33" s="1047">
        <f>SUM(G33:H33)</f>
        <v>3</v>
      </c>
      <c r="J33" s="4443"/>
      <c r="K33" s="1184">
        <v>2</v>
      </c>
      <c r="L33" s="1047">
        <f>SUM(J33:K33)</f>
        <v>2</v>
      </c>
      <c r="M33" s="4443">
        <v>2</v>
      </c>
      <c r="N33" s="1184">
        <v>5</v>
      </c>
      <c r="O33" s="1047">
        <f>SUM(M33:N33)</f>
        <v>7</v>
      </c>
      <c r="P33" s="4443">
        <v>1</v>
      </c>
      <c r="Q33" s="1184">
        <v>1</v>
      </c>
      <c r="R33" s="1047">
        <f>SUM(P33:Q33)</f>
        <v>2</v>
      </c>
      <c r="S33" s="4443">
        <v>3</v>
      </c>
      <c r="T33" s="1184">
        <v>6</v>
      </c>
      <c r="U33" s="1047">
        <f>SUM(S33:T33)</f>
        <v>9</v>
      </c>
      <c r="V33" s="4443">
        <v>4</v>
      </c>
      <c r="W33" s="1184">
        <v>10</v>
      </c>
      <c r="X33" s="1047">
        <f>SUM(V33:W33)</f>
        <v>14</v>
      </c>
      <c r="Y33" s="4443">
        <v>4</v>
      </c>
      <c r="Z33" s="1184">
        <v>10</v>
      </c>
      <c r="AA33" s="1047">
        <f>SUM(Y33:Z33)</f>
        <v>14</v>
      </c>
      <c r="AB33" s="4443">
        <v>2</v>
      </c>
      <c r="AC33" s="1184">
        <v>9</v>
      </c>
      <c r="AD33" s="1047">
        <f>SUM(AB33:AC33)</f>
        <v>11</v>
      </c>
      <c r="AE33" s="4443">
        <v>2</v>
      </c>
      <c r="AF33" s="1184">
        <v>9</v>
      </c>
      <c r="AG33" s="1047">
        <f>SUM(AE33:AF33)</f>
        <v>11</v>
      </c>
    </row>
    <row r="34" spans="1:33" ht="15" x14ac:dyDescent="0.2">
      <c r="A34" s="6909"/>
      <c r="B34" s="6913"/>
      <c r="C34" s="4444" t="s">
        <v>580</v>
      </c>
      <c r="D34" s="4443">
        <v>4</v>
      </c>
      <c r="E34" s="1184">
        <v>3</v>
      </c>
      <c r="F34" s="1047">
        <f>SUM(D34:E34)</f>
        <v>7</v>
      </c>
      <c r="G34" s="4443">
        <v>4</v>
      </c>
      <c r="H34" s="1184">
        <v>3</v>
      </c>
      <c r="I34" s="1047">
        <f>SUM(G34:H34)</f>
        <v>7</v>
      </c>
      <c r="J34" s="4443"/>
      <c r="K34" s="1184"/>
      <c r="L34" s="1047"/>
      <c r="M34" s="4443"/>
      <c r="N34" s="1184"/>
      <c r="O34" s="1047"/>
      <c r="P34" s="4443"/>
      <c r="Q34" s="1184"/>
      <c r="R34" s="1047"/>
      <c r="S34" s="4443"/>
      <c r="T34" s="1184"/>
      <c r="U34" s="1047"/>
      <c r="V34" s="4443"/>
      <c r="W34" s="1184"/>
      <c r="X34" s="1047">
        <f>SUM(V34:W34)</f>
        <v>0</v>
      </c>
      <c r="Y34" s="4443"/>
      <c r="Z34" s="1184"/>
      <c r="AA34" s="1047">
        <f>SUM(Y34:Z34)</f>
        <v>0</v>
      </c>
      <c r="AB34" s="4443"/>
      <c r="AC34" s="1184"/>
      <c r="AD34" s="1047">
        <f>SUM(AB34:AC34)</f>
        <v>0</v>
      </c>
      <c r="AE34" s="4443"/>
      <c r="AF34" s="1184"/>
      <c r="AG34" s="1047">
        <f>SUM(AE34:AF34)</f>
        <v>0</v>
      </c>
    </row>
    <row r="35" spans="1:33" ht="15" x14ac:dyDescent="0.2">
      <c r="A35" s="6909"/>
      <c r="B35" s="6913"/>
      <c r="C35" s="4927" t="s">
        <v>1457</v>
      </c>
      <c r="D35" s="2747">
        <f t="shared" ref="D35:U35" si="22">SUM(D32:D34)</f>
        <v>7</v>
      </c>
      <c r="E35" s="2738">
        <f t="shared" si="22"/>
        <v>5</v>
      </c>
      <c r="F35" s="4928">
        <f t="shared" si="22"/>
        <v>12</v>
      </c>
      <c r="G35" s="2747">
        <f t="shared" si="22"/>
        <v>7</v>
      </c>
      <c r="H35" s="2738">
        <f t="shared" si="22"/>
        <v>5</v>
      </c>
      <c r="I35" s="4928">
        <f t="shared" si="22"/>
        <v>12</v>
      </c>
      <c r="J35" s="2747">
        <f t="shared" si="22"/>
        <v>1</v>
      </c>
      <c r="K35" s="2738">
        <f t="shared" si="22"/>
        <v>8</v>
      </c>
      <c r="L35" s="4928">
        <f t="shared" si="22"/>
        <v>9</v>
      </c>
      <c r="M35" s="2747">
        <f t="shared" si="22"/>
        <v>3</v>
      </c>
      <c r="N35" s="2738">
        <f t="shared" si="22"/>
        <v>13</v>
      </c>
      <c r="O35" s="4928">
        <f t="shared" si="22"/>
        <v>16</v>
      </c>
      <c r="P35" s="2747">
        <f t="shared" si="22"/>
        <v>3</v>
      </c>
      <c r="Q35" s="2738">
        <f t="shared" si="22"/>
        <v>9</v>
      </c>
      <c r="R35" s="4928">
        <f t="shared" si="22"/>
        <v>12</v>
      </c>
      <c r="S35" s="2747">
        <f t="shared" si="22"/>
        <v>6</v>
      </c>
      <c r="T35" s="2738">
        <f t="shared" si="22"/>
        <v>22</v>
      </c>
      <c r="U35" s="4928">
        <f t="shared" si="22"/>
        <v>28</v>
      </c>
      <c r="V35" s="2747">
        <f t="shared" ref="V35:AA35" si="23">SUM(V32:V34)</f>
        <v>8</v>
      </c>
      <c r="W35" s="2738">
        <f t="shared" si="23"/>
        <v>27</v>
      </c>
      <c r="X35" s="4928">
        <f t="shared" si="23"/>
        <v>35</v>
      </c>
      <c r="Y35" s="2747">
        <f t="shared" si="23"/>
        <v>8</v>
      </c>
      <c r="Z35" s="2738">
        <f t="shared" si="23"/>
        <v>27</v>
      </c>
      <c r="AA35" s="4928">
        <f t="shared" si="23"/>
        <v>35</v>
      </c>
      <c r="AB35" s="2747">
        <f t="shared" ref="AB35:AG35" si="24">SUM(AB32:AB34)</f>
        <v>7</v>
      </c>
      <c r="AC35" s="2738">
        <f t="shared" si="24"/>
        <v>28</v>
      </c>
      <c r="AD35" s="4928">
        <f t="shared" si="24"/>
        <v>35</v>
      </c>
      <c r="AE35" s="2747">
        <f t="shared" si="24"/>
        <v>7</v>
      </c>
      <c r="AF35" s="2738">
        <f t="shared" si="24"/>
        <v>28</v>
      </c>
      <c r="AG35" s="4928">
        <f t="shared" si="24"/>
        <v>35</v>
      </c>
    </row>
    <row r="36" spans="1:33" ht="15" x14ac:dyDescent="0.2">
      <c r="A36" s="6910"/>
      <c r="B36" s="6963" t="s">
        <v>6</v>
      </c>
      <c r="C36" s="4446" t="s">
        <v>1645</v>
      </c>
      <c r="D36" s="4447"/>
      <c r="E36" s="4448"/>
      <c r="F36" s="4449"/>
      <c r="G36" s="4447"/>
      <c r="H36" s="4448"/>
      <c r="I36" s="4449"/>
      <c r="J36" s="4447"/>
      <c r="K36" s="4448"/>
      <c r="L36" s="4449"/>
      <c r="M36" s="4447"/>
      <c r="N36" s="4448"/>
      <c r="O36" s="4449"/>
      <c r="P36" s="4447"/>
      <c r="Q36" s="4448"/>
      <c r="R36" s="4449"/>
      <c r="S36" s="4447"/>
      <c r="T36" s="4448"/>
      <c r="U36" s="4449"/>
      <c r="V36" s="4447"/>
      <c r="W36" s="4448"/>
      <c r="X36" s="4449"/>
      <c r="Y36" s="4447"/>
      <c r="Z36" s="4448"/>
      <c r="AA36" s="4449"/>
      <c r="AB36" s="4447">
        <v>6</v>
      </c>
      <c r="AC36" s="4448">
        <v>4</v>
      </c>
      <c r="AD36" s="4449">
        <f>SUM(AB36:AC36)</f>
        <v>10</v>
      </c>
      <c r="AE36" s="4447">
        <v>5</v>
      </c>
      <c r="AF36" s="4448">
        <v>4</v>
      </c>
      <c r="AG36" s="4449">
        <f>SUM(AE36:AF36)</f>
        <v>9</v>
      </c>
    </row>
    <row r="37" spans="1:33" ht="15" x14ac:dyDescent="0.2">
      <c r="A37" s="6910"/>
      <c r="B37" s="6964"/>
      <c r="C37" s="4444" t="s">
        <v>1634</v>
      </c>
      <c r="D37" s="4443"/>
      <c r="E37" s="1184"/>
      <c r="F37" s="1047"/>
      <c r="G37" s="4443"/>
      <c r="H37" s="1184"/>
      <c r="I37" s="1047"/>
      <c r="J37" s="4443"/>
      <c r="K37" s="1184"/>
      <c r="L37" s="1047"/>
      <c r="M37" s="4443"/>
      <c r="N37" s="1184"/>
      <c r="O37" s="1047"/>
      <c r="P37" s="4443"/>
      <c r="Q37" s="1184"/>
      <c r="R37" s="1047"/>
      <c r="S37" s="4443"/>
      <c r="T37" s="1184"/>
      <c r="U37" s="1047"/>
      <c r="V37" s="4443"/>
      <c r="W37" s="1184"/>
      <c r="X37" s="1047"/>
      <c r="Y37" s="4443"/>
      <c r="Z37" s="1184"/>
      <c r="AA37" s="1047"/>
      <c r="AB37" s="4443">
        <v>8</v>
      </c>
      <c r="AC37" s="1184">
        <v>2</v>
      </c>
      <c r="AD37" s="1047">
        <f>SUM(AB37:AC37)</f>
        <v>10</v>
      </c>
      <c r="AE37" s="4443">
        <v>7</v>
      </c>
      <c r="AF37" s="1184">
        <v>2</v>
      </c>
      <c r="AG37" s="1047">
        <f>SUM(AE37:AF37)</f>
        <v>9</v>
      </c>
    </row>
    <row r="38" spans="1:33" ht="15" x14ac:dyDescent="0.2">
      <c r="A38" s="6910"/>
      <c r="B38" s="6965"/>
      <c r="C38" s="4927" t="s">
        <v>1457</v>
      </c>
      <c r="D38" s="2747"/>
      <c r="E38" s="2738"/>
      <c r="F38" s="4928"/>
      <c r="G38" s="2747"/>
      <c r="H38" s="2738"/>
      <c r="I38" s="4928"/>
      <c r="J38" s="2747"/>
      <c r="K38" s="2738"/>
      <c r="L38" s="4928"/>
      <c r="M38" s="2747"/>
      <c r="N38" s="2738"/>
      <c r="O38" s="4928"/>
      <c r="P38" s="2747"/>
      <c r="Q38" s="2738"/>
      <c r="R38" s="4928"/>
      <c r="S38" s="2747"/>
      <c r="T38" s="2738"/>
      <c r="U38" s="4928"/>
      <c r="V38" s="2747"/>
      <c r="W38" s="2738"/>
      <c r="X38" s="4928"/>
      <c r="Y38" s="2747"/>
      <c r="Z38" s="2738"/>
      <c r="AA38" s="4928"/>
      <c r="AB38" s="2747">
        <f>SUM(AB36:AB37)</f>
        <v>14</v>
      </c>
      <c r="AC38" s="2738">
        <f t="shared" ref="AC38:AG38" si="25">SUM(AC36:AC37)</f>
        <v>6</v>
      </c>
      <c r="AD38" s="4928">
        <f t="shared" si="25"/>
        <v>20</v>
      </c>
      <c r="AE38" s="2747">
        <f t="shared" si="25"/>
        <v>12</v>
      </c>
      <c r="AF38" s="2738">
        <f t="shared" si="25"/>
        <v>6</v>
      </c>
      <c r="AG38" s="4928">
        <f t="shared" si="25"/>
        <v>18</v>
      </c>
    </row>
    <row r="39" spans="1:33" ht="15" x14ac:dyDescent="0.2">
      <c r="A39" s="6909"/>
      <c r="B39" s="6913" t="s">
        <v>11</v>
      </c>
      <c r="C39" s="4444" t="s">
        <v>854</v>
      </c>
      <c r="D39" s="4443">
        <v>6</v>
      </c>
      <c r="E39" s="1184">
        <v>4</v>
      </c>
      <c r="F39" s="1047">
        <f>SUM(D39:E39)</f>
        <v>10</v>
      </c>
      <c r="G39" s="4443">
        <v>13</v>
      </c>
      <c r="H39" s="1184">
        <v>13</v>
      </c>
      <c r="I39" s="1047">
        <f>SUM(G39:H39)</f>
        <v>26</v>
      </c>
      <c r="J39" s="4443"/>
      <c r="K39" s="1184"/>
      <c r="L39" s="1047"/>
      <c r="M39" s="4443"/>
      <c r="N39" s="1184"/>
      <c r="O39" s="1047"/>
      <c r="P39" s="4443"/>
      <c r="Q39" s="1184"/>
      <c r="R39" s="1047"/>
      <c r="S39" s="4443"/>
      <c r="T39" s="1184"/>
      <c r="U39" s="1047"/>
      <c r="V39" s="4443"/>
      <c r="W39" s="1184"/>
      <c r="X39" s="1047"/>
      <c r="Y39" s="4443"/>
      <c r="Z39" s="1184"/>
      <c r="AA39" s="1047"/>
      <c r="AB39" s="4443"/>
      <c r="AC39" s="1184"/>
      <c r="AD39" s="1047"/>
      <c r="AE39" s="4443"/>
      <c r="AF39" s="1184"/>
      <c r="AG39" s="1047"/>
    </row>
    <row r="40" spans="1:33" ht="15" x14ac:dyDescent="0.2">
      <c r="A40" s="6909"/>
      <c r="B40" s="6914"/>
      <c r="C40" s="4929" t="s">
        <v>1457</v>
      </c>
      <c r="D40" s="2749">
        <f t="shared" ref="D40:I40" si="26">SUM(D39)</f>
        <v>6</v>
      </c>
      <c r="E40" s="2740">
        <f t="shared" si="26"/>
        <v>4</v>
      </c>
      <c r="F40" s="4930">
        <f t="shared" si="26"/>
        <v>10</v>
      </c>
      <c r="G40" s="2749">
        <f t="shared" si="26"/>
        <v>13</v>
      </c>
      <c r="H40" s="2740">
        <f t="shared" si="26"/>
        <v>13</v>
      </c>
      <c r="I40" s="4930">
        <f t="shared" si="26"/>
        <v>26</v>
      </c>
      <c r="J40" s="2749"/>
      <c r="K40" s="2740"/>
      <c r="L40" s="4930"/>
      <c r="M40" s="2749"/>
      <c r="N40" s="2740"/>
      <c r="O40" s="4930"/>
      <c r="P40" s="2749"/>
      <c r="Q40" s="2740"/>
      <c r="R40" s="4930"/>
      <c r="S40" s="2749"/>
      <c r="T40" s="2740"/>
      <c r="U40" s="4930"/>
      <c r="V40" s="2749"/>
      <c r="W40" s="2740"/>
      <c r="X40" s="4930"/>
      <c r="Y40" s="2749"/>
      <c r="Z40" s="2740"/>
      <c r="AA40" s="4930"/>
      <c r="AB40" s="2749"/>
      <c r="AC40" s="2740"/>
      <c r="AD40" s="4930"/>
      <c r="AE40" s="2749"/>
      <c r="AF40" s="2740"/>
      <c r="AG40" s="4930"/>
    </row>
    <row r="41" spans="1:33" ht="15" x14ac:dyDescent="0.2">
      <c r="A41" s="6911"/>
      <c r="B41" s="6915" t="s">
        <v>444</v>
      </c>
      <c r="C41" s="6916"/>
      <c r="D41" s="4454">
        <f t="shared" ref="D41:U41" si="27">SUM(D40,D35)</f>
        <v>13</v>
      </c>
      <c r="E41" s="4455">
        <f t="shared" si="27"/>
        <v>9</v>
      </c>
      <c r="F41" s="4442">
        <f t="shared" si="27"/>
        <v>22</v>
      </c>
      <c r="G41" s="4454">
        <f t="shared" si="27"/>
        <v>20</v>
      </c>
      <c r="H41" s="4455">
        <f t="shared" si="27"/>
        <v>18</v>
      </c>
      <c r="I41" s="4442">
        <f t="shared" si="27"/>
        <v>38</v>
      </c>
      <c r="J41" s="4454">
        <f t="shared" si="27"/>
        <v>1</v>
      </c>
      <c r="K41" s="4455">
        <f t="shared" si="27"/>
        <v>8</v>
      </c>
      <c r="L41" s="4442">
        <f t="shared" si="27"/>
        <v>9</v>
      </c>
      <c r="M41" s="4454">
        <f t="shared" si="27"/>
        <v>3</v>
      </c>
      <c r="N41" s="4455">
        <f t="shared" si="27"/>
        <v>13</v>
      </c>
      <c r="O41" s="4442">
        <f t="shared" si="27"/>
        <v>16</v>
      </c>
      <c r="P41" s="4454">
        <f t="shared" si="27"/>
        <v>3</v>
      </c>
      <c r="Q41" s="4455">
        <f t="shared" si="27"/>
        <v>9</v>
      </c>
      <c r="R41" s="4442">
        <f t="shared" si="27"/>
        <v>12</v>
      </c>
      <c r="S41" s="4454">
        <f t="shared" si="27"/>
        <v>6</v>
      </c>
      <c r="T41" s="4455">
        <f t="shared" si="27"/>
        <v>22</v>
      </c>
      <c r="U41" s="4442">
        <f t="shared" si="27"/>
        <v>28</v>
      </c>
      <c r="V41" s="4454">
        <f t="shared" ref="V41:AA41" si="28">SUM(V40,V35)</f>
        <v>8</v>
      </c>
      <c r="W41" s="4455">
        <f t="shared" si="28"/>
        <v>27</v>
      </c>
      <c r="X41" s="4908">
        <f t="shared" si="28"/>
        <v>35</v>
      </c>
      <c r="Y41" s="4454">
        <f t="shared" si="28"/>
        <v>8</v>
      </c>
      <c r="Z41" s="4455">
        <f t="shared" si="28"/>
        <v>27</v>
      </c>
      <c r="AA41" s="4908">
        <f t="shared" si="28"/>
        <v>35</v>
      </c>
      <c r="AB41" s="4454">
        <f>SUM(AB35,AB38,AB40)</f>
        <v>21</v>
      </c>
      <c r="AC41" s="4455">
        <f t="shared" ref="AC41:AG41" si="29">SUM(AC35,AC38,AC40)</f>
        <v>34</v>
      </c>
      <c r="AD41" s="5359">
        <f t="shared" si="29"/>
        <v>55</v>
      </c>
      <c r="AE41" s="4454">
        <f t="shared" si="29"/>
        <v>19</v>
      </c>
      <c r="AF41" s="4455">
        <f t="shared" si="29"/>
        <v>34</v>
      </c>
      <c r="AG41" s="5359">
        <f t="shared" si="29"/>
        <v>53</v>
      </c>
    </row>
    <row r="42" spans="1:33" ht="15" x14ac:dyDescent="0.2">
      <c r="A42" s="6923" t="s">
        <v>163</v>
      </c>
      <c r="B42" s="6912" t="s">
        <v>7</v>
      </c>
      <c r="C42" s="4446" t="s">
        <v>2</v>
      </c>
      <c r="D42" s="4447">
        <v>5</v>
      </c>
      <c r="E42" s="4448">
        <v>2</v>
      </c>
      <c r="F42" s="4449">
        <f>SUM(D42:E42)</f>
        <v>7</v>
      </c>
      <c r="G42" s="4447">
        <v>14</v>
      </c>
      <c r="H42" s="4448">
        <v>15</v>
      </c>
      <c r="I42" s="4449">
        <f>SUM(G42:H42)</f>
        <v>29</v>
      </c>
      <c r="J42" s="4447">
        <v>4</v>
      </c>
      <c r="K42" s="4448">
        <v>4</v>
      </c>
      <c r="L42" s="4449">
        <f>SUM(J42:K42)</f>
        <v>8</v>
      </c>
      <c r="M42" s="4447">
        <v>18</v>
      </c>
      <c r="N42" s="4448">
        <v>13</v>
      </c>
      <c r="O42" s="4449">
        <f>SUM(M42:N42)</f>
        <v>31</v>
      </c>
      <c r="P42" s="4447">
        <v>2</v>
      </c>
      <c r="Q42" s="4448">
        <v>6</v>
      </c>
      <c r="R42" s="4449">
        <f>SUM(P42:Q42)</f>
        <v>8</v>
      </c>
      <c r="S42" s="4447">
        <v>13</v>
      </c>
      <c r="T42" s="4448">
        <v>14</v>
      </c>
      <c r="U42" s="4449">
        <f>SUM(S42:T42)</f>
        <v>27</v>
      </c>
      <c r="V42" s="4447">
        <v>15</v>
      </c>
      <c r="W42" s="4448">
        <v>16</v>
      </c>
      <c r="X42" s="4449">
        <f>SUM(V42:W42)</f>
        <v>31</v>
      </c>
      <c r="Y42" s="4447">
        <v>15</v>
      </c>
      <c r="Z42" s="4448">
        <v>16</v>
      </c>
      <c r="AA42" s="4449">
        <f>SUM(Y42:Z42)</f>
        <v>31</v>
      </c>
      <c r="AB42" s="4447"/>
      <c r="AC42" s="4448"/>
      <c r="AD42" s="4449">
        <f>SUM(AB42:AC42)</f>
        <v>0</v>
      </c>
      <c r="AE42" s="4447"/>
      <c r="AF42" s="4448"/>
      <c r="AG42" s="4449">
        <f>SUM(AE42:AF42)</f>
        <v>0</v>
      </c>
    </row>
    <row r="43" spans="1:33" ht="15" x14ac:dyDescent="0.2">
      <c r="A43" s="6923"/>
      <c r="B43" s="6913"/>
      <c r="C43" s="4927" t="s">
        <v>1457</v>
      </c>
      <c r="D43" s="2747">
        <f t="shared" ref="D43:I43" si="30">SUM(D42)</f>
        <v>5</v>
      </c>
      <c r="E43" s="2738">
        <f t="shared" si="30"/>
        <v>2</v>
      </c>
      <c r="F43" s="4928">
        <f t="shared" si="30"/>
        <v>7</v>
      </c>
      <c r="G43" s="2747">
        <f t="shared" si="30"/>
        <v>14</v>
      </c>
      <c r="H43" s="2738">
        <f t="shared" si="30"/>
        <v>15</v>
      </c>
      <c r="I43" s="4928">
        <f t="shared" si="30"/>
        <v>29</v>
      </c>
      <c r="J43" s="2747">
        <f t="shared" ref="J43:T43" si="31">SUM(J42)</f>
        <v>4</v>
      </c>
      <c r="K43" s="2738">
        <f t="shared" si="31"/>
        <v>4</v>
      </c>
      <c r="L43" s="4928">
        <f t="shared" si="31"/>
        <v>8</v>
      </c>
      <c r="M43" s="2747">
        <f t="shared" si="31"/>
        <v>18</v>
      </c>
      <c r="N43" s="2738">
        <f t="shared" si="31"/>
        <v>13</v>
      </c>
      <c r="O43" s="4928">
        <f t="shared" si="31"/>
        <v>31</v>
      </c>
      <c r="P43" s="2747">
        <f t="shared" si="31"/>
        <v>2</v>
      </c>
      <c r="Q43" s="2738">
        <f t="shared" si="31"/>
        <v>6</v>
      </c>
      <c r="R43" s="4928">
        <f t="shared" si="31"/>
        <v>8</v>
      </c>
      <c r="S43" s="2747">
        <f t="shared" si="31"/>
        <v>13</v>
      </c>
      <c r="T43" s="2738">
        <f t="shared" si="31"/>
        <v>14</v>
      </c>
      <c r="U43" s="4928">
        <f t="shared" ref="U43:Z43" si="32">SUM(U42)</f>
        <v>27</v>
      </c>
      <c r="V43" s="2747">
        <f t="shared" si="32"/>
        <v>15</v>
      </c>
      <c r="W43" s="2738">
        <f t="shared" si="32"/>
        <v>16</v>
      </c>
      <c r="X43" s="4928">
        <f t="shared" si="32"/>
        <v>31</v>
      </c>
      <c r="Y43" s="2747">
        <f t="shared" si="32"/>
        <v>15</v>
      </c>
      <c r="Z43" s="2738">
        <f t="shared" si="32"/>
        <v>16</v>
      </c>
      <c r="AA43" s="4928">
        <f>SUM(AA42)</f>
        <v>31</v>
      </c>
      <c r="AB43" s="2747">
        <f t="shared" ref="AB43:AF43" si="33">SUM(AB42)</f>
        <v>0</v>
      </c>
      <c r="AC43" s="2738">
        <f t="shared" si="33"/>
        <v>0</v>
      </c>
      <c r="AD43" s="4928">
        <f t="shared" si="33"/>
        <v>0</v>
      </c>
      <c r="AE43" s="2747">
        <f t="shared" si="33"/>
        <v>0</v>
      </c>
      <c r="AF43" s="2738">
        <f t="shared" si="33"/>
        <v>0</v>
      </c>
      <c r="AG43" s="4928">
        <f>SUM(AG42)</f>
        <v>0</v>
      </c>
    </row>
    <row r="44" spans="1:33" ht="15" x14ac:dyDescent="0.2">
      <c r="A44" s="6923"/>
      <c r="B44" s="6913" t="s">
        <v>11</v>
      </c>
      <c r="C44" s="4444" t="s">
        <v>581</v>
      </c>
      <c r="D44" s="4443">
        <v>3</v>
      </c>
      <c r="E44" s="1184">
        <v>4</v>
      </c>
      <c r="F44" s="1047">
        <f>SUM(D44:E44)</f>
        <v>7</v>
      </c>
      <c r="G44" s="4443">
        <v>3</v>
      </c>
      <c r="H44" s="1184">
        <v>4</v>
      </c>
      <c r="I44" s="1047">
        <f>SUM(G44:H44)</f>
        <v>7</v>
      </c>
      <c r="J44" s="4443"/>
      <c r="K44" s="1184"/>
      <c r="L44" s="1047"/>
      <c r="M44" s="4443"/>
      <c r="N44" s="1184"/>
      <c r="O44" s="1047"/>
      <c r="P44" s="4443"/>
      <c r="Q44" s="1184"/>
      <c r="R44" s="1047"/>
      <c r="S44" s="4443"/>
      <c r="T44" s="1184"/>
      <c r="U44" s="1047"/>
      <c r="V44" s="4443"/>
      <c r="W44" s="1184"/>
      <c r="X44" s="1047"/>
      <c r="Y44" s="4443"/>
      <c r="Z44" s="1184"/>
      <c r="AA44" s="1047"/>
      <c r="AB44" s="4443"/>
      <c r="AC44" s="1184"/>
      <c r="AD44" s="1047"/>
      <c r="AE44" s="4443"/>
      <c r="AF44" s="1184"/>
      <c r="AG44" s="1047"/>
    </row>
    <row r="45" spans="1:33" ht="15" x14ac:dyDescent="0.2">
      <c r="A45" s="6923"/>
      <c r="B45" s="6913"/>
      <c r="C45" s="4444" t="s">
        <v>759</v>
      </c>
      <c r="D45" s="4443"/>
      <c r="E45" s="1184"/>
      <c r="F45" s="1047"/>
      <c r="G45" s="4443"/>
      <c r="H45" s="1184"/>
      <c r="I45" s="1047"/>
      <c r="J45" s="4443">
        <v>6</v>
      </c>
      <c r="K45" s="1184">
        <v>4</v>
      </c>
      <c r="L45" s="1047">
        <f>SUM(J45:K45)</f>
        <v>10</v>
      </c>
      <c r="M45" s="4443">
        <v>5</v>
      </c>
      <c r="N45" s="1184">
        <v>4</v>
      </c>
      <c r="O45" s="1047">
        <f>SUM(M45:N45)</f>
        <v>9</v>
      </c>
      <c r="P45" s="4443">
        <v>6</v>
      </c>
      <c r="Q45" s="1184">
        <v>5</v>
      </c>
      <c r="R45" s="1047">
        <f>SUM(P45:Q45)</f>
        <v>11</v>
      </c>
      <c r="S45" s="4443">
        <v>11</v>
      </c>
      <c r="T45" s="1184">
        <v>9</v>
      </c>
      <c r="U45" s="1047">
        <f>SUM(S45:T45)</f>
        <v>20</v>
      </c>
      <c r="V45" s="4443">
        <v>16</v>
      </c>
      <c r="W45" s="1184">
        <v>14</v>
      </c>
      <c r="X45" s="1047">
        <f>SUM(V45:W45)</f>
        <v>30</v>
      </c>
      <c r="Y45" s="4443">
        <v>16</v>
      </c>
      <c r="Z45" s="1184">
        <v>14</v>
      </c>
      <c r="AA45" s="1047">
        <f>SUM(Y45:Z45)</f>
        <v>30</v>
      </c>
      <c r="AB45" s="4443">
        <v>15</v>
      </c>
      <c r="AC45" s="1184">
        <v>12</v>
      </c>
      <c r="AD45" s="1047">
        <f>SUM(AB45:AC45)</f>
        <v>27</v>
      </c>
      <c r="AE45" s="4443">
        <v>15</v>
      </c>
      <c r="AF45" s="1184">
        <v>11</v>
      </c>
      <c r="AG45" s="1047">
        <f>SUM(AE45:AF45)</f>
        <v>26</v>
      </c>
    </row>
    <row r="46" spans="1:33" ht="15" x14ac:dyDescent="0.2">
      <c r="A46" s="6924"/>
      <c r="B46" s="6926"/>
      <c r="C46" s="4444" t="s">
        <v>94</v>
      </c>
      <c r="D46" s="4443"/>
      <c r="E46" s="1184"/>
      <c r="F46" s="1047"/>
      <c r="G46" s="4443"/>
      <c r="H46" s="1184"/>
      <c r="I46" s="1047"/>
      <c r="J46" s="4443"/>
      <c r="K46" s="1184"/>
      <c r="L46" s="1047"/>
      <c r="M46" s="4443"/>
      <c r="N46" s="1184"/>
      <c r="O46" s="1047"/>
      <c r="P46" s="4443"/>
      <c r="Q46" s="1184"/>
      <c r="R46" s="1047"/>
      <c r="S46" s="4443"/>
      <c r="T46" s="1184"/>
      <c r="U46" s="1047"/>
      <c r="V46" s="4443"/>
      <c r="W46" s="1184"/>
      <c r="X46" s="1047"/>
      <c r="Y46" s="4443"/>
      <c r="Z46" s="1184"/>
      <c r="AA46" s="1047"/>
      <c r="AB46" s="4443">
        <v>6</v>
      </c>
      <c r="AC46" s="1184"/>
      <c r="AD46" s="1047">
        <f>SUM(AB46:AC46)</f>
        <v>6</v>
      </c>
      <c r="AE46" s="4443">
        <v>6</v>
      </c>
      <c r="AF46" s="1184"/>
      <c r="AG46" s="1047">
        <f>SUM(AE46:AF46)</f>
        <v>6</v>
      </c>
    </row>
    <row r="47" spans="1:33" ht="15" x14ac:dyDescent="0.2">
      <c r="A47" s="6923"/>
      <c r="B47" s="6913"/>
      <c r="C47" s="4444" t="s">
        <v>567</v>
      </c>
      <c r="D47" s="4443"/>
      <c r="E47" s="1184"/>
      <c r="F47" s="1047"/>
      <c r="G47" s="4443"/>
      <c r="H47" s="1184"/>
      <c r="I47" s="1047"/>
      <c r="J47" s="4443">
        <v>5</v>
      </c>
      <c r="K47" s="1184">
        <v>2</v>
      </c>
      <c r="L47" s="1047">
        <f>SUM(J47:K47)</f>
        <v>7</v>
      </c>
      <c r="M47" s="4443">
        <v>5</v>
      </c>
      <c r="N47" s="1184">
        <v>2</v>
      </c>
      <c r="O47" s="1047">
        <f>SUM(M47:N47)</f>
        <v>7</v>
      </c>
      <c r="P47" s="4443">
        <v>8</v>
      </c>
      <c r="Q47" s="1184">
        <v>4</v>
      </c>
      <c r="R47" s="1047">
        <f>SUM(P47:Q47)</f>
        <v>12</v>
      </c>
      <c r="S47" s="4443">
        <v>8</v>
      </c>
      <c r="T47" s="1184">
        <v>4</v>
      </c>
      <c r="U47" s="1047">
        <f>SUM(S47:T47)</f>
        <v>12</v>
      </c>
      <c r="V47" s="4443"/>
      <c r="W47" s="1184"/>
      <c r="X47" s="1047">
        <f>SUM(V47:W47)</f>
        <v>0</v>
      </c>
      <c r="Y47" s="4443"/>
      <c r="Z47" s="1184"/>
      <c r="AA47" s="1047">
        <f>SUM(Y47:Z47)</f>
        <v>0</v>
      </c>
      <c r="AB47" s="4443"/>
      <c r="AC47" s="1184"/>
      <c r="AD47" s="1047">
        <f>SUM(AB47:AC47)</f>
        <v>0</v>
      </c>
      <c r="AE47" s="4443"/>
      <c r="AF47" s="1184"/>
      <c r="AG47" s="1047">
        <f>SUM(AE47:AF47)</f>
        <v>0</v>
      </c>
    </row>
    <row r="48" spans="1:33" ht="15" x14ac:dyDescent="0.2">
      <c r="A48" s="6923"/>
      <c r="B48" s="6913"/>
      <c r="C48" s="4927" t="s">
        <v>1457</v>
      </c>
      <c r="D48" s="2747">
        <f t="shared" ref="D48:I48" si="34">SUM(D44)</f>
        <v>3</v>
      </c>
      <c r="E48" s="2738">
        <f t="shared" si="34"/>
        <v>4</v>
      </c>
      <c r="F48" s="4928">
        <f t="shared" si="34"/>
        <v>7</v>
      </c>
      <c r="G48" s="2747">
        <f t="shared" si="34"/>
        <v>3</v>
      </c>
      <c r="H48" s="2738">
        <f t="shared" si="34"/>
        <v>4</v>
      </c>
      <c r="I48" s="4928">
        <f t="shared" si="34"/>
        <v>7</v>
      </c>
      <c r="J48" s="2747">
        <f t="shared" ref="J48:T48" si="35">SUM(J44:J47)</f>
        <v>11</v>
      </c>
      <c r="K48" s="2738">
        <f t="shared" si="35"/>
        <v>6</v>
      </c>
      <c r="L48" s="4928">
        <f t="shared" si="35"/>
        <v>17</v>
      </c>
      <c r="M48" s="2747">
        <f t="shared" si="35"/>
        <v>10</v>
      </c>
      <c r="N48" s="2738">
        <f t="shared" si="35"/>
        <v>6</v>
      </c>
      <c r="O48" s="4928">
        <f t="shared" si="35"/>
        <v>16</v>
      </c>
      <c r="P48" s="2747">
        <f t="shared" si="35"/>
        <v>14</v>
      </c>
      <c r="Q48" s="2738">
        <f t="shared" si="35"/>
        <v>9</v>
      </c>
      <c r="R48" s="4928">
        <f t="shared" si="35"/>
        <v>23</v>
      </c>
      <c r="S48" s="2747">
        <f t="shared" si="35"/>
        <v>19</v>
      </c>
      <c r="T48" s="2738">
        <f t="shared" si="35"/>
        <v>13</v>
      </c>
      <c r="U48" s="4928">
        <f t="shared" ref="U48:Z48" si="36">SUM(U44:U47)</f>
        <v>32</v>
      </c>
      <c r="V48" s="2747">
        <f t="shared" si="36"/>
        <v>16</v>
      </c>
      <c r="W48" s="2738">
        <f t="shared" si="36"/>
        <v>14</v>
      </c>
      <c r="X48" s="4928">
        <f t="shared" si="36"/>
        <v>30</v>
      </c>
      <c r="Y48" s="2747">
        <f t="shared" si="36"/>
        <v>16</v>
      </c>
      <c r="Z48" s="2738">
        <f t="shared" si="36"/>
        <v>14</v>
      </c>
      <c r="AA48" s="4928">
        <f>SUM(AA44:AA47)</f>
        <v>30</v>
      </c>
      <c r="AB48" s="2747">
        <f t="shared" ref="AB48:AF48" si="37">SUM(AB44:AB47)</f>
        <v>21</v>
      </c>
      <c r="AC48" s="2738">
        <f t="shared" si="37"/>
        <v>12</v>
      </c>
      <c r="AD48" s="4928">
        <f t="shared" si="37"/>
        <v>33</v>
      </c>
      <c r="AE48" s="2747">
        <f t="shared" si="37"/>
        <v>21</v>
      </c>
      <c r="AF48" s="2738">
        <f t="shared" si="37"/>
        <v>11</v>
      </c>
      <c r="AG48" s="4928">
        <f>SUM(AG44:AG47)</f>
        <v>32</v>
      </c>
    </row>
    <row r="49" spans="1:33" ht="15" x14ac:dyDescent="0.2">
      <c r="A49" s="6923"/>
      <c r="B49" s="6913" t="s">
        <v>6</v>
      </c>
      <c r="C49" s="4444" t="s">
        <v>19</v>
      </c>
      <c r="D49" s="4443"/>
      <c r="E49" s="1184"/>
      <c r="F49" s="1047"/>
      <c r="G49" s="4443">
        <v>9</v>
      </c>
      <c r="H49" s="1184">
        <v>10</v>
      </c>
      <c r="I49" s="1047">
        <f>SUM(G49:H49)</f>
        <v>19</v>
      </c>
      <c r="J49" s="4443"/>
      <c r="K49" s="1184"/>
      <c r="L49" s="1047"/>
      <c r="M49" s="4443"/>
      <c r="N49" s="1184"/>
      <c r="O49" s="1047"/>
      <c r="P49" s="4443"/>
      <c r="Q49" s="1184"/>
      <c r="R49" s="1047"/>
      <c r="S49" s="4443"/>
      <c r="T49" s="1184"/>
      <c r="U49" s="1047"/>
      <c r="V49" s="4443"/>
      <c r="W49" s="1184"/>
      <c r="X49" s="1047"/>
      <c r="Y49" s="4443"/>
      <c r="Z49" s="1184"/>
      <c r="AA49" s="1047"/>
      <c r="AB49" s="4443"/>
      <c r="AC49" s="1184"/>
      <c r="AD49" s="1047"/>
      <c r="AE49" s="4443"/>
      <c r="AF49" s="1184"/>
      <c r="AG49" s="1047"/>
    </row>
    <row r="50" spans="1:33" ht="15" x14ac:dyDescent="0.2">
      <c r="A50" s="6924"/>
      <c r="B50" s="6927"/>
      <c r="C50" s="5365" t="s">
        <v>1645</v>
      </c>
      <c r="D50" s="5366"/>
      <c r="E50" s="5367"/>
      <c r="F50" s="5368"/>
      <c r="G50" s="5366"/>
      <c r="H50" s="5367"/>
      <c r="I50" s="5368"/>
      <c r="J50" s="5366"/>
      <c r="K50" s="5367"/>
      <c r="L50" s="5368"/>
      <c r="M50" s="5366"/>
      <c r="N50" s="5367"/>
      <c r="O50" s="5368"/>
      <c r="P50" s="5366"/>
      <c r="Q50" s="5367"/>
      <c r="R50" s="5368"/>
      <c r="S50" s="5366"/>
      <c r="T50" s="5367"/>
      <c r="U50" s="5368"/>
      <c r="V50" s="5366"/>
      <c r="W50" s="5367"/>
      <c r="X50" s="5368"/>
      <c r="Y50" s="5366"/>
      <c r="Z50" s="5367"/>
      <c r="AA50" s="5368"/>
      <c r="AB50" s="5366">
        <v>3</v>
      </c>
      <c r="AC50" s="5367">
        <v>0</v>
      </c>
      <c r="AD50" s="5368">
        <f>SUM(AB50:AC50)</f>
        <v>3</v>
      </c>
      <c r="AE50" s="5366">
        <v>3</v>
      </c>
      <c r="AF50" s="5367">
        <v>0</v>
      </c>
      <c r="AG50" s="5368">
        <f>SUM(AE50:AF50)</f>
        <v>3</v>
      </c>
    </row>
    <row r="51" spans="1:33" ht="15" x14ac:dyDescent="0.2">
      <c r="A51" s="6924"/>
      <c r="B51" s="6927"/>
      <c r="C51" s="5365" t="s">
        <v>83</v>
      </c>
      <c r="D51" s="5366"/>
      <c r="E51" s="5367"/>
      <c r="F51" s="5368"/>
      <c r="G51" s="5366"/>
      <c r="H51" s="5367"/>
      <c r="I51" s="5368"/>
      <c r="J51" s="5366"/>
      <c r="K51" s="5367"/>
      <c r="L51" s="5368"/>
      <c r="M51" s="5366"/>
      <c r="N51" s="5367"/>
      <c r="O51" s="5368"/>
      <c r="P51" s="5366"/>
      <c r="Q51" s="5367"/>
      <c r="R51" s="5368"/>
      <c r="S51" s="5366"/>
      <c r="T51" s="5367"/>
      <c r="U51" s="5368"/>
      <c r="V51" s="5366"/>
      <c r="W51" s="5367"/>
      <c r="X51" s="5368"/>
      <c r="Y51" s="5366"/>
      <c r="Z51" s="5367"/>
      <c r="AA51" s="5368"/>
      <c r="AB51" s="5366">
        <v>5</v>
      </c>
      <c r="AC51" s="5367">
        <v>9</v>
      </c>
      <c r="AD51" s="5368">
        <f t="shared" ref="AD51:AD52" si="38">SUM(AB51:AC51)</f>
        <v>14</v>
      </c>
      <c r="AE51" s="5366">
        <v>5</v>
      </c>
      <c r="AF51" s="5367">
        <v>9</v>
      </c>
      <c r="AG51" s="5368">
        <f t="shared" ref="AG51:AG52" si="39">SUM(AE51:AF51)</f>
        <v>14</v>
      </c>
    </row>
    <row r="52" spans="1:33" ht="15" x14ac:dyDescent="0.2">
      <c r="A52" s="6924"/>
      <c r="B52" s="6927"/>
      <c r="C52" s="5365" t="s">
        <v>1581</v>
      </c>
      <c r="D52" s="5366"/>
      <c r="E52" s="5367"/>
      <c r="F52" s="5368"/>
      <c r="G52" s="5366"/>
      <c r="H52" s="5367"/>
      <c r="I52" s="5368"/>
      <c r="J52" s="5366"/>
      <c r="K52" s="5367"/>
      <c r="L52" s="5368"/>
      <c r="M52" s="5366"/>
      <c r="N52" s="5367"/>
      <c r="O52" s="5368"/>
      <c r="P52" s="5366"/>
      <c r="Q52" s="5367"/>
      <c r="R52" s="5368"/>
      <c r="S52" s="5366"/>
      <c r="T52" s="5367"/>
      <c r="U52" s="5368"/>
      <c r="V52" s="5366"/>
      <c r="W52" s="5367"/>
      <c r="X52" s="5368"/>
      <c r="Y52" s="5366"/>
      <c r="Z52" s="5367"/>
      <c r="AA52" s="5368"/>
      <c r="AB52" s="5366">
        <v>6</v>
      </c>
      <c r="AC52" s="5367">
        <v>10</v>
      </c>
      <c r="AD52" s="5368">
        <f t="shared" si="38"/>
        <v>16</v>
      </c>
      <c r="AE52" s="5366">
        <v>5</v>
      </c>
      <c r="AF52" s="5367">
        <v>9</v>
      </c>
      <c r="AG52" s="5368">
        <f t="shared" si="39"/>
        <v>14</v>
      </c>
    </row>
    <row r="53" spans="1:33" ht="15" x14ac:dyDescent="0.2">
      <c r="A53" s="6923"/>
      <c r="B53" s="6914"/>
      <c r="C53" s="4929" t="s">
        <v>1457</v>
      </c>
      <c r="D53" s="2749"/>
      <c r="E53" s="2740"/>
      <c r="F53" s="4930"/>
      <c r="G53" s="2749">
        <f>SUM(G49)</f>
        <v>9</v>
      </c>
      <c r="H53" s="2740">
        <f>SUM(H49)</f>
        <v>10</v>
      </c>
      <c r="I53" s="4930">
        <f>SUM(I49)</f>
        <v>19</v>
      </c>
      <c r="J53" s="2749"/>
      <c r="K53" s="2740"/>
      <c r="L53" s="4930"/>
      <c r="M53" s="2749"/>
      <c r="N53" s="2740"/>
      <c r="O53" s="4930"/>
      <c r="P53" s="2749"/>
      <c r="Q53" s="2740"/>
      <c r="R53" s="4930"/>
      <c r="S53" s="2749"/>
      <c r="T53" s="2740"/>
      <c r="U53" s="4930"/>
      <c r="V53" s="2749"/>
      <c r="W53" s="2740"/>
      <c r="X53" s="4930"/>
      <c r="Y53" s="2749"/>
      <c r="Z53" s="2740"/>
      <c r="AA53" s="4930"/>
      <c r="AB53" s="2747">
        <f>SUM(AB49:AB52)</f>
        <v>14</v>
      </c>
      <c r="AC53" s="2738">
        <f t="shared" ref="AC53:AG53" si="40">SUM(AC49:AC52)</f>
        <v>19</v>
      </c>
      <c r="AD53" s="4928">
        <f t="shared" si="40"/>
        <v>33</v>
      </c>
      <c r="AE53" s="2747">
        <f t="shared" si="40"/>
        <v>13</v>
      </c>
      <c r="AF53" s="2738">
        <f t="shared" si="40"/>
        <v>18</v>
      </c>
      <c r="AG53" s="4928">
        <f t="shared" si="40"/>
        <v>31</v>
      </c>
    </row>
    <row r="54" spans="1:33" ht="15" x14ac:dyDescent="0.2">
      <c r="A54" s="6925"/>
      <c r="B54" s="6928" t="s">
        <v>444</v>
      </c>
      <c r="C54" s="6929"/>
      <c r="D54" s="4456">
        <f t="shared" ref="D54:U54" si="41">SUM(D53,D48,D43)</f>
        <v>8</v>
      </c>
      <c r="E54" s="4457">
        <f t="shared" si="41"/>
        <v>6</v>
      </c>
      <c r="F54" s="4440">
        <f t="shared" si="41"/>
        <v>14</v>
      </c>
      <c r="G54" s="4456">
        <f t="shared" si="41"/>
        <v>26</v>
      </c>
      <c r="H54" s="4457">
        <f t="shared" si="41"/>
        <v>29</v>
      </c>
      <c r="I54" s="4440">
        <f t="shared" si="41"/>
        <v>55</v>
      </c>
      <c r="J54" s="4456">
        <f t="shared" si="41"/>
        <v>15</v>
      </c>
      <c r="K54" s="4457">
        <f t="shared" si="41"/>
        <v>10</v>
      </c>
      <c r="L54" s="4440">
        <f t="shared" si="41"/>
        <v>25</v>
      </c>
      <c r="M54" s="4456">
        <f t="shared" si="41"/>
        <v>28</v>
      </c>
      <c r="N54" s="4457">
        <f t="shared" si="41"/>
        <v>19</v>
      </c>
      <c r="O54" s="4440">
        <f t="shared" si="41"/>
        <v>47</v>
      </c>
      <c r="P54" s="4456">
        <f t="shared" si="41"/>
        <v>16</v>
      </c>
      <c r="Q54" s="4457">
        <f t="shared" si="41"/>
        <v>15</v>
      </c>
      <c r="R54" s="4440">
        <f t="shared" si="41"/>
        <v>31</v>
      </c>
      <c r="S54" s="4456">
        <f t="shared" si="41"/>
        <v>32</v>
      </c>
      <c r="T54" s="4457">
        <f t="shared" si="41"/>
        <v>27</v>
      </c>
      <c r="U54" s="4440">
        <f t="shared" si="41"/>
        <v>59</v>
      </c>
      <c r="V54" s="4456">
        <f t="shared" ref="V54:AA54" si="42">SUM(V53,V48,V43)</f>
        <v>31</v>
      </c>
      <c r="W54" s="4457">
        <f t="shared" si="42"/>
        <v>30</v>
      </c>
      <c r="X54" s="4910">
        <f t="shared" si="42"/>
        <v>61</v>
      </c>
      <c r="Y54" s="4456">
        <f t="shared" si="42"/>
        <v>31</v>
      </c>
      <c r="Z54" s="4457">
        <f t="shared" si="42"/>
        <v>30</v>
      </c>
      <c r="AA54" s="4910">
        <f t="shared" si="42"/>
        <v>61</v>
      </c>
      <c r="AB54" s="4456">
        <f t="shared" ref="AB54:AG54" si="43">SUM(AB53,AB48,AB43)</f>
        <v>35</v>
      </c>
      <c r="AC54" s="4457">
        <f t="shared" si="43"/>
        <v>31</v>
      </c>
      <c r="AD54" s="5357">
        <f t="shared" si="43"/>
        <v>66</v>
      </c>
      <c r="AE54" s="4456">
        <f t="shared" si="43"/>
        <v>34</v>
      </c>
      <c r="AF54" s="4457">
        <f t="shared" si="43"/>
        <v>29</v>
      </c>
      <c r="AG54" s="5357">
        <f t="shared" si="43"/>
        <v>63</v>
      </c>
    </row>
    <row r="55" spans="1:33" x14ac:dyDescent="0.2">
      <c r="A55" s="199"/>
      <c r="B55" s="199"/>
      <c r="C55" s="199"/>
      <c r="D55" s="199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</row>
    <row r="56" spans="1:33" ht="15" x14ac:dyDescent="0.2">
      <c r="A56" s="6908" t="s">
        <v>12</v>
      </c>
      <c r="B56" s="6908"/>
      <c r="C56" s="6908"/>
      <c r="D56" s="2771">
        <f>SUM(D54,D41,D31,D25)</f>
        <v>57</v>
      </c>
      <c r="E56" s="2772">
        <f>SUM(E54,E41,E31,E25)</f>
        <v>37</v>
      </c>
      <c r="F56" s="2773">
        <f>SUM(D56:E56)</f>
        <v>94</v>
      </c>
      <c r="G56" s="2771">
        <f>SUM(G54,G41,G31,G25)</f>
        <v>113</v>
      </c>
      <c r="H56" s="2772">
        <f>SUM(H54,H41,H31,H25)</f>
        <v>84</v>
      </c>
      <c r="I56" s="2773">
        <f>SUM(G56:H56)</f>
        <v>197</v>
      </c>
      <c r="J56" s="2771">
        <f>SUM(J25,J31,J41,J54)</f>
        <v>17</v>
      </c>
      <c r="K56" s="2772">
        <f t="shared" ref="K56:U56" si="44">SUM(K25,K31,K41,K54)</f>
        <v>18</v>
      </c>
      <c r="L56" s="2773">
        <f t="shared" si="44"/>
        <v>35</v>
      </c>
      <c r="M56" s="2771">
        <f t="shared" si="44"/>
        <v>42</v>
      </c>
      <c r="N56" s="2772">
        <f t="shared" si="44"/>
        <v>51</v>
      </c>
      <c r="O56" s="2773">
        <f t="shared" si="44"/>
        <v>93</v>
      </c>
      <c r="P56" s="2771">
        <f t="shared" si="44"/>
        <v>38</v>
      </c>
      <c r="Q56" s="2772">
        <f t="shared" si="44"/>
        <v>58</v>
      </c>
      <c r="R56" s="2773">
        <f t="shared" si="44"/>
        <v>96</v>
      </c>
      <c r="S56" s="2771">
        <f t="shared" si="44"/>
        <v>58</v>
      </c>
      <c r="T56" s="2772">
        <f t="shared" si="44"/>
        <v>85</v>
      </c>
      <c r="U56" s="2773">
        <f t="shared" si="44"/>
        <v>143</v>
      </c>
      <c r="V56" s="2771">
        <f t="shared" ref="V56:AA56" si="45">SUM(V25,V31,V41,V54)</f>
        <v>63</v>
      </c>
      <c r="W56" s="2772">
        <f t="shared" si="45"/>
        <v>100</v>
      </c>
      <c r="X56" s="2773">
        <f t="shared" si="45"/>
        <v>163</v>
      </c>
      <c r="Y56" s="2771">
        <f t="shared" si="45"/>
        <v>63</v>
      </c>
      <c r="Z56" s="2772">
        <f t="shared" si="45"/>
        <v>100</v>
      </c>
      <c r="AA56" s="2773">
        <f t="shared" si="45"/>
        <v>163</v>
      </c>
      <c r="AB56" s="2771">
        <f t="shared" ref="AB56:AG56" si="46">SUM(AB25,AB31,AB41,AB54)</f>
        <v>106</v>
      </c>
      <c r="AC56" s="2772">
        <f t="shared" si="46"/>
        <v>130</v>
      </c>
      <c r="AD56" s="2773">
        <f t="shared" si="46"/>
        <v>236</v>
      </c>
      <c r="AE56" s="2771">
        <f t="shared" si="46"/>
        <v>100</v>
      </c>
      <c r="AF56" s="2772">
        <f t="shared" si="46"/>
        <v>125</v>
      </c>
      <c r="AG56" s="2773">
        <f t="shared" si="46"/>
        <v>225</v>
      </c>
    </row>
    <row r="57" spans="1:33" s="3923" customFormat="1" x14ac:dyDescent="0.2"/>
    <row r="58" spans="1:33" s="3923" customFormat="1" x14ac:dyDescent="0.2"/>
    <row r="59" spans="1:33" ht="15.75" x14ac:dyDescent="0.2">
      <c r="A59" s="6930" t="s">
        <v>51</v>
      </c>
      <c r="B59" s="6930" t="s">
        <v>685</v>
      </c>
      <c r="C59" s="6930" t="s">
        <v>684</v>
      </c>
      <c r="D59" s="6921">
        <v>2008</v>
      </c>
      <c r="E59" s="6922"/>
      <c r="F59" s="6966">
        <v>2009</v>
      </c>
      <c r="G59" s="6967"/>
      <c r="H59" s="6966">
        <v>2010</v>
      </c>
      <c r="I59" s="6967"/>
      <c r="J59" s="6966">
        <v>2011</v>
      </c>
      <c r="K59" s="6967"/>
      <c r="L59" s="6966">
        <v>2012</v>
      </c>
      <c r="M59" s="6967"/>
    </row>
    <row r="60" spans="1:33" ht="12.75" customHeight="1" x14ac:dyDescent="0.2">
      <c r="A60" s="6930"/>
      <c r="B60" s="6930"/>
      <c r="C60" s="6930"/>
      <c r="D60" s="4445" t="s">
        <v>630</v>
      </c>
      <c r="E60" s="4445" t="s">
        <v>631</v>
      </c>
      <c r="F60" s="4445" t="s">
        <v>630</v>
      </c>
      <c r="G60" s="4445" t="s">
        <v>631</v>
      </c>
      <c r="H60" s="4445" t="s">
        <v>630</v>
      </c>
      <c r="I60" s="4445" t="s">
        <v>631</v>
      </c>
      <c r="J60" s="4445" t="s">
        <v>630</v>
      </c>
      <c r="K60" s="4445" t="s">
        <v>631</v>
      </c>
      <c r="L60" s="4445" t="s">
        <v>630</v>
      </c>
      <c r="M60" s="4445" t="s">
        <v>631</v>
      </c>
    </row>
    <row r="61" spans="1:33" ht="15" x14ac:dyDescent="0.2">
      <c r="A61" s="6931" t="s">
        <v>161</v>
      </c>
      <c r="B61" s="6936" t="s">
        <v>7</v>
      </c>
      <c r="C61" s="4232" t="s">
        <v>401</v>
      </c>
      <c r="D61" s="4220">
        <v>2</v>
      </c>
      <c r="E61" s="4220">
        <v>2</v>
      </c>
      <c r="F61" s="4220"/>
      <c r="G61" s="4220">
        <v>2</v>
      </c>
      <c r="H61" s="4220"/>
      <c r="I61" s="4220"/>
      <c r="J61" s="4220"/>
      <c r="K61" s="4220"/>
      <c r="L61" s="4220">
        <v>2</v>
      </c>
      <c r="M61" s="4220">
        <v>2</v>
      </c>
    </row>
    <row r="62" spans="1:33" ht="15" x14ac:dyDescent="0.2">
      <c r="A62" s="6932"/>
      <c r="B62" s="6059"/>
      <c r="C62" s="4462" t="s">
        <v>848</v>
      </c>
      <c r="D62" s="4221"/>
      <c r="E62" s="4221"/>
      <c r="F62" s="4221"/>
      <c r="G62" s="4221"/>
      <c r="H62" s="4221"/>
      <c r="I62" s="4221"/>
      <c r="J62" s="4221"/>
      <c r="K62" s="4221"/>
      <c r="L62" s="4221"/>
      <c r="M62" s="4221"/>
    </row>
    <row r="63" spans="1:33" ht="15" customHeight="1" x14ac:dyDescent="0.2">
      <c r="A63" s="6931"/>
      <c r="B63" s="6060"/>
      <c r="C63" s="4467" t="s">
        <v>858</v>
      </c>
      <c r="D63" s="4468">
        <f t="shared" ref="D63:L63" si="47">SUM(D61:D62)</f>
        <v>2</v>
      </c>
      <c r="E63" s="4468">
        <f>SUM(E61:E62)</f>
        <v>2</v>
      </c>
      <c r="F63" s="4468">
        <f t="shared" si="47"/>
        <v>0</v>
      </c>
      <c r="G63" s="4468">
        <f>SUM(G61:G62)</f>
        <v>2</v>
      </c>
      <c r="H63" s="4468">
        <f t="shared" si="47"/>
        <v>0</v>
      </c>
      <c r="I63" s="4468">
        <f>SUM(I61:I62)</f>
        <v>0</v>
      </c>
      <c r="J63" s="4468">
        <f t="shared" si="47"/>
        <v>0</v>
      </c>
      <c r="K63" s="4468">
        <f>SUM(K61:K62)</f>
        <v>0</v>
      </c>
      <c r="L63" s="4468">
        <f t="shared" si="47"/>
        <v>2</v>
      </c>
      <c r="M63" s="4468">
        <f>SUM(M61:M62)</f>
        <v>2</v>
      </c>
    </row>
    <row r="64" spans="1:33" ht="15" x14ac:dyDescent="0.25">
      <c r="A64" s="6931"/>
      <c r="B64" s="6937" t="s">
        <v>355</v>
      </c>
      <c r="C64" s="4460" t="s">
        <v>1452</v>
      </c>
      <c r="D64" s="4221">
        <v>1</v>
      </c>
      <c r="E64" s="4221">
        <v>1</v>
      </c>
      <c r="F64" s="4221">
        <v>11</v>
      </c>
      <c r="G64" s="4221">
        <v>19</v>
      </c>
      <c r="H64" s="4221">
        <v>4</v>
      </c>
      <c r="I64" s="4221">
        <v>18</v>
      </c>
      <c r="J64" s="4221"/>
      <c r="K64" s="4221"/>
      <c r="L64" s="4221"/>
      <c r="M64" s="4221"/>
    </row>
    <row r="65" spans="1:13" ht="15" x14ac:dyDescent="0.25">
      <c r="A65" s="6932"/>
      <c r="B65" s="6062"/>
      <c r="C65" s="4461" t="s">
        <v>409</v>
      </c>
      <c r="D65" s="4221"/>
      <c r="E65" s="4221"/>
      <c r="F65" s="4221"/>
      <c r="G65" s="4221"/>
      <c r="H65" s="4221"/>
      <c r="I65" s="4221"/>
      <c r="J65" s="4221"/>
      <c r="K65" s="4221"/>
      <c r="L65" s="4221">
        <v>3</v>
      </c>
      <c r="M65" s="4221">
        <v>3</v>
      </c>
    </row>
    <row r="66" spans="1:13" ht="15" x14ac:dyDescent="0.25">
      <c r="A66" s="6932"/>
      <c r="B66" s="6062"/>
      <c r="C66" s="4461" t="s">
        <v>410</v>
      </c>
      <c r="D66" s="4221"/>
      <c r="E66" s="4221"/>
      <c r="F66" s="4221"/>
      <c r="G66" s="4221"/>
      <c r="H66" s="4221"/>
      <c r="I66" s="4221"/>
      <c r="J66" s="4221"/>
      <c r="K66" s="4221"/>
      <c r="L66" s="4221">
        <v>4</v>
      </c>
      <c r="M66" s="4221">
        <v>4</v>
      </c>
    </row>
    <row r="67" spans="1:13" ht="15" customHeight="1" x14ac:dyDescent="0.2">
      <c r="A67" s="6931"/>
      <c r="B67" s="6063"/>
      <c r="C67" s="4467" t="s">
        <v>858</v>
      </c>
      <c r="D67" s="4468">
        <f t="shared" ref="D67:L67" si="48">SUM(D64:D66)</f>
        <v>1</v>
      </c>
      <c r="E67" s="4468">
        <f>SUM(E64:E66)</f>
        <v>1</v>
      </c>
      <c r="F67" s="4468">
        <f t="shared" si="48"/>
        <v>11</v>
      </c>
      <c r="G67" s="4468">
        <f>SUM(G64:G66)</f>
        <v>19</v>
      </c>
      <c r="H67" s="4468">
        <f t="shared" si="48"/>
        <v>4</v>
      </c>
      <c r="I67" s="4468">
        <f>SUM(I64:I66)</f>
        <v>18</v>
      </c>
      <c r="J67" s="4468">
        <f t="shared" si="48"/>
        <v>0</v>
      </c>
      <c r="K67" s="4468">
        <f>SUM(K64:K66)</f>
        <v>0</v>
      </c>
      <c r="L67" s="4468">
        <f t="shared" si="48"/>
        <v>7</v>
      </c>
      <c r="M67" s="4468">
        <f>SUM(M64:M66)</f>
        <v>7</v>
      </c>
    </row>
    <row r="68" spans="1:13" ht="15" x14ac:dyDescent="0.2">
      <c r="A68" s="6931"/>
      <c r="B68" s="6937" t="s">
        <v>857</v>
      </c>
      <c r="C68" s="4233" t="s">
        <v>534</v>
      </c>
      <c r="D68" s="4221"/>
      <c r="E68" s="4221"/>
      <c r="F68" s="4221"/>
      <c r="G68" s="4221">
        <v>1</v>
      </c>
      <c r="H68" s="4221"/>
      <c r="I68" s="4221"/>
      <c r="J68" s="4221"/>
      <c r="K68" s="4221"/>
      <c r="L68" s="4221"/>
      <c r="M68" s="4221"/>
    </row>
    <row r="69" spans="1:13" ht="15" x14ac:dyDescent="0.2">
      <c r="A69" s="6932"/>
      <c r="B69" s="6062"/>
      <c r="C69" s="4233" t="s">
        <v>847</v>
      </c>
      <c r="D69" s="4221"/>
      <c r="E69" s="4221"/>
      <c r="F69" s="4221"/>
      <c r="G69" s="4221"/>
      <c r="H69" s="4221"/>
      <c r="I69" s="4221"/>
      <c r="J69" s="4221">
        <v>8</v>
      </c>
      <c r="K69" s="4221">
        <v>8</v>
      </c>
      <c r="L69" s="4221">
        <v>0</v>
      </c>
      <c r="M69" s="4221">
        <v>7</v>
      </c>
    </row>
    <row r="70" spans="1:13" ht="15" x14ac:dyDescent="0.2">
      <c r="A70" s="6932"/>
      <c r="B70" s="6062"/>
      <c r="C70" s="4233" t="s">
        <v>852</v>
      </c>
      <c r="D70" s="4221"/>
      <c r="E70" s="4221"/>
      <c r="F70" s="4221"/>
      <c r="G70" s="4221"/>
      <c r="H70" s="4221"/>
      <c r="I70" s="4221"/>
      <c r="J70" s="4221"/>
      <c r="K70" s="4221"/>
      <c r="L70" s="4221">
        <v>10</v>
      </c>
      <c r="M70" s="4221">
        <v>10</v>
      </c>
    </row>
    <row r="71" spans="1:13" ht="15" x14ac:dyDescent="0.2">
      <c r="A71" s="6931"/>
      <c r="B71" s="6062"/>
      <c r="C71" s="4463" t="s">
        <v>367</v>
      </c>
      <c r="D71" s="4221"/>
      <c r="E71" s="4221"/>
      <c r="F71" s="4221"/>
      <c r="G71" s="4221">
        <v>2</v>
      </c>
      <c r="H71" s="4221"/>
      <c r="I71" s="4221"/>
      <c r="J71" s="4221"/>
      <c r="K71" s="4221"/>
      <c r="L71" s="4221"/>
      <c r="M71" s="4221"/>
    </row>
    <row r="72" spans="1:13" ht="15" customHeight="1" x14ac:dyDescent="0.2">
      <c r="A72" s="6931"/>
      <c r="B72" s="6063"/>
      <c r="C72" s="4469" t="s">
        <v>858</v>
      </c>
      <c r="D72" s="4470">
        <f t="shared" ref="D72:L72" si="49">SUM(D68:D71)</f>
        <v>0</v>
      </c>
      <c r="E72" s="4470">
        <f>SUM(E68:E71)</f>
        <v>0</v>
      </c>
      <c r="F72" s="4470">
        <f t="shared" si="49"/>
        <v>0</v>
      </c>
      <c r="G72" s="4470">
        <f>SUM(G68:G71)</f>
        <v>3</v>
      </c>
      <c r="H72" s="4470">
        <f t="shared" si="49"/>
        <v>0</v>
      </c>
      <c r="I72" s="4470">
        <f>SUM(I68:I71)</f>
        <v>0</v>
      </c>
      <c r="J72" s="4470">
        <f t="shared" si="49"/>
        <v>8</v>
      </c>
      <c r="K72" s="4470">
        <f>SUM(K68:K71)</f>
        <v>8</v>
      </c>
      <c r="L72" s="4470">
        <f t="shared" si="49"/>
        <v>10</v>
      </c>
      <c r="M72" s="4470">
        <f>SUM(M68:M71)</f>
        <v>17</v>
      </c>
    </row>
    <row r="73" spans="1:13" ht="15" customHeight="1" x14ac:dyDescent="0.2">
      <c r="A73" s="6933"/>
      <c r="B73" s="6934" t="s">
        <v>444</v>
      </c>
      <c r="C73" s="6935"/>
      <c r="D73" s="4213">
        <f t="shared" ref="D73:I73" si="50">SUM(D72,D67,D63)</f>
        <v>3</v>
      </c>
      <c r="E73" s="4213">
        <f t="shared" si="50"/>
        <v>3</v>
      </c>
      <c r="F73" s="4213">
        <f t="shared" si="50"/>
        <v>11</v>
      </c>
      <c r="G73" s="4213">
        <f t="shared" si="50"/>
        <v>24</v>
      </c>
      <c r="H73" s="4213">
        <f t="shared" si="50"/>
        <v>4</v>
      </c>
      <c r="I73" s="4213">
        <f t="shared" si="50"/>
        <v>18</v>
      </c>
      <c r="J73" s="4213">
        <f>SUM(J72,J67,J63)</f>
        <v>8</v>
      </c>
      <c r="K73" s="4213">
        <f>SUM(K72,K67,K63)</f>
        <v>8</v>
      </c>
      <c r="L73" s="4213">
        <f>SUM(L72,L67,L63)</f>
        <v>19</v>
      </c>
      <c r="M73" s="4213">
        <f>SUM(M72,M67,M63)</f>
        <v>26</v>
      </c>
    </row>
    <row r="74" spans="1:13" ht="15" x14ac:dyDescent="0.2">
      <c r="A74" s="6942" t="s">
        <v>407</v>
      </c>
      <c r="B74" s="6960" t="s">
        <v>74</v>
      </c>
      <c r="C74" s="4229" t="s">
        <v>415</v>
      </c>
      <c r="D74" s="4235"/>
      <c r="E74" s="4235"/>
      <c r="F74" s="4235"/>
      <c r="G74" s="4235"/>
      <c r="H74" s="4235"/>
      <c r="I74" s="4235"/>
      <c r="J74" s="4237"/>
      <c r="K74" s="4237"/>
      <c r="L74" s="4237">
        <v>6</v>
      </c>
      <c r="M74" s="4237">
        <v>5</v>
      </c>
    </row>
    <row r="75" spans="1:13" ht="15" x14ac:dyDescent="0.2">
      <c r="A75" s="6943"/>
      <c r="B75" s="6717"/>
      <c r="C75" s="4230" t="s">
        <v>414</v>
      </c>
      <c r="D75" s="4222"/>
      <c r="E75" s="4222"/>
      <c r="F75" s="4222"/>
      <c r="G75" s="4222"/>
      <c r="H75" s="4222"/>
      <c r="I75" s="4222"/>
      <c r="J75" s="4223"/>
      <c r="K75" s="4223"/>
      <c r="L75" s="4223">
        <v>9</v>
      </c>
      <c r="M75" s="4223">
        <v>9</v>
      </c>
    </row>
    <row r="76" spans="1:13" ht="15" x14ac:dyDescent="0.2">
      <c r="A76" s="6943"/>
      <c r="B76" s="6961"/>
      <c r="C76" s="4467" t="s">
        <v>858</v>
      </c>
      <c r="D76" s="4468"/>
      <c r="E76" s="4468"/>
      <c r="F76" s="4468"/>
      <c r="G76" s="4468"/>
      <c r="H76" s="4468"/>
      <c r="I76" s="4468"/>
      <c r="J76" s="4468">
        <f>SUM(J74:J75)</f>
        <v>0</v>
      </c>
      <c r="K76" s="4468">
        <f>SUM(K74:K75)</f>
        <v>0</v>
      </c>
      <c r="L76" s="4468">
        <f>SUM(L74:L75)</f>
        <v>15</v>
      </c>
      <c r="M76" s="4468">
        <f>SUM(M74:M75)</f>
        <v>14</v>
      </c>
    </row>
    <row r="77" spans="1:13" ht="15" x14ac:dyDescent="0.2">
      <c r="A77" s="6943"/>
      <c r="B77" s="6960" t="s">
        <v>9</v>
      </c>
      <c r="C77" s="4230" t="s">
        <v>412</v>
      </c>
      <c r="D77" s="4222"/>
      <c r="E77" s="4222"/>
      <c r="F77" s="4222"/>
      <c r="G77" s="4222"/>
      <c r="H77" s="4222"/>
      <c r="I77" s="4222"/>
      <c r="J77" s="4223"/>
      <c r="K77" s="4223"/>
      <c r="L77" s="4223">
        <v>12</v>
      </c>
      <c r="M77" s="4223">
        <v>12</v>
      </c>
    </row>
    <row r="78" spans="1:13" ht="15" x14ac:dyDescent="0.2">
      <c r="A78" s="6943"/>
      <c r="B78" s="6961"/>
      <c r="C78" s="4467" t="s">
        <v>858</v>
      </c>
      <c r="D78" s="4468"/>
      <c r="E78" s="4468"/>
      <c r="F78" s="4468"/>
      <c r="G78" s="4468"/>
      <c r="H78" s="4468"/>
      <c r="I78" s="4468"/>
      <c r="J78" s="4468">
        <f>SUM(J77)</f>
        <v>0</v>
      </c>
      <c r="K78" s="4468">
        <f>SUM(K77)</f>
        <v>0</v>
      </c>
      <c r="L78" s="4468">
        <f>SUM(L77)</f>
        <v>12</v>
      </c>
      <c r="M78" s="4468">
        <f>SUM(M77)</f>
        <v>12</v>
      </c>
    </row>
    <row r="79" spans="1:13" ht="15" x14ac:dyDescent="0.2">
      <c r="A79" s="6943"/>
      <c r="B79" s="6962" t="s">
        <v>6</v>
      </c>
      <c r="C79" s="4925" t="s">
        <v>855</v>
      </c>
      <c r="D79" s="4222"/>
      <c r="E79" s="4222"/>
      <c r="F79" s="4222"/>
      <c r="G79" s="4222"/>
      <c r="H79" s="4222"/>
      <c r="I79" s="4222"/>
      <c r="J79" s="4223">
        <v>19</v>
      </c>
      <c r="K79" s="4223">
        <v>19</v>
      </c>
      <c r="L79" s="4223">
        <v>11</v>
      </c>
      <c r="M79" s="4223">
        <v>28</v>
      </c>
    </row>
    <row r="80" spans="1:13" ht="15" x14ac:dyDescent="0.2">
      <c r="A80" s="6943"/>
      <c r="B80" s="6962"/>
      <c r="C80" s="4463" t="s">
        <v>399</v>
      </c>
      <c r="D80" s="4222"/>
      <c r="E80" s="4222"/>
      <c r="F80" s="4222"/>
      <c r="G80" s="4222"/>
      <c r="H80" s="4222"/>
      <c r="I80" s="4222"/>
      <c r="J80" s="4223">
        <v>9</v>
      </c>
      <c r="K80" s="4223">
        <v>9</v>
      </c>
      <c r="L80" s="4223">
        <v>7</v>
      </c>
      <c r="M80" s="4223">
        <v>16</v>
      </c>
    </row>
    <row r="81" spans="1:13" ht="15" x14ac:dyDescent="0.2">
      <c r="A81" s="6943"/>
      <c r="B81" s="6962"/>
      <c r="C81" s="4926" t="s">
        <v>858</v>
      </c>
      <c r="D81" s="4470"/>
      <c r="E81" s="4470"/>
      <c r="F81" s="4470"/>
      <c r="G81" s="4470"/>
      <c r="H81" s="4470"/>
      <c r="I81" s="4470"/>
      <c r="J81" s="4470">
        <f>SUM(J79:J80)</f>
        <v>28</v>
      </c>
      <c r="K81" s="4470">
        <f>SUM(K79:K80)</f>
        <v>28</v>
      </c>
      <c r="L81" s="4470">
        <f>SUM(L79:L80)</f>
        <v>18</v>
      </c>
      <c r="M81" s="4470">
        <f>SUM(M79:M80)</f>
        <v>44</v>
      </c>
    </row>
    <row r="82" spans="1:13" ht="15" x14ac:dyDescent="0.2">
      <c r="A82" s="6944"/>
      <c r="B82" s="6958" t="s">
        <v>444</v>
      </c>
      <c r="C82" s="6959"/>
      <c r="D82" s="4218"/>
      <c r="E82" s="4218"/>
      <c r="F82" s="4218"/>
      <c r="G82" s="4218"/>
      <c r="H82" s="4218"/>
      <c r="I82" s="4218"/>
      <c r="J82" s="4218">
        <f>SUM(J81,J78,J76)</f>
        <v>28</v>
      </c>
      <c r="K82" s="4218">
        <f>SUM(K81,K78,K76)</f>
        <v>28</v>
      </c>
      <c r="L82" s="4218">
        <f>SUM(L81,L78,L76)</f>
        <v>45</v>
      </c>
      <c r="M82" s="4218">
        <f>SUM(M81,M78,M76)</f>
        <v>70</v>
      </c>
    </row>
    <row r="83" spans="1:13" ht="15" x14ac:dyDescent="0.2">
      <c r="A83" s="6949" t="s">
        <v>162</v>
      </c>
      <c r="B83" s="6952" t="s">
        <v>5</v>
      </c>
      <c r="C83" s="4231" t="s">
        <v>856</v>
      </c>
      <c r="D83" s="4236"/>
      <c r="E83" s="4236"/>
      <c r="F83" s="4236"/>
      <c r="G83" s="4236"/>
      <c r="H83" s="4236"/>
      <c r="I83" s="4236"/>
      <c r="J83" s="4237">
        <v>6</v>
      </c>
      <c r="K83" s="4237">
        <v>6</v>
      </c>
      <c r="L83" s="4236"/>
      <c r="M83" s="4236"/>
    </row>
    <row r="84" spans="1:13" ht="15" x14ac:dyDescent="0.2">
      <c r="A84" s="6950"/>
      <c r="B84" s="6953"/>
      <c r="C84" s="4467" t="s">
        <v>858</v>
      </c>
      <c r="D84" s="4468"/>
      <c r="E84" s="4468"/>
      <c r="F84" s="4468"/>
      <c r="G84" s="4468"/>
      <c r="H84" s="4468"/>
      <c r="I84" s="4468"/>
      <c r="J84" s="4468">
        <f>SUM(J83)</f>
        <v>6</v>
      </c>
      <c r="K84" s="4468">
        <f>SUM(K83)</f>
        <v>6</v>
      </c>
      <c r="L84" s="4468">
        <f>SUM(L83)</f>
        <v>0</v>
      </c>
      <c r="M84" s="4468">
        <f>SUM(M83)</f>
        <v>0</v>
      </c>
    </row>
    <row r="85" spans="1:13" ht="15" x14ac:dyDescent="0.2">
      <c r="A85" s="6950"/>
      <c r="B85" s="6954" t="s">
        <v>11</v>
      </c>
      <c r="C85" s="4227" t="s">
        <v>854</v>
      </c>
      <c r="D85" s="4224"/>
      <c r="E85" s="4224"/>
      <c r="F85" s="4224"/>
      <c r="G85" s="4224"/>
      <c r="H85" s="4224"/>
      <c r="I85" s="4224"/>
      <c r="J85" s="4225">
        <v>6</v>
      </c>
      <c r="K85" s="4225">
        <v>6</v>
      </c>
      <c r="L85" s="4225">
        <v>16</v>
      </c>
      <c r="M85" s="4225">
        <v>16</v>
      </c>
    </row>
    <row r="86" spans="1:13" ht="15" x14ac:dyDescent="0.2">
      <c r="A86" s="6950"/>
      <c r="B86" s="6955"/>
      <c r="C86" s="4469" t="s">
        <v>858</v>
      </c>
      <c r="D86" s="4470"/>
      <c r="E86" s="4470"/>
      <c r="F86" s="4470"/>
      <c r="G86" s="4470"/>
      <c r="H86" s="4470"/>
      <c r="I86" s="4470"/>
      <c r="J86" s="4470">
        <f>SUM(J85)</f>
        <v>6</v>
      </c>
      <c r="K86" s="4470">
        <f>SUM(K85)</f>
        <v>6</v>
      </c>
      <c r="L86" s="4470">
        <f>SUM(L85)</f>
        <v>16</v>
      </c>
      <c r="M86" s="4470">
        <f>SUM(M85)</f>
        <v>16</v>
      </c>
    </row>
    <row r="87" spans="1:13" ht="15" x14ac:dyDescent="0.2">
      <c r="A87" s="6951"/>
      <c r="B87" s="6956" t="s">
        <v>444</v>
      </c>
      <c r="C87" s="6957"/>
      <c r="D87" s="4219"/>
      <c r="E87" s="4219"/>
      <c r="F87" s="4219"/>
      <c r="G87" s="4219"/>
      <c r="H87" s="4219"/>
      <c r="I87" s="4219"/>
      <c r="J87" s="4219">
        <f>SUM(J86,J84)</f>
        <v>12</v>
      </c>
      <c r="K87" s="4219">
        <f>SUM(K86,K84)</f>
        <v>12</v>
      </c>
      <c r="L87" s="4219">
        <f>SUM(L86,L84)</f>
        <v>16</v>
      </c>
      <c r="M87" s="4219">
        <f>SUM(M86,M84)</f>
        <v>16</v>
      </c>
    </row>
    <row r="88" spans="1:13" ht="15" x14ac:dyDescent="0.2">
      <c r="A88" s="6945" t="s">
        <v>163</v>
      </c>
      <c r="B88" s="6948" t="s">
        <v>7</v>
      </c>
      <c r="C88" s="4232" t="s">
        <v>2</v>
      </c>
      <c r="D88" s="4234"/>
      <c r="E88" s="4234"/>
      <c r="F88" s="4235"/>
      <c r="G88" s="4235"/>
      <c r="H88" s="4234">
        <v>9</v>
      </c>
      <c r="I88" s="4234">
        <v>8</v>
      </c>
      <c r="J88" s="4234">
        <v>7</v>
      </c>
      <c r="K88" s="4234">
        <v>15</v>
      </c>
      <c r="L88" s="4234">
        <v>10</v>
      </c>
      <c r="M88" s="4234">
        <v>24</v>
      </c>
    </row>
    <row r="89" spans="1:13" ht="15" x14ac:dyDescent="0.2">
      <c r="A89" s="6946"/>
      <c r="B89" s="6062"/>
      <c r="C89" s="4233" t="s">
        <v>531</v>
      </c>
      <c r="D89" s="1790"/>
      <c r="E89" s="1790"/>
      <c r="F89" s="1790">
        <v>12</v>
      </c>
      <c r="G89" s="1790">
        <v>12</v>
      </c>
      <c r="H89" s="1790"/>
      <c r="I89" s="1790">
        <v>12</v>
      </c>
      <c r="J89" s="1790"/>
      <c r="K89" s="1790"/>
      <c r="L89" s="1790"/>
      <c r="M89" s="1790"/>
    </row>
    <row r="90" spans="1:13" ht="15" customHeight="1" x14ac:dyDescent="0.2">
      <c r="A90" s="6946"/>
      <c r="B90" s="6940"/>
      <c r="C90" s="4467" t="s">
        <v>858</v>
      </c>
      <c r="D90" s="4468">
        <f>SUM(D89:D89)</f>
        <v>0</v>
      </c>
      <c r="E90" s="4468">
        <f>SUM(E89:E89)</f>
        <v>0</v>
      </c>
      <c r="F90" s="4468">
        <f>SUM(F88:F89)</f>
        <v>12</v>
      </c>
      <c r="G90" s="4468">
        <f>SUM(G89:G89)</f>
        <v>12</v>
      </c>
      <c r="H90" s="4468">
        <f t="shared" ref="H90:M90" si="51">SUM(H88:H89)</f>
        <v>9</v>
      </c>
      <c r="I90" s="4468">
        <f t="shared" si="51"/>
        <v>20</v>
      </c>
      <c r="J90" s="4468">
        <f t="shared" si="51"/>
        <v>7</v>
      </c>
      <c r="K90" s="4468">
        <f t="shared" si="51"/>
        <v>15</v>
      </c>
      <c r="L90" s="4468">
        <f t="shared" si="51"/>
        <v>10</v>
      </c>
      <c r="M90" s="4468">
        <f t="shared" si="51"/>
        <v>24</v>
      </c>
    </row>
    <row r="91" spans="1:13" ht="15" x14ac:dyDescent="0.2">
      <c r="A91" s="6946"/>
      <c r="B91" s="6938" t="s">
        <v>6</v>
      </c>
      <c r="C91" s="4464" t="s">
        <v>389</v>
      </c>
      <c r="D91" s="1790">
        <v>2</v>
      </c>
      <c r="E91" s="1790">
        <v>2</v>
      </c>
      <c r="F91" s="1790">
        <v>1</v>
      </c>
      <c r="G91" s="1790">
        <v>2</v>
      </c>
      <c r="H91" s="1790"/>
      <c r="I91" s="1790">
        <v>1</v>
      </c>
      <c r="J91" s="1790">
        <v>0</v>
      </c>
      <c r="K91" s="1790">
        <v>1</v>
      </c>
      <c r="L91" s="1790"/>
      <c r="M91" s="1790"/>
    </row>
    <row r="92" spans="1:13" ht="15" x14ac:dyDescent="0.2">
      <c r="A92" s="6946"/>
      <c r="B92" s="6939"/>
      <c r="C92" s="4228" t="s">
        <v>19</v>
      </c>
      <c r="D92" s="1790"/>
      <c r="E92" s="1790"/>
      <c r="F92" s="1790">
        <v>0</v>
      </c>
      <c r="G92" s="1790">
        <v>6</v>
      </c>
      <c r="H92" s="1790"/>
      <c r="I92" s="1790">
        <v>6</v>
      </c>
      <c r="J92" s="1790">
        <v>15</v>
      </c>
      <c r="K92" s="1790">
        <v>14</v>
      </c>
      <c r="L92" s="1790">
        <v>19</v>
      </c>
      <c r="M92" s="1790">
        <v>33</v>
      </c>
    </row>
    <row r="93" spans="1:13" ht="15" x14ac:dyDescent="0.2">
      <c r="A93" s="6946"/>
      <c r="B93" s="6939"/>
      <c r="C93" s="4228" t="s">
        <v>391</v>
      </c>
      <c r="D93" s="1790"/>
      <c r="E93" s="1790"/>
      <c r="F93" s="1790">
        <v>0</v>
      </c>
      <c r="G93" s="1790">
        <v>6</v>
      </c>
      <c r="H93" s="1790"/>
      <c r="I93" s="1790">
        <v>4</v>
      </c>
      <c r="J93" s="1790"/>
      <c r="K93" s="1790"/>
      <c r="L93" s="1790"/>
      <c r="M93" s="1790"/>
    </row>
    <row r="94" spans="1:13" ht="15" x14ac:dyDescent="0.2">
      <c r="A94" s="6946"/>
      <c r="B94" s="6939"/>
      <c r="C94" s="4465" t="s">
        <v>416</v>
      </c>
      <c r="D94" s="1790"/>
      <c r="E94" s="1790"/>
      <c r="F94" s="1790"/>
      <c r="G94" s="1790"/>
      <c r="H94" s="1790"/>
      <c r="I94" s="1790"/>
      <c r="J94" s="1790"/>
      <c r="K94" s="1790"/>
      <c r="L94" s="1790">
        <v>16</v>
      </c>
      <c r="M94" s="1790">
        <v>16</v>
      </c>
    </row>
    <row r="95" spans="1:13" ht="15" customHeight="1" x14ac:dyDescent="0.2">
      <c r="A95" s="6946"/>
      <c r="B95" s="6940"/>
      <c r="C95" s="4467" t="s">
        <v>858</v>
      </c>
      <c r="D95" s="4468">
        <f t="shared" ref="D95:I95" si="52">SUM(D91:D93)</f>
        <v>2</v>
      </c>
      <c r="E95" s="4468">
        <f t="shared" si="52"/>
        <v>2</v>
      </c>
      <c r="F95" s="4468">
        <f t="shared" si="52"/>
        <v>1</v>
      </c>
      <c r="G95" s="4468">
        <f t="shared" si="52"/>
        <v>14</v>
      </c>
      <c r="H95" s="4468">
        <f t="shared" si="52"/>
        <v>0</v>
      </c>
      <c r="I95" s="4468">
        <f t="shared" si="52"/>
        <v>11</v>
      </c>
      <c r="J95" s="4468">
        <f>SUM(J91:J93)</f>
        <v>15</v>
      </c>
      <c r="K95" s="4468">
        <f>SUM(K91:K93)</f>
        <v>15</v>
      </c>
      <c r="L95" s="4468">
        <f>SUM(L91:L94)</f>
        <v>35</v>
      </c>
      <c r="M95" s="4468">
        <f>SUM(M91:M94)</f>
        <v>49</v>
      </c>
    </row>
    <row r="96" spans="1:13" ht="15" customHeight="1" x14ac:dyDescent="0.2">
      <c r="A96" s="6946"/>
      <c r="B96" s="6948" t="s">
        <v>11</v>
      </c>
      <c r="C96" s="4228" t="s">
        <v>567</v>
      </c>
      <c r="D96" s="1790"/>
      <c r="E96" s="1790"/>
      <c r="F96" s="1790"/>
      <c r="G96" s="1790"/>
      <c r="H96" s="1790">
        <v>6</v>
      </c>
      <c r="I96" s="1790">
        <v>6</v>
      </c>
      <c r="J96" s="1790"/>
      <c r="K96" s="1790"/>
      <c r="L96" s="1790"/>
      <c r="M96" s="1790"/>
    </row>
    <row r="97" spans="1:13" ht="15" x14ac:dyDescent="0.2">
      <c r="A97" s="6946"/>
      <c r="B97" s="6062"/>
      <c r="C97" s="4228" t="s">
        <v>92</v>
      </c>
      <c r="D97" s="1790"/>
      <c r="E97" s="1790"/>
      <c r="F97" s="1790"/>
      <c r="G97" s="1790">
        <v>1</v>
      </c>
      <c r="H97" s="1790"/>
      <c r="I97" s="1790"/>
      <c r="J97" s="1790"/>
      <c r="K97" s="1790"/>
      <c r="L97" s="1790"/>
      <c r="M97" s="1790"/>
    </row>
    <row r="98" spans="1:13" ht="15" x14ac:dyDescent="0.25">
      <c r="A98" s="6946"/>
      <c r="B98" s="6062"/>
      <c r="C98" s="4466" t="s">
        <v>859</v>
      </c>
      <c r="D98" s="4226">
        <v>6</v>
      </c>
      <c r="E98" s="4226">
        <v>6</v>
      </c>
      <c r="F98" s="1790"/>
      <c r="G98" s="1790"/>
      <c r="H98" s="1790"/>
      <c r="I98" s="1790"/>
      <c r="J98" s="1790"/>
      <c r="K98" s="1790"/>
      <c r="L98" s="1790"/>
      <c r="M98" s="1790"/>
    </row>
    <row r="99" spans="1:13" ht="15" customHeight="1" x14ac:dyDescent="0.2">
      <c r="A99" s="6946"/>
      <c r="B99" s="6940"/>
      <c r="C99" s="4469" t="s">
        <v>858</v>
      </c>
      <c r="D99" s="4468">
        <f>SUM(D97:D98)</f>
        <v>6</v>
      </c>
      <c r="E99" s="4468">
        <f>SUM(E97:E98)</f>
        <v>6</v>
      </c>
      <c r="F99" s="4468">
        <f>SUM(F97:F97)</f>
        <v>0</v>
      </c>
      <c r="G99" s="4468">
        <f>SUM(G97:G97)</f>
        <v>1</v>
      </c>
      <c r="H99" s="4468">
        <f t="shared" ref="H99:M99" si="53">SUM(H96:H98)</f>
        <v>6</v>
      </c>
      <c r="I99" s="4468">
        <f t="shared" si="53"/>
        <v>6</v>
      </c>
      <c r="J99" s="4468">
        <f t="shared" si="53"/>
        <v>0</v>
      </c>
      <c r="K99" s="4468">
        <f t="shared" si="53"/>
        <v>0</v>
      </c>
      <c r="L99" s="4468">
        <f t="shared" si="53"/>
        <v>0</v>
      </c>
      <c r="M99" s="4468">
        <f t="shared" si="53"/>
        <v>0</v>
      </c>
    </row>
    <row r="100" spans="1:13" ht="15" x14ac:dyDescent="0.2">
      <c r="A100" s="6947"/>
      <c r="B100" s="6941" t="s">
        <v>444</v>
      </c>
      <c r="C100" s="6714"/>
      <c r="D100" s="2769">
        <f t="shared" ref="D100:I100" si="54">SUM(D99,D95,D90)</f>
        <v>8</v>
      </c>
      <c r="E100" s="2769">
        <f t="shared" si="54"/>
        <v>8</v>
      </c>
      <c r="F100" s="4212">
        <f t="shared" si="54"/>
        <v>13</v>
      </c>
      <c r="G100" s="4212">
        <f t="shared" si="54"/>
        <v>27</v>
      </c>
      <c r="H100" s="4212">
        <f t="shared" si="54"/>
        <v>15</v>
      </c>
      <c r="I100" s="4212">
        <f t="shared" si="54"/>
        <v>37</v>
      </c>
      <c r="J100" s="4212">
        <f>SUM(J99,J95,J90)</f>
        <v>22</v>
      </c>
      <c r="K100" s="4212">
        <f>SUM(K99,K95,K90)</f>
        <v>30</v>
      </c>
      <c r="L100" s="4212">
        <f>SUM(L99,L95,L90)</f>
        <v>45</v>
      </c>
      <c r="M100" s="4212">
        <f>SUM(M99,M95,M90)</f>
        <v>73</v>
      </c>
    </row>
    <row r="101" spans="1:13" ht="27" customHeight="1" x14ac:dyDescent="0.2">
      <c r="A101" s="6036" t="s">
        <v>12</v>
      </c>
      <c r="B101" s="6036"/>
      <c r="C101" s="6036"/>
      <c r="D101" s="4211">
        <f t="shared" ref="D101:L101" si="55">SUM(D73,D82,D87,D100)</f>
        <v>11</v>
      </c>
      <c r="E101" s="2734">
        <f>SUM(E73,E82,E87,E100)</f>
        <v>11</v>
      </c>
      <c r="F101" s="4211">
        <f t="shared" si="55"/>
        <v>24</v>
      </c>
      <c r="G101" s="4211">
        <f>SUM(G73,G82,G87,G100)</f>
        <v>51</v>
      </c>
      <c r="H101" s="4211">
        <f t="shared" si="55"/>
        <v>19</v>
      </c>
      <c r="I101" s="4211">
        <f>SUM(I73,I82,I87,I100)</f>
        <v>55</v>
      </c>
      <c r="J101" s="4217">
        <f>SUM(J73,J82,J87,J100)</f>
        <v>70</v>
      </c>
      <c r="K101" s="4217">
        <f>SUM(K73,K82,K87,K100)</f>
        <v>78</v>
      </c>
      <c r="L101" s="4217">
        <f t="shared" si="55"/>
        <v>125</v>
      </c>
      <c r="M101" s="4217">
        <f>SUM(M73,M82,M87,M100)</f>
        <v>185</v>
      </c>
    </row>
  </sheetData>
  <sheetProtection algorithmName="SHA-512" hashValue="sGiZRvwfUSnzNtd4w7CpsFNoKKZ/q81Ldcn/7q895/r/PBFKZbqPZpOzMilRBty5w17nJV750HFJ9TpqonAQyA==" saltValue="yPf7j3epAa6XhNrN/B9Irw==" spinCount="100000" sheet="1" objects="1" scenarios="1"/>
  <mergeCells count="66">
    <mergeCell ref="AB3:AG3"/>
    <mergeCell ref="AB4:AD4"/>
    <mergeCell ref="AE4:AG4"/>
    <mergeCell ref="B36:B38"/>
    <mergeCell ref="J59:K59"/>
    <mergeCell ref="L59:M59"/>
    <mergeCell ref="F59:G59"/>
    <mergeCell ref="H59:I59"/>
    <mergeCell ref="B6:B15"/>
    <mergeCell ref="B16:B19"/>
    <mergeCell ref="B20:B24"/>
    <mergeCell ref="B25:C25"/>
    <mergeCell ref="P3:U3"/>
    <mergeCell ref="V3:AA3"/>
    <mergeCell ref="V4:X4"/>
    <mergeCell ref="Y4:AA4"/>
    <mergeCell ref="B82:C82"/>
    <mergeCell ref="B74:B76"/>
    <mergeCell ref="B77:B78"/>
    <mergeCell ref="B79:B81"/>
    <mergeCell ref="B59:B60"/>
    <mergeCell ref="C59:C60"/>
    <mergeCell ref="A61:A73"/>
    <mergeCell ref="B73:C73"/>
    <mergeCell ref="A101:C101"/>
    <mergeCell ref="B61:B63"/>
    <mergeCell ref="B64:B67"/>
    <mergeCell ref="B68:B72"/>
    <mergeCell ref="B91:B95"/>
    <mergeCell ref="B100:C100"/>
    <mergeCell ref="A74:A82"/>
    <mergeCell ref="A88:A100"/>
    <mergeCell ref="B88:B90"/>
    <mergeCell ref="A83:A87"/>
    <mergeCell ref="B83:B84"/>
    <mergeCell ref="B85:B86"/>
    <mergeCell ref="B96:B99"/>
    <mergeCell ref="B87:C87"/>
    <mergeCell ref="D59:E59"/>
    <mergeCell ref="A42:A54"/>
    <mergeCell ref="B42:B43"/>
    <mergeCell ref="B44:B48"/>
    <mergeCell ref="B49:B53"/>
    <mergeCell ref="B54:C54"/>
    <mergeCell ref="A59:A60"/>
    <mergeCell ref="P4:R4"/>
    <mergeCell ref="S4:U4"/>
    <mergeCell ref="C3:C5"/>
    <mergeCell ref="A6:A25"/>
    <mergeCell ref="A56:C56"/>
    <mergeCell ref="A32:A41"/>
    <mergeCell ref="B32:B35"/>
    <mergeCell ref="B39:B40"/>
    <mergeCell ref="B41:C41"/>
    <mergeCell ref="A26:A31"/>
    <mergeCell ref="B26:B28"/>
    <mergeCell ref="B29:B30"/>
    <mergeCell ref="B31:C31"/>
    <mergeCell ref="B3:B5"/>
    <mergeCell ref="A3:A5"/>
    <mergeCell ref="D3:I3"/>
    <mergeCell ref="J3:O3"/>
    <mergeCell ref="G4:I4"/>
    <mergeCell ref="D4:F4"/>
    <mergeCell ref="J4:L4"/>
    <mergeCell ref="M4:O4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0" pageOrder="overThenDown" orientation="landscape" r:id="rId1"/>
  <rowBreaks count="1" manualBreakCount="1">
    <brk id="57" max="16383" man="1"/>
  </rowBreaks>
  <colBreaks count="1" manualBreakCount="1">
    <brk id="15" max="1048575" man="1"/>
  </colBreaks>
  <ignoredErrors>
    <ignoredError sqref="F48:I48 O19 F15:I16 F19:I20 G18 F17:G17 I17:I18 F24:I31 G21:I21 F39:I44 F32:G32 I32 F54:I56 G53:I53 F90:G90 X15:AA15 U15 AD15:AG15 F33:I35 AD35:AG35 G49:I49" formula="1"/>
  </ignoredErrors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V36"/>
  <sheetViews>
    <sheetView showGridLines="0" zoomScaleNormal="100" workbookViewId="0">
      <pane xSplit="2" ySplit="5" topLeftCell="C6" activePane="bottomRight" state="frozen"/>
      <selection sqref="A1:E1"/>
      <selection pane="topRight" sqref="A1:E1"/>
      <selection pane="bottomLeft" sqref="A1:E1"/>
      <selection pane="bottomRight" activeCell="X10" sqref="X10"/>
    </sheetView>
  </sheetViews>
  <sheetFormatPr baseColWidth="10" defaultRowHeight="15" x14ac:dyDescent="0.25"/>
  <cols>
    <col min="1" max="1" width="16" style="1368" customWidth="1"/>
    <col min="2" max="2" width="11.42578125" style="1368"/>
    <col min="3" max="3" width="9.140625" style="1368" customWidth="1"/>
    <col min="4" max="4" width="7.7109375" style="1368" bestFit="1" customWidth="1"/>
    <col min="5" max="5" width="9.140625" style="1368" customWidth="1"/>
    <col min="6" max="6" width="7.7109375" style="1368" bestFit="1" customWidth="1"/>
    <col min="7" max="7" width="9.140625" style="1368" customWidth="1"/>
    <col min="8" max="8" width="7.7109375" style="1368" bestFit="1" customWidth="1"/>
    <col min="9" max="9" width="9.140625" style="1368" customWidth="1"/>
    <col min="10" max="10" width="7.7109375" style="1368" bestFit="1" customWidth="1"/>
    <col min="11" max="11" width="9.140625" style="1368" customWidth="1"/>
    <col min="12" max="12" width="7.7109375" style="1368" bestFit="1" customWidth="1"/>
    <col min="13" max="13" width="9.140625" style="1368" customWidth="1"/>
    <col min="14" max="14" width="7.7109375" style="1368" bestFit="1" customWidth="1"/>
    <col min="15" max="15" width="9.140625" style="1368" customWidth="1"/>
    <col min="16" max="16" width="7.7109375" style="1368" bestFit="1" customWidth="1"/>
    <col min="17" max="17" width="9.140625" style="1368" customWidth="1"/>
    <col min="18" max="18" width="7.7109375" style="1368" bestFit="1" customWidth="1"/>
    <col min="19" max="19" width="9.140625" style="1368" customWidth="1"/>
    <col min="20" max="20" width="7.7109375" style="1368" bestFit="1" customWidth="1"/>
    <col min="21" max="21" width="9.140625" style="1368" bestFit="1" customWidth="1"/>
    <col min="22" max="22" width="7.7109375" style="1368" bestFit="1" customWidth="1"/>
    <col min="23" max="16384" width="11.42578125" style="1368"/>
  </cols>
  <sheetData>
    <row r="1" spans="1:22" ht="18.75" x14ac:dyDescent="0.3">
      <c r="A1" s="1374" t="s">
        <v>579</v>
      </c>
    </row>
    <row r="3" spans="1:22" x14ac:dyDescent="0.25">
      <c r="A3" s="6851" t="s">
        <v>16</v>
      </c>
      <c r="B3" s="6851" t="s">
        <v>4</v>
      </c>
      <c r="C3" s="6971">
        <v>2008</v>
      </c>
      <c r="D3" s="6972"/>
      <c r="E3" s="6971">
        <v>2009</v>
      </c>
      <c r="F3" s="6972"/>
      <c r="G3" s="6971">
        <v>2010</v>
      </c>
      <c r="H3" s="6972"/>
      <c r="I3" s="6971">
        <v>2011</v>
      </c>
      <c r="J3" s="6972"/>
      <c r="K3" s="6971">
        <v>2012</v>
      </c>
      <c r="L3" s="6972"/>
      <c r="M3" s="6971">
        <v>2013</v>
      </c>
      <c r="N3" s="6972"/>
      <c r="O3" s="6971">
        <v>2014</v>
      </c>
      <c r="P3" s="6972"/>
      <c r="Q3" s="6971">
        <v>2015</v>
      </c>
      <c r="R3" s="6972"/>
      <c r="S3" s="6971">
        <v>2016</v>
      </c>
      <c r="T3" s="6972"/>
      <c r="U3" s="6971">
        <v>2017</v>
      </c>
      <c r="V3" s="6972"/>
    </row>
    <row r="4" spans="1:22" x14ac:dyDescent="0.25">
      <c r="A4" s="6832"/>
      <c r="B4" s="6832"/>
      <c r="C4" s="1326" t="s">
        <v>630</v>
      </c>
      <c r="D4" s="1327" t="s">
        <v>631</v>
      </c>
      <c r="E4" s="1326" t="s">
        <v>630</v>
      </c>
      <c r="F4" s="1327" t="s">
        <v>631</v>
      </c>
      <c r="G4" s="1326" t="s">
        <v>630</v>
      </c>
      <c r="H4" s="1327" t="s">
        <v>631</v>
      </c>
      <c r="I4" s="1326" t="s">
        <v>630</v>
      </c>
      <c r="J4" s="1327" t="s">
        <v>631</v>
      </c>
      <c r="K4" s="1326" t="s">
        <v>630</v>
      </c>
      <c r="L4" s="1327" t="s">
        <v>631</v>
      </c>
      <c r="M4" s="1326" t="s">
        <v>630</v>
      </c>
      <c r="N4" s="1327" t="s">
        <v>631</v>
      </c>
      <c r="O4" s="1326" t="s">
        <v>630</v>
      </c>
      <c r="P4" s="1327" t="s">
        <v>631</v>
      </c>
      <c r="Q4" s="1326" t="s">
        <v>630</v>
      </c>
      <c r="R4" s="1327" t="s">
        <v>631</v>
      </c>
      <c r="S4" s="1326" t="s">
        <v>630</v>
      </c>
      <c r="T4" s="1327" t="s">
        <v>631</v>
      </c>
      <c r="U4" s="1326" t="s">
        <v>630</v>
      </c>
      <c r="V4" s="1327" t="s">
        <v>631</v>
      </c>
    </row>
    <row r="5" spans="1:22" ht="14.25" customHeight="1" x14ac:dyDescent="0.25">
      <c r="A5" s="1369"/>
      <c r="B5" s="1369"/>
      <c r="C5" s="1369"/>
      <c r="D5" s="1369"/>
      <c r="E5" s="1369"/>
      <c r="F5" s="1369"/>
      <c r="G5" s="1369"/>
      <c r="H5" s="1369"/>
      <c r="I5" s="1369"/>
      <c r="J5" s="1369"/>
      <c r="K5" s="1369"/>
      <c r="L5" s="1369"/>
      <c r="M5" s="1369"/>
      <c r="N5" s="1369"/>
      <c r="O5" s="1369"/>
      <c r="P5" s="1369"/>
      <c r="Q5" s="1369"/>
      <c r="R5" s="1369"/>
      <c r="S5" s="1369"/>
      <c r="T5" s="1369"/>
      <c r="U5" s="1369"/>
      <c r="V5" s="1369"/>
    </row>
    <row r="6" spans="1:22" x14ac:dyDescent="0.25">
      <c r="A6" s="6828" t="s">
        <v>3</v>
      </c>
      <c r="B6" s="1370" t="s">
        <v>5</v>
      </c>
      <c r="C6" s="1502">
        <f>SUM('9 Posg_plan'!E64:E66)</f>
        <v>1</v>
      </c>
      <c r="D6" s="1503">
        <f>SUM('9 Posg_plan'!D64:D66)</f>
        <v>1</v>
      </c>
      <c r="E6" s="1502">
        <f>SUM('9 Posg_plan'!G64:G66)</f>
        <v>19</v>
      </c>
      <c r="F6" s="1503">
        <f>SUM('9 Posg_plan'!F64:F66)</f>
        <v>11</v>
      </c>
      <c r="G6" s="1502">
        <f>SUM('9 Posg_plan'!I64:I66)</f>
        <v>18</v>
      </c>
      <c r="H6" s="1503">
        <f>SUM('9 Posg_plan'!H64:H66)</f>
        <v>4</v>
      </c>
      <c r="I6" s="1502">
        <f>SUM('9 Posg_plan'!K64:K66)</f>
        <v>0</v>
      </c>
      <c r="J6" s="1503">
        <f>SUM('9 Posg_plan'!J64:J66)</f>
        <v>0</v>
      </c>
      <c r="K6" s="1502">
        <f>SUM('9 Posg_plan'!M64:M66)</f>
        <v>7</v>
      </c>
      <c r="L6" s="1503">
        <f>SUM('9 Posg_plan'!L64:L66)</f>
        <v>7</v>
      </c>
      <c r="M6" s="1502">
        <v>4</v>
      </c>
      <c r="N6" s="1503">
        <v>8</v>
      </c>
      <c r="O6" s="1502"/>
      <c r="P6" s="1503">
        <v>4</v>
      </c>
      <c r="Q6" s="1502">
        <v>6</v>
      </c>
      <c r="R6" s="1503">
        <v>9</v>
      </c>
      <c r="S6" s="1502">
        <f>SUM('9 Posg_plan'!X19)</f>
        <v>9</v>
      </c>
      <c r="T6" s="1503">
        <f>SUM('9 Posg_plan'!AA19)</f>
        <v>9</v>
      </c>
      <c r="U6" s="1502">
        <f>+'9 Posg_plan'!AD19</f>
        <v>8</v>
      </c>
      <c r="V6" s="1503">
        <f>+'9 Posg_plan'!AG19</f>
        <v>8</v>
      </c>
    </row>
    <row r="7" spans="1:22" x14ac:dyDescent="0.25">
      <c r="A7" s="6829"/>
      <c r="B7" s="1371" t="s">
        <v>6</v>
      </c>
      <c r="C7" s="1504">
        <f>SUM('9 Posg_plan'!E68:E71)</f>
        <v>0</v>
      </c>
      <c r="D7" s="1505">
        <f>SUM('9 Posg_plan'!D68:D71)</f>
        <v>0</v>
      </c>
      <c r="E7" s="1504">
        <f>SUM('9 Posg_plan'!G68:G71)</f>
        <v>3</v>
      </c>
      <c r="F7" s="1505">
        <f>SUM('9 Posg_plan'!F68:F71)</f>
        <v>0</v>
      </c>
      <c r="G7" s="1504">
        <f>SUM('9 Posg_plan'!I68:I71)</f>
        <v>0</v>
      </c>
      <c r="H7" s="1505">
        <f>SUM('9 Posg_plan'!H68:H71)</f>
        <v>0</v>
      </c>
      <c r="I7" s="1504">
        <f>SUM('9 Posg_plan'!K68:K71)</f>
        <v>8</v>
      </c>
      <c r="J7" s="1505">
        <f>SUM('9 Posg_plan'!J68:J71)</f>
        <v>8</v>
      </c>
      <c r="K7" s="1504">
        <f>SUM('9 Posg_plan'!M68:M71)</f>
        <v>17</v>
      </c>
      <c r="L7" s="1505">
        <f>SUM('9 Posg_plan'!L68:L71)</f>
        <v>10</v>
      </c>
      <c r="M7" s="1504">
        <v>10</v>
      </c>
      <c r="N7" s="1505">
        <v>27</v>
      </c>
      <c r="O7" s="1504"/>
      <c r="P7" s="1505">
        <v>10</v>
      </c>
      <c r="Q7" s="1504">
        <v>47</v>
      </c>
      <c r="R7" s="1505">
        <v>47</v>
      </c>
      <c r="S7" s="1504"/>
      <c r="T7" s="1505"/>
      <c r="U7" s="1504">
        <f>+'9 Posg_plan'!AD24</f>
        <v>40</v>
      </c>
      <c r="V7" s="1505">
        <f>+'9 Posg_plan'!AG24</f>
        <v>34</v>
      </c>
    </row>
    <row r="8" spans="1:22" x14ac:dyDescent="0.25">
      <c r="A8" s="6829"/>
      <c r="B8" s="1371" t="s">
        <v>7</v>
      </c>
      <c r="C8" s="1504">
        <f>SUM('9 Posg_plan'!E61:E62)</f>
        <v>2</v>
      </c>
      <c r="D8" s="1505">
        <f>SUM('9 Posg_plan'!D61:D62)</f>
        <v>2</v>
      </c>
      <c r="E8" s="1504">
        <f>SUM('9 Posg_plan'!G61:G62)</f>
        <v>2</v>
      </c>
      <c r="F8" s="1505">
        <f>SUM('9 Posg_plan'!F61:F62)</f>
        <v>0</v>
      </c>
      <c r="G8" s="1504">
        <f>SUM('9 Posg_plan'!I61:I62)</f>
        <v>0</v>
      </c>
      <c r="H8" s="1505">
        <f>SUM('9 Posg_plan'!H61:H62)</f>
        <v>0</v>
      </c>
      <c r="I8" s="1504">
        <f>SUM('9 Posg_plan'!K61:K62)</f>
        <v>0</v>
      </c>
      <c r="J8" s="1505">
        <f>SUM('9 Posg_plan'!J61:J62)</f>
        <v>0</v>
      </c>
      <c r="K8" s="1504">
        <f>SUM('9 Posg_plan'!M61:M62)</f>
        <v>2</v>
      </c>
      <c r="L8" s="1505">
        <f>SUM('9 Posg_plan'!L61:L62)</f>
        <v>2</v>
      </c>
      <c r="M8" s="1504">
        <v>13</v>
      </c>
      <c r="N8" s="1505">
        <v>15</v>
      </c>
      <c r="O8" s="1504">
        <v>1</v>
      </c>
      <c r="P8" s="1505">
        <v>16</v>
      </c>
      <c r="Q8" s="1504"/>
      <c r="R8" s="1505"/>
      <c r="S8" s="1504">
        <f>SUM('9 Posg_plan'!X15)</f>
        <v>58</v>
      </c>
      <c r="T8" s="1505">
        <f>SUM('9 Posg_plan'!AA15)</f>
        <v>58</v>
      </c>
      <c r="U8" s="1504">
        <f>+'9 Posg_plan'!AD15</f>
        <v>67</v>
      </c>
      <c r="V8" s="1505">
        <f>+'9 Posg_plan'!AG15</f>
        <v>67</v>
      </c>
    </row>
    <row r="9" spans="1:22" x14ac:dyDescent="0.25">
      <c r="A9" s="6830"/>
      <c r="B9" s="2467" t="s">
        <v>160</v>
      </c>
      <c r="C9" s="2468">
        <f t="shared" ref="C9:H9" si="0">SUM(C6:C8)</f>
        <v>3</v>
      </c>
      <c r="D9" s="2776">
        <f t="shared" si="0"/>
        <v>3</v>
      </c>
      <c r="E9" s="2468">
        <f t="shared" si="0"/>
        <v>24</v>
      </c>
      <c r="F9" s="2469">
        <f t="shared" si="0"/>
        <v>11</v>
      </c>
      <c r="G9" s="2468">
        <f t="shared" si="0"/>
        <v>18</v>
      </c>
      <c r="H9" s="2469">
        <f t="shared" si="0"/>
        <v>4</v>
      </c>
      <c r="I9" s="2468">
        <f t="shared" ref="I9:N9" si="1">SUM(I6:I8)</f>
        <v>8</v>
      </c>
      <c r="J9" s="2469">
        <f t="shared" si="1"/>
        <v>8</v>
      </c>
      <c r="K9" s="2468">
        <f t="shared" si="1"/>
        <v>26</v>
      </c>
      <c r="L9" s="2469">
        <f t="shared" si="1"/>
        <v>19</v>
      </c>
      <c r="M9" s="2468">
        <f t="shared" si="1"/>
        <v>27</v>
      </c>
      <c r="N9" s="2469">
        <f t="shared" si="1"/>
        <v>50</v>
      </c>
      <c r="O9" s="2468">
        <f t="shared" ref="O9:T9" si="2">SUM(O6:O8)</f>
        <v>1</v>
      </c>
      <c r="P9" s="2469">
        <f t="shared" si="2"/>
        <v>30</v>
      </c>
      <c r="Q9" s="2468">
        <f t="shared" si="2"/>
        <v>53</v>
      </c>
      <c r="R9" s="2469">
        <f t="shared" si="2"/>
        <v>56</v>
      </c>
      <c r="S9" s="2468">
        <f t="shared" si="2"/>
        <v>67</v>
      </c>
      <c r="T9" s="2469">
        <f t="shared" si="2"/>
        <v>67</v>
      </c>
      <c r="U9" s="2468">
        <f t="shared" ref="U9:V9" si="3">SUM(U6:U8)</f>
        <v>115</v>
      </c>
      <c r="V9" s="2469">
        <f t="shared" si="3"/>
        <v>109</v>
      </c>
    </row>
    <row r="10" spans="1:22" x14ac:dyDescent="0.25">
      <c r="A10" s="1372"/>
      <c r="B10" s="1372"/>
      <c r="C10" s="1372"/>
      <c r="D10" s="1372"/>
      <c r="E10" s="1372"/>
      <c r="F10" s="1372"/>
      <c r="G10" s="1372"/>
      <c r="H10" s="1372"/>
      <c r="I10" s="1372"/>
      <c r="J10" s="1372"/>
      <c r="K10" s="1372"/>
      <c r="L10" s="1372"/>
      <c r="M10" s="1372"/>
      <c r="N10" s="1372"/>
      <c r="O10" s="1372"/>
      <c r="P10" s="1372"/>
      <c r="Q10" s="1372"/>
      <c r="R10" s="1372"/>
      <c r="S10" s="1372"/>
      <c r="T10" s="1372"/>
      <c r="U10" s="1372"/>
      <c r="V10" s="1372"/>
    </row>
    <row r="11" spans="1:22" x14ac:dyDescent="0.25">
      <c r="A11" s="6813" t="s">
        <v>8</v>
      </c>
      <c r="B11" s="1370" t="s">
        <v>6</v>
      </c>
      <c r="C11" s="1502"/>
      <c r="D11" s="2774"/>
      <c r="E11" s="1502"/>
      <c r="F11" s="1503"/>
      <c r="G11" s="1502"/>
      <c r="H11" s="1503"/>
      <c r="I11" s="1502">
        <f>SUM('9 Posg_plan'!K79:K80)</f>
        <v>28</v>
      </c>
      <c r="J11" s="1503">
        <f>SUM('9 Posg_plan'!J79:J80)</f>
        <v>28</v>
      </c>
      <c r="K11" s="1502">
        <f>SUM('9 Posg_plan'!M79:M80)</f>
        <v>44</v>
      </c>
      <c r="L11" s="1503">
        <f>SUM('9 Posg_plan'!L79:L80)</f>
        <v>18</v>
      </c>
      <c r="M11" s="1502"/>
      <c r="N11" s="1503"/>
      <c r="O11" s="1502"/>
      <c r="P11" s="1503"/>
      <c r="Q11" s="1502"/>
      <c r="R11" s="1503"/>
      <c r="S11" s="1502"/>
      <c r="T11" s="1503"/>
      <c r="U11" s="1502"/>
      <c r="V11" s="1503"/>
    </row>
    <row r="12" spans="1:22" x14ac:dyDescent="0.25">
      <c r="A12" s="6814"/>
      <c r="B12" s="1371" t="s">
        <v>9</v>
      </c>
      <c r="C12" s="1504"/>
      <c r="D12" s="2775"/>
      <c r="E12" s="1504"/>
      <c r="F12" s="1505"/>
      <c r="G12" s="1504"/>
      <c r="H12" s="1505"/>
      <c r="I12" s="1504">
        <f>SUM('9 Posg_plan'!K77)</f>
        <v>0</v>
      </c>
      <c r="J12" s="1505">
        <f>SUM('9 Posg_plan'!J77)</f>
        <v>0</v>
      </c>
      <c r="K12" s="1504">
        <f>SUM('9 Posg_plan'!M77)</f>
        <v>12</v>
      </c>
      <c r="L12" s="1505">
        <f>SUM('9 Posg_plan'!L77)</f>
        <v>12</v>
      </c>
      <c r="M12" s="1504">
        <v>11</v>
      </c>
      <c r="N12" s="1505">
        <v>22</v>
      </c>
      <c r="O12" s="1504"/>
      <c r="P12" s="1505"/>
      <c r="Q12" s="1504"/>
      <c r="R12" s="1505"/>
      <c r="S12" s="1504"/>
      <c r="T12" s="1505"/>
      <c r="U12" s="1504"/>
      <c r="V12" s="1505"/>
    </row>
    <row r="13" spans="1:22" x14ac:dyDescent="0.25">
      <c r="A13" s="6814"/>
      <c r="B13" s="1371" t="s">
        <v>74</v>
      </c>
      <c r="C13" s="1504"/>
      <c r="D13" s="2775"/>
      <c r="E13" s="1504"/>
      <c r="F13" s="1505"/>
      <c r="G13" s="1504"/>
      <c r="H13" s="1505"/>
      <c r="I13" s="1504">
        <f>SUM('9 Posg_plan'!K74:K75)</f>
        <v>0</v>
      </c>
      <c r="J13" s="1505">
        <f>SUM('9 Posg_plan'!J74:J75)</f>
        <v>0</v>
      </c>
      <c r="K13" s="1504">
        <f>SUM('9 Posg_plan'!M74:M75)</f>
        <v>14</v>
      </c>
      <c r="L13" s="1505">
        <f>SUM('9 Posg_plan'!L74:L75)</f>
        <v>15</v>
      </c>
      <c r="M13" s="1504">
        <v>20</v>
      </c>
      <c r="N13" s="1505">
        <v>34</v>
      </c>
      <c r="O13" s="1504"/>
      <c r="P13" s="1505"/>
      <c r="Q13" s="1504"/>
      <c r="R13" s="1505"/>
      <c r="S13" s="1504"/>
      <c r="T13" s="1505"/>
      <c r="U13" s="1504"/>
      <c r="V13" s="1505"/>
    </row>
    <row r="14" spans="1:22" x14ac:dyDescent="0.25">
      <c r="A14" s="6815"/>
      <c r="B14" s="2464" t="s">
        <v>160</v>
      </c>
      <c r="C14" s="2465"/>
      <c r="D14" s="2777"/>
      <c r="E14" s="2465"/>
      <c r="F14" s="2466"/>
      <c r="G14" s="2465"/>
      <c r="H14" s="2466"/>
      <c r="I14" s="2465">
        <f t="shared" ref="I14:N14" si="4">SUM(I11:I13)</f>
        <v>28</v>
      </c>
      <c r="J14" s="2466">
        <f t="shared" si="4"/>
        <v>28</v>
      </c>
      <c r="K14" s="2465">
        <f t="shared" si="4"/>
        <v>70</v>
      </c>
      <c r="L14" s="2466">
        <f t="shared" si="4"/>
        <v>45</v>
      </c>
      <c r="M14" s="2465">
        <f t="shared" si="4"/>
        <v>31</v>
      </c>
      <c r="N14" s="2466">
        <f t="shared" si="4"/>
        <v>56</v>
      </c>
      <c r="O14" s="2465">
        <f t="shared" ref="O14:T14" si="5">SUM(O11:O13)</f>
        <v>0</v>
      </c>
      <c r="P14" s="2466">
        <f t="shared" si="5"/>
        <v>0</v>
      </c>
      <c r="Q14" s="2465">
        <f t="shared" si="5"/>
        <v>0</v>
      </c>
      <c r="R14" s="2466">
        <f t="shared" si="5"/>
        <v>0</v>
      </c>
      <c r="S14" s="2465">
        <f t="shared" si="5"/>
        <v>0</v>
      </c>
      <c r="T14" s="2466">
        <f t="shared" si="5"/>
        <v>0</v>
      </c>
      <c r="U14" s="2465">
        <f t="shared" ref="U14:V14" si="6">SUM(U11:U13)</f>
        <v>0</v>
      </c>
      <c r="V14" s="2466">
        <f t="shared" si="6"/>
        <v>0</v>
      </c>
    </row>
    <row r="15" spans="1:22" x14ac:dyDescent="0.25">
      <c r="A15" s="1369"/>
      <c r="B15" s="1369"/>
      <c r="C15" s="1506"/>
      <c r="D15" s="1506"/>
      <c r="E15" s="1506"/>
      <c r="F15" s="1506"/>
      <c r="G15" s="1506"/>
      <c r="H15" s="1506"/>
      <c r="I15" s="1506"/>
      <c r="J15" s="1506"/>
      <c r="K15" s="1506"/>
      <c r="L15" s="1506"/>
      <c r="M15" s="1506"/>
      <c r="N15" s="1506"/>
      <c r="O15" s="1506"/>
      <c r="P15" s="1506"/>
      <c r="Q15" s="1506"/>
      <c r="R15" s="1506"/>
      <c r="S15" s="1506"/>
      <c r="T15" s="1506"/>
      <c r="U15" s="1506"/>
      <c r="V15" s="1506"/>
    </row>
    <row r="16" spans="1:22" x14ac:dyDescent="0.25">
      <c r="A16" s="6816" t="s">
        <v>75</v>
      </c>
      <c r="B16" s="1370" t="s">
        <v>5</v>
      </c>
      <c r="C16" s="1502"/>
      <c r="D16" s="2774"/>
      <c r="E16" s="1502"/>
      <c r="F16" s="1503"/>
      <c r="G16" s="1502"/>
      <c r="H16" s="1503"/>
      <c r="I16" s="1502">
        <f>SUM('9 Posg_plan'!K83)</f>
        <v>6</v>
      </c>
      <c r="J16" s="1503">
        <f>SUM('9 Posg_plan'!J83)</f>
        <v>6</v>
      </c>
      <c r="K16" s="1502">
        <f>SUM('9 Posg_plan'!M83)</f>
        <v>0</v>
      </c>
      <c r="L16" s="1503">
        <f>SUM('9 Posg_plan'!L83)</f>
        <v>0</v>
      </c>
      <c r="M16" s="1502">
        <v>12</v>
      </c>
      <c r="N16" s="1503">
        <v>12</v>
      </c>
      <c r="O16" s="1502">
        <v>9</v>
      </c>
      <c r="P16" s="1503">
        <v>16</v>
      </c>
      <c r="Q16" s="1502">
        <v>12</v>
      </c>
      <c r="R16" s="1503">
        <v>28</v>
      </c>
      <c r="S16" s="1502">
        <f>SUM('9 Posg_plan'!X35)</f>
        <v>35</v>
      </c>
      <c r="T16" s="1503">
        <f>SUM('9 Posg_plan'!AA35)</f>
        <v>35</v>
      </c>
      <c r="U16" s="1502">
        <f>+'9 Posg_plan'!AD35</f>
        <v>35</v>
      </c>
      <c r="V16" s="1503">
        <f>+'9 Posg_plan'!AG35</f>
        <v>35</v>
      </c>
    </row>
    <row r="17" spans="1:22" x14ac:dyDescent="0.25">
      <c r="A17" s="6817"/>
      <c r="B17" s="1371" t="s">
        <v>6</v>
      </c>
      <c r="C17" s="1504"/>
      <c r="D17" s="2775"/>
      <c r="E17" s="1504"/>
      <c r="F17" s="1505"/>
      <c r="G17" s="1504"/>
      <c r="H17" s="1505"/>
      <c r="I17" s="1504"/>
      <c r="J17" s="1505"/>
      <c r="K17" s="1504"/>
      <c r="L17" s="1505"/>
      <c r="M17" s="1504"/>
      <c r="N17" s="1505"/>
      <c r="O17" s="1504"/>
      <c r="P17" s="1505"/>
      <c r="Q17" s="1504"/>
      <c r="R17" s="1505"/>
      <c r="S17" s="1504"/>
      <c r="T17" s="1505"/>
      <c r="U17" s="1504">
        <f>+'9 Posg_plan'!AD38</f>
        <v>20</v>
      </c>
      <c r="V17" s="1505">
        <f>+'9 Posg_plan'!AG38</f>
        <v>18</v>
      </c>
    </row>
    <row r="18" spans="1:22" x14ac:dyDescent="0.25">
      <c r="A18" s="6817"/>
      <c r="B18" s="1371" t="s">
        <v>11</v>
      </c>
      <c r="C18" s="1504"/>
      <c r="D18" s="2775"/>
      <c r="E18" s="1504"/>
      <c r="F18" s="1505"/>
      <c r="G18" s="1504"/>
      <c r="H18" s="1505"/>
      <c r="I18" s="1504">
        <f>SUM('9 Posg_plan'!K85)</f>
        <v>6</v>
      </c>
      <c r="J18" s="1505">
        <f>SUM('9 Posg_plan'!J85)</f>
        <v>6</v>
      </c>
      <c r="K18" s="1504">
        <f>SUM('9 Posg_plan'!M85)</f>
        <v>16</v>
      </c>
      <c r="L18" s="1505">
        <f>SUM('9 Posg_plan'!L85)</f>
        <v>16</v>
      </c>
      <c r="M18" s="1504">
        <v>10</v>
      </c>
      <c r="N18" s="1505">
        <v>26</v>
      </c>
      <c r="O18" s="1504"/>
      <c r="P18" s="1505"/>
      <c r="Q18" s="1504"/>
      <c r="R18" s="1505"/>
      <c r="S18" s="1504"/>
      <c r="T18" s="1505"/>
      <c r="U18" s="1504"/>
      <c r="V18" s="1505"/>
    </row>
    <row r="19" spans="1:22" x14ac:dyDescent="0.25">
      <c r="A19" s="6818"/>
      <c r="B19" s="2461" t="s">
        <v>160</v>
      </c>
      <c r="C19" s="2462"/>
      <c r="D19" s="2778"/>
      <c r="E19" s="2462"/>
      <c r="F19" s="2463"/>
      <c r="G19" s="2462"/>
      <c r="H19" s="2463"/>
      <c r="I19" s="2462">
        <f t="shared" ref="I19:N19" si="7">SUM(I16:I18)</f>
        <v>12</v>
      </c>
      <c r="J19" s="2463">
        <f t="shared" si="7"/>
        <v>12</v>
      </c>
      <c r="K19" s="2462">
        <f t="shared" si="7"/>
        <v>16</v>
      </c>
      <c r="L19" s="2463">
        <f t="shared" si="7"/>
        <v>16</v>
      </c>
      <c r="M19" s="2462">
        <f t="shared" si="7"/>
        <v>22</v>
      </c>
      <c r="N19" s="2463">
        <f t="shared" si="7"/>
        <v>38</v>
      </c>
      <c r="O19" s="2462">
        <f t="shared" ref="O19:T19" si="8">SUM(O16:O18)</f>
        <v>9</v>
      </c>
      <c r="P19" s="2463">
        <f t="shared" si="8"/>
        <v>16</v>
      </c>
      <c r="Q19" s="2462">
        <f t="shared" si="8"/>
        <v>12</v>
      </c>
      <c r="R19" s="2463">
        <f t="shared" si="8"/>
        <v>28</v>
      </c>
      <c r="S19" s="2462">
        <f t="shared" si="8"/>
        <v>35</v>
      </c>
      <c r="T19" s="2463">
        <f t="shared" si="8"/>
        <v>35</v>
      </c>
      <c r="U19" s="2462">
        <f t="shared" ref="U19:V19" si="9">SUM(U16:U18)</f>
        <v>55</v>
      </c>
      <c r="V19" s="2463">
        <f t="shared" si="9"/>
        <v>53</v>
      </c>
    </row>
    <row r="20" spans="1:22" x14ac:dyDescent="0.25">
      <c r="A20" s="1501"/>
      <c r="B20" s="1369"/>
      <c r="C20" s="1506"/>
      <c r="D20" s="1506"/>
      <c r="E20" s="1506"/>
      <c r="F20" s="1506"/>
      <c r="G20" s="1506"/>
      <c r="H20" s="1506"/>
      <c r="I20" s="1506"/>
      <c r="J20" s="1506"/>
      <c r="K20" s="1506"/>
      <c r="L20" s="1506"/>
      <c r="M20" s="1506"/>
      <c r="N20" s="1506"/>
      <c r="O20" s="1506"/>
      <c r="P20" s="1506"/>
      <c r="Q20" s="1506"/>
      <c r="R20" s="1506"/>
      <c r="S20" s="1506"/>
      <c r="T20" s="1506"/>
      <c r="U20" s="1506"/>
      <c r="V20" s="1506"/>
    </row>
    <row r="21" spans="1:22" x14ac:dyDescent="0.25">
      <c r="A21" s="6819" t="s">
        <v>10</v>
      </c>
      <c r="B21" s="1370" t="s">
        <v>6</v>
      </c>
      <c r="C21" s="1502">
        <f>SUM('9 Posg_plan'!E91:E94)</f>
        <v>2</v>
      </c>
      <c r="D21" s="1503">
        <f>SUM('9 Posg_plan'!D91:D94)</f>
        <v>2</v>
      </c>
      <c r="E21" s="1502">
        <f>SUM('9 Posg_plan'!G91:G94)</f>
        <v>14</v>
      </c>
      <c r="F21" s="1503">
        <f>SUM('9 Posg_plan'!F91:F94)</f>
        <v>1</v>
      </c>
      <c r="G21" s="1502">
        <f>SUM('9 Posg_plan'!I91:I94)</f>
        <v>11</v>
      </c>
      <c r="H21" s="1503">
        <f>SUM('9 Posg_plan'!H91:H94)</f>
        <v>0</v>
      </c>
      <c r="I21" s="1502">
        <f>SUM('9 Posg_plan'!K91:K94)</f>
        <v>15</v>
      </c>
      <c r="J21" s="1503">
        <f>SUM('9 Posg_plan'!J91:J94)</f>
        <v>15</v>
      </c>
      <c r="K21" s="1502">
        <f>SUM('9 Posg_plan'!M91:M94)</f>
        <v>49</v>
      </c>
      <c r="L21" s="1503">
        <f>SUM('9 Posg_plan'!L91:L94)</f>
        <v>35</v>
      </c>
      <c r="M21" s="1502"/>
      <c r="N21" s="1503">
        <v>19</v>
      </c>
      <c r="O21" s="1502">
        <v>8</v>
      </c>
      <c r="P21" s="1503">
        <v>31</v>
      </c>
      <c r="Q21" s="1502">
        <v>8</v>
      </c>
      <c r="R21" s="1503">
        <v>27</v>
      </c>
      <c r="S21" s="1502"/>
      <c r="T21" s="1503"/>
      <c r="U21" s="1502">
        <f>+'9 Posg_plan'!AD53</f>
        <v>33</v>
      </c>
      <c r="V21" s="1503">
        <f>+'9 Posg_plan'!AG53</f>
        <v>31</v>
      </c>
    </row>
    <row r="22" spans="1:22" x14ac:dyDescent="0.25">
      <c r="A22" s="6820"/>
      <c r="B22" s="1371" t="s">
        <v>11</v>
      </c>
      <c r="C22" s="1504">
        <f>SUM('9 Posg_plan'!E96:E98)</f>
        <v>6</v>
      </c>
      <c r="D22" s="1505">
        <f>SUM('9 Posg_plan'!D96:D98)</f>
        <v>6</v>
      </c>
      <c r="E22" s="1504">
        <f>SUM('9 Posg_plan'!G96:G98)</f>
        <v>1</v>
      </c>
      <c r="F22" s="1505">
        <f>SUM('9 Posg_plan'!F96:F98)</f>
        <v>0</v>
      </c>
      <c r="G22" s="1504">
        <f>SUM('9 Posg_plan'!I96:I98)</f>
        <v>6</v>
      </c>
      <c r="H22" s="1505">
        <f>SUM('9 Posg_plan'!H96:H98)</f>
        <v>6</v>
      </c>
      <c r="I22" s="1504">
        <f>SUM('9 Posg_plan'!K96:K98)</f>
        <v>0</v>
      </c>
      <c r="J22" s="1505">
        <f>SUM('9 Posg_plan'!J96:J98)</f>
        <v>0</v>
      </c>
      <c r="K22" s="1504">
        <f>SUM('9 Posg_plan'!M96:M98)</f>
        <v>0</v>
      </c>
      <c r="L22" s="1505">
        <f>SUM('9 Posg_plan'!L96:L98)</f>
        <v>0</v>
      </c>
      <c r="M22" s="1504">
        <v>7</v>
      </c>
      <c r="N22" s="1505">
        <v>7</v>
      </c>
      <c r="O22" s="1504">
        <v>17</v>
      </c>
      <c r="P22" s="1505">
        <v>16</v>
      </c>
      <c r="Q22" s="1504">
        <v>23</v>
      </c>
      <c r="R22" s="1505">
        <v>32</v>
      </c>
      <c r="S22" s="1504">
        <f>SUM('9 Posg_plan'!X48)</f>
        <v>30</v>
      </c>
      <c r="T22" s="1505">
        <f>SUM('9 Posg_plan'!AA48)</f>
        <v>30</v>
      </c>
      <c r="U22" s="1504">
        <f>+'9 Posg_plan'!AD48</f>
        <v>33</v>
      </c>
      <c r="V22" s="1505">
        <f>+'9 Posg_plan'!AG48</f>
        <v>32</v>
      </c>
    </row>
    <row r="23" spans="1:22" x14ac:dyDescent="0.25">
      <c r="A23" s="6820"/>
      <c r="B23" s="1371" t="s">
        <v>7</v>
      </c>
      <c r="C23" s="1504">
        <f>SUM('9 Posg_plan'!E88:E89)</f>
        <v>0</v>
      </c>
      <c r="D23" s="1505">
        <f>SUM('9 Posg_plan'!D88:D89)</f>
        <v>0</v>
      </c>
      <c r="E23" s="1504">
        <f>SUM('9 Posg_plan'!G88:G89)</f>
        <v>12</v>
      </c>
      <c r="F23" s="1505">
        <f>SUM('9 Posg_plan'!F88:F89)</f>
        <v>12</v>
      </c>
      <c r="G23" s="1504">
        <f>SUM('9 Posg_plan'!I88:I89)</f>
        <v>20</v>
      </c>
      <c r="H23" s="1505">
        <f>SUM('9 Posg_plan'!H88:H89)</f>
        <v>9</v>
      </c>
      <c r="I23" s="1504">
        <f>SUM('9 Posg_plan'!K88:K89)</f>
        <v>15</v>
      </c>
      <c r="J23" s="1505">
        <f>SUM('9 Posg_plan'!J88:J89)</f>
        <v>7</v>
      </c>
      <c r="K23" s="1504">
        <f>SUM('9 Posg_plan'!M88:M89)</f>
        <v>24</v>
      </c>
      <c r="L23" s="1505">
        <f>SUM('9 Posg_plan'!L88:L89)</f>
        <v>10</v>
      </c>
      <c r="M23" s="1504">
        <v>7</v>
      </c>
      <c r="N23" s="1505">
        <v>29</v>
      </c>
      <c r="O23" s="1504"/>
      <c r="P23" s="1505"/>
      <c r="Q23" s="1504"/>
      <c r="R23" s="1505"/>
      <c r="S23" s="1504">
        <f>SUM('9 Posg_plan'!X43)</f>
        <v>31</v>
      </c>
      <c r="T23" s="1505">
        <f>SUM('9 Posg_plan'!AA43)</f>
        <v>31</v>
      </c>
      <c r="U23" s="1504">
        <f>+'9 Posg_plan'!AD43</f>
        <v>0</v>
      </c>
      <c r="V23" s="1505">
        <f>+'9 Posg_plan'!AG43</f>
        <v>0</v>
      </c>
    </row>
    <row r="24" spans="1:22" x14ac:dyDescent="0.25">
      <c r="A24" s="6821"/>
      <c r="B24" s="2458" t="s">
        <v>160</v>
      </c>
      <c r="C24" s="2459">
        <f t="shared" ref="C24:H24" si="10">SUM(C21:C23)</f>
        <v>8</v>
      </c>
      <c r="D24" s="2779">
        <f t="shared" si="10"/>
        <v>8</v>
      </c>
      <c r="E24" s="2459">
        <f t="shared" si="10"/>
        <v>27</v>
      </c>
      <c r="F24" s="2460">
        <f t="shared" si="10"/>
        <v>13</v>
      </c>
      <c r="G24" s="2459">
        <f t="shared" si="10"/>
        <v>37</v>
      </c>
      <c r="H24" s="2460">
        <f t="shared" si="10"/>
        <v>15</v>
      </c>
      <c r="I24" s="2459">
        <f t="shared" ref="I24:N24" si="11">SUM(I21:I23)</f>
        <v>30</v>
      </c>
      <c r="J24" s="2460">
        <f t="shared" si="11"/>
        <v>22</v>
      </c>
      <c r="K24" s="2459">
        <f t="shared" si="11"/>
        <v>73</v>
      </c>
      <c r="L24" s="2460">
        <f t="shared" si="11"/>
        <v>45</v>
      </c>
      <c r="M24" s="2459">
        <f t="shared" si="11"/>
        <v>14</v>
      </c>
      <c r="N24" s="2460">
        <f t="shared" si="11"/>
        <v>55</v>
      </c>
      <c r="O24" s="2459">
        <f t="shared" ref="O24:T24" si="12">SUM(O21:O23)</f>
        <v>25</v>
      </c>
      <c r="P24" s="2460">
        <f t="shared" si="12"/>
        <v>47</v>
      </c>
      <c r="Q24" s="2459">
        <f t="shared" si="12"/>
        <v>31</v>
      </c>
      <c r="R24" s="2460">
        <f t="shared" si="12"/>
        <v>59</v>
      </c>
      <c r="S24" s="2459">
        <f t="shared" si="12"/>
        <v>61</v>
      </c>
      <c r="T24" s="2460">
        <f t="shared" si="12"/>
        <v>61</v>
      </c>
      <c r="U24" s="2459">
        <f t="shared" ref="U24:V24" si="13">SUM(U21:U23)</f>
        <v>66</v>
      </c>
      <c r="V24" s="2460">
        <f t="shared" si="13"/>
        <v>63</v>
      </c>
    </row>
    <row r="25" spans="1:22" x14ac:dyDescent="0.25">
      <c r="A25" s="1369"/>
      <c r="B25" s="1369"/>
      <c r="C25" s="1506"/>
      <c r="D25" s="1506"/>
      <c r="E25" s="1506"/>
      <c r="F25" s="1506"/>
      <c r="G25" s="1506"/>
      <c r="H25" s="1506"/>
      <c r="I25" s="1506"/>
      <c r="J25" s="1506"/>
      <c r="K25" s="1506"/>
      <c r="L25" s="1506"/>
      <c r="M25" s="1506"/>
      <c r="N25" s="1506"/>
      <c r="O25" s="1506"/>
      <c r="P25" s="1506"/>
      <c r="Q25" s="1506"/>
      <c r="R25" s="1506"/>
      <c r="S25" s="1506"/>
      <c r="T25" s="1506"/>
      <c r="U25" s="1506"/>
      <c r="V25" s="1506"/>
    </row>
    <row r="26" spans="1:22" x14ac:dyDescent="0.25">
      <c r="A26" s="6822" t="s">
        <v>60</v>
      </c>
      <c r="B26" s="1370" t="s">
        <v>5</v>
      </c>
      <c r="C26" s="1502">
        <f t="shared" ref="C26:H26" si="14">SUM(C6,C16)</f>
        <v>1</v>
      </c>
      <c r="D26" s="2774">
        <f t="shared" si="14"/>
        <v>1</v>
      </c>
      <c r="E26" s="1502">
        <f t="shared" si="14"/>
        <v>19</v>
      </c>
      <c r="F26" s="1503">
        <f t="shared" si="14"/>
        <v>11</v>
      </c>
      <c r="G26" s="1502">
        <f t="shared" si="14"/>
        <v>18</v>
      </c>
      <c r="H26" s="1503">
        <f t="shared" si="14"/>
        <v>4</v>
      </c>
      <c r="I26" s="1502">
        <f t="shared" ref="I26:N26" si="15">SUM(I6,I16)</f>
        <v>6</v>
      </c>
      <c r="J26" s="1503">
        <f t="shared" si="15"/>
        <v>6</v>
      </c>
      <c r="K26" s="1502">
        <f t="shared" si="15"/>
        <v>7</v>
      </c>
      <c r="L26" s="1503">
        <f t="shared" si="15"/>
        <v>7</v>
      </c>
      <c r="M26" s="1502">
        <f t="shared" si="15"/>
        <v>16</v>
      </c>
      <c r="N26" s="1503">
        <f t="shared" si="15"/>
        <v>20</v>
      </c>
      <c r="O26" s="1502">
        <f t="shared" ref="O26:T26" si="16">SUM(O6,O16)</f>
        <v>9</v>
      </c>
      <c r="P26" s="1503">
        <f t="shared" si="16"/>
        <v>20</v>
      </c>
      <c r="Q26" s="1502">
        <f t="shared" si="16"/>
        <v>18</v>
      </c>
      <c r="R26" s="1503">
        <f t="shared" si="16"/>
        <v>37</v>
      </c>
      <c r="S26" s="1502">
        <f t="shared" si="16"/>
        <v>44</v>
      </c>
      <c r="T26" s="1503">
        <f t="shared" si="16"/>
        <v>44</v>
      </c>
      <c r="U26" s="1502">
        <f t="shared" ref="U26:V26" si="17">SUM(U6,U16)</f>
        <v>43</v>
      </c>
      <c r="V26" s="1503">
        <f t="shared" si="17"/>
        <v>43</v>
      </c>
    </row>
    <row r="27" spans="1:22" x14ac:dyDescent="0.25">
      <c r="A27" s="6823"/>
      <c r="B27" s="1371" t="s">
        <v>6</v>
      </c>
      <c r="C27" s="1504">
        <f>SUM(C7,C17,C21,C11)</f>
        <v>2</v>
      </c>
      <c r="D27" s="2775">
        <f>SUM(D7,D17,D21,D11)</f>
        <v>2</v>
      </c>
      <c r="E27" s="1504">
        <f t="shared" ref="E27:K27" si="18">SUM(E7,E17,E21,E11)</f>
        <v>17</v>
      </c>
      <c r="F27" s="1505">
        <f t="shared" si="18"/>
        <v>1</v>
      </c>
      <c r="G27" s="1504">
        <f t="shared" si="18"/>
        <v>11</v>
      </c>
      <c r="H27" s="1505">
        <f t="shared" si="18"/>
        <v>0</v>
      </c>
      <c r="I27" s="1504">
        <f t="shared" si="18"/>
        <v>51</v>
      </c>
      <c r="J27" s="1505">
        <f t="shared" si="18"/>
        <v>51</v>
      </c>
      <c r="K27" s="1504">
        <f t="shared" si="18"/>
        <v>110</v>
      </c>
      <c r="L27" s="1505">
        <f>SUM(L7,L11,L17,L21)</f>
        <v>63</v>
      </c>
      <c r="M27" s="1504">
        <f>SUM(M7,M17,M21,M11)</f>
        <v>10</v>
      </c>
      <c r="N27" s="1505">
        <f>SUM(N7,N11,N17,N21)</f>
        <v>46</v>
      </c>
      <c r="O27" s="1504">
        <f>SUM(O7,O17,O21,O11)</f>
        <v>8</v>
      </c>
      <c r="P27" s="1505">
        <f>SUM(P7,P11,P17,P21)</f>
        <v>41</v>
      </c>
      <c r="Q27" s="1504">
        <f>SUM(Q7,Q17,Q21,Q11)</f>
        <v>55</v>
      </c>
      <c r="R27" s="1505">
        <f>SUM(R7,R11,R17,R21)</f>
        <v>74</v>
      </c>
      <c r="S27" s="1504">
        <f>SUM(S7,S17,S21,S11)</f>
        <v>0</v>
      </c>
      <c r="T27" s="1505">
        <f>SUM(T7,T11,T17,T21)</f>
        <v>0</v>
      </c>
      <c r="U27" s="1504">
        <f>SUM(U7,U17,U21,U11)</f>
        <v>93</v>
      </c>
      <c r="V27" s="1505">
        <f>SUM(V7,V11,V17,V21)</f>
        <v>83</v>
      </c>
    </row>
    <row r="28" spans="1:22" x14ac:dyDescent="0.25">
      <c r="A28" s="6823"/>
      <c r="B28" s="1371" t="s">
        <v>11</v>
      </c>
      <c r="C28" s="1504">
        <f t="shared" ref="C28:H28" si="19">SUM(C18,C22)</f>
        <v>6</v>
      </c>
      <c r="D28" s="2775">
        <f t="shared" si="19"/>
        <v>6</v>
      </c>
      <c r="E28" s="1504">
        <f t="shared" si="19"/>
        <v>1</v>
      </c>
      <c r="F28" s="1505">
        <f t="shared" si="19"/>
        <v>0</v>
      </c>
      <c r="G28" s="1504">
        <f t="shared" si="19"/>
        <v>6</v>
      </c>
      <c r="H28" s="1505">
        <f t="shared" si="19"/>
        <v>6</v>
      </c>
      <c r="I28" s="1504">
        <f t="shared" ref="I28:N28" si="20">SUM(I18,I22)</f>
        <v>6</v>
      </c>
      <c r="J28" s="1505">
        <f t="shared" si="20"/>
        <v>6</v>
      </c>
      <c r="K28" s="1504">
        <f t="shared" si="20"/>
        <v>16</v>
      </c>
      <c r="L28" s="1505">
        <f t="shared" si="20"/>
        <v>16</v>
      </c>
      <c r="M28" s="1504">
        <f t="shared" si="20"/>
        <v>17</v>
      </c>
      <c r="N28" s="1505">
        <f t="shared" si="20"/>
        <v>33</v>
      </c>
      <c r="O28" s="1504">
        <f t="shared" ref="O28:T28" si="21">SUM(O18,O22)</f>
        <v>17</v>
      </c>
      <c r="P28" s="1505">
        <f t="shared" si="21"/>
        <v>16</v>
      </c>
      <c r="Q28" s="1504">
        <f t="shared" si="21"/>
        <v>23</v>
      </c>
      <c r="R28" s="1505">
        <f t="shared" si="21"/>
        <v>32</v>
      </c>
      <c r="S28" s="1504">
        <f t="shared" si="21"/>
        <v>30</v>
      </c>
      <c r="T28" s="1505">
        <f t="shared" si="21"/>
        <v>30</v>
      </c>
      <c r="U28" s="1504">
        <f t="shared" ref="U28:V28" si="22">SUM(U18,U22)</f>
        <v>33</v>
      </c>
      <c r="V28" s="1505">
        <f t="shared" si="22"/>
        <v>32</v>
      </c>
    </row>
    <row r="29" spans="1:22" x14ac:dyDescent="0.25">
      <c r="A29" s="6823"/>
      <c r="B29" s="1371" t="s">
        <v>7</v>
      </c>
      <c r="C29" s="1504">
        <f t="shared" ref="C29:H29" si="23">SUM(C8,C23)</f>
        <v>2</v>
      </c>
      <c r="D29" s="2775">
        <f t="shared" si="23"/>
        <v>2</v>
      </c>
      <c r="E29" s="1504">
        <f t="shared" si="23"/>
        <v>14</v>
      </c>
      <c r="F29" s="1505">
        <f t="shared" si="23"/>
        <v>12</v>
      </c>
      <c r="G29" s="1504">
        <f t="shared" si="23"/>
        <v>20</v>
      </c>
      <c r="H29" s="1505">
        <f t="shared" si="23"/>
        <v>9</v>
      </c>
      <c r="I29" s="1504">
        <f t="shared" ref="I29:N29" si="24">SUM(I8,I23)</f>
        <v>15</v>
      </c>
      <c r="J29" s="1505">
        <f t="shared" si="24"/>
        <v>7</v>
      </c>
      <c r="K29" s="1504">
        <f t="shared" si="24"/>
        <v>26</v>
      </c>
      <c r="L29" s="1505">
        <f t="shared" si="24"/>
        <v>12</v>
      </c>
      <c r="M29" s="1504">
        <f t="shared" si="24"/>
        <v>20</v>
      </c>
      <c r="N29" s="1505">
        <f t="shared" si="24"/>
        <v>44</v>
      </c>
      <c r="O29" s="1504">
        <f t="shared" ref="O29:T29" si="25">SUM(O8,O23)</f>
        <v>1</v>
      </c>
      <c r="P29" s="1505">
        <f t="shared" si="25"/>
        <v>16</v>
      </c>
      <c r="Q29" s="1504">
        <f t="shared" si="25"/>
        <v>0</v>
      </c>
      <c r="R29" s="1505">
        <f t="shared" si="25"/>
        <v>0</v>
      </c>
      <c r="S29" s="1504">
        <f t="shared" si="25"/>
        <v>89</v>
      </c>
      <c r="T29" s="1505">
        <f t="shared" si="25"/>
        <v>89</v>
      </c>
      <c r="U29" s="1504">
        <f t="shared" ref="U29:V29" si="26">SUM(U8,U23)</f>
        <v>67</v>
      </c>
      <c r="V29" s="1505">
        <f t="shared" si="26"/>
        <v>67</v>
      </c>
    </row>
    <row r="30" spans="1:22" x14ac:dyDescent="0.25">
      <c r="A30" s="6823"/>
      <c r="B30" s="1371" t="s">
        <v>9</v>
      </c>
      <c r="C30" s="1504">
        <f>SUM(C12)</f>
        <v>0</v>
      </c>
      <c r="D30" s="2775">
        <f>SUM(D12)</f>
        <v>0</v>
      </c>
      <c r="E30" s="1504">
        <f t="shared" ref="E30:L31" si="27">SUM(E12)</f>
        <v>0</v>
      </c>
      <c r="F30" s="1505">
        <f t="shared" si="27"/>
        <v>0</v>
      </c>
      <c r="G30" s="1504">
        <f t="shared" si="27"/>
        <v>0</v>
      </c>
      <c r="H30" s="1505">
        <f t="shared" si="27"/>
        <v>0</v>
      </c>
      <c r="I30" s="1504">
        <f t="shared" si="27"/>
        <v>0</v>
      </c>
      <c r="J30" s="1505">
        <f t="shared" si="27"/>
        <v>0</v>
      </c>
      <c r="K30" s="1504">
        <f t="shared" si="27"/>
        <v>12</v>
      </c>
      <c r="L30" s="1505">
        <f t="shared" si="27"/>
        <v>12</v>
      </c>
      <c r="M30" s="1504">
        <f t="shared" ref="M30:P31" si="28">SUM(M12)</f>
        <v>11</v>
      </c>
      <c r="N30" s="1505">
        <f t="shared" si="28"/>
        <v>22</v>
      </c>
      <c r="O30" s="1504">
        <f t="shared" si="28"/>
        <v>0</v>
      </c>
      <c r="P30" s="1505">
        <f t="shared" si="28"/>
        <v>0</v>
      </c>
      <c r="Q30" s="1504">
        <f t="shared" ref="Q30:T31" si="29">SUM(Q12)</f>
        <v>0</v>
      </c>
      <c r="R30" s="1505">
        <f t="shared" si="29"/>
        <v>0</v>
      </c>
      <c r="S30" s="1504">
        <f t="shared" si="29"/>
        <v>0</v>
      </c>
      <c r="T30" s="1505">
        <f t="shared" si="29"/>
        <v>0</v>
      </c>
      <c r="U30" s="1504">
        <f t="shared" ref="U30:V30" si="30">SUM(U12)</f>
        <v>0</v>
      </c>
      <c r="V30" s="1505">
        <f t="shared" si="30"/>
        <v>0</v>
      </c>
    </row>
    <row r="31" spans="1:22" x14ac:dyDescent="0.25">
      <c r="A31" s="6823"/>
      <c r="B31" s="1371" t="s">
        <v>74</v>
      </c>
      <c r="C31" s="1664">
        <f>SUM(C13)</f>
        <v>0</v>
      </c>
      <c r="D31" s="2780">
        <f>SUM(D13)</f>
        <v>0</v>
      </c>
      <c r="E31" s="1664">
        <f>SUM(E13)</f>
        <v>0</v>
      </c>
      <c r="F31" s="1665">
        <f>SUM(F13)</f>
        <v>0</v>
      </c>
      <c r="G31" s="1507">
        <f>SUM(G13)</f>
        <v>0</v>
      </c>
      <c r="H31" s="1508">
        <f>SUM(H13)</f>
        <v>0</v>
      </c>
      <c r="I31" s="1507">
        <f t="shared" si="27"/>
        <v>0</v>
      </c>
      <c r="J31" s="1508">
        <f t="shared" si="27"/>
        <v>0</v>
      </c>
      <c r="K31" s="1507">
        <f t="shared" si="27"/>
        <v>14</v>
      </c>
      <c r="L31" s="1508">
        <f t="shared" si="27"/>
        <v>15</v>
      </c>
      <c r="M31" s="1507">
        <f t="shared" si="28"/>
        <v>20</v>
      </c>
      <c r="N31" s="1508">
        <f t="shared" si="28"/>
        <v>34</v>
      </c>
      <c r="O31" s="1507">
        <f t="shared" si="28"/>
        <v>0</v>
      </c>
      <c r="P31" s="1508">
        <f t="shared" si="28"/>
        <v>0</v>
      </c>
      <c r="Q31" s="1507">
        <f t="shared" si="29"/>
        <v>0</v>
      </c>
      <c r="R31" s="1508">
        <f t="shared" si="29"/>
        <v>0</v>
      </c>
      <c r="S31" s="1507">
        <f t="shared" si="29"/>
        <v>0</v>
      </c>
      <c r="T31" s="1508">
        <f t="shared" si="29"/>
        <v>0</v>
      </c>
      <c r="U31" s="1507">
        <f t="shared" ref="U31:V31" si="31">SUM(U13)</f>
        <v>0</v>
      </c>
      <c r="V31" s="1508">
        <f t="shared" si="31"/>
        <v>0</v>
      </c>
    </row>
    <row r="32" spans="1:22" x14ac:dyDescent="0.25">
      <c r="A32" s="6824"/>
      <c r="B32" s="1662" t="s">
        <v>160</v>
      </c>
      <c r="C32" s="1662">
        <f>SUM(C26:C29)</f>
        <v>11</v>
      </c>
      <c r="D32" s="2781">
        <f>SUM(D26:D29)</f>
        <v>11</v>
      </c>
      <c r="E32" s="1662">
        <f t="shared" ref="E32:J32" si="32">SUM(E26:E29)</f>
        <v>51</v>
      </c>
      <c r="F32" s="1663">
        <f t="shared" si="32"/>
        <v>24</v>
      </c>
      <c r="G32" s="1662">
        <f t="shared" si="32"/>
        <v>55</v>
      </c>
      <c r="H32" s="1663">
        <f t="shared" si="32"/>
        <v>19</v>
      </c>
      <c r="I32" s="1662">
        <f t="shared" si="32"/>
        <v>78</v>
      </c>
      <c r="J32" s="1663">
        <f t="shared" si="32"/>
        <v>70</v>
      </c>
      <c r="K32" s="1662">
        <f t="shared" ref="K32:P32" si="33">SUM(K26:K31)</f>
        <v>185</v>
      </c>
      <c r="L32" s="1663">
        <f t="shared" si="33"/>
        <v>125</v>
      </c>
      <c r="M32" s="1662">
        <f t="shared" si="33"/>
        <v>94</v>
      </c>
      <c r="N32" s="1663">
        <f t="shared" si="33"/>
        <v>199</v>
      </c>
      <c r="O32" s="1662">
        <f t="shared" si="33"/>
        <v>35</v>
      </c>
      <c r="P32" s="1663">
        <f t="shared" si="33"/>
        <v>93</v>
      </c>
      <c r="Q32" s="1662">
        <f t="shared" ref="Q32:V32" si="34">SUM(Q26:Q31)</f>
        <v>96</v>
      </c>
      <c r="R32" s="1663">
        <f t="shared" si="34"/>
        <v>143</v>
      </c>
      <c r="S32" s="1662">
        <f t="shared" si="34"/>
        <v>163</v>
      </c>
      <c r="T32" s="1663">
        <f t="shared" si="34"/>
        <v>163</v>
      </c>
      <c r="U32" s="1662">
        <f t="shared" si="34"/>
        <v>236</v>
      </c>
      <c r="V32" s="1663">
        <f t="shared" si="34"/>
        <v>225</v>
      </c>
    </row>
    <row r="36" spans="2:10" x14ac:dyDescent="0.25">
      <c r="B36" s="1373"/>
      <c r="C36" s="1373"/>
      <c r="D36" s="1373"/>
      <c r="E36" s="1373"/>
      <c r="F36" s="1373"/>
      <c r="H36" s="1373"/>
      <c r="I36" s="1373"/>
      <c r="J36" s="1373"/>
    </row>
  </sheetData>
  <sheetProtection algorithmName="SHA-512" hashValue="6kp25M9tTPorEl6Fa6jZ67T28Q5aoMOVRbx2p8fj2vd+EI9p8z998ABeKj/mVdVUsjGulNYDbyUTTP/Kg1aw0g==" saltValue="v6hPcCUNKKTHHhq4r+Ly2w==" spinCount="100000" sheet="1" objects="1" scenarios="1"/>
  <mergeCells count="17">
    <mergeCell ref="Q3:R3"/>
    <mergeCell ref="O3:P3"/>
    <mergeCell ref="A16:A19"/>
    <mergeCell ref="A21:A24"/>
    <mergeCell ref="U3:V3"/>
    <mergeCell ref="S3:T3"/>
    <mergeCell ref="A26:A32"/>
    <mergeCell ref="A6:A9"/>
    <mergeCell ref="A11:A14"/>
    <mergeCell ref="M3:N3"/>
    <mergeCell ref="K3:L3"/>
    <mergeCell ref="A3:A4"/>
    <mergeCell ref="B3:B4"/>
    <mergeCell ref="E3:F3"/>
    <mergeCell ref="G3:H3"/>
    <mergeCell ref="I3:J3"/>
    <mergeCell ref="C3:D3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1" orientation="landscape" r:id="rId1"/>
  <ignoredErrors>
    <ignoredError sqref="L27:T27" formula="1"/>
  </ignoredError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M76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5.28515625" style="1" customWidth="1"/>
    <col min="2" max="2" width="17.7109375" style="1" bestFit="1" customWidth="1"/>
    <col min="3" max="3" width="11.28515625" style="1" bestFit="1" customWidth="1"/>
    <col min="4" max="4" width="30.5703125" style="1" customWidth="1"/>
    <col min="5" max="5" width="11.42578125" style="1" bestFit="1" customWidth="1"/>
    <col min="6" max="6" width="9.42578125" style="1" bestFit="1" customWidth="1"/>
    <col min="7" max="7" width="11.42578125" style="1" bestFit="1" customWidth="1"/>
    <col min="8" max="8" width="9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4.42578125" style="1" customWidth="1"/>
    <col min="14" max="16384" width="11.42578125" style="1"/>
  </cols>
  <sheetData>
    <row r="1" spans="2:13" ht="18" x14ac:dyDescent="0.2">
      <c r="B1" s="85"/>
      <c r="C1" s="85"/>
      <c r="D1" s="85"/>
      <c r="E1" s="85"/>
      <c r="F1" s="85"/>
      <c r="G1" s="85"/>
      <c r="H1" s="85"/>
      <c r="I1" s="85"/>
      <c r="J1" s="85"/>
      <c r="K1" s="80"/>
      <c r="L1" s="80"/>
      <c r="M1" s="80"/>
    </row>
    <row r="2" spans="2:13" ht="15.75" x14ac:dyDescent="0.2">
      <c r="B2" s="6981" t="s">
        <v>37</v>
      </c>
      <c r="C2" s="6981"/>
      <c r="D2" s="6981"/>
      <c r="E2" s="6981"/>
      <c r="F2" s="6981"/>
      <c r="G2" s="6981"/>
      <c r="H2" s="6981"/>
      <c r="I2" s="6981"/>
      <c r="J2" s="6981"/>
      <c r="K2" s="6981"/>
      <c r="L2" s="6981"/>
    </row>
    <row r="3" spans="2:13" ht="15.75" x14ac:dyDescent="0.2">
      <c r="B3" s="6981" t="s">
        <v>38</v>
      </c>
      <c r="C3" s="6981"/>
      <c r="D3" s="6981"/>
      <c r="E3" s="6981"/>
      <c r="F3" s="6981"/>
      <c r="G3" s="6981"/>
      <c r="H3" s="6981"/>
      <c r="I3" s="6981"/>
      <c r="J3" s="6981"/>
      <c r="K3" s="6981"/>
      <c r="L3" s="6981"/>
    </row>
    <row r="4" spans="2:13" ht="15.75" x14ac:dyDescent="0.2">
      <c r="B4" s="6981" t="s">
        <v>152</v>
      </c>
      <c r="C4" s="6981"/>
      <c r="D4" s="6981"/>
      <c r="E4" s="6981"/>
      <c r="F4" s="6981"/>
      <c r="G4" s="6981"/>
      <c r="H4" s="6981"/>
      <c r="I4" s="6981"/>
      <c r="J4" s="6981"/>
      <c r="K4" s="6981"/>
      <c r="L4" s="6981"/>
    </row>
    <row r="5" spans="2:13" ht="15.75" x14ac:dyDescent="0.2">
      <c r="B5" s="24"/>
      <c r="C5" s="24"/>
      <c r="D5" s="24"/>
      <c r="E5" s="24"/>
      <c r="F5" s="24"/>
      <c r="G5" s="24"/>
      <c r="H5" s="24"/>
      <c r="I5" s="24"/>
      <c r="J5" s="24"/>
    </row>
    <row r="6" spans="2:13" ht="15" x14ac:dyDescent="0.2">
      <c r="B6" s="6983" t="s">
        <v>16</v>
      </c>
      <c r="C6" s="6983" t="s">
        <v>4</v>
      </c>
      <c r="D6" s="6983" t="s">
        <v>25</v>
      </c>
      <c r="E6" s="6976">
        <v>2005</v>
      </c>
      <c r="F6" s="6982"/>
      <c r="G6" s="6976">
        <v>2006</v>
      </c>
      <c r="H6" s="6977"/>
      <c r="I6" s="6976">
        <v>2007</v>
      </c>
      <c r="J6" s="6977"/>
      <c r="K6" s="6976">
        <v>2008</v>
      </c>
      <c r="L6" s="6977"/>
    </row>
    <row r="7" spans="2:13" x14ac:dyDescent="0.2">
      <c r="B7" s="6983"/>
      <c r="C7" s="6983"/>
      <c r="D7" s="6983"/>
      <c r="E7" s="21" t="s">
        <v>35</v>
      </c>
      <c r="F7" s="21" t="s">
        <v>36</v>
      </c>
      <c r="G7" s="21" t="s">
        <v>35</v>
      </c>
      <c r="H7" s="22" t="s">
        <v>36</v>
      </c>
      <c r="I7" s="21" t="s">
        <v>35</v>
      </c>
      <c r="J7" s="21" t="s">
        <v>36</v>
      </c>
      <c r="K7" s="21" t="s">
        <v>35</v>
      </c>
      <c r="L7" s="21" t="s">
        <v>36</v>
      </c>
    </row>
    <row r="8" spans="2:13" x14ac:dyDescent="0.2">
      <c r="B8" s="57"/>
      <c r="C8" s="12"/>
      <c r="D8" s="58"/>
      <c r="E8" s="69"/>
      <c r="F8" s="81"/>
      <c r="G8" s="70"/>
      <c r="H8" s="70"/>
      <c r="I8" s="69"/>
      <c r="J8" s="81"/>
      <c r="K8" s="69"/>
      <c r="L8" s="81"/>
    </row>
    <row r="9" spans="2:13" x14ac:dyDescent="0.2">
      <c r="B9" s="50"/>
      <c r="C9" s="13" t="s">
        <v>5</v>
      </c>
      <c r="D9" s="59"/>
      <c r="E9" s="103"/>
      <c r="F9" s="113"/>
      <c r="G9" s="102"/>
      <c r="H9" s="102"/>
      <c r="I9" s="103"/>
      <c r="J9" s="113"/>
      <c r="K9" s="66"/>
      <c r="L9" s="128"/>
    </row>
    <row r="10" spans="2:13" x14ac:dyDescent="0.2">
      <c r="B10" s="52"/>
      <c r="C10" s="13"/>
      <c r="D10" s="53" t="s">
        <v>26</v>
      </c>
      <c r="E10" s="99">
        <v>0</v>
      </c>
      <c r="F10" s="114">
        <v>0</v>
      </c>
      <c r="G10" s="97">
        <v>0</v>
      </c>
      <c r="H10" s="97">
        <v>0</v>
      </c>
      <c r="I10" s="99">
        <v>0</v>
      </c>
      <c r="J10" s="114">
        <v>0</v>
      </c>
      <c r="K10" s="91">
        <v>0</v>
      </c>
      <c r="L10" s="92">
        <v>0</v>
      </c>
    </row>
    <row r="11" spans="2:13" x14ac:dyDescent="0.2">
      <c r="B11" s="52"/>
      <c r="C11" s="13"/>
      <c r="D11" s="53" t="s">
        <v>27</v>
      </c>
      <c r="E11" s="99">
        <v>0</v>
      </c>
      <c r="F11" s="114">
        <v>0</v>
      </c>
      <c r="G11" s="97">
        <v>0</v>
      </c>
      <c r="H11" s="97">
        <v>0</v>
      </c>
      <c r="I11" s="99">
        <v>26</v>
      </c>
      <c r="J11" s="114">
        <v>24</v>
      </c>
      <c r="K11" s="91">
        <v>0</v>
      </c>
      <c r="L11" s="92">
        <v>11</v>
      </c>
    </row>
    <row r="12" spans="2:13" x14ac:dyDescent="0.2">
      <c r="B12" s="50"/>
      <c r="C12" s="18"/>
      <c r="D12" s="53" t="s">
        <v>28</v>
      </c>
      <c r="E12" s="99">
        <v>0</v>
      </c>
      <c r="F12" s="114">
        <v>0</v>
      </c>
      <c r="G12" s="97">
        <v>0</v>
      </c>
      <c r="H12" s="97">
        <v>0</v>
      </c>
      <c r="I12" s="99">
        <v>0</v>
      </c>
      <c r="J12" s="114">
        <v>0</v>
      </c>
      <c r="K12" s="91">
        <v>0</v>
      </c>
      <c r="L12" s="92">
        <v>0</v>
      </c>
    </row>
    <row r="13" spans="2:13" x14ac:dyDescent="0.2">
      <c r="B13" s="50"/>
      <c r="C13" s="18"/>
      <c r="D13" s="54" t="s">
        <v>13</v>
      </c>
      <c r="E13" s="101">
        <v>0</v>
      </c>
      <c r="F13" s="100">
        <v>0</v>
      </c>
      <c r="G13" s="98">
        <v>0</v>
      </c>
      <c r="H13" s="98">
        <v>0</v>
      </c>
      <c r="I13" s="101">
        <v>26</v>
      </c>
      <c r="J13" s="100">
        <v>24</v>
      </c>
      <c r="K13" s="96">
        <v>0</v>
      </c>
      <c r="L13" s="95">
        <v>11</v>
      </c>
    </row>
    <row r="14" spans="2:13" x14ac:dyDescent="0.2">
      <c r="B14" s="52"/>
      <c r="C14" s="13" t="s">
        <v>6</v>
      </c>
      <c r="D14" s="55"/>
      <c r="E14" s="103"/>
      <c r="F14" s="113"/>
      <c r="G14" s="102"/>
      <c r="H14" s="102"/>
      <c r="I14" s="103"/>
      <c r="J14" s="113"/>
      <c r="K14" s="91"/>
      <c r="L14" s="92"/>
    </row>
    <row r="15" spans="2:13" x14ac:dyDescent="0.2">
      <c r="B15" s="52"/>
      <c r="C15" s="13"/>
      <c r="D15" s="53" t="s">
        <v>26</v>
      </c>
      <c r="E15" s="99">
        <v>0</v>
      </c>
      <c r="F15" s="114">
        <v>0</v>
      </c>
      <c r="G15" s="97">
        <v>0</v>
      </c>
      <c r="H15" s="97">
        <v>0</v>
      </c>
      <c r="I15" s="99">
        <v>0</v>
      </c>
      <c r="J15" s="114">
        <v>0</v>
      </c>
      <c r="K15" s="91">
        <v>0</v>
      </c>
      <c r="L15" s="92">
        <v>0</v>
      </c>
    </row>
    <row r="16" spans="2:13" x14ac:dyDescent="0.2">
      <c r="B16" s="52"/>
      <c r="C16" s="13"/>
      <c r="D16" s="53" t="s">
        <v>27</v>
      </c>
      <c r="E16" s="99">
        <v>7</v>
      </c>
      <c r="F16" s="114">
        <v>7</v>
      </c>
      <c r="G16" s="97">
        <v>2</v>
      </c>
      <c r="H16" s="97">
        <v>5</v>
      </c>
      <c r="I16" s="99">
        <v>0</v>
      </c>
      <c r="J16" s="114">
        <v>1</v>
      </c>
      <c r="K16" s="91">
        <v>0</v>
      </c>
      <c r="L16" s="92">
        <v>0</v>
      </c>
    </row>
    <row r="17" spans="2:12" x14ac:dyDescent="0.2">
      <c r="B17" s="52"/>
      <c r="C17" s="13"/>
      <c r="D17" s="53" t="s">
        <v>28</v>
      </c>
      <c r="E17" s="99">
        <v>0</v>
      </c>
      <c r="F17" s="114">
        <v>0</v>
      </c>
      <c r="G17" s="97">
        <v>1</v>
      </c>
      <c r="H17" s="97">
        <v>1</v>
      </c>
      <c r="I17" s="99">
        <v>0</v>
      </c>
      <c r="J17" s="114">
        <v>0</v>
      </c>
      <c r="K17" s="91">
        <v>0</v>
      </c>
      <c r="L17" s="92">
        <v>0</v>
      </c>
    </row>
    <row r="18" spans="2:12" x14ac:dyDescent="0.2">
      <c r="B18" s="50"/>
      <c r="C18" s="18"/>
      <c r="D18" s="56" t="s">
        <v>14</v>
      </c>
      <c r="E18" s="101">
        <v>7</v>
      </c>
      <c r="F18" s="100">
        <v>7</v>
      </c>
      <c r="G18" s="98">
        <v>3</v>
      </c>
      <c r="H18" s="98">
        <v>6</v>
      </c>
      <c r="I18" s="101">
        <v>0</v>
      </c>
      <c r="J18" s="100">
        <v>1</v>
      </c>
      <c r="K18" s="96">
        <v>0</v>
      </c>
      <c r="L18" s="95">
        <v>0</v>
      </c>
    </row>
    <row r="19" spans="2:12" x14ac:dyDescent="0.2">
      <c r="B19" s="52"/>
      <c r="C19" s="13" t="s">
        <v>7</v>
      </c>
      <c r="D19" s="55"/>
      <c r="E19" s="103"/>
      <c r="F19" s="113"/>
      <c r="G19" s="102"/>
      <c r="H19" s="102"/>
      <c r="I19" s="103"/>
      <c r="J19" s="113"/>
      <c r="K19" s="91"/>
      <c r="L19" s="92"/>
    </row>
    <row r="20" spans="2:12" x14ac:dyDescent="0.2">
      <c r="B20" s="52"/>
      <c r="C20" s="13"/>
      <c r="D20" s="53" t="s">
        <v>26</v>
      </c>
      <c r="E20" s="99">
        <v>0</v>
      </c>
      <c r="F20" s="114">
        <v>0</v>
      </c>
      <c r="G20" s="97">
        <v>0</v>
      </c>
      <c r="H20" s="97">
        <v>0</v>
      </c>
      <c r="I20" s="99">
        <v>0</v>
      </c>
      <c r="J20" s="114">
        <v>0</v>
      </c>
      <c r="K20" s="91">
        <v>0</v>
      </c>
      <c r="L20" s="92">
        <v>0</v>
      </c>
    </row>
    <row r="21" spans="2:12" x14ac:dyDescent="0.2">
      <c r="B21" s="52"/>
      <c r="C21" s="13"/>
      <c r="D21" s="53" t="s">
        <v>27</v>
      </c>
      <c r="E21" s="99">
        <v>0</v>
      </c>
      <c r="F21" s="114">
        <v>0</v>
      </c>
      <c r="G21" s="97">
        <v>0</v>
      </c>
      <c r="H21" s="97">
        <v>0</v>
      </c>
      <c r="I21" s="99">
        <v>0</v>
      </c>
      <c r="J21" s="114">
        <v>0</v>
      </c>
      <c r="K21" s="91">
        <v>0</v>
      </c>
      <c r="L21" s="92">
        <v>0</v>
      </c>
    </row>
    <row r="22" spans="2:12" x14ac:dyDescent="0.2">
      <c r="B22" s="52"/>
      <c r="C22" s="13"/>
      <c r="D22" s="53" t="s">
        <v>28</v>
      </c>
      <c r="E22" s="99">
        <v>0</v>
      </c>
      <c r="F22" s="114">
        <v>0</v>
      </c>
      <c r="G22" s="97">
        <v>0</v>
      </c>
      <c r="H22" s="97">
        <v>0</v>
      </c>
      <c r="I22" s="99">
        <v>0</v>
      </c>
      <c r="J22" s="114">
        <v>0</v>
      </c>
      <c r="K22" s="91">
        <v>0</v>
      </c>
      <c r="L22" s="92">
        <v>0</v>
      </c>
    </row>
    <row r="23" spans="2:12" x14ac:dyDescent="0.2">
      <c r="B23" s="50"/>
      <c r="C23" s="18"/>
      <c r="D23" s="56" t="s">
        <v>15</v>
      </c>
      <c r="E23" s="101">
        <v>0</v>
      </c>
      <c r="F23" s="100">
        <v>0</v>
      </c>
      <c r="G23" s="98">
        <v>0</v>
      </c>
      <c r="H23" s="98">
        <v>0</v>
      </c>
      <c r="I23" s="101">
        <v>0</v>
      </c>
      <c r="J23" s="100">
        <v>0</v>
      </c>
      <c r="K23" s="96">
        <v>0</v>
      </c>
      <c r="L23" s="95">
        <v>0</v>
      </c>
    </row>
    <row r="24" spans="2:12" x14ac:dyDescent="0.2">
      <c r="B24" s="6389" t="s">
        <v>3</v>
      </c>
      <c r="C24" s="6390"/>
      <c r="D24" s="53"/>
      <c r="E24" s="103"/>
      <c r="F24" s="113"/>
      <c r="G24" s="102"/>
      <c r="H24" s="102"/>
      <c r="I24" s="103"/>
      <c r="J24" s="113"/>
      <c r="K24" s="91"/>
      <c r="L24" s="92"/>
    </row>
    <row r="25" spans="2:12" x14ac:dyDescent="0.2">
      <c r="B25" s="52"/>
      <c r="C25" s="13"/>
      <c r="D25" s="53" t="s">
        <v>26</v>
      </c>
      <c r="E25" s="99">
        <v>0</v>
      </c>
      <c r="F25" s="114">
        <v>0</v>
      </c>
      <c r="G25" s="97">
        <v>0</v>
      </c>
      <c r="H25" s="97">
        <v>0</v>
      </c>
      <c r="I25" s="99">
        <v>0</v>
      </c>
      <c r="J25" s="114">
        <v>0</v>
      </c>
      <c r="K25" s="91">
        <v>0</v>
      </c>
      <c r="L25" s="92">
        <v>0</v>
      </c>
    </row>
    <row r="26" spans="2:12" x14ac:dyDescent="0.2">
      <c r="B26" s="52"/>
      <c r="C26" s="13"/>
      <c r="D26" s="53" t="s">
        <v>27</v>
      </c>
      <c r="E26" s="99">
        <v>7</v>
      </c>
      <c r="F26" s="114">
        <v>7</v>
      </c>
      <c r="G26" s="97">
        <v>2</v>
      </c>
      <c r="H26" s="97">
        <v>5</v>
      </c>
      <c r="I26" s="99">
        <v>26</v>
      </c>
      <c r="J26" s="114">
        <v>25</v>
      </c>
      <c r="K26" s="91">
        <v>0</v>
      </c>
      <c r="L26" s="92">
        <v>11</v>
      </c>
    </row>
    <row r="27" spans="2:12" x14ac:dyDescent="0.2">
      <c r="B27" s="52"/>
      <c r="C27" s="13"/>
      <c r="D27" s="53" t="s">
        <v>28</v>
      </c>
      <c r="E27" s="99">
        <v>0</v>
      </c>
      <c r="F27" s="114">
        <v>0</v>
      </c>
      <c r="G27" s="97">
        <v>1</v>
      </c>
      <c r="H27" s="97">
        <v>1</v>
      </c>
      <c r="I27" s="99">
        <v>0</v>
      </c>
      <c r="J27" s="114">
        <v>0</v>
      </c>
      <c r="K27" s="129">
        <v>0</v>
      </c>
      <c r="L27" s="130">
        <v>0</v>
      </c>
    </row>
    <row r="28" spans="2:12" ht="15" x14ac:dyDescent="0.2">
      <c r="B28" s="6973" t="s">
        <v>29</v>
      </c>
      <c r="C28" s="6974"/>
      <c r="D28" s="6975"/>
      <c r="E28" s="105">
        <v>7</v>
      </c>
      <c r="F28" s="106">
        <v>7</v>
      </c>
      <c r="G28" s="104">
        <v>3</v>
      </c>
      <c r="H28" s="104">
        <v>6</v>
      </c>
      <c r="I28" s="105">
        <v>26</v>
      </c>
      <c r="J28" s="106">
        <v>25</v>
      </c>
      <c r="K28" s="93">
        <v>0</v>
      </c>
      <c r="L28" s="94">
        <v>11</v>
      </c>
    </row>
    <row r="29" spans="2:12" x14ac:dyDescent="0.2">
      <c r="B29" s="52"/>
      <c r="C29" s="13"/>
      <c r="D29" s="55"/>
      <c r="E29" s="115"/>
      <c r="F29" s="116"/>
      <c r="G29" s="117"/>
      <c r="H29" s="117"/>
      <c r="I29" s="115"/>
      <c r="J29" s="116"/>
      <c r="K29" s="131"/>
      <c r="L29" s="132"/>
    </row>
    <row r="30" spans="2:12" x14ac:dyDescent="0.2">
      <c r="B30" s="50"/>
      <c r="C30" s="13" t="s">
        <v>5</v>
      </c>
      <c r="D30" s="59"/>
      <c r="E30" s="103"/>
      <c r="F30" s="113"/>
      <c r="G30" s="102"/>
      <c r="H30" s="102"/>
      <c r="I30" s="103"/>
      <c r="J30" s="113"/>
      <c r="K30" s="91"/>
      <c r="L30" s="92"/>
    </row>
    <row r="31" spans="2:12" x14ac:dyDescent="0.2">
      <c r="B31" s="50"/>
      <c r="C31" s="13"/>
      <c r="D31" s="53" t="s">
        <v>26</v>
      </c>
      <c r="E31" s="103"/>
      <c r="F31" s="113"/>
      <c r="G31" s="102"/>
      <c r="H31" s="102"/>
      <c r="I31" s="103"/>
      <c r="J31" s="113"/>
      <c r="K31" s="91"/>
      <c r="L31" s="92"/>
    </row>
    <row r="32" spans="2:12" x14ac:dyDescent="0.2">
      <c r="B32" s="50"/>
      <c r="C32" s="13"/>
      <c r="D32" s="53" t="s">
        <v>27</v>
      </c>
      <c r="E32" s="99">
        <v>0</v>
      </c>
      <c r="F32" s="114">
        <v>0</v>
      </c>
      <c r="G32" s="97">
        <v>0</v>
      </c>
      <c r="H32" s="97">
        <v>0</v>
      </c>
      <c r="I32" s="99">
        <v>0</v>
      </c>
      <c r="J32" s="114">
        <v>0</v>
      </c>
      <c r="K32" s="91">
        <v>0</v>
      </c>
      <c r="L32" s="92">
        <v>0</v>
      </c>
    </row>
    <row r="33" spans="2:12" x14ac:dyDescent="0.2">
      <c r="B33" s="50"/>
      <c r="C33" s="18"/>
      <c r="D33" s="53" t="s">
        <v>28</v>
      </c>
      <c r="E33" s="99">
        <v>0</v>
      </c>
      <c r="F33" s="114">
        <v>0</v>
      </c>
      <c r="G33" s="97">
        <v>0</v>
      </c>
      <c r="H33" s="97">
        <v>0</v>
      </c>
      <c r="I33" s="99">
        <v>0</v>
      </c>
      <c r="J33" s="114">
        <v>0</v>
      </c>
      <c r="K33" s="91">
        <v>0</v>
      </c>
      <c r="L33" s="92">
        <v>0</v>
      </c>
    </row>
    <row r="34" spans="2:12" x14ac:dyDescent="0.2">
      <c r="B34" s="50"/>
      <c r="C34" s="18"/>
      <c r="D34" s="54" t="s">
        <v>13</v>
      </c>
      <c r="E34" s="101">
        <v>0</v>
      </c>
      <c r="F34" s="100">
        <v>0</v>
      </c>
      <c r="G34" s="98">
        <v>0</v>
      </c>
      <c r="H34" s="98">
        <v>0</v>
      </c>
      <c r="I34" s="101">
        <v>0</v>
      </c>
      <c r="J34" s="100">
        <v>0</v>
      </c>
      <c r="K34" s="96">
        <v>0</v>
      </c>
      <c r="L34" s="95">
        <v>0</v>
      </c>
    </row>
    <row r="35" spans="2:12" x14ac:dyDescent="0.2">
      <c r="B35" s="50"/>
      <c r="C35" s="13" t="s">
        <v>6</v>
      </c>
      <c r="D35" s="55"/>
      <c r="E35" s="99"/>
      <c r="F35" s="114"/>
      <c r="G35" s="97"/>
      <c r="H35" s="97"/>
      <c r="I35" s="99"/>
      <c r="J35" s="114"/>
      <c r="K35" s="91"/>
      <c r="L35" s="92"/>
    </row>
    <row r="36" spans="2:12" x14ac:dyDescent="0.2">
      <c r="B36" s="50"/>
      <c r="C36" s="13"/>
      <c r="D36" s="53" t="s">
        <v>26</v>
      </c>
      <c r="E36" s="99">
        <v>0</v>
      </c>
      <c r="F36" s="114">
        <v>0</v>
      </c>
      <c r="G36" s="97">
        <v>0</v>
      </c>
      <c r="H36" s="97">
        <v>0</v>
      </c>
      <c r="I36" s="99">
        <v>0</v>
      </c>
      <c r="J36" s="114">
        <v>0</v>
      </c>
      <c r="K36" s="91">
        <v>0</v>
      </c>
      <c r="L36" s="92">
        <v>0</v>
      </c>
    </row>
    <row r="37" spans="2:12" x14ac:dyDescent="0.2">
      <c r="B37" s="50"/>
      <c r="C37" s="13"/>
      <c r="D37" s="53" t="s">
        <v>27</v>
      </c>
      <c r="E37" s="99">
        <v>0</v>
      </c>
      <c r="F37" s="114">
        <v>0</v>
      </c>
      <c r="G37" s="97">
        <v>1</v>
      </c>
      <c r="H37" s="97">
        <v>1</v>
      </c>
      <c r="I37" s="99">
        <v>56</v>
      </c>
      <c r="J37" s="114">
        <v>56</v>
      </c>
      <c r="K37" s="91">
        <v>0</v>
      </c>
      <c r="L37" s="92">
        <v>48</v>
      </c>
    </row>
    <row r="38" spans="2:12" x14ac:dyDescent="0.2">
      <c r="B38" s="50"/>
      <c r="C38" s="13"/>
      <c r="D38" s="53" t="s">
        <v>28</v>
      </c>
      <c r="E38" s="99">
        <v>0</v>
      </c>
      <c r="F38" s="114">
        <v>0</v>
      </c>
      <c r="G38" s="97">
        <v>1</v>
      </c>
      <c r="H38" s="97">
        <v>1</v>
      </c>
      <c r="I38" s="99">
        <v>17</v>
      </c>
      <c r="J38" s="114">
        <v>17</v>
      </c>
      <c r="K38" s="91">
        <v>0</v>
      </c>
      <c r="L38" s="92">
        <v>14</v>
      </c>
    </row>
    <row r="39" spans="2:12" x14ac:dyDescent="0.2">
      <c r="B39" s="50"/>
      <c r="C39" s="18"/>
      <c r="D39" s="56" t="s">
        <v>14</v>
      </c>
      <c r="E39" s="101">
        <v>0</v>
      </c>
      <c r="F39" s="100">
        <v>0</v>
      </c>
      <c r="G39" s="98">
        <v>2</v>
      </c>
      <c r="H39" s="98">
        <v>2</v>
      </c>
      <c r="I39" s="101">
        <v>73</v>
      </c>
      <c r="J39" s="100">
        <v>73</v>
      </c>
      <c r="K39" s="96">
        <v>0</v>
      </c>
      <c r="L39" s="95">
        <v>62</v>
      </c>
    </row>
    <row r="40" spans="2:12" x14ac:dyDescent="0.2">
      <c r="B40" s="50"/>
      <c r="C40" s="13" t="s">
        <v>11</v>
      </c>
      <c r="D40" s="55"/>
      <c r="E40" s="99"/>
      <c r="F40" s="114"/>
      <c r="G40" s="97"/>
      <c r="H40" s="97"/>
      <c r="I40" s="99"/>
      <c r="J40" s="114"/>
      <c r="K40" s="91"/>
      <c r="L40" s="92"/>
    </row>
    <row r="41" spans="2:12" x14ac:dyDescent="0.2">
      <c r="B41" s="50"/>
      <c r="C41" s="13"/>
      <c r="D41" s="53" t="s">
        <v>26</v>
      </c>
      <c r="E41" s="99">
        <v>0</v>
      </c>
      <c r="F41" s="114">
        <v>0</v>
      </c>
      <c r="G41" s="97">
        <v>0</v>
      </c>
      <c r="H41" s="97">
        <v>0</v>
      </c>
      <c r="I41" s="99">
        <v>0</v>
      </c>
      <c r="J41" s="114">
        <v>0</v>
      </c>
      <c r="K41" s="91">
        <v>0</v>
      </c>
      <c r="L41" s="92">
        <v>0</v>
      </c>
    </row>
    <row r="42" spans="2:12" x14ac:dyDescent="0.2">
      <c r="B42" s="50"/>
      <c r="C42" s="13"/>
      <c r="D42" s="53" t="s">
        <v>27</v>
      </c>
      <c r="E42" s="99">
        <v>0</v>
      </c>
      <c r="F42" s="114">
        <v>0</v>
      </c>
      <c r="G42" s="97">
        <v>0</v>
      </c>
      <c r="H42" s="97">
        <v>0</v>
      </c>
      <c r="I42" s="99">
        <v>0</v>
      </c>
      <c r="J42" s="114">
        <v>0</v>
      </c>
      <c r="K42" s="91">
        <v>0</v>
      </c>
      <c r="L42" s="92">
        <v>0</v>
      </c>
    </row>
    <row r="43" spans="2:12" x14ac:dyDescent="0.2">
      <c r="B43" s="50"/>
      <c r="C43" s="13"/>
      <c r="D43" s="53" t="s">
        <v>28</v>
      </c>
      <c r="E43" s="99">
        <v>0</v>
      </c>
      <c r="F43" s="114">
        <v>0</v>
      </c>
      <c r="G43" s="97">
        <v>0</v>
      </c>
      <c r="H43" s="97">
        <v>0</v>
      </c>
      <c r="I43" s="99">
        <v>0</v>
      </c>
      <c r="J43" s="114">
        <v>0</v>
      </c>
      <c r="K43" s="91">
        <v>0</v>
      </c>
      <c r="L43" s="92">
        <v>0</v>
      </c>
    </row>
    <row r="44" spans="2:12" x14ac:dyDescent="0.2">
      <c r="B44" s="50"/>
      <c r="C44" s="18"/>
      <c r="D44" s="56" t="s">
        <v>30</v>
      </c>
      <c r="E44" s="101">
        <v>0</v>
      </c>
      <c r="F44" s="100">
        <v>0</v>
      </c>
      <c r="G44" s="98">
        <v>0</v>
      </c>
      <c r="H44" s="98">
        <v>0</v>
      </c>
      <c r="I44" s="101">
        <v>0</v>
      </c>
      <c r="J44" s="100">
        <v>0</v>
      </c>
      <c r="K44" s="96">
        <v>0</v>
      </c>
      <c r="L44" s="95">
        <v>0</v>
      </c>
    </row>
    <row r="45" spans="2:12" x14ac:dyDescent="0.2">
      <c r="B45" s="6389" t="s">
        <v>75</v>
      </c>
      <c r="C45" s="6390"/>
      <c r="D45" s="53"/>
      <c r="E45" s="99"/>
      <c r="F45" s="114"/>
      <c r="G45" s="97"/>
      <c r="H45" s="97"/>
      <c r="I45" s="99"/>
      <c r="J45" s="114"/>
      <c r="K45" s="91"/>
      <c r="L45" s="92"/>
    </row>
    <row r="46" spans="2:12" x14ac:dyDescent="0.2">
      <c r="B46" s="50"/>
      <c r="C46" s="13"/>
      <c r="D46" s="53" t="s">
        <v>26</v>
      </c>
      <c r="E46" s="99">
        <v>0</v>
      </c>
      <c r="F46" s="114">
        <v>0</v>
      </c>
      <c r="G46" s="97">
        <v>0</v>
      </c>
      <c r="H46" s="97">
        <v>0</v>
      </c>
      <c r="I46" s="99">
        <v>0</v>
      </c>
      <c r="J46" s="114">
        <v>0</v>
      </c>
      <c r="K46" s="91">
        <v>0</v>
      </c>
      <c r="L46" s="92">
        <v>0</v>
      </c>
    </row>
    <row r="47" spans="2:12" x14ac:dyDescent="0.2">
      <c r="B47" s="50"/>
      <c r="C47" s="13"/>
      <c r="D47" s="53" t="s">
        <v>27</v>
      </c>
      <c r="E47" s="99">
        <v>0</v>
      </c>
      <c r="F47" s="114">
        <v>0</v>
      </c>
      <c r="G47" s="97">
        <v>1</v>
      </c>
      <c r="H47" s="97">
        <v>1</v>
      </c>
      <c r="I47" s="99">
        <v>56</v>
      </c>
      <c r="J47" s="114">
        <v>56</v>
      </c>
      <c r="K47" s="91">
        <v>0</v>
      </c>
      <c r="L47" s="92">
        <v>48</v>
      </c>
    </row>
    <row r="48" spans="2:12" x14ac:dyDescent="0.2">
      <c r="B48" s="50"/>
      <c r="C48" s="13"/>
      <c r="D48" s="53" t="s">
        <v>28</v>
      </c>
      <c r="E48" s="99">
        <v>0</v>
      </c>
      <c r="F48" s="114">
        <v>0</v>
      </c>
      <c r="G48" s="97">
        <v>1</v>
      </c>
      <c r="H48" s="97">
        <v>1</v>
      </c>
      <c r="I48" s="99">
        <v>17</v>
      </c>
      <c r="J48" s="114">
        <v>17</v>
      </c>
      <c r="K48" s="129">
        <v>0</v>
      </c>
      <c r="L48" s="130">
        <v>14</v>
      </c>
    </row>
    <row r="49" spans="2:12" ht="15" x14ac:dyDescent="0.2">
      <c r="B49" s="6973" t="s">
        <v>31</v>
      </c>
      <c r="C49" s="6974"/>
      <c r="D49" s="6975"/>
      <c r="E49" s="105">
        <v>0</v>
      </c>
      <c r="F49" s="106">
        <v>0</v>
      </c>
      <c r="G49" s="104">
        <v>2</v>
      </c>
      <c r="H49" s="104">
        <v>2</v>
      </c>
      <c r="I49" s="105">
        <v>73</v>
      </c>
      <c r="J49" s="106">
        <v>73</v>
      </c>
      <c r="K49" s="133">
        <v>0</v>
      </c>
      <c r="L49" s="134">
        <v>62</v>
      </c>
    </row>
    <row r="50" spans="2:12" x14ac:dyDescent="0.2">
      <c r="B50" s="50"/>
      <c r="C50" s="18"/>
      <c r="D50" s="53"/>
      <c r="E50" s="103"/>
      <c r="F50" s="113"/>
      <c r="G50" s="102"/>
      <c r="H50" s="102"/>
      <c r="I50" s="103"/>
      <c r="J50" s="113"/>
      <c r="K50" s="131"/>
      <c r="L50" s="132"/>
    </row>
    <row r="51" spans="2:12" x14ac:dyDescent="0.2">
      <c r="B51" s="50"/>
      <c r="C51" s="13" t="s">
        <v>6</v>
      </c>
      <c r="D51" s="59"/>
      <c r="E51" s="103"/>
      <c r="F51" s="113"/>
      <c r="G51" s="102"/>
      <c r="H51" s="102"/>
      <c r="I51" s="103"/>
      <c r="J51" s="113"/>
      <c r="K51" s="91"/>
      <c r="L51" s="92"/>
    </row>
    <row r="52" spans="2:12" x14ac:dyDescent="0.2">
      <c r="B52" s="50"/>
      <c r="C52" s="13"/>
      <c r="D52" s="53" t="s">
        <v>26</v>
      </c>
      <c r="E52" s="99">
        <v>0</v>
      </c>
      <c r="F52" s="114">
        <v>0</v>
      </c>
      <c r="G52" s="97">
        <v>0</v>
      </c>
      <c r="H52" s="97">
        <v>0</v>
      </c>
      <c r="I52" s="99">
        <v>0</v>
      </c>
      <c r="J52" s="114">
        <v>0</v>
      </c>
      <c r="K52" s="91">
        <v>0</v>
      </c>
      <c r="L52" s="92">
        <v>0</v>
      </c>
    </row>
    <row r="53" spans="2:12" x14ac:dyDescent="0.2">
      <c r="B53" s="50"/>
      <c r="C53" s="13"/>
      <c r="D53" s="53" t="s">
        <v>27</v>
      </c>
      <c r="E53" s="99">
        <v>0</v>
      </c>
      <c r="F53" s="114">
        <v>0</v>
      </c>
      <c r="G53" s="97">
        <v>24</v>
      </c>
      <c r="H53" s="97">
        <v>24</v>
      </c>
      <c r="I53" s="99">
        <v>42</v>
      </c>
      <c r="J53" s="114">
        <v>63</v>
      </c>
      <c r="K53" s="91">
        <v>13</v>
      </c>
      <c r="L53" s="92">
        <v>51</v>
      </c>
    </row>
    <row r="54" spans="2:12" x14ac:dyDescent="0.2">
      <c r="B54" s="50"/>
      <c r="C54" s="18"/>
      <c r="D54" s="53" t="s">
        <v>28</v>
      </c>
      <c r="E54" s="99">
        <v>0</v>
      </c>
      <c r="F54" s="114">
        <v>0</v>
      </c>
      <c r="G54" s="97">
        <v>1</v>
      </c>
      <c r="H54" s="97">
        <v>1</v>
      </c>
      <c r="I54" s="99">
        <v>0</v>
      </c>
      <c r="J54" s="114">
        <v>0</v>
      </c>
      <c r="K54" s="91">
        <v>0</v>
      </c>
      <c r="L54" s="92">
        <v>0</v>
      </c>
    </row>
    <row r="55" spans="2:12" x14ac:dyDescent="0.2">
      <c r="B55" s="50"/>
      <c r="C55" s="18"/>
      <c r="D55" s="54" t="s">
        <v>14</v>
      </c>
      <c r="E55" s="101">
        <v>0</v>
      </c>
      <c r="F55" s="100">
        <v>0</v>
      </c>
      <c r="G55" s="98">
        <v>25</v>
      </c>
      <c r="H55" s="98">
        <v>25</v>
      </c>
      <c r="I55" s="101">
        <v>42</v>
      </c>
      <c r="J55" s="100">
        <v>63</v>
      </c>
      <c r="K55" s="96">
        <v>13</v>
      </c>
      <c r="L55" s="95">
        <v>51</v>
      </c>
    </row>
    <row r="56" spans="2:12" x14ac:dyDescent="0.2">
      <c r="B56" s="50"/>
      <c r="C56" s="13" t="s">
        <v>11</v>
      </c>
      <c r="D56" s="55"/>
      <c r="E56" s="99"/>
      <c r="F56" s="114"/>
      <c r="G56" s="97"/>
      <c r="H56" s="97"/>
      <c r="I56" s="99"/>
      <c r="J56" s="114"/>
      <c r="K56" s="91"/>
      <c r="L56" s="92"/>
    </row>
    <row r="57" spans="2:12" x14ac:dyDescent="0.2">
      <c r="B57" s="50"/>
      <c r="C57" s="13"/>
      <c r="D57" s="53" t="s">
        <v>26</v>
      </c>
      <c r="E57" s="99">
        <v>0</v>
      </c>
      <c r="F57" s="114">
        <v>0</v>
      </c>
      <c r="G57" s="97">
        <v>0</v>
      </c>
      <c r="H57" s="97">
        <v>0</v>
      </c>
      <c r="I57" s="99">
        <v>0</v>
      </c>
      <c r="J57" s="114">
        <v>0</v>
      </c>
      <c r="K57" s="91">
        <v>0</v>
      </c>
      <c r="L57" s="92">
        <v>0</v>
      </c>
    </row>
    <row r="58" spans="2:12" x14ac:dyDescent="0.2">
      <c r="B58" s="50"/>
      <c r="C58" s="13"/>
      <c r="D58" s="53" t="s">
        <v>27</v>
      </c>
      <c r="E58" s="99">
        <v>13</v>
      </c>
      <c r="F58" s="114">
        <v>12</v>
      </c>
      <c r="G58" s="97">
        <v>11</v>
      </c>
      <c r="H58" s="97">
        <v>23</v>
      </c>
      <c r="I58" s="99">
        <v>0</v>
      </c>
      <c r="J58" s="114">
        <v>2</v>
      </c>
      <c r="K58" s="91">
        <v>0</v>
      </c>
      <c r="L58" s="92">
        <v>0</v>
      </c>
    </row>
    <row r="59" spans="2:12" x14ac:dyDescent="0.2">
      <c r="B59" s="50"/>
      <c r="C59" s="13"/>
      <c r="D59" s="53" t="s">
        <v>28</v>
      </c>
      <c r="E59" s="99">
        <v>0</v>
      </c>
      <c r="F59" s="114">
        <v>0</v>
      </c>
      <c r="G59" s="97">
        <v>0</v>
      </c>
      <c r="H59" s="97">
        <v>0</v>
      </c>
      <c r="I59" s="99">
        <v>0</v>
      </c>
      <c r="J59" s="114">
        <v>0</v>
      </c>
      <c r="K59" s="91">
        <v>0</v>
      </c>
      <c r="L59" s="92">
        <v>0</v>
      </c>
    </row>
    <row r="60" spans="2:12" x14ac:dyDescent="0.2">
      <c r="B60" s="50"/>
      <c r="C60" s="18"/>
      <c r="D60" s="56" t="s">
        <v>30</v>
      </c>
      <c r="E60" s="101">
        <v>13</v>
      </c>
      <c r="F60" s="100">
        <v>12</v>
      </c>
      <c r="G60" s="98">
        <v>11</v>
      </c>
      <c r="H60" s="98">
        <v>23</v>
      </c>
      <c r="I60" s="101">
        <v>0</v>
      </c>
      <c r="J60" s="100">
        <v>2</v>
      </c>
      <c r="K60" s="96">
        <v>0</v>
      </c>
      <c r="L60" s="95">
        <v>0</v>
      </c>
    </row>
    <row r="61" spans="2:12" x14ac:dyDescent="0.2">
      <c r="B61" s="50"/>
      <c r="C61" s="13" t="s">
        <v>7</v>
      </c>
      <c r="D61" s="55"/>
      <c r="E61" s="99"/>
      <c r="F61" s="114"/>
      <c r="G61" s="97"/>
      <c r="H61" s="97"/>
      <c r="I61" s="99"/>
      <c r="J61" s="114"/>
      <c r="K61" s="91"/>
      <c r="L61" s="92"/>
    </row>
    <row r="62" spans="2:12" x14ac:dyDescent="0.2">
      <c r="B62" s="50"/>
      <c r="C62" s="13"/>
      <c r="D62" s="53" t="s">
        <v>26</v>
      </c>
      <c r="E62" s="99"/>
      <c r="F62" s="114"/>
      <c r="G62" s="97"/>
      <c r="H62" s="97"/>
      <c r="I62" s="99"/>
      <c r="J62" s="114"/>
      <c r="K62" s="91"/>
      <c r="L62" s="92"/>
    </row>
    <row r="63" spans="2:12" x14ac:dyDescent="0.2">
      <c r="B63" s="50"/>
      <c r="C63" s="13"/>
      <c r="D63" s="53" t="s">
        <v>27</v>
      </c>
      <c r="E63" s="99">
        <v>0</v>
      </c>
      <c r="F63" s="114">
        <v>0</v>
      </c>
      <c r="G63" s="97">
        <v>0</v>
      </c>
      <c r="H63" s="97">
        <v>0</v>
      </c>
      <c r="I63" s="99">
        <v>6</v>
      </c>
      <c r="J63" s="114">
        <v>6</v>
      </c>
      <c r="K63" s="91">
        <v>0</v>
      </c>
      <c r="L63" s="92">
        <v>0</v>
      </c>
    </row>
    <row r="64" spans="2:12" x14ac:dyDescent="0.2">
      <c r="B64" s="50"/>
      <c r="C64" s="13"/>
      <c r="D64" s="53" t="s">
        <v>28</v>
      </c>
      <c r="E64" s="99">
        <v>0</v>
      </c>
      <c r="F64" s="114">
        <v>0</v>
      </c>
      <c r="G64" s="97">
        <v>0</v>
      </c>
      <c r="H64" s="97">
        <v>0</v>
      </c>
      <c r="I64" s="99">
        <v>0</v>
      </c>
      <c r="J64" s="114">
        <v>0</v>
      </c>
      <c r="K64" s="91">
        <v>0</v>
      </c>
      <c r="L64" s="92">
        <v>3</v>
      </c>
    </row>
    <row r="65" spans="2:12" x14ac:dyDescent="0.2">
      <c r="B65" s="50"/>
      <c r="C65" s="18"/>
      <c r="D65" s="56" t="s">
        <v>15</v>
      </c>
      <c r="E65" s="101">
        <v>0</v>
      </c>
      <c r="F65" s="100">
        <v>0</v>
      </c>
      <c r="G65" s="98">
        <v>0</v>
      </c>
      <c r="H65" s="98">
        <v>0</v>
      </c>
      <c r="I65" s="101">
        <v>6</v>
      </c>
      <c r="J65" s="100">
        <v>6</v>
      </c>
      <c r="K65" s="96">
        <v>0</v>
      </c>
      <c r="L65" s="95">
        <v>3</v>
      </c>
    </row>
    <row r="66" spans="2:12" x14ac:dyDescent="0.2">
      <c r="B66" s="6389" t="s">
        <v>10</v>
      </c>
      <c r="C66" s="6390"/>
      <c r="D66" s="53"/>
      <c r="E66" s="99"/>
      <c r="F66" s="114"/>
      <c r="G66" s="97"/>
      <c r="H66" s="97"/>
      <c r="I66" s="99"/>
      <c r="J66" s="114"/>
      <c r="K66" s="91"/>
      <c r="L66" s="92"/>
    </row>
    <row r="67" spans="2:12" x14ac:dyDescent="0.2">
      <c r="B67" s="50"/>
      <c r="C67" s="13"/>
      <c r="D67" s="53" t="s">
        <v>26</v>
      </c>
      <c r="E67" s="99">
        <v>0</v>
      </c>
      <c r="F67" s="114">
        <v>0</v>
      </c>
      <c r="G67" s="97">
        <v>0</v>
      </c>
      <c r="H67" s="97">
        <v>0</v>
      </c>
      <c r="I67" s="99">
        <v>0</v>
      </c>
      <c r="J67" s="114">
        <v>0</v>
      </c>
      <c r="K67" s="91">
        <v>0</v>
      </c>
      <c r="L67" s="92">
        <v>0</v>
      </c>
    </row>
    <row r="68" spans="2:12" x14ac:dyDescent="0.2">
      <c r="B68" s="50"/>
      <c r="C68" s="13"/>
      <c r="D68" s="53" t="s">
        <v>27</v>
      </c>
      <c r="E68" s="99">
        <v>13</v>
      </c>
      <c r="F68" s="114">
        <v>12</v>
      </c>
      <c r="G68" s="97">
        <v>35</v>
      </c>
      <c r="H68" s="97">
        <v>47</v>
      </c>
      <c r="I68" s="99">
        <v>48</v>
      </c>
      <c r="J68" s="114">
        <v>71</v>
      </c>
      <c r="K68" s="91">
        <v>13</v>
      </c>
      <c r="L68" s="92">
        <v>51</v>
      </c>
    </row>
    <row r="69" spans="2:12" x14ac:dyDescent="0.2">
      <c r="B69" s="50"/>
      <c r="C69" s="13"/>
      <c r="D69" s="53" t="s">
        <v>28</v>
      </c>
      <c r="E69" s="99">
        <v>0</v>
      </c>
      <c r="F69" s="114">
        <v>0</v>
      </c>
      <c r="G69" s="97">
        <v>1</v>
      </c>
      <c r="H69" s="97">
        <v>1</v>
      </c>
      <c r="I69" s="99">
        <v>0</v>
      </c>
      <c r="J69" s="114">
        <v>0</v>
      </c>
      <c r="K69" s="129">
        <v>0</v>
      </c>
      <c r="L69" s="130">
        <v>3</v>
      </c>
    </row>
    <row r="70" spans="2:12" ht="15" x14ac:dyDescent="0.2">
      <c r="B70" s="6973" t="s">
        <v>32</v>
      </c>
      <c r="C70" s="6974"/>
      <c r="D70" s="6975"/>
      <c r="E70" s="105">
        <v>13</v>
      </c>
      <c r="F70" s="106">
        <v>12</v>
      </c>
      <c r="G70" s="104">
        <v>36</v>
      </c>
      <c r="H70" s="104">
        <v>48</v>
      </c>
      <c r="I70" s="105">
        <v>48</v>
      </c>
      <c r="J70" s="106">
        <v>71</v>
      </c>
      <c r="K70" s="93">
        <v>13</v>
      </c>
      <c r="L70" s="94">
        <v>54</v>
      </c>
    </row>
    <row r="71" spans="2:12" x14ac:dyDescent="0.2">
      <c r="B71" s="50"/>
      <c r="C71" s="18"/>
      <c r="D71" s="53"/>
      <c r="E71" s="99"/>
      <c r="F71" s="114"/>
      <c r="G71" s="97"/>
      <c r="H71" s="97"/>
      <c r="I71" s="99"/>
      <c r="J71" s="114"/>
      <c r="K71" s="131"/>
      <c r="L71" s="132"/>
    </row>
    <row r="72" spans="2:12" x14ac:dyDescent="0.2">
      <c r="B72" s="6389" t="s">
        <v>60</v>
      </c>
      <c r="C72" s="6390"/>
      <c r="D72" s="53" t="s">
        <v>26</v>
      </c>
      <c r="E72" s="99">
        <v>0</v>
      </c>
      <c r="F72" s="114">
        <v>0</v>
      </c>
      <c r="G72" s="97">
        <v>0</v>
      </c>
      <c r="H72" s="97">
        <v>0</v>
      </c>
      <c r="I72" s="99">
        <v>0</v>
      </c>
      <c r="J72" s="114">
        <v>0</v>
      </c>
      <c r="K72" s="91">
        <v>0</v>
      </c>
      <c r="L72" s="92">
        <v>0</v>
      </c>
    </row>
    <row r="73" spans="2:12" x14ac:dyDescent="0.2">
      <c r="B73" s="52"/>
      <c r="C73" s="13"/>
      <c r="D73" s="53" t="s">
        <v>27</v>
      </c>
      <c r="E73" s="99">
        <v>20</v>
      </c>
      <c r="F73" s="114">
        <v>19</v>
      </c>
      <c r="G73" s="97">
        <v>38</v>
      </c>
      <c r="H73" s="97">
        <v>53</v>
      </c>
      <c r="I73" s="99">
        <v>130</v>
      </c>
      <c r="J73" s="114">
        <v>152</v>
      </c>
      <c r="K73" s="91">
        <v>13</v>
      </c>
      <c r="L73" s="92">
        <v>110</v>
      </c>
    </row>
    <row r="74" spans="2:12" x14ac:dyDescent="0.2">
      <c r="B74" s="52"/>
      <c r="C74" s="13"/>
      <c r="D74" s="53" t="s">
        <v>28</v>
      </c>
      <c r="E74" s="99">
        <v>0</v>
      </c>
      <c r="F74" s="114">
        <v>0</v>
      </c>
      <c r="G74" s="97">
        <v>3</v>
      </c>
      <c r="H74" s="97">
        <v>3</v>
      </c>
      <c r="I74" s="99">
        <v>17</v>
      </c>
      <c r="J74" s="114">
        <v>17</v>
      </c>
      <c r="K74" s="129">
        <v>0</v>
      </c>
      <c r="L74" s="130">
        <v>17</v>
      </c>
    </row>
    <row r="75" spans="2:12" ht="15" x14ac:dyDescent="0.2">
      <c r="B75" s="6978" t="s">
        <v>76</v>
      </c>
      <c r="C75" s="6979"/>
      <c r="D75" s="6980"/>
      <c r="E75" s="108">
        <v>20</v>
      </c>
      <c r="F75" s="109">
        <v>19</v>
      </c>
      <c r="G75" s="107">
        <v>41</v>
      </c>
      <c r="H75" s="107">
        <v>56</v>
      </c>
      <c r="I75" s="108">
        <v>147</v>
      </c>
      <c r="J75" s="109">
        <v>169</v>
      </c>
      <c r="K75" s="126">
        <v>13</v>
      </c>
      <c r="L75" s="127">
        <v>127</v>
      </c>
    </row>
    <row r="76" spans="2:12" x14ac:dyDescent="0.2">
      <c r="B76" s="86" t="s">
        <v>131</v>
      </c>
    </row>
  </sheetData>
  <mergeCells count="18">
    <mergeCell ref="B4:L4"/>
    <mergeCell ref="B3:L3"/>
    <mergeCell ref="B2:L2"/>
    <mergeCell ref="B28:D28"/>
    <mergeCell ref="I6:J6"/>
    <mergeCell ref="B24:C24"/>
    <mergeCell ref="E6:F6"/>
    <mergeCell ref="G6:H6"/>
    <mergeCell ref="B6:B7"/>
    <mergeCell ref="C6:C7"/>
    <mergeCell ref="D6:D7"/>
    <mergeCell ref="B49:D49"/>
    <mergeCell ref="K6:L6"/>
    <mergeCell ref="B75:D75"/>
    <mergeCell ref="B70:D70"/>
    <mergeCell ref="B45:C45"/>
    <mergeCell ref="B66:C66"/>
    <mergeCell ref="B72:C72"/>
  </mergeCells>
  <phoneticPr fontId="81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&amp;R65</oddFoot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zoomScaleSheetLayoutView="75" workbookViewId="0">
      <selection activeCell="E29" sqref="E29"/>
    </sheetView>
  </sheetViews>
  <sheetFormatPr baseColWidth="10" defaultRowHeight="12.75" x14ac:dyDescent="0.2"/>
  <cols>
    <col min="1" max="1" width="1.5703125" style="1" customWidth="1"/>
    <col min="2" max="2" width="17.7109375" style="1" bestFit="1" customWidth="1"/>
    <col min="3" max="3" width="14.42578125" style="1" customWidth="1"/>
    <col min="4" max="4" width="29" style="1" customWidth="1"/>
    <col min="5" max="14" width="9.7109375" style="1" customWidth="1"/>
    <col min="15" max="15" width="4" style="1" customWidth="1"/>
    <col min="16" max="16384" width="11.42578125" style="1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981" t="s">
        <v>39</v>
      </c>
      <c r="C2" s="6981"/>
      <c r="D2" s="6981"/>
      <c r="E2" s="6981"/>
      <c r="F2" s="6981"/>
      <c r="G2" s="6981"/>
      <c r="H2" s="6981"/>
      <c r="I2" s="6981"/>
      <c r="J2" s="6981"/>
      <c r="K2" s="6981"/>
      <c r="L2" s="6981"/>
      <c r="M2" s="6981"/>
      <c r="N2" s="6981"/>
    </row>
    <row r="3" spans="2:14" ht="15.75" x14ac:dyDescent="0.2">
      <c r="B3" s="6981" t="s">
        <v>147</v>
      </c>
      <c r="C3" s="6981"/>
      <c r="D3" s="6981"/>
      <c r="E3" s="6981"/>
      <c r="F3" s="6981"/>
      <c r="G3" s="6981"/>
      <c r="H3" s="6981"/>
      <c r="I3" s="6981"/>
      <c r="J3" s="6981"/>
      <c r="K3" s="6981"/>
      <c r="L3" s="6981"/>
      <c r="M3" s="6981"/>
      <c r="N3" s="6981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983" t="s">
        <v>16</v>
      </c>
      <c r="C5" s="6983" t="s">
        <v>4</v>
      </c>
      <c r="D5" s="6983" t="s">
        <v>25</v>
      </c>
      <c r="E5" s="6984">
        <v>2004</v>
      </c>
      <c r="F5" s="6986"/>
      <c r="G5" s="6984">
        <v>2005</v>
      </c>
      <c r="H5" s="6986"/>
      <c r="I5" s="6984">
        <v>2006</v>
      </c>
      <c r="J5" s="6985"/>
      <c r="K5" s="6984">
        <v>2007</v>
      </c>
      <c r="L5" s="6985"/>
      <c r="M5" s="6984">
        <v>2008</v>
      </c>
      <c r="N5" s="6985"/>
    </row>
    <row r="6" spans="2:14" x14ac:dyDescent="0.2">
      <c r="B6" s="6983"/>
      <c r="C6" s="6983"/>
      <c r="D6" s="6983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57"/>
      <c r="C7" s="12"/>
      <c r="D7" s="58"/>
      <c r="E7" s="84"/>
      <c r="F7" s="84"/>
      <c r="G7" s="69"/>
      <c r="H7" s="70"/>
      <c r="I7" s="69"/>
      <c r="J7" s="81"/>
      <c r="K7" s="70"/>
      <c r="L7" s="81"/>
      <c r="M7" s="69"/>
      <c r="N7" s="81"/>
    </row>
    <row r="8" spans="2:14" x14ac:dyDescent="0.2">
      <c r="B8" s="50"/>
      <c r="C8" s="13" t="s">
        <v>5</v>
      </c>
      <c r="D8" s="59"/>
      <c r="E8" s="64"/>
      <c r="F8" s="64"/>
      <c r="G8" s="62"/>
      <c r="H8" s="26"/>
      <c r="I8" s="62"/>
      <c r="J8" s="82"/>
      <c r="K8" s="26"/>
      <c r="L8" s="82"/>
      <c r="M8" s="62"/>
      <c r="N8" s="82"/>
    </row>
    <row r="9" spans="2:14" x14ac:dyDescent="0.2">
      <c r="B9" s="52"/>
      <c r="C9" s="13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4</v>
      </c>
      <c r="F10" s="97">
        <v>4</v>
      </c>
      <c r="G10" s="99">
        <v>10</v>
      </c>
      <c r="H10" s="97">
        <v>14</v>
      </c>
      <c r="I10" s="99">
        <v>12</v>
      </c>
      <c r="J10" s="114">
        <v>19</v>
      </c>
      <c r="K10" s="97">
        <v>0</v>
      </c>
      <c r="L10" s="114">
        <v>6</v>
      </c>
      <c r="M10" s="91">
        <v>1</v>
      </c>
      <c r="N10" s="92">
        <v>1</v>
      </c>
    </row>
    <row r="11" spans="2:14" x14ac:dyDescent="0.2">
      <c r="B11" s="50"/>
      <c r="C11" s="18"/>
      <c r="D11" s="53" t="s">
        <v>28</v>
      </c>
      <c r="E11" s="97">
        <v>1</v>
      </c>
      <c r="F11" s="97">
        <v>1</v>
      </c>
      <c r="G11" s="99">
        <v>0</v>
      </c>
      <c r="H11" s="97">
        <v>1</v>
      </c>
      <c r="I11" s="99">
        <v>1</v>
      </c>
      <c r="J11" s="114">
        <v>1</v>
      </c>
      <c r="K11" s="97">
        <v>0</v>
      </c>
      <c r="L11" s="114">
        <v>1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5</v>
      </c>
      <c r="F12" s="98">
        <v>5</v>
      </c>
      <c r="G12" s="101">
        <v>10</v>
      </c>
      <c r="H12" s="98">
        <v>15</v>
      </c>
      <c r="I12" s="101">
        <v>13</v>
      </c>
      <c r="J12" s="100">
        <v>20</v>
      </c>
      <c r="K12" s="98">
        <v>0</v>
      </c>
      <c r="L12" s="100">
        <v>7</v>
      </c>
      <c r="M12" s="96">
        <v>1</v>
      </c>
      <c r="N12" s="95">
        <v>1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13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3</v>
      </c>
      <c r="F15" s="97">
        <v>3</v>
      </c>
      <c r="G15" s="99">
        <v>0</v>
      </c>
      <c r="H15" s="97">
        <v>3</v>
      </c>
      <c r="I15" s="99">
        <v>0</v>
      </c>
      <c r="J15" s="114">
        <v>0</v>
      </c>
      <c r="K15" s="97">
        <v>0</v>
      </c>
      <c r="L15" s="114">
        <v>0</v>
      </c>
      <c r="M15" s="91">
        <v>0</v>
      </c>
      <c r="N15" s="92">
        <v>0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0</v>
      </c>
      <c r="H16" s="97">
        <v>0</v>
      </c>
      <c r="I16" s="99">
        <v>0</v>
      </c>
      <c r="J16" s="114">
        <v>0</v>
      </c>
      <c r="K16" s="97">
        <v>0</v>
      </c>
      <c r="L16" s="114">
        <v>0</v>
      </c>
      <c r="M16" s="91">
        <v>0</v>
      </c>
      <c r="N16" s="92">
        <v>0</v>
      </c>
    </row>
    <row r="17" spans="2:14" x14ac:dyDescent="0.2">
      <c r="B17" s="50"/>
      <c r="C17" s="18"/>
      <c r="D17" s="56" t="s">
        <v>14</v>
      </c>
      <c r="E17" s="98">
        <v>3</v>
      </c>
      <c r="F17" s="98">
        <v>3</v>
      </c>
      <c r="G17" s="101">
        <v>0</v>
      </c>
      <c r="H17" s="98">
        <v>3</v>
      </c>
      <c r="I17" s="101">
        <v>0</v>
      </c>
      <c r="J17" s="100">
        <v>0</v>
      </c>
      <c r="K17" s="98">
        <v>0</v>
      </c>
      <c r="L17" s="100">
        <v>0</v>
      </c>
      <c r="M17" s="96">
        <v>0</v>
      </c>
      <c r="N17" s="95">
        <v>0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1</v>
      </c>
      <c r="F20" s="97">
        <v>1</v>
      </c>
      <c r="G20" s="99">
        <v>2</v>
      </c>
      <c r="H20" s="97">
        <v>2</v>
      </c>
      <c r="I20" s="99">
        <v>1</v>
      </c>
      <c r="J20" s="114">
        <v>3</v>
      </c>
      <c r="K20" s="97">
        <v>0</v>
      </c>
      <c r="L20" s="114">
        <v>0</v>
      </c>
      <c r="M20" s="91">
        <v>2</v>
      </c>
      <c r="N20" s="92">
        <v>2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1</v>
      </c>
      <c r="F22" s="98">
        <v>1</v>
      </c>
      <c r="G22" s="101">
        <v>2</v>
      </c>
      <c r="H22" s="98">
        <v>2</v>
      </c>
      <c r="I22" s="101">
        <v>1</v>
      </c>
      <c r="J22" s="100">
        <v>3</v>
      </c>
      <c r="K22" s="98">
        <v>0</v>
      </c>
      <c r="L22" s="100">
        <v>0</v>
      </c>
      <c r="M22" s="96">
        <v>2</v>
      </c>
      <c r="N22" s="95">
        <v>2</v>
      </c>
    </row>
    <row r="23" spans="2:14" x14ac:dyDescent="0.2">
      <c r="B23" s="6389" t="s">
        <v>3</v>
      </c>
      <c r="C23" s="6390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8</v>
      </c>
      <c r="F25" s="97">
        <v>8</v>
      </c>
      <c r="G25" s="99">
        <v>12</v>
      </c>
      <c r="H25" s="97">
        <v>19</v>
      </c>
      <c r="I25" s="99">
        <v>13</v>
      </c>
      <c r="J25" s="114">
        <v>22</v>
      </c>
      <c r="K25" s="97">
        <v>0</v>
      </c>
      <c r="L25" s="114">
        <v>6</v>
      </c>
      <c r="M25" s="91">
        <v>3</v>
      </c>
      <c r="N25" s="92">
        <v>3</v>
      </c>
    </row>
    <row r="26" spans="2:14" x14ac:dyDescent="0.2">
      <c r="B26" s="52"/>
      <c r="C26" s="13"/>
      <c r="D26" s="53" t="s">
        <v>28</v>
      </c>
      <c r="E26" s="97">
        <v>1</v>
      </c>
      <c r="F26" s="97">
        <v>1</v>
      </c>
      <c r="G26" s="99">
        <v>0</v>
      </c>
      <c r="H26" s="97">
        <v>1</v>
      </c>
      <c r="I26" s="99">
        <v>1</v>
      </c>
      <c r="J26" s="114">
        <v>1</v>
      </c>
      <c r="K26" s="97">
        <v>0</v>
      </c>
      <c r="L26" s="114">
        <v>1</v>
      </c>
      <c r="M26" s="129">
        <v>0</v>
      </c>
      <c r="N26" s="130">
        <v>0</v>
      </c>
    </row>
    <row r="27" spans="2:14" ht="15" x14ac:dyDescent="0.2">
      <c r="B27" s="6973" t="s">
        <v>29</v>
      </c>
      <c r="C27" s="6974"/>
      <c r="D27" s="6975"/>
      <c r="E27" s="104">
        <v>9</v>
      </c>
      <c r="F27" s="104">
        <v>9</v>
      </c>
      <c r="G27" s="105">
        <v>12</v>
      </c>
      <c r="H27" s="104">
        <v>20</v>
      </c>
      <c r="I27" s="105">
        <v>14</v>
      </c>
      <c r="J27" s="106">
        <v>23</v>
      </c>
      <c r="K27" s="104">
        <v>0</v>
      </c>
      <c r="L27" s="106">
        <v>7</v>
      </c>
      <c r="M27" s="93">
        <v>3</v>
      </c>
      <c r="N27" s="94">
        <v>3</v>
      </c>
    </row>
    <row r="28" spans="2:14" x14ac:dyDescent="0.2">
      <c r="B28" s="52"/>
      <c r="C28" s="13"/>
      <c r="D28" s="55"/>
      <c r="E28" s="102"/>
      <c r="F28" s="102"/>
      <c r="G28" s="115"/>
      <c r="H28" s="117"/>
      <c r="I28" s="115"/>
      <c r="J28" s="116"/>
      <c r="K28" s="117"/>
      <c r="L28" s="116"/>
      <c r="M28" s="131"/>
      <c r="N28" s="132"/>
    </row>
    <row r="29" spans="2:14" x14ac:dyDescent="0.2">
      <c r="B29" s="50"/>
      <c r="C29" s="13" t="s">
        <v>5</v>
      </c>
      <c r="D29" s="59"/>
      <c r="E29" s="97"/>
      <c r="F29" s="97"/>
      <c r="G29" s="103"/>
      <c r="H29" s="102"/>
      <c r="I29" s="103"/>
      <c r="J29" s="113"/>
      <c r="K29" s="102"/>
      <c r="L29" s="113"/>
      <c r="M29" s="91"/>
      <c r="N29" s="92"/>
    </row>
    <row r="30" spans="2:14" x14ac:dyDescent="0.2">
      <c r="B30" s="50"/>
      <c r="C30" s="13"/>
      <c r="D30" s="53" t="s">
        <v>26</v>
      </c>
      <c r="E30" s="97"/>
      <c r="F30" s="97"/>
      <c r="G30" s="103"/>
      <c r="H30" s="102"/>
      <c r="I30" s="103"/>
      <c r="J30" s="113"/>
      <c r="K30" s="102"/>
      <c r="L30" s="113"/>
      <c r="M30" s="91"/>
      <c r="N30" s="92"/>
    </row>
    <row r="31" spans="2:14" x14ac:dyDescent="0.2">
      <c r="B31" s="50"/>
      <c r="C31" s="13"/>
      <c r="D31" s="53" t="s">
        <v>27</v>
      </c>
      <c r="E31" s="97">
        <v>5</v>
      </c>
      <c r="F31" s="97">
        <v>5</v>
      </c>
      <c r="G31" s="99">
        <v>5</v>
      </c>
      <c r="H31" s="97">
        <v>10</v>
      </c>
      <c r="I31" s="99">
        <v>16</v>
      </c>
      <c r="J31" s="114">
        <v>17</v>
      </c>
      <c r="K31" s="97">
        <v>0</v>
      </c>
      <c r="L31" s="114">
        <v>8</v>
      </c>
      <c r="M31" s="91">
        <v>0</v>
      </c>
      <c r="N31" s="92">
        <v>0</v>
      </c>
    </row>
    <row r="32" spans="2:14" x14ac:dyDescent="0.2">
      <c r="B32" s="50"/>
      <c r="C32" s="18"/>
      <c r="D32" s="53" t="s">
        <v>28</v>
      </c>
      <c r="E32" s="97">
        <v>1</v>
      </c>
      <c r="F32" s="97">
        <v>1</v>
      </c>
      <c r="G32" s="99">
        <v>7</v>
      </c>
      <c r="H32" s="97">
        <v>7</v>
      </c>
      <c r="I32" s="99">
        <v>10</v>
      </c>
      <c r="J32" s="114">
        <v>15</v>
      </c>
      <c r="K32" s="97">
        <v>0</v>
      </c>
      <c r="L32" s="114">
        <v>7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12</v>
      </c>
      <c r="H33" s="98">
        <v>17</v>
      </c>
      <c r="I33" s="101">
        <v>26</v>
      </c>
      <c r="J33" s="100">
        <v>32</v>
      </c>
      <c r="K33" s="98">
        <v>0</v>
      </c>
      <c r="L33" s="100">
        <v>15</v>
      </c>
      <c r="M33" s="96">
        <v>0</v>
      </c>
      <c r="N33" s="95">
        <v>0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13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5</v>
      </c>
      <c r="F36" s="97">
        <v>5</v>
      </c>
      <c r="G36" s="99">
        <v>1</v>
      </c>
      <c r="H36" s="97">
        <v>2</v>
      </c>
      <c r="I36" s="99">
        <v>6</v>
      </c>
      <c r="J36" s="114">
        <v>7</v>
      </c>
      <c r="K36" s="97">
        <v>0</v>
      </c>
      <c r="L36" s="114">
        <v>6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2</v>
      </c>
      <c r="H37" s="97">
        <v>6</v>
      </c>
      <c r="I37" s="99">
        <v>5</v>
      </c>
      <c r="J37" s="114">
        <v>5</v>
      </c>
      <c r="K37" s="97">
        <v>0</v>
      </c>
      <c r="L37" s="114">
        <v>4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5</v>
      </c>
      <c r="F38" s="98">
        <v>5</v>
      </c>
      <c r="G38" s="101">
        <v>3</v>
      </c>
      <c r="H38" s="98">
        <v>8</v>
      </c>
      <c r="I38" s="101">
        <v>11</v>
      </c>
      <c r="J38" s="100">
        <v>12</v>
      </c>
      <c r="K38" s="98">
        <v>0</v>
      </c>
      <c r="L38" s="100">
        <v>10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5</v>
      </c>
      <c r="F41" s="97">
        <v>5</v>
      </c>
      <c r="G41" s="99">
        <v>2</v>
      </c>
      <c r="H41" s="97">
        <v>3</v>
      </c>
      <c r="I41" s="99">
        <v>8</v>
      </c>
      <c r="J41" s="114">
        <v>8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4</v>
      </c>
      <c r="F42" s="97">
        <v>1</v>
      </c>
      <c r="G42" s="99">
        <v>4</v>
      </c>
      <c r="H42" s="97">
        <v>8</v>
      </c>
      <c r="I42" s="99">
        <v>4</v>
      </c>
      <c r="J42" s="114">
        <v>4</v>
      </c>
      <c r="K42" s="97">
        <v>0</v>
      </c>
      <c r="L42" s="114">
        <v>4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9</v>
      </c>
      <c r="F43" s="98">
        <v>6</v>
      </c>
      <c r="G43" s="101">
        <v>6</v>
      </c>
      <c r="H43" s="98">
        <v>11</v>
      </c>
      <c r="I43" s="101">
        <v>12</v>
      </c>
      <c r="J43" s="100">
        <v>12</v>
      </c>
      <c r="K43" s="98">
        <v>0</v>
      </c>
      <c r="L43" s="100">
        <v>4</v>
      </c>
      <c r="M43" s="96">
        <v>0</v>
      </c>
      <c r="N43" s="95">
        <v>0</v>
      </c>
    </row>
    <row r="44" spans="2:14" x14ac:dyDescent="0.2">
      <c r="B44" s="6389" t="s">
        <v>75</v>
      </c>
      <c r="C44" s="6390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15</v>
      </c>
      <c r="F46" s="97">
        <v>15</v>
      </c>
      <c r="G46" s="99">
        <v>8</v>
      </c>
      <c r="H46" s="97">
        <v>15</v>
      </c>
      <c r="I46" s="99">
        <v>30</v>
      </c>
      <c r="J46" s="114">
        <v>32</v>
      </c>
      <c r="K46" s="97">
        <v>0</v>
      </c>
      <c r="L46" s="114">
        <v>14</v>
      </c>
      <c r="M46" s="91">
        <v>0</v>
      </c>
      <c r="N46" s="92">
        <v>0</v>
      </c>
    </row>
    <row r="47" spans="2:14" x14ac:dyDescent="0.2">
      <c r="B47" s="50"/>
      <c r="C47" s="13"/>
      <c r="D47" s="53" t="s">
        <v>28</v>
      </c>
      <c r="E47" s="97">
        <v>5</v>
      </c>
      <c r="F47" s="97">
        <v>2</v>
      </c>
      <c r="G47" s="99">
        <v>13</v>
      </c>
      <c r="H47" s="97">
        <v>21</v>
      </c>
      <c r="I47" s="99">
        <v>19</v>
      </c>
      <c r="J47" s="114">
        <v>24</v>
      </c>
      <c r="K47" s="97">
        <v>0</v>
      </c>
      <c r="L47" s="114">
        <v>15</v>
      </c>
      <c r="M47" s="129">
        <v>0</v>
      </c>
      <c r="N47" s="130">
        <v>0</v>
      </c>
    </row>
    <row r="48" spans="2:14" ht="15" x14ac:dyDescent="0.2">
      <c r="B48" s="6973" t="s">
        <v>31</v>
      </c>
      <c r="C48" s="6974"/>
      <c r="D48" s="6975"/>
      <c r="E48" s="104">
        <v>20</v>
      </c>
      <c r="F48" s="104">
        <v>17</v>
      </c>
      <c r="G48" s="105">
        <v>21</v>
      </c>
      <c r="H48" s="104">
        <v>36</v>
      </c>
      <c r="I48" s="105">
        <v>49</v>
      </c>
      <c r="J48" s="106">
        <v>56</v>
      </c>
      <c r="K48" s="104">
        <v>0</v>
      </c>
      <c r="L48" s="106">
        <v>29</v>
      </c>
      <c r="M48" s="133">
        <v>0</v>
      </c>
      <c r="N48" s="134">
        <v>0</v>
      </c>
    </row>
    <row r="49" spans="2:14" x14ac:dyDescent="0.2">
      <c r="B49" s="50"/>
      <c r="C49" s="18"/>
      <c r="D49" s="53"/>
      <c r="E49" s="97"/>
      <c r="F49" s="97"/>
      <c r="G49" s="103"/>
      <c r="H49" s="102"/>
      <c r="I49" s="103"/>
      <c r="J49" s="113"/>
      <c r="K49" s="102"/>
      <c r="L49" s="113"/>
      <c r="M49" s="131"/>
      <c r="N49" s="132"/>
    </row>
    <row r="50" spans="2:14" x14ac:dyDescent="0.2">
      <c r="B50" s="50"/>
      <c r="C50" s="13" t="s">
        <v>6</v>
      </c>
      <c r="D50" s="59"/>
      <c r="E50" s="97"/>
      <c r="F50" s="97"/>
      <c r="G50" s="103"/>
      <c r="H50" s="102"/>
      <c r="I50" s="103"/>
      <c r="J50" s="113"/>
      <c r="K50" s="102"/>
      <c r="L50" s="113"/>
      <c r="M50" s="91"/>
      <c r="N50" s="92"/>
    </row>
    <row r="51" spans="2:14" x14ac:dyDescent="0.2">
      <c r="B51" s="50"/>
      <c r="C51" s="13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4</v>
      </c>
      <c r="F52" s="97">
        <v>4</v>
      </c>
      <c r="G52" s="99">
        <v>8</v>
      </c>
      <c r="H52" s="97">
        <v>12</v>
      </c>
      <c r="I52" s="99">
        <v>16</v>
      </c>
      <c r="J52" s="114">
        <v>18</v>
      </c>
      <c r="K52" s="97">
        <v>0</v>
      </c>
      <c r="L52" s="114">
        <v>11</v>
      </c>
      <c r="M52" s="91">
        <v>2</v>
      </c>
      <c r="N52" s="92">
        <v>2</v>
      </c>
    </row>
    <row r="53" spans="2:14" x14ac:dyDescent="0.2">
      <c r="B53" s="50"/>
      <c r="C53" s="18"/>
      <c r="D53" s="53" t="s">
        <v>28</v>
      </c>
      <c r="E53" s="97">
        <v>1</v>
      </c>
      <c r="F53" s="97">
        <v>1</v>
      </c>
      <c r="G53" s="99">
        <v>1</v>
      </c>
      <c r="H53" s="97">
        <v>2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9</v>
      </c>
      <c r="H54" s="98">
        <v>14</v>
      </c>
      <c r="I54" s="101">
        <v>16</v>
      </c>
      <c r="J54" s="100">
        <v>18</v>
      </c>
      <c r="K54" s="98">
        <v>0</v>
      </c>
      <c r="L54" s="100">
        <v>11</v>
      </c>
      <c r="M54" s="96">
        <v>2</v>
      </c>
      <c r="N54" s="95">
        <v>2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13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3</v>
      </c>
      <c r="F57" s="97">
        <v>3</v>
      </c>
      <c r="G57" s="99">
        <v>2</v>
      </c>
      <c r="H57" s="97">
        <v>3</v>
      </c>
      <c r="I57" s="99">
        <v>0</v>
      </c>
      <c r="J57" s="114">
        <v>1</v>
      </c>
      <c r="K57" s="97">
        <v>0</v>
      </c>
      <c r="L57" s="114">
        <v>0</v>
      </c>
      <c r="M57" s="91">
        <v>6</v>
      </c>
      <c r="N57" s="92">
        <v>6</v>
      </c>
    </row>
    <row r="58" spans="2:14" x14ac:dyDescent="0.2">
      <c r="B58" s="50"/>
      <c r="C58" s="13"/>
      <c r="D58" s="53" t="s">
        <v>28</v>
      </c>
      <c r="E58" s="97">
        <v>0</v>
      </c>
      <c r="F58" s="97">
        <v>0</v>
      </c>
      <c r="G58" s="99">
        <v>1</v>
      </c>
      <c r="H58" s="97">
        <v>1</v>
      </c>
      <c r="I58" s="99">
        <v>3</v>
      </c>
      <c r="J58" s="114">
        <v>4</v>
      </c>
      <c r="K58" s="97">
        <v>0</v>
      </c>
      <c r="L58" s="114">
        <v>1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3</v>
      </c>
      <c r="H59" s="98">
        <v>4</v>
      </c>
      <c r="I59" s="101">
        <v>3</v>
      </c>
      <c r="J59" s="100">
        <v>5</v>
      </c>
      <c r="K59" s="98">
        <v>0</v>
      </c>
      <c r="L59" s="100">
        <v>1</v>
      </c>
      <c r="M59" s="96">
        <v>6</v>
      </c>
      <c r="N59" s="95">
        <v>6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1</v>
      </c>
      <c r="F62" s="97">
        <v>1</v>
      </c>
      <c r="G62" s="99">
        <v>0</v>
      </c>
      <c r="H62" s="97">
        <v>1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1</v>
      </c>
      <c r="J63" s="114">
        <v>1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1</v>
      </c>
      <c r="I64" s="101">
        <v>1</v>
      </c>
      <c r="J64" s="100">
        <v>1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6389" t="s">
        <v>10</v>
      </c>
      <c r="C65" s="6390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8</v>
      </c>
      <c r="F67" s="97">
        <v>8</v>
      </c>
      <c r="G67" s="99">
        <v>10</v>
      </c>
      <c r="H67" s="97">
        <v>16</v>
      </c>
      <c r="I67" s="99">
        <v>16</v>
      </c>
      <c r="J67" s="114">
        <v>19</v>
      </c>
      <c r="K67" s="97">
        <v>0</v>
      </c>
      <c r="L67" s="114">
        <v>11</v>
      </c>
      <c r="M67" s="91">
        <v>8</v>
      </c>
      <c r="N67" s="92">
        <v>8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2</v>
      </c>
      <c r="H68" s="97">
        <v>3</v>
      </c>
      <c r="I68" s="99">
        <v>4</v>
      </c>
      <c r="J68" s="114">
        <v>5</v>
      </c>
      <c r="K68" s="97">
        <v>0</v>
      </c>
      <c r="L68" s="114">
        <v>1</v>
      </c>
      <c r="M68" s="129">
        <v>0</v>
      </c>
      <c r="N68" s="130">
        <v>0</v>
      </c>
    </row>
    <row r="69" spans="2:14" ht="15" x14ac:dyDescent="0.2">
      <c r="B69" s="6973" t="s">
        <v>32</v>
      </c>
      <c r="C69" s="6974"/>
      <c r="D69" s="6975"/>
      <c r="E69" s="104">
        <v>9</v>
      </c>
      <c r="F69" s="104">
        <v>9</v>
      </c>
      <c r="G69" s="105">
        <v>12</v>
      </c>
      <c r="H69" s="104">
        <v>19</v>
      </c>
      <c r="I69" s="105">
        <v>20</v>
      </c>
      <c r="J69" s="106">
        <v>24</v>
      </c>
      <c r="K69" s="104">
        <v>0</v>
      </c>
      <c r="L69" s="106">
        <v>12</v>
      </c>
      <c r="M69" s="93">
        <v>8</v>
      </c>
      <c r="N69" s="94">
        <v>8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6389" t="s">
        <v>60</v>
      </c>
      <c r="C71" s="6390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31</v>
      </c>
      <c r="F72" s="97">
        <v>31</v>
      </c>
      <c r="G72" s="99">
        <v>30</v>
      </c>
      <c r="H72" s="97">
        <v>50</v>
      </c>
      <c r="I72" s="99">
        <v>59</v>
      </c>
      <c r="J72" s="114">
        <v>73</v>
      </c>
      <c r="K72" s="97">
        <v>0</v>
      </c>
      <c r="L72" s="114">
        <v>31</v>
      </c>
      <c r="M72" s="91">
        <v>11</v>
      </c>
      <c r="N72" s="92">
        <v>11</v>
      </c>
    </row>
    <row r="73" spans="2:14" x14ac:dyDescent="0.2">
      <c r="B73" s="52"/>
      <c r="C73" s="13"/>
      <c r="D73" s="53" t="s">
        <v>28</v>
      </c>
      <c r="E73" s="97">
        <v>7</v>
      </c>
      <c r="F73" s="97">
        <v>4</v>
      </c>
      <c r="G73" s="99">
        <v>15</v>
      </c>
      <c r="H73" s="97">
        <v>25</v>
      </c>
      <c r="I73" s="99">
        <v>24</v>
      </c>
      <c r="J73" s="114">
        <v>30</v>
      </c>
      <c r="K73" s="97">
        <v>0</v>
      </c>
      <c r="L73" s="114">
        <v>17</v>
      </c>
      <c r="M73" s="129">
        <v>0</v>
      </c>
      <c r="N73" s="130">
        <v>0</v>
      </c>
    </row>
    <row r="74" spans="2:14" s="46" customFormat="1" ht="15" x14ac:dyDescent="0.2">
      <c r="B74" s="6987" t="s">
        <v>76</v>
      </c>
      <c r="C74" s="6988"/>
      <c r="D74" s="6989"/>
      <c r="E74" s="110">
        <v>38</v>
      </c>
      <c r="F74" s="110">
        <v>35</v>
      </c>
      <c r="G74" s="111">
        <v>45</v>
      </c>
      <c r="H74" s="110">
        <v>75</v>
      </c>
      <c r="I74" s="111">
        <v>83</v>
      </c>
      <c r="J74" s="112">
        <v>103</v>
      </c>
      <c r="K74" s="110">
        <v>0</v>
      </c>
      <c r="L74" s="112">
        <v>48</v>
      </c>
      <c r="M74" s="126">
        <v>11</v>
      </c>
      <c r="N74" s="127">
        <v>11</v>
      </c>
    </row>
    <row r="75" spans="2:14" x14ac:dyDescent="0.2">
      <c r="B75" s="86" t="s">
        <v>131</v>
      </c>
    </row>
  </sheetData>
  <mergeCells count="18">
    <mergeCell ref="B74:D74"/>
    <mergeCell ref="B69:D69"/>
    <mergeCell ref="B48:D48"/>
    <mergeCell ref="B27:D27"/>
    <mergeCell ref="B71:C71"/>
    <mergeCell ref="B44:C44"/>
    <mergeCell ref="B65:C65"/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</mergeCells>
  <phoneticPr fontId="81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&amp;R66</oddFooter>
  </headerFooter>
  <legacyDrawingHF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B1:N75"/>
  <sheetViews>
    <sheetView zoomScaleNormal="100" workbookViewId="0">
      <selection activeCell="E29" sqref="E29"/>
    </sheetView>
  </sheetViews>
  <sheetFormatPr baseColWidth="10" defaultRowHeight="12.75" x14ac:dyDescent="0.2"/>
  <cols>
    <col min="1" max="1" width="1.5703125" style="2" customWidth="1"/>
    <col min="2" max="2" width="17.7109375" style="2" bestFit="1" customWidth="1"/>
    <col min="3" max="3" width="13.85546875" style="2" customWidth="1"/>
    <col min="4" max="4" width="35.42578125" style="2" customWidth="1"/>
    <col min="5" max="14" width="9.7109375" style="2" customWidth="1"/>
    <col min="15" max="15" width="3.140625" style="2" customWidth="1"/>
    <col min="16" max="16384" width="11.42578125" style="2"/>
  </cols>
  <sheetData>
    <row r="1" spans="2:14" ht="15.75" x14ac:dyDescent="0.2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</row>
    <row r="2" spans="2:14" ht="15.75" x14ac:dyDescent="0.2">
      <c r="B2" s="6981" t="s">
        <v>129</v>
      </c>
      <c r="C2" s="6981"/>
      <c r="D2" s="6981"/>
      <c r="E2" s="6981"/>
      <c r="F2" s="6981"/>
      <c r="G2" s="6981"/>
      <c r="H2" s="6981"/>
      <c r="I2" s="6981"/>
      <c r="J2" s="6981"/>
      <c r="K2" s="6981"/>
      <c r="L2" s="6981"/>
      <c r="M2" s="6981"/>
      <c r="N2" s="6981"/>
    </row>
    <row r="3" spans="2:14" ht="15.75" x14ac:dyDescent="0.2">
      <c r="B3" s="6981" t="s">
        <v>147</v>
      </c>
      <c r="C3" s="6981"/>
      <c r="D3" s="6981"/>
      <c r="E3" s="6981"/>
      <c r="F3" s="6981"/>
      <c r="G3" s="6981"/>
      <c r="H3" s="6981"/>
      <c r="I3" s="6981"/>
      <c r="J3" s="6981"/>
      <c r="K3" s="6981"/>
      <c r="L3" s="6981"/>
      <c r="M3" s="6981"/>
      <c r="N3" s="6981"/>
    </row>
    <row r="4" spans="2:14" ht="15.75" x14ac:dyDescent="0.2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</row>
    <row r="5" spans="2:14" ht="15.75" x14ac:dyDescent="0.2">
      <c r="B5" s="6983" t="s">
        <v>16</v>
      </c>
      <c r="C5" s="6983" t="s">
        <v>4</v>
      </c>
      <c r="D5" s="6983" t="s">
        <v>25</v>
      </c>
      <c r="E5" s="6984">
        <v>2004</v>
      </c>
      <c r="F5" s="6986"/>
      <c r="G5" s="6984">
        <v>2005</v>
      </c>
      <c r="H5" s="6986"/>
      <c r="I5" s="6984">
        <v>2006</v>
      </c>
      <c r="J5" s="6985"/>
      <c r="K5" s="6984">
        <v>2007</v>
      </c>
      <c r="L5" s="6985"/>
      <c r="M5" s="6984">
        <v>2008</v>
      </c>
      <c r="N5" s="6985"/>
    </row>
    <row r="6" spans="2:14" x14ac:dyDescent="0.2">
      <c r="B6" s="6983"/>
      <c r="C6" s="6983"/>
      <c r="D6" s="6983"/>
      <c r="E6" s="11" t="s">
        <v>35</v>
      </c>
      <c r="F6" s="11" t="s">
        <v>36</v>
      </c>
      <c r="G6" s="11" t="s">
        <v>35</v>
      </c>
      <c r="H6" s="11" t="s">
        <v>36</v>
      </c>
      <c r="I6" s="11" t="s">
        <v>35</v>
      </c>
      <c r="J6" s="11" t="s">
        <v>36</v>
      </c>
      <c r="K6" s="11" t="s">
        <v>35</v>
      </c>
      <c r="L6" s="21" t="s">
        <v>36</v>
      </c>
      <c r="M6" s="11" t="s">
        <v>35</v>
      </c>
      <c r="N6" s="21" t="s">
        <v>36</v>
      </c>
    </row>
    <row r="7" spans="2:14" x14ac:dyDescent="0.2">
      <c r="B7" s="48"/>
      <c r="C7" s="43"/>
      <c r="D7" s="49"/>
      <c r="E7" s="84"/>
      <c r="F7" s="84"/>
      <c r="G7" s="16"/>
      <c r="H7" s="67"/>
      <c r="I7" s="16"/>
      <c r="J7" s="78"/>
      <c r="K7" s="67"/>
      <c r="L7" s="78"/>
      <c r="M7" s="67"/>
      <c r="N7" s="78"/>
    </row>
    <row r="8" spans="2:14" x14ac:dyDescent="0.2">
      <c r="B8" s="50"/>
      <c r="C8" s="13" t="s">
        <v>5</v>
      </c>
      <c r="D8" s="51"/>
      <c r="E8" s="64"/>
      <c r="F8" s="64"/>
      <c r="G8" s="31"/>
      <c r="H8" s="14"/>
      <c r="I8" s="31"/>
      <c r="J8" s="79"/>
      <c r="K8" s="14"/>
      <c r="L8" s="79"/>
      <c r="M8" s="14"/>
      <c r="N8" s="79"/>
    </row>
    <row r="9" spans="2:14" x14ac:dyDescent="0.2">
      <c r="B9" s="52"/>
      <c r="C9" s="44"/>
      <c r="D9" s="53" t="s">
        <v>26</v>
      </c>
      <c r="E9" s="97">
        <v>0</v>
      </c>
      <c r="F9" s="97">
        <v>0</v>
      </c>
      <c r="G9" s="99">
        <v>0</v>
      </c>
      <c r="H9" s="97">
        <v>0</v>
      </c>
      <c r="I9" s="99">
        <v>0</v>
      </c>
      <c r="J9" s="114">
        <v>0</v>
      </c>
      <c r="K9" s="97">
        <v>0</v>
      </c>
      <c r="L9" s="114">
        <v>0</v>
      </c>
      <c r="M9" s="91">
        <v>0</v>
      </c>
      <c r="N9" s="92">
        <v>0</v>
      </c>
    </row>
    <row r="10" spans="2:14" x14ac:dyDescent="0.2">
      <c r="B10" s="52"/>
      <c r="C10" s="13"/>
      <c r="D10" s="53" t="s">
        <v>27</v>
      </c>
      <c r="E10" s="97">
        <v>0</v>
      </c>
      <c r="F10" s="97">
        <v>0</v>
      </c>
      <c r="G10" s="99">
        <v>0</v>
      </c>
      <c r="H10" s="97">
        <v>0</v>
      </c>
      <c r="I10" s="99">
        <v>0</v>
      </c>
      <c r="J10" s="114">
        <v>0</v>
      </c>
      <c r="K10" s="97">
        <v>0</v>
      </c>
      <c r="L10" s="114">
        <v>0</v>
      </c>
      <c r="M10" s="91">
        <v>0</v>
      </c>
      <c r="N10" s="92">
        <v>0</v>
      </c>
    </row>
    <row r="11" spans="2:14" x14ac:dyDescent="0.2">
      <c r="B11" s="50"/>
      <c r="C11" s="18"/>
      <c r="D11" s="53" t="s">
        <v>28</v>
      </c>
      <c r="E11" s="97">
        <v>0</v>
      </c>
      <c r="F11" s="97">
        <v>0</v>
      </c>
      <c r="G11" s="99">
        <v>0</v>
      </c>
      <c r="H11" s="97">
        <v>0</v>
      </c>
      <c r="I11" s="99">
        <v>0</v>
      </c>
      <c r="J11" s="114">
        <v>0</v>
      </c>
      <c r="K11" s="97">
        <v>0</v>
      </c>
      <c r="L11" s="114">
        <v>0</v>
      </c>
      <c r="M11" s="91">
        <v>0</v>
      </c>
      <c r="N11" s="92">
        <v>0</v>
      </c>
    </row>
    <row r="12" spans="2:14" x14ac:dyDescent="0.2">
      <c r="B12" s="50"/>
      <c r="C12" s="18"/>
      <c r="D12" s="54" t="s">
        <v>13</v>
      </c>
      <c r="E12" s="98">
        <v>0</v>
      </c>
      <c r="F12" s="98">
        <v>0</v>
      </c>
      <c r="G12" s="101">
        <v>0</v>
      </c>
      <c r="H12" s="98">
        <v>0</v>
      </c>
      <c r="I12" s="101">
        <v>0</v>
      </c>
      <c r="J12" s="100">
        <v>0</v>
      </c>
      <c r="K12" s="98">
        <v>0</v>
      </c>
      <c r="L12" s="100">
        <v>0</v>
      </c>
      <c r="M12" s="96">
        <v>0</v>
      </c>
      <c r="N12" s="95">
        <v>0</v>
      </c>
    </row>
    <row r="13" spans="2:14" x14ac:dyDescent="0.2">
      <c r="B13" s="52"/>
      <c r="C13" s="13" t="s">
        <v>6</v>
      </c>
      <c r="D13" s="55"/>
      <c r="E13" s="102"/>
      <c r="F13" s="102"/>
      <c r="G13" s="103"/>
      <c r="H13" s="102"/>
      <c r="I13" s="103"/>
      <c r="J13" s="113"/>
      <c r="K13" s="102"/>
      <c r="L13" s="113"/>
      <c r="M13" s="91"/>
      <c r="N13" s="92"/>
    </row>
    <row r="14" spans="2:14" x14ac:dyDescent="0.2">
      <c r="B14" s="52"/>
      <c r="C14" s="44"/>
      <c r="D14" s="53" t="s">
        <v>26</v>
      </c>
      <c r="E14" s="97">
        <v>0</v>
      </c>
      <c r="F14" s="97">
        <v>0</v>
      </c>
      <c r="G14" s="99">
        <v>0</v>
      </c>
      <c r="H14" s="97">
        <v>0</v>
      </c>
      <c r="I14" s="99">
        <v>0</v>
      </c>
      <c r="J14" s="114">
        <v>0</v>
      </c>
      <c r="K14" s="97">
        <v>0</v>
      </c>
      <c r="L14" s="114">
        <v>0</v>
      </c>
      <c r="M14" s="91">
        <v>0</v>
      </c>
      <c r="N14" s="92">
        <v>0</v>
      </c>
    </row>
    <row r="15" spans="2:14" x14ac:dyDescent="0.2">
      <c r="B15" s="52"/>
      <c r="C15" s="13"/>
      <c r="D15" s="53" t="s">
        <v>27</v>
      </c>
      <c r="E15" s="97">
        <v>0</v>
      </c>
      <c r="F15" s="97">
        <v>0</v>
      </c>
      <c r="G15" s="99">
        <v>17</v>
      </c>
      <c r="H15" s="97">
        <v>17</v>
      </c>
      <c r="I15" s="99">
        <v>19</v>
      </c>
      <c r="J15" s="114">
        <v>36</v>
      </c>
      <c r="K15" s="97">
        <v>26</v>
      </c>
      <c r="L15" s="114">
        <v>45</v>
      </c>
      <c r="M15" s="91">
        <v>0</v>
      </c>
      <c r="N15" s="92">
        <v>25</v>
      </c>
    </row>
    <row r="16" spans="2:14" x14ac:dyDescent="0.2">
      <c r="B16" s="52"/>
      <c r="C16" s="13"/>
      <c r="D16" s="53" t="s">
        <v>28</v>
      </c>
      <c r="E16" s="97">
        <v>0</v>
      </c>
      <c r="F16" s="97">
        <v>0</v>
      </c>
      <c r="G16" s="99">
        <v>9</v>
      </c>
      <c r="H16" s="97">
        <v>9</v>
      </c>
      <c r="I16" s="99">
        <v>8</v>
      </c>
      <c r="J16" s="114">
        <v>17</v>
      </c>
      <c r="K16" s="97">
        <v>23</v>
      </c>
      <c r="L16" s="114">
        <v>29</v>
      </c>
      <c r="M16" s="91">
        <v>0</v>
      </c>
      <c r="N16" s="92">
        <v>20</v>
      </c>
    </row>
    <row r="17" spans="2:14" x14ac:dyDescent="0.2">
      <c r="B17" s="50"/>
      <c r="C17" s="18"/>
      <c r="D17" s="56" t="s">
        <v>14</v>
      </c>
      <c r="E17" s="98">
        <v>0</v>
      </c>
      <c r="F17" s="98">
        <v>0</v>
      </c>
      <c r="G17" s="101">
        <v>26</v>
      </c>
      <c r="H17" s="98">
        <v>26</v>
      </c>
      <c r="I17" s="101">
        <v>27</v>
      </c>
      <c r="J17" s="100">
        <v>53</v>
      </c>
      <c r="K17" s="98">
        <v>49</v>
      </c>
      <c r="L17" s="100">
        <v>74</v>
      </c>
      <c r="M17" s="96">
        <v>0</v>
      </c>
      <c r="N17" s="95">
        <v>45</v>
      </c>
    </row>
    <row r="18" spans="2:14" x14ac:dyDescent="0.2">
      <c r="B18" s="52"/>
      <c r="C18" s="13" t="s">
        <v>7</v>
      </c>
      <c r="D18" s="55"/>
      <c r="E18" s="102"/>
      <c r="F18" s="102"/>
      <c r="G18" s="103"/>
      <c r="H18" s="102"/>
      <c r="I18" s="103"/>
      <c r="J18" s="113"/>
      <c r="K18" s="102"/>
      <c r="L18" s="113"/>
      <c r="M18" s="91"/>
      <c r="N18" s="92"/>
    </row>
    <row r="19" spans="2:14" x14ac:dyDescent="0.2">
      <c r="B19" s="52"/>
      <c r="C19" s="13"/>
      <c r="D19" s="53" t="s">
        <v>26</v>
      </c>
      <c r="E19" s="97">
        <v>0</v>
      </c>
      <c r="F19" s="97">
        <v>0</v>
      </c>
      <c r="G19" s="99">
        <v>0</v>
      </c>
      <c r="H19" s="97">
        <v>0</v>
      </c>
      <c r="I19" s="99">
        <v>0</v>
      </c>
      <c r="J19" s="114">
        <v>0</v>
      </c>
      <c r="K19" s="97">
        <v>0</v>
      </c>
      <c r="L19" s="114">
        <v>0</v>
      </c>
      <c r="M19" s="91">
        <v>0</v>
      </c>
      <c r="N19" s="92">
        <v>0</v>
      </c>
    </row>
    <row r="20" spans="2:14" x14ac:dyDescent="0.2">
      <c r="B20" s="52"/>
      <c r="C20" s="13"/>
      <c r="D20" s="53" t="s">
        <v>27</v>
      </c>
      <c r="E20" s="97">
        <v>0</v>
      </c>
      <c r="F20" s="97">
        <v>0</v>
      </c>
      <c r="G20" s="99">
        <v>0</v>
      </c>
      <c r="H20" s="97">
        <v>0</v>
      </c>
      <c r="I20" s="99">
        <v>0</v>
      </c>
      <c r="J20" s="114">
        <v>0</v>
      </c>
      <c r="K20" s="97">
        <v>0</v>
      </c>
      <c r="L20" s="114">
        <v>0</v>
      </c>
      <c r="M20" s="91">
        <v>0</v>
      </c>
      <c r="N20" s="92">
        <v>0</v>
      </c>
    </row>
    <row r="21" spans="2:14" x14ac:dyDescent="0.2">
      <c r="B21" s="52"/>
      <c r="C21" s="13"/>
      <c r="D21" s="53" t="s">
        <v>28</v>
      </c>
      <c r="E21" s="97">
        <v>0</v>
      </c>
      <c r="F21" s="97">
        <v>0</v>
      </c>
      <c r="G21" s="99">
        <v>0</v>
      </c>
      <c r="H21" s="97">
        <v>0</v>
      </c>
      <c r="I21" s="99">
        <v>0</v>
      </c>
      <c r="J21" s="114">
        <v>0</v>
      </c>
      <c r="K21" s="97">
        <v>0</v>
      </c>
      <c r="L21" s="114">
        <v>0</v>
      </c>
      <c r="M21" s="91">
        <v>0</v>
      </c>
      <c r="N21" s="92">
        <v>0</v>
      </c>
    </row>
    <row r="22" spans="2:14" x14ac:dyDescent="0.2">
      <c r="B22" s="50"/>
      <c r="C22" s="18"/>
      <c r="D22" s="56" t="s">
        <v>15</v>
      </c>
      <c r="E22" s="98">
        <v>0</v>
      </c>
      <c r="F22" s="98">
        <v>0</v>
      </c>
      <c r="G22" s="101">
        <v>0</v>
      </c>
      <c r="H22" s="98">
        <v>0</v>
      </c>
      <c r="I22" s="101">
        <v>0</v>
      </c>
      <c r="J22" s="100">
        <v>0</v>
      </c>
      <c r="K22" s="98">
        <v>0</v>
      </c>
      <c r="L22" s="100">
        <v>0</v>
      </c>
      <c r="M22" s="96">
        <v>0</v>
      </c>
      <c r="N22" s="95">
        <v>0</v>
      </c>
    </row>
    <row r="23" spans="2:14" x14ac:dyDescent="0.2">
      <c r="B23" s="6389" t="s">
        <v>3</v>
      </c>
      <c r="C23" s="6390"/>
      <c r="D23" s="53"/>
      <c r="E23" s="102"/>
      <c r="F23" s="102"/>
      <c r="G23" s="103"/>
      <c r="H23" s="102"/>
      <c r="I23" s="103"/>
      <c r="J23" s="113"/>
      <c r="K23" s="102"/>
      <c r="L23" s="113"/>
      <c r="M23" s="91"/>
      <c r="N23" s="92"/>
    </row>
    <row r="24" spans="2:14" x14ac:dyDescent="0.2">
      <c r="B24" s="52"/>
      <c r="C24" s="13"/>
      <c r="D24" s="53" t="s">
        <v>26</v>
      </c>
      <c r="E24" s="97">
        <v>0</v>
      </c>
      <c r="F24" s="97">
        <v>0</v>
      </c>
      <c r="G24" s="99">
        <v>0</v>
      </c>
      <c r="H24" s="97">
        <v>0</v>
      </c>
      <c r="I24" s="99">
        <v>0</v>
      </c>
      <c r="J24" s="114">
        <v>0</v>
      </c>
      <c r="K24" s="97">
        <v>0</v>
      </c>
      <c r="L24" s="114">
        <v>0</v>
      </c>
      <c r="M24" s="91">
        <v>0</v>
      </c>
      <c r="N24" s="92">
        <v>0</v>
      </c>
    </row>
    <row r="25" spans="2:14" x14ac:dyDescent="0.2">
      <c r="B25" s="52"/>
      <c r="C25" s="13"/>
      <c r="D25" s="53" t="s">
        <v>27</v>
      </c>
      <c r="E25" s="97">
        <v>0</v>
      </c>
      <c r="F25" s="97">
        <v>0</v>
      </c>
      <c r="G25" s="99">
        <v>17</v>
      </c>
      <c r="H25" s="97">
        <v>17</v>
      </c>
      <c r="I25" s="99">
        <v>19</v>
      </c>
      <c r="J25" s="114">
        <v>36</v>
      </c>
      <c r="K25" s="97">
        <v>26</v>
      </c>
      <c r="L25" s="114">
        <v>45</v>
      </c>
      <c r="M25" s="91">
        <v>0</v>
      </c>
      <c r="N25" s="92">
        <v>25</v>
      </c>
    </row>
    <row r="26" spans="2:14" x14ac:dyDescent="0.2">
      <c r="B26" s="52"/>
      <c r="C26" s="13"/>
      <c r="D26" s="53" t="s">
        <v>28</v>
      </c>
      <c r="E26" s="97">
        <v>0</v>
      </c>
      <c r="F26" s="97">
        <v>0</v>
      </c>
      <c r="G26" s="99">
        <v>9</v>
      </c>
      <c r="H26" s="97">
        <v>9</v>
      </c>
      <c r="I26" s="99">
        <v>8</v>
      </c>
      <c r="J26" s="114">
        <v>17</v>
      </c>
      <c r="K26" s="97">
        <v>23</v>
      </c>
      <c r="L26" s="114">
        <v>29</v>
      </c>
      <c r="M26" s="129">
        <v>0</v>
      </c>
      <c r="N26" s="130">
        <v>20</v>
      </c>
    </row>
    <row r="27" spans="2:14" ht="15" x14ac:dyDescent="0.2">
      <c r="B27" s="6973" t="s">
        <v>29</v>
      </c>
      <c r="C27" s="6974"/>
      <c r="D27" s="6975"/>
      <c r="E27" s="104">
        <v>0</v>
      </c>
      <c r="F27" s="104">
        <v>0</v>
      </c>
      <c r="G27" s="105">
        <v>26</v>
      </c>
      <c r="H27" s="104">
        <v>26</v>
      </c>
      <c r="I27" s="105">
        <v>27</v>
      </c>
      <c r="J27" s="106">
        <v>53</v>
      </c>
      <c r="K27" s="104">
        <v>49</v>
      </c>
      <c r="L27" s="106">
        <v>74</v>
      </c>
      <c r="M27" s="93">
        <v>0</v>
      </c>
      <c r="N27" s="94">
        <v>45</v>
      </c>
    </row>
    <row r="28" spans="2:14" x14ac:dyDescent="0.2">
      <c r="B28" s="52"/>
      <c r="C28" s="13"/>
      <c r="D28" s="55"/>
      <c r="E28" s="102"/>
      <c r="F28" s="102"/>
      <c r="G28" s="118"/>
      <c r="H28" s="119"/>
      <c r="I28" s="118"/>
      <c r="J28" s="120"/>
      <c r="K28" s="119"/>
      <c r="L28" s="120"/>
      <c r="M28" s="131"/>
      <c r="N28" s="132"/>
    </row>
    <row r="29" spans="2:14" x14ac:dyDescent="0.2">
      <c r="B29" s="50"/>
      <c r="C29" s="13" t="s">
        <v>5</v>
      </c>
      <c r="D29" s="51"/>
      <c r="E29" s="97"/>
      <c r="F29" s="97"/>
      <c r="G29" s="121"/>
      <c r="H29" s="122"/>
      <c r="I29" s="121"/>
      <c r="J29" s="123"/>
      <c r="K29" s="122"/>
      <c r="L29" s="123"/>
      <c r="M29" s="91"/>
      <c r="N29" s="92"/>
    </row>
    <row r="30" spans="2:14" x14ac:dyDescent="0.2">
      <c r="B30" s="50"/>
      <c r="C30" s="44"/>
      <c r="D30" s="53" t="s">
        <v>26</v>
      </c>
      <c r="E30" s="97"/>
      <c r="F30" s="97"/>
      <c r="G30" s="121"/>
      <c r="H30" s="122"/>
      <c r="I30" s="121"/>
      <c r="J30" s="123"/>
      <c r="K30" s="122"/>
      <c r="L30" s="123"/>
      <c r="M30" s="91"/>
      <c r="N30" s="92"/>
    </row>
    <row r="31" spans="2:14" x14ac:dyDescent="0.2">
      <c r="B31" s="50"/>
      <c r="C31" s="13"/>
      <c r="D31" s="53" t="s">
        <v>27</v>
      </c>
      <c r="E31" s="97">
        <v>6</v>
      </c>
      <c r="F31" s="97">
        <v>6</v>
      </c>
      <c r="G31" s="99">
        <v>22</v>
      </c>
      <c r="H31" s="97">
        <v>28</v>
      </c>
      <c r="I31" s="99">
        <v>35</v>
      </c>
      <c r="J31" s="114">
        <v>60</v>
      </c>
      <c r="K31" s="97">
        <v>19</v>
      </c>
      <c r="L31" s="114">
        <v>48</v>
      </c>
      <c r="M31" s="91">
        <v>0</v>
      </c>
      <c r="N31" s="92">
        <v>18</v>
      </c>
    </row>
    <row r="32" spans="2:14" x14ac:dyDescent="0.2">
      <c r="B32" s="50"/>
      <c r="C32" s="18"/>
      <c r="D32" s="53" t="s">
        <v>28</v>
      </c>
      <c r="E32" s="97">
        <v>0</v>
      </c>
      <c r="F32" s="97">
        <v>0</v>
      </c>
      <c r="G32" s="99">
        <v>0</v>
      </c>
      <c r="H32" s="97">
        <v>0</v>
      </c>
      <c r="I32" s="99">
        <v>0</v>
      </c>
      <c r="J32" s="114">
        <v>0</v>
      </c>
      <c r="K32" s="97">
        <v>0</v>
      </c>
      <c r="L32" s="114">
        <v>0</v>
      </c>
      <c r="M32" s="91">
        <v>0</v>
      </c>
      <c r="N32" s="92">
        <v>0</v>
      </c>
    </row>
    <row r="33" spans="2:14" x14ac:dyDescent="0.2">
      <c r="B33" s="50"/>
      <c r="C33" s="18"/>
      <c r="D33" s="54" t="s">
        <v>13</v>
      </c>
      <c r="E33" s="98">
        <v>6</v>
      </c>
      <c r="F33" s="98">
        <v>6</v>
      </c>
      <c r="G33" s="101">
        <v>22</v>
      </c>
      <c r="H33" s="98">
        <v>28</v>
      </c>
      <c r="I33" s="101">
        <v>35</v>
      </c>
      <c r="J33" s="100">
        <v>60</v>
      </c>
      <c r="K33" s="98">
        <v>19</v>
      </c>
      <c r="L33" s="100">
        <v>48</v>
      </c>
      <c r="M33" s="96">
        <v>0</v>
      </c>
      <c r="N33" s="95">
        <v>18</v>
      </c>
    </row>
    <row r="34" spans="2:14" x14ac:dyDescent="0.2">
      <c r="B34" s="50"/>
      <c r="C34" s="13" t="s">
        <v>6</v>
      </c>
      <c r="D34" s="55"/>
      <c r="E34" s="97"/>
      <c r="F34" s="97"/>
      <c r="G34" s="99"/>
      <c r="H34" s="97"/>
      <c r="I34" s="99"/>
      <c r="J34" s="114"/>
      <c r="K34" s="97"/>
      <c r="L34" s="114"/>
      <c r="M34" s="91"/>
      <c r="N34" s="92"/>
    </row>
    <row r="35" spans="2:14" x14ac:dyDescent="0.2">
      <c r="B35" s="50"/>
      <c r="C35" s="44"/>
      <c r="D35" s="53" t="s">
        <v>26</v>
      </c>
      <c r="E35" s="97">
        <v>0</v>
      </c>
      <c r="F35" s="97">
        <v>0</v>
      </c>
      <c r="G35" s="99">
        <v>0</v>
      </c>
      <c r="H35" s="97">
        <v>0</v>
      </c>
      <c r="I35" s="99">
        <v>0</v>
      </c>
      <c r="J35" s="114">
        <v>0</v>
      </c>
      <c r="K35" s="97">
        <v>0</v>
      </c>
      <c r="L35" s="114">
        <v>0</v>
      </c>
      <c r="M35" s="91">
        <v>0</v>
      </c>
      <c r="N35" s="92">
        <v>0</v>
      </c>
    </row>
    <row r="36" spans="2:14" x14ac:dyDescent="0.2">
      <c r="B36" s="50"/>
      <c r="C36" s="13"/>
      <c r="D36" s="53" t="s">
        <v>27</v>
      </c>
      <c r="E36" s="97">
        <v>0</v>
      </c>
      <c r="F36" s="97">
        <v>0</v>
      </c>
      <c r="G36" s="99">
        <v>0</v>
      </c>
      <c r="H36" s="97">
        <v>0</v>
      </c>
      <c r="I36" s="99">
        <v>0</v>
      </c>
      <c r="J36" s="114">
        <v>0</v>
      </c>
      <c r="K36" s="97">
        <v>0</v>
      </c>
      <c r="L36" s="114">
        <v>0</v>
      </c>
      <c r="M36" s="91">
        <v>0</v>
      </c>
      <c r="N36" s="92">
        <v>0</v>
      </c>
    </row>
    <row r="37" spans="2:14" x14ac:dyDescent="0.2">
      <c r="B37" s="50"/>
      <c r="C37" s="13"/>
      <c r="D37" s="53" t="s">
        <v>28</v>
      </c>
      <c r="E37" s="97">
        <v>0</v>
      </c>
      <c r="F37" s="97">
        <v>0</v>
      </c>
      <c r="G37" s="99">
        <v>0</v>
      </c>
      <c r="H37" s="97">
        <v>0</v>
      </c>
      <c r="I37" s="99">
        <v>0</v>
      </c>
      <c r="J37" s="114">
        <v>0</v>
      </c>
      <c r="K37" s="97">
        <v>0</v>
      </c>
      <c r="L37" s="114">
        <v>0</v>
      </c>
      <c r="M37" s="91">
        <v>0</v>
      </c>
      <c r="N37" s="92">
        <v>0</v>
      </c>
    </row>
    <row r="38" spans="2:14" x14ac:dyDescent="0.2">
      <c r="B38" s="50"/>
      <c r="C38" s="18"/>
      <c r="D38" s="56" t="s">
        <v>14</v>
      </c>
      <c r="E38" s="98">
        <v>0</v>
      </c>
      <c r="F38" s="98">
        <v>0</v>
      </c>
      <c r="G38" s="101">
        <v>0</v>
      </c>
      <c r="H38" s="98">
        <v>0</v>
      </c>
      <c r="I38" s="101">
        <v>0</v>
      </c>
      <c r="J38" s="100">
        <v>0</v>
      </c>
      <c r="K38" s="98">
        <v>0</v>
      </c>
      <c r="L38" s="100">
        <v>0</v>
      </c>
      <c r="M38" s="96">
        <v>0</v>
      </c>
      <c r="N38" s="95">
        <v>0</v>
      </c>
    </row>
    <row r="39" spans="2:14" x14ac:dyDescent="0.2">
      <c r="B39" s="50"/>
      <c r="C39" s="13" t="s">
        <v>11</v>
      </c>
      <c r="D39" s="55"/>
      <c r="E39" s="97"/>
      <c r="F39" s="97"/>
      <c r="G39" s="99"/>
      <c r="H39" s="97"/>
      <c r="I39" s="99"/>
      <c r="J39" s="114"/>
      <c r="K39" s="97"/>
      <c r="L39" s="114"/>
      <c r="M39" s="91"/>
      <c r="N39" s="92"/>
    </row>
    <row r="40" spans="2:14" x14ac:dyDescent="0.2">
      <c r="B40" s="50"/>
      <c r="C40" s="13"/>
      <c r="D40" s="53" t="s">
        <v>26</v>
      </c>
      <c r="E40" s="97">
        <v>0</v>
      </c>
      <c r="F40" s="97">
        <v>0</v>
      </c>
      <c r="G40" s="99">
        <v>0</v>
      </c>
      <c r="H40" s="97">
        <v>0</v>
      </c>
      <c r="I40" s="99">
        <v>0</v>
      </c>
      <c r="J40" s="114">
        <v>0</v>
      </c>
      <c r="K40" s="97">
        <v>0</v>
      </c>
      <c r="L40" s="114">
        <v>0</v>
      </c>
      <c r="M40" s="91">
        <v>0</v>
      </c>
      <c r="N40" s="92">
        <v>0</v>
      </c>
    </row>
    <row r="41" spans="2:14" x14ac:dyDescent="0.2">
      <c r="B41" s="50"/>
      <c r="C41" s="13"/>
      <c r="D41" s="53" t="s">
        <v>27</v>
      </c>
      <c r="E41" s="97">
        <v>0</v>
      </c>
      <c r="F41" s="97">
        <v>0</v>
      </c>
      <c r="G41" s="99">
        <v>0</v>
      </c>
      <c r="H41" s="97">
        <v>0</v>
      </c>
      <c r="I41" s="99">
        <v>0</v>
      </c>
      <c r="J41" s="114">
        <v>0</v>
      </c>
      <c r="K41" s="97">
        <v>0</v>
      </c>
      <c r="L41" s="114">
        <v>0</v>
      </c>
      <c r="M41" s="91">
        <v>0</v>
      </c>
      <c r="N41" s="92">
        <v>0</v>
      </c>
    </row>
    <row r="42" spans="2:14" x14ac:dyDescent="0.2">
      <c r="B42" s="50"/>
      <c r="C42" s="13"/>
      <c r="D42" s="53" t="s">
        <v>28</v>
      </c>
      <c r="E42" s="97">
        <v>0</v>
      </c>
      <c r="F42" s="97">
        <v>0</v>
      </c>
      <c r="G42" s="99">
        <v>0</v>
      </c>
      <c r="H42" s="97">
        <v>0</v>
      </c>
      <c r="I42" s="99">
        <v>0</v>
      </c>
      <c r="J42" s="114">
        <v>0</v>
      </c>
      <c r="K42" s="97">
        <v>0</v>
      </c>
      <c r="L42" s="114">
        <v>0</v>
      </c>
      <c r="M42" s="91">
        <v>0</v>
      </c>
      <c r="N42" s="92">
        <v>0</v>
      </c>
    </row>
    <row r="43" spans="2:14" x14ac:dyDescent="0.2">
      <c r="B43" s="50"/>
      <c r="C43" s="18"/>
      <c r="D43" s="56" t="s">
        <v>30</v>
      </c>
      <c r="E43" s="98">
        <v>0</v>
      </c>
      <c r="F43" s="98">
        <v>0</v>
      </c>
      <c r="G43" s="101">
        <v>0</v>
      </c>
      <c r="H43" s="98">
        <v>0</v>
      </c>
      <c r="I43" s="101">
        <v>0</v>
      </c>
      <c r="J43" s="100">
        <v>0</v>
      </c>
      <c r="K43" s="98">
        <v>0</v>
      </c>
      <c r="L43" s="100">
        <v>0</v>
      </c>
      <c r="M43" s="96">
        <v>0</v>
      </c>
      <c r="N43" s="95">
        <v>0</v>
      </c>
    </row>
    <row r="44" spans="2:14" x14ac:dyDescent="0.2">
      <c r="B44" s="6389" t="s">
        <v>75</v>
      </c>
      <c r="C44" s="6390"/>
      <c r="D44" s="53"/>
      <c r="E44" s="97"/>
      <c r="F44" s="97"/>
      <c r="G44" s="99"/>
      <c r="H44" s="97"/>
      <c r="I44" s="99"/>
      <c r="J44" s="114"/>
      <c r="K44" s="97"/>
      <c r="L44" s="114"/>
      <c r="M44" s="91"/>
      <c r="N44" s="92"/>
    </row>
    <row r="45" spans="2:14" x14ac:dyDescent="0.2">
      <c r="B45" s="50"/>
      <c r="C45" s="13"/>
      <c r="D45" s="53" t="s">
        <v>26</v>
      </c>
      <c r="E45" s="97">
        <v>0</v>
      </c>
      <c r="F45" s="97">
        <v>0</v>
      </c>
      <c r="G45" s="99">
        <v>0</v>
      </c>
      <c r="H45" s="97">
        <v>0</v>
      </c>
      <c r="I45" s="99">
        <v>0</v>
      </c>
      <c r="J45" s="114">
        <v>0</v>
      </c>
      <c r="K45" s="97">
        <v>0</v>
      </c>
      <c r="L45" s="114">
        <v>0</v>
      </c>
      <c r="M45" s="91">
        <v>0</v>
      </c>
      <c r="N45" s="92">
        <v>0</v>
      </c>
    </row>
    <row r="46" spans="2:14" x14ac:dyDescent="0.2">
      <c r="B46" s="50"/>
      <c r="C46" s="13"/>
      <c r="D46" s="53" t="s">
        <v>27</v>
      </c>
      <c r="E46" s="97">
        <v>6</v>
      </c>
      <c r="F46" s="97">
        <v>6</v>
      </c>
      <c r="G46" s="99">
        <v>22</v>
      </c>
      <c r="H46" s="97">
        <v>28</v>
      </c>
      <c r="I46" s="99">
        <v>35</v>
      </c>
      <c r="J46" s="114">
        <v>60</v>
      </c>
      <c r="K46" s="97">
        <v>19</v>
      </c>
      <c r="L46" s="114">
        <v>48</v>
      </c>
      <c r="M46" s="91">
        <v>0</v>
      </c>
      <c r="N46" s="92">
        <v>18</v>
      </c>
    </row>
    <row r="47" spans="2:14" x14ac:dyDescent="0.2">
      <c r="B47" s="50"/>
      <c r="C47" s="13"/>
      <c r="D47" s="53" t="s">
        <v>28</v>
      </c>
      <c r="E47" s="97">
        <v>0</v>
      </c>
      <c r="F47" s="97">
        <v>0</v>
      </c>
      <c r="G47" s="99">
        <v>0</v>
      </c>
      <c r="H47" s="97">
        <v>0</v>
      </c>
      <c r="I47" s="99">
        <v>0</v>
      </c>
      <c r="J47" s="114">
        <v>0</v>
      </c>
      <c r="K47" s="97">
        <v>0</v>
      </c>
      <c r="L47" s="114">
        <v>0</v>
      </c>
      <c r="M47" s="129">
        <v>0</v>
      </c>
      <c r="N47" s="130">
        <v>0</v>
      </c>
    </row>
    <row r="48" spans="2:14" ht="15" x14ac:dyDescent="0.2">
      <c r="B48" s="6973" t="s">
        <v>31</v>
      </c>
      <c r="C48" s="6974"/>
      <c r="D48" s="6975"/>
      <c r="E48" s="104">
        <v>6</v>
      </c>
      <c r="F48" s="104">
        <v>6</v>
      </c>
      <c r="G48" s="105">
        <v>22</v>
      </c>
      <c r="H48" s="104">
        <v>28</v>
      </c>
      <c r="I48" s="105">
        <v>35</v>
      </c>
      <c r="J48" s="106">
        <v>60</v>
      </c>
      <c r="K48" s="104">
        <v>19</v>
      </c>
      <c r="L48" s="106">
        <v>48</v>
      </c>
      <c r="M48" s="133">
        <v>0</v>
      </c>
      <c r="N48" s="134">
        <v>18</v>
      </c>
    </row>
    <row r="49" spans="2:14" x14ac:dyDescent="0.2">
      <c r="B49" s="50"/>
      <c r="C49" s="18"/>
      <c r="D49" s="53"/>
      <c r="E49" s="97"/>
      <c r="F49" s="97"/>
      <c r="G49" s="121"/>
      <c r="H49" s="122"/>
      <c r="I49" s="121"/>
      <c r="J49" s="123"/>
      <c r="K49" s="122"/>
      <c r="L49" s="123"/>
      <c r="M49" s="131"/>
      <c r="N49" s="132"/>
    </row>
    <row r="50" spans="2:14" x14ac:dyDescent="0.2">
      <c r="B50" s="50"/>
      <c r="C50" s="13" t="s">
        <v>6</v>
      </c>
      <c r="D50" s="51"/>
      <c r="E50" s="97"/>
      <c r="F50" s="97"/>
      <c r="G50" s="121"/>
      <c r="H50" s="122"/>
      <c r="I50" s="121"/>
      <c r="J50" s="123"/>
      <c r="K50" s="122"/>
      <c r="L50" s="123"/>
      <c r="M50" s="91"/>
      <c r="N50" s="92"/>
    </row>
    <row r="51" spans="2:14" x14ac:dyDescent="0.2">
      <c r="B51" s="50"/>
      <c r="C51" s="44"/>
      <c r="D51" s="53" t="s">
        <v>26</v>
      </c>
      <c r="E51" s="97">
        <v>0</v>
      </c>
      <c r="F51" s="97">
        <v>0</v>
      </c>
      <c r="G51" s="99">
        <v>0</v>
      </c>
      <c r="H51" s="97">
        <v>0</v>
      </c>
      <c r="I51" s="99">
        <v>0</v>
      </c>
      <c r="J51" s="114">
        <v>0</v>
      </c>
      <c r="K51" s="97">
        <v>0</v>
      </c>
      <c r="L51" s="114">
        <v>0</v>
      </c>
      <c r="M51" s="91">
        <v>0</v>
      </c>
      <c r="N51" s="92">
        <v>0</v>
      </c>
    </row>
    <row r="52" spans="2:14" x14ac:dyDescent="0.2">
      <c r="B52" s="50"/>
      <c r="C52" s="13"/>
      <c r="D52" s="53" t="s">
        <v>27</v>
      </c>
      <c r="E52" s="97">
        <v>0</v>
      </c>
      <c r="F52" s="97">
        <v>0</v>
      </c>
      <c r="G52" s="99">
        <v>0</v>
      </c>
      <c r="H52" s="97">
        <v>0</v>
      </c>
      <c r="I52" s="99">
        <v>0</v>
      </c>
      <c r="J52" s="114">
        <v>0</v>
      </c>
      <c r="K52" s="97">
        <v>0</v>
      </c>
      <c r="L52" s="114">
        <v>0</v>
      </c>
      <c r="M52" s="91">
        <v>0</v>
      </c>
      <c r="N52" s="92">
        <v>0</v>
      </c>
    </row>
    <row r="53" spans="2:14" x14ac:dyDescent="0.2">
      <c r="B53" s="50"/>
      <c r="C53" s="18"/>
      <c r="D53" s="53" t="s">
        <v>28</v>
      </c>
      <c r="E53" s="97">
        <v>0</v>
      </c>
      <c r="F53" s="97">
        <v>0</v>
      </c>
      <c r="G53" s="99">
        <v>0</v>
      </c>
      <c r="H53" s="97">
        <v>0</v>
      </c>
      <c r="I53" s="99">
        <v>0</v>
      </c>
      <c r="J53" s="114">
        <v>0</v>
      </c>
      <c r="K53" s="97">
        <v>0</v>
      </c>
      <c r="L53" s="114">
        <v>0</v>
      </c>
      <c r="M53" s="91">
        <v>0</v>
      </c>
      <c r="N53" s="92">
        <v>0</v>
      </c>
    </row>
    <row r="54" spans="2:14" x14ac:dyDescent="0.2">
      <c r="B54" s="50"/>
      <c r="C54" s="18"/>
      <c r="D54" s="54" t="s">
        <v>14</v>
      </c>
      <c r="E54" s="98"/>
      <c r="F54" s="98"/>
      <c r="G54" s="101">
        <v>0</v>
      </c>
      <c r="H54" s="98">
        <v>0</v>
      </c>
      <c r="I54" s="101">
        <v>0</v>
      </c>
      <c r="J54" s="100">
        <v>0</v>
      </c>
      <c r="K54" s="98">
        <v>0</v>
      </c>
      <c r="L54" s="100">
        <v>0</v>
      </c>
      <c r="M54" s="96">
        <v>0</v>
      </c>
      <c r="N54" s="95">
        <v>0</v>
      </c>
    </row>
    <row r="55" spans="2:14" x14ac:dyDescent="0.2">
      <c r="B55" s="50"/>
      <c r="C55" s="13" t="s">
        <v>11</v>
      </c>
      <c r="D55" s="55"/>
      <c r="E55" s="97"/>
      <c r="F55" s="97"/>
      <c r="G55" s="99"/>
      <c r="H55" s="97"/>
      <c r="I55" s="99"/>
      <c r="J55" s="114"/>
      <c r="K55" s="97"/>
      <c r="L55" s="114"/>
      <c r="M55" s="91"/>
      <c r="N55" s="92"/>
    </row>
    <row r="56" spans="2:14" x14ac:dyDescent="0.2">
      <c r="B56" s="50"/>
      <c r="C56" s="44"/>
      <c r="D56" s="53" t="s">
        <v>26</v>
      </c>
      <c r="E56" s="97">
        <v>0</v>
      </c>
      <c r="F56" s="97">
        <v>0</v>
      </c>
      <c r="G56" s="99">
        <v>0</v>
      </c>
      <c r="H56" s="97">
        <v>0</v>
      </c>
      <c r="I56" s="99">
        <v>0</v>
      </c>
      <c r="J56" s="114">
        <v>0</v>
      </c>
      <c r="K56" s="97">
        <v>0</v>
      </c>
      <c r="L56" s="114">
        <v>0</v>
      </c>
      <c r="M56" s="91">
        <v>0</v>
      </c>
      <c r="N56" s="92">
        <v>0</v>
      </c>
    </row>
    <row r="57" spans="2:14" x14ac:dyDescent="0.2">
      <c r="B57" s="50"/>
      <c r="C57" s="13"/>
      <c r="D57" s="53" t="s">
        <v>27</v>
      </c>
      <c r="E57" s="97">
        <v>6</v>
      </c>
      <c r="F57" s="97">
        <v>6</v>
      </c>
      <c r="G57" s="99">
        <v>0</v>
      </c>
      <c r="H57" s="97">
        <v>6</v>
      </c>
      <c r="I57" s="99">
        <v>14</v>
      </c>
      <c r="J57" s="114">
        <v>14</v>
      </c>
      <c r="K57" s="97">
        <v>19</v>
      </c>
      <c r="L57" s="114">
        <v>33</v>
      </c>
      <c r="M57" s="91">
        <v>0</v>
      </c>
      <c r="N57" s="92">
        <v>19</v>
      </c>
    </row>
    <row r="58" spans="2:14" x14ac:dyDescent="0.2">
      <c r="B58" s="50"/>
      <c r="C58" s="13"/>
      <c r="D58" s="53" t="s">
        <v>28</v>
      </c>
      <c r="E58" s="97">
        <v>1</v>
      </c>
      <c r="F58" s="97">
        <v>1</v>
      </c>
      <c r="G58" s="99">
        <v>0</v>
      </c>
      <c r="H58" s="97">
        <v>1</v>
      </c>
      <c r="I58" s="99">
        <v>0</v>
      </c>
      <c r="J58" s="114">
        <v>0</v>
      </c>
      <c r="K58" s="97">
        <v>0</v>
      </c>
      <c r="L58" s="114">
        <v>0</v>
      </c>
      <c r="M58" s="91">
        <v>0</v>
      </c>
      <c r="N58" s="92">
        <v>0</v>
      </c>
    </row>
    <row r="59" spans="2:14" x14ac:dyDescent="0.2">
      <c r="B59" s="50"/>
      <c r="C59" s="18"/>
      <c r="D59" s="56" t="s">
        <v>30</v>
      </c>
      <c r="E59" s="98"/>
      <c r="F59" s="98"/>
      <c r="G59" s="101">
        <v>0</v>
      </c>
      <c r="H59" s="98">
        <v>7</v>
      </c>
      <c r="I59" s="101">
        <v>14</v>
      </c>
      <c r="J59" s="100">
        <v>14</v>
      </c>
      <c r="K59" s="98">
        <v>19</v>
      </c>
      <c r="L59" s="100">
        <v>33</v>
      </c>
      <c r="M59" s="96">
        <v>0</v>
      </c>
      <c r="N59" s="95">
        <v>19</v>
      </c>
    </row>
    <row r="60" spans="2:14" x14ac:dyDescent="0.2">
      <c r="B60" s="50"/>
      <c r="C60" s="13" t="s">
        <v>7</v>
      </c>
      <c r="D60" s="55"/>
      <c r="E60" s="97"/>
      <c r="F60" s="97"/>
      <c r="G60" s="99"/>
      <c r="H60" s="97"/>
      <c r="I60" s="99"/>
      <c r="J60" s="114"/>
      <c r="K60" s="97"/>
      <c r="L60" s="114"/>
      <c r="M60" s="91"/>
      <c r="N60" s="92"/>
    </row>
    <row r="61" spans="2:14" x14ac:dyDescent="0.2">
      <c r="B61" s="50"/>
      <c r="C61" s="13"/>
      <c r="D61" s="53" t="s">
        <v>26</v>
      </c>
      <c r="E61" s="97"/>
      <c r="F61" s="97"/>
      <c r="G61" s="99"/>
      <c r="H61" s="97"/>
      <c r="I61" s="99"/>
      <c r="J61" s="114"/>
      <c r="K61" s="97"/>
      <c r="L61" s="114"/>
      <c r="M61" s="91"/>
      <c r="N61" s="92"/>
    </row>
    <row r="62" spans="2:14" x14ac:dyDescent="0.2">
      <c r="B62" s="50"/>
      <c r="C62" s="13"/>
      <c r="D62" s="53" t="s">
        <v>27</v>
      </c>
      <c r="E62" s="97">
        <v>0</v>
      </c>
      <c r="F62" s="97">
        <v>0</v>
      </c>
      <c r="G62" s="99">
        <v>0</v>
      </c>
      <c r="H62" s="97">
        <v>0</v>
      </c>
      <c r="I62" s="99">
        <v>0</v>
      </c>
      <c r="J62" s="114">
        <v>0</v>
      </c>
      <c r="K62" s="97">
        <v>0</v>
      </c>
      <c r="L62" s="114">
        <v>0</v>
      </c>
      <c r="M62" s="91">
        <v>0</v>
      </c>
      <c r="N62" s="92">
        <v>0</v>
      </c>
    </row>
    <row r="63" spans="2:14" x14ac:dyDescent="0.2">
      <c r="B63" s="50"/>
      <c r="C63" s="13"/>
      <c r="D63" s="53" t="s">
        <v>28</v>
      </c>
      <c r="E63" s="97">
        <v>0</v>
      </c>
      <c r="F63" s="97">
        <v>0</v>
      </c>
      <c r="G63" s="99">
        <v>0</v>
      </c>
      <c r="H63" s="97">
        <v>0</v>
      </c>
      <c r="I63" s="99">
        <v>0</v>
      </c>
      <c r="J63" s="114">
        <v>0</v>
      </c>
      <c r="K63" s="97">
        <v>0</v>
      </c>
      <c r="L63" s="114">
        <v>0</v>
      </c>
      <c r="M63" s="91">
        <v>0</v>
      </c>
      <c r="N63" s="92">
        <v>0</v>
      </c>
    </row>
    <row r="64" spans="2:14" x14ac:dyDescent="0.2">
      <c r="B64" s="50"/>
      <c r="C64" s="18"/>
      <c r="D64" s="56" t="s">
        <v>15</v>
      </c>
      <c r="E64" s="98"/>
      <c r="F64" s="98"/>
      <c r="G64" s="101">
        <v>0</v>
      </c>
      <c r="H64" s="98">
        <v>0</v>
      </c>
      <c r="I64" s="101">
        <v>0</v>
      </c>
      <c r="J64" s="100">
        <v>0</v>
      </c>
      <c r="K64" s="98">
        <v>0</v>
      </c>
      <c r="L64" s="100">
        <v>0</v>
      </c>
      <c r="M64" s="96">
        <v>0</v>
      </c>
      <c r="N64" s="95">
        <v>0</v>
      </c>
    </row>
    <row r="65" spans="2:14" x14ac:dyDescent="0.2">
      <c r="B65" s="6389" t="s">
        <v>10</v>
      </c>
      <c r="C65" s="6390"/>
      <c r="D65" s="53"/>
      <c r="E65" s="97"/>
      <c r="F65" s="97"/>
      <c r="G65" s="99"/>
      <c r="H65" s="97"/>
      <c r="I65" s="99"/>
      <c r="J65" s="114"/>
      <c r="K65" s="97"/>
      <c r="L65" s="114"/>
      <c r="M65" s="91"/>
      <c r="N65" s="92"/>
    </row>
    <row r="66" spans="2:14" x14ac:dyDescent="0.2">
      <c r="B66" s="50"/>
      <c r="C66" s="13"/>
      <c r="D66" s="53" t="s">
        <v>26</v>
      </c>
      <c r="E66" s="97">
        <v>0</v>
      </c>
      <c r="F66" s="97">
        <v>0</v>
      </c>
      <c r="G66" s="99">
        <v>0</v>
      </c>
      <c r="H66" s="97">
        <v>0</v>
      </c>
      <c r="I66" s="99">
        <v>0</v>
      </c>
      <c r="J66" s="114">
        <v>0</v>
      </c>
      <c r="K66" s="97">
        <v>0</v>
      </c>
      <c r="L66" s="114">
        <v>0</v>
      </c>
      <c r="M66" s="91">
        <v>0</v>
      </c>
      <c r="N66" s="92">
        <v>0</v>
      </c>
    </row>
    <row r="67" spans="2:14" x14ac:dyDescent="0.2">
      <c r="B67" s="50"/>
      <c r="C67" s="13"/>
      <c r="D67" s="53" t="s">
        <v>27</v>
      </c>
      <c r="E67" s="97">
        <v>6</v>
      </c>
      <c r="F67" s="97">
        <v>6</v>
      </c>
      <c r="G67" s="99">
        <v>0</v>
      </c>
      <c r="H67" s="97">
        <v>6</v>
      </c>
      <c r="I67" s="99">
        <v>14</v>
      </c>
      <c r="J67" s="114">
        <v>14</v>
      </c>
      <c r="K67" s="97">
        <v>19</v>
      </c>
      <c r="L67" s="114">
        <v>33</v>
      </c>
      <c r="M67" s="91">
        <v>0</v>
      </c>
      <c r="N67" s="92">
        <v>19</v>
      </c>
    </row>
    <row r="68" spans="2:14" x14ac:dyDescent="0.2">
      <c r="B68" s="50"/>
      <c r="C68" s="13"/>
      <c r="D68" s="53" t="s">
        <v>28</v>
      </c>
      <c r="E68" s="97">
        <v>1</v>
      </c>
      <c r="F68" s="97">
        <v>1</v>
      </c>
      <c r="G68" s="99">
        <v>0</v>
      </c>
      <c r="H68" s="97">
        <v>1</v>
      </c>
      <c r="I68" s="99">
        <v>0</v>
      </c>
      <c r="J68" s="114">
        <v>0</v>
      </c>
      <c r="K68" s="97">
        <v>0</v>
      </c>
      <c r="L68" s="114">
        <v>0</v>
      </c>
      <c r="M68" s="129">
        <v>0</v>
      </c>
      <c r="N68" s="130">
        <v>0</v>
      </c>
    </row>
    <row r="69" spans="2:14" ht="15" x14ac:dyDescent="0.2">
      <c r="B69" s="6973" t="s">
        <v>32</v>
      </c>
      <c r="C69" s="6974"/>
      <c r="D69" s="6975"/>
      <c r="E69" s="104">
        <v>7</v>
      </c>
      <c r="F69" s="104">
        <v>7</v>
      </c>
      <c r="G69" s="105">
        <v>0</v>
      </c>
      <c r="H69" s="104">
        <v>7</v>
      </c>
      <c r="I69" s="105">
        <v>14</v>
      </c>
      <c r="J69" s="106">
        <v>14</v>
      </c>
      <c r="K69" s="104">
        <v>19</v>
      </c>
      <c r="L69" s="106">
        <v>33</v>
      </c>
      <c r="M69" s="93">
        <v>0</v>
      </c>
      <c r="N69" s="94">
        <v>19</v>
      </c>
    </row>
    <row r="70" spans="2:14" x14ac:dyDescent="0.2">
      <c r="B70" s="50"/>
      <c r="C70" s="18"/>
      <c r="D70" s="53"/>
      <c r="E70" s="97"/>
      <c r="F70" s="97"/>
      <c r="G70" s="99"/>
      <c r="H70" s="97"/>
      <c r="I70" s="99"/>
      <c r="J70" s="114"/>
      <c r="K70" s="97"/>
      <c r="L70" s="114"/>
      <c r="M70" s="131"/>
      <c r="N70" s="132"/>
    </row>
    <row r="71" spans="2:14" x14ac:dyDescent="0.2">
      <c r="B71" s="6389" t="s">
        <v>60</v>
      </c>
      <c r="C71" s="6390"/>
      <c r="D71" s="53" t="s">
        <v>26</v>
      </c>
      <c r="E71" s="97">
        <v>0</v>
      </c>
      <c r="F71" s="97">
        <v>0</v>
      </c>
      <c r="G71" s="99">
        <v>0</v>
      </c>
      <c r="H71" s="97">
        <v>0</v>
      </c>
      <c r="I71" s="99">
        <v>0</v>
      </c>
      <c r="J71" s="114">
        <v>0</v>
      </c>
      <c r="K71" s="97">
        <v>0</v>
      </c>
      <c r="L71" s="114">
        <v>0</v>
      </c>
      <c r="M71" s="91">
        <v>0</v>
      </c>
      <c r="N71" s="92">
        <v>0</v>
      </c>
    </row>
    <row r="72" spans="2:14" x14ac:dyDescent="0.2">
      <c r="B72" s="52"/>
      <c r="C72" s="13"/>
      <c r="D72" s="53" t="s">
        <v>27</v>
      </c>
      <c r="E72" s="97">
        <v>12</v>
      </c>
      <c r="F72" s="97">
        <v>12</v>
      </c>
      <c r="G72" s="99">
        <v>39</v>
      </c>
      <c r="H72" s="97">
        <v>51</v>
      </c>
      <c r="I72" s="99">
        <v>68</v>
      </c>
      <c r="J72" s="114">
        <v>110</v>
      </c>
      <c r="K72" s="97">
        <v>64</v>
      </c>
      <c r="L72" s="114">
        <v>126</v>
      </c>
      <c r="M72" s="91">
        <v>0</v>
      </c>
      <c r="N72" s="92">
        <v>62</v>
      </c>
    </row>
    <row r="73" spans="2:14" x14ac:dyDescent="0.2">
      <c r="B73" s="52"/>
      <c r="C73" s="13"/>
      <c r="D73" s="53" t="s">
        <v>28</v>
      </c>
      <c r="E73" s="97">
        <v>1</v>
      </c>
      <c r="F73" s="97">
        <v>1</v>
      </c>
      <c r="G73" s="99">
        <v>9</v>
      </c>
      <c r="H73" s="97">
        <v>10</v>
      </c>
      <c r="I73" s="99">
        <v>8</v>
      </c>
      <c r="J73" s="114">
        <v>17</v>
      </c>
      <c r="K73" s="97">
        <v>23</v>
      </c>
      <c r="L73" s="114">
        <v>29</v>
      </c>
      <c r="M73" s="129">
        <v>0</v>
      </c>
      <c r="N73" s="130">
        <v>20</v>
      </c>
    </row>
    <row r="74" spans="2:14" s="77" customFormat="1" ht="15" x14ac:dyDescent="0.2">
      <c r="B74" s="6987" t="s">
        <v>76</v>
      </c>
      <c r="C74" s="6988"/>
      <c r="D74" s="6989"/>
      <c r="E74" s="110">
        <v>13</v>
      </c>
      <c r="F74" s="110">
        <v>13</v>
      </c>
      <c r="G74" s="111">
        <v>48</v>
      </c>
      <c r="H74" s="110">
        <v>61</v>
      </c>
      <c r="I74" s="111">
        <v>76</v>
      </c>
      <c r="J74" s="112">
        <v>127</v>
      </c>
      <c r="K74" s="110">
        <v>87</v>
      </c>
      <c r="L74" s="112">
        <v>155</v>
      </c>
      <c r="M74" s="126">
        <v>0</v>
      </c>
      <c r="N74" s="127">
        <v>82</v>
      </c>
    </row>
    <row r="75" spans="2:14" x14ac:dyDescent="0.2">
      <c r="B75" s="86" t="s">
        <v>131</v>
      </c>
    </row>
  </sheetData>
  <mergeCells count="18">
    <mergeCell ref="B74:D74"/>
    <mergeCell ref="B69:D69"/>
    <mergeCell ref="B48:D48"/>
    <mergeCell ref="B27:D27"/>
    <mergeCell ref="B71:C71"/>
    <mergeCell ref="B44:C44"/>
    <mergeCell ref="B65:C65"/>
    <mergeCell ref="M5:N5"/>
    <mergeCell ref="B3:N3"/>
    <mergeCell ref="B2:N2"/>
    <mergeCell ref="B23:C23"/>
    <mergeCell ref="E5:F5"/>
    <mergeCell ref="K5:L5"/>
    <mergeCell ref="G5:H5"/>
    <mergeCell ref="I5:J5"/>
    <mergeCell ref="B5:B6"/>
    <mergeCell ref="C5:C6"/>
    <mergeCell ref="D5:D6"/>
  </mergeCells>
  <phoneticPr fontId="81" type="noConversion"/>
  <printOptions horizontalCentered="1" verticalCentered="1"/>
  <pageMargins left="0.39370078740157483" right="0.39370078740157483" top="0.55118110236220474" bottom="0.59055118110236227" header="0" footer="0.31496062992125984"/>
  <pageSetup scale="50" orientation="landscape" horizontalDpi="1200" verticalDpi="1200" r:id="rId1"/>
  <headerFooter alignWithMargins="0">
    <oddHeader>&amp;LANEXO ESTADÍSTICO 2008&amp;CBECAS&amp;R&amp;G</oddHeader>
    <oddFooter>&amp;R67</oddFoot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B1:P88"/>
  <sheetViews>
    <sheetView showGridLines="0" topLeftCell="B1" zoomScaleNormal="100" workbookViewId="0">
      <pane xSplit="3" ySplit="4" topLeftCell="E5" activePane="bottomRight" state="frozen"/>
      <selection sqref="A1:E1"/>
      <selection pane="topRight" sqref="A1:E1"/>
      <selection pane="bottomLeft" sqref="A1:E1"/>
      <selection pane="bottomRight" activeCell="V13" sqref="V13"/>
    </sheetView>
  </sheetViews>
  <sheetFormatPr baseColWidth="10" defaultRowHeight="15" x14ac:dyDescent="0.25"/>
  <cols>
    <col min="1" max="1" width="11.42578125" style="2756"/>
    <col min="2" max="2" width="8" style="2756" customWidth="1"/>
    <col min="3" max="3" width="8.7109375" style="2756" customWidth="1"/>
    <col min="4" max="4" width="51.42578125" style="2756" bestFit="1" customWidth="1"/>
    <col min="5" max="6" width="9.28515625" style="2756" customWidth="1"/>
    <col min="7" max="7" width="8.85546875" style="2756" customWidth="1"/>
    <col min="8" max="9" width="9.28515625" style="2756" customWidth="1"/>
    <col min="10" max="11" width="8.85546875" style="2756" customWidth="1"/>
    <col min="12" max="12" width="9.140625" style="2756" customWidth="1"/>
    <col min="13" max="13" width="8.85546875" style="2756" customWidth="1"/>
    <col min="14" max="14" width="8.85546875" style="2756" bestFit="1" customWidth="1"/>
    <col min="15" max="15" width="9.140625" style="2756" bestFit="1" customWidth="1"/>
    <col min="16" max="16" width="8.7109375" style="2756" customWidth="1"/>
    <col min="17" max="16384" width="11.42578125" style="2756"/>
  </cols>
  <sheetData>
    <row r="1" spans="2:16" ht="18.75" x14ac:dyDescent="0.25">
      <c r="B1" s="3697" t="s">
        <v>1469</v>
      </c>
    </row>
    <row r="2" spans="2:16" ht="12.75" customHeight="1" x14ac:dyDescent="0.25">
      <c r="C2" s="2765"/>
      <c r="D2" s="2765"/>
      <c r="E2" s="2765"/>
      <c r="F2" s="2765"/>
      <c r="G2" s="2765"/>
    </row>
    <row r="3" spans="2:16" ht="15" customHeight="1" x14ac:dyDescent="0.25">
      <c r="B3" s="6993" t="s">
        <v>51</v>
      </c>
      <c r="C3" s="6993" t="s">
        <v>685</v>
      </c>
      <c r="D3" s="6993" t="s">
        <v>816</v>
      </c>
      <c r="E3" s="6990">
        <v>2014</v>
      </c>
      <c r="F3" s="6991"/>
      <c r="G3" s="6992"/>
      <c r="H3" s="6990">
        <v>2015</v>
      </c>
      <c r="I3" s="6991"/>
      <c r="J3" s="6992"/>
      <c r="K3" s="6990">
        <v>2016</v>
      </c>
      <c r="L3" s="6991"/>
      <c r="M3" s="6992"/>
      <c r="N3" s="6990">
        <v>2017</v>
      </c>
      <c r="O3" s="6991"/>
      <c r="P3" s="6992"/>
    </row>
    <row r="4" spans="2:16" x14ac:dyDescent="0.25">
      <c r="B4" s="6994"/>
      <c r="C4" s="6994"/>
      <c r="D4" s="6994"/>
      <c r="E4" s="5589" t="s">
        <v>658</v>
      </c>
      <c r="F4" s="5589" t="s">
        <v>659</v>
      </c>
      <c r="G4" s="3478" t="s">
        <v>160</v>
      </c>
      <c r="H4" s="5589" t="s">
        <v>658</v>
      </c>
      <c r="I4" s="5589" t="s">
        <v>659</v>
      </c>
      <c r="J4" s="3478" t="s">
        <v>160</v>
      </c>
      <c r="K4" s="5589" t="s">
        <v>658</v>
      </c>
      <c r="L4" s="5589" t="s">
        <v>659</v>
      </c>
      <c r="M4" s="3478" t="s">
        <v>160</v>
      </c>
      <c r="N4" s="5589" t="s">
        <v>658</v>
      </c>
      <c r="O4" s="5589" t="s">
        <v>659</v>
      </c>
      <c r="P4" s="3478" t="s">
        <v>160</v>
      </c>
    </row>
    <row r="5" spans="2:16" ht="15" customHeight="1" x14ac:dyDescent="0.25">
      <c r="B5" s="7008" t="s">
        <v>161</v>
      </c>
      <c r="C5" s="7003" t="s">
        <v>5</v>
      </c>
      <c r="D5" s="2757" t="s">
        <v>1770</v>
      </c>
      <c r="E5" s="4650">
        <v>1</v>
      </c>
      <c r="F5" s="4651"/>
      <c r="G5" s="2758">
        <f t="shared" ref="G5:G20" si="0">+E5+F5</f>
        <v>1</v>
      </c>
      <c r="H5" s="4662">
        <v>4</v>
      </c>
      <c r="I5" s="4663">
        <v>1</v>
      </c>
      <c r="J5" s="2758">
        <f>+H5+I5</f>
        <v>5</v>
      </c>
      <c r="K5" s="4662">
        <v>5</v>
      </c>
      <c r="L5" s="4663">
        <v>1</v>
      </c>
      <c r="M5" s="2758">
        <f>+K5+L5</f>
        <v>6</v>
      </c>
      <c r="N5" s="4662">
        <v>2</v>
      </c>
      <c r="O5" s="4663">
        <v>3</v>
      </c>
      <c r="P5" s="4145">
        <f>+N5+O5</f>
        <v>5</v>
      </c>
    </row>
    <row r="6" spans="2:16" ht="15" customHeight="1" x14ac:dyDescent="0.25">
      <c r="B6" s="7009"/>
      <c r="C6" s="7005"/>
      <c r="D6" s="5369" t="s">
        <v>135</v>
      </c>
      <c r="E6" s="5370"/>
      <c r="F6" s="4668"/>
      <c r="G6" s="5371"/>
      <c r="H6" s="5372"/>
      <c r="I6" s="5373"/>
      <c r="J6" s="5371"/>
      <c r="K6" s="5372"/>
      <c r="L6" s="5373"/>
      <c r="M6" s="5371"/>
      <c r="N6" s="5372"/>
      <c r="O6" s="5373">
        <v>2</v>
      </c>
      <c r="P6" s="4145">
        <f>+N6+O6</f>
        <v>2</v>
      </c>
    </row>
    <row r="7" spans="2:16" ht="15" customHeight="1" x14ac:dyDescent="0.25">
      <c r="B7" s="7009"/>
      <c r="C7" s="7005"/>
      <c r="D7" s="2759" t="s">
        <v>614</v>
      </c>
      <c r="E7" s="4652"/>
      <c r="F7" s="4653">
        <v>2</v>
      </c>
      <c r="G7" s="2760">
        <f t="shared" si="0"/>
        <v>2</v>
      </c>
      <c r="H7" s="4664"/>
      <c r="I7" s="4665"/>
      <c r="J7" s="2760"/>
      <c r="K7" s="4664"/>
      <c r="L7" s="4665"/>
      <c r="M7" s="2760"/>
      <c r="N7" s="4664"/>
      <c r="O7" s="4665"/>
      <c r="P7" s="4145"/>
    </row>
    <row r="8" spans="2:16" ht="15" customHeight="1" x14ac:dyDescent="0.25">
      <c r="B8" s="7009"/>
      <c r="C8" s="7005"/>
      <c r="D8" s="2759" t="s">
        <v>137</v>
      </c>
      <c r="E8" s="4652"/>
      <c r="F8" s="4653"/>
      <c r="G8" s="2760">
        <f t="shared" si="0"/>
        <v>0</v>
      </c>
      <c r="H8" s="4664"/>
      <c r="I8" s="4665">
        <v>2</v>
      </c>
      <c r="J8" s="2760">
        <f t="shared" ref="J8:J17" si="1">+H8+I8</f>
        <v>2</v>
      </c>
      <c r="K8" s="4664"/>
      <c r="L8" s="4665">
        <v>3</v>
      </c>
      <c r="M8" s="2760">
        <f t="shared" ref="M8:M13" si="2">+K8+L8</f>
        <v>3</v>
      </c>
      <c r="N8" s="4664"/>
      <c r="O8" s="4665">
        <v>2</v>
      </c>
      <c r="P8" s="2760">
        <f t="shared" ref="P8:P13" si="3">+N8+O8</f>
        <v>2</v>
      </c>
    </row>
    <row r="9" spans="2:16" ht="15" customHeight="1" x14ac:dyDescent="0.25">
      <c r="B9" s="7009"/>
      <c r="C9" s="7005"/>
      <c r="D9" s="2759" t="s">
        <v>136</v>
      </c>
      <c r="E9" s="4652"/>
      <c r="F9" s="4653">
        <v>9</v>
      </c>
      <c r="G9" s="2760">
        <f t="shared" si="0"/>
        <v>9</v>
      </c>
      <c r="H9" s="4664"/>
      <c r="I9" s="4665">
        <v>6</v>
      </c>
      <c r="J9" s="2760">
        <f t="shared" si="1"/>
        <v>6</v>
      </c>
      <c r="K9" s="4664"/>
      <c r="L9" s="4665">
        <v>6</v>
      </c>
      <c r="M9" s="2760">
        <f t="shared" si="2"/>
        <v>6</v>
      </c>
      <c r="N9" s="4664">
        <v>2</v>
      </c>
      <c r="O9" s="4665">
        <v>3</v>
      </c>
      <c r="P9" s="2760">
        <f t="shared" si="3"/>
        <v>5</v>
      </c>
    </row>
    <row r="10" spans="2:16" ht="15" customHeight="1" x14ac:dyDescent="0.25">
      <c r="B10" s="7009"/>
      <c r="C10" s="7005"/>
      <c r="D10" s="2759" t="s">
        <v>409</v>
      </c>
      <c r="E10" s="4652"/>
      <c r="F10" s="4653">
        <v>2</v>
      </c>
      <c r="G10" s="2760">
        <f t="shared" si="0"/>
        <v>2</v>
      </c>
      <c r="H10" s="4664"/>
      <c r="I10" s="4665">
        <v>3</v>
      </c>
      <c r="J10" s="2760">
        <f t="shared" si="1"/>
        <v>3</v>
      </c>
      <c r="K10" s="4664">
        <v>4</v>
      </c>
      <c r="L10" s="4665">
        <v>3</v>
      </c>
      <c r="M10" s="2760">
        <f t="shared" si="2"/>
        <v>7</v>
      </c>
      <c r="N10" s="4664">
        <v>2</v>
      </c>
      <c r="O10" s="4665">
        <v>4</v>
      </c>
      <c r="P10" s="2760">
        <f t="shared" si="3"/>
        <v>6</v>
      </c>
    </row>
    <row r="11" spans="2:16" ht="15" customHeight="1" x14ac:dyDescent="0.25">
      <c r="B11" s="7009"/>
      <c r="C11" s="7005"/>
      <c r="D11" s="2759" t="s">
        <v>613</v>
      </c>
      <c r="E11" s="4652"/>
      <c r="F11" s="4653"/>
      <c r="G11" s="2760"/>
      <c r="H11" s="4664"/>
      <c r="I11" s="4665"/>
      <c r="J11" s="2760"/>
      <c r="K11" s="4664"/>
      <c r="L11" s="4665">
        <v>1</v>
      </c>
      <c r="M11" s="2760">
        <f t="shared" si="2"/>
        <v>1</v>
      </c>
      <c r="N11" s="4664">
        <v>1</v>
      </c>
      <c r="O11" s="4665">
        <v>2</v>
      </c>
      <c r="P11" s="2760">
        <f t="shared" si="3"/>
        <v>3</v>
      </c>
    </row>
    <row r="12" spans="2:16" ht="15" customHeight="1" x14ac:dyDescent="0.25">
      <c r="B12" s="7009"/>
      <c r="C12" s="7005"/>
      <c r="D12" s="2759" t="s">
        <v>410</v>
      </c>
      <c r="E12" s="4652"/>
      <c r="F12" s="4653"/>
      <c r="G12" s="2760">
        <f t="shared" si="0"/>
        <v>0</v>
      </c>
      <c r="H12" s="4664"/>
      <c r="I12" s="4665">
        <v>1</v>
      </c>
      <c r="J12" s="2760">
        <f t="shared" si="1"/>
        <v>1</v>
      </c>
      <c r="K12" s="4664"/>
      <c r="L12" s="4665"/>
      <c r="M12" s="2760">
        <f t="shared" si="2"/>
        <v>0</v>
      </c>
      <c r="N12" s="4664"/>
      <c r="O12" s="4665">
        <v>4</v>
      </c>
      <c r="P12" s="2760">
        <f t="shared" si="3"/>
        <v>4</v>
      </c>
    </row>
    <row r="13" spans="2:16" ht="15" customHeight="1" x14ac:dyDescent="0.25">
      <c r="B13" s="7009"/>
      <c r="C13" s="7005"/>
      <c r="D13" s="2759" t="s">
        <v>1510</v>
      </c>
      <c r="E13" s="4652">
        <v>2</v>
      </c>
      <c r="F13" s="4653"/>
      <c r="G13" s="2760">
        <f t="shared" si="0"/>
        <v>2</v>
      </c>
      <c r="H13" s="4664">
        <v>5</v>
      </c>
      <c r="I13" s="4665">
        <v>4</v>
      </c>
      <c r="J13" s="2760">
        <f t="shared" si="1"/>
        <v>9</v>
      </c>
      <c r="K13" s="4664">
        <v>8</v>
      </c>
      <c r="L13" s="4665">
        <v>7</v>
      </c>
      <c r="M13" s="2760">
        <f t="shared" si="2"/>
        <v>15</v>
      </c>
      <c r="N13" s="4664">
        <v>2</v>
      </c>
      <c r="O13" s="4665">
        <v>5</v>
      </c>
      <c r="P13" s="2760">
        <f t="shared" si="3"/>
        <v>7</v>
      </c>
    </row>
    <row r="14" spans="2:16" ht="15" customHeight="1" x14ac:dyDescent="0.25">
      <c r="B14" s="7009"/>
      <c r="C14" s="7004"/>
      <c r="D14" s="4436" t="s">
        <v>160</v>
      </c>
      <c r="E14" s="4656">
        <f t="shared" ref="E14:P14" si="4">SUM(E5:E13)</f>
        <v>3</v>
      </c>
      <c r="F14" s="4657">
        <f t="shared" si="4"/>
        <v>13</v>
      </c>
      <c r="G14" s="4435">
        <f t="shared" si="4"/>
        <v>16</v>
      </c>
      <c r="H14" s="4656">
        <f t="shared" si="4"/>
        <v>9</v>
      </c>
      <c r="I14" s="4657">
        <f t="shared" si="4"/>
        <v>17</v>
      </c>
      <c r="J14" s="4435">
        <f t="shared" si="4"/>
        <v>26</v>
      </c>
      <c r="K14" s="4656">
        <f t="shared" si="4"/>
        <v>17</v>
      </c>
      <c r="L14" s="4657">
        <f t="shared" si="4"/>
        <v>21</v>
      </c>
      <c r="M14" s="4435">
        <f t="shared" si="4"/>
        <v>38</v>
      </c>
      <c r="N14" s="4656">
        <f t="shared" si="4"/>
        <v>9</v>
      </c>
      <c r="O14" s="4657">
        <f t="shared" si="4"/>
        <v>25</v>
      </c>
      <c r="P14" s="4435">
        <f t="shared" si="4"/>
        <v>34</v>
      </c>
    </row>
    <row r="15" spans="2:16" ht="15" customHeight="1" x14ac:dyDescent="0.25">
      <c r="B15" s="7009"/>
      <c r="C15" s="7003" t="s">
        <v>6</v>
      </c>
      <c r="D15" s="5590" t="s">
        <v>141</v>
      </c>
      <c r="E15" s="4654"/>
      <c r="F15" s="4655"/>
      <c r="G15" s="4145">
        <f t="shared" si="0"/>
        <v>0</v>
      </c>
      <c r="H15" s="4666">
        <v>1</v>
      </c>
      <c r="I15" s="4667">
        <v>1</v>
      </c>
      <c r="J15" s="4145">
        <f t="shared" si="1"/>
        <v>2</v>
      </c>
      <c r="K15" s="4666">
        <v>3</v>
      </c>
      <c r="L15" s="4667">
        <v>1</v>
      </c>
      <c r="M15" s="4145">
        <f>+K15+L15</f>
        <v>4</v>
      </c>
      <c r="N15" s="4666"/>
      <c r="O15" s="4667"/>
      <c r="P15" s="4145">
        <f>+N15+O15</f>
        <v>0</v>
      </c>
    </row>
    <row r="16" spans="2:16" ht="15" customHeight="1" x14ac:dyDescent="0.25">
      <c r="B16" s="7009"/>
      <c r="C16" s="7005"/>
      <c r="D16" s="5590" t="s">
        <v>534</v>
      </c>
      <c r="E16" s="4654"/>
      <c r="F16" s="4655">
        <v>1</v>
      </c>
      <c r="G16" s="4145">
        <f t="shared" si="0"/>
        <v>1</v>
      </c>
      <c r="H16" s="4666"/>
      <c r="I16" s="4667"/>
      <c r="J16" s="4145"/>
      <c r="K16" s="4666"/>
      <c r="L16" s="4667"/>
      <c r="M16" s="4145">
        <f>+K16+L16</f>
        <v>0</v>
      </c>
      <c r="N16" s="4666"/>
      <c r="O16" s="4667">
        <v>1</v>
      </c>
      <c r="P16" s="4145">
        <f>+N16+O16</f>
        <v>1</v>
      </c>
    </row>
    <row r="17" spans="2:16" ht="15" customHeight="1" x14ac:dyDescent="0.25">
      <c r="B17" s="7009"/>
      <c r="C17" s="7005"/>
      <c r="D17" s="5590" t="s">
        <v>367</v>
      </c>
      <c r="E17" s="4654"/>
      <c r="F17" s="4655"/>
      <c r="G17" s="4145">
        <f t="shared" si="0"/>
        <v>0</v>
      </c>
      <c r="H17" s="4666">
        <v>7</v>
      </c>
      <c r="I17" s="4667"/>
      <c r="J17" s="4145">
        <f t="shared" si="1"/>
        <v>7</v>
      </c>
      <c r="K17" s="4666"/>
      <c r="L17" s="4667"/>
      <c r="M17" s="4145">
        <f>+K17+L17</f>
        <v>0</v>
      </c>
      <c r="N17" s="4666">
        <v>1</v>
      </c>
      <c r="O17" s="4667">
        <v>1</v>
      </c>
      <c r="P17" s="4145">
        <f>+N17+O17</f>
        <v>2</v>
      </c>
    </row>
    <row r="18" spans="2:16" ht="15" customHeight="1" x14ac:dyDescent="0.25">
      <c r="B18" s="7009"/>
      <c r="C18" s="7005"/>
      <c r="D18" s="5590" t="s">
        <v>142</v>
      </c>
      <c r="E18" s="4654"/>
      <c r="F18" s="4655"/>
      <c r="G18" s="4145"/>
      <c r="H18" s="4666"/>
      <c r="I18" s="4667"/>
      <c r="J18" s="4145"/>
      <c r="K18" s="4666"/>
      <c r="L18" s="4667"/>
      <c r="M18" s="4145"/>
      <c r="N18" s="4666">
        <v>1</v>
      </c>
      <c r="O18" s="4667"/>
      <c r="P18" s="4145">
        <f>+N18+O18</f>
        <v>1</v>
      </c>
    </row>
    <row r="19" spans="2:16" ht="15" customHeight="1" x14ac:dyDescent="0.25">
      <c r="B19" s="7009"/>
      <c r="C19" s="7004"/>
      <c r="D19" s="4436" t="s">
        <v>160</v>
      </c>
      <c r="E19" s="4656">
        <f t="shared" ref="E19:M19" si="5">SUM(E15:E17)</f>
        <v>0</v>
      </c>
      <c r="F19" s="4657">
        <f t="shared" si="5"/>
        <v>1</v>
      </c>
      <c r="G19" s="4435">
        <f t="shared" si="5"/>
        <v>1</v>
      </c>
      <c r="H19" s="4656">
        <f t="shared" si="5"/>
        <v>8</v>
      </c>
      <c r="I19" s="4657">
        <f t="shared" si="5"/>
        <v>1</v>
      </c>
      <c r="J19" s="4435">
        <f t="shared" si="5"/>
        <v>9</v>
      </c>
      <c r="K19" s="4656">
        <f t="shared" si="5"/>
        <v>3</v>
      </c>
      <c r="L19" s="4657">
        <f t="shared" si="5"/>
        <v>1</v>
      </c>
      <c r="M19" s="4435">
        <f t="shared" si="5"/>
        <v>4</v>
      </c>
      <c r="N19" s="4656">
        <f>SUM(N15:N18)</f>
        <v>2</v>
      </c>
      <c r="O19" s="4657">
        <f>SUM(O15:O18)</f>
        <v>2</v>
      </c>
      <c r="P19" s="4435">
        <f>SUM(P15:P18)</f>
        <v>4</v>
      </c>
    </row>
    <row r="20" spans="2:16" ht="15" customHeight="1" x14ac:dyDescent="0.25">
      <c r="B20" s="7010"/>
      <c r="C20" s="7012" t="s">
        <v>7</v>
      </c>
      <c r="D20" s="5590" t="s">
        <v>401</v>
      </c>
      <c r="E20" s="4654">
        <v>1</v>
      </c>
      <c r="F20" s="4655">
        <v>1</v>
      </c>
      <c r="G20" s="4145">
        <f t="shared" si="0"/>
        <v>2</v>
      </c>
      <c r="H20" s="4666"/>
      <c r="I20" s="4667"/>
      <c r="J20" s="4145"/>
      <c r="K20" s="4666"/>
      <c r="L20" s="4667"/>
      <c r="M20" s="4145"/>
      <c r="N20" s="4666"/>
      <c r="O20" s="4667"/>
      <c r="P20" s="4145"/>
    </row>
    <row r="21" spans="2:16" ht="15" customHeight="1" x14ac:dyDescent="0.25">
      <c r="B21" s="7010"/>
      <c r="C21" s="7005"/>
      <c r="D21" s="5590" t="s">
        <v>1771</v>
      </c>
      <c r="E21" s="4654"/>
      <c r="F21" s="4655"/>
      <c r="G21" s="4145"/>
      <c r="H21" s="4666"/>
      <c r="I21" s="4667"/>
      <c r="J21" s="4145"/>
      <c r="K21" s="4666">
        <v>3</v>
      </c>
      <c r="L21" s="4667">
        <v>1</v>
      </c>
      <c r="M21" s="4145">
        <f>SUM(K21:L21)</f>
        <v>4</v>
      </c>
      <c r="N21" s="4666">
        <v>4</v>
      </c>
      <c r="O21" s="4667"/>
      <c r="P21" s="4145">
        <f>SUM(N21:O21)</f>
        <v>4</v>
      </c>
    </row>
    <row r="22" spans="2:16" ht="15" customHeight="1" x14ac:dyDescent="0.25">
      <c r="B22" s="7010"/>
      <c r="C22" s="7005"/>
      <c r="D22" s="5590" t="s">
        <v>1646</v>
      </c>
      <c r="E22" s="4654"/>
      <c r="F22" s="4655"/>
      <c r="G22" s="4145"/>
      <c r="H22" s="4666"/>
      <c r="I22" s="4667"/>
      <c r="J22" s="4145"/>
      <c r="K22" s="4666"/>
      <c r="L22" s="4667"/>
      <c r="M22" s="4145"/>
      <c r="N22" s="4666"/>
      <c r="O22" s="4667">
        <v>1</v>
      </c>
      <c r="P22" s="4145">
        <f>SUM(N22:O22)</f>
        <v>1</v>
      </c>
    </row>
    <row r="23" spans="2:16" ht="15" customHeight="1" x14ac:dyDescent="0.25">
      <c r="B23" s="7010"/>
      <c r="C23" s="7005"/>
      <c r="D23" s="5590" t="s">
        <v>1511</v>
      </c>
      <c r="E23" s="4654"/>
      <c r="F23" s="4655"/>
      <c r="G23" s="4145"/>
      <c r="H23" s="4666"/>
      <c r="I23" s="4667"/>
      <c r="J23" s="4145"/>
      <c r="K23" s="4666">
        <v>1</v>
      </c>
      <c r="L23" s="4667"/>
      <c r="M23" s="4145">
        <f>SUM(K23:L23)</f>
        <v>1</v>
      </c>
      <c r="N23" s="4666"/>
      <c r="O23" s="4667"/>
      <c r="P23" s="4145">
        <f>SUM(N23:O23)</f>
        <v>0</v>
      </c>
    </row>
    <row r="24" spans="2:16" ht="15" customHeight="1" x14ac:dyDescent="0.25">
      <c r="B24" s="7010"/>
      <c r="C24" s="7004"/>
      <c r="D24" s="4436" t="s">
        <v>160</v>
      </c>
      <c r="E24" s="4656">
        <f t="shared" ref="E24:J24" si="6">SUM(E20)</f>
        <v>1</v>
      </c>
      <c r="F24" s="4657">
        <f t="shared" si="6"/>
        <v>1</v>
      </c>
      <c r="G24" s="4435">
        <f t="shared" si="6"/>
        <v>2</v>
      </c>
      <c r="H24" s="4656">
        <f t="shared" si="6"/>
        <v>0</v>
      </c>
      <c r="I24" s="4657">
        <f t="shared" si="6"/>
        <v>0</v>
      </c>
      <c r="J24" s="4435">
        <f t="shared" si="6"/>
        <v>0</v>
      </c>
      <c r="K24" s="4656">
        <f t="shared" ref="K24:P24" si="7">SUM(K20:K23)</f>
        <v>4</v>
      </c>
      <c r="L24" s="4657">
        <f t="shared" si="7"/>
        <v>1</v>
      </c>
      <c r="M24" s="4435">
        <f t="shared" si="7"/>
        <v>5</v>
      </c>
      <c r="N24" s="4656">
        <f t="shared" si="7"/>
        <v>4</v>
      </c>
      <c r="O24" s="4657">
        <f t="shared" si="7"/>
        <v>1</v>
      </c>
      <c r="P24" s="4435">
        <f t="shared" si="7"/>
        <v>5</v>
      </c>
    </row>
    <row r="25" spans="2:16" ht="15" customHeight="1" x14ac:dyDescent="0.25">
      <c r="B25" s="7011"/>
      <c r="C25" s="6995" t="s">
        <v>444</v>
      </c>
      <c r="D25" s="6996"/>
      <c r="E25" s="5591">
        <f t="shared" ref="E25:P25" si="8">SUM(E24,E19,E14)</f>
        <v>4</v>
      </c>
      <c r="F25" s="5592">
        <f t="shared" si="8"/>
        <v>15</v>
      </c>
      <c r="G25" s="5593">
        <f t="shared" si="8"/>
        <v>19</v>
      </c>
      <c r="H25" s="5591">
        <f t="shared" si="8"/>
        <v>17</v>
      </c>
      <c r="I25" s="5592">
        <f t="shared" si="8"/>
        <v>18</v>
      </c>
      <c r="J25" s="5593">
        <f t="shared" si="8"/>
        <v>35</v>
      </c>
      <c r="K25" s="5591">
        <f t="shared" si="8"/>
        <v>24</v>
      </c>
      <c r="L25" s="5592">
        <f t="shared" si="8"/>
        <v>23</v>
      </c>
      <c r="M25" s="5593">
        <f t="shared" si="8"/>
        <v>47</v>
      </c>
      <c r="N25" s="5591">
        <f t="shared" si="8"/>
        <v>15</v>
      </c>
      <c r="O25" s="5592">
        <f t="shared" si="8"/>
        <v>28</v>
      </c>
      <c r="P25" s="5593">
        <f t="shared" si="8"/>
        <v>43</v>
      </c>
    </row>
    <row r="26" spans="2:16" ht="15" customHeight="1" x14ac:dyDescent="0.25">
      <c r="B26" s="6997" t="s">
        <v>407</v>
      </c>
      <c r="C26" s="7000" t="s">
        <v>6</v>
      </c>
      <c r="D26" s="2757" t="s">
        <v>406</v>
      </c>
      <c r="E26" s="4650"/>
      <c r="F26" s="4651"/>
      <c r="G26" s="2758">
        <f>+E26+F26</f>
        <v>0</v>
      </c>
      <c r="H26" s="4650"/>
      <c r="I26" s="4668">
        <v>1</v>
      </c>
      <c r="J26" s="2758">
        <f>+H26+I26</f>
        <v>1</v>
      </c>
      <c r="K26" s="4650"/>
      <c r="L26" s="4668">
        <v>1</v>
      </c>
      <c r="M26" s="2758">
        <f>+K26+L26</f>
        <v>1</v>
      </c>
      <c r="N26" s="4650">
        <v>1</v>
      </c>
      <c r="O26" s="4668"/>
      <c r="P26" s="2758">
        <f>+N26+O26</f>
        <v>1</v>
      </c>
    </row>
    <row r="27" spans="2:16" ht="15" customHeight="1" x14ac:dyDescent="0.25">
      <c r="B27" s="6998"/>
      <c r="C27" s="7001"/>
      <c r="D27" s="2759" t="s">
        <v>399</v>
      </c>
      <c r="E27" s="4652"/>
      <c r="F27" s="4653"/>
      <c r="G27" s="2760">
        <f>+E27+F27</f>
        <v>0</v>
      </c>
      <c r="H27" s="4652">
        <v>1</v>
      </c>
      <c r="I27" s="4653"/>
      <c r="J27" s="2760">
        <f>+H27+I27</f>
        <v>1</v>
      </c>
      <c r="K27" s="4652"/>
      <c r="L27" s="4653"/>
      <c r="M27" s="2760">
        <f>+K27+L27</f>
        <v>0</v>
      </c>
      <c r="N27" s="4652">
        <v>2</v>
      </c>
      <c r="O27" s="4653">
        <v>1</v>
      </c>
      <c r="P27" s="2760">
        <f>+N27+O27</f>
        <v>3</v>
      </c>
    </row>
    <row r="28" spans="2:16" ht="15" customHeight="1" x14ac:dyDescent="0.25">
      <c r="B28" s="6998"/>
      <c r="C28" s="7002"/>
      <c r="D28" s="4436" t="s">
        <v>160</v>
      </c>
      <c r="E28" s="4658">
        <f t="shared" ref="E28:M28" si="9">SUM(E26:E27)</f>
        <v>0</v>
      </c>
      <c r="F28" s="4659">
        <f t="shared" si="9"/>
        <v>0</v>
      </c>
      <c r="G28" s="4436">
        <f t="shared" si="9"/>
        <v>0</v>
      </c>
      <c r="H28" s="4658">
        <f t="shared" si="9"/>
        <v>1</v>
      </c>
      <c r="I28" s="4659">
        <f t="shared" si="9"/>
        <v>1</v>
      </c>
      <c r="J28" s="4436">
        <f t="shared" si="9"/>
        <v>2</v>
      </c>
      <c r="K28" s="4658">
        <f t="shared" si="9"/>
        <v>0</v>
      </c>
      <c r="L28" s="4659">
        <f t="shared" si="9"/>
        <v>1</v>
      </c>
      <c r="M28" s="4436">
        <f t="shared" si="9"/>
        <v>1</v>
      </c>
      <c r="N28" s="4658">
        <f t="shared" ref="N28:P28" si="10">SUM(N26:N27)</f>
        <v>3</v>
      </c>
      <c r="O28" s="4659">
        <f t="shared" si="10"/>
        <v>1</v>
      </c>
      <c r="P28" s="4436">
        <f t="shared" si="10"/>
        <v>4</v>
      </c>
    </row>
    <row r="29" spans="2:16" ht="15" customHeight="1" x14ac:dyDescent="0.25">
      <c r="B29" s="6998"/>
      <c r="C29" s="7003" t="s">
        <v>9</v>
      </c>
      <c r="D29" s="2759" t="s">
        <v>412</v>
      </c>
      <c r="E29" s="4652">
        <v>2</v>
      </c>
      <c r="F29" s="4653">
        <v>2</v>
      </c>
      <c r="G29" s="2760">
        <f>+E29+F29</f>
        <v>4</v>
      </c>
      <c r="H29" s="4652">
        <v>4</v>
      </c>
      <c r="I29" s="4653">
        <v>4</v>
      </c>
      <c r="J29" s="2760">
        <f>+H29+I29</f>
        <v>8</v>
      </c>
      <c r="K29" s="4652">
        <v>9</v>
      </c>
      <c r="L29" s="4653">
        <v>9</v>
      </c>
      <c r="M29" s="2760">
        <f>+K29+L29</f>
        <v>18</v>
      </c>
      <c r="N29" s="4652">
        <v>6</v>
      </c>
      <c r="O29" s="4653">
        <v>5</v>
      </c>
      <c r="P29" s="2760">
        <f>+N29+O29</f>
        <v>11</v>
      </c>
    </row>
    <row r="30" spans="2:16" ht="15" customHeight="1" x14ac:dyDescent="0.25">
      <c r="B30" s="6998"/>
      <c r="C30" s="7004"/>
      <c r="D30" s="4436" t="s">
        <v>160</v>
      </c>
      <c r="E30" s="4658">
        <f t="shared" ref="E30:P30" si="11">SUM(E29)</f>
        <v>2</v>
      </c>
      <c r="F30" s="4659">
        <f t="shared" si="11"/>
        <v>2</v>
      </c>
      <c r="G30" s="4436">
        <f t="shared" si="11"/>
        <v>4</v>
      </c>
      <c r="H30" s="4658">
        <f t="shared" si="11"/>
        <v>4</v>
      </c>
      <c r="I30" s="4659">
        <f t="shared" si="11"/>
        <v>4</v>
      </c>
      <c r="J30" s="4436">
        <f t="shared" si="11"/>
        <v>8</v>
      </c>
      <c r="K30" s="4658">
        <f t="shared" si="11"/>
        <v>9</v>
      </c>
      <c r="L30" s="4659">
        <f t="shared" si="11"/>
        <v>9</v>
      </c>
      <c r="M30" s="4436">
        <f t="shared" si="11"/>
        <v>18</v>
      </c>
      <c r="N30" s="4658">
        <f t="shared" si="11"/>
        <v>6</v>
      </c>
      <c r="O30" s="4659">
        <f t="shared" si="11"/>
        <v>5</v>
      </c>
      <c r="P30" s="4436">
        <f t="shared" si="11"/>
        <v>11</v>
      </c>
    </row>
    <row r="31" spans="2:16" ht="15" customHeight="1" x14ac:dyDescent="0.25">
      <c r="B31" s="6998"/>
      <c r="C31" s="7003" t="s">
        <v>74</v>
      </c>
      <c r="D31" s="2759" t="s">
        <v>414</v>
      </c>
      <c r="E31" s="4652"/>
      <c r="F31" s="4653"/>
      <c r="G31" s="2760">
        <f>+E31+F31</f>
        <v>0</v>
      </c>
      <c r="H31" s="4652">
        <v>2</v>
      </c>
      <c r="I31" s="4653">
        <v>2</v>
      </c>
      <c r="J31" s="2760">
        <f>+H31+I31</f>
        <v>4</v>
      </c>
      <c r="K31" s="4652">
        <v>4</v>
      </c>
      <c r="L31" s="4653">
        <v>3</v>
      </c>
      <c r="M31" s="2760">
        <f>+K31+L31</f>
        <v>7</v>
      </c>
      <c r="N31" s="4652">
        <v>4</v>
      </c>
      <c r="O31" s="4653">
        <v>2</v>
      </c>
      <c r="P31" s="2760">
        <f>+N31+O31</f>
        <v>6</v>
      </c>
    </row>
    <row r="32" spans="2:16" ht="15" customHeight="1" x14ac:dyDescent="0.25">
      <c r="B32" s="6998"/>
      <c r="C32" s="7005"/>
      <c r="D32" s="2759" t="s">
        <v>415</v>
      </c>
      <c r="E32" s="4652">
        <v>3</v>
      </c>
      <c r="F32" s="4653">
        <v>3</v>
      </c>
      <c r="G32" s="2760">
        <f>+E32+F32</f>
        <v>6</v>
      </c>
      <c r="H32" s="4652">
        <v>2</v>
      </c>
      <c r="I32" s="4653">
        <v>2</v>
      </c>
      <c r="J32" s="2760">
        <f>+H32+I32</f>
        <v>4</v>
      </c>
      <c r="K32" s="4652">
        <v>1</v>
      </c>
      <c r="L32" s="4653">
        <v>4</v>
      </c>
      <c r="M32" s="2760">
        <f>+K32+L32</f>
        <v>5</v>
      </c>
      <c r="N32" s="4652">
        <v>2</v>
      </c>
      <c r="O32" s="4653">
        <v>6</v>
      </c>
      <c r="P32" s="2760">
        <f>+N32+O32</f>
        <v>8</v>
      </c>
    </row>
    <row r="33" spans="2:16" ht="15" customHeight="1" x14ac:dyDescent="0.25">
      <c r="B33" s="6998"/>
      <c r="C33" s="7004"/>
      <c r="D33" s="4436" t="s">
        <v>160</v>
      </c>
      <c r="E33" s="4658">
        <f t="shared" ref="E33:P33" si="12">SUM(E31:E32)</f>
        <v>3</v>
      </c>
      <c r="F33" s="4659">
        <f t="shared" si="12"/>
        <v>3</v>
      </c>
      <c r="G33" s="4436">
        <f t="shared" si="12"/>
        <v>6</v>
      </c>
      <c r="H33" s="4658">
        <f t="shared" si="12"/>
        <v>4</v>
      </c>
      <c r="I33" s="4659">
        <f t="shared" si="12"/>
        <v>4</v>
      </c>
      <c r="J33" s="4436">
        <f t="shared" si="12"/>
        <v>8</v>
      </c>
      <c r="K33" s="4658">
        <f t="shared" si="12"/>
        <v>5</v>
      </c>
      <c r="L33" s="4659">
        <f t="shared" si="12"/>
        <v>7</v>
      </c>
      <c r="M33" s="4436">
        <f t="shared" si="12"/>
        <v>12</v>
      </c>
      <c r="N33" s="4658">
        <f t="shared" si="12"/>
        <v>6</v>
      </c>
      <c r="O33" s="4659">
        <f t="shared" si="12"/>
        <v>8</v>
      </c>
      <c r="P33" s="4436">
        <f t="shared" si="12"/>
        <v>14</v>
      </c>
    </row>
    <row r="34" spans="2:16" ht="15" customHeight="1" x14ac:dyDescent="0.25">
      <c r="B34" s="6999"/>
      <c r="C34" s="7006" t="s">
        <v>444</v>
      </c>
      <c r="D34" s="7007"/>
      <c r="E34" s="5594">
        <f t="shared" ref="E34:P34" si="13">SUM(E33,E30,E28)</f>
        <v>5</v>
      </c>
      <c r="F34" s="5595">
        <f t="shared" si="13"/>
        <v>5</v>
      </c>
      <c r="G34" s="5596">
        <f t="shared" si="13"/>
        <v>10</v>
      </c>
      <c r="H34" s="5594">
        <f t="shared" si="13"/>
        <v>9</v>
      </c>
      <c r="I34" s="5595">
        <f t="shared" si="13"/>
        <v>9</v>
      </c>
      <c r="J34" s="5596">
        <f t="shared" si="13"/>
        <v>18</v>
      </c>
      <c r="K34" s="5594">
        <f t="shared" si="13"/>
        <v>14</v>
      </c>
      <c r="L34" s="5595">
        <f t="shared" si="13"/>
        <v>17</v>
      </c>
      <c r="M34" s="5596">
        <f t="shared" si="13"/>
        <v>31</v>
      </c>
      <c r="N34" s="5594">
        <f t="shared" si="13"/>
        <v>15</v>
      </c>
      <c r="O34" s="5595">
        <f t="shared" si="13"/>
        <v>14</v>
      </c>
      <c r="P34" s="5596">
        <f t="shared" si="13"/>
        <v>29</v>
      </c>
    </row>
    <row r="35" spans="2:16" ht="15" customHeight="1" x14ac:dyDescent="0.25">
      <c r="B35" s="7013" t="s">
        <v>162</v>
      </c>
      <c r="C35" s="7016" t="s">
        <v>5</v>
      </c>
      <c r="D35" s="2757" t="s">
        <v>853</v>
      </c>
      <c r="E35" s="4650"/>
      <c r="F35" s="4651"/>
      <c r="G35" s="2758"/>
      <c r="H35" s="4650"/>
      <c r="I35" s="4668"/>
      <c r="J35" s="2758"/>
      <c r="K35" s="4650"/>
      <c r="L35" s="4668"/>
      <c r="M35" s="2758"/>
      <c r="N35" s="4650">
        <v>1</v>
      </c>
      <c r="O35" s="4668"/>
      <c r="P35" s="2760">
        <f t="shared" ref="P35:P45" si="14">+N35+O35</f>
        <v>1</v>
      </c>
    </row>
    <row r="36" spans="2:16" ht="15" customHeight="1" x14ac:dyDescent="0.25">
      <c r="B36" s="7014"/>
      <c r="C36" s="7017"/>
      <c r="D36" s="2759" t="s">
        <v>1647</v>
      </c>
      <c r="E36" s="4652">
        <v>4</v>
      </c>
      <c r="F36" s="4653">
        <v>12</v>
      </c>
      <c r="G36" s="2760">
        <f t="shared" ref="G36:G62" si="15">+E36+F36</f>
        <v>16</v>
      </c>
      <c r="H36" s="4652">
        <v>8</v>
      </c>
      <c r="I36" s="4653">
        <v>8</v>
      </c>
      <c r="J36" s="2760">
        <f t="shared" ref="J36:J62" si="16">+H36+I36</f>
        <v>16</v>
      </c>
      <c r="K36" s="4652">
        <v>3</v>
      </c>
      <c r="L36" s="4653">
        <v>4</v>
      </c>
      <c r="M36" s="2760">
        <f t="shared" ref="M36:M45" si="17">+K36+L36</f>
        <v>7</v>
      </c>
      <c r="N36" s="4652">
        <v>4</v>
      </c>
      <c r="O36" s="4653">
        <v>1</v>
      </c>
      <c r="P36" s="2760">
        <f t="shared" si="14"/>
        <v>5</v>
      </c>
    </row>
    <row r="37" spans="2:16" ht="15" customHeight="1" x14ac:dyDescent="0.25">
      <c r="B37" s="7014"/>
      <c r="C37" s="7017"/>
      <c r="D37" s="2759" t="s">
        <v>1648</v>
      </c>
      <c r="E37" s="4652">
        <v>4</v>
      </c>
      <c r="F37" s="4653">
        <v>9</v>
      </c>
      <c r="G37" s="2760">
        <f t="shared" si="15"/>
        <v>13</v>
      </c>
      <c r="H37" s="4652">
        <v>2</v>
      </c>
      <c r="I37" s="4653">
        <v>6</v>
      </c>
      <c r="J37" s="2760">
        <f t="shared" si="16"/>
        <v>8</v>
      </c>
      <c r="K37" s="4652">
        <v>1</v>
      </c>
      <c r="L37" s="4653">
        <v>2</v>
      </c>
      <c r="M37" s="2760">
        <f t="shared" si="17"/>
        <v>3</v>
      </c>
      <c r="N37" s="4652">
        <v>2</v>
      </c>
      <c r="O37" s="4653">
        <v>2</v>
      </c>
      <c r="P37" s="2760">
        <f t="shared" si="14"/>
        <v>4</v>
      </c>
    </row>
    <row r="38" spans="2:16" ht="15" customHeight="1" x14ac:dyDescent="0.25">
      <c r="B38" s="7014"/>
      <c r="C38" s="7017"/>
      <c r="D38" s="5597" t="s">
        <v>372</v>
      </c>
      <c r="E38" s="4652"/>
      <c r="F38" s="4653">
        <v>2</v>
      </c>
      <c r="G38" s="2760">
        <f t="shared" si="15"/>
        <v>2</v>
      </c>
      <c r="H38" s="4652"/>
      <c r="I38" s="4653">
        <v>1</v>
      </c>
      <c r="J38" s="2760">
        <f t="shared" si="16"/>
        <v>1</v>
      </c>
      <c r="K38" s="4652"/>
      <c r="L38" s="4653"/>
      <c r="M38" s="2760">
        <f t="shared" si="17"/>
        <v>0</v>
      </c>
      <c r="N38" s="4652"/>
      <c r="O38" s="4653"/>
      <c r="P38" s="2760">
        <f t="shared" si="14"/>
        <v>0</v>
      </c>
    </row>
    <row r="39" spans="2:16" ht="15" customHeight="1" x14ac:dyDescent="0.25">
      <c r="B39" s="7014"/>
      <c r="C39" s="7017"/>
      <c r="D39" s="5590" t="s">
        <v>649</v>
      </c>
      <c r="E39" s="4652"/>
      <c r="F39" s="4653"/>
      <c r="G39" s="2760">
        <f t="shared" si="15"/>
        <v>0</v>
      </c>
      <c r="H39" s="4652">
        <v>1</v>
      </c>
      <c r="I39" s="4653">
        <v>1</v>
      </c>
      <c r="J39" s="2760">
        <f t="shared" si="16"/>
        <v>2</v>
      </c>
      <c r="K39" s="4652"/>
      <c r="L39" s="4653">
        <v>2</v>
      </c>
      <c r="M39" s="2760">
        <f t="shared" si="17"/>
        <v>2</v>
      </c>
      <c r="N39" s="4652"/>
      <c r="O39" s="4653">
        <v>1</v>
      </c>
      <c r="P39" s="2760">
        <f t="shared" si="14"/>
        <v>1</v>
      </c>
    </row>
    <row r="40" spans="2:16" ht="15" customHeight="1" x14ac:dyDescent="0.25">
      <c r="B40" s="7014"/>
      <c r="C40" s="7017"/>
      <c r="D40" s="4931" t="s">
        <v>1649</v>
      </c>
      <c r="E40" s="4652"/>
      <c r="F40" s="4653"/>
      <c r="G40" s="2760"/>
      <c r="H40" s="4652"/>
      <c r="I40" s="4653"/>
      <c r="J40" s="2760"/>
      <c r="K40" s="4652">
        <v>1</v>
      </c>
      <c r="L40" s="4653"/>
      <c r="M40" s="2760">
        <f t="shared" si="17"/>
        <v>1</v>
      </c>
      <c r="N40" s="4652"/>
      <c r="O40" s="4653"/>
      <c r="P40" s="2760">
        <f t="shared" si="14"/>
        <v>0</v>
      </c>
    </row>
    <row r="41" spans="2:16" ht="15" customHeight="1" x14ac:dyDescent="0.25">
      <c r="B41" s="7014"/>
      <c r="C41" s="7017"/>
      <c r="D41" s="2759" t="s">
        <v>538</v>
      </c>
      <c r="E41" s="4652">
        <v>2</v>
      </c>
      <c r="F41" s="4653">
        <v>2</v>
      </c>
      <c r="G41" s="2760">
        <f t="shared" si="15"/>
        <v>4</v>
      </c>
      <c r="H41" s="4652">
        <v>2</v>
      </c>
      <c r="I41" s="4653">
        <v>1</v>
      </c>
      <c r="J41" s="2760">
        <f t="shared" si="16"/>
        <v>3</v>
      </c>
      <c r="K41" s="4652"/>
      <c r="L41" s="4653"/>
      <c r="M41" s="2760">
        <f t="shared" si="17"/>
        <v>0</v>
      </c>
      <c r="N41" s="4652">
        <v>1</v>
      </c>
      <c r="O41" s="4653">
        <v>3</v>
      </c>
      <c r="P41" s="2760">
        <f t="shared" si="14"/>
        <v>4</v>
      </c>
    </row>
    <row r="42" spans="2:16" ht="15" customHeight="1" x14ac:dyDescent="0.25">
      <c r="B42" s="7014"/>
      <c r="C42" s="7017"/>
      <c r="D42" s="5597" t="s">
        <v>580</v>
      </c>
      <c r="E42" s="4652">
        <v>2</v>
      </c>
      <c r="F42" s="4653"/>
      <c r="G42" s="2760">
        <f t="shared" si="15"/>
        <v>2</v>
      </c>
      <c r="H42" s="4652"/>
      <c r="I42" s="4653"/>
      <c r="J42" s="2760">
        <f t="shared" si="16"/>
        <v>0</v>
      </c>
      <c r="K42" s="4652"/>
      <c r="L42" s="4653"/>
      <c r="M42" s="2760">
        <f t="shared" si="17"/>
        <v>0</v>
      </c>
      <c r="N42" s="4652">
        <v>8</v>
      </c>
      <c r="O42" s="4653">
        <v>2</v>
      </c>
      <c r="P42" s="2760">
        <f t="shared" si="14"/>
        <v>10</v>
      </c>
    </row>
    <row r="43" spans="2:16" ht="15" customHeight="1" x14ac:dyDescent="0.25">
      <c r="B43" s="7014"/>
      <c r="C43" s="7017"/>
      <c r="D43" s="2759" t="s">
        <v>540</v>
      </c>
      <c r="E43" s="4652"/>
      <c r="F43" s="4653">
        <v>1</v>
      </c>
      <c r="G43" s="2760">
        <f t="shared" si="15"/>
        <v>1</v>
      </c>
      <c r="H43" s="4652"/>
      <c r="I43" s="4653">
        <v>1</v>
      </c>
      <c r="J43" s="2760">
        <f t="shared" si="16"/>
        <v>1</v>
      </c>
      <c r="K43" s="4652">
        <v>1</v>
      </c>
      <c r="L43" s="4653">
        <v>4</v>
      </c>
      <c r="M43" s="2760">
        <f t="shared" si="17"/>
        <v>5</v>
      </c>
      <c r="N43" s="4652">
        <v>2</v>
      </c>
      <c r="O43" s="4653">
        <v>4</v>
      </c>
      <c r="P43" s="2760">
        <f t="shared" si="14"/>
        <v>6</v>
      </c>
    </row>
    <row r="44" spans="2:16" ht="15" customHeight="1" x14ac:dyDescent="0.25">
      <c r="B44" s="7014"/>
      <c r="C44" s="7017"/>
      <c r="D44" s="2759" t="s">
        <v>840</v>
      </c>
      <c r="E44" s="4652">
        <v>2</v>
      </c>
      <c r="F44" s="4653">
        <v>1</v>
      </c>
      <c r="G44" s="2760">
        <f t="shared" si="15"/>
        <v>3</v>
      </c>
      <c r="H44" s="4652">
        <v>1</v>
      </c>
      <c r="I44" s="4653"/>
      <c r="J44" s="2760">
        <f t="shared" si="16"/>
        <v>1</v>
      </c>
      <c r="K44" s="4652"/>
      <c r="L44" s="4653"/>
      <c r="M44" s="2760">
        <f t="shared" si="17"/>
        <v>0</v>
      </c>
      <c r="N44" s="4652"/>
      <c r="O44" s="4653"/>
      <c r="P44" s="2760">
        <f t="shared" si="14"/>
        <v>0</v>
      </c>
    </row>
    <row r="45" spans="2:16" ht="15" customHeight="1" x14ac:dyDescent="0.25">
      <c r="B45" s="7014"/>
      <c r="C45" s="7017"/>
      <c r="D45" s="5597" t="s">
        <v>68</v>
      </c>
      <c r="E45" s="4652"/>
      <c r="F45" s="4653">
        <v>1</v>
      </c>
      <c r="G45" s="2760">
        <f t="shared" si="15"/>
        <v>1</v>
      </c>
      <c r="H45" s="4652"/>
      <c r="I45" s="4653">
        <v>3</v>
      </c>
      <c r="J45" s="2760">
        <f t="shared" si="16"/>
        <v>3</v>
      </c>
      <c r="K45" s="4652"/>
      <c r="L45" s="4653">
        <v>2</v>
      </c>
      <c r="M45" s="2760">
        <f t="shared" si="17"/>
        <v>2</v>
      </c>
      <c r="N45" s="4652"/>
      <c r="O45" s="4653"/>
      <c r="P45" s="2760">
        <f t="shared" si="14"/>
        <v>0</v>
      </c>
    </row>
    <row r="46" spans="2:16" ht="15" customHeight="1" x14ac:dyDescent="0.25">
      <c r="B46" s="7014"/>
      <c r="C46" s="7018"/>
      <c r="D46" s="4436" t="s">
        <v>160</v>
      </c>
      <c r="E46" s="4658">
        <f t="shared" ref="E46:M46" si="18">SUM(E36:E45)</f>
        <v>14</v>
      </c>
      <c r="F46" s="4659">
        <f t="shared" si="18"/>
        <v>28</v>
      </c>
      <c r="G46" s="4436">
        <f t="shared" si="18"/>
        <v>42</v>
      </c>
      <c r="H46" s="4658">
        <f t="shared" si="18"/>
        <v>14</v>
      </c>
      <c r="I46" s="4659">
        <f t="shared" si="18"/>
        <v>21</v>
      </c>
      <c r="J46" s="4436">
        <f t="shared" si="18"/>
        <v>35</v>
      </c>
      <c r="K46" s="4658">
        <f t="shared" si="18"/>
        <v>6</v>
      </c>
      <c r="L46" s="4659">
        <f t="shared" si="18"/>
        <v>14</v>
      </c>
      <c r="M46" s="4436">
        <f t="shared" si="18"/>
        <v>20</v>
      </c>
      <c r="N46" s="4658">
        <f>SUM(N35:N45)</f>
        <v>18</v>
      </c>
      <c r="O46" s="4659">
        <f>SUM(O35:O45)</f>
        <v>13</v>
      </c>
      <c r="P46" s="4436">
        <f>SUM(P35:P45)</f>
        <v>31</v>
      </c>
    </row>
    <row r="47" spans="2:16" ht="15" customHeight="1" x14ac:dyDescent="0.25">
      <c r="B47" s="7014"/>
      <c r="C47" s="7019" t="s">
        <v>6</v>
      </c>
      <c r="D47" s="5597" t="s">
        <v>84</v>
      </c>
      <c r="E47" s="4652">
        <v>1</v>
      </c>
      <c r="F47" s="4653"/>
      <c r="G47" s="2760">
        <f t="shared" si="15"/>
        <v>1</v>
      </c>
      <c r="H47" s="4652">
        <v>3</v>
      </c>
      <c r="I47" s="4653"/>
      <c r="J47" s="2760">
        <f t="shared" si="16"/>
        <v>3</v>
      </c>
      <c r="K47" s="4652">
        <v>7</v>
      </c>
      <c r="L47" s="4653">
        <v>1</v>
      </c>
      <c r="M47" s="2760">
        <f t="shared" ref="M47:M54" si="19">+K47+L47</f>
        <v>8</v>
      </c>
      <c r="N47" s="4652"/>
      <c r="O47" s="4653">
        <v>1</v>
      </c>
      <c r="P47" s="2760">
        <f t="shared" ref="P47:P54" si="20">+N47+O47</f>
        <v>1</v>
      </c>
    </row>
    <row r="48" spans="2:16" ht="15" customHeight="1" x14ac:dyDescent="0.25">
      <c r="B48" s="7014"/>
      <c r="C48" s="7017"/>
      <c r="D48" s="5597" t="s">
        <v>86</v>
      </c>
      <c r="E48" s="4652">
        <v>3</v>
      </c>
      <c r="F48" s="4653">
        <v>4</v>
      </c>
      <c r="G48" s="2760">
        <f t="shared" si="15"/>
        <v>7</v>
      </c>
      <c r="H48" s="4652">
        <v>2</v>
      </c>
      <c r="I48" s="4653">
        <v>4</v>
      </c>
      <c r="J48" s="2760">
        <f t="shared" si="16"/>
        <v>6</v>
      </c>
      <c r="K48" s="4652">
        <v>4</v>
      </c>
      <c r="L48" s="4653">
        <v>3</v>
      </c>
      <c r="M48" s="2760">
        <f t="shared" si="19"/>
        <v>7</v>
      </c>
      <c r="N48" s="4652">
        <v>2</v>
      </c>
      <c r="O48" s="4653">
        <v>3</v>
      </c>
      <c r="P48" s="2760">
        <f t="shared" si="20"/>
        <v>5</v>
      </c>
    </row>
    <row r="49" spans="2:16" ht="15" customHeight="1" x14ac:dyDescent="0.25">
      <c r="B49" s="7014"/>
      <c r="C49" s="7017"/>
      <c r="D49" s="5597" t="s">
        <v>83</v>
      </c>
      <c r="E49" s="4652"/>
      <c r="F49" s="4653">
        <v>3</v>
      </c>
      <c r="G49" s="2760">
        <f t="shared" si="15"/>
        <v>3</v>
      </c>
      <c r="H49" s="4652"/>
      <c r="I49" s="4653">
        <v>1</v>
      </c>
      <c r="J49" s="2760">
        <f t="shared" si="16"/>
        <v>1</v>
      </c>
      <c r="K49" s="4652"/>
      <c r="L49" s="4653"/>
      <c r="M49" s="2760">
        <f t="shared" si="19"/>
        <v>0</v>
      </c>
      <c r="N49" s="4652"/>
      <c r="O49" s="4653">
        <v>1</v>
      </c>
      <c r="P49" s="2760">
        <f t="shared" si="20"/>
        <v>1</v>
      </c>
    </row>
    <row r="50" spans="2:16" ht="15" customHeight="1" x14ac:dyDescent="0.25">
      <c r="B50" s="7014"/>
      <c r="C50" s="7017"/>
      <c r="D50" s="5597" t="s">
        <v>143</v>
      </c>
      <c r="E50" s="4652"/>
      <c r="F50" s="4653">
        <v>1</v>
      </c>
      <c r="G50" s="2760">
        <f t="shared" si="15"/>
        <v>1</v>
      </c>
      <c r="H50" s="4652">
        <v>2</v>
      </c>
      <c r="I50" s="4653">
        <v>1</v>
      </c>
      <c r="J50" s="2760">
        <f t="shared" si="16"/>
        <v>3</v>
      </c>
      <c r="K50" s="4652">
        <v>1</v>
      </c>
      <c r="L50" s="4653">
        <v>4</v>
      </c>
      <c r="M50" s="2760">
        <f t="shared" si="19"/>
        <v>5</v>
      </c>
      <c r="N50" s="4652">
        <v>3</v>
      </c>
      <c r="O50" s="4653">
        <v>2</v>
      </c>
      <c r="P50" s="2760">
        <f t="shared" si="20"/>
        <v>5</v>
      </c>
    </row>
    <row r="51" spans="2:16" ht="15" customHeight="1" x14ac:dyDescent="0.25">
      <c r="B51" s="7014"/>
      <c r="C51" s="7017"/>
      <c r="D51" s="5597" t="s">
        <v>139</v>
      </c>
      <c r="E51" s="4652"/>
      <c r="F51" s="4653"/>
      <c r="G51" s="2760">
        <f t="shared" si="15"/>
        <v>0</v>
      </c>
      <c r="H51" s="4652">
        <v>1</v>
      </c>
      <c r="I51" s="4653">
        <v>1</v>
      </c>
      <c r="J51" s="2760">
        <f t="shared" si="16"/>
        <v>2</v>
      </c>
      <c r="K51" s="4652"/>
      <c r="L51" s="4653"/>
      <c r="M51" s="2760">
        <f t="shared" si="19"/>
        <v>0</v>
      </c>
      <c r="N51" s="4652"/>
      <c r="O51" s="4653"/>
      <c r="P51" s="2760">
        <f t="shared" si="20"/>
        <v>0</v>
      </c>
    </row>
    <row r="52" spans="2:16" ht="15" customHeight="1" x14ac:dyDescent="0.25">
      <c r="B52" s="7014"/>
      <c r="C52" s="7017"/>
      <c r="D52" s="5597" t="s">
        <v>81</v>
      </c>
      <c r="E52" s="4652"/>
      <c r="F52" s="4653"/>
      <c r="G52" s="2760">
        <f t="shared" si="15"/>
        <v>0</v>
      </c>
      <c r="H52" s="4652"/>
      <c r="I52" s="4653">
        <v>1</v>
      </c>
      <c r="J52" s="2760">
        <f t="shared" si="16"/>
        <v>1</v>
      </c>
      <c r="K52" s="4652"/>
      <c r="L52" s="4653"/>
      <c r="M52" s="2760">
        <f t="shared" si="19"/>
        <v>0</v>
      </c>
      <c r="N52" s="4652"/>
      <c r="O52" s="4653"/>
      <c r="P52" s="2760">
        <f t="shared" si="20"/>
        <v>0</v>
      </c>
    </row>
    <row r="53" spans="2:16" ht="15" customHeight="1" x14ac:dyDescent="0.25">
      <c r="B53" s="7014"/>
      <c r="C53" s="7017"/>
      <c r="D53" s="5597" t="s">
        <v>79</v>
      </c>
      <c r="E53" s="4652"/>
      <c r="F53" s="4653"/>
      <c r="G53" s="2760"/>
      <c r="H53" s="4652"/>
      <c r="I53" s="4653"/>
      <c r="J53" s="2760"/>
      <c r="K53" s="4652"/>
      <c r="L53" s="4653">
        <v>1</v>
      </c>
      <c r="M53" s="2760">
        <f t="shared" si="19"/>
        <v>1</v>
      </c>
      <c r="N53" s="4652"/>
      <c r="O53" s="4653"/>
      <c r="P53" s="2760">
        <f t="shared" si="20"/>
        <v>0</v>
      </c>
    </row>
    <row r="54" spans="2:16" ht="15" customHeight="1" x14ac:dyDescent="0.25">
      <c r="B54" s="7014"/>
      <c r="C54" s="7017"/>
      <c r="D54" s="5597" t="s">
        <v>82</v>
      </c>
      <c r="E54" s="4652"/>
      <c r="F54" s="4653"/>
      <c r="G54" s="2760"/>
      <c r="H54" s="4652"/>
      <c r="I54" s="4653"/>
      <c r="J54" s="2760"/>
      <c r="K54" s="4652">
        <v>1</v>
      </c>
      <c r="L54" s="4653">
        <v>1</v>
      </c>
      <c r="M54" s="2760">
        <f t="shared" si="19"/>
        <v>2</v>
      </c>
      <c r="N54" s="4652"/>
      <c r="O54" s="4653">
        <v>3</v>
      </c>
      <c r="P54" s="2760">
        <f t="shared" si="20"/>
        <v>3</v>
      </c>
    </row>
    <row r="55" spans="2:16" ht="15" customHeight="1" x14ac:dyDescent="0.25">
      <c r="B55" s="7014"/>
      <c r="C55" s="7018"/>
      <c r="D55" s="4436" t="s">
        <v>160</v>
      </c>
      <c r="E55" s="4658">
        <f t="shared" ref="E55:J55" si="21">SUM(E47:E52)</f>
        <v>4</v>
      </c>
      <c r="F55" s="4659">
        <f t="shared" si="21"/>
        <v>8</v>
      </c>
      <c r="G55" s="4436">
        <f t="shared" si="21"/>
        <v>12</v>
      </c>
      <c r="H55" s="4658">
        <f t="shared" si="21"/>
        <v>8</v>
      </c>
      <c r="I55" s="4659">
        <f t="shared" si="21"/>
        <v>8</v>
      </c>
      <c r="J55" s="4436">
        <f t="shared" si="21"/>
        <v>16</v>
      </c>
      <c r="K55" s="4658">
        <f t="shared" ref="K55:P55" si="22">SUM(K47:K54)</f>
        <v>13</v>
      </c>
      <c r="L55" s="4659">
        <f t="shared" si="22"/>
        <v>10</v>
      </c>
      <c r="M55" s="4436">
        <f t="shared" si="22"/>
        <v>23</v>
      </c>
      <c r="N55" s="4658">
        <f t="shared" si="22"/>
        <v>5</v>
      </c>
      <c r="O55" s="4659">
        <f t="shared" si="22"/>
        <v>10</v>
      </c>
      <c r="P55" s="4436">
        <f t="shared" si="22"/>
        <v>15</v>
      </c>
    </row>
    <row r="56" spans="2:16" ht="15" customHeight="1" x14ac:dyDescent="0.25">
      <c r="B56" s="7014"/>
      <c r="C56" s="7019" t="s">
        <v>11</v>
      </c>
      <c r="D56" s="5597" t="s">
        <v>841</v>
      </c>
      <c r="E56" s="4652">
        <v>1</v>
      </c>
      <c r="F56" s="4653">
        <v>4</v>
      </c>
      <c r="G56" s="2760">
        <f t="shared" si="15"/>
        <v>5</v>
      </c>
      <c r="H56" s="4652">
        <v>7</v>
      </c>
      <c r="I56" s="4653">
        <v>5</v>
      </c>
      <c r="J56" s="2760">
        <f t="shared" si="16"/>
        <v>12</v>
      </c>
      <c r="K56" s="4652">
        <v>8</v>
      </c>
      <c r="L56" s="4653">
        <v>5</v>
      </c>
      <c r="M56" s="2760">
        <f t="shared" ref="M56:M62" si="23">+K56+L56</f>
        <v>13</v>
      </c>
      <c r="N56" s="4652">
        <v>7</v>
      </c>
      <c r="O56" s="4653">
        <v>7</v>
      </c>
      <c r="P56" s="2760">
        <f t="shared" ref="P56:P62" si="24">+N56+O56</f>
        <v>14</v>
      </c>
    </row>
    <row r="57" spans="2:16" ht="15" customHeight="1" x14ac:dyDescent="0.25">
      <c r="B57" s="7014"/>
      <c r="C57" s="7017"/>
      <c r="D57" s="5597" t="s">
        <v>842</v>
      </c>
      <c r="E57" s="4652">
        <v>1</v>
      </c>
      <c r="F57" s="4653">
        <v>4</v>
      </c>
      <c r="G57" s="2760">
        <f t="shared" si="15"/>
        <v>5</v>
      </c>
      <c r="H57" s="4652">
        <v>5</v>
      </c>
      <c r="I57" s="4653">
        <v>1</v>
      </c>
      <c r="J57" s="2760">
        <f t="shared" si="16"/>
        <v>6</v>
      </c>
      <c r="K57" s="4652">
        <v>1</v>
      </c>
      <c r="L57" s="4653"/>
      <c r="M57" s="2760">
        <f t="shared" si="23"/>
        <v>1</v>
      </c>
      <c r="N57" s="4652">
        <v>1</v>
      </c>
      <c r="O57" s="4653"/>
      <c r="P57" s="2760">
        <f t="shared" si="24"/>
        <v>1</v>
      </c>
    </row>
    <row r="58" spans="2:16" ht="15" customHeight="1" x14ac:dyDescent="0.25">
      <c r="B58" s="7014"/>
      <c r="C58" s="7017"/>
      <c r="D58" s="5597" t="s">
        <v>359</v>
      </c>
      <c r="E58" s="4652">
        <v>1</v>
      </c>
      <c r="F58" s="4653"/>
      <c r="G58" s="2760">
        <f t="shared" si="15"/>
        <v>1</v>
      </c>
      <c r="H58" s="4652"/>
      <c r="I58" s="4653"/>
      <c r="J58" s="2760">
        <f t="shared" si="16"/>
        <v>0</v>
      </c>
      <c r="K58" s="4652"/>
      <c r="L58" s="4653"/>
      <c r="M58" s="2760">
        <f t="shared" si="23"/>
        <v>0</v>
      </c>
      <c r="N58" s="4652">
        <v>5</v>
      </c>
      <c r="O58" s="4653">
        <v>1</v>
      </c>
      <c r="P58" s="2760">
        <f t="shared" si="24"/>
        <v>6</v>
      </c>
    </row>
    <row r="59" spans="2:16" ht="15" customHeight="1" x14ac:dyDescent="0.25">
      <c r="B59" s="7014"/>
      <c r="C59" s="7017"/>
      <c r="D59" s="5597" t="s">
        <v>384</v>
      </c>
      <c r="E59" s="4652">
        <v>1</v>
      </c>
      <c r="F59" s="4653">
        <v>3</v>
      </c>
      <c r="G59" s="2760">
        <f t="shared" si="15"/>
        <v>4</v>
      </c>
      <c r="H59" s="4652"/>
      <c r="I59" s="4653"/>
      <c r="J59" s="2760">
        <f t="shared" si="16"/>
        <v>0</v>
      </c>
      <c r="K59" s="4652">
        <v>3</v>
      </c>
      <c r="L59" s="4653"/>
      <c r="M59" s="2760">
        <f t="shared" si="23"/>
        <v>3</v>
      </c>
      <c r="N59" s="4652">
        <v>3</v>
      </c>
      <c r="O59" s="4653">
        <v>2</v>
      </c>
      <c r="P59" s="2760">
        <f t="shared" si="24"/>
        <v>5</v>
      </c>
    </row>
    <row r="60" spans="2:16" ht="15" customHeight="1" x14ac:dyDescent="0.25">
      <c r="B60" s="7014"/>
      <c r="C60" s="7017"/>
      <c r="D60" s="5597" t="s">
        <v>87</v>
      </c>
      <c r="E60" s="4652"/>
      <c r="F60" s="4653">
        <v>1</v>
      </c>
      <c r="G60" s="2760">
        <f t="shared" si="15"/>
        <v>1</v>
      </c>
      <c r="H60" s="4652">
        <v>1</v>
      </c>
      <c r="I60" s="4653">
        <v>1</v>
      </c>
      <c r="J60" s="2760">
        <f t="shared" si="16"/>
        <v>2</v>
      </c>
      <c r="K60" s="4652"/>
      <c r="L60" s="4653"/>
      <c r="M60" s="2760">
        <f t="shared" si="23"/>
        <v>0</v>
      </c>
      <c r="N60" s="4652">
        <v>1</v>
      </c>
      <c r="O60" s="4653">
        <v>4</v>
      </c>
      <c r="P60" s="2760">
        <f t="shared" si="24"/>
        <v>5</v>
      </c>
    </row>
    <row r="61" spans="2:16" ht="15" customHeight="1" x14ac:dyDescent="0.25">
      <c r="B61" s="7014"/>
      <c r="C61" s="7017"/>
      <c r="D61" s="5590" t="s">
        <v>549</v>
      </c>
      <c r="E61" s="4654"/>
      <c r="F61" s="4655"/>
      <c r="G61" s="4145">
        <f t="shared" si="15"/>
        <v>0</v>
      </c>
      <c r="H61" s="4654">
        <v>1</v>
      </c>
      <c r="I61" s="4655"/>
      <c r="J61" s="4145">
        <f t="shared" si="16"/>
        <v>1</v>
      </c>
      <c r="K61" s="4654">
        <v>3</v>
      </c>
      <c r="L61" s="4655">
        <v>2</v>
      </c>
      <c r="M61" s="4145">
        <f t="shared" si="23"/>
        <v>5</v>
      </c>
      <c r="N61" s="4654"/>
      <c r="O61" s="4655"/>
      <c r="P61" s="4145">
        <f t="shared" si="24"/>
        <v>0</v>
      </c>
    </row>
    <row r="62" spans="2:16" ht="15" customHeight="1" x14ac:dyDescent="0.25">
      <c r="B62" s="7014"/>
      <c r="C62" s="7017"/>
      <c r="D62" s="5597" t="s">
        <v>843</v>
      </c>
      <c r="E62" s="4652">
        <v>3</v>
      </c>
      <c r="F62" s="4653">
        <v>1</v>
      </c>
      <c r="G62" s="2760">
        <f t="shared" si="15"/>
        <v>4</v>
      </c>
      <c r="H62" s="4652">
        <v>8</v>
      </c>
      <c r="I62" s="4653">
        <v>7</v>
      </c>
      <c r="J62" s="2760">
        <f t="shared" si="16"/>
        <v>15</v>
      </c>
      <c r="K62" s="4652">
        <v>2</v>
      </c>
      <c r="L62" s="4653">
        <v>1</v>
      </c>
      <c r="M62" s="2760">
        <f t="shared" si="23"/>
        <v>3</v>
      </c>
      <c r="N62" s="4652"/>
      <c r="O62" s="4653">
        <v>3</v>
      </c>
      <c r="P62" s="2760">
        <f t="shared" si="24"/>
        <v>3</v>
      </c>
    </row>
    <row r="63" spans="2:16" ht="15" customHeight="1" x14ac:dyDescent="0.25">
      <c r="B63" s="7014"/>
      <c r="C63" s="7018"/>
      <c r="D63" s="4436" t="s">
        <v>160</v>
      </c>
      <c r="E63" s="4658">
        <f t="shared" ref="E63:P63" si="25">SUM(E56:E62)</f>
        <v>7</v>
      </c>
      <c r="F63" s="4659">
        <f t="shared" si="25"/>
        <v>13</v>
      </c>
      <c r="G63" s="4436">
        <f t="shared" si="25"/>
        <v>20</v>
      </c>
      <c r="H63" s="4658">
        <f t="shared" si="25"/>
        <v>22</v>
      </c>
      <c r="I63" s="4659">
        <f t="shared" si="25"/>
        <v>14</v>
      </c>
      <c r="J63" s="4436">
        <f t="shared" si="25"/>
        <v>36</v>
      </c>
      <c r="K63" s="4658">
        <f t="shared" si="25"/>
        <v>17</v>
      </c>
      <c r="L63" s="4659">
        <f t="shared" si="25"/>
        <v>8</v>
      </c>
      <c r="M63" s="4436">
        <f t="shared" si="25"/>
        <v>25</v>
      </c>
      <c r="N63" s="4658">
        <f t="shared" si="25"/>
        <v>17</v>
      </c>
      <c r="O63" s="4659">
        <f t="shared" si="25"/>
        <v>17</v>
      </c>
      <c r="P63" s="4436">
        <f t="shared" si="25"/>
        <v>34</v>
      </c>
    </row>
    <row r="64" spans="2:16" ht="15" customHeight="1" x14ac:dyDescent="0.25">
      <c r="B64" s="7015"/>
      <c r="C64" s="7020" t="s">
        <v>444</v>
      </c>
      <c r="D64" s="7021"/>
      <c r="E64" s="5598">
        <f t="shared" ref="E64:P64" si="26">SUM(E63,E55,E46)</f>
        <v>25</v>
      </c>
      <c r="F64" s="5599">
        <f t="shared" si="26"/>
        <v>49</v>
      </c>
      <c r="G64" s="5600">
        <f t="shared" si="26"/>
        <v>74</v>
      </c>
      <c r="H64" s="5598">
        <f t="shared" si="26"/>
        <v>44</v>
      </c>
      <c r="I64" s="5599">
        <f t="shared" si="26"/>
        <v>43</v>
      </c>
      <c r="J64" s="5600">
        <f t="shared" si="26"/>
        <v>87</v>
      </c>
      <c r="K64" s="5598">
        <f t="shared" si="26"/>
        <v>36</v>
      </c>
      <c r="L64" s="5599">
        <f t="shared" si="26"/>
        <v>32</v>
      </c>
      <c r="M64" s="5600">
        <f t="shared" si="26"/>
        <v>68</v>
      </c>
      <c r="N64" s="5598">
        <f t="shared" si="26"/>
        <v>40</v>
      </c>
      <c r="O64" s="5599">
        <f t="shared" si="26"/>
        <v>40</v>
      </c>
      <c r="P64" s="5600">
        <f t="shared" si="26"/>
        <v>80</v>
      </c>
    </row>
    <row r="65" spans="2:16" ht="15" customHeight="1" x14ac:dyDescent="0.25">
      <c r="B65" s="7023" t="s">
        <v>163</v>
      </c>
      <c r="C65" s="7000" t="s">
        <v>6</v>
      </c>
      <c r="D65" s="4144" t="s">
        <v>90</v>
      </c>
      <c r="E65" s="4654"/>
      <c r="F65" s="4655"/>
      <c r="G65" s="4145">
        <f t="shared" ref="G65:G84" si="27">+E65+F65</f>
        <v>0</v>
      </c>
      <c r="H65" s="4654"/>
      <c r="I65" s="4655">
        <v>1</v>
      </c>
      <c r="J65" s="4145">
        <f t="shared" ref="J65:J84" si="28">+H65+I65</f>
        <v>1</v>
      </c>
      <c r="K65" s="4654"/>
      <c r="L65" s="4655"/>
      <c r="M65" s="4145">
        <f t="shared" ref="M65:M73" si="29">+K65+L65</f>
        <v>0</v>
      </c>
      <c r="N65" s="4654">
        <v>2</v>
      </c>
      <c r="O65" s="4655"/>
      <c r="P65" s="4145">
        <f t="shared" ref="P65:P73" si="30">+N65+O65</f>
        <v>2</v>
      </c>
    </row>
    <row r="66" spans="2:16" ht="15" customHeight="1" x14ac:dyDescent="0.25">
      <c r="B66" s="7024"/>
      <c r="C66" s="7001"/>
      <c r="D66" s="5590" t="s">
        <v>20</v>
      </c>
      <c r="E66" s="4652"/>
      <c r="F66" s="4653"/>
      <c r="G66" s="2760">
        <f t="shared" si="27"/>
        <v>0</v>
      </c>
      <c r="H66" s="4652">
        <v>2</v>
      </c>
      <c r="I66" s="4653"/>
      <c r="J66" s="2760">
        <f t="shared" si="28"/>
        <v>2</v>
      </c>
      <c r="K66" s="4652">
        <v>3</v>
      </c>
      <c r="L66" s="4653">
        <v>2</v>
      </c>
      <c r="M66" s="2760">
        <f t="shared" si="29"/>
        <v>5</v>
      </c>
      <c r="N66" s="4652">
        <v>3</v>
      </c>
      <c r="O66" s="4653">
        <v>4</v>
      </c>
      <c r="P66" s="2760">
        <f t="shared" si="30"/>
        <v>7</v>
      </c>
    </row>
    <row r="67" spans="2:16" ht="15" customHeight="1" x14ac:dyDescent="0.25">
      <c r="B67" s="7024"/>
      <c r="C67" s="7001"/>
      <c r="D67" s="5597" t="s">
        <v>143</v>
      </c>
      <c r="E67" s="4652"/>
      <c r="F67" s="4653"/>
      <c r="G67" s="2760"/>
      <c r="H67" s="4652"/>
      <c r="I67" s="4653"/>
      <c r="J67" s="2760"/>
      <c r="K67" s="4652"/>
      <c r="L67" s="4653">
        <v>1</v>
      </c>
      <c r="M67" s="2760">
        <f t="shared" si="29"/>
        <v>1</v>
      </c>
      <c r="N67" s="4652"/>
      <c r="O67" s="4653"/>
      <c r="P67" s="2760">
        <f t="shared" si="30"/>
        <v>0</v>
      </c>
    </row>
    <row r="68" spans="2:16" ht="15" customHeight="1" x14ac:dyDescent="0.25">
      <c r="B68" s="7024"/>
      <c r="C68" s="7001"/>
      <c r="D68" s="5590" t="s">
        <v>391</v>
      </c>
      <c r="E68" s="4652"/>
      <c r="F68" s="4653"/>
      <c r="G68" s="2760">
        <f t="shared" si="27"/>
        <v>0</v>
      </c>
      <c r="H68" s="4652">
        <v>1</v>
      </c>
      <c r="I68" s="4653">
        <v>2</v>
      </c>
      <c r="J68" s="2760">
        <f t="shared" si="28"/>
        <v>3</v>
      </c>
      <c r="K68" s="4652">
        <v>1</v>
      </c>
      <c r="L68" s="4653">
        <v>2</v>
      </c>
      <c r="M68" s="2760">
        <f t="shared" si="29"/>
        <v>3</v>
      </c>
      <c r="N68" s="4652">
        <v>2</v>
      </c>
      <c r="O68" s="4653">
        <v>2</v>
      </c>
      <c r="P68" s="2760">
        <f t="shared" si="30"/>
        <v>4</v>
      </c>
    </row>
    <row r="69" spans="2:16" ht="15" customHeight="1" x14ac:dyDescent="0.25">
      <c r="B69" s="7024"/>
      <c r="C69" s="7001"/>
      <c r="D69" s="5590" t="s">
        <v>348</v>
      </c>
      <c r="E69" s="4652"/>
      <c r="F69" s="4653"/>
      <c r="G69" s="2760">
        <f t="shared" si="27"/>
        <v>0</v>
      </c>
      <c r="H69" s="4652">
        <v>1</v>
      </c>
      <c r="I69" s="4653"/>
      <c r="J69" s="2760">
        <f t="shared" si="28"/>
        <v>1</v>
      </c>
      <c r="K69" s="4652"/>
      <c r="L69" s="4653"/>
      <c r="M69" s="2760">
        <f t="shared" si="29"/>
        <v>0</v>
      </c>
      <c r="N69" s="4652"/>
      <c r="O69" s="4653"/>
      <c r="P69" s="2760">
        <f t="shared" si="30"/>
        <v>0</v>
      </c>
    </row>
    <row r="70" spans="2:16" ht="15" customHeight="1" x14ac:dyDescent="0.25">
      <c r="B70" s="7024"/>
      <c r="C70" s="7001"/>
      <c r="D70" s="5590" t="s">
        <v>1650</v>
      </c>
      <c r="E70" s="4652"/>
      <c r="F70" s="4653"/>
      <c r="G70" s="2760"/>
      <c r="H70" s="4652"/>
      <c r="I70" s="4653"/>
      <c r="J70" s="2760"/>
      <c r="K70" s="4652"/>
      <c r="L70" s="4653"/>
      <c r="M70" s="2760"/>
      <c r="N70" s="4652">
        <v>1</v>
      </c>
      <c r="O70" s="4653"/>
      <c r="P70" s="2760">
        <f t="shared" si="30"/>
        <v>1</v>
      </c>
    </row>
    <row r="71" spans="2:16" ht="15" customHeight="1" x14ac:dyDescent="0.25">
      <c r="B71" s="7024"/>
      <c r="C71" s="7001"/>
      <c r="D71" s="5590" t="s">
        <v>1651</v>
      </c>
      <c r="E71" s="4652"/>
      <c r="F71" s="4653"/>
      <c r="G71" s="2760"/>
      <c r="H71" s="4652"/>
      <c r="I71" s="4653"/>
      <c r="J71" s="2760"/>
      <c r="K71" s="4652"/>
      <c r="L71" s="4653"/>
      <c r="M71" s="2760"/>
      <c r="N71" s="4652">
        <v>1</v>
      </c>
      <c r="O71" s="4653"/>
      <c r="P71" s="2760">
        <f t="shared" si="30"/>
        <v>1</v>
      </c>
    </row>
    <row r="72" spans="2:16" ht="15" customHeight="1" x14ac:dyDescent="0.25">
      <c r="B72" s="7024"/>
      <c r="C72" s="7001"/>
      <c r="D72" s="5590" t="s">
        <v>389</v>
      </c>
      <c r="E72" s="4652"/>
      <c r="F72" s="4653"/>
      <c r="G72" s="2760"/>
      <c r="H72" s="4652"/>
      <c r="I72" s="4653"/>
      <c r="J72" s="2760"/>
      <c r="K72" s="4652"/>
      <c r="L72" s="4653"/>
      <c r="M72" s="2760"/>
      <c r="N72" s="4652">
        <v>1</v>
      </c>
      <c r="O72" s="4653"/>
      <c r="P72" s="2760">
        <f t="shared" si="30"/>
        <v>1</v>
      </c>
    </row>
    <row r="73" spans="2:16" ht="15" customHeight="1" x14ac:dyDescent="0.25">
      <c r="B73" s="7024"/>
      <c r="C73" s="7001"/>
      <c r="D73" s="5590" t="s">
        <v>416</v>
      </c>
      <c r="E73" s="4652"/>
      <c r="F73" s="4653"/>
      <c r="G73" s="2760">
        <f t="shared" si="27"/>
        <v>0</v>
      </c>
      <c r="H73" s="4652">
        <v>2</v>
      </c>
      <c r="I73" s="4653">
        <v>7</v>
      </c>
      <c r="J73" s="2760">
        <f t="shared" si="28"/>
        <v>9</v>
      </c>
      <c r="K73" s="4652"/>
      <c r="L73" s="4653"/>
      <c r="M73" s="2760">
        <f t="shared" si="29"/>
        <v>0</v>
      </c>
      <c r="N73" s="4652">
        <v>2</v>
      </c>
      <c r="O73" s="4653">
        <v>2</v>
      </c>
      <c r="P73" s="2760">
        <f t="shared" si="30"/>
        <v>4</v>
      </c>
    </row>
    <row r="74" spans="2:16" ht="15" customHeight="1" x14ac:dyDescent="0.25">
      <c r="B74" s="7024"/>
      <c r="C74" s="7002"/>
      <c r="D74" s="4436" t="s">
        <v>160</v>
      </c>
      <c r="E74" s="4660">
        <f t="shared" ref="E74:M74" si="31">SUM(E65:E73)</f>
        <v>0</v>
      </c>
      <c r="F74" s="4661">
        <f t="shared" si="31"/>
        <v>0</v>
      </c>
      <c r="G74" s="4437">
        <f t="shared" si="31"/>
        <v>0</v>
      </c>
      <c r="H74" s="4660">
        <f t="shared" si="31"/>
        <v>6</v>
      </c>
      <c r="I74" s="4661">
        <f t="shared" si="31"/>
        <v>10</v>
      </c>
      <c r="J74" s="4437">
        <f t="shared" si="31"/>
        <v>16</v>
      </c>
      <c r="K74" s="4660">
        <f t="shared" si="31"/>
        <v>4</v>
      </c>
      <c r="L74" s="4661">
        <f t="shared" si="31"/>
        <v>5</v>
      </c>
      <c r="M74" s="4437">
        <f t="shared" si="31"/>
        <v>9</v>
      </c>
      <c r="N74" s="4660">
        <f t="shared" ref="N74:P74" si="32">SUM(N65:N73)</f>
        <v>12</v>
      </c>
      <c r="O74" s="4661">
        <f t="shared" si="32"/>
        <v>8</v>
      </c>
      <c r="P74" s="4437">
        <f t="shared" si="32"/>
        <v>20</v>
      </c>
    </row>
    <row r="75" spans="2:16" ht="15" customHeight="1" x14ac:dyDescent="0.25">
      <c r="B75" s="7024"/>
      <c r="C75" s="7012" t="s">
        <v>11</v>
      </c>
      <c r="D75" s="5590" t="s">
        <v>359</v>
      </c>
      <c r="E75" s="4654">
        <v>3</v>
      </c>
      <c r="F75" s="4655">
        <v>2</v>
      </c>
      <c r="G75" s="4145">
        <f t="shared" si="27"/>
        <v>5</v>
      </c>
      <c r="H75" s="4654">
        <v>4</v>
      </c>
      <c r="I75" s="4655">
        <v>2</v>
      </c>
      <c r="J75" s="4145">
        <f t="shared" si="28"/>
        <v>6</v>
      </c>
      <c r="K75" s="4654"/>
      <c r="L75" s="4655">
        <v>1</v>
      </c>
      <c r="M75" s="4145">
        <f t="shared" ref="M75:M82" si="33">+K75+L75</f>
        <v>1</v>
      </c>
      <c r="N75" s="4654">
        <v>2</v>
      </c>
      <c r="O75" s="4655">
        <v>2</v>
      </c>
      <c r="P75" s="4145">
        <f t="shared" ref="P75:P82" si="34">+N75+O75</f>
        <v>4</v>
      </c>
    </row>
    <row r="76" spans="2:16" ht="15" customHeight="1" x14ac:dyDescent="0.25">
      <c r="B76" s="7024"/>
      <c r="C76" s="7005"/>
      <c r="D76" s="2759" t="s">
        <v>96</v>
      </c>
      <c r="E76" s="4654"/>
      <c r="F76" s="4655"/>
      <c r="G76" s="4145"/>
      <c r="H76" s="4654"/>
      <c r="I76" s="4655"/>
      <c r="J76" s="4145"/>
      <c r="K76" s="4654">
        <v>1</v>
      </c>
      <c r="L76" s="4655"/>
      <c r="M76" s="4145">
        <f t="shared" si="33"/>
        <v>1</v>
      </c>
      <c r="N76" s="4654">
        <v>4</v>
      </c>
      <c r="O76" s="4655"/>
      <c r="P76" s="4145">
        <f t="shared" si="34"/>
        <v>4</v>
      </c>
    </row>
    <row r="77" spans="2:16" ht="15" customHeight="1" x14ac:dyDescent="0.25">
      <c r="B77" s="7024"/>
      <c r="C77" s="7005"/>
      <c r="D77" s="2759" t="s">
        <v>581</v>
      </c>
      <c r="E77" s="4654"/>
      <c r="F77" s="4655"/>
      <c r="G77" s="4145"/>
      <c r="H77" s="4654"/>
      <c r="I77" s="4655"/>
      <c r="J77" s="4145"/>
      <c r="K77" s="4654"/>
      <c r="L77" s="4655"/>
      <c r="M77" s="4145"/>
      <c r="N77" s="4654">
        <v>1</v>
      </c>
      <c r="O77" s="4655"/>
      <c r="P77" s="4145">
        <f t="shared" si="34"/>
        <v>1</v>
      </c>
    </row>
    <row r="78" spans="2:16" ht="15" customHeight="1" x14ac:dyDescent="0.25">
      <c r="B78" s="7024"/>
      <c r="C78" s="7005"/>
      <c r="D78" s="2759" t="s">
        <v>94</v>
      </c>
      <c r="E78" s="4652">
        <v>1</v>
      </c>
      <c r="F78" s="4653"/>
      <c r="G78" s="2760">
        <f t="shared" si="27"/>
        <v>1</v>
      </c>
      <c r="H78" s="4652"/>
      <c r="I78" s="4653"/>
      <c r="J78" s="2760">
        <f t="shared" si="28"/>
        <v>0</v>
      </c>
      <c r="K78" s="4652"/>
      <c r="L78" s="4653"/>
      <c r="M78" s="2760">
        <f t="shared" si="33"/>
        <v>0</v>
      </c>
      <c r="N78" s="4652"/>
      <c r="O78" s="4653"/>
      <c r="P78" s="2760">
        <f t="shared" si="34"/>
        <v>0</v>
      </c>
    </row>
    <row r="79" spans="2:16" ht="15" customHeight="1" x14ac:dyDescent="0.25">
      <c r="B79" s="7024"/>
      <c r="C79" s="7005"/>
      <c r="D79" s="2759" t="s">
        <v>759</v>
      </c>
      <c r="E79" s="4652"/>
      <c r="F79" s="4653"/>
      <c r="G79" s="2760">
        <f t="shared" si="27"/>
        <v>0</v>
      </c>
      <c r="H79" s="4652">
        <v>1</v>
      </c>
      <c r="I79" s="4653"/>
      <c r="J79" s="2760">
        <f t="shared" si="28"/>
        <v>1</v>
      </c>
      <c r="K79" s="4652">
        <v>2</v>
      </c>
      <c r="L79" s="4653"/>
      <c r="M79" s="2760">
        <f t="shared" si="33"/>
        <v>2</v>
      </c>
      <c r="N79" s="4652"/>
      <c r="O79" s="4653">
        <v>1</v>
      </c>
      <c r="P79" s="2760">
        <f t="shared" si="34"/>
        <v>1</v>
      </c>
    </row>
    <row r="80" spans="2:16" ht="15" customHeight="1" x14ac:dyDescent="0.25">
      <c r="B80" s="7024"/>
      <c r="C80" s="7005"/>
      <c r="D80" s="2759" t="s">
        <v>1512</v>
      </c>
      <c r="E80" s="4652"/>
      <c r="F80" s="4653"/>
      <c r="G80" s="2760"/>
      <c r="H80" s="4652"/>
      <c r="I80" s="4653"/>
      <c r="J80" s="2760"/>
      <c r="K80" s="4652">
        <v>4</v>
      </c>
      <c r="L80" s="4653"/>
      <c r="M80" s="2760">
        <f t="shared" si="33"/>
        <v>4</v>
      </c>
      <c r="N80" s="4652">
        <v>6</v>
      </c>
      <c r="O80" s="4653"/>
      <c r="P80" s="2760">
        <f t="shared" si="34"/>
        <v>6</v>
      </c>
    </row>
    <row r="81" spans="2:16" ht="15" customHeight="1" x14ac:dyDescent="0.25">
      <c r="B81" s="7024"/>
      <c r="C81" s="7005"/>
      <c r="D81" s="2759" t="s">
        <v>92</v>
      </c>
      <c r="E81" s="4652"/>
      <c r="F81" s="4653"/>
      <c r="G81" s="2760">
        <f t="shared" si="27"/>
        <v>0</v>
      </c>
      <c r="H81" s="4652"/>
      <c r="I81" s="4653">
        <v>1</v>
      </c>
      <c r="J81" s="2760">
        <f t="shared" si="28"/>
        <v>1</v>
      </c>
      <c r="K81" s="4652"/>
      <c r="L81" s="4653"/>
      <c r="M81" s="2760">
        <f t="shared" si="33"/>
        <v>0</v>
      </c>
      <c r="N81" s="4652">
        <v>1</v>
      </c>
      <c r="O81" s="4653">
        <v>1</v>
      </c>
      <c r="P81" s="2760">
        <f t="shared" si="34"/>
        <v>2</v>
      </c>
    </row>
    <row r="82" spans="2:16" ht="15" customHeight="1" x14ac:dyDescent="0.25">
      <c r="B82" s="7024"/>
      <c r="C82" s="7005"/>
      <c r="D82" s="2759" t="s">
        <v>844</v>
      </c>
      <c r="E82" s="4652">
        <v>2</v>
      </c>
      <c r="F82" s="4653">
        <v>1</v>
      </c>
      <c r="G82" s="2760">
        <f t="shared" si="27"/>
        <v>3</v>
      </c>
      <c r="H82" s="4652">
        <v>6</v>
      </c>
      <c r="I82" s="4653">
        <v>4</v>
      </c>
      <c r="J82" s="2760">
        <f t="shared" si="28"/>
        <v>10</v>
      </c>
      <c r="K82" s="4652"/>
      <c r="L82" s="4653"/>
      <c r="M82" s="2760">
        <f t="shared" si="33"/>
        <v>0</v>
      </c>
      <c r="N82" s="4652"/>
      <c r="O82" s="4653"/>
      <c r="P82" s="2760">
        <f t="shared" si="34"/>
        <v>0</v>
      </c>
    </row>
    <row r="83" spans="2:16" ht="15" customHeight="1" x14ac:dyDescent="0.25">
      <c r="B83" s="7024"/>
      <c r="C83" s="7004"/>
      <c r="D83" s="4436" t="s">
        <v>160</v>
      </c>
      <c r="E83" s="4660">
        <f t="shared" ref="E83:P83" si="35">SUM(E75:E82)</f>
        <v>6</v>
      </c>
      <c r="F83" s="4661">
        <f t="shared" si="35"/>
        <v>3</v>
      </c>
      <c r="G83" s="4437">
        <f t="shared" si="35"/>
        <v>9</v>
      </c>
      <c r="H83" s="4660">
        <f t="shared" si="35"/>
        <v>11</v>
      </c>
      <c r="I83" s="4661">
        <f t="shared" si="35"/>
        <v>7</v>
      </c>
      <c r="J83" s="4437">
        <f t="shared" si="35"/>
        <v>18</v>
      </c>
      <c r="K83" s="4660">
        <f t="shared" si="35"/>
        <v>7</v>
      </c>
      <c r="L83" s="4661">
        <f t="shared" si="35"/>
        <v>1</v>
      </c>
      <c r="M83" s="4437">
        <f t="shared" si="35"/>
        <v>8</v>
      </c>
      <c r="N83" s="4660">
        <f t="shared" si="35"/>
        <v>14</v>
      </c>
      <c r="O83" s="4661">
        <f t="shared" si="35"/>
        <v>4</v>
      </c>
      <c r="P83" s="4437">
        <f t="shared" si="35"/>
        <v>18</v>
      </c>
    </row>
    <row r="84" spans="2:16" ht="15" customHeight="1" x14ac:dyDescent="0.25">
      <c r="B84" s="7024"/>
      <c r="C84" s="7012" t="s">
        <v>7</v>
      </c>
      <c r="D84" s="5597" t="s">
        <v>2</v>
      </c>
      <c r="E84" s="4652">
        <v>1</v>
      </c>
      <c r="F84" s="4653">
        <v>3</v>
      </c>
      <c r="G84" s="2760">
        <f t="shared" si="27"/>
        <v>4</v>
      </c>
      <c r="H84" s="4652">
        <v>4</v>
      </c>
      <c r="I84" s="4653">
        <v>7</v>
      </c>
      <c r="J84" s="2760">
        <f t="shared" si="28"/>
        <v>11</v>
      </c>
      <c r="K84" s="4652">
        <v>1</v>
      </c>
      <c r="L84" s="4653"/>
      <c r="M84" s="2760">
        <f>+K84+L84</f>
        <v>1</v>
      </c>
      <c r="N84" s="4652">
        <v>1</v>
      </c>
      <c r="O84" s="4653"/>
      <c r="P84" s="2760">
        <f>+N84+O84</f>
        <v>1</v>
      </c>
    </row>
    <row r="85" spans="2:16" ht="15" customHeight="1" x14ac:dyDescent="0.25">
      <c r="B85" s="7024"/>
      <c r="C85" s="7005"/>
      <c r="D85" s="5597" t="s">
        <v>1</v>
      </c>
      <c r="E85" s="4652"/>
      <c r="F85" s="4653"/>
      <c r="G85" s="2760"/>
      <c r="H85" s="4652"/>
      <c r="I85" s="4653"/>
      <c r="J85" s="2760"/>
      <c r="K85" s="4652"/>
      <c r="L85" s="4653">
        <v>1</v>
      </c>
      <c r="M85" s="2760">
        <f>+K85+L85</f>
        <v>1</v>
      </c>
      <c r="N85" s="4652"/>
      <c r="O85" s="4653"/>
      <c r="P85" s="2760">
        <f>+N85+O85</f>
        <v>0</v>
      </c>
    </row>
    <row r="86" spans="2:16" ht="15" customHeight="1" x14ac:dyDescent="0.25">
      <c r="B86" s="7024"/>
      <c r="C86" s="7004"/>
      <c r="D86" s="4436" t="s">
        <v>160</v>
      </c>
      <c r="E86" s="4658">
        <f t="shared" ref="E86:J86" si="36">SUM(E84)</f>
        <v>1</v>
      </c>
      <c r="F86" s="4659">
        <f t="shared" si="36"/>
        <v>3</v>
      </c>
      <c r="G86" s="4436">
        <f t="shared" si="36"/>
        <v>4</v>
      </c>
      <c r="H86" s="4658">
        <f t="shared" si="36"/>
        <v>4</v>
      </c>
      <c r="I86" s="4659">
        <f t="shared" si="36"/>
        <v>7</v>
      </c>
      <c r="J86" s="4436">
        <f t="shared" si="36"/>
        <v>11</v>
      </c>
      <c r="K86" s="4660">
        <f t="shared" ref="K86:P86" si="37">SUM(K84:K85)</f>
        <v>1</v>
      </c>
      <c r="L86" s="4661">
        <f t="shared" si="37"/>
        <v>1</v>
      </c>
      <c r="M86" s="4437">
        <f t="shared" si="37"/>
        <v>2</v>
      </c>
      <c r="N86" s="4660">
        <f t="shared" si="37"/>
        <v>1</v>
      </c>
      <c r="O86" s="4661">
        <f t="shared" si="37"/>
        <v>0</v>
      </c>
      <c r="P86" s="4437">
        <f t="shared" si="37"/>
        <v>1</v>
      </c>
    </row>
    <row r="87" spans="2:16" ht="15" customHeight="1" x14ac:dyDescent="0.25">
      <c r="B87" s="7025"/>
      <c r="C87" s="7026" t="s">
        <v>444</v>
      </c>
      <c r="D87" s="7027"/>
      <c r="E87" s="5601">
        <f t="shared" ref="E87:P87" si="38">SUM(E86,E83,E74)</f>
        <v>7</v>
      </c>
      <c r="F87" s="5602">
        <f t="shared" si="38"/>
        <v>6</v>
      </c>
      <c r="G87" s="5603">
        <f t="shared" si="38"/>
        <v>13</v>
      </c>
      <c r="H87" s="5601">
        <f t="shared" si="38"/>
        <v>21</v>
      </c>
      <c r="I87" s="5602">
        <f t="shared" si="38"/>
        <v>24</v>
      </c>
      <c r="J87" s="5603">
        <f t="shared" si="38"/>
        <v>45</v>
      </c>
      <c r="K87" s="5601">
        <f t="shared" si="38"/>
        <v>12</v>
      </c>
      <c r="L87" s="5602">
        <f t="shared" si="38"/>
        <v>7</v>
      </c>
      <c r="M87" s="5603">
        <f t="shared" si="38"/>
        <v>19</v>
      </c>
      <c r="N87" s="5601">
        <f t="shared" si="38"/>
        <v>27</v>
      </c>
      <c r="O87" s="5602">
        <f t="shared" si="38"/>
        <v>12</v>
      </c>
      <c r="P87" s="5603">
        <f t="shared" si="38"/>
        <v>39</v>
      </c>
    </row>
    <row r="88" spans="2:16" ht="15" customHeight="1" x14ac:dyDescent="0.25">
      <c r="B88" s="7022" t="s">
        <v>573</v>
      </c>
      <c r="C88" s="7022"/>
      <c r="D88" s="7022"/>
      <c r="E88" s="5604">
        <f>SUM(E87,E64,E34,E25)</f>
        <v>41</v>
      </c>
      <c r="F88" s="5605">
        <f>SUM(F87,F64,F34,F25)</f>
        <v>75</v>
      </c>
      <c r="G88" s="5606">
        <f t="shared" ref="G88:P88" si="39">SUM(G25,G34,G64,G87)</f>
        <v>116</v>
      </c>
      <c r="H88" s="5604">
        <f t="shared" si="39"/>
        <v>91</v>
      </c>
      <c r="I88" s="5605">
        <f t="shared" si="39"/>
        <v>94</v>
      </c>
      <c r="J88" s="5606">
        <f t="shared" si="39"/>
        <v>185</v>
      </c>
      <c r="K88" s="5604">
        <f t="shared" si="39"/>
        <v>86</v>
      </c>
      <c r="L88" s="5605">
        <f t="shared" si="39"/>
        <v>79</v>
      </c>
      <c r="M88" s="5606">
        <f t="shared" si="39"/>
        <v>165</v>
      </c>
      <c r="N88" s="5604">
        <f t="shared" si="39"/>
        <v>97</v>
      </c>
      <c r="O88" s="5605">
        <f t="shared" si="39"/>
        <v>94</v>
      </c>
      <c r="P88" s="5606">
        <f t="shared" si="39"/>
        <v>191</v>
      </c>
    </row>
  </sheetData>
  <sheetProtection algorithmName="SHA-512" hashValue="hU9Z5X+QNwTUaoaxwwm6wEiYbJU+B9rfZ2b+aBroNJl2GaU+6H+VGR5jil8DhnE69w78shIkZv9VPU3/EEjm3A==" saltValue="Tfe2VsqMiPGlepvuE6UhJw==" spinCount="100000" sheet="1" objects="1" scenarios="1"/>
  <mergeCells count="28">
    <mergeCell ref="B88:D88"/>
    <mergeCell ref="B65:B87"/>
    <mergeCell ref="C65:C74"/>
    <mergeCell ref="C75:C83"/>
    <mergeCell ref="C84:C86"/>
    <mergeCell ref="C87:D87"/>
    <mergeCell ref="B35:B64"/>
    <mergeCell ref="C35:C46"/>
    <mergeCell ref="C47:C55"/>
    <mergeCell ref="C56:C63"/>
    <mergeCell ref="C64:D64"/>
    <mergeCell ref="C25:D25"/>
    <mergeCell ref="B26:B34"/>
    <mergeCell ref="C26:C28"/>
    <mergeCell ref="C29:C30"/>
    <mergeCell ref="C31:C33"/>
    <mergeCell ref="C34:D34"/>
    <mergeCell ref="B5:B25"/>
    <mergeCell ref="C5:C14"/>
    <mergeCell ref="C15:C19"/>
    <mergeCell ref="C20:C24"/>
    <mergeCell ref="N3:P3"/>
    <mergeCell ref="B3:B4"/>
    <mergeCell ref="C3:C4"/>
    <mergeCell ref="D3:D4"/>
    <mergeCell ref="K3:M3"/>
    <mergeCell ref="E3:G3"/>
    <mergeCell ref="H3:J3"/>
  </mergeCells>
  <pageMargins left="0.70866141732283472" right="0.70866141732283472" top="0.35433070866141736" bottom="0.35433070866141736" header="0.31496062992125984" footer="0.31496062992125984"/>
  <pageSetup scale="48" orientation="landscape" r:id="rId1"/>
  <ignoredErrors>
    <ignoredError sqref="G28:P30 G83:P83 G74:P74 G14:P14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B2:AG64"/>
  <sheetViews>
    <sheetView showGridLines="0" zoomScaleNormal="100" workbookViewId="0">
      <pane xSplit="3" ySplit="6" topLeftCell="K22" activePane="bottomRight" state="frozen"/>
      <selection sqref="A1:E1"/>
      <selection pane="topRight" sqref="A1:E1"/>
      <selection pane="bottomLeft" sqref="A1:E1"/>
      <selection pane="bottomRight" activeCell="AH45" sqref="AH45"/>
    </sheetView>
  </sheetViews>
  <sheetFormatPr baseColWidth="10" defaultRowHeight="12.75" x14ac:dyDescent="0.2"/>
  <cols>
    <col min="1" max="1" width="1.7109375" customWidth="1"/>
    <col min="2" max="2" width="13.7109375" bestFit="1" customWidth="1"/>
    <col min="4" max="33" width="9.140625" customWidth="1"/>
  </cols>
  <sheetData>
    <row r="2" spans="2:33" ht="33.75" customHeight="1" x14ac:dyDescent="0.25">
      <c r="B2" s="5742" t="s">
        <v>1204</v>
      </c>
      <c r="C2" s="5742"/>
    </row>
    <row r="3" spans="2:33" ht="18" x14ac:dyDescent="0.25">
      <c r="W3" s="3444"/>
    </row>
    <row r="4" spans="2:33" ht="15" x14ac:dyDescent="0.2">
      <c r="B4" s="5723" t="s">
        <v>16</v>
      </c>
      <c r="C4" s="5723" t="s">
        <v>4</v>
      </c>
      <c r="D4" s="5699">
        <v>2008</v>
      </c>
      <c r="E4" s="5700"/>
      <c r="F4" s="5701"/>
      <c r="G4" s="5699">
        <v>2009</v>
      </c>
      <c r="H4" s="5700"/>
      <c r="I4" s="5701"/>
      <c r="J4" s="5699">
        <v>2010</v>
      </c>
      <c r="K4" s="5700"/>
      <c r="L4" s="5701"/>
      <c r="M4" s="5699">
        <v>2011</v>
      </c>
      <c r="N4" s="5700"/>
      <c r="O4" s="5701"/>
      <c r="P4" s="5699">
        <v>2012</v>
      </c>
      <c r="Q4" s="5700"/>
      <c r="R4" s="5701"/>
      <c r="S4" s="5699">
        <v>2013</v>
      </c>
      <c r="T4" s="5700"/>
      <c r="U4" s="5701"/>
      <c r="V4" s="5699">
        <v>2014</v>
      </c>
      <c r="W4" s="5700"/>
      <c r="X4" s="5701"/>
      <c r="Y4" s="5699">
        <v>2015</v>
      </c>
      <c r="Z4" s="5700"/>
      <c r="AA4" s="5701"/>
      <c r="AB4" s="5699">
        <v>2016</v>
      </c>
      <c r="AC4" s="5700"/>
      <c r="AD4" s="5701"/>
      <c r="AE4" s="5699">
        <v>2017</v>
      </c>
      <c r="AF4" s="5700"/>
      <c r="AG4" s="5701"/>
    </row>
    <row r="5" spans="2:33" ht="15" x14ac:dyDescent="0.2">
      <c r="B5" s="5723"/>
      <c r="C5" s="5723"/>
      <c r="D5" s="1697" t="s">
        <v>658</v>
      </c>
      <c r="E5" s="1697" t="s">
        <v>659</v>
      </c>
      <c r="F5" s="1698" t="s">
        <v>160</v>
      </c>
      <c r="G5" s="1697" t="s">
        <v>658</v>
      </c>
      <c r="H5" s="1697" t="s">
        <v>659</v>
      </c>
      <c r="I5" s="1698" t="s">
        <v>160</v>
      </c>
      <c r="J5" s="1697" t="s">
        <v>658</v>
      </c>
      <c r="K5" s="1697" t="s">
        <v>659</v>
      </c>
      <c r="L5" s="1698" t="s">
        <v>160</v>
      </c>
      <c r="M5" s="1697" t="s">
        <v>658</v>
      </c>
      <c r="N5" s="1697" t="s">
        <v>659</v>
      </c>
      <c r="O5" s="1698" t="s">
        <v>160</v>
      </c>
      <c r="P5" s="1697" t="s">
        <v>658</v>
      </c>
      <c r="Q5" s="1697" t="s">
        <v>659</v>
      </c>
      <c r="R5" s="1698" t="s">
        <v>160</v>
      </c>
      <c r="S5" s="1697" t="s">
        <v>658</v>
      </c>
      <c r="T5" s="1697" t="s">
        <v>659</v>
      </c>
      <c r="U5" s="1698" t="s">
        <v>160</v>
      </c>
      <c r="V5" s="1697" t="s">
        <v>658</v>
      </c>
      <c r="W5" s="1697" t="s">
        <v>659</v>
      </c>
      <c r="X5" s="1698" t="s">
        <v>160</v>
      </c>
      <c r="Y5" s="1697" t="s">
        <v>658</v>
      </c>
      <c r="Z5" s="1697" t="s">
        <v>659</v>
      </c>
      <c r="AA5" s="1698" t="s">
        <v>160</v>
      </c>
      <c r="AB5" s="1697" t="s">
        <v>658</v>
      </c>
      <c r="AC5" s="1697" t="s">
        <v>659</v>
      </c>
      <c r="AD5" s="1698" t="s">
        <v>160</v>
      </c>
      <c r="AE5" s="1697" t="s">
        <v>658</v>
      </c>
      <c r="AF5" s="1697" t="s">
        <v>659</v>
      </c>
      <c r="AG5" s="1698" t="s">
        <v>160</v>
      </c>
    </row>
    <row r="6" spans="2:33" ht="15" x14ac:dyDescent="0.2">
      <c r="B6" s="262"/>
      <c r="C6" s="262"/>
    </row>
    <row r="7" spans="2:33" ht="15" customHeight="1" x14ac:dyDescent="0.25">
      <c r="B7" s="5725" t="s">
        <v>161</v>
      </c>
      <c r="C7" s="3441" t="s">
        <v>5</v>
      </c>
      <c r="D7" s="1703">
        <v>521.50904392764858</v>
      </c>
      <c r="E7" s="1704">
        <v>1598.4909560723515</v>
      </c>
      <c r="F7" s="1702">
        <f>SUM(D7:E7)</f>
        <v>2120</v>
      </c>
      <c r="G7" s="1703">
        <v>502.97771739130434</v>
      </c>
      <c r="H7" s="1704">
        <v>1540.0222826086956</v>
      </c>
      <c r="I7" s="1702">
        <f>SUM(G7:H7)</f>
        <v>2043</v>
      </c>
      <c r="J7" s="1703">
        <v>654</v>
      </c>
      <c r="K7" s="1704">
        <v>1731</v>
      </c>
      <c r="L7" s="1702">
        <f>SUM(J7:K7)</f>
        <v>2385</v>
      </c>
      <c r="M7" s="1703">
        <v>512</v>
      </c>
      <c r="N7" s="1704">
        <v>1524</v>
      </c>
      <c r="O7" s="1700">
        <f>SUM(M7:N7)</f>
        <v>2036</v>
      </c>
      <c r="P7" s="1703">
        <v>344</v>
      </c>
      <c r="Q7" s="1704">
        <v>1105</v>
      </c>
      <c r="R7" s="1702">
        <f>SUM(P7:Q7)</f>
        <v>1449</v>
      </c>
      <c r="S7" s="1703">
        <v>399</v>
      </c>
      <c r="T7" s="1704">
        <v>1149</v>
      </c>
      <c r="U7" s="1702">
        <f>SUM(S7:T7)</f>
        <v>1548</v>
      </c>
      <c r="V7" s="1703">
        <v>386</v>
      </c>
      <c r="W7" s="1704">
        <v>1068</v>
      </c>
      <c r="X7" s="1702">
        <f>SUM(V7:W7)</f>
        <v>1454</v>
      </c>
      <c r="Y7" s="1703">
        <v>314</v>
      </c>
      <c r="Z7" s="1704">
        <v>935</v>
      </c>
      <c r="AA7" s="1702">
        <f>SUM(Y7:Z7)</f>
        <v>1249</v>
      </c>
      <c r="AB7" s="1703">
        <v>431</v>
      </c>
      <c r="AC7" s="1704">
        <v>1137</v>
      </c>
      <c r="AD7" s="1702">
        <f>SUM(AB7:AC7)</f>
        <v>1568</v>
      </c>
      <c r="AE7" s="1703">
        <v>469</v>
      </c>
      <c r="AF7" s="1704">
        <v>1192</v>
      </c>
      <c r="AG7" s="1702">
        <f>SUM(AE7:AF7)</f>
        <v>1661</v>
      </c>
    </row>
    <row r="8" spans="2:33" ht="15" customHeight="1" x14ac:dyDescent="0.25">
      <c r="B8" s="5726"/>
      <c r="C8" s="3442" t="s">
        <v>6</v>
      </c>
      <c r="D8" s="1709">
        <v>721.30599848139707</v>
      </c>
      <c r="E8" s="1710">
        <v>675.69400151860293</v>
      </c>
      <c r="F8" s="1708">
        <f t="shared" ref="F8:F37" si="0">SUM(D8:E8)</f>
        <v>1397</v>
      </c>
      <c r="G8" s="1709">
        <v>790.09119010819165</v>
      </c>
      <c r="H8" s="1710">
        <v>651.90880989180835</v>
      </c>
      <c r="I8" s="1708">
        <f t="shared" ref="I8:I37" si="1">SUM(G8:H8)</f>
        <v>1442</v>
      </c>
      <c r="J8" s="1709">
        <v>708</v>
      </c>
      <c r="K8" s="1710">
        <v>641</v>
      </c>
      <c r="L8" s="1708">
        <f t="shared" ref="L8:L37" si="2">SUM(J8:K8)</f>
        <v>1349</v>
      </c>
      <c r="M8" s="1709">
        <v>725</v>
      </c>
      <c r="N8" s="1710">
        <v>680</v>
      </c>
      <c r="O8" s="1706">
        <f t="shared" ref="O8:O37" si="3">SUM(M8:N8)</f>
        <v>1405</v>
      </c>
      <c r="P8" s="1709">
        <v>801</v>
      </c>
      <c r="Q8" s="1710">
        <v>785</v>
      </c>
      <c r="R8" s="1708">
        <f t="shared" ref="R8:R37" si="4">SUM(P8:Q8)</f>
        <v>1586</v>
      </c>
      <c r="S8" s="1709">
        <v>797</v>
      </c>
      <c r="T8" s="1710">
        <v>715</v>
      </c>
      <c r="U8" s="1708">
        <f t="shared" ref="U8:U37" si="5">SUM(S8:T8)</f>
        <v>1512</v>
      </c>
      <c r="V8" s="1709">
        <v>733</v>
      </c>
      <c r="W8" s="1710">
        <v>721</v>
      </c>
      <c r="X8" s="1708">
        <f>SUM(V8:W8)</f>
        <v>1454</v>
      </c>
      <c r="Y8" s="1709">
        <v>837</v>
      </c>
      <c r="Z8" s="1710">
        <v>779</v>
      </c>
      <c r="AA8" s="1708">
        <f>SUM(Y8:Z8)</f>
        <v>1616</v>
      </c>
      <c r="AB8" s="1709">
        <v>850</v>
      </c>
      <c r="AC8" s="1710">
        <v>732</v>
      </c>
      <c r="AD8" s="1708">
        <f>SUM(AB8:AC8)</f>
        <v>1582</v>
      </c>
      <c r="AE8" s="1709">
        <v>834</v>
      </c>
      <c r="AF8" s="1710">
        <v>732</v>
      </c>
      <c r="AG8" s="1708">
        <f>SUM(AE8:AF8)</f>
        <v>1566</v>
      </c>
    </row>
    <row r="9" spans="2:33" ht="15" customHeight="1" x14ac:dyDescent="0.2">
      <c r="B9" s="5726"/>
      <c r="C9" s="3442" t="s">
        <v>7</v>
      </c>
      <c r="D9" s="1707">
        <v>248.70868824531516</v>
      </c>
      <c r="E9" s="1706">
        <v>367.29131175468484</v>
      </c>
      <c r="F9" s="1708">
        <f t="shared" si="0"/>
        <v>616</v>
      </c>
      <c r="G9" s="1707">
        <v>246.6897746967071</v>
      </c>
      <c r="H9" s="1706">
        <v>400.3102253032929</v>
      </c>
      <c r="I9" s="1708">
        <f t="shared" si="1"/>
        <v>647</v>
      </c>
      <c r="J9" s="1707">
        <v>300</v>
      </c>
      <c r="K9" s="1706">
        <v>322</v>
      </c>
      <c r="L9" s="1708">
        <f t="shared" si="2"/>
        <v>622</v>
      </c>
      <c r="M9" s="1707">
        <v>305</v>
      </c>
      <c r="N9" s="1706">
        <v>353</v>
      </c>
      <c r="O9" s="1706">
        <f t="shared" si="3"/>
        <v>658</v>
      </c>
      <c r="P9" s="1707">
        <v>298</v>
      </c>
      <c r="Q9" s="1706">
        <v>342</v>
      </c>
      <c r="R9" s="1708">
        <f t="shared" si="4"/>
        <v>640</v>
      </c>
      <c r="S9" s="1707">
        <v>327</v>
      </c>
      <c r="T9" s="1706">
        <v>364</v>
      </c>
      <c r="U9" s="1708">
        <f t="shared" si="5"/>
        <v>691</v>
      </c>
      <c r="V9" s="1707">
        <v>308</v>
      </c>
      <c r="W9" s="1706">
        <v>359</v>
      </c>
      <c r="X9" s="1708">
        <f>SUM(V9:W9)</f>
        <v>667</v>
      </c>
      <c r="Y9" s="1707">
        <v>355</v>
      </c>
      <c r="Z9" s="1706">
        <v>370</v>
      </c>
      <c r="AA9" s="1708">
        <f>SUM(Y9:Z9)</f>
        <v>725</v>
      </c>
      <c r="AB9" s="1707">
        <v>377</v>
      </c>
      <c r="AC9" s="1706">
        <v>346</v>
      </c>
      <c r="AD9" s="1708">
        <f>SUM(AB9:AC9)</f>
        <v>723</v>
      </c>
      <c r="AE9" s="1707">
        <v>373</v>
      </c>
      <c r="AF9" s="1706">
        <v>442</v>
      </c>
      <c r="AG9" s="1708">
        <f>SUM(AE9:AF9)</f>
        <v>815</v>
      </c>
    </row>
    <row r="10" spans="2:33" ht="15" customHeight="1" x14ac:dyDescent="0.25">
      <c r="B10" s="5727"/>
      <c r="C10" s="2284" t="s">
        <v>12</v>
      </c>
      <c r="D10" s="3887">
        <f t="shared" ref="D10:U10" si="6">SUM(D7:D9)</f>
        <v>1491.5237306543609</v>
      </c>
      <c r="E10" s="3888">
        <f t="shared" si="6"/>
        <v>2641.4762693456396</v>
      </c>
      <c r="F10" s="3888">
        <f t="shared" si="6"/>
        <v>4133</v>
      </c>
      <c r="G10" s="3887">
        <f t="shared" si="6"/>
        <v>1539.7586821962032</v>
      </c>
      <c r="H10" s="3888">
        <f t="shared" si="6"/>
        <v>2592.2413178037968</v>
      </c>
      <c r="I10" s="3888">
        <f t="shared" si="6"/>
        <v>4132</v>
      </c>
      <c r="J10" s="3887">
        <f t="shared" si="6"/>
        <v>1662</v>
      </c>
      <c r="K10" s="3888">
        <f t="shared" si="6"/>
        <v>2694</v>
      </c>
      <c r="L10" s="3888">
        <f t="shared" si="6"/>
        <v>4356</v>
      </c>
      <c r="M10" s="3887">
        <f t="shared" si="6"/>
        <v>1542</v>
      </c>
      <c r="N10" s="3888">
        <f t="shared" si="6"/>
        <v>2557</v>
      </c>
      <c r="O10" s="3888">
        <f>SUM(O7:O9)</f>
        <v>4099</v>
      </c>
      <c r="P10" s="3887">
        <f>SUM(P7:P9)</f>
        <v>1443</v>
      </c>
      <c r="Q10" s="3888">
        <f>SUM(Q7:Q9)</f>
        <v>2232</v>
      </c>
      <c r="R10" s="3897">
        <f>SUM(R7:R9)</f>
        <v>3675</v>
      </c>
      <c r="S10" s="3887">
        <f t="shared" si="6"/>
        <v>1523</v>
      </c>
      <c r="T10" s="3888">
        <f t="shared" si="6"/>
        <v>2228</v>
      </c>
      <c r="U10" s="3888">
        <f t="shared" si="6"/>
        <v>3751</v>
      </c>
      <c r="V10" s="3887">
        <f t="shared" ref="V10:AA10" si="7">SUM(V7:V9)</f>
        <v>1427</v>
      </c>
      <c r="W10" s="3888">
        <f t="shared" si="7"/>
        <v>2148</v>
      </c>
      <c r="X10" s="3897">
        <f t="shared" si="7"/>
        <v>3575</v>
      </c>
      <c r="Y10" s="3887">
        <f t="shared" si="7"/>
        <v>1506</v>
      </c>
      <c r="Z10" s="3888">
        <f t="shared" si="7"/>
        <v>2084</v>
      </c>
      <c r="AA10" s="3897">
        <f t="shared" si="7"/>
        <v>3590</v>
      </c>
      <c r="AB10" s="3887">
        <f t="shared" ref="AB10:AG10" si="8">SUM(AB7:AB9)</f>
        <v>1658</v>
      </c>
      <c r="AC10" s="3888">
        <f t="shared" si="8"/>
        <v>2215</v>
      </c>
      <c r="AD10" s="3897">
        <f t="shared" si="8"/>
        <v>3873</v>
      </c>
      <c r="AE10" s="3887">
        <f t="shared" si="8"/>
        <v>1676</v>
      </c>
      <c r="AF10" s="3888">
        <f t="shared" si="8"/>
        <v>2366</v>
      </c>
      <c r="AG10" s="3897">
        <f t="shared" si="8"/>
        <v>4042</v>
      </c>
    </row>
    <row r="11" spans="2:33" ht="15" customHeight="1" x14ac:dyDescent="0.2">
      <c r="B11" s="195"/>
      <c r="C11" s="757"/>
      <c r="D11" s="1717"/>
      <c r="E11" s="1717"/>
      <c r="F11" s="1717"/>
      <c r="G11" s="1717"/>
      <c r="H11" s="1717"/>
      <c r="I11" s="1717"/>
      <c r="J11" s="1717"/>
      <c r="K11" s="1717"/>
      <c r="L11" s="1717"/>
      <c r="M11" s="1717"/>
      <c r="N11" s="1717"/>
      <c r="O11" s="1717"/>
      <c r="P11" s="1717"/>
      <c r="Q11" s="1717"/>
      <c r="R11" s="1717"/>
      <c r="S11" s="1717"/>
      <c r="T11" s="1717"/>
      <c r="U11" s="1717"/>
      <c r="V11" s="1717"/>
      <c r="W11" s="1717"/>
      <c r="X11" s="1717"/>
      <c r="Y11" s="1717"/>
      <c r="Z11" s="1717"/>
      <c r="AA11" s="1717"/>
      <c r="AB11" s="1717"/>
      <c r="AC11" s="1717"/>
      <c r="AD11" s="1717"/>
      <c r="AE11" s="1717"/>
      <c r="AF11" s="1717"/>
      <c r="AG11" s="1717"/>
    </row>
    <row r="12" spans="2:33" ht="15" customHeight="1" x14ac:dyDescent="0.25">
      <c r="B12" s="5728" t="s">
        <v>407</v>
      </c>
      <c r="C12" s="3441" t="s">
        <v>6</v>
      </c>
      <c r="D12" s="1703">
        <v>76</v>
      </c>
      <c r="E12" s="1704">
        <v>46</v>
      </c>
      <c r="F12" s="1702">
        <f t="shared" si="0"/>
        <v>122</v>
      </c>
      <c r="G12" s="1703">
        <v>49.879518072289159</v>
      </c>
      <c r="H12" s="1704">
        <v>40.120481927710841</v>
      </c>
      <c r="I12" s="1702">
        <f t="shared" si="1"/>
        <v>90</v>
      </c>
      <c r="J12" s="1703">
        <v>61</v>
      </c>
      <c r="K12" s="1704">
        <v>54</v>
      </c>
      <c r="L12" s="1702">
        <f t="shared" si="2"/>
        <v>115</v>
      </c>
      <c r="M12" s="1703">
        <v>54</v>
      </c>
      <c r="N12" s="1704">
        <v>51</v>
      </c>
      <c r="O12" s="1700">
        <f t="shared" si="3"/>
        <v>105</v>
      </c>
      <c r="P12" s="1703">
        <v>63</v>
      </c>
      <c r="Q12" s="1704">
        <v>43</v>
      </c>
      <c r="R12" s="1702">
        <f t="shared" si="4"/>
        <v>106</v>
      </c>
      <c r="S12" s="1703">
        <v>64</v>
      </c>
      <c r="T12" s="1704">
        <v>59</v>
      </c>
      <c r="U12" s="1702">
        <f t="shared" si="5"/>
        <v>123</v>
      </c>
      <c r="V12" s="1703">
        <v>112</v>
      </c>
      <c r="W12" s="1704">
        <v>115</v>
      </c>
      <c r="X12" s="1702">
        <f>SUM(V12:W12)</f>
        <v>227</v>
      </c>
      <c r="Y12" s="1703">
        <v>149</v>
      </c>
      <c r="Z12" s="1704">
        <v>126</v>
      </c>
      <c r="AA12" s="1702">
        <f>SUM(Y12:Z12)</f>
        <v>275</v>
      </c>
      <c r="AB12" s="1703">
        <v>149</v>
      </c>
      <c r="AC12" s="1704">
        <v>119</v>
      </c>
      <c r="AD12" s="1702">
        <f>SUM(AB12:AC12)</f>
        <v>268</v>
      </c>
      <c r="AE12" s="1703">
        <v>132</v>
      </c>
      <c r="AF12" s="1704">
        <v>134</v>
      </c>
      <c r="AG12" s="1702">
        <f>SUM(AE12:AF12)</f>
        <v>266</v>
      </c>
    </row>
    <row r="13" spans="2:33" ht="15" customHeight="1" x14ac:dyDescent="0.25">
      <c r="B13" s="5729"/>
      <c r="C13" s="3442" t="s">
        <v>9</v>
      </c>
      <c r="D13" s="1709">
        <v>60</v>
      </c>
      <c r="E13" s="1710">
        <v>84</v>
      </c>
      <c r="F13" s="1708">
        <f t="shared" si="0"/>
        <v>144</v>
      </c>
      <c r="G13" s="1709">
        <v>49.269230769230774</v>
      </c>
      <c r="H13" s="1710">
        <v>72.730769230769226</v>
      </c>
      <c r="I13" s="1708">
        <f t="shared" si="1"/>
        <v>122</v>
      </c>
      <c r="J13" s="1709">
        <v>52</v>
      </c>
      <c r="K13" s="1710">
        <v>86</v>
      </c>
      <c r="L13" s="1708">
        <f t="shared" si="2"/>
        <v>138</v>
      </c>
      <c r="M13" s="1709">
        <v>72</v>
      </c>
      <c r="N13" s="1710">
        <v>86</v>
      </c>
      <c r="O13" s="1706">
        <f t="shared" si="3"/>
        <v>158</v>
      </c>
      <c r="P13" s="1709">
        <v>62</v>
      </c>
      <c r="Q13" s="1710">
        <v>91</v>
      </c>
      <c r="R13" s="1708">
        <f t="shared" si="4"/>
        <v>153</v>
      </c>
      <c r="S13" s="1709">
        <v>66</v>
      </c>
      <c r="T13" s="1710">
        <v>92</v>
      </c>
      <c r="U13" s="1708">
        <f t="shared" si="5"/>
        <v>158</v>
      </c>
      <c r="V13" s="1709">
        <v>72</v>
      </c>
      <c r="W13" s="1710">
        <v>117</v>
      </c>
      <c r="X13" s="1708">
        <f>SUM(V13:W13)</f>
        <v>189</v>
      </c>
      <c r="Y13" s="1709">
        <v>94</v>
      </c>
      <c r="Z13" s="1710">
        <v>140</v>
      </c>
      <c r="AA13" s="1708">
        <f>SUM(Y13:Z13)</f>
        <v>234</v>
      </c>
      <c r="AB13" s="1709">
        <v>123</v>
      </c>
      <c r="AC13" s="1710">
        <v>128</v>
      </c>
      <c r="AD13" s="1708">
        <f>SUM(AB13:AC13)</f>
        <v>251</v>
      </c>
      <c r="AE13" s="1709">
        <v>110</v>
      </c>
      <c r="AF13" s="1710">
        <v>147</v>
      </c>
      <c r="AG13" s="1708">
        <f>SUM(AE13:AF13)</f>
        <v>257</v>
      </c>
    </row>
    <row r="14" spans="2:33" ht="15" customHeight="1" x14ac:dyDescent="0.2">
      <c r="B14" s="5729"/>
      <c r="C14" s="511" t="s">
        <v>74</v>
      </c>
      <c r="D14" s="1707">
        <v>44.118644067796609</v>
      </c>
      <c r="E14" s="1706">
        <v>92.881355932203391</v>
      </c>
      <c r="F14" s="1708">
        <f t="shared" si="0"/>
        <v>137</v>
      </c>
      <c r="G14" s="1707">
        <v>34.719101123595507</v>
      </c>
      <c r="H14" s="1706">
        <v>68.280898876404493</v>
      </c>
      <c r="I14" s="1708">
        <f t="shared" si="1"/>
        <v>103</v>
      </c>
      <c r="J14" s="1707">
        <v>58</v>
      </c>
      <c r="K14" s="1706">
        <v>88</v>
      </c>
      <c r="L14" s="1708">
        <f t="shared" si="2"/>
        <v>146</v>
      </c>
      <c r="M14" s="1707">
        <v>73</v>
      </c>
      <c r="N14" s="1706">
        <v>93</v>
      </c>
      <c r="O14" s="1706">
        <f t="shared" si="3"/>
        <v>166</v>
      </c>
      <c r="P14" s="1707">
        <v>60</v>
      </c>
      <c r="Q14" s="1706">
        <v>115</v>
      </c>
      <c r="R14" s="1708">
        <f t="shared" si="4"/>
        <v>175</v>
      </c>
      <c r="S14" s="1707">
        <v>86</v>
      </c>
      <c r="T14" s="1706">
        <v>136</v>
      </c>
      <c r="U14" s="1708">
        <f t="shared" si="5"/>
        <v>222</v>
      </c>
      <c r="V14" s="1707">
        <v>131</v>
      </c>
      <c r="W14" s="1706">
        <v>162</v>
      </c>
      <c r="X14" s="1708">
        <f>SUM(V14:W14)</f>
        <v>293</v>
      </c>
      <c r="Y14" s="1707">
        <v>110</v>
      </c>
      <c r="Z14" s="1706">
        <v>173</v>
      </c>
      <c r="AA14" s="1708">
        <f>SUM(Y14:Z14)</f>
        <v>283</v>
      </c>
      <c r="AB14" s="1707">
        <v>129</v>
      </c>
      <c r="AC14" s="1706">
        <v>181</v>
      </c>
      <c r="AD14" s="1708">
        <f>SUM(AB14:AC14)</f>
        <v>310</v>
      </c>
      <c r="AE14" s="1707">
        <v>136</v>
      </c>
      <c r="AF14" s="1706">
        <v>186</v>
      </c>
      <c r="AG14" s="1708">
        <f>SUM(AE14:AF14)</f>
        <v>322</v>
      </c>
    </row>
    <row r="15" spans="2:33" ht="15" customHeight="1" x14ac:dyDescent="0.25">
      <c r="B15" s="5730"/>
      <c r="C15" s="2277" t="s">
        <v>12</v>
      </c>
      <c r="D15" s="3889">
        <f t="shared" ref="D15:U15" si="9">SUM(D12:D14)</f>
        <v>180.11864406779659</v>
      </c>
      <c r="E15" s="3890">
        <f t="shared" si="9"/>
        <v>222.88135593220341</v>
      </c>
      <c r="F15" s="3890">
        <f t="shared" si="9"/>
        <v>403</v>
      </c>
      <c r="G15" s="3889">
        <f t="shared" si="9"/>
        <v>133.86784996511545</v>
      </c>
      <c r="H15" s="3890">
        <f t="shared" si="9"/>
        <v>181.13215003488455</v>
      </c>
      <c r="I15" s="3890">
        <f t="shared" si="9"/>
        <v>315</v>
      </c>
      <c r="J15" s="3889">
        <f t="shared" si="9"/>
        <v>171</v>
      </c>
      <c r="K15" s="3890">
        <f t="shared" si="9"/>
        <v>228</v>
      </c>
      <c r="L15" s="3890">
        <f t="shared" si="9"/>
        <v>399</v>
      </c>
      <c r="M15" s="3889">
        <f t="shared" si="9"/>
        <v>199</v>
      </c>
      <c r="N15" s="3890">
        <f t="shared" si="9"/>
        <v>230</v>
      </c>
      <c r="O15" s="3890">
        <f>SUM(O12:O14)</f>
        <v>429</v>
      </c>
      <c r="P15" s="3889">
        <f>SUM(P12:P14)</f>
        <v>185</v>
      </c>
      <c r="Q15" s="3890">
        <f>SUM(Q12:Q14)</f>
        <v>249</v>
      </c>
      <c r="R15" s="3896">
        <f>SUM(R12:R14)</f>
        <v>434</v>
      </c>
      <c r="S15" s="3889">
        <f t="shared" si="9"/>
        <v>216</v>
      </c>
      <c r="T15" s="3890">
        <f t="shared" si="9"/>
        <v>287</v>
      </c>
      <c r="U15" s="3890">
        <f t="shared" si="9"/>
        <v>503</v>
      </c>
      <c r="V15" s="3889">
        <f t="shared" ref="V15:AG15" si="10">SUM(V12:V14)</f>
        <v>315</v>
      </c>
      <c r="W15" s="3890">
        <f t="shared" si="10"/>
        <v>394</v>
      </c>
      <c r="X15" s="3896">
        <f t="shared" si="10"/>
        <v>709</v>
      </c>
      <c r="Y15" s="3889">
        <f t="shared" si="10"/>
        <v>353</v>
      </c>
      <c r="Z15" s="3890">
        <f t="shared" si="10"/>
        <v>439</v>
      </c>
      <c r="AA15" s="3896">
        <f t="shared" si="10"/>
        <v>792</v>
      </c>
      <c r="AB15" s="3889">
        <f t="shared" si="10"/>
        <v>401</v>
      </c>
      <c r="AC15" s="3890">
        <f t="shared" si="10"/>
        <v>428</v>
      </c>
      <c r="AD15" s="3896">
        <f t="shared" si="10"/>
        <v>829</v>
      </c>
      <c r="AE15" s="3889">
        <f t="shared" si="10"/>
        <v>378</v>
      </c>
      <c r="AF15" s="3890">
        <f t="shared" si="10"/>
        <v>467</v>
      </c>
      <c r="AG15" s="3896">
        <f t="shared" si="10"/>
        <v>845</v>
      </c>
    </row>
    <row r="16" spans="2:33" ht="15" customHeight="1" x14ac:dyDescent="0.25">
      <c r="B16" s="195"/>
      <c r="C16" s="262"/>
      <c r="D16" s="1696"/>
      <c r="E16" s="1696"/>
      <c r="F16" s="1696"/>
      <c r="G16" s="1696"/>
      <c r="H16" s="1696"/>
      <c r="I16" s="1696"/>
      <c r="J16" s="1696"/>
      <c r="K16" s="1696"/>
      <c r="L16" s="1696"/>
      <c r="M16" s="1696"/>
      <c r="N16" s="1696"/>
      <c r="O16" s="1696"/>
      <c r="P16" s="1696"/>
      <c r="Q16" s="1696"/>
      <c r="R16" s="1696"/>
      <c r="S16" s="1696"/>
      <c r="T16" s="1696"/>
      <c r="U16" s="1696"/>
      <c r="V16" s="1696"/>
      <c r="W16" s="1696"/>
      <c r="X16" s="1696"/>
      <c r="Y16" s="1696"/>
      <c r="Z16" s="1696"/>
      <c r="AA16" s="1696"/>
      <c r="AB16" s="1696"/>
      <c r="AC16" s="1696"/>
      <c r="AD16" s="1696"/>
      <c r="AE16" s="1696"/>
      <c r="AF16" s="1696"/>
      <c r="AG16" s="1696"/>
    </row>
    <row r="17" spans="2:33" ht="15" customHeight="1" x14ac:dyDescent="0.25">
      <c r="B17" s="5731" t="s">
        <v>162</v>
      </c>
      <c r="C17" s="3441" t="s">
        <v>5</v>
      </c>
      <c r="D17" s="1703">
        <v>282.58437146092865</v>
      </c>
      <c r="E17" s="1704">
        <v>631.41562853907135</v>
      </c>
      <c r="F17" s="1702">
        <f t="shared" si="0"/>
        <v>914</v>
      </c>
      <c r="G17" s="1703">
        <v>254.53545232273839</v>
      </c>
      <c r="H17" s="1704">
        <v>631.46454767726163</v>
      </c>
      <c r="I17" s="1702">
        <f t="shared" si="1"/>
        <v>886</v>
      </c>
      <c r="J17" s="1703">
        <v>324</v>
      </c>
      <c r="K17" s="1704">
        <v>732</v>
      </c>
      <c r="L17" s="1702">
        <f t="shared" si="2"/>
        <v>1056</v>
      </c>
      <c r="M17" s="1703">
        <v>314</v>
      </c>
      <c r="N17" s="1704">
        <v>784</v>
      </c>
      <c r="O17" s="1700">
        <f t="shared" si="3"/>
        <v>1098</v>
      </c>
      <c r="P17" s="1703">
        <v>343</v>
      </c>
      <c r="Q17" s="1704">
        <v>776</v>
      </c>
      <c r="R17" s="1702">
        <f t="shared" si="4"/>
        <v>1119</v>
      </c>
      <c r="S17" s="1703">
        <v>374</v>
      </c>
      <c r="T17" s="1704">
        <v>916</v>
      </c>
      <c r="U17" s="1702">
        <f t="shared" si="5"/>
        <v>1290</v>
      </c>
      <c r="V17" s="1703">
        <v>324</v>
      </c>
      <c r="W17" s="1704">
        <v>728</v>
      </c>
      <c r="X17" s="1702">
        <f>SUM(V17:W17)</f>
        <v>1052</v>
      </c>
      <c r="Y17" s="1703">
        <v>294</v>
      </c>
      <c r="Z17" s="1704">
        <v>684</v>
      </c>
      <c r="AA17" s="1702">
        <f>SUM(Y17:Z17)</f>
        <v>978</v>
      </c>
      <c r="AB17" s="1703">
        <v>354</v>
      </c>
      <c r="AC17" s="1704">
        <v>740</v>
      </c>
      <c r="AD17" s="1702">
        <f>SUM(AB17:AC17)</f>
        <v>1094</v>
      </c>
      <c r="AE17" s="1703">
        <v>255</v>
      </c>
      <c r="AF17" s="1704">
        <v>652</v>
      </c>
      <c r="AG17" s="1702">
        <f>SUM(AE17:AF17)</f>
        <v>907</v>
      </c>
    </row>
    <row r="18" spans="2:33" ht="15" customHeight="1" x14ac:dyDescent="0.25">
      <c r="B18" s="5732"/>
      <c r="C18" s="3442" t="s">
        <v>6</v>
      </c>
      <c r="D18" s="1709">
        <v>695.63090472377894</v>
      </c>
      <c r="E18" s="1710">
        <v>595.36909527622106</v>
      </c>
      <c r="F18" s="1708">
        <f t="shared" si="0"/>
        <v>1291</v>
      </c>
      <c r="G18" s="1709">
        <v>740.68764940239043</v>
      </c>
      <c r="H18" s="1710">
        <v>620.31235059760957</v>
      </c>
      <c r="I18" s="1708">
        <f t="shared" si="1"/>
        <v>1361</v>
      </c>
      <c r="J18" s="1709">
        <v>745</v>
      </c>
      <c r="K18" s="1710">
        <v>647</v>
      </c>
      <c r="L18" s="1708">
        <f t="shared" si="2"/>
        <v>1392</v>
      </c>
      <c r="M18" s="1709">
        <v>749</v>
      </c>
      <c r="N18" s="1710">
        <v>626</v>
      </c>
      <c r="O18" s="1706">
        <f t="shared" si="3"/>
        <v>1375</v>
      </c>
      <c r="P18" s="1709">
        <v>738</v>
      </c>
      <c r="Q18" s="1710">
        <v>647</v>
      </c>
      <c r="R18" s="1708">
        <f t="shared" si="4"/>
        <v>1385</v>
      </c>
      <c r="S18" s="1709">
        <v>693</v>
      </c>
      <c r="T18" s="1710">
        <v>619</v>
      </c>
      <c r="U18" s="1708">
        <f t="shared" si="5"/>
        <v>1312</v>
      </c>
      <c r="V18" s="1709">
        <v>720</v>
      </c>
      <c r="W18" s="1710">
        <v>595</v>
      </c>
      <c r="X18" s="1708">
        <f>SUM(V18:W18)</f>
        <v>1315</v>
      </c>
      <c r="Y18" s="1709">
        <v>711</v>
      </c>
      <c r="Z18" s="1710">
        <v>595</v>
      </c>
      <c r="AA18" s="1708">
        <f>SUM(Y18:Z18)</f>
        <v>1306</v>
      </c>
      <c r="AB18" s="1709">
        <v>688</v>
      </c>
      <c r="AC18" s="1710">
        <v>662</v>
      </c>
      <c r="AD18" s="1708">
        <f>SUM(AB18:AC18)</f>
        <v>1350</v>
      </c>
      <c r="AE18" s="1709">
        <v>723</v>
      </c>
      <c r="AF18" s="1710">
        <v>641</v>
      </c>
      <c r="AG18" s="1708">
        <f>SUM(AE18:AF18)</f>
        <v>1364</v>
      </c>
    </row>
    <row r="19" spans="2:33" ht="15" customHeight="1" x14ac:dyDescent="0.2">
      <c r="B19" s="5732"/>
      <c r="C19" s="3442" t="s">
        <v>11</v>
      </c>
      <c r="D19" s="1707">
        <v>479.5435684647303</v>
      </c>
      <c r="E19" s="1706">
        <v>282.4564315352697</v>
      </c>
      <c r="F19" s="1708">
        <f t="shared" si="0"/>
        <v>762</v>
      </c>
      <c r="G19" s="1707">
        <v>545.35252643948297</v>
      </c>
      <c r="H19" s="1706">
        <v>373.64747356051703</v>
      </c>
      <c r="I19" s="1708">
        <f t="shared" si="1"/>
        <v>919</v>
      </c>
      <c r="J19" s="1707">
        <v>582</v>
      </c>
      <c r="K19" s="1706">
        <v>396</v>
      </c>
      <c r="L19" s="1708">
        <f t="shared" si="2"/>
        <v>978</v>
      </c>
      <c r="M19" s="1707">
        <v>591</v>
      </c>
      <c r="N19" s="1706">
        <v>415</v>
      </c>
      <c r="O19" s="1706">
        <f t="shared" si="3"/>
        <v>1006</v>
      </c>
      <c r="P19" s="1707">
        <v>584</v>
      </c>
      <c r="Q19" s="1706">
        <v>422</v>
      </c>
      <c r="R19" s="1708">
        <f t="shared" si="4"/>
        <v>1006</v>
      </c>
      <c r="S19" s="1707">
        <v>579</v>
      </c>
      <c r="T19" s="1706">
        <v>389</v>
      </c>
      <c r="U19" s="1708">
        <f t="shared" si="5"/>
        <v>968</v>
      </c>
      <c r="V19" s="1707">
        <v>521</v>
      </c>
      <c r="W19" s="1706">
        <v>340</v>
      </c>
      <c r="X19" s="1708">
        <f>SUM(V19:W19)</f>
        <v>861</v>
      </c>
      <c r="Y19" s="1707">
        <v>491</v>
      </c>
      <c r="Z19" s="1706">
        <v>314</v>
      </c>
      <c r="AA19" s="1708">
        <f>SUM(Y19:Z19)</f>
        <v>805</v>
      </c>
      <c r="AB19" s="1707">
        <v>521</v>
      </c>
      <c r="AC19" s="1706">
        <v>283</v>
      </c>
      <c r="AD19" s="1708">
        <f>SUM(AB19:AC19)</f>
        <v>804</v>
      </c>
      <c r="AE19" s="1707">
        <v>512</v>
      </c>
      <c r="AF19" s="1706">
        <v>298</v>
      </c>
      <c r="AG19" s="1708">
        <f>SUM(AE19:AF19)</f>
        <v>810</v>
      </c>
    </row>
    <row r="20" spans="2:33" ht="15" x14ac:dyDescent="0.25">
      <c r="B20" s="5733"/>
      <c r="C20" s="2291" t="s">
        <v>12</v>
      </c>
      <c r="D20" s="3893">
        <f t="shared" ref="D20:U20" si="11">SUM(D17:D19)</f>
        <v>1457.7588446494378</v>
      </c>
      <c r="E20" s="3894">
        <f t="shared" si="11"/>
        <v>1509.2411553505622</v>
      </c>
      <c r="F20" s="3894">
        <f t="shared" si="11"/>
        <v>2967</v>
      </c>
      <c r="G20" s="3893">
        <f t="shared" si="11"/>
        <v>1540.5756281646118</v>
      </c>
      <c r="H20" s="3894">
        <f t="shared" si="11"/>
        <v>1625.4243718353882</v>
      </c>
      <c r="I20" s="3894">
        <f t="shared" si="11"/>
        <v>3166</v>
      </c>
      <c r="J20" s="3893">
        <f t="shared" si="11"/>
        <v>1651</v>
      </c>
      <c r="K20" s="3894">
        <f t="shared" si="11"/>
        <v>1775</v>
      </c>
      <c r="L20" s="3894">
        <f t="shared" si="11"/>
        <v>3426</v>
      </c>
      <c r="M20" s="3893">
        <f t="shared" si="11"/>
        <v>1654</v>
      </c>
      <c r="N20" s="3894">
        <f t="shared" si="11"/>
        <v>1825</v>
      </c>
      <c r="O20" s="3894">
        <f>SUM(O17:O19)</f>
        <v>3479</v>
      </c>
      <c r="P20" s="3893">
        <f>SUM(P17:P19)</f>
        <v>1665</v>
      </c>
      <c r="Q20" s="3894">
        <f>SUM(Q17:Q19)</f>
        <v>1845</v>
      </c>
      <c r="R20" s="3900">
        <f>SUM(R17:R19)</f>
        <v>3510</v>
      </c>
      <c r="S20" s="3893">
        <f t="shared" si="11"/>
        <v>1646</v>
      </c>
      <c r="T20" s="3894">
        <f t="shared" si="11"/>
        <v>1924</v>
      </c>
      <c r="U20" s="3894">
        <f t="shared" si="11"/>
        <v>3570</v>
      </c>
      <c r="V20" s="3893">
        <f t="shared" ref="V20:AG20" si="12">SUM(V17:V19)</f>
        <v>1565</v>
      </c>
      <c r="W20" s="3894">
        <f t="shared" si="12"/>
        <v>1663</v>
      </c>
      <c r="X20" s="3900">
        <f t="shared" si="12"/>
        <v>3228</v>
      </c>
      <c r="Y20" s="3893">
        <f t="shared" si="12"/>
        <v>1496</v>
      </c>
      <c r="Z20" s="3894">
        <f t="shared" si="12"/>
        <v>1593</v>
      </c>
      <c r="AA20" s="3900">
        <f t="shared" si="12"/>
        <v>3089</v>
      </c>
      <c r="AB20" s="3893">
        <f t="shared" si="12"/>
        <v>1563</v>
      </c>
      <c r="AC20" s="3894">
        <f t="shared" si="12"/>
        <v>1685</v>
      </c>
      <c r="AD20" s="3900">
        <f t="shared" si="12"/>
        <v>3248</v>
      </c>
      <c r="AE20" s="3893">
        <f t="shared" si="12"/>
        <v>1490</v>
      </c>
      <c r="AF20" s="3894">
        <f t="shared" si="12"/>
        <v>1591</v>
      </c>
      <c r="AG20" s="3900">
        <f t="shared" si="12"/>
        <v>3081</v>
      </c>
    </row>
    <row r="21" spans="2:33" ht="15" x14ac:dyDescent="0.2">
      <c r="B21" s="195"/>
      <c r="C21" s="262"/>
      <c r="D21" s="1726"/>
      <c r="E21" s="1726"/>
      <c r="F21" s="1726"/>
      <c r="G21" s="1726"/>
      <c r="H21" s="1726"/>
      <c r="I21" s="1726"/>
      <c r="J21" s="1726"/>
      <c r="K21" s="1726"/>
      <c r="L21" s="1726"/>
      <c r="M21" s="1726"/>
      <c r="N21" s="1726"/>
      <c r="O21" s="1726"/>
      <c r="P21" s="1726"/>
      <c r="Q21" s="1726"/>
      <c r="R21" s="1726"/>
      <c r="S21" s="1726"/>
      <c r="T21" s="1726"/>
      <c r="U21" s="1726"/>
      <c r="V21" s="1726"/>
      <c r="W21" s="1726"/>
      <c r="X21" s="1726"/>
      <c r="Y21" s="1726"/>
      <c r="Z21" s="1726"/>
      <c r="AA21" s="1726"/>
      <c r="AB21" s="1726"/>
      <c r="AC21" s="1726"/>
      <c r="AD21" s="1726"/>
      <c r="AE21" s="1726"/>
      <c r="AF21" s="1726"/>
      <c r="AG21" s="1726"/>
    </row>
    <row r="22" spans="2:33" ht="15" x14ac:dyDescent="0.25">
      <c r="B22" s="5739" t="s">
        <v>408</v>
      </c>
      <c r="C22" s="3441" t="s">
        <v>5</v>
      </c>
      <c r="D22" s="1703"/>
      <c r="E22" s="1704"/>
      <c r="F22" s="1700"/>
      <c r="G22" s="1704"/>
      <c r="H22" s="1704"/>
      <c r="I22" s="1700"/>
      <c r="J22" s="1704"/>
      <c r="K22" s="1704"/>
      <c r="L22" s="1702"/>
      <c r="M22" s="1703">
        <v>24</v>
      </c>
      <c r="N22" s="1704">
        <v>53</v>
      </c>
      <c r="O22" s="1700">
        <f t="shared" si="3"/>
        <v>77</v>
      </c>
      <c r="P22" s="1703">
        <v>15</v>
      </c>
      <c r="Q22" s="1704">
        <v>17</v>
      </c>
      <c r="R22" s="1702">
        <f t="shared" si="4"/>
        <v>32</v>
      </c>
      <c r="S22" s="1703">
        <v>31</v>
      </c>
      <c r="T22" s="1704">
        <v>42</v>
      </c>
      <c r="U22" s="1702">
        <f t="shared" si="5"/>
        <v>73</v>
      </c>
      <c r="V22" s="1703">
        <v>27</v>
      </c>
      <c r="W22" s="1704">
        <v>29</v>
      </c>
      <c r="X22" s="1702">
        <f>SUM(V22:W22)</f>
        <v>56</v>
      </c>
      <c r="Y22" s="1703">
        <v>33</v>
      </c>
      <c r="Z22" s="1704">
        <v>46</v>
      </c>
      <c r="AA22" s="1702">
        <f>SUM(Y22:Z22)</f>
        <v>79</v>
      </c>
      <c r="AB22" s="1703">
        <v>12</v>
      </c>
      <c r="AC22" s="1704">
        <v>50</v>
      </c>
      <c r="AD22" s="1702">
        <f>SUM(AB22:AC22)</f>
        <v>62</v>
      </c>
      <c r="AE22" s="5135">
        <v>53</v>
      </c>
      <c r="AF22" s="5136">
        <v>81</v>
      </c>
      <c r="AG22" s="1702">
        <f>SUM(AE22:AF22)</f>
        <v>134</v>
      </c>
    </row>
    <row r="23" spans="2:33" ht="15" x14ac:dyDescent="0.25">
      <c r="B23" s="5740"/>
      <c r="C23" s="3442" t="s">
        <v>6</v>
      </c>
      <c r="D23" s="1709"/>
      <c r="E23" s="1710"/>
      <c r="F23" s="1706"/>
      <c r="G23" s="1710"/>
      <c r="H23" s="1710"/>
      <c r="I23" s="1706"/>
      <c r="J23" s="1710"/>
      <c r="K23" s="1710"/>
      <c r="L23" s="1708"/>
      <c r="M23" s="1709">
        <v>47</v>
      </c>
      <c r="N23" s="1710">
        <v>34</v>
      </c>
      <c r="O23" s="1706">
        <f t="shared" si="3"/>
        <v>81</v>
      </c>
      <c r="P23" s="1709">
        <v>18</v>
      </c>
      <c r="Q23" s="1710">
        <v>19</v>
      </c>
      <c r="R23" s="1708">
        <f t="shared" si="4"/>
        <v>37</v>
      </c>
      <c r="S23" s="1709">
        <v>45</v>
      </c>
      <c r="T23" s="1710">
        <v>43</v>
      </c>
      <c r="U23" s="1708">
        <f t="shared" si="5"/>
        <v>88</v>
      </c>
      <c r="V23" s="1709">
        <v>32</v>
      </c>
      <c r="W23" s="1710">
        <v>33</v>
      </c>
      <c r="X23" s="1708">
        <f>SUM(V23:W23)</f>
        <v>65</v>
      </c>
      <c r="Y23" s="1709">
        <v>46</v>
      </c>
      <c r="Z23" s="1710">
        <v>30</v>
      </c>
      <c r="AA23" s="1708">
        <f>SUM(Y23:Z23)</f>
        <v>76</v>
      </c>
      <c r="AB23" s="1709">
        <v>65</v>
      </c>
      <c r="AC23" s="1710">
        <v>40</v>
      </c>
      <c r="AD23" s="1708">
        <f>SUM(AB23:AC23)</f>
        <v>105</v>
      </c>
      <c r="AE23" s="5137">
        <v>66</v>
      </c>
      <c r="AF23" s="5138">
        <v>55</v>
      </c>
      <c r="AG23" s="1708">
        <f>SUM(AE23:AF23)</f>
        <v>121</v>
      </c>
    </row>
    <row r="24" spans="2:33" ht="15" x14ac:dyDescent="0.2">
      <c r="B24" s="5740"/>
      <c r="C24" s="274" t="s">
        <v>11</v>
      </c>
      <c r="D24" s="1707"/>
      <c r="E24" s="1706"/>
      <c r="F24" s="1706"/>
      <c r="G24" s="1706"/>
      <c r="H24" s="1706"/>
      <c r="I24" s="1706"/>
      <c r="J24" s="1706"/>
      <c r="K24" s="1706"/>
      <c r="L24" s="1708"/>
      <c r="M24" s="1707">
        <v>54</v>
      </c>
      <c r="N24" s="1706">
        <v>26</v>
      </c>
      <c r="O24" s="1706">
        <f t="shared" si="3"/>
        <v>80</v>
      </c>
      <c r="P24" s="1707">
        <v>23</v>
      </c>
      <c r="Q24" s="1706">
        <v>15</v>
      </c>
      <c r="R24" s="1708">
        <f t="shared" si="4"/>
        <v>38</v>
      </c>
      <c r="S24" s="1707">
        <v>52</v>
      </c>
      <c r="T24" s="1706">
        <v>21</v>
      </c>
      <c r="U24" s="1708">
        <f t="shared" si="5"/>
        <v>73</v>
      </c>
      <c r="V24" s="1707">
        <v>42</v>
      </c>
      <c r="W24" s="1706">
        <v>24</v>
      </c>
      <c r="X24" s="1708">
        <f>SUM(V24:W24)</f>
        <v>66</v>
      </c>
      <c r="Y24" s="1707">
        <v>59</v>
      </c>
      <c r="Z24" s="1706">
        <v>26</v>
      </c>
      <c r="AA24" s="1708">
        <f>SUM(Y24:Z24)</f>
        <v>85</v>
      </c>
      <c r="AB24" s="1707">
        <v>65</v>
      </c>
      <c r="AC24" s="1706">
        <v>34</v>
      </c>
      <c r="AD24" s="1708">
        <f>SUM(AB24:AC24)</f>
        <v>99</v>
      </c>
      <c r="AE24" s="5139">
        <v>83</v>
      </c>
      <c r="AF24" s="5140">
        <v>42</v>
      </c>
      <c r="AG24" s="1708">
        <f>SUM(AE24:AF24)</f>
        <v>125</v>
      </c>
    </row>
    <row r="25" spans="2:33" ht="15" x14ac:dyDescent="0.25">
      <c r="B25" s="5741"/>
      <c r="C25" s="2223" t="s">
        <v>12</v>
      </c>
      <c r="D25" s="3885"/>
      <c r="E25" s="3886"/>
      <c r="F25" s="3886"/>
      <c r="G25" s="3886"/>
      <c r="H25" s="3886"/>
      <c r="I25" s="3886"/>
      <c r="J25" s="3886"/>
      <c r="K25" s="3886"/>
      <c r="L25" s="3898"/>
      <c r="M25" s="3885">
        <f t="shared" ref="M25:U25" si="13">SUM(M22:M24)</f>
        <v>125</v>
      </c>
      <c r="N25" s="3886">
        <f t="shared" si="13"/>
        <v>113</v>
      </c>
      <c r="O25" s="3886">
        <f>SUM(O22:O24)</f>
        <v>238</v>
      </c>
      <c r="P25" s="3885">
        <f>SUM(P22:P24)</f>
        <v>56</v>
      </c>
      <c r="Q25" s="3886">
        <f>SUM(Q22:Q24)</f>
        <v>51</v>
      </c>
      <c r="R25" s="3898">
        <f>SUM(R22:R24)</f>
        <v>107</v>
      </c>
      <c r="S25" s="3885">
        <f t="shared" si="13"/>
        <v>128</v>
      </c>
      <c r="T25" s="3886">
        <f t="shared" si="13"/>
        <v>106</v>
      </c>
      <c r="U25" s="3886">
        <f t="shared" si="13"/>
        <v>234</v>
      </c>
      <c r="V25" s="3885">
        <f t="shared" ref="V25:AG25" si="14">SUM(V22:V24)</f>
        <v>101</v>
      </c>
      <c r="W25" s="3886">
        <f t="shared" si="14"/>
        <v>86</v>
      </c>
      <c r="X25" s="3898">
        <f t="shared" si="14"/>
        <v>187</v>
      </c>
      <c r="Y25" s="3885">
        <f t="shared" si="14"/>
        <v>138</v>
      </c>
      <c r="Z25" s="3886">
        <f t="shared" si="14"/>
        <v>102</v>
      </c>
      <c r="AA25" s="3898">
        <f t="shared" si="14"/>
        <v>240</v>
      </c>
      <c r="AB25" s="3885">
        <f t="shared" si="14"/>
        <v>142</v>
      </c>
      <c r="AC25" s="3886">
        <f t="shared" si="14"/>
        <v>124</v>
      </c>
      <c r="AD25" s="3898">
        <f t="shared" si="14"/>
        <v>266</v>
      </c>
      <c r="AE25" s="3885">
        <f t="shared" si="14"/>
        <v>202</v>
      </c>
      <c r="AF25" s="3886">
        <f t="shared" si="14"/>
        <v>178</v>
      </c>
      <c r="AG25" s="3898">
        <f t="shared" si="14"/>
        <v>380</v>
      </c>
    </row>
    <row r="26" spans="2:33" ht="15.75" x14ac:dyDescent="0.25">
      <c r="B26" s="195"/>
      <c r="C26" s="709"/>
      <c r="D26" s="1696"/>
      <c r="E26" s="1696"/>
      <c r="F26" s="1696"/>
      <c r="G26" s="1696"/>
      <c r="H26" s="1696"/>
      <c r="I26" s="1696"/>
      <c r="J26" s="1696"/>
      <c r="K26" s="1696"/>
      <c r="L26" s="1696"/>
      <c r="M26" s="1696"/>
      <c r="N26" s="1696"/>
      <c r="O26" s="1696"/>
      <c r="P26" s="1696"/>
      <c r="Q26" s="1696"/>
      <c r="R26" s="1696"/>
      <c r="S26" s="1696"/>
      <c r="T26" s="1696"/>
      <c r="U26" s="1696"/>
      <c r="V26" s="1696"/>
      <c r="W26" s="1696"/>
      <c r="X26" s="1696"/>
      <c r="Y26" s="1696"/>
      <c r="Z26" s="1696"/>
      <c r="AA26" s="1696"/>
      <c r="AB26" s="1696"/>
      <c r="AC26" s="1696"/>
      <c r="AD26" s="1696"/>
      <c r="AE26" s="1696"/>
      <c r="AF26" s="1696"/>
      <c r="AG26" s="1696"/>
    </row>
    <row r="27" spans="2:33" ht="15" x14ac:dyDescent="0.25">
      <c r="B27" s="5734" t="s">
        <v>163</v>
      </c>
      <c r="C27" s="3441" t="s">
        <v>6</v>
      </c>
      <c r="D27" s="1703">
        <v>791.92426367461439</v>
      </c>
      <c r="E27" s="1704">
        <v>732.07573632538572</v>
      </c>
      <c r="F27" s="1702">
        <f t="shared" si="0"/>
        <v>1524</v>
      </c>
      <c r="G27" s="1703">
        <v>824.38276113951781</v>
      </c>
      <c r="H27" s="1704">
        <v>721.61723886048208</v>
      </c>
      <c r="I27" s="1702">
        <f t="shared" si="1"/>
        <v>1546</v>
      </c>
      <c r="J27" s="1703">
        <v>822</v>
      </c>
      <c r="K27" s="1704">
        <v>794</v>
      </c>
      <c r="L27" s="1702">
        <f t="shared" si="2"/>
        <v>1616</v>
      </c>
      <c r="M27" s="1703">
        <v>813</v>
      </c>
      <c r="N27" s="1704">
        <v>798</v>
      </c>
      <c r="O27" s="1700">
        <f t="shared" si="3"/>
        <v>1611</v>
      </c>
      <c r="P27" s="1703">
        <v>850</v>
      </c>
      <c r="Q27" s="1704">
        <v>813</v>
      </c>
      <c r="R27" s="1702">
        <f t="shared" si="4"/>
        <v>1663</v>
      </c>
      <c r="S27" s="1703">
        <v>767</v>
      </c>
      <c r="T27" s="1704">
        <v>780</v>
      </c>
      <c r="U27" s="1702">
        <f t="shared" si="5"/>
        <v>1547</v>
      </c>
      <c r="V27" s="1703">
        <v>794</v>
      </c>
      <c r="W27" s="1704">
        <v>778</v>
      </c>
      <c r="X27" s="1702">
        <f>SUM(V27:W27)</f>
        <v>1572</v>
      </c>
      <c r="Y27" s="1703">
        <v>809</v>
      </c>
      <c r="Z27" s="1704">
        <v>797</v>
      </c>
      <c r="AA27" s="1702">
        <f>SUM(Y27:Z27)</f>
        <v>1606</v>
      </c>
      <c r="AB27" s="1703">
        <v>884</v>
      </c>
      <c r="AC27" s="1704">
        <v>834</v>
      </c>
      <c r="AD27" s="1702">
        <f>SUM(AB27:AC27)</f>
        <v>1718</v>
      </c>
      <c r="AE27" s="1703">
        <v>871</v>
      </c>
      <c r="AF27" s="1704">
        <v>787</v>
      </c>
      <c r="AG27" s="1702">
        <f>SUM(AE27:AF27)</f>
        <v>1658</v>
      </c>
    </row>
    <row r="28" spans="2:33" ht="15" x14ac:dyDescent="0.25">
      <c r="B28" s="5735"/>
      <c r="C28" s="3442" t="s">
        <v>11</v>
      </c>
      <c r="D28" s="1709">
        <v>1111.3910073989755</v>
      </c>
      <c r="E28" s="1710">
        <v>782.6089926010244</v>
      </c>
      <c r="F28" s="1708">
        <f t="shared" si="0"/>
        <v>1894</v>
      </c>
      <c r="G28" s="1709">
        <v>1216.7635933806146</v>
      </c>
      <c r="H28" s="1710">
        <v>740.23640661938532</v>
      </c>
      <c r="I28" s="1708">
        <f t="shared" si="1"/>
        <v>1957</v>
      </c>
      <c r="J28" s="1709">
        <v>1321</v>
      </c>
      <c r="K28" s="1710">
        <v>785</v>
      </c>
      <c r="L28" s="1708">
        <f t="shared" si="2"/>
        <v>2106</v>
      </c>
      <c r="M28" s="1709">
        <v>1220</v>
      </c>
      <c r="N28" s="1710">
        <v>861</v>
      </c>
      <c r="O28" s="1706">
        <f t="shared" si="3"/>
        <v>2081</v>
      </c>
      <c r="P28" s="1709">
        <v>1224</v>
      </c>
      <c r="Q28" s="1710">
        <v>843</v>
      </c>
      <c r="R28" s="1708">
        <f t="shared" si="4"/>
        <v>2067</v>
      </c>
      <c r="S28" s="1709">
        <v>1310</v>
      </c>
      <c r="T28" s="1710">
        <v>777</v>
      </c>
      <c r="U28" s="1708">
        <f t="shared" si="5"/>
        <v>2087</v>
      </c>
      <c r="V28" s="1709">
        <v>1220</v>
      </c>
      <c r="W28" s="1710">
        <v>724</v>
      </c>
      <c r="X28" s="1708">
        <f>SUM(V28:W28)</f>
        <v>1944</v>
      </c>
      <c r="Y28" s="1709">
        <v>1254</v>
      </c>
      <c r="Z28" s="1710">
        <v>764</v>
      </c>
      <c r="AA28" s="1708">
        <f>SUM(Y28:Z28)</f>
        <v>2018</v>
      </c>
      <c r="AB28" s="1709">
        <v>1401</v>
      </c>
      <c r="AC28" s="1710">
        <v>817</v>
      </c>
      <c r="AD28" s="1708">
        <f>SUM(AB28:AC28)</f>
        <v>2218</v>
      </c>
      <c r="AE28" s="1709">
        <v>1441</v>
      </c>
      <c r="AF28" s="1710">
        <v>812</v>
      </c>
      <c r="AG28" s="1708">
        <f>SUM(AE28:AF28)</f>
        <v>2253</v>
      </c>
    </row>
    <row r="29" spans="2:33" ht="15" x14ac:dyDescent="0.2">
      <c r="B29" s="5735"/>
      <c r="C29" s="3442" t="s">
        <v>7</v>
      </c>
      <c r="D29" s="1707">
        <v>310.88156123822341</v>
      </c>
      <c r="E29" s="1706">
        <v>472.11843876177659</v>
      </c>
      <c r="F29" s="1708">
        <f t="shared" si="0"/>
        <v>783</v>
      </c>
      <c r="G29" s="1707">
        <v>288.71406959152802</v>
      </c>
      <c r="H29" s="1706">
        <v>445.28593040847204</v>
      </c>
      <c r="I29" s="1708">
        <f t="shared" si="1"/>
        <v>734</v>
      </c>
      <c r="J29" s="1707">
        <v>285</v>
      </c>
      <c r="K29" s="1706">
        <v>459</v>
      </c>
      <c r="L29" s="1708">
        <f t="shared" si="2"/>
        <v>744</v>
      </c>
      <c r="M29" s="1707">
        <v>325</v>
      </c>
      <c r="N29" s="1706">
        <v>451</v>
      </c>
      <c r="O29" s="1706">
        <f t="shared" si="3"/>
        <v>776</v>
      </c>
      <c r="P29" s="1707">
        <v>300</v>
      </c>
      <c r="Q29" s="1706">
        <v>471</v>
      </c>
      <c r="R29" s="1708">
        <f t="shared" si="4"/>
        <v>771</v>
      </c>
      <c r="S29" s="1707">
        <v>281</v>
      </c>
      <c r="T29" s="1706">
        <v>437</v>
      </c>
      <c r="U29" s="1708">
        <f t="shared" si="5"/>
        <v>718</v>
      </c>
      <c r="V29" s="1707">
        <v>277</v>
      </c>
      <c r="W29" s="1706">
        <v>419</v>
      </c>
      <c r="X29" s="1708">
        <f>SUM(V29:W29)</f>
        <v>696</v>
      </c>
      <c r="Y29" s="1707">
        <v>289</v>
      </c>
      <c r="Z29" s="1706">
        <v>461</v>
      </c>
      <c r="AA29" s="1708">
        <f>SUM(Y29:Z29)</f>
        <v>750</v>
      </c>
      <c r="AB29" s="1707">
        <v>330</v>
      </c>
      <c r="AC29" s="1706">
        <v>464</v>
      </c>
      <c r="AD29" s="1708">
        <f>SUM(AB29:AC29)</f>
        <v>794</v>
      </c>
      <c r="AE29" s="1707">
        <v>317</v>
      </c>
      <c r="AF29" s="1706">
        <v>433</v>
      </c>
      <c r="AG29" s="1708">
        <f>SUM(AE29:AF29)</f>
        <v>750</v>
      </c>
    </row>
    <row r="30" spans="2:33" ht="15" x14ac:dyDescent="0.25">
      <c r="B30" s="5736"/>
      <c r="C30" s="2307" t="s">
        <v>12</v>
      </c>
      <c r="D30" s="3891">
        <f t="shared" ref="D30:U30" si="15">SUM(D27:D29)</f>
        <v>2214.1968323118135</v>
      </c>
      <c r="E30" s="3892">
        <f t="shared" si="15"/>
        <v>1986.8031676881867</v>
      </c>
      <c r="F30" s="3892">
        <f t="shared" si="15"/>
        <v>4201</v>
      </c>
      <c r="G30" s="3891">
        <f t="shared" si="15"/>
        <v>2329.8604241116604</v>
      </c>
      <c r="H30" s="3892">
        <f t="shared" si="15"/>
        <v>1907.1395758883393</v>
      </c>
      <c r="I30" s="3892">
        <f t="shared" si="15"/>
        <v>4237</v>
      </c>
      <c r="J30" s="3891">
        <f t="shared" si="15"/>
        <v>2428</v>
      </c>
      <c r="K30" s="3892">
        <f t="shared" si="15"/>
        <v>2038</v>
      </c>
      <c r="L30" s="3892">
        <f t="shared" si="15"/>
        <v>4466</v>
      </c>
      <c r="M30" s="3891">
        <f t="shared" si="15"/>
        <v>2358</v>
      </c>
      <c r="N30" s="3892">
        <f t="shared" si="15"/>
        <v>2110</v>
      </c>
      <c r="O30" s="3892">
        <f>SUM(O27:O29)</f>
        <v>4468</v>
      </c>
      <c r="P30" s="3891">
        <f>SUM(P27:P29)</f>
        <v>2374</v>
      </c>
      <c r="Q30" s="3892">
        <f>SUM(Q27:Q29)</f>
        <v>2127</v>
      </c>
      <c r="R30" s="3899">
        <f>SUM(R27:R29)</f>
        <v>4501</v>
      </c>
      <c r="S30" s="3891">
        <f t="shared" si="15"/>
        <v>2358</v>
      </c>
      <c r="T30" s="3892">
        <f t="shared" si="15"/>
        <v>1994</v>
      </c>
      <c r="U30" s="3892">
        <f t="shared" si="15"/>
        <v>4352</v>
      </c>
      <c r="V30" s="3891">
        <f t="shared" ref="V30:AG30" si="16">SUM(V27:V29)</f>
        <v>2291</v>
      </c>
      <c r="W30" s="3892">
        <f t="shared" si="16"/>
        <v>1921</v>
      </c>
      <c r="X30" s="3899">
        <f t="shared" si="16"/>
        <v>4212</v>
      </c>
      <c r="Y30" s="3891">
        <f t="shared" si="16"/>
        <v>2352</v>
      </c>
      <c r="Z30" s="3892">
        <f t="shared" si="16"/>
        <v>2022</v>
      </c>
      <c r="AA30" s="3899">
        <f t="shared" si="16"/>
        <v>4374</v>
      </c>
      <c r="AB30" s="3891">
        <f t="shared" si="16"/>
        <v>2615</v>
      </c>
      <c r="AC30" s="3892">
        <f t="shared" si="16"/>
        <v>2115</v>
      </c>
      <c r="AD30" s="3899">
        <f t="shared" si="16"/>
        <v>4730</v>
      </c>
      <c r="AE30" s="3891">
        <f t="shared" si="16"/>
        <v>2629</v>
      </c>
      <c r="AF30" s="3892">
        <f t="shared" si="16"/>
        <v>2032</v>
      </c>
      <c r="AG30" s="3899">
        <f t="shared" si="16"/>
        <v>4661</v>
      </c>
    </row>
    <row r="31" spans="2:33" ht="15" x14ac:dyDescent="0.25">
      <c r="B31" s="262"/>
      <c r="C31" s="262"/>
      <c r="D31" s="1725"/>
      <c r="E31" s="1725"/>
      <c r="F31" s="1725"/>
      <c r="G31" s="1725"/>
      <c r="H31" s="1725"/>
      <c r="I31" s="1725"/>
      <c r="J31" s="1725"/>
      <c r="K31" s="1725"/>
      <c r="L31" s="1725"/>
      <c r="M31" s="1725"/>
      <c r="N31" s="1725"/>
      <c r="O31" s="1725"/>
      <c r="P31" s="1725"/>
      <c r="Q31" s="1725"/>
      <c r="R31" s="1725"/>
      <c r="S31" s="1725"/>
      <c r="T31" s="1725"/>
      <c r="U31" s="1725"/>
      <c r="V31" s="1725"/>
      <c r="W31" s="1725"/>
      <c r="X31" s="1725"/>
      <c r="Y31" s="1725"/>
      <c r="Z31" s="1725"/>
      <c r="AA31" s="1725"/>
      <c r="AB31" s="1725"/>
      <c r="AC31" s="1725"/>
      <c r="AD31" s="1725"/>
      <c r="AE31" s="1725"/>
      <c r="AF31" s="1725"/>
      <c r="AG31" s="1725"/>
    </row>
    <row r="32" spans="2:33" ht="15" x14ac:dyDescent="0.25">
      <c r="B32" s="5683" t="s">
        <v>60</v>
      </c>
      <c r="C32" s="3441" t="s">
        <v>5</v>
      </c>
      <c r="D32" s="1703">
        <f t="shared" ref="D32:T32" si="17">SUM(D7,D17,D22)</f>
        <v>804.09341538857723</v>
      </c>
      <c r="E32" s="1704">
        <f t="shared" si="17"/>
        <v>2229.9065846114227</v>
      </c>
      <c r="F32" s="1728">
        <f t="shared" si="0"/>
        <v>3034</v>
      </c>
      <c r="G32" s="1703">
        <f t="shared" si="17"/>
        <v>757.51316971404276</v>
      </c>
      <c r="H32" s="1704">
        <f t="shared" si="17"/>
        <v>2171.4868302859572</v>
      </c>
      <c r="I32" s="1728">
        <f t="shared" si="1"/>
        <v>2929</v>
      </c>
      <c r="J32" s="1703">
        <f t="shared" si="17"/>
        <v>978</v>
      </c>
      <c r="K32" s="1704">
        <f t="shared" si="17"/>
        <v>2463</v>
      </c>
      <c r="L32" s="1728">
        <f t="shared" si="2"/>
        <v>3441</v>
      </c>
      <c r="M32" s="1703">
        <f t="shared" si="17"/>
        <v>850</v>
      </c>
      <c r="N32" s="1704">
        <f t="shared" si="17"/>
        <v>2361</v>
      </c>
      <c r="O32" s="1728">
        <f t="shared" si="3"/>
        <v>3211</v>
      </c>
      <c r="P32" s="1703">
        <f t="shared" si="17"/>
        <v>702</v>
      </c>
      <c r="Q32" s="1704">
        <f t="shared" si="17"/>
        <v>1898</v>
      </c>
      <c r="R32" s="1728">
        <f t="shared" si="4"/>
        <v>2600</v>
      </c>
      <c r="S32" s="1703">
        <f t="shared" si="17"/>
        <v>804</v>
      </c>
      <c r="T32" s="1704">
        <f t="shared" si="17"/>
        <v>2107</v>
      </c>
      <c r="U32" s="1728">
        <f t="shared" si="5"/>
        <v>2911</v>
      </c>
      <c r="V32" s="1703">
        <f t="shared" ref="V32:AG32" si="18">SUM(V7,V17,V22)</f>
        <v>737</v>
      </c>
      <c r="W32" s="1704">
        <f t="shared" si="18"/>
        <v>1825</v>
      </c>
      <c r="X32" s="1728">
        <f t="shared" si="18"/>
        <v>2562</v>
      </c>
      <c r="Y32" s="1703">
        <f t="shared" si="18"/>
        <v>641</v>
      </c>
      <c r="Z32" s="1704">
        <f t="shared" si="18"/>
        <v>1665</v>
      </c>
      <c r="AA32" s="1728">
        <f t="shared" si="18"/>
        <v>2306</v>
      </c>
      <c r="AB32" s="1703">
        <f t="shared" si="18"/>
        <v>797</v>
      </c>
      <c r="AC32" s="1704">
        <f t="shared" si="18"/>
        <v>1927</v>
      </c>
      <c r="AD32" s="1728">
        <f t="shared" si="18"/>
        <v>2724</v>
      </c>
      <c r="AE32" s="1703">
        <f t="shared" si="18"/>
        <v>777</v>
      </c>
      <c r="AF32" s="1704">
        <f t="shared" si="18"/>
        <v>1925</v>
      </c>
      <c r="AG32" s="1728">
        <f t="shared" si="18"/>
        <v>2702</v>
      </c>
    </row>
    <row r="33" spans="2:33" ht="15" x14ac:dyDescent="0.25">
      <c r="B33" s="5684"/>
      <c r="C33" s="3442" t="s">
        <v>6</v>
      </c>
      <c r="D33" s="1723">
        <f t="shared" ref="D33:T33" si="19">SUM(D8,D12,D18,D23,D27)</f>
        <v>2284.8611668797903</v>
      </c>
      <c r="E33" s="1724">
        <f t="shared" si="19"/>
        <v>2049.1388331202097</v>
      </c>
      <c r="F33" s="1729">
        <f t="shared" si="0"/>
        <v>4334</v>
      </c>
      <c r="G33" s="1723">
        <f t="shared" si="19"/>
        <v>2405.041118722389</v>
      </c>
      <c r="H33" s="1724">
        <f t="shared" si="19"/>
        <v>2033.9588812776108</v>
      </c>
      <c r="I33" s="1729">
        <f t="shared" si="1"/>
        <v>4439</v>
      </c>
      <c r="J33" s="1723">
        <f t="shared" si="19"/>
        <v>2336</v>
      </c>
      <c r="K33" s="1724">
        <f t="shared" si="19"/>
        <v>2136</v>
      </c>
      <c r="L33" s="1729">
        <f t="shared" si="2"/>
        <v>4472</v>
      </c>
      <c r="M33" s="1723">
        <f t="shared" si="19"/>
        <v>2388</v>
      </c>
      <c r="N33" s="1724">
        <f t="shared" si="19"/>
        <v>2189</v>
      </c>
      <c r="O33" s="1729">
        <f t="shared" si="3"/>
        <v>4577</v>
      </c>
      <c r="P33" s="1723">
        <f t="shared" si="19"/>
        <v>2470</v>
      </c>
      <c r="Q33" s="1724">
        <f t="shared" si="19"/>
        <v>2307</v>
      </c>
      <c r="R33" s="1729">
        <f t="shared" si="4"/>
        <v>4777</v>
      </c>
      <c r="S33" s="1723">
        <f t="shared" si="19"/>
        <v>2366</v>
      </c>
      <c r="T33" s="1724">
        <f t="shared" si="19"/>
        <v>2216</v>
      </c>
      <c r="U33" s="1729">
        <f t="shared" si="5"/>
        <v>4582</v>
      </c>
      <c r="V33" s="1723">
        <f t="shared" ref="V33:AG33" si="20">SUM(V8,V12,V18,V23,V27)</f>
        <v>2391</v>
      </c>
      <c r="W33" s="1724">
        <f t="shared" si="20"/>
        <v>2242</v>
      </c>
      <c r="X33" s="1729">
        <f t="shared" si="20"/>
        <v>4633</v>
      </c>
      <c r="Y33" s="1723">
        <f t="shared" si="20"/>
        <v>2552</v>
      </c>
      <c r="Z33" s="1724">
        <f t="shared" si="20"/>
        <v>2327</v>
      </c>
      <c r="AA33" s="1729">
        <f t="shared" si="20"/>
        <v>4879</v>
      </c>
      <c r="AB33" s="1723">
        <f t="shared" si="20"/>
        <v>2636</v>
      </c>
      <c r="AC33" s="1724">
        <f t="shared" si="20"/>
        <v>2387</v>
      </c>
      <c r="AD33" s="1729">
        <f t="shared" si="20"/>
        <v>5023</v>
      </c>
      <c r="AE33" s="1723">
        <f t="shared" si="20"/>
        <v>2626</v>
      </c>
      <c r="AF33" s="1724">
        <f t="shared" si="20"/>
        <v>2349</v>
      </c>
      <c r="AG33" s="1729">
        <f t="shared" si="20"/>
        <v>4975</v>
      </c>
    </row>
    <row r="34" spans="2:33" ht="15" x14ac:dyDescent="0.25">
      <c r="B34" s="5684"/>
      <c r="C34" s="3442" t="s">
        <v>11</v>
      </c>
      <c r="D34" s="1723">
        <f t="shared" ref="D34:T34" si="21">SUM(D19,D24,D28)</f>
        <v>1590.9345758637057</v>
      </c>
      <c r="E34" s="1724">
        <f t="shared" si="21"/>
        <v>1065.065424136294</v>
      </c>
      <c r="F34" s="1729">
        <f t="shared" si="0"/>
        <v>2656</v>
      </c>
      <c r="G34" s="1723">
        <f t="shared" si="21"/>
        <v>1762.1161198200975</v>
      </c>
      <c r="H34" s="1724">
        <f t="shared" si="21"/>
        <v>1113.8838801799025</v>
      </c>
      <c r="I34" s="1729">
        <f t="shared" si="1"/>
        <v>2876</v>
      </c>
      <c r="J34" s="1723">
        <f t="shared" si="21"/>
        <v>1903</v>
      </c>
      <c r="K34" s="1724">
        <f t="shared" si="21"/>
        <v>1181</v>
      </c>
      <c r="L34" s="1729">
        <f t="shared" si="2"/>
        <v>3084</v>
      </c>
      <c r="M34" s="1723">
        <f t="shared" si="21"/>
        <v>1865</v>
      </c>
      <c r="N34" s="1724">
        <f t="shared" si="21"/>
        <v>1302</v>
      </c>
      <c r="O34" s="1729">
        <f t="shared" si="3"/>
        <v>3167</v>
      </c>
      <c r="P34" s="1723">
        <f t="shared" si="21"/>
        <v>1831</v>
      </c>
      <c r="Q34" s="1724">
        <f t="shared" si="21"/>
        <v>1280</v>
      </c>
      <c r="R34" s="1729">
        <f t="shared" si="4"/>
        <v>3111</v>
      </c>
      <c r="S34" s="1723">
        <f t="shared" si="21"/>
        <v>1941</v>
      </c>
      <c r="T34" s="1724">
        <f t="shared" si="21"/>
        <v>1187</v>
      </c>
      <c r="U34" s="1729">
        <f t="shared" si="5"/>
        <v>3128</v>
      </c>
      <c r="V34" s="1723">
        <f t="shared" ref="V34:AG34" si="22">SUM(V19,V24,V28)</f>
        <v>1783</v>
      </c>
      <c r="W34" s="1724">
        <f t="shared" si="22"/>
        <v>1088</v>
      </c>
      <c r="X34" s="1729">
        <f t="shared" si="22"/>
        <v>2871</v>
      </c>
      <c r="Y34" s="1723">
        <f t="shared" si="22"/>
        <v>1804</v>
      </c>
      <c r="Z34" s="1724">
        <f t="shared" si="22"/>
        <v>1104</v>
      </c>
      <c r="AA34" s="1729">
        <f t="shared" si="22"/>
        <v>2908</v>
      </c>
      <c r="AB34" s="1723">
        <f t="shared" si="22"/>
        <v>1987</v>
      </c>
      <c r="AC34" s="1724">
        <f t="shared" si="22"/>
        <v>1134</v>
      </c>
      <c r="AD34" s="1729">
        <f t="shared" si="22"/>
        <v>3121</v>
      </c>
      <c r="AE34" s="1723">
        <f t="shared" si="22"/>
        <v>2036</v>
      </c>
      <c r="AF34" s="1724">
        <f t="shared" si="22"/>
        <v>1152</v>
      </c>
      <c r="AG34" s="1729">
        <f t="shared" si="22"/>
        <v>3188</v>
      </c>
    </row>
    <row r="35" spans="2:33" ht="15" x14ac:dyDescent="0.25">
      <c r="B35" s="5684"/>
      <c r="C35" s="3442" t="s">
        <v>7</v>
      </c>
      <c r="D35" s="1723">
        <f t="shared" ref="D35:T35" si="23">SUM(D9,D29)</f>
        <v>559.59024948353863</v>
      </c>
      <c r="E35" s="1724">
        <f t="shared" si="23"/>
        <v>839.40975051646137</v>
      </c>
      <c r="F35" s="1729">
        <f t="shared" si="0"/>
        <v>1399</v>
      </c>
      <c r="G35" s="1723">
        <f t="shared" si="23"/>
        <v>535.40384428823518</v>
      </c>
      <c r="H35" s="1724">
        <f t="shared" si="23"/>
        <v>845.59615571176494</v>
      </c>
      <c r="I35" s="1729">
        <f t="shared" si="1"/>
        <v>1381</v>
      </c>
      <c r="J35" s="1723">
        <f t="shared" si="23"/>
        <v>585</v>
      </c>
      <c r="K35" s="1724">
        <f t="shared" si="23"/>
        <v>781</v>
      </c>
      <c r="L35" s="1729">
        <f t="shared" si="2"/>
        <v>1366</v>
      </c>
      <c r="M35" s="1723">
        <f t="shared" si="23"/>
        <v>630</v>
      </c>
      <c r="N35" s="1724">
        <f t="shared" si="23"/>
        <v>804</v>
      </c>
      <c r="O35" s="1729">
        <f t="shared" si="3"/>
        <v>1434</v>
      </c>
      <c r="P35" s="1723">
        <f t="shared" si="23"/>
        <v>598</v>
      </c>
      <c r="Q35" s="1724">
        <f t="shared" si="23"/>
        <v>813</v>
      </c>
      <c r="R35" s="1729">
        <f t="shared" si="4"/>
        <v>1411</v>
      </c>
      <c r="S35" s="1723">
        <f t="shared" si="23"/>
        <v>608</v>
      </c>
      <c r="T35" s="1724">
        <f t="shared" si="23"/>
        <v>801</v>
      </c>
      <c r="U35" s="1729">
        <f t="shared" si="5"/>
        <v>1409</v>
      </c>
      <c r="V35" s="1723">
        <f t="shared" ref="V35:AG35" si="24">SUM(V9,V29)</f>
        <v>585</v>
      </c>
      <c r="W35" s="1724">
        <f t="shared" si="24"/>
        <v>778</v>
      </c>
      <c r="X35" s="1729">
        <f t="shared" si="24"/>
        <v>1363</v>
      </c>
      <c r="Y35" s="1723">
        <f t="shared" si="24"/>
        <v>644</v>
      </c>
      <c r="Z35" s="1724">
        <f t="shared" si="24"/>
        <v>831</v>
      </c>
      <c r="AA35" s="1729">
        <f t="shared" si="24"/>
        <v>1475</v>
      </c>
      <c r="AB35" s="1723">
        <f t="shared" si="24"/>
        <v>707</v>
      </c>
      <c r="AC35" s="1724">
        <f t="shared" si="24"/>
        <v>810</v>
      </c>
      <c r="AD35" s="1729">
        <f t="shared" si="24"/>
        <v>1517</v>
      </c>
      <c r="AE35" s="1723">
        <f t="shared" si="24"/>
        <v>690</v>
      </c>
      <c r="AF35" s="1724">
        <f t="shared" si="24"/>
        <v>875</v>
      </c>
      <c r="AG35" s="1729">
        <f t="shared" si="24"/>
        <v>1565</v>
      </c>
    </row>
    <row r="36" spans="2:33" ht="15" x14ac:dyDescent="0.25">
      <c r="B36" s="5684"/>
      <c r="C36" s="3442" t="s">
        <v>9</v>
      </c>
      <c r="D36" s="1723">
        <f t="shared" ref="D36:T36" si="25">SUM(D13)</f>
        <v>60</v>
      </c>
      <c r="E36" s="1724">
        <f t="shared" si="25"/>
        <v>84</v>
      </c>
      <c r="F36" s="1729">
        <f t="shared" si="0"/>
        <v>144</v>
      </c>
      <c r="G36" s="1723">
        <f t="shared" si="25"/>
        <v>49.269230769230774</v>
      </c>
      <c r="H36" s="1724">
        <f t="shared" si="25"/>
        <v>72.730769230769226</v>
      </c>
      <c r="I36" s="1729">
        <f t="shared" si="1"/>
        <v>122</v>
      </c>
      <c r="J36" s="1723">
        <f t="shared" si="25"/>
        <v>52</v>
      </c>
      <c r="K36" s="1724">
        <f t="shared" si="25"/>
        <v>86</v>
      </c>
      <c r="L36" s="1729">
        <f t="shared" si="2"/>
        <v>138</v>
      </c>
      <c r="M36" s="1723">
        <f t="shared" si="25"/>
        <v>72</v>
      </c>
      <c r="N36" s="1724">
        <f t="shared" si="25"/>
        <v>86</v>
      </c>
      <c r="O36" s="1729">
        <f t="shared" si="3"/>
        <v>158</v>
      </c>
      <c r="P36" s="1723">
        <f t="shared" si="25"/>
        <v>62</v>
      </c>
      <c r="Q36" s="1724">
        <f t="shared" si="25"/>
        <v>91</v>
      </c>
      <c r="R36" s="1729">
        <f t="shared" si="4"/>
        <v>153</v>
      </c>
      <c r="S36" s="1723">
        <f t="shared" si="25"/>
        <v>66</v>
      </c>
      <c r="T36" s="1724">
        <f t="shared" si="25"/>
        <v>92</v>
      </c>
      <c r="U36" s="1729">
        <f t="shared" si="5"/>
        <v>158</v>
      </c>
      <c r="V36" s="1723">
        <f t="shared" ref="V36:AG36" si="26">SUM(V13)</f>
        <v>72</v>
      </c>
      <c r="W36" s="1724">
        <f t="shared" si="26"/>
        <v>117</v>
      </c>
      <c r="X36" s="1729">
        <f t="shared" si="26"/>
        <v>189</v>
      </c>
      <c r="Y36" s="1723">
        <f t="shared" si="26"/>
        <v>94</v>
      </c>
      <c r="Z36" s="1724">
        <f t="shared" si="26"/>
        <v>140</v>
      </c>
      <c r="AA36" s="1729">
        <f t="shared" si="26"/>
        <v>234</v>
      </c>
      <c r="AB36" s="1723">
        <f t="shared" si="26"/>
        <v>123</v>
      </c>
      <c r="AC36" s="1724">
        <f t="shared" si="26"/>
        <v>128</v>
      </c>
      <c r="AD36" s="1729">
        <f t="shared" si="26"/>
        <v>251</v>
      </c>
      <c r="AE36" s="1723">
        <f t="shared" si="26"/>
        <v>110</v>
      </c>
      <c r="AF36" s="1724">
        <f t="shared" si="26"/>
        <v>147</v>
      </c>
      <c r="AG36" s="1729">
        <f t="shared" si="26"/>
        <v>257</v>
      </c>
    </row>
    <row r="37" spans="2:33" ht="15" x14ac:dyDescent="0.25">
      <c r="B37" s="5685"/>
      <c r="C37" s="3443" t="s">
        <v>74</v>
      </c>
      <c r="D37" s="1730">
        <f t="shared" ref="D37:T37" si="27">SUM(D14)</f>
        <v>44.118644067796609</v>
      </c>
      <c r="E37" s="1731">
        <f t="shared" si="27"/>
        <v>92.881355932203391</v>
      </c>
      <c r="F37" s="1732">
        <f t="shared" si="0"/>
        <v>137</v>
      </c>
      <c r="G37" s="1730">
        <f t="shared" si="27"/>
        <v>34.719101123595507</v>
      </c>
      <c r="H37" s="1731">
        <f t="shared" si="27"/>
        <v>68.280898876404493</v>
      </c>
      <c r="I37" s="1732">
        <f t="shared" si="1"/>
        <v>103</v>
      </c>
      <c r="J37" s="1730">
        <f t="shared" si="27"/>
        <v>58</v>
      </c>
      <c r="K37" s="1731">
        <f t="shared" si="27"/>
        <v>88</v>
      </c>
      <c r="L37" s="1732">
        <f t="shared" si="2"/>
        <v>146</v>
      </c>
      <c r="M37" s="1730">
        <f t="shared" si="27"/>
        <v>73</v>
      </c>
      <c r="N37" s="1731">
        <f t="shared" si="27"/>
        <v>93</v>
      </c>
      <c r="O37" s="1732">
        <f t="shared" si="3"/>
        <v>166</v>
      </c>
      <c r="P37" s="1730">
        <f t="shared" si="27"/>
        <v>60</v>
      </c>
      <c r="Q37" s="1731">
        <f t="shared" si="27"/>
        <v>115</v>
      </c>
      <c r="R37" s="1732">
        <f t="shared" si="4"/>
        <v>175</v>
      </c>
      <c r="S37" s="1730">
        <f t="shared" si="27"/>
        <v>86</v>
      </c>
      <c r="T37" s="1731">
        <f t="shared" si="27"/>
        <v>136</v>
      </c>
      <c r="U37" s="1732">
        <f t="shared" si="5"/>
        <v>222</v>
      </c>
      <c r="V37" s="1730">
        <f t="shared" ref="V37:AG37" si="28">SUM(V14)</f>
        <v>131</v>
      </c>
      <c r="W37" s="1731">
        <f t="shared" si="28"/>
        <v>162</v>
      </c>
      <c r="X37" s="1732">
        <f t="shared" si="28"/>
        <v>293</v>
      </c>
      <c r="Y37" s="1730">
        <f t="shared" si="28"/>
        <v>110</v>
      </c>
      <c r="Z37" s="1731">
        <f t="shared" si="28"/>
        <v>173</v>
      </c>
      <c r="AA37" s="1732">
        <f t="shared" si="28"/>
        <v>283</v>
      </c>
      <c r="AB37" s="1730">
        <f t="shared" si="28"/>
        <v>129</v>
      </c>
      <c r="AC37" s="1731">
        <f t="shared" si="28"/>
        <v>181</v>
      </c>
      <c r="AD37" s="1732">
        <f t="shared" si="28"/>
        <v>310</v>
      </c>
      <c r="AE37" s="1730">
        <f t="shared" si="28"/>
        <v>136</v>
      </c>
      <c r="AF37" s="1731">
        <f t="shared" si="28"/>
        <v>186</v>
      </c>
      <c r="AG37" s="1732">
        <f t="shared" si="28"/>
        <v>322</v>
      </c>
    </row>
    <row r="38" spans="2:33" ht="15" x14ac:dyDescent="0.25">
      <c r="B38" s="5655" t="s">
        <v>12</v>
      </c>
      <c r="C38" s="5657"/>
      <c r="D38" s="3448">
        <f t="shared" ref="D38:U38" si="29">SUM(D32:D37)</f>
        <v>5343.5980516834088</v>
      </c>
      <c r="E38" s="3449">
        <f t="shared" si="29"/>
        <v>6360.4019483165912</v>
      </c>
      <c r="F38" s="3450">
        <f t="shared" si="29"/>
        <v>11704</v>
      </c>
      <c r="G38" s="3448">
        <f t="shared" si="29"/>
        <v>5544.06258443759</v>
      </c>
      <c r="H38" s="3449">
        <f t="shared" si="29"/>
        <v>6305.9374155624091</v>
      </c>
      <c r="I38" s="3450">
        <f t="shared" si="29"/>
        <v>11850</v>
      </c>
      <c r="J38" s="3448">
        <f t="shared" si="29"/>
        <v>5912</v>
      </c>
      <c r="K38" s="3449">
        <f t="shared" si="29"/>
        <v>6735</v>
      </c>
      <c r="L38" s="3450">
        <f t="shared" si="29"/>
        <v>12647</v>
      </c>
      <c r="M38" s="3448">
        <f t="shared" si="29"/>
        <v>5878</v>
      </c>
      <c r="N38" s="3449">
        <f t="shared" si="29"/>
        <v>6835</v>
      </c>
      <c r="O38" s="3450">
        <f>SUM(O32:O37)</f>
        <v>12713</v>
      </c>
      <c r="P38" s="3449">
        <f>SUM(P32:P37)</f>
        <v>5723</v>
      </c>
      <c r="Q38" s="3449">
        <f>SUM(Q32:Q37)</f>
        <v>6504</v>
      </c>
      <c r="R38" s="3450">
        <f t="shared" si="29"/>
        <v>12227</v>
      </c>
      <c r="S38" s="3448">
        <f t="shared" si="29"/>
        <v>5871</v>
      </c>
      <c r="T38" s="3449">
        <f t="shared" si="29"/>
        <v>6539</v>
      </c>
      <c r="U38" s="3450">
        <f t="shared" si="29"/>
        <v>12410</v>
      </c>
      <c r="V38" s="3448">
        <f t="shared" ref="V38:AG38" si="30">SUM(V32:V37)</f>
        <v>5699</v>
      </c>
      <c r="W38" s="3449">
        <f t="shared" si="30"/>
        <v>6212</v>
      </c>
      <c r="X38" s="3450">
        <f t="shared" si="30"/>
        <v>11911</v>
      </c>
      <c r="Y38" s="3448">
        <f t="shared" si="30"/>
        <v>5845</v>
      </c>
      <c r="Z38" s="3449">
        <f t="shared" si="30"/>
        <v>6240</v>
      </c>
      <c r="AA38" s="3450">
        <f t="shared" si="30"/>
        <v>12085</v>
      </c>
      <c r="AB38" s="3448">
        <f t="shared" si="30"/>
        <v>6379</v>
      </c>
      <c r="AC38" s="3449">
        <f t="shared" si="30"/>
        <v>6567</v>
      </c>
      <c r="AD38" s="3450">
        <f t="shared" si="30"/>
        <v>12946</v>
      </c>
      <c r="AE38" s="3448">
        <f t="shared" si="30"/>
        <v>6375</v>
      </c>
      <c r="AF38" s="3449">
        <f t="shared" si="30"/>
        <v>6634</v>
      </c>
      <c r="AG38" s="3450">
        <f t="shared" si="30"/>
        <v>13009</v>
      </c>
    </row>
    <row r="39" spans="2:33" x14ac:dyDescent="0.2">
      <c r="B39" s="240" t="s">
        <v>648</v>
      </c>
    </row>
    <row r="41" spans="2:33" ht="15" customHeight="1" x14ac:dyDescent="0.2"/>
    <row r="42" spans="2:33" ht="15" customHeight="1" x14ac:dyDescent="0.2"/>
    <row r="43" spans="2:33" ht="15" customHeight="1" x14ac:dyDescent="0.2"/>
    <row r="44" spans="2:33" ht="15" customHeight="1" x14ac:dyDescent="0.2">
      <c r="V44" s="3901">
        <v>2008</v>
      </c>
    </row>
    <row r="45" spans="2:33" x14ac:dyDescent="0.2">
      <c r="V45" s="3901">
        <v>2009</v>
      </c>
    </row>
    <row r="46" spans="2:33" ht="15" customHeight="1" x14ac:dyDescent="0.2">
      <c r="V46" s="3901">
        <v>2010</v>
      </c>
    </row>
    <row r="47" spans="2:33" ht="15" customHeight="1" x14ac:dyDescent="0.2">
      <c r="V47" s="3901">
        <v>2011</v>
      </c>
    </row>
    <row r="48" spans="2:33" ht="15" customHeight="1" x14ac:dyDescent="0.2">
      <c r="V48" s="3901">
        <v>2012</v>
      </c>
    </row>
    <row r="49" spans="22:22" ht="15" customHeight="1" x14ac:dyDescent="0.2">
      <c r="V49" s="3901">
        <v>2013</v>
      </c>
    </row>
    <row r="50" spans="22:22" x14ac:dyDescent="0.2">
      <c r="V50" s="3901">
        <v>2014</v>
      </c>
    </row>
    <row r="51" spans="22:22" ht="15" customHeight="1" x14ac:dyDescent="0.2">
      <c r="V51" s="3901">
        <v>2015</v>
      </c>
    </row>
    <row r="52" spans="22:22" ht="15" customHeight="1" x14ac:dyDescent="0.2">
      <c r="V52" s="3901">
        <v>2016</v>
      </c>
    </row>
    <row r="53" spans="22:22" ht="15" customHeight="1" x14ac:dyDescent="0.2">
      <c r="V53" s="3901">
        <v>2017</v>
      </c>
    </row>
    <row r="54" spans="22:22" ht="15" customHeight="1" x14ac:dyDescent="0.2">
      <c r="V54" s="3901">
        <v>2018</v>
      </c>
    </row>
    <row r="56" spans="22:22" ht="15" customHeight="1" x14ac:dyDescent="0.2"/>
    <row r="57" spans="22:22" ht="15" customHeight="1" x14ac:dyDescent="0.2"/>
    <row r="58" spans="22:22" ht="15" customHeight="1" x14ac:dyDescent="0.2"/>
    <row r="59" spans="22:22" ht="15" customHeight="1" x14ac:dyDescent="0.2"/>
    <row r="61" spans="22:22" ht="15" customHeight="1" x14ac:dyDescent="0.2"/>
    <row r="62" spans="22:22" ht="15" customHeight="1" x14ac:dyDescent="0.2"/>
    <row r="63" spans="22:22" ht="15" customHeight="1" x14ac:dyDescent="0.2"/>
    <row r="64" spans="22:22" ht="15" customHeight="1" x14ac:dyDescent="0.2"/>
  </sheetData>
  <sheetProtection algorithmName="SHA-512" hashValue="AeZwlMePSVfvmxB+6XqRwaMcfzdc6tfQOB6t3mTy1hZrVGcSwJHe4FohrdOTjAFCkmbfISrU5736SswKTKmfwQ==" saltValue="5VQhBn251LlVALOnT2NNiA==" spinCount="100000" sheet="1" objects="1" scenarios="1"/>
  <mergeCells count="20">
    <mergeCell ref="B2:C2"/>
    <mergeCell ref="S4:U4"/>
    <mergeCell ref="Y4:AA4"/>
    <mergeCell ref="V4:X4"/>
    <mergeCell ref="G4:I4"/>
    <mergeCell ref="AE4:AG4"/>
    <mergeCell ref="B38:C38"/>
    <mergeCell ref="D4:F4"/>
    <mergeCell ref="B4:B5"/>
    <mergeCell ref="C4:C5"/>
    <mergeCell ref="B7:B10"/>
    <mergeCell ref="B12:B15"/>
    <mergeCell ref="B17:B20"/>
    <mergeCell ref="B22:B25"/>
    <mergeCell ref="B27:B30"/>
    <mergeCell ref="B32:B37"/>
    <mergeCell ref="J4:L4"/>
    <mergeCell ref="M4:O4"/>
    <mergeCell ref="P4:R4"/>
    <mergeCell ref="AB4:AD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5" pageOrder="overThenDown" orientation="landscape" r:id="rId1"/>
  <rowBreaks count="1" manualBreakCount="1">
    <brk id="39" max="29" man="1"/>
  </rowBreaks>
  <colBreaks count="1" manualBreakCount="1">
    <brk id="21" max="76" man="1"/>
  </colBreaks>
  <ignoredErrors>
    <ignoredError sqref="U32:U37 R32:R37 O32:O37 L32:L37 I32:I37 F32:F37" formula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N32"/>
  <sheetViews>
    <sheetView showGridLines="0" zoomScaleNormal="100" workbookViewId="0">
      <selection activeCell="P25" sqref="P25"/>
    </sheetView>
  </sheetViews>
  <sheetFormatPr baseColWidth="10" defaultRowHeight="12.75" x14ac:dyDescent="0.2"/>
  <cols>
    <col min="1" max="1" width="15" bestFit="1" customWidth="1"/>
    <col min="2" max="2" width="9.140625" bestFit="1" customWidth="1"/>
    <col min="3" max="8" width="9.7109375" customWidth="1"/>
    <col min="9" max="9" width="8.85546875" bestFit="1" customWidth="1"/>
    <col min="10" max="10" width="9.140625" bestFit="1" customWidth="1"/>
    <col min="11" max="11" width="8.85546875" customWidth="1"/>
    <col min="12" max="12" width="11.140625" bestFit="1" customWidth="1"/>
    <col min="13" max="13" width="9.140625" bestFit="1" customWidth="1"/>
    <col min="14" max="14" width="9.7109375" customWidth="1"/>
  </cols>
  <sheetData>
    <row r="1" spans="1:14" ht="36.75" customHeight="1" x14ac:dyDescent="0.2">
      <c r="A1" s="7031" t="s">
        <v>1211</v>
      </c>
      <c r="B1" s="7031"/>
      <c r="C1" s="7031"/>
      <c r="D1" s="7031"/>
      <c r="E1" s="7031"/>
      <c r="F1" s="7031"/>
      <c r="G1" s="7031"/>
      <c r="H1" s="7031"/>
    </row>
    <row r="3" spans="1:14" ht="15" customHeight="1" x14ac:dyDescent="0.2">
      <c r="A3" s="6851" t="s">
        <v>16</v>
      </c>
      <c r="B3" s="6851" t="s">
        <v>4</v>
      </c>
      <c r="C3" s="7028">
        <v>2014</v>
      </c>
      <c r="D3" s="7029"/>
      <c r="E3" s="7030"/>
      <c r="F3" s="7028">
        <v>2015</v>
      </c>
      <c r="G3" s="7029"/>
      <c r="H3" s="7030"/>
      <c r="I3" s="7028">
        <v>2016</v>
      </c>
      <c r="J3" s="7029"/>
      <c r="K3" s="7030"/>
      <c r="L3" s="7028">
        <v>2017</v>
      </c>
      <c r="M3" s="7029"/>
      <c r="N3" s="7030"/>
    </row>
    <row r="4" spans="1:14" ht="12.75" customHeight="1" x14ac:dyDescent="0.2">
      <c r="A4" s="6832"/>
      <c r="B4" s="6832"/>
      <c r="C4" s="4432" t="s">
        <v>658</v>
      </c>
      <c r="D4" s="4432" t="s">
        <v>659</v>
      </c>
      <c r="E4" s="3478" t="s">
        <v>160</v>
      </c>
      <c r="F4" s="4432" t="s">
        <v>658</v>
      </c>
      <c r="G4" s="4432" t="s">
        <v>659</v>
      </c>
      <c r="H4" s="3478" t="s">
        <v>160</v>
      </c>
      <c r="I4" s="4432" t="s">
        <v>658</v>
      </c>
      <c r="J4" s="4432" t="s">
        <v>659</v>
      </c>
      <c r="K4" s="3478" t="s">
        <v>160</v>
      </c>
      <c r="L4" s="4432" t="s">
        <v>658</v>
      </c>
      <c r="M4" s="4432" t="s">
        <v>659</v>
      </c>
      <c r="N4" s="3478" t="s">
        <v>160</v>
      </c>
    </row>
    <row r="5" spans="1:14" ht="15" x14ac:dyDescent="0.2">
      <c r="A5" s="1369"/>
      <c r="B5" s="1369"/>
    </row>
    <row r="6" spans="1:14" ht="15" x14ac:dyDescent="0.2">
      <c r="A6" s="6828" t="s">
        <v>3</v>
      </c>
      <c r="B6" s="1370" t="s">
        <v>5</v>
      </c>
      <c r="C6" s="264">
        <f>SUM('10 Difusión_plan'!E5:E13)</f>
        <v>3</v>
      </c>
      <c r="D6" s="265">
        <f>SUM('10 Difusión_plan'!F5:F13)</f>
        <v>13</v>
      </c>
      <c r="E6" s="266">
        <f>SUM(C6:D6)</f>
        <v>16</v>
      </c>
      <c r="F6" s="264">
        <f>SUM('10 Difusión_plan'!H5:H13)</f>
        <v>9</v>
      </c>
      <c r="G6" s="265">
        <f>SUM('10 Difusión_plan'!I5:I13)</f>
        <v>17</v>
      </c>
      <c r="H6" s="266">
        <f>SUM(F6:G6)</f>
        <v>26</v>
      </c>
      <c r="I6" s="264">
        <f>SUM('10 Difusión_plan'!K5:K13)</f>
        <v>17</v>
      </c>
      <c r="J6" s="265">
        <f>SUM('10 Difusión_plan'!L5:L13)</f>
        <v>21</v>
      </c>
      <c r="K6" s="266">
        <f>SUM(I6:J6)</f>
        <v>38</v>
      </c>
      <c r="L6" s="264">
        <f>SUM('10 Difusión_plan'!N5:N13)</f>
        <v>9</v>
      </c>
      <c r="M6" s="265">
        <f>SUM('10 Difusión_plan'!O5:O13)</f>
        <v>25</v>
      </c>
      <c r="N6" s="266">
        <f>SUM(L6:M6)</f>
        <v>34</v>
      </c>
    </row>
    <row r="7" spans="1:14" ht="15" x14ac:dyDescent="0.2">
      <c r="A7" s="6829"/>
      <c r="B7" s="1371" t="s">
        <v>6</v>
      </c>
      <c r="C7" s="268">
        <f>SUM('10 Difusión_plan'!E15:E18)</f>
        <v>0</v>
      </c>
      <c r="D7" s="269">
        <f>SUM('10 Difusión_plan'!F15:F18)</f>
        <v>1</v>
      </c>
      <c r="E7" s="270">
        <f>SUM(C7:D7)</f>
        <v>1</v>
      </c>
      <c r="F7" s="268">
        <f>SUM('10 Difusión_plan'!H15:H18)</f>
        <v>8</v>
      </c>
      <c r="G7" s="269">
        <f>SUM('10 Difusión_plan'!I15:I18)</f>
        <v>1</v>
      </c>
      <c r="H7" s="270">
        <f>SUM(F7:G7)</f>
        <v>9</v>
      </c>
      <c r="I7" s="268">
        <f>SUM('10 Difusión_plan'!K15:K18)</f>
        <v>3</v>
      </c>
      <c r="J7" s="269">
        <f>SUM('10 Difusión_plan'!L15:L18)</f>
        <v>1</v>
      </c>
      <c r="K7" s="270">
        <f>SUM(I7:J7)</f>
        <v>4</v>
      </c>
      <c r="L7" s="268">
        <f>SUM('10 Difusión_plan'!N15:N18)</f>
        <v>2</v>
      </c>
      <c r="M7" s="269">
        <f>SUM('10 Difusión_plan'!O15:O18)</f>
        <v>2</v>
      </c>
      <c r="N7" s="270">
        <f>SUM(L7:M7)</f>
        <v>4</v>
      </c>
    </row>
    <row r="8" spans="1:14" ht="15" x14ac:dyDescent="0.2">
      <c r="A8" s="6829"/>
      <c r="B8" s="1371" t="s">
        <v>7</v>
      </c>
      <c r="C8" s="2761">
        <f>SUM('10 Difusión_plan'!E20:E23)</f>
        <v>1</v>
      </c>
      <c r="D8" s="2762">
        <f>SUM('10 Difusión_plan'!F20:F23)</f>
        <v>1</v>
      </c>
      <c r="E8" s="2763">
        <f>SUM(C8:D8)</f>
        <v>2</v>
      </c>
      <c r="F8" s="2761">
        <f>SUM('10 Difusión_plan'!H20:H23)</f>
        <v>0</v>
      </c>
      <c r="G8" s="2762">
        <f>SUM('10 Difusión_plan'!I20:I23)</f>
        <v>0</v>
      </c>
      <c r="H8" s="2763">
        <f>SUM(F8:G8)</f>
        <v>0</v>
      </c>
      <c r="I8" s="2761">
        <f>SUM('10 Difusión_plan'!K20:K23)</f>
        <v>4</v>
      </c>
      <c r="J8" s="2762">
        <f>SUM('10 Difusión_plan'!L20:L23)</f>
        <v>1</v>
      </c>
      <c r="K8" s="2763">
        <f>SUM(I8:J8)</f>
        <v>5</v>
      </c>
      <c r="L8" s="2761">
        <f>SUM('10 Difusión_plan'!N20:N23)</f>
        <v>4</v>
      </c>
      <c r="M8" s="2762">
        <f>SUM('10 Difusión_plan'!O20:O23)</f>
        <v>1</v>
      </c>
      <c r="N8" s="2763">
        <f>SUM(L8:M8)</f>
        <v>5</v>
      </c>
    </row>
    <row r="9" spans="1:14" ht="15" x14ac:dyDescent="0.2">
      <c r="A9" s="6830"/>
      <c r="B9" s="2467" t="s">
        <v>160</v>
      </c>
      <c r="C9" s="2285">
        <f t="shared" ref="C9:E9" si="0">SUM(C6:C8)</f>
        <v>4</v>
      </c>
      <c r="D9" s="2286">
        <f t="shared" si="0"/>
        <v>15</v>
      </c>
      <c r="E9" s="2287">
        <f t="shared" si="0"/>
        <v>19</v>
      </c>
      <c r="F9" s="2285">
        <f t="shared" ref="F9:K9" si="1">SUM(F6:F8)</f>
        <v>17</v>
      </c>
      <c r="G9" s="2286">
        <f t="shared" si="1"/>
        <v>18</v>
      </c>
      <c r="H9" s="2287">
        <f t="shared" si="1"/>
        <v>35</v>
      </c>
      <c r="I9" s="2285">
        <f t="shared" si="1"/>
        <v>24</v>
      </c>
      <c r="J9" s="2286">
        <f t="shared" si="1"/>
        <v>23</v>
      </c>
      <c r="K9" s="2287">
        <f t="shared" si="1"/>
        <v>47</v>
      </c>
      <c r="L9" s="2285">
        <f t="shared" ref="L9:N9" si="2">SUM(L6:L8)</f>
        <v>15</v>
      </c>
      <c r="M9" s="2286">
        <f t="shared" si="2"/>
        <v>28</v>
      </c>
      <c r="N9" s="2287">
        <f t="shared" si="2"/>
        <v>43</v>
      </c>
    </row>
    <row r="10" spans="1:14" ht="15" x14ac:dyDescent="0.2">
      <c r="A10" s="1372"/>
      <c r="B10" s="1372"/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</row>
    <row r="11" spans="1:14" ht="15" x14ac:dyDescent="0.2">
      <c r="A11" s="6813" t="s">
        <v>8</v>
      </c>
      <c r="B11" s="1370" t="s">
        <v>6</v>
      </c>
      <c r="C11" s="264">
        <f>SUM('10 Difusión_plan'!E26:E27)</f>
        <v>0</v>
      </c>
      <c r="D11" s="265">
        <f>SUM('10 Difusión_plan'!F26:F27)</f>
        <v>0</v>
      </c>
      <c r="E11" s="266">
        <f>SUM(C11:D11)</f>
        <v>0</v>
      </c>
      <c r="F11" s="264">
        <f>SUM('10 Difusión_plan'!H26:H27)</f>
        <v>1</v>
      </c>
      <c r="G11" s="265">
        <f>SUM('10 Difusión_plan'!I26:I27)</f>
        <v>1</v>
      </c>
      <c r="H11" s="266">
        <f>SUM(F11:G11)</f>
        <v>2</v>
      </c>
      <c r="I11" s="264">
        <f>SUM('10 Difusión_plan'!K26:K27)</f>
        <v>0</v>
      </c>
      <c r="J11" s="265">
        <f>SUM('10 Difusión_plan'!L26:L27)</f>
        <v>1</v>
      </c>
      <c r="K11" s="266">
        <f>SUM(I11:J11)</f>
        <v>1</v>
      </c>
      <c r="L11" s="264">
        <f>SUM('10 Difusión_plan'!N26:N27)</f>
        <v>3</v>
      </c>
      <c r="M11" s="265">
        <f>SUM('10 Difusión_plan'!O26:O27)</f>
        <v>1</v>
      </c>
      <c r="N11" s="266">
        <f>SUM(L11:M11)</f>
        <v>4</v>
      </c>
    </row>
    <row r="12" spans="1:14" ht="15" x14ac:dyDescent="0.2">
      <c r="A12" s="6814"/>
      <c r="B12" s="1371" t="s">
        <v>9</v>
      </c>
      <c r="C12" s="268">
        <f>SUM('10 Difusión_plan'!E29)</f>
        <v>2</v>
      </c>
      <c r="D12" s="269">
        <f>SUM('10 Difusión_plan'!F29)</f>
        <v>2</v>
      </c>
      <c r="E12" s="270">
        <f>SUM(C12:D12)</f>
        <v>4</v>
      </c>
      <c r="F12" s="268">
        <f>SUM('10 Difusión_plan'!H29)</f>
        <v>4</v>
      </c>
      <c r="G12" s="269">
        <f>SUM('10 Difusión_plan'!I29)</f>
        <v>4</v>
      </c>
      <c r="H12" s="270">
        <f>SUM(F12:G12)</f>
        <v>8</v>
      </c>
      <c r="I12" s="268">
        <f>SUM('10 Difusión_plan'!K29)</f>
        <v>9</v>
      </c>
      <c r="J12" s="269">
        <f>SUM('10 Difusión_plan'!L29)</f>
        <v>9</v>
      </c>
      <c r="K12" s="270">
        <f>SUM(I12:J12)</f>
        <v>18</v>
      </c>
      <c r="L12" s="268">
        <f>SUM('10 Difusión_plan'!N29)</f>
        <v>6</v>
      </c>
      <c r="M12" s="269">
        <f>SUM('10 Difusión_plan'!O29)</f>
        <v>5</v>
      </c>
      <c r="N12" s="270">
        <f>SUM(L12:M12)</f>
        <v>11</v>
      </c>
    </row>
    <row r="13" spans="1:14" ht="15" x14ac:dyDescent="0.2">
      <c r="A13" s="6814"/>
      <c r="B13" s="1371" t="s">
        <v>74</v>
      </c>
      <c r="C13" s="2761">
        <f>SUM('10 Difusión_plan'!E31:E32)</f>
        <v>3</v>
      </c>
      <c r="D13" s="2762">
        <f>SUM('10 Difusión_plan'!F31:F32)</f>
        <v>3</v>
      </c>
      <c r="E13" s="2763">
        <f>SUM(C13:D13)</f>
        <v>6</v>
      </c>
      <c r="F13" s="2761">
        <f>SUM('10 Difusión_plan'!H31:H32)</f>
        <v>4</v>
      </c>
      <c r="G13" s="2762">
        <f>SUM('10 Difusión_plan'!I31:I32)</f>
        <v>4</v>
      </c>
      <c r="H13" s="2763">
        <f>SUM(F13:G13)</f>
        <v>8</v>
      </c>
      <c r="I13" s="2761">
        <f>SUM('10 Difusión_plan'!K31:K32)</f>
        <v>5</v>
      </c>
      <c r="J13" s="2762">
        <f>SUM('10 Difusión_plan'!L31:L32)</f>
        <v>7</v>
      </c>
      <c r="K13" s="2763">
        <f>SUM(I13:J13)</f>
        <v>12</v>
      </c>
      <c r="L13" s="2761">
        <f>SUM('10 Difusión_plan'!N31:N32)</f>
        <v>6</v>
      </c>
      <c r="M13" s="2762">
        <f>SUM('10 Difusión_plan'!O31:O32)</f>
        <v>8</v>
      </c>
      <c r="N13" s="2763">
        <f>SUM(L13:M13)</f>
        <v>14</v>
      </c>
    </row>
    <row r="14" spans="1:14" ht="15" x14ac:dyDescent="0.2">
      <c r="A14" s="6815"/>
      <c r="B14" s="2464" t="s">
        <v>160</v>
      </c>
      <c r="C14" s="2278">
        <f t="shared" ref="C14:E14" si="3">SUM(C11:C13)</f>
        <v>5</v>
      </c>
      <c r="D14" s="2279">
        <f t="shared" si="3"/>
        <v>5</v>
      </c>
      <c r="E14" s="2280">
        <f t="shared" si="3"/>
        <v>10</v>
      </c>
      <c r="F14" s="2278">
        <f t="shared" ref="F14:K14" si="4">SUM(F11:F13)</f>
        <v>9</v>
      </c>
      <c r="G14" s="2279">
        <f t="shared" si="4"/>
        <v>9</v>
      </c>
      <c r="H14" s="2280">
        <f t="shared" si="4"/>
        <v>18</v>
      </c>
      <c r="I14" s="2278">
        <f t="shared" si="4"/>
        <v>14</v>
      </c>
      <c r="J14" s="2279">
        <f t="shared" si="4"/>
        <v>17</v>
      </c>
      <c r="K14" s="2280">
        <f t="shared" si="4"/>
        <v>31</v>
      </c>
      <c r="L14" s="2278">
        <f t="shared" ref="L14:N14" si="5">SUM(L11:L13)</f>
        <v>15</v>
      </c>
      <c r="M14" s="2279">
        <f t="shared" si="5"/>
        <v>14</v>
      </c>
      <c r="N14" s="2280">
        <f t="shared" si="5"/>
        <v>29</v>
      </c>
    </row>
    <row r="15" spans="1:14" ht="15" x14ac:dyDescent="0.2">
      <c r="A15" s="1369"/>
      <c r="B15" s="1369"/>
      <c r="C15" s="689"/>
      <c r="D15" s="689"/>
      <c r="E15" s="689"/>
      <c r="F15" s="689"/>
      <c r="G15" s="689"/>
      <c r="H15" s="689"/>
      <c r="I15" s="689"/>
      <c r="J15" s="689"/>
      <c r="K15" s="689"/>
      <c r="L15" s="689"/>
      <c r="M15" s="689"/>
      <c r="N15" s="689"/>
    </row>
    <row r="16" spans="1:14" ht="15" x14ac:dyDescent="0.2">
      <c r="A16" s="6816" t="s">
        <v>75</v>
      </c>
      <c r="B16" s="1370" t="s">
        <v>5</v>
      </c>
      <c r="C16" s="264">
        <f>SUM('10 Difusión_plan'!E35:E45)</f>
        <v>14</v>
      </c>
      <c r="D16" s="265">
        <f>SUM('10 Difusión_plan'!F35:F45)</f>
        <v>28</v>
      </c>
      <c r="E16" s="266">
        <f>SUM(C16:D16)</f>
        <v>42</v>
      </c>
      <c r="F16" s="264">
        <f>SUM('10 Difusión_plan'!H35:H45)</f>
        <v>14</v>
      </c>
      <c r="G16" s="265">
        <f>SUM('10 Difusión_plan'!I35:I45)</f>
        <v>21</v>
      </c>
      <c r="H16" s="266">
        <f>SUM(F16:G16)</f>
        <v>35</v>
      </c>
      <c r="I16" s="264">
        <f>SUM('10 Difusión_plan'!K35:K45)</f>
        <v>6</v>
      </c>
      <c r="J16" s="265">
        <f>SUM('10 Difusión_plan'!L35:L45)</f>
        <v>14</v>
      </c>
      <c r="K16" s="266">
        <f>SUM(I16:J16)</f>
        <v>20</v>
      </c>
      <c r="L16" s="264">
        <f>SUM('10 Difusión_plan'!N35:N45)</f>
        <v>18</v>
      </c>
      <c r="M16" s="265">
        <f>SUM('10 Difusión_plan'!O35:O45)</f>
        <v>13</v>
      </c>
      <c r="N16" s="266">
        <f>SUM(L16:M16)</f>
        <v>31</v>
      </c>
    </row>
    <row r="17" spans="1:14" ht="15" x14ac:dyDescent="0.2">
      <c r="A17" s="6817"/>
      <c r="B17" s="1371" t="s">
        <v>6</v>
      </c>
      <c r="C17" s="268">
        <f>SUM('10 Difusión_plan'!E47:E54)</f>
        <v>4</v>
      </c>
      <c r="D17" s="269">
        <f>SUM('10 Difusión_plan'!F47:F54)</f>
        <v>8</v>
      </c>
      <c r="E17" s="270">
        <f>SUM(C17:D17)</f>
        <v>12</v>
      </c>
      <c r="F17" s="268">
        <f>SUM('10 Difusión_plan'!H47:H54)</f>
        <v>8</v>
      </c>
      <c r="G17" s="269">
        <f>SUM('10 Difusión_plan'!I47:I54)</f>
        <v>8</v>
      </c>
      <c r="H17" s="270">
        <f>SUM(F17:G17)</f>
        <v>16</v>
      </c>
      <c r="I17" s="268">
        <f>SUM('10 Difusión_plan'!K47:K54)</f>
        <v>13</v>
      </c>
      <c r="J17" s="269">
        <f>SUM('10 Difusión_plan'!L47:L54)</f>
        <v>10</v>
      </c>
      <c r="K17" s="270">
        <f>SUM(I17:J17)</f>
        <v>23</v>
      </c>
      <c r="L17" s="268">
        <f>SUM('10 Difusión_plan'!N47:N54)</f>
        <v>5</v>
      </c>
      <c r="M17" s="269">
        <f>SUM('10 Difusión_plan'!O47:O54)</f>
        <v>10</v>
      </c>
      <c r="N17" s="270">
        <f>SUM(L17:M17)</f>
        <v>15</v>
      </c>
    </row>
    <row r="18" spans="1:14" ht="15" x14ac:dyDescent="0.2">
      <c r="A18" s="6817"/>
      <c r="B18" s="1371" t="s">
        <v>11</v>
      </c>
      <c r="C18" s="2761">
        <f>SUM('10 Difusión_plan'!E56:E62)</f>
        <v>7</v>
      </c>
      <c r="D18" s="2762">
        <f>SUM('10 Difusión_plan'!F56:F62)</f>
        <v>13</v>
      </c>
      <c r="E18" s="2763">
        <f>SUM(C18:D18)</f>
        <v>20</v>
      </c>
      <c r="F18" s="2761">
        <f>SUM('10 Difusión_plan'!H56:H62)</f>
        <v>22</v>
      </c>
      <c r="G18" s="2762">
        <f>SUM('10 Difusión_plan'!I56:I62)</f>
        <v>14</v>
      </c>
      <c r="H18" s="2763">
        <f>SUM(F18:G18)</f>
        <v>36</v>
      </c>
      <c r="I18" s="2761">
        <f>SUM('10 Difusión_plan'!K56:K62)</f>
        <v>17</v>
      </c>
      <c r="J18" s="2762">
        <f>SUM('10 Difusión_plan'!L56:L62)</f>
        <v>8</v>
      </c>
      <c r="K18" s="2763">
        <f>SUM(I18:J18)</f>
        <v>25</v>
      </c>
      <c r="L18" s="2761">
        <f>SUM('10 Difusión_plan'!N56:N62)</f>
        <v>17</v>
      </c>
      <c r="M18" s="2762">
        <f>SUM('10 Difusión_plan'!O56:O62)</f>
        <v>17</v>
      </c>
      <c r="N18" s="2763">
        <f>SUM(L18:M18)</f>
        <v>34</v>
      </c>
    </row>
    <row r="19" spans="1:14" ht="15" x14ac:dyDescent="0.2">
      <c r="A19" s="6818"/>
      <c r="B19" s="2461" t="s">
        <v>160</v>
      </c>
      <c r="C19" s="2226">
        <f t="shared" ref="C19:E19" si="6">SUM(C16:C18)</f>
        <v>25</v>
      </c>
      <c r="D19" s="2313">
        <f t="shared" si="6"/>
        <v>49</v>
      </c>
      <c r="E19" s="2314">
        <f t="shared" si="6"/>
        <v>74</v>
      </c>
      <c r="F19" s="2226">
        <f t="shared" ref="F19:K19" si="7">SUM(F16:F18)</f>
        <v>44</v>
      </c>
      <c r="G19" s="2313">
        <f t="shared" si="7"/>
        <v>43</v>
      </c>
      <c r="H19" s="2314">
        <f t="shared" si="7"/>
        <v>87</v>
      </c>
      <c r="I19" s="2226">
        <f t="shared" si="7"/>
        <v>36</v>
      </c>
      <c r="J19" s="2313">
        <f t="shared" si="7"/>
        <v>32</v>
      </c>
      <c r="K19" s="2314">
        <f t="shared" si="7"/>
        <v>68</v>
      </c>
      <c r="L19" s="2226">
        <f t="shared" ref="L19:N19" si="8">SUM(L16:L18)</f>
        <v>40</v>
      </c>
      <c r="M19" s="2313">
        <f t="shared" si="8"/>
        <v>40</v>
      </c>
      <c r="N19" s="2314">
        <f t="shared" si="8"/>
        <v>80</v>
      </c>
    </row>
    <row r="20" spans="1:14" ht="15" x14ac:dyDescent="0.2">
      <c r="A20" s="1501"/>
      <c r="B20" s="136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89"/>
      <c r="N20" s="689"/>
    </row>
    <row r="21" spans="1:14" ht="15" x14ac:dyDescent="0.2">
      <c r="A21" s="6819" t="s">
        <v>10</v>
      </c>
      <c r="B21" s="1370" t="s">
        <v>6</v>
      </c>
      <c r="C21" s="264">
        <f>SUM('10 Difusión_plan'!E65:E73)</f>
        <v>0</v>
      </c>
      <c r="D21" s="265">
        <f>SUM('10 Difusión_plan'!F65:F73)</f>
        <v>0</v>
      </c>
      <c r="E21" s="266">
        <f>SUM(C21:D21)</f>
        <v>0</v>
      </c>
      <c r="F21" s="264">
        <f>SUM('10 Difusión_plan'!H65:H73)</f>
        <v>6</v>
      </c>
      <c r="G21" s="265">
        <f>SUM('10 Difusión_plan'!I65:I73)</f>
        <v>10</v>
      </c>
      <c r="H21" s="266">
        <f>SUM(F21:G21)</f>
        <v>16</v>
      </c>
      <c r="I21" s="264">
        <f>SUM('10 Difusión_plan'!K65:K73)</f>
        <v>4</v>
      </c>
      <c r="J21" s="265">
        <f>SUM('10 Difusión_plan'!L65:L73)</f>
        <v>5</v>
      </c>
      <c r="K21" s="266">
        <f>SUM(I21:J21)</f>
        <v>9</v>
      </c>
      <c r="L21" s="264">
        <f>SUM('10 Difusión_plan'!N65:N73)</f>
        <v>12</v>
      </c>
      <c r="M21" s="265">
        <f>SUM('10 Difusión_plan'!O65:O73)</f>
        <v>8</v>
      </c>
      <c r="N21" s="266">
        <f>SUM(L21:M21)</f>
        <v>20</v>
      </c>
    </row>
    <row r="22" spans="1:14" ht="15" x14ac:dyDescent="0.2">
      <c r="A22" s="6820"/>
      <c r="B22" s="1371" t="s">
        <v>11</v>
      </c>
      <c r="C22" s="268">
        <f>SUM('10 Difusión_plan'!E75:E82)</f>
        <v>6</v>
      </c>
      <c r="D22" s="269">
        <f>SUM('10 Difusión_plan'!F75:F82)</f>
        <v>3</v>
      </c>
      <c r="E22" s="270">
        <f>SUM(C22:D22)</f>
        <v>9</v>
      </c>
      <c r="F22" s="268">
        <f>SUM('10 Difusión_plan'!H75:H82)</f>
        <v>11</v>
      </c>
      <c r="G22" s="269">
        <f>SUM('10 Difusión_plan'!I75:I82)</f>
        <v>7</v>
      </c>
      <c r="H22" s="270">
        <f>SUM(F22:G22)</f>
        <v>18</v>
      </c>
      <c r="I22" s="268">
        <f>SUM('10 Difusión_plan'!K75:K82)</f>
        <v>7</v>
      </c>
      <c r="J22" s="269">
        <f>SUM('10 Difusión_plan'!L75:L82)</f>
        <v>1</v>
      </c>
      <c r="K22" s="270">
        <f>SUM(I22:J22)</f>
        <v>8</v>
      </c>
      <c r="L22" s="268">
        <f>SUM('10 Difusión_plan'!N75:N82)</f>
        <v>14</v>
      </c>
      <c r="M22" s="269">
        <f>SUM('10 Difusión_plan'!O75:O82)</f>
        <v>4</v>
      </c>
      <c r="N22" s="270">
        <f>SUM(L22:M22)</f>
        <v>18</v>
      </c>
    </row>
    <row r="23" spans="1:14" ht="15" x14ac:dyDescent="0.2">
      <c r="A23" s="6820"/>
      <c r="B23" s="1371" t="s">
        <v>7</v>
      </c>
      <c r="C23" s="2761">
        <f>SUM('10 Difusión_plan'!E84:E85)</f>
        <v>1</v>
      </c>
      <c r="D23" s="2762">
        <f>SUM('10 Difusión_plan'!F84:F85)</f>
        <v>3</v>
      </c>
      <c r="E23" s="2763">
        <f>SUM(C23:D23)</f>
        <v>4</v>
      </c>
      <c r="F23" s="2761">
        <f>SUM('10 Difusión_plan'!H84:H85)</f>
        <v>4</v>
      </c>
      <c r="G23" s="2762">
        <f>SUM('10 Difusión_plan'!I84:I85)</f>
        <v>7</v>
      </c>
      <c r="H23" s="2763">
        <f>SUM(F23:G23)</f>
        <v>11</v>
      </c>
      <c r="I23" s="2761">
        <f>SUM('10 Difusión_plan'!K84:K85)</f>
        <v>1</v>
      </c>
      <c r="J23" s="2762">
        <f>SUM('10 Difusión_plan'!L84:L85)</f>
        <v>1</v>
      </c>
      <c r="K23" s="2763">
        <f>SUM(I23:J23)</f>
        <v>2</v>
      </c>
      <c r="L23" s="2761">
        <f>SUM('10 Difusión_plan'!N84:N85)</f>
        <v>1</v>
      </c>
      <c r="M23" s="2762">
        <f>SUM('10 Difusión_plan'!O84:O85)</f>
        <v>0</v>
      </c>
      <c r="N23" s="2763">
        <f>SUM(L23:M23)</f>
        <v>1</v>
      </c>
    </row>
    <row r="24" spans="1:14" ht="15" x14ac:dyDescent="0.2">
      <c r="A24" s="6821"/>
      <c r="B24" s="2458" t="s">
        <v>160</v>
      </c>
      <c r="C24" s="2236">
        <f t="shared" ref="C24:E24" si="9">SUM(C21:C23)</f>
        <v>7</v>
      </c>
      <c r="D24" s="2311">
        <f t="shared" si="9"/>
        <v>6</v>
      </c>
      <c r="E24" s="2312">
        <f t="shared" si="9"/>
        <v>13</v>
      </c>
      <c r="F24" s="2236">
        <f t="shared" ref="F24:K24" si="10">SUM(F21:F23)</f>
        <v>21</v>
      </c>
      <c r="G24" s="2311">
        <f t="shared" si="10"/>
        <v>24</v>
      </c>
      <c r="H24" s="2312">
        <f t="shared" si="10"/>
        <v>45</v>
      </c>
      <c r="I24" s="2236">
        <f t="shared" si="10"/>
        <v>12</v>
      </c>
      <c r="J24" s="2311">
        <f t="shared" si="10"/>
        <v>7</v>
      </c>
      <c r="K24" s="2312">
        <f t="shared" si="10"/>
        <v>19</v>
      </c>
      <c r="L24" s="2236">
        <f t="shared" ref="L24:N24" si="11">SUM(L21:L23)</f>
        <v>27</v>
      </c>
      <c r="M24" s="2311">
        <f t="shared" si="11"/>
        <v>12</v>
      </c>
      <c r="N24" s="2312">
        <f t="shared" si="11"/>
        <v>39</v>
      </c>
    </row>
    <row r="25" spans="1:14" ht="15" x14ac:dyDescent="0.2">
      <c r="A25" s="1369"/>
      <c r="B25" s="1369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</row>
    <row r="26" spans="1:14" ht="15" x14ac:dyDescent="0.2">
      <c r="A26" s="6822" t="s">
        <v>60</v>
      </c>
      <c r="B26" s="1370" t="s">
        <v>5</v>
      </c>
      <c r="C26" s="264">
        <f>SUM(C6,C16)</f>
        <v>17</v>
      </c>
      <c r="D26" s="265">
        <f>SUM(D6,D16)</f>
        <v>41</v>
      </c>
      <c r="E26" s="266">
        <f t="shared" ref="E26:E31" si="12">SUM(C26:D26)</f>
        <v>58</v>
      </c>
      <c r="F26" s="264">
        <f>SUM(F6,F16)</f>
        <v>23</v>
      </c>
      <c r="G26" s="265">
        <f>SUM(G6,G16)</f>
        <v>38</v>
      </c>
      <c r="H26" s="266">
        <f t="shared" ref="H26:H31" si="13">SUM(F26:G26)</f>
        <v>61</v>
      </c>
      <c r="I26" s="264">
        <f>SUM(I6,I16)</f>
        <v>23</v>
      </c>
      <c r="J26" s="265">
        <f>SUM(J6,J16)</f>
        <v>35</v>
      </c>
      <c r="K26" s="266">
        <f t="shared" ref="K26:K31" si="14">SUM(I26:J26)</f>
        <v>58</v>
      </c>
      <c r="L26" s="264">
        <f>SUM(L6,L16)</f>
        <v>27</v>
      </c>
      <c r="M26" s="265">
        <f>SUM(M6,M16)</f>
        <v>38</v>
      </c>
      <c r="N26" s="266">
        <f t="shared" ref="N26:N31" si="15">SUM(L26:M26)</f>
        <v>65</v>
      </c>
    </row>
    <row r="27" spans="1:14" ht="15" x14ac:dyDescent="0.2">
      <c r="A27" s="6823"/>
      <c r="B27" s="1371" t="s">
        <v>6</v>
      </c>
      <c r="C27" s="268">
        <f>SUM(C7,C11,C17,C21)</f>
        <v>4</v>
      </c>
      <c r="D27" s="269">
        <f>SUM(D7,D11,D17,D21)</f>
        <v>9</v>
      </c>
      <c r="E27" s="270">
        <f t="shared" si="12"/>
        <v>13</v>
      </c>
      <c r="F27" s="268">
        <f>SUM(F7,F11,F17,F21)</f>
        <v>23</v>
      </c>
      <c r="G27" s="269">
        <f>SUM(G7,G11,G17,G21)</f>
        <v>20</v>
      </c>
      <c r="H27" s="270">
        <f t="shared" si="13"/>
        <v>43</v>
      </c>
      <c r="I27" s="268">
        <f>SUM(I7,I11,I17,I21)</f>
        <v>20</v>
      </c>
      <c r="J27" s="269">
        <f>SUM(J7,J11,J17,J21)</f>
        <v>17</v>
      </c>
      <c r="K27" s="270">
        <f t="shared" si="14"/>
        <v>37</v>
      </c>
      <c r="L27" s="268">
        <f>SUM(L7,L11,L17,L21)</f>
        <v>22</v>
      </c>
      <c r="M27" s="269">
        <f>SUM(M7,M11,M17,M21)</f>
        <v>21</v>
      </c>
      <c r="N27" s="270">
        <f t="shared" si="15"/>
        <v>43</v>
      </c>
    </row>
    <row r="28" spans="1:14" ht="15" x14ac:dyDescent="0.2">
      <c r="A28" s="6823"/>
      <c r="B28" s="1371" t="s">
        <v>11</v>
      </c>
      <c r="C28" s="268">
        <f>SUM(C18,C22)</f>
        <v>13</v>
      </c>
      <c r="D28" s="269">
        <f>SUM(D18,D22)</f>
        <v>16</v>
      </c>
      <c r="E28" s="270">
        <f t="shared" si="12"/>
        <v>29</v>
      </c>
      <c r="F28" s="268">
        <f>SUM(F18,F22)</f>
        <v>33</v>
      </c>
      <c r="G28" s="269">
        <f>SUM(G18,G22)</f>
        <v>21</v>
      </c>
      <c r="H28" s="270">
        <f t="shared" si="13"/>
        <v>54</v>
      </c>
      <c r="I28" s="268">
        <f>SUM(I18,I22)</f>
        <v>24</v>
      </c>
      <c r="J28" s="269">
        <f>SUM(J18,J22)</f>
        <v>9</v>
      </c>
      <c r="K28" s="270">
        <f t="shared" si="14"/>
        <v>33</v>
      </c>
      <c r="L28" s="268">
        <f>SUM(L18,L22)</f>
        <v>31</v>
      </c>
      <c r="M28" s="269">
        <f>SUM(M18,M22)</f>
        <v>21</v>
      </c>
      <c r="N28" s="270">
        <f t="shared" si="15"/>
        <v>52</v>
      </c>
    </row>
    <row r="29" spans="1:14" ht="15" x14ac:dyDescent="0.2">
      <c r="A29" s="6823"/>
      <c r="B29" s="1371" t="s">
        <v>7</v>
      </c>
      <c r="C29" s="268">
        <f>SUM(C8,C23)</f>
        <v>2</v>
      </c>
      <c r="D29" s="269">
        <f>SUM(D8,D23)</f>
        <v>4</v>
      </c>
      <c r="E29" s="270">
        <f t="shared" si="12"/>
        <v>6</v>
      </c>
      <c r="F29" s="268">
        <f>SUM(F8,F23)</f>
        <v>4</v>
      </c>
      <c r="G29" s="269">
        <f>SUM(G8,G23)</f>
        <v>7</v>
      </c>
      <c r="H29" s="270">
        <f t="shared" si="13"/>
        <v>11</v>
      </c>
      <c r="I29" s="268">
        <f>SUM(I8,I23)</f>
        <v>5</v>
      </c>
      <c r="J29" s="269">
        <f>SUM(J8,J23)</f>
        <v>2</v>
      </c>
      <c r="K29" s="270">
        <f t="shared" si="14"/>
        <v>7</v>
      </c>
      <c r="L29" s="268">
        <f>SUM(L8,L23)</f>
        <v>5</v>
      </c>
      <c r="M29" s="269">
        <f>SUM(M8,M23)</f>
        <v>1</v>
      </c>
      <c r="N29" s="270">
        <f t="shared" si="15"/>
        <v>6</v>
      </c>
    </row>
    <row r="30" spans="1:14" ht="15" x14ac:dyDescent="0.2">
      <c r="A30" s="6823"/>
      <c r="B30" s="1371" t="s">
        <v>9</v>
      </c>
      <c r="C30" s="268">
        <f>SUM(C12)</f>
        <v>2</v>
      </c>
      <c r="D30" s="269">
        <f>SUM(D12)</f>
        <v>2</v>
      </c>
      <c r="E30" s="270">
        <f t="shared" si="12"/>
        <v>4</v>
      </c>
      <c r="F30" s="268">
        <f>SUM(F12)</f>
        <v>4</v>
      </c>
      <c r="G30" s="269">
        <f>SUM(G12)</f>
        <v>4</v>
      </c>
      <c r="H30" s="270">
        <f t="shared" si="13"/>
        <v>8</v>
      </c>
      <c r="I30" s="268">
        <f>SUM(I12)</f>
        <v>9</v>
      </c>
      <c r="J30" s="269">
        <f>SUM(J12)</f>
        <v>9</v>
      </c>
      <c r="K30" s="270">
        <f t="shared" si="14"/>
        <v>18</v>
      </c>
      <c r="L30" s="268">
        <f>SUM(L12)</f>
        <v>6</v>
      </c>
      <c r="M30" s="269">
        <f>SUM(M12)</f>
        <v>5</v>
      </c>
      <c r="N30" s="270">
        <f t="shared" si="15"/>
        <v>11</v>
      </c>
    </row>
    <row r="31" spans="1:14" ht="15" x14ac:dyDescent="0.2">
      <c r="A31" s="6823"/>
      <c r="B31" s="1371" t="s">
        <v>74</v>
      </c>
      <c r="C31" s="2761">
        <f>SUM(C13)</f>
        <v>3</v>
      </c>
      <c r="D31" s="2762">
        <f>SUM(D13)</f>
        <v>3</v>
      </c>
      <c r="E31" s="2763">
        <f t="shared" si="12"/>
        <v>6</v>
      </c>
      <c r="F31" s="2761">
        <f>SUM(F13)</f>
        <v>4</v>
      </c>
      <c r="G31" s="2762">
        <f>SUM(G13)</f>
        <v>4</v>
      </c>
      <c r="H31" s="2763">
        <f t="shared" si="13"/>
        <v>8</v>
      </c>
      <c r="I31" s="2761">
        <f>SUM(I13)</f>
        <v>5</v>
      </c>
      <c r="J31" s="2762">
        <f>SUM(J13)</f>
        <v>7</v>
      </c>
      <c r="K31" s="2763">
        <f t="shared" si="14"/>
        <v>12</v>
      </c>
      <c r="L31" s="2761">
        <f>SUM(L13)</f>
        <v>6</v>
      </c>
      <c r="M31" s="2762">
        <f>SUM(M13)</f>
        <v>8</v>
      </c>
      <c r="N31" s="2763">
        <f t="shared" si="15"/>
        <v>14</v>
      </c>
    </row>
    <row r="32" spans="1:14" ht="15" x14ac:dyDescent="0.2">
      <c r="A32" s="6824"/>
      <c r="B32" s="4434" t="s">
        <v>160</v>
      </c>
      <c r="C32" s="569">
        <f t="shared" ref="C32:E32" si="16">SUM(C26:C31)</f>
        <v>41</v>
      </c>
      <c r="D32" s="570">
        <f t="shared" si="16"/>
        <v>75</v>
      </c>
      <c r="E32" s="571">
        <f t="shared" si="16"/>
        <v>116</v>
      </c>
      <c r="F32" s="569">
        <f t="shared" ref="F32:H32" si="17">SUM(F26:F31)</f>
        <v>91</v>
      </c>
      <c r="G32" s="570">
        <f t="shared" si="17"/>
        <v>94</v>
      </c>
      <c r="H32" s="571">
        <f t="shared" si="17"/>
        <v>185</v>
      </c>
      <c r="I32" s="569">
        <f t="shared" ref="I32:K32" si="18">SUM(I26:I31)</f>
        <v>86</v>
      </c>
      <c r="J32" s="570">
        <f t="shared" si="18"/>
        <v>79</v>
      </c>
      <c r="K32" s="571">
        <f t="shared" si="18"/>
        <v>165</v>
      </c>
      <c r="L32" s="569">
        <f t="shared" ref="L32:N32" si="19">SUM(L26:L31)</f>
        <v>97</v>
      </c>
      <c r="M32" s="570">
        <f t="shared" si="19"/>
        <v>94</v>
      </c>
      <c r="N32" s="571">
        <f t="shared" si="19"/>
        <v>191</v>
      </c>
    </row>
  </sheetData>
  <sheetProtection algorithmName="SHA-512" hashValue="IVXLj9lSmeX0w+NiampGb4qEzcYyr91M+z7WjsuIngfC+Jg/mGL2arZJIK25uPwgEz2wr4CaHAOeLvL9vRin+Q==" saltValue="gAzH7O94vlHqCSkR6uJBiQ==" spinCount="100000" sheet="1" objects="1" scenarios="1"/>
  <mergeCells count="12">
    <mergeCell ref="L3:N3"/>
    <mergeCell ref="I3:K3"/>
    <mergeCell ref="A1:H1"/>
    <mergeCell ref="A26:A32"/>
    <mergeCell ref="A3:A4"/>
    <mergeCell ref="B3:B4"/>
    <mergeCell ref="A6:A9"/>
    <mergeCell ref="A11:A14"/>
    <mergeCell ref="A16:A19"/>
    <mergeCell ref="A21:A24"/>
    <mergeCell ref="C3:E3"/>
    <mergeCell ref="F3:H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ignoredErrors>
    <ignoredError sqref="E26:K31" formula="1"/>
  </ignoredErrors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  <pageSetUpPr fitToPage="1"/>
  </sheetPr>
  <dimension ref="A1:O73"/>
  <sheetViews>
    <sheetView showGridLines="0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M16" sqref="M16"/>
    </sheetView>
  </sheetViews>
  <sheetFormatPr baseColWidth="10" defaultRowHeight="15" x14ac:dyDescent="0.25"/>
  <cols>
    <col min="1" max="1" width="12.7109375" style="3463" customWidth="1"/>
    <col min="2" max="2" width="8.140625" style="3463" bestFit="1" customWidth="1"/>
    <col min="3" max="3" width="49.85546875" style="3463" bestFit="1" customWidth="1"/>
    <col min="4" max="5" width="9.7109375" style="3463" customWidth="1"/>
    <col min="6" max="6" width="7.7109375" style="3463" customWidth="1"/>
    <col min="7" max="8" width="9.7109375" style="3463" customWidth="1"/>
    <col min="9" max="9" width="7.7109375" style="3463" customWidth="1"/>
    <col min="10" max="10" width="8.85546875" style="3463" customWidth="1"/>
    <col min="11" max="11" width="9.140625" style="3463" customWidth="1"/>
    <col min="12" max="12" width="7.7109375" style="3463" customWidth="1"/>
    <col min="13" max="13" width="8.85546875" style="3463" bestFit="1" customWidth="1"/>
    <col min="14" max="14" width="9.140625" style="3463" bestFit="1" customWidth="1"/>
    <col min="15" max="15" width="7.7109375" style="3463" customWidth="1"/>
    <col min="16" max="16384" width="11.42578125" style="3463"/>
  </cols>
  <sheetData>
    <row r="1" spans="1:15" ht="18.75" x14ac:dyDescent="0.3">
      <c r="A1" s="3704" t="s">
        <v>1448</v>
      </c>
    </row>
    <row r="2" spans="1:15" ht="18.75" x14ac:dyDescent="0.3">
      <c r="A2" s="3704"/>
    </row>
    <row r="3" spans="1:15" ht="18.75" x14ac:dyDescent="0.3">
      <c r="A3" s="3704" t="s">
        <v>1531</v>
      </c>
    </row>
    <row r="5" spans="1:15" ht="24" customHeight="1" x14ac:dyDescent="0.25">
      <c r="A5" s="7054" t="s">
        <v>51</v>
      </c>
      <c r="B5" s="7054" t="s">
        <v>685</v>
      </c>
      <c r="C5" s="6791" t="s">
        <v>684</v>
      </c>
      <c r="D5" s="7056">
        <v>2014</v>
      </c>
      <c r="E5" s="7057"/>
      <c r="F5" s="6774"/>
      <c r="G5" s="7056">
        <v>2015</v>
      </c>
      <c r="H5" s="7057"/>
      <c r="I5" s="6774"/>
      <c r="J5" s="7074" t="s">
        <v>1566</v>
      </c>
      <c r="K5" s="7075"/>
      <c r="L5" s="7076"/>
      <c r="M5" s="7074" t="s">
        <v>1658</v>
      </c>
      <c r="N5" s="7075"/>
      <c r="O5" s="7076"/>
    </row>
    <row r="6" spans="1:15" x14ac:dyDescent="0.25">
      <c r="A6" s="7055"/>
      <c r="B6" s="7055"/>
      <c r="C6" s="6791"/>
      <c r="D6" s="4432" t="s">
        <v>658</v>
      </c>
      <c r="E6" s="4432" t="s">
        <v>659</v>
      </c>
      <c r="F6" s="3529" t="s">
        <v>160</v>
      </c>
      <c r="G6" s="4432" t="s">
        <v>658</v>
      </c>
      <c r="H6" s="4432" t="s">
        <v>659</v>
      </c>
      <c r="I6" s="3529" t="s">
        <v>160</v>
      </c>
      <c r="J6" s="4432" t="s">
        <v>658</v>
      </c>
      <c r="K6" s="4432" t="s">
        <v>659</v>
      </c>
      <c r="L6" s="3529" t="s">
        <v>160</v>
      </c>
      <c r="M6" s="4432" t="s">
        <v>658</v>
      </c>
      <c r="N6" s="4432" t="s">
        <v>659</v>
      </c>
      <c r="O6" s="3529" t="s">
        <v>160</v>
      </c>
    </row>
    <row r="7" spans="1:15" x14ac:dyDescent="0.25">
      <c r="A7" s="7050" t="s">
        <v>161</v>
      </c>
      <c r="B7" s="7053" t="s">
        <v>5</v>
      </c>
      <c r="C7" s="4611" t="s">
        <v>1533</v>
      </c>
      <c r="D7" s="3511"/>
      <c r="E7" s="3513"/>
      <c r="F7" s="3530"/>
      <c r="G7" s="3511"/>
      <c r="H7" s="3513"/>
      <c r="I7" s="3530"/>
      <c r="J7" s="3511">
        <v>1</v>
      </c>
      <c r="K7" s="3513"/>
      <c r="L7" s="4368">
        <f t="shared" ref="L7:L15" si="0">SUM(J7:K7)</f>
        <v>1</v>
      </c>
      <c r="M7" s="3511">
        <v>6</v>
      </c>
      <c r="N7" s="3513">
        <v>5</v>
      </c>
      <c r="O7" s="4368">
        <f t="shared" ref="O7:O15" si="1">SUM(M7:N7)</f>
        <v>11</v>
      </c>
    </row>
    <row r="8" spans="1:15" x14ac:dyDescent="0.25">
      <c r="A8" s="7051"/>
      <c r="B8" s="7042"/>
      <c r="C8" s="5419" t="s">
        <v>409</v>
      </c>
      <c r="D8" s="3490"/>
      <c r="E8" s="3493"/>
      <c r="F8" s="4998"/>
      <c r="G8" s="3490"/>
      <c r="H8" s="3493"/>
      <c r="I8" s="4998"/>
      <c r="J8" s="3490"/>
      <c r="K8" s="3493"/>
      <c r="L8" s="4368"/>
      <c r="M8" s="3490">
        <v>2</v>
      </c>
      <c r="N8" s="3493"/>
      <c r="O8" s="4368">
        <f t="shared" si="1"/>
        <v>2</v>
      </c>
    </row>
    <row r="9" spans="1:15" x14ac:dyDescent="0.25">
      <c r="A9" s="7051"/>
      <c r="B9" s="7043"/>
      <c r="C9" s="4612" t="s">
        <v>432</v>
      </c>
      <c r="D9" s="3495"/>
      <c r="E9" s="3499"/>
      <c r="F9" s="4368"/>
      <c r="G9" s="3495"/>
      <c r="H9" s="3499">
        <v>2</v>
      </c>
      <c r="I9" s="4368">
        <f>SUM(G9:H9)</f>
        <v>2</v>
      </c>
      <c r="J9" s="3495">
        <v>1</v>
      </c>
      <c r="K9" s="3499">
        <v>1</v>
      </c>
      <c r="L9" s="4368">
        <f t="shared" si="0"/>
        <v>2</v>
      </c>
      <c r="M9" s="3495"/>
      <c r="N9" s="3499"/>
      <c r="O9" s="4368">
        <f t="shared" si="1"/>
        <v>0</v>
      </c>
    </row>
    <row r="10" spans="1:15" x14ac:dyDescent="0.25">
      <c r="A10" s="7051"/>
      <c r="B10" s="7041" t="s">
        <v>6</v>
      </c>
      <c r="C10" s="4628" t="s">
        <v>368</v>
      </c>
      <c r="D10" s="3495"/>
      <c r="E10" s="3499"/>
      <c r="F10" s="4368"/>
      <c r="G10" s="3495">
        <v>1</v>
      </c>
      <c r="H10" s="3499">
        <v>1</v>
      </c>
      <c r="I10" s="4368">
        <f t="shared" ref="I10:I15" si="2">SUM(G10:H10)</f>
        <v>2</v>
      </c>
      <c r="J10" s="3495"/>
      <c r="K10" s="3499"/>
      <c r="L10" s="4368">
        <f t="shared" si="0"/>
        <v>0</v>
      </c>
      <c r="M10" s="3495"/>
      <c r="N10" s="3499"/>
      <c r="O10" s="4368">
        <f t="shared" si="1"/>
        <v>0</v>
      </c>
    </row>
    <row r="11" spans="1:15" x14ac:dyDescent="0.25">
      <c r="A11" s="7051"/>
      <c r="B11" s="7042"/>
      <c r="C11" s="4628" t="s">
        <v>141</v>
      </c>
      <c r="D11" s="3495"/>
      <c r="E11" s="3499"/>
      <c r="F11" s="4368"/>
      <c r="G11" s="3495"/>
      <c r="H11" s="3499"/>
      <c r="I11" s="4368"/>
      <c r="J11" s="3495">
        <v>1</v>
      </c>
      <c r="K11" s="3499"/>
      <c r="L11" s="4368">
        <f t="shared" si="0"/>
        <v>1</v>
      </c>
      <c r="M11" s="3495"/>
      <c r="N11" s="3499"/>
      <c r="O11" s="4368">
        <f t="shared" si="1"/>
        <v>0</v>
      </c>
    </row>
    <row r="12" spans="1:15" x14ac:dyDescent="0.25">
      <c r="A12" s="7051"/>
      <c r="B12" s="7043"/>
      <c r="C12" s="4628" t="s">
        <v>367</v>
      </c>
      <c r="D12" s="3495"/>
      <c r="E12" s="3499"/>
      <c r="F12" s="4368"/>
      <c r="G12" s="3495">
        <v>1</v>
      </c>
      <c r="H12" s="3499"/>
      <c r="I12" s="4368">
        <f t="shared" si="2"/>
        <v>1</v>
      </c>
      <c r="J12" s="3495"/>
      <c r="K12" s="3499"/>
      <c r="L12" s="4368">
        <f t="shared" si="0"/>
        <v>0</v>
      </c>
      <c r="M12" s="3495"/>
      <c r="N12" s="3499"/>
      <c r="O12" s="4368">
        <f t="shared" si="1"/>
        <v>0</v>
      </c>
    </row>
    <row r="13" spans="1:15" x14ac:dyDescent="0.25">
      <c r="A13" s="7051"/>
      <c r="B13" s="7041" t="s">
        <v>7</v>
      </c>
      <c r="C13" s="4367" t="s">
        <v>1263</v>
      </c>
      <c r="D13" s="3495">
        <v>1</v>
      </c>
      <c r="E13" s="3499">
        <v>3</v>
      </c>
      <c r="F13" s="4368">
        <f>SUM(D13:E13)</f>
        <v>4</v>
      </c>
      <c r="G13" s="3495"/>
      <c r="H13" s="3499"/>
      <c r="I13" s="4368"/>
      <c r="J13" s="3495">
        <v>1</v>
      </c>
      <c r="K13" s="3499">
        <v>2</v>
      </c>
      <c r="L13" s="4368">
        <f t="shared" si="0"/>
        <v>3</v>
      </c>
      <c r="M13" s="3495"/>
      <c r="N13" s="3499"/>
      <c r="O13" s="4368">
        <f t="shared" si="1"/>
        <v>0</v>
      </c>
    </row>
    <row r="14" spans="1:15" x14ac:dyDescent="0.25">
      <c r="A14" s="7051"/>
      <c r="B14" s="7042"/>
      <c r="C14" s="4995" t="s">
        <v>1534</v>
      </c>
      <c r="D14" s="4992"/>
      <c r="E14" s="4993"/>
      <c r="F14" s="4994"/>
      <c r="G14" s="4992"/>
      <c r="H14" s="4993"/>
      <c r="I14" s="4994"/>
      <c r="J14" s="4992">
        <v>0</v>
      </c>
      <c r="K14" s="4993">
        <v>3</v>
      </c>
      <c r="L14" s="4368">
        <f t="shared" si="0"/>
        <v>3</v>
      </c>
      <c r="M14" s="4992"/>
      <c r="N14" s="4993"/>
      <c r="O14" s="4368">
        <f t="shared" si="1"/>
        <v>0</v>
      </c>
    </row>
    <row r="15" spans="1:15" x14ac:dyDescent="0.25">
      <c r="A15" s="7051"/>
      <c r="B15" s="7043"/>
      <c r="C15" s="4616" t="s">
        <v>401</v>
      </c>
      <c r="D15" s="4641"/>
      <c r="E15" s="4642"/>
      <c r="F15" s="3531"/>
      <c r="G15" s="4641"/>
      <c r="H15" s="4642">
        <v>3</v>
      </c>
      <c r="I15" s="3531">
        <f t="shared" si="2"/>
        <v>3</v>
      </c>
      <c r="J15" s="4641"/>
      <c r="K15" s="4642"/>
      <c r="L15" s="3531">
        <f t="shared" si="0"/>
        <v>0</v>
      </c>
      <c r="M15" s="4641"/>
      <c r="N15" s="4642"/>
      <c r="O15" s="3531">
        <f t="shared" si="1"/>
        <v>0</v>
      </c>
    </row>
    <row r="16" spans="1:15" x14ac:dyDescent="0.25">
      <c r="A16" s="7052"/>
      <c r="B16" s="7061" t="s">
        <v>444</v>
      </c>
      <c r="C16" s="7062"/>
      <c r="D16" s="5003">
        <f t="shared" ref="D16:I16" si="3">SUM(D9:D15)</f>
        <v>1</v>
      </c>
      <c r="E16" s="5007">
        <f t="shared" si="3"/>
        <v>3</v>
      </c>
      <c r="F16" s="5008">
        <f t="shared" si="3"/>
        <v>4</v>
      </c>
      <c r="G16" s="5003">
        <f t="shared" si="3"/>
        <v>2</v>
      </c>
      <c r="H16" s="5007">
        <f t="shared" si="3"/>
        <v>6</v>
      </c>
      <c r="I16" s="5008">
        <f t="shared" si="3"/>
        <v>8</v>
      </c>
      <c r="J16" s="5003">
        <f t="shared" ref="J16:O16" si="4">SUM(J7:J15)</f>
        <v>4</v>
      </c>
      <c r="K16" s="5007">
        <f t="shared" si="4"/>
        <v>6</v>
      </c>
      <c r="L16" s="5008">
        <f t="shared" si="4"/>
        <v>10</v>
      </c>
      <c r="M16" s="5387">
        <f t="shared" si="4"/>
        <v>8</v>
      </c>
      <c r="N16" s="5007">
        <f t="shared" si="4"/>
        <v>5</v>
      </c>
      <c r="O16" s="5008">
        <f t="shared" si="4"/>
        <v>13</v>
      </c>
    </row>
    <row r="17" spans="1:15" x14ac:dyDescent="0.25">
      <c r="A17" s="7035" t="s">
        <v>407</v>
      </c>
      <c r="B17" s="7053" t="s">
        <v>6</v>
      </c>
      <c r="C17" s="4611" t="s">
        <v>398</v>
      </c>
      <c r="D17" s="3511"/>
      <c r="E17" s="3513"/>
      <c r="F17" s="3530"/>
      <c r="G17" s="3511">
        <v>3</v>
      </c>
      <c r="H17" s="3513">
        <v>1</v>
      </c>
      <c r="I17" s="3530">
        <f>SUM(G17:H17)</f>
        <v>4</v>
      </c>
      <c r="J17" s="3511">
        <v>1</v>
      </c>
      <c r="K17" s="3513"/>
      <c r="L17" s="4368">
        <f>SUM(J17:K17)</f>
        <v>1</v>
      </c>
      <c r="M17" s="3511"/>
      <c r="N17" s="3513"/>
      <c r="O17" s="4368">
        <f>SUM(M17:N17)</f>
        <v>0</v>
      </c>
    </row>
    <row r="18" spans="1:15" x14ac:dyDescent="0.25">
      <c r="A18" s="7036"/>
      <c r="B18" s="7043"/>
      <c r="C18" s="5420" t="s">
        <v>399</v>
      </c>
      <c r="D18" s="3495"/>
      <c r="E18" s="3499"/>
      <c r="F18" s="4368"/>
      <c r="G18" s="3495"/>
      <c r="H18" s="3499"/>
      <c r="I18" s="4368"/>
      <c r="J18" s="3495">
        <v>1</v>
      </c>
      <c r="K18" s="3499">
        <v>1</v>
      </c>
      <c r="L18" s="4368">
        <f>SUM(J18:K18)</f>
        <v>2</v>
      </c>
      <c r="M18" s="3495">
        <v>2</v>
      </c>
      <c r="N18" s="3499"/>
      <c r="O18" s="4368">
        <f>SUM(M18:N18)</f>
        <v>2</v>
      </c>
    </row>
    <row r="19" spans="1:15" x14ac:dyDescent="0.25">
      <c r="A19" s="7036"/>
      <c r="B19" s="4996" t="s">
        <v>9</v>
      </c>
      <c r="C19" s="4628" t="s">
        <v>1535</v>
      </c>
      <c r="D19" s="3495"/>
      <c r="E19" s="3499"/>
      <c r="F19" s="4368"/>
      <c r="G19" s="3495"/>
      <c r="H19" s="3499"/>
      <c r="I19" s="4368"/>
      <c r="J19" s="3495">
        <v>2</v>
      </c>
      <c r="K19" s="3499">
        <v>1</v>
      </c>
      <c r="L19" s="4368">
        <f>SUM(J19:K19)</f>
        <v>3</v>
      </c>
      <c r="M19" s="3495">
        <v>3</v>
      </c>
      <c r="N19" s="3499">
        <v>1</v>
      </c>
      <c r="O19" s="4368">
        <f>SUM(M19:N19)</f>
        <v>4</v>
      </c>
    </row>
    <row r="20" spans="1:15" x14ac:dyDescent="0.25">
      <c r="A20" s="7036"/>
      <c r="B20" s="6881" t="s">
        <v>74</v>
      </c>
      <c r="C20" s="4628" t="s">
        <v>414</v>
      </c>
      <c r="D20" s="3495"/>
      <c r="E20" s="3499"/>
      <c r="F20" s="4368"/>
      <c r="G20" s="3495"/>
      <c r="H20" s="3499"/>
      <c r="I20" s="4368"/>
      <c r="J20" s="3495"/>
      <c r="K20" s="3499">
        <v>1</v>
      </c>
      <c r="L20" s="4368">
        <f>SUM(J20:K20)</f>
        <v>1</v>
      </c>
      <c r="M20" s="3495">
        <v>1</v>
      </c>
      <c r="N20" s="3499">
        <v>1</v>
      </c>
      <c r="O20" s="4368">
        <f>SUM(M20:N20)</f>
        <v>2</v>
      </c>
    </row>
    <row r="21" spans="1:15" x14ac:dyDescent="0.25">
      <c r="A21" s="7036"/>
      <c r="B21" s="6883"/>
      <c r="C21" s="4628" t="s">
        <v>415</v>
      </c>
      <c r="D21" s="3495"/>
      <c r="E21" s="3499"/>
      <c r="F21" s="4368"/>
      <c r="G21" s="3495"/>
      <c r="H21" s="3499"/>
      <c r="I21" s="4368"/>
      <c r="J21" s="3495">
        <v>1</v>
      </c>
      <c r="K21" s="3499"/>
      <c r="L21" s="4368">
        <f>SUM(J21:K21)</f>
        <v>1</v>
      </c>
      <c r="M21" s="3495"/>
      <c r="N21" s="3499"/>
      <c r="O21" s="4368">
        <f>SUM(M21:N21)</f>
        <v>0</v>
      </c>
    </row>
    <row r="22" spans="1:15" x14ac:dyDescent="0.25">
      <c r="A22" s="7037"/>
      <c r="B22" s="7073" t="s">
        <v>444</v>
      </c>
      <c r="C22" s="7073"/>
      <c r="D22" s="5009"/>
      <c r="E22" s="5010"/>
      <c r="F22" s="5011"/>
      <c r="G22" s="5009">
        <f>SUM(G17)</f>
        <v>3</v>
      </c>
      <c r="H22" s="5010">
        <f>SUM(H17)</f>
        <v>1</v>
      </c>
      <c r="I22" s="5011">
        <f>SUM(I17)</f>
        <v>4</v>
      </c>
      <c r="J22" s="5009">
        <f t="shared" ref="J22:O22" si="5">SUM(J17:J21)</f>
        <v>5</v>
      </c>
      <c r="K22" s="5010">
        <f t="shared" si="5"/>
        <v>3</v>
      </c>
      <c r="L22" s="5004">
        <f t="shared" si="5"/>
        <v>8</v>
      </c>
      <c r="M22" s="5391">
        <f t="shared" si="5"/>
        <v>6</v>
      </c>
      <c r="N22" s="5423">
        <f t="shared" si="5"/>
        <v>2</v>
      </c>
      <c r="O22" s="5390">
        <f t="shared" si="5"/>
        <v>8</v>
      </c>
    </row>
    <row r="23" spans="1:15" x14ac:dyDescent="0.25">
      <c r="A23" s="7044" t="s">
        <v>162</v>
      </c>
      <c r="B23" s="7032" t="s">
        <v>5</v>
      </c>
      <c r="C23" s="5421" t="s">
        <v>538</v>
      </c>
      <c r="D23" s="3511">
        <v>1</v>
      </c>
      <c r="E23" s="3513">
        <v>0</v>
      </c>
      <c r="F23" s="3530">
        <f>SUM(D23:E23)</f>
        <v>1</v>
      </c>
      <c r="G23" s="3511"/>
      <c r="H23" s="3513"/>
      <c r="I23" s="3530"/>
      <c r="J23" s="3511"/>
      <c r="K23" s="3513"/>
      <c r="L23" s="4998"/>
      <c r="M23" s="3511"/>
      <c r="N23" s="3513"/>
      <c r="O23" s="4368">
        <f t="shared" ref="O23:O26" si="6">SUM(M23:N23)</f>
        <v>0</v>
      </c>
    </row>
    <row r="24" spans="1:15" x14ac:dyDescent="0.25">
      <c r="A24" s="7045"/>
      <c r="B24" s="7033"/>
      <c r="C24" s="5419" t="s">
        <v>1647</v>
      </c>
      <c r="D24" s="3490"/>
      <c r="E24" s="3493"/>
      <c r="F24" s="4998"/>
      <c r="G24" s="3490"/>
      <c r="H24" s="3493"/>
      <c r="I24" s="4998"/>
      <c r="J24" s="3490"/>
      <c r="K24" s="3493"/>
      <c r="L24" s="4998"/>
      <c r="M24" s="3490">
        <v>2</v>
      </c>
      <c r="N24" s="3493"/>
      <c r="O24" s="4368">
        <f t="shared" si="6"/>
        <v>2</v>
      </c>
    </row>
    <row r="25" spans="1:15" x14ac:dyDescent="0.25">
      <c r="A25" s="7045"/>
      <c r="B25" s="7033"/>
      <c r="C25" s="5419" t="s">
        <v>1660</v>
      </c>
      <c r="D25" s="3490"/>
      <c r="E25" s="3493"/>
      <c r="F25" s="4998"/>
      <c r="G25" s="3490"/>
      <c r="H25" s="3493"/>
      <c r="I25" s="4998"/>
      <c r="J25" s="3490"/>
      <c r="K25" s="3493"/>
      <c r="L25" s="4998"/>
      <c r="M25" s="3490"/>
      <c r="N25" s="3493">
        <v>1</v>
      </c>
      <c r="O25" s="4368">
        <f t="shared" si="6"/>
        <v>1</v>
      </c>
    </row>
    <row r="26" spans="1:15" x14ac:dyDescent="0.25">
      <c r="A26" s="7045"/>
      <c r="B26" s="7033"/>
      <c r="C26" s="5419" t="s">
        <v>372</v>
      </c>
      <c r="D26" s="3490"/>
      <c r="E26" s="3493"/>
      <c r="F26" s="4998"/>
      <c r="G26" s="3490"/>
      <c r="H26" s="3493"/>
      <c r="I26" s="4998"/>
      <c r="J26" s="3490"/>
      <c r="K26" s="3493"/>
      <c r="L26" s="4998"/>
      <c r="M26" s="3490"/>
      <c r="N26" s="3493">
        <v>1</v>
      </c>
      <c r="O26" s="4368">
        <f t="shared" si="6"/>
        <v>1</v>
      </c>
    </row>
    <row r="27" spans="1:15" x14ac:dyDescent="0.25">
      <c r="A27" s="7045"/>
      <c r="B27" s="7034"/>
      <c r="C27" s="4612" t="s">
        <v>649</v>
      </c>
      <c r="D27" s="3495"/>
      <c r="E27" s="3499"/>
      <c r="F27" s="4368"/>
      <c r="G27" s="3495"/>
      <c r="H27" s="3499">
        <v>2</v>
      </c>
      <c r="I27" s="4368">
        <f>SUM(G27:H27)</f>
        <v>2</v>
      </c>
      <c r="J27" s="3495"/>
      <c r="K27" s="3499"/>
      <c r="L27" s="4368">
        <f t="shared" ref="L27:L38" si="7">SUM(J27:K27)</f>
        <v>0</v>
      </c>
      <c r="M27" s="3495"/>
      <c r="N27" s="3499"/>
      <c r="O27" s="4368">
        <f t="shared" ref="O27:O38" si="8">SUM(M27:N27)</f>
        <v>0</v>
      </c>
    </row>
    <row r="28" spans="1:15" x14ac:dyDescent="0.25">
      <c r="A28" s="7045"/>
      <c r="B28" s="7032" t="s">
        <v>6</v>
      </c>
      <c r="C28" s="4612" t="s">
        <v>81</v>
      </c>
      <c r="D28" s="3495"/>
      <c r="E28" s="3499"/>
      <c r="F28" s="4368"/>
      <c r="G28" s="3495">
        <v>2</v>
      </c>
      <c r="H28" s="3499"/>
      <c r="I28" s="4368">
        <f>SUM(G28:H28)</f>
        <v>2</v>
      </c>
      <c r="J28" s="3495"/>
      <c r="K28" s="3499"/>
      <c r="L28" s="4368">
        <f t="shared" si="7"/>
        <v>0</v>
      </c>
      <c r="M28" s="3495"/>
      <c r="N28" s="3499"/>
      <c r="O28" s="4368">
        <f t="shared" si="8"/>
        <v>0</v>
      </c>
    </row>
    <row r="29" spans="1:15" x14ac:dyDescent="0.25">
      <c r="A29" s="7045"/>
      <c r="B29" s="7033"/>
      <c r="C29" s="4999" t="s">
        <v>82</v>
      </c>
      <c r="D29" s="3495"/>
      <c r="E29" s="3499"/>
      <c r="F29" s="4368"/>
      <c r="G29" s="3495"/>
      <c r="H29" s="3499"/>
      <c r="I29" s="4368">
        <f>SUM(G29:H29)</f>
        <v>0</v>
      </c>
      <c r="J29" s="3495"/>
      <c r="K29" s="3499"/>
      <c r="L29" s="4368">
        <f t="shared" si="7"/>
        <v>0</v>
      </c>
      <c r="M29" s="3495"/>
      <c r="N29" s="3499"/>
      <c r="O29" s="4368">
        <f t="shared" si="8"/>
        <v>0</v>
      </c>
    </row>
    <row r="30" spans="1:15" x14ac:dyDescent="0.25">
      <c r="A30" s="7045"/>
      <c r="B30" s="7033"/>
      <c r="C30" s="4999" t="s">
        <v>79</v>
      </c>
      <c r="D30" s="3495"/>
      <c r="E30" s="3499"/>
      <c r="F30" s="4368"/>
      <c r="G30" s="3495"/>
      <c r="H30" s="3499"/>
      <c r="I30" s="4368"/>
      <c r="J30" s="3495">
        <v>1</v>
      </c>
      <c r="K30" s="3499"/>
      <c r="L30" s="4368">
        <f t="shared" si="7"/>
        <v>1</v>
      </c>
      <c r="M30" s="3495"/>
      <c r="N30" s="3499"/>
      <c r="O30" s="4368">
        <f t="shared" si="8"/>
        <v>0</v>
      </c>
    </row>
    <row r="31" spans="1:15" x14ac:dyDescent="0.25">
      <c r="A31" s="7045"/>
      <c r="B31" s="7033"/>
      <c r="C31" s="4613" t="s">
        <v>84</v>
      </c>
      <c r="D31" s="3495">
        <v>0</v>
      </c>
      <c r="E31" s="3499">
        <v>1</v>
      </c>
      <c r="F31" s="4368">
        <f>SUM(D31:E31)</f>
        <v>1</v>
      </c>
      <c r="G31" s="3495"/>
      <c r="H31" s="3499"/>
      <c r="I31" s="4368"/>
      <c r="J31" s="3495"/>
      <c r="K31" s="3499"/>
      <c r="L31" s="4368">
        <f t="shared" si="7"/>
        <v>0</v>
      </c>
      <c r="M31" s="3495"/>
      <c r="N31" s="3499"/>
      <c r="O31" s="4368">
        <f t="shared" si="8"/>
        <v>0</v>
      </c>
    </row>
    <row r="32" spans="1:15" x14ac:dyDescent="0.25">
      <c r="A32" s="7045"/>
      <c r="B32" s="7033"/>
      <c r="C32" s="4613" t="s">
        <v>85</v>
      </c>
      <c r="D32" s="3495"/>
      <c r="E32" s="3499"/>
      <c r="F32" s="4368"/>
      <c r="G32" s="3495"/>
      <c r="H32" s="3499">
        <v>1</v>
      </c>
      <c r="I32" s="4368">
        <f>SUM(G32:H32)</f>
        <v>1</v>
      </c>
      <c r="J32" s="3495"/>
      <c r="K32" s="3499"/>
      <c r="L32" s="4368">
        <f t="shared" si="7"/>
        <v>0</v>
      </c>
      <c r="M32" s="3495">
        <v>1</v>
      </c>
      <c r="N32" s="3499">
        <v>1</v>
      </c>
      <c r="O32" s="4368">
        <f t="shared" si="8"/>
        <v>2</v>
      </c>
    </row>
    <row r="33" spans="1:15" x14ac:dyDescent="0.25">
      <c r="A33" s="7045"/>
      <c r="B33" s="7033"/>
      <c r="C33" s="4612" t="s">
        <v>83</v>
      </c>
      <c r="D33" s="3495"/>
      <c r="E33" s="3499"/>
      <c r="F33" s="4368"/>
      <c r="G33" s="3495"/>
      <c r="H33" s="3499">
        <v>1</v>
      </c>
      <c r="I33" s="4368">
        <f>SUM(G33:H33)</f>
        <v>1</v>
      </c>
      <c r="J33" s="3495">
        <v>1</v>
      </c>
      <c r="K33" s="3499">
        <v>1</v>
      </c>
      <c r="L33" s="4368">
        <f t="shared" si="7"/>
        <v>2</v>
      </c>
      <c r="M33" s="3495"/>
      <c r="N33" s="3499">
        <v>1</v>
      </c>
      <c r="O33" s="4368">
        <f t="shared" si="8"/>
        <v>1</v>
      </c>
    </row>
    <row r="34" spans="1:15" x14ac:dyDescent="0.25">
      <c r="A34" s="7045"/>
      <c r="B34" s="7034"/>
      <c r="C34" s="4612" t="s">
        <v>86</v>
      </c>
      <c r="D34" s="3495"/>
      <c r="E34" s="3499"/>
      <c r="F34" s="4368"/>
      <c r="G34" s="3495">
        <v>2</v>
      </c>
      <c r="H34" s="3499"/>
      <c r="I34" s="4368">
        <f>SUM(G34:H34)</f>
        <v>2</v>
      </c>
      <c r="J34" s="3495">
        <v>1</v>
      </c>
      <c r="K34" s="3499">
        <v>2</v>
      </c>
      <c r="L34" s="4368">
        <f t="shared" si="7"/>
        <v>3</v>
      </c>
      <c r="M34" s="3495"/>
      <c r="N34" s="3499"/>
      <c r="O34" s="4368">
        <f t="shared" si="8"/>
        <v>0</v>
      </c>
    </row>
    <row r="35" spans="1:15" x14ac:dyDescent="0.25">
      <c r="A35" s="7045"/>
      <c r="B35" s="7053" t="s">
        <v>11</v>
      </c>
      <c r="C35" s="4997" t="s">
        <v>87</v>
      </c>
      <c r="D35" s="3495"/>
      <c r="E35" s="3499"/>
      <c r="F35" s="4368"/>
      <c r="G35" s="3495">
        <v>1</v>
      </c>
      <c r="H35" s="3499"/>
      <c r="I35" s="4368">
        <f>SUM(G35:H35)</f>
        <v>1</v>
      </c>
      <c r="J35" s="3495"/>
      <c r="K35" s="3499"/>
      <c r="L35" s="4368">
        <f t="shared" si="7"/>
        <v>0</v>
      </c>
      <c r="M35" s="3495">
        <v>1</v>
      </c>
      <c r="N35" s="3499"/>
      <c r="O35" s="4368">
        <f t="shared" si="8"/>
        <v>1</v>
      </c>
    </row>
    <row r="36" spans="1:15" x14ac:dyDescent="0.25">
      <c r="A36" s="7045"/>
      <c r="B36" s="7042"/>
      <c r="C36" s="4628" t="s">
        <v>1449</v>
      </c>
      <c r="D36" s="3495"/>
      <c r="E36" s="3499"/>
      <c r="F36" s="4368"/>
      <c r="G36" s="3495"/>
      <c r="H36" s="3499">
        <v>1</v>
      </c>
      <c r="I36" s="4368">
        <f>SUM(G36:H36)</f>
        <v>1</v>
      </c>
      <c r="J36" s="3495"/>
      <c r="K36" s="3499"/>
      <c r="L36" s="4368">
        <f t="shared" si="7"/>
        <v>0</v>
      </c>
      <c r="M36" s="3495">
        <v>1</v>
      </c>
      <c r="N36" s="3499"/>
      <c r="O36" s="4368">
        <f t="shared" si="8"/>
        <v>1</v>
      </c>
    </row>
    <row r="37" spans="1:15" x14ac:dyDescent="0.25">
      <c r="A37" s="7045"/>
      <c r="B37" s="7042"/>
      <c r="C37" s="4628" t="s">
        <v>1661</v>
      </c>
      <c r="D37" s="3495"/>
      <c r="E37" s="3499"/>
      <c r="F37" s="4368"/>
      <c r="G37" s="3495"/>
      <c r="H37" s="3499"/>
      <c r="I37" s="4368"/>
      <c r="J37" s="3495"/>
      <c r="K37" s="3499"/>
      <c r="L37" s="4368"/>
      <c r="M37" s="3495">
        <v>2</v>
      </c>
      <c r="N37" s="3499"/>
      <c r="O37" s="4368">
        <f t="shared" si="8"/>
        <v>2</v>
      </c>
    </row>
    <row r="38" spans="1:15" x14ac:dyDescent="0.25">
      <c r="A38" s="7045"/>
      <c r="B38" s="7043"/>
      <c r="C38" s="4628" t="s">
        <v>841</v>
      </c>
      <c r="D38" s="3495"/>
      <c r="E38" s="3499"/>
      <c r="F38" s="4368"/>
      <c r="G38" s="3495"/>
      <c r="H38" s="3499"/>
      <c r="I38" s="4368"/>
      <c r="J38" s="3495">
        <v>1</v>
      </c>
      <c r="K38" s="3499"/>
      <c r="L38" s="4368">
        <f t="shared" si="7"/>
        <v>1</v>
      </c>
      <c r="M38" s="3495"/>
      <c r="N38" s="3499">
        <v>1</v>
      </c>
      <c r="O38" s="4368">
        <f t="shared" si="8"/>
        <v>1</v>
      </c>
    </row>
    <row r="39" spans="1:15" x14ac:dyDescent="0.25">
      <c r="A39" s="7046"/>
      <c r="B39" s="7063" t="s">
        <v>444</v>
      </c>
      <c r="C39" s="7064"/>
      <c r="D39" s="5012">
        <f>SUM(D23:D36)</f>
        <v>1</v>
      </c>
      <c r="E39" s="5013">
        <f>SUM(E23:E36)</f>
        <v>1</v>
      </c>
      <c r="F39" s="5014">
        <f>SUM(F23:F36)</f>
        <v>2</v>
      </c>
      <c r="G39" s="5012">
        <f>SUM(G27:G36)</f>
        <v>5</v>
      </c>
      <c r="H39" s="5013">
        <f>SUM(H27:H36)</f>
        <v>5</v>
      </c>
      <c r="I39" s="5014">
        <f>SUM(I27:I36)</f>
        <v>10</v>
      </c>
      <c r="J39" s="5012">
        <f t="shared" ref="J39:O39" si="9">SUM(J23:J38)</f>
        <v>4</v>
      </c>
      <c r="K39" s="5013">
        <f t="shared" si="9"/>
        <v>3</v>
      </c>
      <c r="L39" s="5014">
        <f t="shared" si="9"/>
        <v>7</v>
      </c>
      <c r="M39" s="5012">
        <f t="shared" si="9"/>
        <v>7</v>
      </c>
      <c r="N39" s="5013">
        <f t="shared" si="9"/>
        <v>5</v>
      </c>
      <c r="O39" s="5014">
        <f t="shared" si="9"/>
        <v>12</v>
      </c>
    </row>
    <row r="40" spans="1:15" x14ac:dyDescent="0.25">
      <c r="A40" s="7047" t="s">
        <v>163</v>
      </c>
      <c r="B40" s="7032" t="s">
        <v>6</v>
      </c>
      <c r="C40" s="4611" t="s">
        <v>416</v>
      </c>
      <c r="D40" s="3511"/>
      <c r="E40" s="3513"/>
      <c r="F40" s="3530"/>
      <c r="G40" s="3511">
        <v>2</v>
      </c>
      <c r="H40" s="3513">
        <v>6</v>
      </c>
      <c r="I40" s="3530">
        <f>SUM(G40:H40)</f>
        <v>8</v>
      </c>
      <c r="J40" s="3511"/>
      <c r="K40" s="3513"/>
      <c r="L40" s="3530">
        <f>SUM(J40:K40)</f>
        <v>0</v>
      </c>
      <c r="M40" s="3511">
        <v>4</v>
      </c>
      <c r="N40" s="3513">
        <v>1</v>
      </c>
      <c r="O40" s="4368">
        <f t="shared" ref="O40:O53" si="10">SUM(M40:N40)</f>
        <v>5</v>
      </c>
    </row>
    <row r="41" spans="1:15" x14ac:dyDescent="0.25">
      <c r="A41" s="7048"/>
      <c r="B41" s="7033"/>
      <c r="C41" s="4613" t="s">
        <v>389</v>
      </c>
      <c r="D41" s="3495">
        <v>0</v>
      </c>
      <c r="E41" s="3499">
        <v>2</v>
      </c>
      <c r="F41" s="4368">
        <f>SUM(D41:E41)</f>
        <v>2</v>
      </c>
      <c r="G41" s="3495"/>
      <c r="H41" s="3499"/>
      <c r="I41" s="4368"/>
      <c r="J41" s="3495"/>
      <c r="K41" s="3499"/>
      <c r="L41" s="4368"/>
      <c r="M41" s="3495"/>
      <c r="N41" s="3499"/>
      <c r="O41" s="4368">
        <f t="shared" si="10"/>
        <v>0</v>
      </c>
    </row>
    <row r="42" spans="1:15" x14ac:dyDescent="0.25">
      <c r="A42" s="7048"/>
      <c r="B42" s="7033"/>
      <c r="C42" s="4613" t="s">
        <v>90</v>
      </c>
      <c r="D42" s="3495"/>
      <c r="E42" s="3499"/>
      <c r="F42" s="4368"/>
      <c r="G42" s="3495"/>
      <c r="H42" s="3499">
        <v>1</v>
      </c>
      <c r="I42" s="4368">
        <f t="shared" ref="I42:I52" si="11">SUM(G42:H42)</f>
        <v>1</v>
      </c>
      <c r="J42" s="3495"/>
      <c r="K42" s="3499">
        <v>1</v>
      </c>
      <c r="L42" s="4368">
        <f t="shared" ref="L42:L53" si="12">SUM(J42:K42)</f>
        <v>1</v>
      </c>
      <c r="M42" s="3495"/>
      <c r="N42" s="3499"/>
      <c r="O42" s="4368">
        <f t="shared" si="10"/>
        <v>0</v>
      </c>
    </row>
    <row r="43" spans="1:15" x14ac:dyDescent="0.25">
      <c r="A43" s="7048"/>
      <c r="B43" s="7033"/>
      <c r="C43" s="5420" t="s">
        <v>1662</v>
      </c>
      <c r="D43" s="3495"/>
      <c r="E43" s="3499"/>
      <c r="F43" s="4368"/>
      <c r="G43" s="3495"/>
      <c r="H43" s="3499"/>
      <c r="I43" s="4368"/>
      <c r="J43" s="3495"/>
      <c r="K43" s="3499"/>
      <c r="L43" s="4368"/>
      <c r="M43" s="3495">
        <v>1</v>
      </c>
      <c r="N43" s="3499"/>
      <c r="O43" s="4368">
        <f t="shared" si="10"/>
        <v>1</v>
      </c>
    </row>
    <row r="44" spans="1:15" x14ac:dyDescent="0.25">
      <c r="A44" s="7048"/>
      <c r="B44" s="7033"/>
      <c r="C44" s="4613" t="s">
        <v>19</v>
      </c>
      <c r="D44" s="3495"/>
      <c r="E44" s="3499"/>
      <c r="F44" s="4368"/>
      <c r="G44" s="3495"/>
      <c r="H44" s="3499"/>
      <c r="I44" s="4368"/>
      <c r="J44" s="3495"/>
      <c r="K44" s="3499">
        <v>1</v>
      </c>
      <c r="L44" s="4368">
        <f t="shared" si="12"/>
        <v>1</v>
      </c>
      <c r="M44" s="3495"/>
      <c r="N44" s="3499">
        <v>1</v>
      </c>
      <c r="O44" s="4368">
        <f t="shared" si="10"/>
        <v>1</v>
      </c>
    </row>
    <row r="45" spans="1:15" x14ac:dyDescent="0.25">
      <c r="A45" s="7048"/>
      <c r="B45" s="7033"/>
      <c r="C45" s="4613" t="s">
        <v>143</v>
      </c>
      <c r="D45" s="3495"/>
      <c r="E45" s="3499"/>
      <c r="F45" s="4368"/>
      <c r="G45" s="3495">
        <v>1</v>
      </c>
      <c r="H45" s="3499"/>
      <c r="I45" s="4368">
        <f t="shared" si="11"/>
        <v>1</v>
      </c>
      <c r="J45" s="3495"/>
      <c r="K45" s="3499"/>
      <c r="L45" s="4368">
        <f t="shared" si="12"/>
        <v>0</v>
      </c>
      <c r="M45" s="3495"/>
      <c r="N45" s="3499"/>
      <c r="O45" s="4368">
        <f t="shared" si="10"/>
        <v>0</v>
      </c>
    </row>
    <row r="46" spans="1:15" x14ac:dyDescent="0.25">
      <c r="A46" s="7048"/>
      <c r="B46" s="7034"/>
      <c r="C46" s="4613" t="s">
        <v>20</v>
      </c>
      <c r="D46" s="3495"/>
      <c r="E46" s="3499"/>
      <c r="F46" s="4368"/>
      <c r="G46" s="3495"/>
      <c r="H46" s="3499">
        <v>1</v>
      </c>
      <c r="I46" s="4368">
        <f t="shared" si="11"/>
        <v>1</v>
      </c>
      <c r="J46" s="3495"/>
      <c r="K46" s="3499"/>
      <c r="L46" s="4368">
        <f t="shared" si="12"/>
        <v>0</v>
      </c>
      <c r="M46" s="3495">
        <v>1</v>
      </c>
      <c r="N46" s="3499">
        <v>1</v>
      </c>
      <c r="O46" s="4368">
        <f t="shared" si="10"/>
        <v>2</v>
      </c>
    </row>
    <row r="47" spans="1:15" x14ac:dyDescent="0.25">
      <c r="A47" s="7048"/>
      <c r="B47" s="7053" t="s">
        <v>11</v>
      </c>
      <c r="C47" s="4999" t="s">
        <v>92</v>
      </c>
      <c r="D47" s="3495"/>
      <c r="E47" s="3499"/>
      <c r="F47" s="4368"/>
      <c r="G47" s="3495"/>
      <c r="H47" s="3499"/>
      <c r="I47" s="4368"/>
      <c r="J47" s="3495"/>
      <c r="K47" s="3499">
        <v>1</v>
      </c>
      <c r="L47" s="4368">
        <f t="shared" si="12"/>
        <v>1</v>
      </c>
      <c r="M47" s="3495">
        <v>1</v>
      </c>
      <c r="N47" s="3499">
        <v>1</v>
      </c>
      <c r="O47" s="4368">
        <f t="shared" si="10"/>
        <v>2</v>
      </c>
    </row>
    <row r="48" spans="1:15" x14ac:dyDescent="0.25">
      <c r="A48" s="7048"/>
      <c r="B48" s="7042"/>
      <c r="C48" s="5420" t="s">
        <v>94</v>
      </c>
      <c r="D48" s="3495"/>
      <c r="E48" s="3499"/>
      <c r="F48" s="4368"/>
      <c r="G48" s="3495"/>
      <c r="H48" s="3499"/>
      <c r="I48" s="4368"/>
      <c r="J48" s="3495"/>
      <c r="K48" s="3499"/>
      <c r="L48" s="4368"/>
      <c r="M48" s="3495">
        <v>3</v>
      </c>
      <c r="N48" s="3499">
        <v>1</v>
      </c>
      <c r="O48" s="4368">
        <f t="shared" si="10"/>
        <v>4</v>
      </c>
    </row>
    <row r="49" spans="1:15" x14ac:dyDescent="0.25">
      <c r="A49" s="7048"/>
      <c r="B49" s="7042"/>
      <c r="C49" s="5420" t="s">
        <v>96</v>
      </c>
      <c r="D49" s="3495"/>
      <c r="E49" s="3499"/>
      <c r="F49" s="4368"/>
      <c r="G49" s="3495"/>
      <c r="H49" s="3499"/>
      <c r="I49" s="4368"/>
      <c r="J49" s="3495"/>
      <c r="K49" s="3499"/>
      <c r="L49" s="4368"/>
      <c r="M49" s="3495">
        <v>1</v>
      </c>
      <c r="N49" s="3499">
        <v>1</v>
      </c>
      <c r="O49" s="4368">
        <f t="shared" si="10"/>
        <v>2</v>
      </c>
    </row>
    <row r="50" spans="1:15" x14ac:dyDescent="0.25">
      <c r="A50" s="7048"/>
      <c r="B50" s="7043"/>
      <c r="C50" s="4612" t="s">
        <v>581</v>
      </c>
      <c r="D50" s="3495"/>
      <c r="E50" s="3499"/>
      <c r="F50" s="4368"/>
      <c r="G50" s="3495"/>
      <c r="H50" s="3499">
        <v>1</v>
      </c>
      <c r="I50" s="4368">
        <f t="shared" si="11"/>
        <v>1</v>
      </c>
      <c r="J50" s="3495"/>
      <c r="K50" s="3499"/>
      <c r="L50" s="4368">
        <f t="shared" si="12"/>
        <v>0</v>
      </c>
      <c r="M50" s="3495"/>
      <c r="N50" s="3499"/>
      <c r="O50" s="4368">
        <f t="shared" si="10"/>
        <v>0</v>
      </c>
    </row>
    <row r="51" spans="1:15" x14ac:dyDescent="0.25">
      <c r="A51" s="7048"/>
      <c r="B51" s="7053" t="s">
        <v>7</v>
      </c>
      <c r="C51" s="4997" t="s">
        <v>1</v>
      </c>
      <c r="D51" s="3495"/>
      <c r="E51" s="3499"/>
      <c r="F51" s="4368"/>
      <c r="G51" s="3495">
        <v>2</v>
      </c>
      <c r="H51" s="3499">
        <v>5</v>
      </c>
      <c r="I51" s="4368">
        <f t="shared" si="11"/>
        <v>7</v>
      </c>
      <c r="J51" s="3495">
        <v>4</v>
      </c>
      <c r="K51" s="3499"/>
      <c r="L51" s="4368">
        <f t="shared" si="12"/>
        <v>4</v>
      </c>
      <c r="M51" s="3495">
        <v>5</v>
      </c>
      <c r="N51" s="3499">
        <v>3</v>
      </c>
      <c r="O51" s="4368">
        <f t="shared" si="10"/>
        <v>8</v>
      </c>
    </row>
    <row r="52" spans="1:15" x14ac:dyDescent="0.25">
      <c r="A52" s="7048"/>
      <c r="B52" s="7042"/>
      <c r="C52" s="4628" t="s">
        <v>2</v>
      </c>
      <c r="D52" s="3495"/>
      <c r="E52" s="3499"/>
      <c r="F52" s="4368"/>
      <c r="G52" s="3495">
        <v>1</v>
      </c>
      <c r="H52" s="3499">
        <v>1</v>
      </c>
      <c r="I52" s="4368">
        <f t="shared" si="11"/>
        <v>2</v>
      </c>
      <c r="J52" s="3495"/>
      <c r="K52" s="3499"/>
      <c r="L52" s="4368">
        <f t="shared" si="12"/>
        <v>0</v>
      </c>
      <c r="M52" s="3495"/>
      <c r="N52" s="3499"/>
      <c r="O52" s="4368">
        <f t="shared" si="10"/>
        <v>0</v>
      </c>
    </row>
    <row r="53" spans="1:15" x14ac:dyDescent="0.25">
      <c r="A53" s="7048"/>
      <c r="B53" s="7043"/>
      <c r="C53" s="4628" t="s">
        <v>531</v>
      </c>
      <c r="D53" s="3495"/>
      <c r="E53" s="3499"/>
      <c r="F53" s="4368"/>
      <c r="G53" s="3495"/>
      <c r="H53" s="3499"/>
      <c r="I53" s="4368"/>
      <c r="J53" s="3495"/>
      <c r="K53" s="3499">
        <v>2</v>
      </c>
      <c r="L53" s="4368">
        <f t="shared" si="12"/>
        <v>2</v>
      </c>
      <c r="M53" s="3495"/>
      <c r="N53" s="3499"/>
      <c r="O53" s="4368">
        <f t="shared" si="10"/>
        <v>0</v>
      </c>
    </row>
    <row r="54" spans="1:15" x14ac:dyDescent="0.25">
      <c r="A54" s="7049"/>
      <c r="B54" s="7065" t="s">
        <v>444</v>
      </c>
      <c r="C54" s="7066"/>
      <c r="D54" s="5005">
        <f t="shared" ref="D54:I54" si="13">SUM(D40:D52)</f>
        <v>0</v>
      </c>
      <c r="E54" s="5015">
        <f t="shared" si="13"/>
        <v>2</v>
      </c>
      <c r="F54" s="5016">
        <f t="shared" si="13"/>
        <v>2</v>
      </c>
      <c r="G54" s="5005">
        <f t="shared" si="13"/>
        <v>6</v>
      </c>
      <c r="H54" s="5015">
        <f t="shared" si="13"/>
        <v>15</v>
      </c>
      <c r="I54" s="5016">
        <f t="shared" si="13"/>
        <v>21</v>
      </c>
      <c r="J54" s="5005">
        <f t="shared" ref="J54:O54" si="14">SUM(J40:J53)</f>
        <v>4</v>
      </c>
      <c r="K54" s="5015">
        <f t="shared" si="14"/>
        <v>5</v>
      </c>
      <c r="L54" s="5016">
        <f t="shared" si="14"/>
        <v>9</v>
      </c>
      <c r="M54" s="5394">
        <f t="shared" si="14"/>
        <v>16</v>
      </c>
      <c r="N54" s="5015">
        <f t="shared" si="14"/>
        <v>9</v>
      </c>
      <c r="O54" s="5016">
        <f t="shared" si="14"/>
        <v>25</v>
      </c>
    </row>
    <row r="55" spans="1:15" x14ac:dyDescent="0.25">
      <c r="A55" s="7067" t="s">
        <v>573</v>
      </c>
      <c r="B55" s="7068"/>
      <c r="C55" s="7069"/>
      <c r="D55" s="4608">
        <f>SUM(D16,D39,D54)</f>
        <v>2</v>
      </c>
      <c r="E55" s="4609">
        <f>SUM(E16,E39,E54)</f>
        <v>6</v>
      </c>
      <c r="F55" s="3486">
        <f>SUM(F16,F39,F54)</f>
        <v>8</v>
      </c>
      <c r="G55" s="4608">
        <f t="shared" ref="G55:L55" si="15">SUM(G54,G39,G22,G16)</f>
        <v>16</v>
      </c>
      <c r="H55" s="4609">
        <f t="shared" si="15"/>
        <v>27</v>
      </c>
      <c r="I55" s="3486">
        <f t="shared" si="15"/>
        <v>43</v>
      </c>
      <c r="J55" s="4953">
        <f t="shared" si="15"/>
        <v>17</v>
      </c>
      <c r="K55" s="4954">
        <f t="shared" si="15"/>
        <v>17</v>
      </c>
      <c r="L55" s="3486">
        <f t="shared" si="15"/>
        <v>34</v>
      </c>
      <c r="M55" s="5385">
        <f t="shared" ref="M55:O55" si="16">SUM(M54,M39,M22,M16)</f>
        <v>37</v>
      </c>
      <c r="N55" s="5386">
        <f t="shared" si="16"/>
        <v>21</v>
      </c>
      <c r="O55" s="3486">
        <f t="shared" si="16"/>
        <v>58</v>
      </c>
    </row>
    <row r="60" spans="1:15" ht="18.75" x14ac:dyDescent="0.3">
      <c r="A60" s="3704" t="s">
        <v>1532</v>
      </c>
    </row>
    <row r="62" spans="1:15" ht="30.75" customHeight="1" x14ac:dyDescent="0.25">
      <c r="A62" s="7054" t="s">
        <v>51</v>
      </c>
      <c r="B62" s="7054" t="s">
        <v>685</v>
      </c>
      <c r="C62" s="7054" t="s">
        <v>684</v>
      </c>
      <c r="D62" s="7038">
        <v>2014</v>
      </c>
      <c r="E62" s="7039"/>
      <c r="F62" s="7040"/>
      <c r="G62" s="7038">
        <v>2015</v>
      </c>
      <c r="H62" s="7039"/>
      <c r="I62" s="7040"/>
      <c r="J62" s="7077" t="s">
        <v>1567</v>
      </c>
      <c r="K62" s="7078"/>
      <c r="L62" s="7079"/>
      <c r="M62" s="7077" t="s">
        <v>1659</v>
      </c>
      <c r="N62" s="7078"/>
      <c r="O62" s="7079"/>
    </row>
    <row r="63" spans="1:15" x14ac:dyDescent="0.25">
      <c r="A63" s="7055"/>
      <c r="B63" s="7055"/>
      <c r="C63" s="7055"/>
      <c r="D63" s="4432" t="s">
        <v>658</v>
      </c>
      <c r="E63" s="4432" t="s">
        <v>659</v>
      </c>
      <c r="F63" s="3485" t="s">
        <v>160</v>
      </c>
      <c r="G63" s="4432" t="s">
        <v>658</v>
      </c>
      <c r="H63" s="4432" t="s">
        <v>659</v>
      </c>
      <c r="I63" s="3485" t="s">
        <v>160</v>
      </c>
      <c r="J63" s="4432" t="s">
        <v>658</v>
      </c>
      <c r="K63" s="4432" t="s">
        <v>659</v>
      </c>
      <c r="L63" s="3485" t="s">
        <v>160</v>
      </c>
      <c r="M63" s="4432" t="s">
        <v>658</v>
      </c>
      <c r="N63" s="4432" t="s">
        <v>659</v>
      </c>
      <c r="O63" s="3485" t="s">
        <v>160</v>
      </c>
    </row>
    <row r="64" spans="1:15" x14ac:dyDescent="0.25">
      <c r="A64" s="5407" t="s">
        <v>161</v>
      </c>
      <c r="B64" s="5408" t="s">
        <v>6</v>
      </c>
      <c r="C64" s="5418" t="s">
        <v>438</v>
      </c>
      <c r="D64" s="5409"/>
      <c r="E64" s="5410"/>
      <c r="F64" s="5408"/>
      <c r="G64" s="5409"/>
      <c r="H64" s="5410"/>
      <c r="I64" s="5408"/>
      <c r="J64" s="5409"/>
      <c r="K64" s="5410"/>
      <c r="L64" s="5408"/>
      <c r="M64" s="5409">
        <v>3</v>
      </c>
      <c r="N64" s="5410"/>
      <c r="O64" s="5408">
        <f>SUM(M64:N64)</f>
        <v>3</v>
      </c>
    </row>
    <row r="65" spans="1:15" x14ac:dyDescent="0.25">
      <c r="A65" s="5406"/>
      <c r="B65" s="7061" t="s">
        <v>444</v>
      </c>
      <c r="C65" s="7080"/>
      <c r="D65" s="5414"/>
      <c r="E65" s="5415"/>
      <c r="F65" s="5416"/>
      <c r="G65" s="5414"/>
      <c r="H65" s="5415"/>
      <c r="I65" s="5416"/>
      <c r="J65" s="5414"/>
      <c r="K65" s="5415"/>
      <c r="L65" s="5416"/>
      <c r="M65" s="5414">
        <f>SUM(M64)</f>
        <v>3</v>
      </c>
      <c r="N65" s="5415">
        <f>SUM(N64)</f>
        <v>0</v>
      </c>
      <c r="O65" s="5417">
        <f>SUM(O64)</f>
        <v>3</v>
      </c>
    </row>
    <row r="66" spans="1:15" x14ac:dyDescent="0.25">
      <c r="A66" s="7070" t="s">
        <v>162</v>
      </c>
      <c r="B66" s="7032" t="s">
        <v>6</v>
      </c>
      <c r="C66" s="4614" t="s">
        <v>84</v>
      </c>
      <c r="D66" s="3511">
        <v>1</v>
      </c>
      <c r="E66" s="3513"/>
      <c r="F66" s="3530">
        <f>SUM(D66:E66)</f>
        <v>1</v>
      </c>
      <c r="G66" s="4647"/>
      <c r="H66" s="4648"/>
      <c r="I66" s="3512"/>
      <c r="J66" s="4647"/>
      <c r="K66" s="4648"/>
      <c r="L66" s="5412"/>
      <c r="M66" s="4647"/>
      <c r="N66" s="4648"/>
      <c r="O66" s="5412"/>
    </row>
    <row r="67" spans="1:15" x14ac:dyDescent="0.25">
      <c r="A67" s="7045"/>
      <c r="B67" s="7033"/>
      <c r="C67" s="5031" t="s">
        <v>79</v>
      </c>
      <c r="D67" s="5026"/>
      <c r="E67" s="5027"/>
      <c r="F67" s="5006"/>
      <c r="G67" s="5028"/>
      <c r="H67" s="5029"/>
      <c r="I67" s="5030"/>
      <c r="J67" s="5028">
        <v>4</v>
      </c>
      <c r="K67" s="5029"/>
      <c r="L67" s="5411">
        <f>SUM(J67:K67)</f>
        <v>4</v>
      </c>
      <c r="M67" s="5028"/>
      <c r="N67" s="5029"/>
      <c r="O67" s="5411"/>
    </row>
    <row r="68" spans="1:15" x14ac:dyDescent="0.25">
      <c r="A68" s="7045"/>
      <c r="B68" s="7034"/>
      <c r="C68" s="4615" t="s">
        <v>1447</v>
      </c>
      <c r="D68" s="4641"/>
      <c r="E68" s="4642"/>
      <c r="F68" s="3531"/>
      <c r="G68" s="4641">
        <v>1</v>
      </c>
      <c r="H68" s="4642"/>
      <c r="I68" s="3531">
        <f>SUM(G68:H68)</f>
        <v>1</v>
      </c>
      <c r="J68" s="4641"/>
      <c r="K68" s="4642"/>
      <c r="L68" s="5413"/>
      <c r="M68" s="4641"/>
      <c r="N68" s="4642"/>
      <c r="O68" s="5413"/>
    </row>
    <row r="69" spans="1:15" x14ac:dyDescent="0.25">
      <c r="A69" s="7046"/>
      <c r="B69" s="7063" t="s">
        <v>444</v>
      </c>
      <c r="C69" s="7071"/>
      <c r="D69" s="4643">
        <f>SUM(D66)</f>
        <v>1</v>
      </c>
      <c r="E69" s="4644">
        <f>SUM(E66)</f>
        <v>0</v>
      </c>
      <c r="F69" s="3532">
        <f>SUM(F66)</f>
        <v>1</v>
      </c>
      <c r="G69" s="4643">
        <f>SUM(G68)</f>
        <v>1</v>
      </c>
      <c r="H69" s="4644">
        <f>SUM(H68)</f>
        <v>0</v>
      </c>
      <c r="I69" s="3532">
        <f>SUM(I68)</f>
        <v>1</v>
      </c>
      <c r="J69" s="4643">
        <f t="shared" ref="J69:O69" si="17">SUM(J66:J68)</f>
        <v>4</v>
      </c>
      <c r="K69" s="4644">
        <f t="shared" si="17"/>
        <v>0</v>
      </c>
      <c r="L69" s="3532">
        <f t="shared" si="17"/>
        <v>4</v>
      </c>
      <c r="M69" s="4643">
        <f t="shared" si="17"/>
        <v>0</v>
      </c>
      <c r="N69" s="4644">
        <f t="shared" si="17"/>
        <v>0</v>
      </c>
      <c r="O69" s="3532">
        <f t="shared" si="17"/>
        <v>0</v>
      </c>
    </row>
    <row r="70" spans="1:15" x14ac:dyDescent="0.25">
      <c r="A70" s="7072" t="s">
        <v>163</v>
      </c>
      <c r="B70" s="6842" t="s">
        <v>6</v>
      </c>
      <c r="C70" s="4628" t="s">
        <v>389</v>
      </c>
      <c r="D70" s="3495">
        <v>2</v>
      </c>
      <c r="E70" s="3499"/>
      <c r="F70" s="4368">
        <f>SUM(D70:E70)</f>
        <v>2</v>
      </c>
      <c r="G70" s="3495"/>
      <c r="H70" s="3499"/>
      <c r="I70" s="4368"/>
      <c r="J70" s="3495"/>
      <c r="K70" s="3499"/>
      <c r="L70" s="4368"/>
      <c r="M70" s="3495"/>
      <c r="N70" s="3499"/>
      <c r="O70" s="4368"/>
    </row>
    <row r="71" spans="1:15" x14ac:dyDescent="0.25">
      <c r="A71" s="7048"/>
      <c r="B71" s="7034"/>
      <c r="C71" s="4628" t="s">
        <v>416</v>
      </c>
      <c r="D71" s="3495"/>
      <c r="E71" s="3499"/>
      <c r="F71" s="4368"/>
      <c r="G71" s="3495"/>
      <c r="H71" s="3499"/>
      <c r="I71" s="4368"/>
      <c r="J71" s="4992"/>
      <c r="K71" s="4993">
        <v>1</v>
      </c>
      <c r="L71" s="4994">
        <f>SUM(J71:K71)</f>
        <v>1</v>
      </c>
      <c r="M71" s="4992"/>
      <c r="N71" s="4993"/>
      <c r="O71" s="4994"/>
    </row>
    <row r="72" spans="1:15" x14ac:dyDescent="0.25">
      <c r="A72" s="7049"/>
      <c r="B72" s="7065" t="s">
        <v>444</v>
      </c>
      <c r="C72" s="7065"/>
      <c r="D72" s="4645">
        <f>SUM(D70)</f>
        <v>2</v>
      </c>
      <c r="E72" s="4646">
        <f>SUM(E70)</f>
        <v>0</v>
      </c>
      <c r="F72" s="3533">
        <f>SUM(F70)</f>
        <v>2</v>
      </c>
      <c r="G72" s="4610"/>
      <c r="H72" s="4649"/>
      <c r="I72" s="4366"/>
      <c r="J72" s="4645">
        <f t="shared" ref="J72:O72" si="18">SUM(J70:J71)</f>
        <v>0</v>
      </c>
      <c r="K72" s="5000">
        <f t="shared" si="18"/>
        <v>1</v>
      </c>
      <c r="L72" s="5001">
        <f t="shared" si="18"/>
        <v>1</v>
      </c>
      <c r="M72" s="4645">
        <f t="shared" si="18"/>
        <v>0</v>
      </c>
      <c r="N72" s="5000">
        <f t="shared" si="18"/>
        <v>0</v>
      </c>
      <c r="O72" s="5001">
        <f t="shared" si="18"/>
        <v>0</v>
      </c>
    </row>
    <row r="73" spans="1:15" x14ac:dyDescent="0.25">
      <c r="A73" s="7058" t="s">
        <v>573</v>
      </c>
      <c r="B73" s="7059"/>
      <c r="C73" s="7060"/>
      <c r="D73" s="4608">
        <f>SUM(D69,D72)</f>
        <v>3</v>
      </c>
      <c r="E73" s="4609">
        <f>SUM(E69,E72)</f>
        <v>0</v>
      </c>
      <c r="F73" s="3486">
        <f>SUM(F69,F72)</f>
        <v>3</v>
      </c>
      <c r="G73" s="4608">
        <f>SUM(G69)</f>
        <v>1</v>
      </c>
      <c r="H73" s="4609">
        <f>SUM(H69)</f>
        <v>0</v>
      </c>
      <c r="I73" s="3486">
        <f>SUM(I69)</f>
        <v>1</v>
      </c>
      <c r="J73" s="4953">
        <f>SUM(J72,J69)</f>
        <v>4</v>
      </c>
      <c r="K73" s="4954">
        <f>SUM(K72,K69)</f>
        <v>1</v>
      </c>
      <c r="L73" s="3486">
        <f>SUM(L69,L72)</f>
        <v>5</v>
      </c>
      <c r="M73" s="5385">
        <f>SUM(M65,M69,M72)</f>
        <v>3</v>
      </c>
      <c r="N73" s="5386">
        <f t="shared" ref="N73:O73" si="19">SUM(N65,N69,N72)</f>
        <v>0</v>
      </c>
      <c r="O73" s="3486">
        <f t="shared" si="19"/>
        <v>3</v>
      </c>
    </row>
  </sheetData>
  <sheetProtection algorithmName="SHA-512" hashValue="MijJZyHoWO9L4tgF9QYkbCZhIS9xRh9GhQG55AokyHuw7e67vHonU7m0wnVTUiJRRsSX3GsHn8wohfSlbUhVOg==" saltValue="bINZ+KClInBY6Dr0at0bcA==" spinCount="100000" sheet="1" objects="1" scenarios="1"/>
  <mergeCells count="42">
    <mergeCell ref="M5:O5"/>
    <mergeCell ref="M62:O62"/>
    <mergeCell ref="B65:C65"/>
    <mergeCell ref="J5:L5"/>
    <mergeCell ref="J62:L62"/>
    <mergeCell ref="B47:B50"/>
    <mergeCell ref="B51:B53"/>
    <mergeCell ref="C5:C6"/>
    <mergeCell ref="G5:I5"/>
    <mergeCell ref="C62:C63"/>
    <mergeCell ref="A5:A6"/>
    <mergeCell ref="B5:B6"/>
    <mergeCell ref="D5:F5"/>
    <mergeCell ref="G62:I62"/>
    <mergeCell ref="A73:C73"/>
    <mergeCell ref="B16:C16"/>
    <mergeCell ref="B39:C39"/>
    <mergeCell ref="B54:C54"/>
    <mergeCell ref="A55:C55"/>
    <mergeCell ref="A66:A69"/>
    <mergeCell ref="B69:C69"/>
    <mergeCell ref="A70:A72"/>
    <mergeCell ref="B72:C72"/>
    <mergeCell ref="B22:C22"/>
    <mergeCell ref="A62:A63"/>
    <mergeCell ref="B62:B63"/>
    <mergeCell ref="B66:B68"/>
    <mergeCell ref="A17:A22"/>
    <mergeCell ref="B70:B71"/>
    <mergeCell ref="D62:F62"/>
    <mergeCell ref="B13:B15"/>
    <mergeCell ref="A23:A39"/>
    <mergeCell ref="B23:B27"/>
    <mergeCell ref="B28:B34"/>
    <mergeCell ref="B40:B46"/>
    <mergeCell ref="A40:A54"/>
    <mergeCell ref="A7:A16"/>
    <mergeCell ref="B7:B9"/>
    <mergeCell ref="B17:B18"/>
    <mergeCell ref="B20:B21"/>
    <mergeCell ref="B35:B38"/>
    <mergeCell ref="B10:B12"/>
  </mergeCells>
  <printOptions horizontalCentered="1" verticalCentered="1"/>
  <pageMargins left="0.74803149606299213" right="0.74803149606299213" top="0.39370078740157483" bottom="0.39370078740157483" header="0.51181102362204722" footer="0.51181102362204722"/>
  <pageSetup scale="58" orientation="landscape" horizontalDpi="4294967292" verticalDpi="4294967292" r:id="rId1"/>
  <ignoredErrors>
    <ignoredError sqref="F72 F69 I16 L16 L22 L39 O16 O39" formula="1"/>
  </ignoredErrors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L24"/>
  <sheetViews>
    <sheetView showGridLines="0" zoomScaleNormal="100" workbookViewId="0">
      <selection activeCell="G37" sqref="G37"/>
    </sheetView>
  </sheetViews>
  <sheetFormatPr baseColWidth="10" defaultRowHeight="12.75" x14ac:dyDescent="0.2"/>
  <cols>
    <col min="1" max="1" width="15.140625" customWidth="1"/>
    <col min="3" max="3" width="39" customWidth="1"/>
    <col min="4" max="4" width="8.85546875" customWidth="1"/>
    <col min="5" max="5" width="9.140625" customWidth="1"/>
    <col min="6" max="6" width="9.7109375" customWidth="1"/>
    <col min="7" max="9" width="11.42578125" customWidth="1"/>
    <col min="10" max="10" width="8.85546875" bestFit="1" customWidth="1"/>
    <col min="11" max="11" width="9.140625" bestFit="1" customWidth="1"/>
  </cols>
  <sheetData>
    <row r="1" spans="1:12" ht="18.75" x14ac:dyDescent="0.3">
      <c r="A1" s="3701" t="s">
        <v>1367</v>
      </c>
    </row>
    <row r="2" spans="1:12" ht="18.75" x14ac:dyDescent="0.3">
      <c r="A2" s="3701"/>
    </row>
    <row r="3" spans="1:12" ht="15" x14ac:dyDescent="0.25">
      <c r="A3" s="7081" t="s">
        <v>51</v>
      </c>
      <c r="B3" s="7081" t="s">
        <v>685</v>
      </c>
      <c r="C3" s="7081" t="s">
        <v>684</v>
      </c>
      <c r="D3" s="7108">
        <v>2015</v>
      </c>
      <c r="E3" s="7109"/>
      <c r="F3" s="7110"/>
      <c r="G3" s="7108">
        <v>2016</v>
      </c>
      <c r="H3" s="7109"/>
      <c r="I3" s="7110"/>
      <c r="J3" s="7108">
        <v>2017</v>
      </c>
      <c r="K3" s="7109"/>
      <c r="L3" s="7110"/>
    </row>
    <row r="4" spans="1:12" ht="15" x14ac:dyDescent="0.2">
      <c r="A4" s="7082"/>
      <c r="B4" s="7082"/>
      <c r="C4" s="7082"/>
      <c r="D4" s="4163" t="s">
        <v>658</v>
      </c>
      <c r="E4" s="4163" t="s">
        <v>659</v>
      </c>
      <c r="F4" s="4607" t="s">
        <v>160</v>
      </c>
      <c r="G4" s="4163" t="s">
        <v>658</v>
      </c>
      <c r="H4" s="4163" t="s">
        <v>659</v>
      </c>
      <c r="I4" s="4950" t="s">
        <v>160</v>
      </c>
      <c r="J4" s="4163" t="s">
        <v>658</v>
      </c>
      <c r="K4" s="4163" t="s">
        <v>659</v>
      </c>
      <c r="L4" s="5382" t="s">
        <v>160</v>
      </c>
    </row>
    <row r="5" spans="1:12" ht="15" x14ac:dyDescent="0.2">
      <c r="A5" s="7088" t="s">
        <v>3</v>
      </c>
      <c r="B5" s="4150" t="s">
        <v>5</v>
      </c>
      <c r="C5" s="4965" t="s">
        <v>1527</v>
      </c>
      <c r="D5" s="4629">
        <v>1</v>
      </c>
      <c r="E5" s="4630"/>
      <c r="F5" s="1478">
        <f>SUM(D5:E5)</f>
        <v>1</v>
      </c>
      <c r="G5" s="4629">
        <v>1</v>
      </c>
      <c r="H5" s="4630"/>
      <c r="I5" s="1478">
        <f>SUM(G5:H5)</f>
        <v>1</v>
      </c>
      <c r="J5" s="4629">
        <v>1</v>
      </c>
      <c r="K5" s="4630"/>
      <c r="L5" s="1478">
        <f>SUM(J5:K5)</f>
        <v>1</v>
      </c>
    </row>
    <row r="6" spans="1:12" ht="15" x14ac:dyDescent="0.2">
      <c r="A6" s="7089"/>
      <c r="B6" s="7095" t="s">
        <v>444</v>
      </c>
      <c r="C6" s="7096"/>
      <c r="D6" s="5424">
        <f t="shared" ref="D6:I6" si="0">SUM(D5)</f>
        <v>1</v>
      </c>
      <c r="E6" s="5425">
        <f t="shared" si="0"/>
        <v>0</v>
      </c>
      <c r="F6" s="1479">
        <f t="shared" si="0"/>
        <v>1</v>
      </c>
      <c r="G6" s="5424">
        <f t="shared" si="0"/>
        <v>1</v>
      </c>
      <c r="H6" s="5425">
        <f t="shared" si="0"/>
        <v>0</v>
      </c>
      <c r="I6" s="1479">
        <f t="shared" si="0"/>
        <v>1</v>
      </c>
      <c r="J6" s="5424">
        <f t="shared" ref="J6:L6" si="1">SUM(J5)</f>
        <v>1</v>
      </c>
      <c r="K6" s="5425">
        <f t="shared" si="1"/>
        <v>0</v>
      </c>
      <c r="L6" s="1479">
        <f t="shared" si="1"/>
        <v>1</v>
      </c>
    </row>
    <row r="7" spans="1:12" ht="15" x14ac:dyDescent="0.2">
      <c r="A7" s="7090" t="s">
        <v>8</v>
      </c>
      <c r="B7" s="5422" t="s">
        <v>6</v>
      </c>
      <c r="C7" s="4617" t="s">
        <v>1369</v>
      </c>
      <c r="D7" s="4632">
        <v>2</v>
      </c>
      <c r="E7" s="4633">
        <v>1</v>
      </c>
      <c r="F7" s="1419">
        <f t="shared" ref="F7:F21" si="2">SUM(D7:E7)</f>
        <v>3</v>
      </c>
      <c r="G7" s="4632">
        <v>1</v>
      </c>
      <c r="H7" s="4633">
        <v>1</v>
      </c>
      <c r="I7" s="1419">
        <f>SUM(G7:H7)</f>
        <v>2</v>
      </c>
      <c r="J7" s="4632"/>
      <c r="K7" s="4633">
        <v>1</v>
      </c>
      <c r="L7" s="1419">
        <f>SUM(J7:K7)</f>
        <v>1</v>
      </c>
    </row>
    <row r="8" spans="1:12" ht="15" x14ac:dyDescent="0.2">
      <c r="A8" s="7091"/>
      <c r="B8" s="7097" t="s">
        <v>444</v>
      </c>
      <c r="C8" s="7098"/>
      <c r="D8" s="5426">
        <f t="shared" ref="D8:L8" si="3">SUM(D7:D7)</f>
        <v>2</v>
      </c>
      <c r="E8" s="5427">
        <f t="shared" si="3"/>
        <v>1</v>
      </c>
      <c r="F8" s="5428">
        <f t="shared" si="3"/>
        <v>3</v>
      </c>
      <c r="G8" s="5426">
        <f t="shared" si="3"/>
        <v>1</v>
      </c>
      <c r="H8" s="5427">
        <f t="shared" si="3"/>
        <v>1</v>
      </c>
      <c r="I8" s="5428">
        <f t="shared" si="3"/>
        <v>2</v>
      </c>
      <c r="J8" s="5426">
        <f t="shared" si="3"/>
        <v>0</v>
      </c>
      <c r="K8" s="5427">
        <f t="shared" si="3"/>
        <v>1</v>
      </c>
      <c r="L8" s="5428">
        <f t="shared" si="3"/>
        <v>1</v>
      </c>
    </row>
    <row r="9" spans="1:12" ht="15" x14ac:dyDescent="0.2">
      <c r="A9" s="7092" t="s">
        <v>75</v>
      </c>
      <c r="B9" s="7101" t="s">
        <v>5</v>
      </c>
      <c r="C9" s="4619" t="s">
        <v>468</v>
      </c>
      <c r="D9" s="4632">
        <v>1</v>
      </c>
      <c r="E9" s="4633">
        <v>1</v>
      </c>
      <c r="F9" s="1419">
        <f t="shared" si="2"/>
        <v>2</v>
      </c>
      <c r="G9" s="4632"/>
      <c r="H9" s="4633">
        <v>1</v>
      </c>
      <c r="I9" s="1419">
        <f>SUM(G9:H9)</f>
        <v>1</v>
      </c>
      <c r="J9" s="4632"/>
      <c r="K9" s="4633"/>
      <c r="L9" s="1419">
        <f>SUM(J9:K9)</f>
        <v>0</v>
      </c>
    </row>
    <row r="10" spans="1:12" ht="15" x14ac:dyDescent="0.2">
      <c r="A10" s="7092"/>
      <c r="B10" s="7102"/>
      <c r="C10" s="4620" t="s">
        <v>463</v>
      </c>
      <c r="D10" s="4636"/>
      <c r="E10" s="4637">
        <v>2</v>
      </c>
      <c r="F10" s="1421">
        <f t="shared" si="2"/>
        <v>2</v>
      </c>
      <c r="G10" s="4636"/>
      <c r="H10" s="4637">
        <v>2</v>
      </c>
      <c r="I10" s="1421">
        <f>SUM(G10:H10)</f>
        <v>2</v>
      </c>
      <c r="J10" s="4636"/>
      <c r="K10" s="4637"/>
      <c r="L10" s="1421">
        <f>SUM(J10:K10)</f>
        <v>0</v>
      </c>
    </row>
    <row r="11" spans="1:12" ht="15" x14ac:dyDescent="0.2">
      <c r="A11" s="7092"/>
      <c r="B11" s="4147" t="s">
        <v>6</v>
      </c>
      <c r="C11" s="4621" t="s">
        <v>496</v>
      </c>
      <c r="D11" s="4636"/>
      <c r="E11" s="4637">
        <v>1</v>
      </c>
      <c r="F11" s="1421">
        <f>SUM(D11:E11)</f>
        <v>1</v>
      </c>
      <c r="G11" s="4636">
        <v>1</v>
      </c>
      <c r="H11" s="4637"/>
      <c r="I11" s="1421">
        <f>SUM(G11:H11)</f>
        <v>1</v>
      </c>
      <c r="J11" s="4636"/>
      <c r="K11" s="4637"/>
      <c r="L11" s="1421">
        <f>SUM(J11:K11)</f>
        <v>0</v>
      </c>
    </row>
    <row r="12" spans="1:12" ht="15" x14ac:dyDescent="0.2">
      <c r="A12" s="7092"/>
      <c r="B12" s="7103" t="s">
        <v>11</v>
      </c>
      <c r="C12" s="4622" t="s">
        <v>1378</v>
      </c>
      <c r="D12" s="4636"/>
      <c r="E12" s="4637">
        <v>1</v>
      </c>
      <c r="F12" s="1421">
        <f>SUM(D12:E12)</f>
        <v>1</v>
      </c>
      <c r="G12" s="4636"/>
      <c r="H12" s="4637">
        <v>1</v>
      </c>
      <c r="I12" s="1421">
        <f>SUM(G12:H12)</f>
        <v>1</v>
      </c>
      <c r="J12" s="4636"/>
      <c r="K12" s="4637"/>
      <c r="L12" s="1421">
        <f>SUM(J12:K12)</f>
        <v>0</v>
      </c>
    </row>
    <row r="13" spans="1:12" ht="15" x14ac:dyDescent="0.2">
      <c r="A13" s="7093"/>
      <c r="B13" s="7104"/>
      <c r="C13" s="4618" t="s">
        <v>1377</v>
      </c>
      <c r="D13" s="4634"/>
      <c r="E13" s="4635">
        <v>1</v>
      </c>
      <c r="F13" s="1426">
        <f>SUM(D13:E13)</f>
        <v>1</v>
      </c>
      <c r="G13" s="4634"/>
      <c r="H13" s="4635"/>
      <c r="I13" s="1426">
        <f>SUM(G13:H13)</f>
        <v>0</v>
      </c>
      <c r="J13" s="4634"/>
      <c r="K13" s="4635"/>
      <c r="L13" s="1426">
        <f>SUM(J13:K13)</f>
        <v>0</v>
      </c>
    </row>
    <row r="14" spans="1:12" ht="15" x14ac:dyDescent="0.2">
      <c r="A14" s="7094"/>
      <c r="B14" s="7099" t="s">
        <v>444</v>
      </c>
      <c r="C14" s="7100"/>
      <c r="D14" s="5431">
        <f t="shared" ref="D14:I14" si="4">SUM(D9:D13)</f>
        <v>1</v>
      </c>
      <c r="E14" s="5432">
        <f t="shared" si="4"/>
        <v>6</v>
      </c>
      <c r="F14" s="5400">
        <f t="shared" si="4"/>
        <v>7</v>
      </c>
      <c r="G14" s="5431">
        <f t="shared" si="4"/>
        <v>1</v>
      </c>
      <c r="H14" s="5432">
        <f t="shared" si="4"/>
        <v>4</v>
      </c>
      <c r="I14" s="5400">
        <f t="shared" si="4"/>
        <v>5</v>
      </c>
      <c r="J14" s="5431">
        <f t="shared" ref="J14:L14" si="5">SUM(J9:J13)</f>
        <v>0</v>
      </c>
      <c r="K14" s="5432">
        <f t="shared" si="5"/>
        <v>0</v>
      </c>
      <c r="L14" s="5400">
        <f t="shared" si="5"/>
        <v>0</v>
      </c>
    </row>
    <row r="15" spans="1:12" ht="15" x14ac:dyDescent="0.2">
      <c r="A15" s="7085" t="s">
        <v>10</v>
      </c>
      <c r="B15" s="7105" t="s">
        <v>6</v>
      </c>
      <c r="C15" s="4623" t="s">
        <v>1370</v>
      </c>
      <c r="D15" s="4632">
        <v>1</v>
      </c>
      <c r="E15" s="4633"/>
      <c r="F15" s="1419">
        <f t="shared" si="2"/>
        <v>1</v>
      </c>
      <c r="G15" s="4632">
        <v>1</v>
      </c>
      <c r="H15" s="4633"/>
      <c r="I15" s="1419">
        <f t="shared" ref="I15:I21" si="6">SUM(G15:H15)</f>
        <v>1</v>
      </c>
      <c r="J15" s="4632">
        <v>1</v>
      </c>
      <c r="K15" s="4633"/>
      <c r="L15" s="1419">
        <f t="shared" ref="L15:L21" si="7">SUM(J15:K15)</f>
        <v>1</v>
      </c>
    </row>
    <row r="16" spans="1:12" ht="15" x14ac:dyDescent="0.2">
      <c r="A16" s="7085"/>
      <c r="B16" s="7106"/>
      <c r="C16" s="4624" t="s">
        <v>1371</v>
      </c>
      <c r="D16" s="4636">
        <v>1</v>
      </c>
      <c r="E16" s="4637"/>
      <c r="F16" s="1421">
        <f t="shared" si="2"/>
        <v>1</v>
      </c>
      <c r="G16" s="4636">
        <v>1</v>
      </c>
      <c r="H16" s="4637"/>
      <c r="I16" s="1421">
        <f t="shared" si="6"/>
        <v>1</v>
      </c>
      <c r="J16" s="4636">
        <v>1</v>
      </c>
      <c r="K16" s="4637"/>
      <c r="L16" s="1421">
        <f t="shared" si="7"/>
        <v>1</v>
      </c>
    </row>
    <row r="17" spans="1:12" ht="15" x14ac:dyDescent="0.2">
      <c r="A17" s="7085"/>
      <c r="B17" s="7106"/>
      <c r="C17" s="4625" t="s">
        <v>1372</v>
      </c>
      <c r="D17" s="4636">
        <v>1</v>
      </c>
      <c r="E17" s="4637">
        <v>1</v>
      </c>
      <c r="F17" s="1421">
        <f t="shared" si="2"/>
        <v>2</v>
      </c>
      <c r="G17" s="4636"/>
      <c r="H17" s="4637">
        <v>1</v>
      </c>
      <c r="I17" s="1421">
        <f t="shared" si="6"/>
        <v>1</v>
      </c>
      <c r="J17" s="4636"/>
      <c r="K17" s="4637">
        <v>1</v>
      </c>
      <c r="L17" s="1421">
        <f t="shared" si="7"/>
        <v>1</v>
      </c>
    </row>
    <row r="18" spans="1:12" ht="15" x14ac:dyDescent="0.2">
      <c r="A18" s="7085"/>
      <c r="B18" s="7107"/>
      <c r="C18" s="4626" t="s">
        <v>1375</v>
      </c>
      <c r="D18" s="4636">
        <v>3</v>
      </c>
      <c r="E18" s="4637"/>
      <c r="F18" s="1421">
        <f t="shared" si="2"/>
        <v>3</v>
      </c>
      <c r="G18" s="4636">
        <v>2</v>
      </c>
      <c r="H18" s="4637">
        <v>1</v>
      </c>
      <c r="I18" s="1421">
        <f t="shared" si="6"/>
        <v>3</v>
      </c>
      <c r="J18" s="4636">
        <v>1</v>
      </c>
      <c r="K18" s="4637"/>
      <c r="L18" s="1421">
        <f t="shared" si="7"/>
        <v>1</v>
      </c>
    </row>
    <row r="19" spans="1:12" ht="15" x14ac:dyDescent="0.2">
      <c r="A19" s="7085"/>
      <c r="B19" s="7105" t="s">
        <v>11</v>
      </c>
      <c r="C19" s="4626" t="s">
        <v>1374</v>
      </c>
      <c r="D19" s="4636"/>
      <c r="E19" s="4637">
        <v>1</v>
      </c>
      <c r="F19" s="1421">
        <f t="shared" si="2"/>
        <v>1</v>
      </c>
      <c r="G19" s="4636"/>
      <c r="H19" s="4637">
        <v>1</v>
      </c>
      <c r="I19" s="1421">
        <f t="shared" si="6"/>
        <v>1</v>
      </c>
      <c r="J19" s="4636"/>
      <c r="K19" s="4637">
        <v>1</v>
      </c>
      <c r="L19" s="1421">
        <f t="shared" si="7"/>
        <v>1</v>
      </c>
    </row>
    <row r="20" spans="1:12" ht="15" x14ac:dyDescent="0.2">
      <c r="A20" s="7085"/>
      <c r="B20" s="7107"/>
      <c r="C20" s="4626" t="s">
        <v>1376</v>
      </c>
      <c r="D20" s="4636">
        <v>1</v>
      </c>
      <c r="E20" s="4637">
        <v>1</v>
      </c>
      <c r="F20" s="1421">
        <f t="shared" si="2"/>
        <v>2</v>
      </c>
      <c r="G20" s="4636">
        <v>1</v>
      </c>
      <c r="H20" s="4637">
        <v>1</v>
      </c>
      <c r="I20" s="1421">
        <f t="shared" si="6"/>
        <v>2</v>
      </c>
      <c r="J20" s="4636">
        <v>1</v>
      </c>
      <c r="K20" s="4637"/>
      <c r="L20" s="1421">
        <f t="shared" si="7"/>
        <v>1</v>
      </c>
    </row>
    <row r="21" spans="1:12" ht="15" x14ac:dyDescent="0.2">
      <c r="A21" s="7085"/>
      <c r="B21" s="4433" t="s">
        <v>7</v>
      </c>
      <c r="C21" s="4627" t="s">
        <v>1373</v>
      </c>
      <c r="D21" s="4634">
        <v>1</v>
      </c>
      <c r="E21" s="4635"/>
      <c r="F21" s="1426">
        <f t="shared" si="2"/>
        <v>1</v>
      </c>
      <c r="G21" s="4634">
        <v>1</v>
      </c>
      <c r="H21" s="4635"/>
      <c r="I21" s="1426">
        <f t="shared" si="6"/>
        <v>1</v>
      </c>
      <c r="J21" s="4634">
        <v>1</v>
      </c>
      <c r="K21" s="4635"/>
      <c r="L21" s="1426">
        <f t="shared" si="7"/>
        <v>1</v>
      </c>
    </row>
    <row r="22" spans="1:12" ht="15" x14ac:dyDescent="0.2">
      <c r="A22" s="7086"/>
      <c r="B22" s="7083" t="s">
        <v>444</v>
      </c>
      <c r="C22" s="7084"/>
      <c r="D22" s="5429">
        <f t="shared" ref="D22:I22" si="8">SUM(D15:D21)</f>
        <v>8</v>
      </c>
      <c r="E22" s="5430">
        <f t="shared" si="8"/>
        <v>3</v>
      </c>
      <c r="F22" s="5401">
        <f t="shared" si="8"/>
        <v>11</v>
      </c>
      <c r="G22" s="5429">
        <f t="shared" si="8"/>
        <v>6</v>
      </c>
      <c r="H22" s="5430">
        <f t="shared" si="8"/>
        <v>4</v>
      </c>
      <c r="I22" s="5401">
        <f t="shared" si="8"/>
        <v>10</v>
      </c>
      <c r="J22" s="5429">
        <f t="shared" ref="J22:L22" si="9">SUM(J15:J21)</f>
        <v>5</v>
      </c>
      <c r="K22" s="5430">
        <f t="shared" si="9"/>
        <v>2</v>
      </c>
      <c r="L22" s="5401">
        <f t="shared" si="9"/>
        <v>7</v>
      </c>
    </row>
    <row r="23" spans="1:12" ht="15" x14ac:dyDescent="0.2">
      <c r="A23" s="4148"/>
      <c r="B23" s="4148"/>
      <c r="C23" s="4149"/>
      <c r="D23" s="3923"/>
      <c r="E23" s="3923"/>
      <c r="G23" s="3923"/>
      <c r="H23" s="3923"/>
      <c r="J23" s="3923"/>
      <c r="K23" s="3923"/>
    </row>
    <row r="24" spans="1:12" ht="15" x14ac:dyDescent="0.2">
      <c r="A24" s="7087" t="s">
        <v>573</v>
      </c>
      <c r="B24" s="7087"/>
      <c r="C24" s="7087"/>
      <c r="D24" s="4638">
        <f t="shared" ref="D24:L24" si="10">SUM(D6,D8,D14,D22)</f>
        <v>12</v>
      </c>
      <c r="E24" s="4639">
        <f t="shared" si="10"/>
        <v>10</v>
      </c>
      <c r="F24" s="4060">
        <f t="shared" si="10"/>
        <v>22</v>
      </c>
      <c r="G24" s="4638">
        <f t="shared" si="10"/>
        <v>9</v>
      </c>
      <c r="H24" s="4639">
        <f t="shared" si="10"/>
        <v>9</v>
      </c>
      <c r="I24" s="4951">
        <f t="shared" si="10"/>
        <v>18</v>
      </c>
      <c r="J24" s="4638">
        <f t="shared" si="10"/>
        <v>6</v>
      </c>
      <c r="K24" s="4639">
        <f t="shared" si="10"/>
        <v>3</v>
      </c>
      <c r="L24" s="5383">
        <f t="shared" si="10"/>
        <v>9</v>
      </c>
    </row>
  </sheetData>
  <sheetProtection algorithmName="SHA-512" hashValue="imyFqkhPscwWRYqWvVMEKz5Zrq+B8EcC6it4WZLg/KMuBpylMoDXD9iFKqAfIl6c7UBk9D6qlNJYOmz3qxjnhg==" saltValue="3i+30z38ULh6t0jdvPpolA==" spinCount="100000" sheet="1" objects="1" scenarios="1"/>
  <mergeCells count="19">
    <mergeCell ref="J3:L3"/>
    <mergeCell ref="G3:I3"/>
    <mergeCell ref="D3:F3"/>
    <mergeCell ref="C3:C4"/>
    <mergeCell ref="B3:B4"/>
    <mergeCell ref="A3:A4"/>
    <mergeCell ref="B22:C22"/>
    <mergeCell ref="A15:A22"/>
    <mergeCell ref="A24:C24"/>
    <mergeCell ref="A5:A6"/>
    <mergeCell ref="A7:A8"/>
    <mergeCell ref="A9:A14"/>
    <mergeCell ref="B6:C6"/>
    <mergeCell ref="B8:C8"/>
    <mergeCell ref="B14:C14"/>
    <mergeCell ref="B9:B10"/>
    <mergeCell ref="B12:B13"/>
    <mergeCell ref="B15:B18"/>
    <mergeCell ref="B19:B2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landscape" r:id="rId1"/>
  <ignoredErrors>
    <ignoredError sqref="F6:L14" formula="1"/>
  </ignoredErrors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2CE"/>
  </sheetPr>
  <dimension ref="A1:L68"/>
  <sheetViews>
    <sheetView showGridLines="0" zoomScaleNormal="100" workbookViewId="0">
      <selection activeCell="O29" sqref="O29"/>
    </sheetView>
  </sheetViews>
  <sheetFormatPr baseColWidth="10" defaultRowHeight="12.75" x14ac:dyDescent="0.2"/>
  <cols>
    <col min="1" max="1" width="15" bestFit="1" customWidth="1"/>
    <col min="3" max="3" width="8.85546875" customWidth="1"/>
    <col min="4" max="4" width="9.140625" customWidth="1"/>
    <col min="5" max="5" width="7.7109375" customWidth="1"/>
    <col min="6" max="6" width="32.28515625" customWidth="1"/>
    <col min="7" max="7" width="8.85546875" customWidth="1"/>
    <col min="8" max="8" width="9.140625" customWidth="1"/>
    <col min="9" max="9" width="7.7109375" customWidth="1"/>
    <col min="10" max="10" width="8.85546875" bestFit="1" customWidth="1"/>
    <col min="11" max="11" width="9.140625" bestFit="1" customWidth="1"/>
    <col min="12" max="12" width="7.7109375" customWidth="1"/>
  </cols>
  <sheetData>
    <row r="1" spans="1:12" ht="18.75" x14ac:dyDescent="0.3">
      <c r="A1" s="3701" t="s">
        <v>1368</v>
      </c>
    </row>
    <row r="2" spans="1:12" ht="15" x14ac:dyDescent="0.25">
      <c r="A2" s="250"/>
      <c r="B2" s="250"/>
    </row>
    <row r="3" spans="1:12" ht="15" x14ac:dyDescent="0.25">
      <c r="A3" s="6038" t="s">
        <v>51</v>
      </c>
      <c r="B3" s="6038" t="s">
        <v>685</v>
      </c>
      <c r="C3" s="7113">
        <v>2015</v>
      </c>
      <c r="D3" s="7113"/>
      <c r="E3" s="7114"/>
      <c r="F3" s="6038" t="s">
        <v>1663</v>
      </c>
      <c r="G3" s="7113">
        <v>2016</v>
      </c>
      <c r="H3" s="7113"/>
      <c r="I3" s="7114"/>
      <c r="J3" s="7113">
        <v>2017</v>
      </c>
      <c r="K3" s="7113"/>
      <c r="L3" s="7114"/>
    </row>
    <row r="4" spans="1:12" ht="15" x14ac:dyDescent="0.2">
      <c r="A4" s="6038"/>
      <c r="B4" s="6038"/>
      <c r="C4" s="4163" t="s">
        <v>658</v>
      </c>
      <c r="D4" s="4163" t="s">
        <v>659</v>
      </c>
      <c r="E4" s="4059" t="s">
        <v>160</v>
      </c>
      <c r="F4" s="6038"/>
      <c r="G4" s="4163" t="s">
        <v>658</v>
      </c>
      <c r="H4" s="4163" t="s">
        <v>659</v>
      </c>
      <c r="I4" s="4911" t="s">
        <v>160</v>
      </c>
      <c r="J4" s="4163" t="s">
        <v>658</v>
      </c>
      <c r="K4" s="4163" t="s">
        <v>659</v>
      </c>
      <c r="L4" s="5382" t="s">
        <v>160</v>
      </c>
    </row>
    <row r="5" spans="1:12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</row>
    <row r="6" spans="1:12" ht="15" x14ac:dyDescent="0.25">
      <c r="A6" s="7115" t="s">
        <v>3</v>
      </c>
      <c r="B6" s="4257" t="s">
        <v>5</v>
      </c>
      <c r="C6" s="4632"/>
      <c r="D6" s="4633">
        <v>1</v>
      </c>
      <c r="E6" s="1419">
        <f>SUM(C6:D6)</f>
        <v>1</v>
      </c>
      <c r="F6" s="4940" t="s">
        <v>1514</v>
      </c>
      <c r="G6" s="4632"/>
      <c r="H6" s="4633">
        <v>1</v>
      </c>
      <c r="I6" s="1419">
        <f>SUM(G6:H6)</f>
        <v>1</v>
      </c>
      <c r="J6" s="4632"/>
      <c r="K6" s="4633"/>
      <c r="L6" s="1419">
        <f>SUM(J6:K6)</f>
        <v>0</v>
      </c>
    </row>
    <row r="7" spans="1:12" ht="15" x14ac:dyDescent="0.25">
      <c r="A7" s="7116"/>
      <c r="B7" s="4936" t="s">
        <v>6</v>
      </c>
      <c r="C7" s="4937"/>
      <c r="D7" s="4938"/>
      <c r="E7" s="4939"/>
      <c r="F7" s="4941" t="s">
        <v>459</v>
      </c>
      <c r="G7" s="4937">
        <v>1</v>
      </c>
      <c r="H7" s="4938"/>
      <c r="I7" s="4939"/>
      <c r="J7" s="4937"/>
      <c r="K7" s="4938"/>
      <c r="L7" s="4939"/>
    </row>
    <row r="8" spans="1:12" ht="15" x14ac:dyDescent="0.25">
      <c r="A8" s="7116"/>
      <c r="B8" s="4258" t="s">
        <v>7</v>
      </c>
      <c r="C8" s="4636"/>
      <c r="D8" s="4637">
        <v>2</v>
      </c>
      <c r="E8" s="1421">
        <f>SUM(C8:D8)</f>
        <v>2</v>
      </c>
      <c r="F8" s="4941" t="s">
        <v>1515</v>
      </c>
      <c r="G8" s="4636">
        <v>1</v>
      </c>
      <c r="H8" s="4637">
        <v>1</v>
      </c>
      <c r="I8" s="1421">
        <f>SUM(G8:H8)</f>
        <v>2</v>
      </c>
      <c r="J8" s="4636"/>
      <c r="K8" s="4637"/>
      <c r="L8" s="1421">
        <f>SUM(J8:K8)</f>
        <v>0</v>
      </c>
    </row>
    <row r="9" spans="1:12" ht="15" x14ac:dyDescent="0.25">
      <c r="A9" s="7117"/>
      <c r="B9" s="4259" t="s">
        <v>160</v>
      </c>
      <c r="C9" s="2943"/>
      <c r="D9" s="4640">
        <f>SUM(D6:D8)</f>
        <v>3</v>
      </c>
      <c r="E9" s="4260">
        <f>SUM(C9:D9)</f>
        <v>3</v>
      </c>
      <c r="F9" s="4935"/>
      <c r="G9" s="2943">
        <f>SUM(G6:G8)</f>
        <v>2</v>
      </c>
      <c r="H9" s="4640">
        <f>SUM(H6:H8)</f>
        <v>2</v>
      </c>
      <c r="I9" s="4260">
        <f>SUM(G9:H9)</f>
        <v>4</v>
      </c>
      <c r="J9" s="2943">
        <f>SUM(J6:J8)</f>
        <v>0</v>
      </c>
      <c r="K9" s="4640">
        <f>SUM(K6:K8)</f>
        <v>0</v>
      </c>
      <c r="L9" s="4260">
        <f>SUM(J9:K9)</f>
        <v>0</v>
      </c>
    </row>
    <row r="10" spans="1:12" ht="15" x14ac:dyDescent="0.25">
      <c r="A10" s="250"/>
      <c r="B10" s="250"/>
      <c r="C10" s="4631"/>
      <c r="D10" s="4631"/>
      <c r="E10" s="1788"/>
      <c r="F10" s="250"/>
      <c r="G10" s="4631"/>
      <c r="H10" s="4631"/>
      <c r="I10" s="1788"/>
      <c r="J10" s="4631"/>
      <c r="K10" s="4631"/>
      <c r="L10" s="1788"/>
    </row>
    <row r="11" spans="1:12" ht="15" x14ac:dyDescent="0.25">
      <c r="A11" s="7118" t="s">
        <v>8</v>
      </c>
      <c r="B11" s="4257" t="s">
        <v>6</v>
      </c>
      <c r="C11" s="4632"/>
      <c r="D11" s="4633">
        <v>1</v>
      </c>
      <c r="E11" s="1419">
        <f>SUM(C11:D11)</f>
        <v>1</v>
      </c>
      <c r="F11" s="4940" t="s">
        <v>496</v>
      </c>
      <c r="G11" s="4632">
        <v>1</v>
      </c>
      <c r="H11" s="4633">
        <v>1</v>
      </c>
      <c r="I11" s="1419">
        <f>SUM(G11:H11)</f>
        <v>2</v>
      </c>
      <c r="J11" s="4632">
        <v>1</v>
      </c>
      <c r="K11" s="4633"/>
      <c r="L11" s="1419">
        <f>SUM(J11:K11)</f>
        <v>1</v>
      </c>
    </row>
    <row r="12" spans="1:12" ht="15" x14ac:dyDescent="0.25">
      <c r="A12" s="7119"/>
      <c r="B12" s="4942"/>
      <c r="C12" s="4937"/>
      <c r="D12" s="4938"/>
      <c r="E12" s="4939"/>
      <c r="F12" s="4941" t="s">
        <v>1517</v>
      </c>
      <c r="G12" s="4937"/>
      <c r="H12" s="4938">
        <v>1</v>
      </c>
      <c r="I12" s="4939">
        <f>SUM(G12:H12)</f>
        <v>1</v>
      </c>
      <c r="J12" s="4937"/>
      <c r="K12" s="4938">
        <v>1</v>
      </c>
      <c r="L12" s="4939">
        <f>SUM(J12:K12)</f>
        <v>1</v>
      </c>
    </row>
    <row r="13" spans="1:12" ht="15" x14ac:dyDescent="0.25">
      <c r="A13" s="7119"/>
      <c r="B13" s="4942" t="s">
        <v>9</v>
      </c>
      <c r="C13" s="4636"/>
      <c r="D13" s="4637"/>
      <c r="E13" s="1421"/>
      <c r="F13" s="4941" t="s">
        <v>1518</v>
      </c>
      <c r="G13" s="4636">
        <v>1</v>
      </c>
      <c r="H13" s="4637"/>
      <c r="I13" s="4939">
        <f>SUM(G13:H13)</f>
        <v>1</v>
      </c>
      <c r="J13" s="4636">
        <v>1</v>
      </c>
      <c r="K13" s="4637"/>
      <c r="L13" s="4939">
        <f>SUM(J13:K13)</f>
        <v>1</v>
      </c>
    </row>
    <row r="14" spans="1:12" ht="15" x14ac:dyDescent="0.25">
      <c r="A14" s="7119"/>
      <c r="B14" s="4942"/>
      <c r="C14" s="328"/>
      <c r="D14" s="4943"/>
      <c r="E14" s="4913"/>
      <c r="F14" s="4941" t="s">
        <v>1513</v>
      </c>
      <c r="G14" s="328"/>
      <c r="H14" s="4943">
        <v>2</v>
      </c>
      <c r="I14" s="4939">
        <f>SUM(G14:H14)</f>
        <v>2</v>
      </c>
      <c r="J14" s="328"/>
      <c r="K14" s="4943">
        <v>1</v>
      </c>
      <c r="L14" s="4939">
        <f>SUM(J14:K14)</f>
        <v>1</v>
      </c>
    </row>
    <row r="15" spans="1:12" ht="15" x14ac:dyDescent="0.25">
      <c r="A15" s="7119"/>
      <c r="B15" s="4258" t="s">
        <v>74</v>
      </c>
      <c r="C15" s="4636"/>
      <c r="D15" s="4637"/>
      <c r="E15" s="1421"/>
      <c r="F15" s="4941" t="s">
        <v>1516</v>
      </c>
      <c r="G15" s="4636">
        <v>1</v>
      </c>
      <c r="H15" s="4637">
        <v>1</v>
      </c>
      <c r="I15" s="1421">
        <f>SUM(G15:H15)</f>
        <v>2</v>
      </c>
      <c r="J15" s="4636">
        <v>1</v>
      </c>
      <c r="K15" s="4637"/>
      <c r="L15" s="1421">
        <f>SUM(J15:K15)</f>
        <v>1</v>
      </c>
    </row>
    <row r="16" spans="1:12" ht="15" x14ac:dyDescent="0.25">
      <c r="A16" s="7120"/>
      <c r="B16" s="4259" t="s">
        <v>160</v>
      </c>
      <c r="C16" s="2943"/>
      <c r="D16" s="4640">
        <f>SUM(D11)</f>
        <v>1</v>
      </c>
      <c r="E16" s="4260">
        <f>SUM(C16:D16)</f>
        <v>1</v>
      </c>
      <c r="F16" s="4935"/>
      <c r="G16" s="2943">
        <f t="shared" ref="G16:L16" si="0">SUM(G11:G15)</f>
        <v>3</v>
      </c>
      <c r="H16" s="4640">
        <f t="shared" si="0"/>
        <v>5</v>
      </c>
      <c r="I16" s="4260">
        <f t="shared" si="0"/>
        <v>8</v>
      </c>
      <c r="J16" s="2943">
        <f t="shared" si="0"/>
        <v>3</v>
      </c>
      <c r="K16" s="4640">
        <f t="shared" si="0"/>
        <v>2</v>
      </c>
      <c r="L16" s="4260">
        <f t="shared" si="0"/>
        <v>5</v>
      </c>
    </row>
    <row r="17" spans="1:12" ht="15" x14ac:dyDescent="0.25">
      <c r="A17" s="250"/>
      <c r="B17" s="250"/>
      <c r="C17" s="4631"/>
      <c r="D17" s="4631"/>
      <c r="E17" s="1788"/>
      <c r="F17" s="250"/>
      <c r="G17" s="4631"/>
      <c r="H17" s="4631"/>
      <c r="I17" s="1788"/>
      <c r="J17" s="4631"/>
      <c r="K17" s="4631"/>
      <c r="L17" s="1788"/>
    </row>
    <row r="18" spans="1:12" ht="15" x14ac:dyDescent="0.25">
      <c r="A18" s="7124" t="s">
        <v>75</v>
      </c>
      <c r="B18" s="7121" t="s">
        <v>6</v>
      </c>
      <c r="C18" s="4632"/>
      <c r="D18" s="4633">
        <v>2</v>
      </c>
      <c r="E18" s="1419">
        <f>SUM(C18:D18)</f>
        <v>2</v>
      </c>
      <c r="F18" s="4940" t="s">
        <v>1519</v>
      </c>
      <c r="G18" s="4632"/>
      <c r="H18" s="4633">
        <v>1</v>
      </c>
      <c r="I18" s="1419">
        <f>SUM(G18:H18)</f>
        <v>1</v>
      </c>
      <c r="J18" s="4632"/>
      <c r="K18" s="4633"/>
      <c r="L18" s="1419">
        <f>SUM(J18:K18)</f>
        <v>0</v>
      </c>
    </row>
    <row r="19" spans="1:12" ht="15" x14ac:dyDescent="0.25">
      <c r="A19" s="7125"/>
      <c r="B19" s="7122"/>
      <c r="C19" s="4937"/>
      <c r="D19" s="4938"/>
      <c r="E19" s="4939"/>
      <c r="F19" s="4941" t="s">
        <v>458</v>
      </c>
      <c r="G19" s="4937"/>
      <c r="H19" s="4938">
        <v>1</v>
      </c>
      <c r="I19" s="4939">
        <f>SUM(G19:H19)</f>
        <v>1</v>
      </c>
      <c r="J19" s="4937"/>
      <c r="K19" s="4938"/>
      <c r="L19" s="4939">
        <f>SUM(J19:K19)</f>
        <v>0</v>
      </c>
    </row>
    <row r="20" spans="1:12" ht="15" x14ac:dyDescent="0.25">
      <c r="A20" s="7125"/>
      <c r="B20" s="7123"/>
      <c r="C20" s="4636"/>
      <c r="D20" s="4637"/>
      <c r="E20" s="1421"/>
      <c r="F20" s="4941" t="s">
        <v>459</v>
      </c>
      <c r="G20" s="4636">
        <v>1</v>
      </c>
      <c r="H20" s="4637"/>
      <c r="I20" s="4939">
        <f>SUM(G20:H20)</f>
        <v>1</v>
      </c>
      <c r="J20" s="4636"/>
      <c r="K20" s="4637"/>
      <c r="L20" s="4939">
        <f>SUM(J20:K20)</f>
        <v>0</v>
      </c>
    </row>
    <row r="21" spans="1:12" ht="15" x14ac:dyDescent="0.25">
      <c r="A21" s="7124"/>
      <c r="B21" s="4259" t="s">
        <v>160</v>
      </c>
      <c r="C21" s="2943"/>
      <c r="D21" s="4640">
        <f>SUM(D18)</f>
        <v>2</v>
      </c>
      <c r="E21" s="4260">
        <f>SUM(E18)</f>
        <v>2</v>
      </c>
      <c r="F21" s="4935"/>
      <c r="G21" s="2943">
        <f t="shared" ref="G21:L21" si="1">SUM(G18:G20)</f>
        <v>1</v>
      </c>
      <c r="H21" s="4640">
        <f t="shared" si="1"/>
        <v>2</v>
      </c>
      <c r="I21" s="4260">
        <f t="shared" si="1"/>
        <v>3</v>
      </c>
      <c r="J21" s="2943">
        <f t="shared" si="1"/>
        <v>0</v>
      </c>
      <c r="K21" s="4640">
        <f t="shared" si="1"/>
        <v>0</v>
      </c>
      <c r="L21" s="4260">
        <f t="shared" si="1"/>
        <v>0</v>
      </c>
    </row>
    <row r="22" spans="1:12" ht="15" x14ac:dyDescent="0.25">
      <c r="A22" s="250"/>
      <c r="B22" s="250"/>
      <c r="C22" s="4631"/>
      <c r="D22" s="4631"/>
      <c r="E22" s="1788"/>
      <c r="F22" s="250"/>
      <c r="G22" s="4631"/>
      <c r="H22" s="4631"/>
      <c r="I22" s="1788"/>
      <c r="J22" s="4631"/>
      <c r="K22" s="4631"/>
      <c r="L22" s="1788"/>
    </row>
    <row r="23" spans="1:12" ht="15" x14ac:dyDescent="0.25">
      <c r="A23" s="7111" t="s">
        <v>10</v>
      </c>
      <c r="B23" s="4257" t="s">
        <v>6</v>
      </c>
      <c r="C23" s="4632">
        <v>1</v>
      </c>
      <c r="D23" s="4633">
        <v>1</v>
      </c>
      <c r="E23" s="1419">
        <f>SUM(C23:D23)</f>
        <v>2</v>
      </c>
      <c r="F23" s="4933"/>
      <c r="G23" s="4632"/>
      <c r="H23" s="4633"/>
      <c r="I23" s="1419">
        <f>SUM(G23:H23)</f>
        <v>0</v>
      </c>
      <c r="J23" s="4632"/>
      <c r="K23" s="4633"/>
      <c r="L23" s="1419">
        <f>SUM(J23:K23)</f>
        <v>0</v>
      </c>
    </row>
    <row r="24" spans="1:12" ht="15" x14ac:dyDescent="0.25">
      <c r="A24" s="7111"/>
      <c r="B24" s="4258" t="s">
        <v>11</v>
      </c>
      <c r="C24" s="4636">
        <v>1</v>
      </c>
      <c r="D24" s="4637"/>
      <c r="E24" s="1421">
        <f>SUM(C24:D24)</f>
        <v>1</v>
      </c>
      <c r="F24" s="4934"/>
      <c r="G24" s="4636"/>
      <c r="H24" s="4637"/>
      <c r="I24" s="1421">
        <f>SUM(G24:H24)</f>
        <v>0</v>
      </c>
      <c r="J24" s="4636"/>
      <c r="K24" s="4637"/>
      <c r="L24" s="1421">
        <f>SUM(J24:K24)</f>
        <v>0</v>
      </c>
    </row>
    <row r="25" spans="1:12" ht="15" x14ac:dyDescent="0.25">
      <c r="A25" s="7112"/>
      <c r="B25" s="4944" t="s">
        <v>7</v>
      </c>
      <c r="C25" s="4945"/>
      <c r="D25" s="4946"/>
      <c r="E25" s="4947"/>
      <c r="F25" s="4948" t="s">
        <v>1520</v>
      </c>
      <c r="G25" s="4945">
        <v>1</v>
      </c>
      <c r="H25" s="4946"/>
      <c r="I25" s="4947">
        <f>SUM(G25:H25)</f>
        <v>1</v>
      </c>
      <c r="J25" s="4945"/>
      <c r="K25" s="4946"/>
      <c r="L25" s="4947">
        <f>SUM(J25:K25)</f>
        <v>0</v>
      </c>
    </row>
    <row r="26" spans="1:12" ht="15" x14ac:dyDescent="0.25">
      <c r="A26" s="7111"/>
      <c r="B26" s="4259" t="s">
        <v>160</v>
      </c>
      <c r="C26" s="2943">
        <f>SUM(C23:C24)</f>
        <v>2</v>
      </c>
      <c r="D26" s="4640">
        <f>SUM(D23:D24)</f>
        <v>1</v>
      </c>
      <c r="E26" s="4260">
        <f>SUM(E23:E24)</f>
        <v>3</v>
      </c>
      <c r="F26" s="4935"/>
      <c r="G26" s="2943">
        <f t="shared" ref="G26:L26" si="2">SUM(G23:G25)</f>
        <v>1</v>
      </c>
      <c r="H26" s="4640">
        <f t="shared" si="2"/>
        <v>0</v>
      </c>
      <c r="I26" s="4260">
        <f t="shared" si="2"/>
        <v>1</v>
      </c>
      <c r="J26" s="2943">
        <f t="shared" si="2"/>
        <v>0</v>
      </c>
      <c r="K26" s="4640">
        <f t="shared" si="2"/>
        <v>0</v>
      </c>
      <c r="L26" s="4260">
        <f t="shared" si="2"/>
        <v>0</v>
      </c>
    </row>
    <row r="27" spans="1:12" ht="15" x14ac:dyDescent="0.25">
      <c r="A27" s="250"/>
      <c r="B27" s="250"/>
      <c r="C27" s="4631"/>
      <c r="D27" s="4631"/>
      <c r="E27" s="1788"/>
      <c r="F27" s="250"/>
      <c r="G27" s="4631"/>
      <c r="H27" s="4631"/>
      <c r="I27" s="1788"/>
      <c r="J27" s="4631"/>
      <c r="K27" s="4631"/>
      <c r="L27" s="1788"/>
    </row>
    <row r="28" spans="1:12" ht="15" x14ac:dyDescent="0.25">
      <c r="A28" s="250"/>
      <c r="B28" s="250"/>
      <c r="C28" s="4638">
        <f>SUM(C9,C16,C21,C26)</f>
        <v>2</v>
      </c>
      <c r="D28" s="4639">
        <f>SUM(D9,D16,D21,D26)</f>
        <v>7</v>
      </c>
      <c r="E28" s="4060">
        <f>SUM(E9,E16,E21,E26)</f>
        <v>9</v>
      </c>
      <c r="F28" s="5433" t="s">
        <v>573</v>
      </c>
      <c r="G28" s="4638">
        <f t="shared" ref="G28:L28" si="3">SUM(G9,G16,G21,G26)</f>
        <v>7</v>
      </c>
      <c r="H28" s="4639">
        <f t="shared" si="3"/>
        <v>9</v>
      </c>
      <c r="I28" s="4912">
        <f t="shared" si="3"/>
        <v>16</v>
      </c>
      <c r="J28" s="4638">
        <f t="shared" si="3"/>
        <v>3</v>
      </c>
      <c r="K28" s="4639">
        <f t="shared" si="3"/>
        <v>2</v>
      </c>
      <c r="L28" s="5383">
        <f t="shared" si="3"/>
        <v>5</v>
      </c>
    </row>
    <row r="29" spans="1:12" ht="15" x14ac:dyDescent="0.25">
      <c r="A29" s="250"/>
      <c r="B29" s="250"/>
    </row>
    <row r="30" spans="1:12" ht="15" x14ac:dyDescent="0.25">
      <c r="A30" s="250"/>
      <c r="B30" s="250"/>
    </row>
    <row r="31" spans="1:12" ht="15" x14ac:dyDescent="0.25">
      <c r="A31" s="250"/>
      <c r="B31" s="250"/>
    </row>
    <row r="32" spans="1:12" ht="15" x14ac:dyDescent="0.25">
      <c r="A32" s="250"/>
      <c r="B32" s="250"/>
    </row>
    <row r="33" spans="1:2" ht="15" x14ac:dyDescent="0.25">
      <c r="A33" s="250"/>
      <c r="B33" s="250"/>
    </row>
    <row r="34" spans="1:2" ht="15" x14ac:dyDescent="0.25">
      <c r="A34" s="250"/>
      <c r="B34" s="250"/>
    </row>
    <row r="35" spans="1:2" ht="15" x14ac:dyDescent="0.25">
      <c r="A35" s="250"/>
      <c r="B35" s="250"/>
    </row>
    <row r="36" spans="1:2" ht="15" x14ac:dyDescent="0.25">
      <c r="A36" s="250"/>
      <c r="B36" s="250"/>
    </row>
    <row r="37" spans="1:2" ht="15" x14ac:dyDescent="0.25">
      <c r="A37" s="250"/>
      <c r="B37" s="250"/>
    </row>
    <row r="38" spans="1:2" ht="15" x14ac:dyDescent="0.25">
      <c r="A38" s="250"/>
      <c r="B38" s="250"/>
    </row>
    <row r="39" spans="1:2" ht="15" x14ac:dyDescent="0.25">
      <c r="A39" s="250"/>
      <c r="B39" s="250"/>
    </row>
    <row r="40" spans="1:2" ht="15" x14ac:dyDescent="0.25">
      <c r="A40" s="250"/>
      <c r="B40" s="250"/>
    </row>
    <row r="41" spans="1:2" ht="15" x14ac:dyDescent="0.25">
      <c r="A41" s="250"/>
      <c r="B41" s="250"/>
    </row>
    <row r="42" spans="1:2" ht="15" x14ac:dyDescent="0.25">
      <c r="A42" s="250"/>
      <c r="B42" s="250"/>
    </row>
    <row r="43" spans="1:2" ht="15" x14ac:dyDescent="0.25">
      <c r="A43" s="250"/>
      <c r="B43" s="250"/>
    </row>
    <row r="44" spans="1:2" ht="15" x14ac:dyDescent="0.25">
      <c r="A44" s="250"/>
      <c r="B44" s="250"/>
    </row>
    <row r="45" spans="1:2" ht="15" x14ac:dyDescent="0.25">
      <c r="A45" s="250"/>
      <c r="B45" s="250"/>
    </row>
    <row r="46" spans="1:2" ht="15" x14ac:dyDescent="0.25">
      <c r="A46" s="250"/>
      <c r="B46" s="250"/>
    </row>
    <row r="47" spans="1:2" ht="15" x14ac:dyDescent="0.25">
      <c r="A47" s="250"/>
      <c r="B47" s="250"/>
    </row>
    <row r="48" spans="1:2" ht="15" x14ac:dyDescent="0.25">
      <c r="A48" s="250"/>
      <c r="B48" s="250"/>
    </row>
    <row r="49" spans="1:2" ht="15" x14ac:dyDescent="0.25">
      <c r="A49" s="250"/>
      <c r="B49" s="250"/>
    </row>
    <row r="50" spans="1:2" ht="15" x14ac:dyDescent="0.25">
      <c r="A50" s="250"/>
      <c r="B50" s="250"/>
    </row>
    <row r="51" spans="1:2" ht="15" x14ac:dyDescent="0.25">
      <c r="A51" s="250"/>
      <c r="B51" s="250"/>
    </row>
    <row r="52" spans="1:2" ht="15" x14ac:dyDescent="0.25">
      <c r="A52" s="250"/>
      <c r="B52" s="250"/>
    </row>
    <row r="53" spans="1:2" ht="15" x14ac:dyDescent="0.25">
      <c r="A53" s="250"/>
      <c r="B53" s="250"/>
    </row>
    <row r="54" spans="1:2" ht="15" x14ac:dyDescent="0.25">
      <c r="A54" s="250"/>
      <c r="B54" s="250"/>
    </row>
    <row r="55" spans="1:2" ht="15" x14ac:dyDescent="0.25">
      <c r="A55" s="250"/>
      <c r="B55" s="250"/>
    </row>
    <row r="56" spans="1:2" ht="15" x14ac:dyDescent="0.25">
      <c r="A56" s="250"/>
      <c r="B56" s="250"/>
    </row>
    <row r="57" spans="1:2" ht="15" x14ac:dyDescent="0.25">
      <c r="A57" s="250"/>
      <c r="B57" s="250"/>
    </row>
    <row r="58" spans="1:2" ht="15" x14ac:dyDescent="0.25">
      <c r="A58" s="250"/>
      <c r="B58" s="250"/>
    </row>
    <row r="59" spans="1:2" ht="15" x14ac:dyDescent="0.25">
      <c r="A59" s="250"/>
      <c r="B59" s="250"/>
    </row>
    <row r="60" spans="1:2" ht="15" x14ac:dyDescent="0.25">
      <c r="A60" s="250"/>
      <c r="B60" s="250"/>
    </row>
    <row r="61" spans="1:2" ht="15" x14ac:dyDescent="0.25">
      <c r="A61" s="250"/>
      <c r="B61" s="250"/>
    </row>
    <row r="62" spans="1:2" ht="15" x14ac:dyDescent="0.25">
      <c r="A62" s="250"/>
      <c r="B62" s="250"/>
    </row>
    <row r="63" spans="1:2" ht="15" x14ac:dyDescent="0.25">
      <c r="A63" s="250"/>
      <c r="B63" s="250"/>
    </row>
    <row r="64" spans="1:2" ht="15" x14ac:dyDescent="0.25">
      <c r="A64" s="250"/>
      <c r="B64" s="250"/>
    </row>
    <row r="65" spans="1:2" ht="15" x14ac:dyDescent="0.25">
      <c r="A65" s="250"/>
      <c r="B65" s="250"/>
    </row>
    <row r="66" spans="1:2" ht="15" x14ac:dyDescent="0.25">
      <c r="A66" s="250"/>
      <c r="B66" s="250"/>
    </row>
    <row r="67" spans="1:2" ht="15" x14ac:dyDescent="0.25">
      <c r="A67" s="250"/>
      <c r="B67" s="250"/>
    </row>
    <row r="68" spans="1:2" ht="15" x14ac:dyDescent="0.25">
      <c r="A68" s="250"/>
      <c r="B68" s="250"/>
    </row>
  </sheetData>
  <sheetProtection algorithmName="SHA-512" hashValue="Usk/lfInTKbqFHpeo+iJm3jU8DGuB5jnU6dwLzbUvFSYn+KgL826zG/JGXhm0X5VtROScJObE8nRpBe5iEYAbg==" saltValue="5h+UmXYQlY9oqT3T26k/sA==" spinCount="100000" sheet="1" objects="1" scenarios="1"/>
  <mergeCells count="11">
    <mergeCell ref="A23:A26"/>
    <mergeCell ref="A3:A4"/>
    <mergeCell ref="B3:B4"/>
    <mergeCell ref="J3:L3"/>
    <mergeCell ref="G3:I3"/>
    <mergeCell ref="A6:A9"/>
    <mergeCell ref="A11:A16"/>
    <mergeCell ref="B18:B20"/>
    <mergeCell ref="C3:E3"/>
    <mergeCell ref="F3:F4"/>
    <mergeCell ref="A18:A2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J178"/>
  <sheetViews>
    <sheetView showGridLines="0" zoomScaleNormal="100" workbookViewId="0">
      <pane xSplit="2" ySplit="4" topLeftCell="AM5" activePane="bottomRight" state="frozen"/>
      <selection sqref="A1:E1"/>
      <selection pane="topRight" sqref="A1:E1"/>
      <selection pane="bottomLeft" sqref="A1:E1"/>
      <selection pane="bottomRight" activeCell="BK29" sqref="BK29"/>
    </sheetView>
  </sheetViews>
  <sheetFormatPr baseColWidth="10" defaultColWidth="12.5703125" defaultRowHeight="15" x14ac:dyDescent="0.2"/>
  <cols>
    <col min="1" max="1" width="14.5703125" style="3794" customWidth="1"/>
    <col min="2" max="2" width="9" style="3794" customWidth="1"/>
    <col min="3" max="3" width="8.42578125" style="3794" customWidth="1"/>
    <col min="4" max="4" width="8.140625" style="3794" customWidth="1"/>
    <col min="5" max="7" width="8.42578125" style="3794" customWidth="1"/>
    <col min="8" max="8" width="8.140625" style="3794" customWidth="1"/>
    <col min="9" max="11" width="8.42578125" style="3794" customWidth="1"/>
    <col min="12" max="12" width="8.140625" style="3794" customWidth="1"/>
    <col min="13" max="15" width="8.42578125" style="3794" customWidth="1"/>
    <col min="16" max="16" width="8.140625" style="3794" customWidth="1"/>
    <col min="17" max="19" width="8.42578125" style="3794" customWidth="1"/>
    <col min="20" max="20" width="8.140625" style="3794" customWidth="1"/>
    <col min="21" max="23" width="8.42578125" style="3794" customWidth="1"/>
    <col min="24" max="24" width="8.140625" style="3794" customWidth="1"/>
    <col min="25" max="27" width="8.42578125" style="3794" customWidth="1"/>
    <col min="28" max="28" width="8.140625" style="3794" customWidth="1"/>
    <col min="29" max="31" width="8.42578125" style="3794" customWidth="1"/>
    <col min="32" max="32" width="8.140625" style="3794" customWidth="1"/>
    <col min="33" max="34" width="8.42578125" style="3794" customWidth="1"/>
    <col min="35" max="35" width="8.42578125" style="3794" bestFit="1" customWidth="1"/>
    <col min="36" max="36" width="8.140625" style="3794" bestFit="1" customWidth="1"/>
    <col min="37" max="39" width="8.42578125" style="3794" bestFit="1" customWidth="1"/>
    <col min="40" max="40" width="8.140625" style="3794" bestFit="1" customWidth="1"/>
    <col min="41" max="43" width="8.42578125" style="3794" bestFit="1" customWidth="1"/>
    <col min="44" max="44" width="8.140625" style="3794" bestFit="1" customWidth="1"/>
    <col min="45" max="46" width="8.42578125" style="3794" bestFit="1" customWidth="1"/>
    <col min="47" max="62" width="8.42578125" style="3794" customWidth="1"/>
    <col min="63" max="223" width="12.5703125" style="3794"/>
    <col min="224" max="224" width="0.85546875" style="3794" customWidth="1"/>
    <col min="225" max="225" width="9.42578125" style="3794" customWidth="1"/>
    <col min="226" max="226" width="14.7109375" style="3794" customWidth="1"/>
    <col min="227" max="228" width="10.28515625" style="3794" customWidth="1"/>
    <col min="229" max="229" width="12.42578125" style="3794" bestFit="1" customWidth="1"/>
    <col min="230" max="230" width="11.85546875" style="3794" bestFit="1" customWidth="1"/>
    <col min="231" max="232" width="10.28515625" style="3794" customWidth="1"/>
    <col min="233" max="234" width="12.42578125" style="3794" bestFit="1" customWidth="1"/>
    <col min="235" max="236" width="10.28515625" style="3794" customWidth="1"/>
    <col min="237" max="238" width="12.42578125" style="3794" bestFit="1" customWidth="1"/>
    <col min="239" max="240" width="10.28515625" style="3794" customWidth="1"/>
    <col min="241" max="242" width="12.42578125" style="3794" bestFit="1" customWidth="1"/>
    <col min="243" max="244" width="10.28515625" style="3794" customWidth="1"/>
    <col min="245" max="246" width="12.42578125" style="3794" bestFit="1" customWidth="1"/>
    <col min="247" max="248" width="10.28515625" style="3794" customWidth="1"/>
    <col min="249" max="250" width="12.42578125" style="3794" bestFit="1" customWidth="1"/>
    <col min="251" max="479" width="12.5703125" style="3794"/>
    <col min="480" max="480" width="0.85546875" style="3794" customWidth="1"/>
    <col min="481" max="481" width="9.42578125" style="3794" customWidth="1"/>
    <col min="482" max="482" width="14.7109375" style="3794" customWidth="1"/>
    <col min="483" max="484" width="10.28515625" style="3794" customWidth="1"/>
    <col min="485" max="485" width="12.42578125" style="3794" bestFit="1" customWidth="1"/>
    <col min="486" max="486" width="11.85546875" style="3794" bestFit="1" customWidth="1"/>
    <col min="487" max="488" width="10.28515625" style="3794" customWidth="1"/>
    <col min="489" max="490" width="12.42578125" style="3794" bestFit="1" customWidth="1"/>
    <col min="491" max="492" width="10.28515625" style="3794" customWidth="1"/>
    <col min="493" max="494" width="12.42578125" style="3794" bestFit="1" customWidth="1"/>
    <col min="495" max="496" width="10.28515625" style="3794" customWidth="1"/>
    <col min="497" max="498" width="12.42578125" style="3794" bestFit="1" customWidth="1"/>
    <col min="499" max="500" width="10.28515625" style="3794" customWidth="1"/>
    <col min="501" max="502" width="12.42578125" style="3794" bestFit="1" customWidth="1"/>
    <col min="503" max="504" width="10.28515625" style="3794" customWidth="1"/>
    <col min="505" max="506" width="12.42578125" style="3794" bestFit="1" customWidth="1"/>
    <col min="507" max="735" width="12.5703125" style="3794"/>
    <col min="736" max="736" width="0.85546875" style="3794" customWidth="1"/>
    <col min="737" max="737" width="9.42578125" style="3794" customWidth="1"/>
    <col min="738" max="738" width="14.7109375" style="3794" customWidth="1"/>
    <col min="739" max="740" width="10.28515625" style="3794" customWidth="1"/>
    <col min="741" max="741" width="12.42578125" style="3794" bestFit="1" customWidth="1"/>
    <col min="742" max="742" width="11.85546875" style="3794" bestFit="1" customWidth="1"/>
    <col min="743" max="744" width="10.28515625" style="3794" customWidth="1"/>
    <col min="745" max="746" width="12.42578125" style="3794" bestFit="1" customWidth="1"/>
    <col min="747" max="748" width="10.28515625" style="3794" customWidth="1"/>
    <col min="749" max="750" width="12.42578125" style="3794" bestFit="1" customWidth="1"/>
    <col min="751" max="752" width="10.28515625" style="3794" customWidth="1"/>
    <col min="753" max="754" width="12.42578125" style="3794" bestFit="1" customWidth="1"/>
    <col min="755" max="756" width="10.28515625" style="3794" customWidth="1"/>
    <col min="757" max="758" width="12.42578125" style="3794" bestFit="1" customWidth="1"/>
    <col min="759" max="760" width="10.28515625" style="3794" customWidth="1"/>
    <col min="761" max="762" width="12.42578125" style="3794" bestFit="1" customWidth="1"/>
    <col min="763" max="991" width="12.5703125" style="3794"/>
    <col min="992" max="992" width="0.85546875" style="3794" customWidth="1"/>
    <col min="993" max="993" width="9.42578125" style="3794" customWidth="1"/>
    <col min="994" max="994" width="14.7109375" style="3794" customWidth="1"/>
    <col min="995" max="996" width="10.28515625" style="3794" customWidth="1"/>
    <col min="997" max="997" width="12.42578125" style="3794" bestFit="1" customWidth="1"/>
    <col min="998" max="998" width="11.85546875" style="3794" bestFit="1" customWidth="1"/>
    <col min="999" max="1000" width="10.28515625" style="3794" customWidth="1"/>
    <col min="1001" max="1002" width="12.42578125" style="3794" bestFit="1" customWidth="1"/>
    <col min="1003" max="1004" width="10.28515625" style="3794" customWidth="1"/>
    <col min="1005" max="1006" width="12.42578125" style="3794" bestFit="1" customWidth="1"/>
    <col min="1007" max="1008" width="10.28515625" style="3794" customWidth="1"/>
    <col min="1009" max="1010" width="12.42578125" style="3794" bestFit="1" customWidth="1"/>
    <col min="1011" max="1012" width="10.28515625" style="3794" customWidth="1"/>
    <col min="1013" max="1014" width="12.42578125" style="3794" bestFit="1" customWidth="1"/>
    <col min="1015" max="1016" width="10.28515625" style="3794" customWidth="1"/>
    <col min="1017" max="1018" width="12.42578125" style="3794" bestFit="1" customWidth="1"/>
    <col min="1019" max="1247" width="12.5703125" style="3794"/>
    <col min="1248" max="1248" width="0.85546875" style="3794" customWidth="1"/>
    <col min="1249" max="1249" width="9.42578125" style="3794" customWidth="1"/>
    <col min="1250" max="1250" width="14.7109375" style="3794" customWidth="1"/>
    <col min="1251" max="1252" width="10.28515625" style="3794" customWidth="1"/>
    <col min="1253" max="1253" width="12.42578125" style="3794" bestFit="1" customWidth="1"/>
    <col min="1254" max="1254" width="11.85546875" style="3794" bestFit="1" customWidth="1"/>
    <col min="1255" max="1256" width="10.28515625" style="3794" customWidth="1"/>
    <col min="1257" max="1258" width="12.42578125" style="3794" bestFit="1" customWidth="1"/>
    <col min="1259" max="1260" width="10.28515625" style="3794" customWidth="1"/>
    <col min="1261" max="1262" width="12.42578125" style="3794" bestFit="1" customWidth="1"/>
    <col min="1263" max="1264" width="10.28515625" style="3794" customWidth="1"/>
    <col min="1265" max="1266" width="12.42578125" style="3794" bestFit="1" customWidth="1"/>
    <col min="1267" max="1268" width="10.28515625" style="3794" customWidth="1"/>
    <col min="1269" max="1270" width="12.42578125" style="3794" bestFit="1" customWidth="1"/>
    <col min="1271" max="1272" width="10.28515625" style="3794" customWidth="1"/>
    <col min="1273" max="1274" width="12.42578125" style="3794" bestFit="1" customWidth="1"/>
    <col min="1275" max="1503" width="12.5703125" style="3794"/>
    <col min="1504" max="1504" width="0.85546875" style="3794" customWidth="1"/>
    <col min="1505" max="1505" width="9.42578125" style="3794" customWidth="1"/>
    <col min="1506" max="1506" width="14.7109375" style="3794" customWidth="1"/>
    <col min="1507" max="1508" width="10.28515625" style="3794" customWidth="1"/>
    <col min="1509" max="1509" width="12.42578125" style="3794" bestFit="1" customWidth="1"/>
    <col min="1510" max="1510" width="11.85546875" style="3794" bestFit="1" customWidth="1"/>
    <col min="1511" max="1512" width="10.28515625" style="3794" customWidth="1"/>
    <col min="1513" max="1514" width="12.42578125" style="3794" bestFit="1" customWidth="1"/>
    <col min="1515" max="1516" width="10.28515625" style="3794" customWidth="1"/>
    <col min="1517" max="1518" width="12.42578125" style="3794" bestFit="1" customWidth="1"/>
    <col min="1519" max="1520" width="10.28515625" style="3794" customWidth="1"/>
    <col min="1521" max="1522" width="12.42578125" style="3794" bestFit="1" customWidth="1"/>
    <col min="1523" max="1524" width="10.28515625" style="3794" customWidth="1"/>
    <col min="1525" max="1526" width="12.42578125" style="3794" bestFit="1" customWidth="1"/>
    <col min="1527" max="1528" width="10.28515625" style="3794" customWidth="1"/>
    <col min="1529" max="1530" width="12.42578125" style="3794" bestFit="1" customWidth="1"/>
    <col min="1531" max="1759" width="12.5703125" style="3794"/>
    <col min="1760" max="1760" width="0.85546875" style="3794" customWidth="1"/>
    <col min="1761" max="1761" width="9.42578125" style="3794" customWidth="1"/>
    <col min="1762" max="1762" width="14.7109375" style="3794" customWidth="1"/>
    <col min="1763" max="1764" width="10.28515625" style="3794" customWidth="1"/>
    <col min="1765" max="1765" width="12.42578125" style="3794" bestFit="1" customWidth="1"/>
    <col min="1766" max="1766" width="11.85546875" style="3794" bestFit="1" customWidth="1"/>
    <col min="1767" max="1768" width="10.28515625" style="3794" customWidth="1"/>
    <col min="1769" max="1770" width="12.42578125" style="3794" bestFit="1" customWidth="1"/>
    <col min="1771" max="1772" width="10.28515625" style="3794" customWidth="1"/>
    <col min="1773" max="1774" width="12.42578125" style="3794" bestFit="1" customWidth="1"/>
    <col min="1775" max="1776" width="10.28515625" style="3794" customWidth="1"/>
    <col min="1777" max="1778" width="12.42578125" style="3794" bestFit="1" customWidth="1"/>
    <col min="1779" max="1780" width="10.28515625" style="3794" customWidth="1"/>
    <col min="1781" max="1782" width="12.42578125" style="3794" bestFit="1" customWidth="1"/>
    <col min="1783" max="1784" width="10.28515625" style="3794" customWidth="1"/>
    <col min="1785" max="1786" width="12.42578125" style="3794" bestFit="1" customWidth="1"/>
    <col min="1787" max="2015" width="12.5703125" style="3794"/>
    <col min="2016" max="2016" width="0.85546875" style="3794" customWidth="1"/>
    <col min="2017" max="2017" width="9.42578125" style="3794" customWidth="1"/>
    <col min="2018" max="2018" width="14.7109375" style="3794" customWidth="1"/>
    <col min="2019" max="2020" width="10.28515625" style="3794" customWidth="1"/>
    <col min="2021" max="2021" width="12.42578125" style="3794" bestFit="1" customWidth="1"/>
    <col min="2022" max="2022" width="11.85546875" style="3794" bestFit="1" customWidth="1"/>
    <col min="2023" max="2024" width="10.28515625" style="3794" customWidth="1"/>
    <col min="2025" max="2026" width="12.42578125" style="3794" bestFit="1" customWidth="1"/>
    <col min="2027" max="2028" width="10.28515625" style="3794" customWidth="1"/>
    <col min="2029" max="2030" width="12.42578125" style="3794" bestFit="1" customWidth="1"/>
    <col min="2031" max="2032" width="10.28515625" style="3794" customWidth="1"/>
    <col min="2033" max="2034" width="12.42578125" style="3794" bestFit="1" customWidth="1"/>
    <col min="2035" max="2036" width="10.28515625" style="3794" customWidth="1"/>
    <col min="2037" max="2038" width="12.42578125" style="3794" bestFit="1" customWidth="1"/>
    <col min="2039" max="2040" width="10.28515625" style="3794" customWidth="1"/>
    <col min="2041" max="2042" width="12.42578125" style="3794" bestFit="1" customWidth="1"/>
    <col min="2043" max="2271" width="12.5703125" style="3794"/>
    <col min="2272" max="2272" width="0.85546875" style="3794" customWidth="1"/>
    <col min="2273" max="2273" width="9.42578125" style="3794" customWidth="1"/>
    <col min="2274" max="2274" width="14.7109375" style="3794" customWidth="1"/>
    <col min="2275" max="2276" width="10.28515625" style="3794" customWidth="1"/>
    <col min="2277" max="2277" width="12.42578125" style="3794" bestFit="1" customWidth="1"/>
    <col min="2278" max="2278" width="11.85546875" style="3794" bestFit="1" customWidth="1"/>
    <col min="2279" max="2280" width="10.28515625" style="3794" customWidth="1"/>
    <col min="2281" max="2282" width="12.42578125" style="3794" bestFit="1" customWidth="1"/>
    <col min="2283" max="2284" width="10.28515625" style="3794" customWidth="1"/>
    <col min="2285" max="2286" width="12.42578125" style="3794" bestFit="1" customWidth="1"/>
    <col min="2287" max="2288" width="10.28515625" style="3794" customWidth="1"/>
    <col min="2289" max="2290" width="12.42578125" style="3794" bestFit="1" customWidth="1"/>
    <col min="2291" max="2292" width="10.28515625" style="3794" customWidth="1"/>
    <col min="2293" max="2294" width="12.42578125" style="3794" bestFit="1" customWidth="1"/>
    <col min="2295" max="2296" width="10.28515625" style="3794" customWidth="1"/>
    <col min="2297" max="2298" width="12.42578125" style="3794" bestFit="1" customWidth="1"/>
    <col min="2299" max="2527" width="12.5703125" style="3794"/>
    <col min="2528" max="2528" width="0.85546875" style="3794" customWidth="1"/>
    <col min="2529" max="2529" width="9.42578125" style="3794" customWidth="1"/>
    <col min="2530" max="2530" width="14.7109375" style="3794" customWidth="1"/>
    <col min="2531" max="2532" width="10.28515625" style="3794" customWidth="1"/>
    <col min="2533" max="2533" width="12.42578125" style="3794" bestFit="1" customWidth="1"/>
    <col min="2534" max="2534" width="11.85546875" style="3794" bestFit="1" customWidth="1"/>
    <col min="2535" max="2536" width="10.28515625" style="3794" customWidth="1"/>
    <col min="2537" max="2538" width="12.42578125" style="3794" bestFit="1" customWidth="1"/>
    <col min="2539" max="2540" width="10.28515625" style="3794" customWidth="1"/>
    <col min="2541" max="2542" width="12.42578125" style="3794" bestFit="1" customWidth="1"/>
    <col min="2543" max="2544" width="10.28515625" style="3794" customWidth="1"/>
    <col min="2545" max="2546" width="12.42578125" style="3794" bestFit="1" customWidth="1"/>
    <col min="2547" max="2548" width="10.28515625" style="3794" customWidth="1"/>
    <col min="2549" max="2550" width="12.42578125" style="3794" bestFit="1" customWidth="1"/>
    <col min="2551" max="2552" width="10.28515625" style="3794" customWidth="1"/>
    <col min="2553" max="2554" width="12.42578125" style="3794" bestFit="1" customWidth="1"/>
    <col min="2555" max="2783" width="12.5703125" style="3794"/>
    <col min="2784" max="2784" width="0.85546875" style="3794" customWidth="1"/>
    <col min="2785" max="2785" width="9.42578125" style="3794" customWidth="1"/>
    <col min="2786" max="2786" width="14.7109375" style="3794" customWidth="1"/>
    <col min="2787" max="2788" width="10.28515625" style="3794" customWidth="1"/>
    <col min="2789" max="2789" width="12.42578125" style="3794" bestFit="1" customWidth="1"/>
    <col min="2790" max="2790" width="11.85546875" style="3794" bestFit="1" customWidth="1"/>
    <col min="2791" max="2792" width="10.28515625" style="3794" customWidth="1"/>
    <col min="2793" max="2794" width="12.42578125" style="3794" bestFit="1" customWidth="1"/>
    <col min="2795" max="2796" width="10.28515625" style="3794" customWidth="1"/>
    <col min="2797" max="2798" width="12.42578125" style="3794" bestFit="1" customWidth="1"/>
    <col min="2799" max="2800" width="10.28515625" style="3794" customWidth="1"/>
    <col min="2801" max="2802" width="12.42578125" style="3794" bestFit="1" customWidth="1"/>
    <col min="2803" max="2804" width="10.28515625" style="3794" customWidth="1"/>
    <col min="2805" max="2806" width="12.42578125" style="3794" bestFit="1" customWidth="1"/>
    <col min="2807" max="2808" width="10.28515625" style="3794" customWidth="1"/>
    <col min="2809" max="2810" width="12.42578125" style="3794" bestFit="1" customWidth="1"/>
    <col min="2811" max="3039" width="12.5703125" style="3794"/>
    <col min="3040" max="3040" width="0.85546875" style="3794" customWidth="1"/>
    <col min="3041" max="3041" width="9.42578125" style="3794" customWidth="1"/>
    <col min="3042" max="3042" width="14.7109375" style="3794" customWidth="1"/>
    <col min="3043" max="3044" width="10.28515625" style="3794" customWidth="1"/>
    <col min="3045" max="3045" width="12.42578125" style="3794" bestFit="1" customWidth="1"/>
    <col min="3046" max="3046" width="11.85546875" style="3794" bestFit="1" customWidth="1"/>
    <col min="3047" max="3048" width="10.28515625" style="3794" customWidth="1"/>
    <col min="3049" max="3050" width="12.42578125" style="3794" bestFit="1" customWidth="1"/>
    <col min="3051" max="3052" width="10.28515625" style="3794" customWidth="1"/>
    <col min="3053" max="3054" width="12.42578125" style="3794" bestFit="1" customWidth="1"/>
    <col min="3055" max="3056" width="10.28515625" style="3794" customWidth="1"/>
    <col min="3057" max="3058" width="12.42578125" style="3794" bestFit="1" customWidth="1"/>
    <col min="3059" max="3060" width="10.28515625" style="3794" customWidth="1"/>
    <col min="3061" max="3062" width="12.42578125" style="3794" bestFit="1" customWidth="1"/>
    <col min="3063" max="3064" width="10.28515625" style="3794" customWidth="1"/>
    <col min="3065" max="3066" width="12.42578125" style="3794" bestFit="1" customWidth="1"/>
    <col min="3067" max="3295" width="12.5703125" style="3794"/>
    <col min="3296" max="3296" width="0.85546875" style="3794" customWidth="1"/>
    <col min="3297" max="3297" width="9.42578125" style="3794" customWidth="1"/>
    <col min="3298" max="3298" width="14.7109375" style="3794" customWidth="1"/>
    <col min="3299" max="3300" width="10.28515625" style="3794" customWidth="1"/>
    <col min="3301" max="3301" width="12.42578125" style="3794" bestFit="1" customWidth="1"/>
    <col min="3302" max="3302" width="11.85546875" style="3794" bestFit="1" customWidth="1"/>
    <col min="3303" max="3304" width="10.28515625" style="3794" customWidth="1"/>
    <col min="3305" max="3306" width="12.42578125" style="3794" bestFit="1" customWidth="1"/>
    <col min="3307" max="3308" width="10.28515625" style="3794" customWidth="1"/>
    <col min="3309" max="3310" width="12.42578125" style="3794" bestFit="1" customWidth="1"/>
    <col min="3311" max="3312" width="10.28515625" style="3794" customWidth="1"/>
    <col min="3313" max="3314" width="12.42578125" style="3794" bestFit="1" customWidth="1"/>
    <col min="3315" max="3316" width="10.28515625" style="3794" customWidth="1"/>
    <col min="3317" max="3318" width="12.42578125" style="3794" bestFit="1" customWidth="1"/>
    <col min="3319" max="3320" width="10.28515625" style="3794" customWidth="1"/>
    <col min="3321" max="3322" width="12.42578125" style="3794" bestFit="1" customWidth="1"/>
    <col min="3323" max="3551" width="12.5703125" style="3794"/>
    <col min="3552" max="3552" width="0.85546875" style="3794" customWidth="1"/>
    <col min="3553" max="3553" width="9.42578125" style="3794" customWidth="1"/>
    <col min="3554" max="3554" width="14.7109375" style="3794" customWidth="1"/>
    <col min="3555" max="3556" width="10.28515625" style="3794" customWidth="1"/>
    <col min="3557" max="3557" width="12.42578125" style="3794" bestFit="1" customWidth="1"/>
    <col min="3558" max="3558" width="11.85546875" style="3794" bestFit="1" customWidth="1"/>
    <col min="3559" max="3560" width="10.28515625" style="3794" customWidth="1"/>
    <col min="3561" max="3562" width="12.42578125" style="3794" bestFit="1" customWidth="1"/>
    <col min="3563" max="3564" width="10.28515625" style="3794" customWidth="1"/>
    <col min="3565" max="3566" width="12.42578125" style="3794" bestFit="1" customWidth="1"/>
    <col min="3567" max="3568" width="10.28515625" style="3794" customWidth="1"/>
    <col min="3569" max="3570" width="12.42578125" style="3794" bestFit="1" customWidth="1"/>
    <col min="3571" max="3572" width="10.28515625" style="3794" customWidth="1"/>
    <col min="3573" max="3574" width="12.42578125" style="3794" bestFit="1" customWidth="1"/>
    <col min="3575" max="3576" width="10.28515625" style="3794" customWidth="1"/>
    <col min="3577" max="3578" width="12.42578125" style="3794" bestFit="1" customWidth="1"/>
    <col min="3579" max="3807" width="12.5703125" style="3794"/>
    <col min="3808" max="3808" width="0.85546875" style="3794" customWidth="1"/>
    <col min="3809" max="3809" width="9.42578125" style="3794" customWidth="1"/>
    <col min="3810" max="3810" width="14.7109375" style="3794" customWidth="1"/>
    <col min="3811" max="3812" width="10.28515625" style="3794" customWidth="1"/>
    <col min="3813" max="3813" width="12.42578125" style="3794" bestFit="1" customWidth="1"/>
    <col min="3814" max="3814" width="11.85546875" style="3794" bestFit="1" customWidth="1"/>
    <col min="3815" max="3816" width="10.28515625" style="3794" customWidth="1"/>
    <col min="3817" max="3818" width="12.42578125" style="3794" bestFit="1" customWidth="1"/>
    <col min="3819" max="3820" width="10.28515625" style="3794" customWidth="1"/>
    <col min="3821" max="3822" width="12.42578125" style="3794" bestFit="1" customWidth="1"/>
    <col min="3823" max="3824" width="10.28515625" style="3794" customWidth="1"/>
    <col min="3825" max="3826" width="12.42578125" style="3794" bestFit="1" customWidth="1"/>
    <col min="3827" max="3828" width="10.28515625" style="3794" customWidth="1"/>
    <col min="3829" max="3830" width="12.42578125" style="3794" bestFit="1" customWidth="1"/>
    <col min="3831" max="3832" width="10.28515625" style="3794" customWidth="1"/>
    <col min="3833" max="3834" width="12.42578125" style="3794" bestFit="1" customWidth="1"/>
    <col min="3835" max="4063" width="12.5703125" style="3794"/>
    <col min="4064" max="4064" width="0.85546875" style="3794" customWidth="1"/>
    <col min="4065" max="4065" width="9.42578125" style="3794" customWidth="1"/>
    <col min="4066" max="4066" width="14.7109375" style="3794" customWidth="1"/>
    <col min="4067" max="4068" width="10.28515625" style="3794" customWidth="1"/>
    <col min="4069" max="4069" width="12.42578125" style="3794" bestFit="1" customWidth="1"/>
    <col min="4070" max="4070" width="11.85546875" style="3794" bestFit="1" customWidth="1"/>
    <col min="4071" max="4072" width="10.28515625" style="3794" customWidth="1"/>
    <col min="4073" max="4074" width="12.42578125" style="3794" bestFit="1" customWidth="1"/>
    <col min="4075" max="4076" width="10.28515625" style="3794" customWidth="1"/>
    <col min="4077" max="4078" width="12.42578125" style="3794" bestFit="1" customWidth="1"/>
    <col min="4079" max="4080" width="10.28515625" style="3794" customWidth="1"/>
    <col min="4081" max="4082" width="12.42578125" style="3794" bestFit="1" customWidth="1"/>
    <col min="4083" max="4084" width="10.28515625" style="3794" customWidth="1"/>
    <col min="4085" max="4086" width="12.42578125" style="3794" bestFit="1" customWidth="1"/>
    <col min="4087" max="4088" width="10.28515625" style="3794" customWidth="1"/>
    <col min="4089" max="4090" width="12.42578125" style="3794" bestFit="1" customWidth="1"/>
    <col min="4091" max="4319" width="12.5703125" style="3794"/>
    <col min="4320" max="4320" width="0.85546875" style="3794" customWidth="1"/>
    <col min="4321" max="4321" width="9.42578125" style="3794" customWidth="1"/>
    <col min="4322" max="4322" width="14.7109375" style="3794" customWidth="1"/>
    <col min="4323" max="4324" width="10.28515625" style="3794" customWidth="1"/>
    <col min="4325" max="4325" width="12.42578125" style="3794" bestFit="1" customWidth="1"/>
    <col min="4326" max="4326" width="11.85546875" style="3794" bestFit="1" customWidth="1"/>
    <col min="4327" max="4328" width="10.28515625" style="3794" customWidth="1"/>
    <col min="4329" max="4330" width="12.42578125" style="3794" bestFit="1" customWidth="1"/>
    <col min="4331" max="4332" width="10.28515625" style="3794" customWidth="1"/>
    <col min="4333" max="4334" width="12.42578125" style="3794" bestFit="1" customWidth="1"/>
    <col min="4335" max="4336" width="10.28515625" style="3794" customWidth="1"/>
    <col min="4337" max="4338" width="12.42578125" style="3794" bestFit="1" customWidth="1"/>
    <col min="4339" max="4340" width="10.28515625" style="3794" customWidth="1"/>
    <col min="4341" max="4342" width="12.42578125" style="3794" bestFit="1" customWidth="1"/>
    <col min="4343" max="4344" width="10.28515625" style="3794" customWidth="1"/>
    <col min="4345" max="4346" width="12.42578125" style="3794" bestFit="1" customWidth="1"/>
    <col min="4347" max="4575" width="12.5703125" style="3794"/>
    <col min="4576" max="4576" width="0.85546875" style="3794" customWidth="1"/>
    <col min="4577" max="4577" width="9.42578125" style="3794" customWidth="1"/>
    <col min="4578" max="4578" width="14.7109375" style="3794" customWidth="1"/>
    <col min="4579" max="4580" width="10.28515625" style="3794" customWidth="1"/>
    <col min="4581" max="4581" width="12.42578125" style="3794" bestFit="1" customWidth="1"/>
    <col min="4582" max="4582" width="11.85546875" style="3794" bestFit="1" customWidth="1"/>
    <col min="4583" max="4584" width="10.28515625" style="3794" customWidth="1"/>
    <col min="4585" max="4586" width="12.42578125" style="3794" bestFit="1" customWidth="1"/>
    <col min="4587" max="4588" width="10.28515625" style="3794" customWidth="1"/>
    <col min="4589" max="4590" width="12.42578125" style="3794" bestFit="1" customWidth="1"/>
    <col min="4591" max="4592" width="10.28515625" style="3794" customWidth="1"/>
    <col min="4593" max="4594" width="12.42578125" style="3794" bestFit="1" customWidth="1"/>
    <col min="4595" max="4596" width="10.28515625" style="3794" customWidth="1"/>
    <col min="4597" max="4598" width="12.42578125" style="3794" bestFit="1" customWidth="1"/>
    <col min="4599" max="4600" width="10.28515625" style="3794" customWidth="1"/>
    <col min="4601" max="4602" width="12.42578125" style="3794" bestFit="1" customWidth="1"/>
    <col min="4603" max="4831" width="12.5703125" style="3794"/>
    <col min="4832" max="4832" width="0.85546875" style="3794" customWidth="1"/>
    <col min="4833" max="4833" width="9.42578125" style="3794" customWidth="1"/>
    <col min="4834" max="4834" width="14.7109375" style="3794" customWidth="1"/>
    <col min="4835" max="4836" width="10.28515625" style="3794" customWidth="1"/>
    <col min="4837" max="4837" width="12.42578125" style="3794" bestFit="1" customWidth="1"/>
    <col min="4838" max="4838" width="11.85546875" style="3794" bestFit="1" customWidth="1"/>
    <col min="4839" max="4840" width="10.28515625" style="3794" customWidth="1"/>
    <col min="4841" max="4842" width="12.42578125" style="3794" bestFit="1" customWidth="1"/>
    <col min="4843" max="4844" width="10.28515625" style="3794" customWidth="1"/>
    <col min="4845" max="4846" width="12.42578125" style="3794" bestFit="1" customWidth="1"/>
    <col min="4847" max="4848" width="10.28515625" style="3794" customWidth="1"/>
    <col min="4849" max="4850" width="12.42578125" style="3794" bestFit="1" customWidth="1"/>
    <col min="4851" max="4852" width="10.28515625" style="3794" customWidth="1"/>
    <col min="4853" max="4854" width="12.42578125" style="3794" bestFit="1" customWidth="1"/>
    <col min="4855" max="4856" width="10.28515625" style="3794" customWidth="1"/>
    <col min="4857" max="4858" width="12.42578125" style="3794" bestFit="1" customWidth="1"/>
    <col min="4859" max="5087" width="12.5703125" style="3794"/>
    <col min="5088" max="5088" width="0.85546875" style="3794" customWidth="1"/>
    <col min="5089" max="5089" width="9.42578125" style="3794" customWidth="1"/>
    <col min="5090" max="5090" width="14.7109375" style="3794" customWidth="1"/>
    <col min="5091" max="5092" width="10.28515625" style="3794" customWidth="1"/>
    <col min="5093" max="5093" width="12.42578125" style="3794" bestFit="1" customWidth="1"/>
    <col min="5094" max="5094" width="11.85546875" style="3794" bestFit="1" customWidth="1"/>
    <col min="5095" max="5096" width="10.28515625" style="3794" customWidth="1"/>
    <col min="5097" max="5098" width="12.42578125" style="3794" bestFit="1" customWidth="1"/>
    <col min="5099" max="5100" width="10.28515625" style="3794" customWidth="1"/>
    <col min="5101" max="5102" width="12.42578125" style="3794" bestFit="1" customWidth="1"/>
    <col min="5103" max="5104" width="10.28515625" style="3794" customWidth="1"/>
    <col min="5105" max="5106" width="12.42578125" style="3794" bestFit="1" customWidth="1"/>
    <col min="5107" max="5108" width="10.28515625" style="3794" customWidth="1"/>
    <col min="5109" max="5110" width="12.42578125" style="3794" bestFit="1" customWidth="1"/>
    <col min="5111" max="5112" width="10.28515625" style="3794" customWidth="1"/>
    <col min="5113" max="5114" width="12.42578125" style="3794" bestFit="1" customWidth="1"/>
    <col min="5115" max="5343" width="12.5703125" style="3794"/>
    <col min="5344" max="5344" width="0.85546875" style="3794" customWidth="1"/>
    <col min="5345" max="5345" width="9.42578125" style="3794" customWidth="1"/>
    <col min="5346" max="5346" width="14.7109375" style="3794" customWidth="1"/>
    <col min="5347" max="5348" width="10.28515625" style="3794" customWidth="1"/>
    <col min="5349" max="5349" width="12.42578125" style="3794" bestFit="1" customWidth="1"/>
    <col min="5350" max="5350" width="11.85546875" style="3794" bestFit="1" customWidth="1"/>
    <col min="5351" max="5352" width="10.28515625" style="3794" customWidth="1"/>
    <col min="5353" max="5354" width="12.42578125" style="3794" bestFit="1" customWidth="1"/>
    <col min="5355" max="5356" width="10.28515625" style="3794" customWidth="1"/>
    <col min="5357" max="5358" width="12.42578125" style="3794" bestFit="1" customWidth="1"/>
    <col min="5359" max="5360" width="10.28515625" style="3794" customWidth="1"/>
    <col min="5361" max="5362" width="12.42578125" style="3794" bestFit="1" customWidth="1"/>
    <col min="5363" max="5364" width="10.28515625" style="3794" customWidth="1"/>
    <col min="5365" max="5366" width="12.42578125" style="3794" bestFit="1" customWidth="1"/>
    <col min="5367" max="5368" width="10.28515625" style="3794" customWidth="1"/>
    <col min="5369" max="5370" width="12.42578125" style="3794" bestFit="1" customWidth="1"/>
    <col min="5371" max="5599" width="12.5703125" style="3794"/>
    <col min="5600" max="5600" width="0.85546875" style="3794" customWidth="1"/>
    <col min="5601" max="5601" width="9.42578125" style="3794" customWidth="1"/>
    <col min="5602" max="5602" width="14.7109375" style="3794" customWidth="1"/>
    <col min="5603" max="5604" width="10.28515625" style="3794" customWidth="1"/>
    <col min="5605" max="5605" width="12.42578125" style="3794" bestFit="1" customWidth="1"/>
    <col min="5606" max="5606" width="11.85546875" style="3794" bestFit="1" customWidth="1"/>
    <col min="5607" max="5608" width="10.28515625" style="3794" customWidth="1"/>
    <col min="5609" max="5610" width="12.42578125" style="3794" bestFit="1" customWidth="1"/>
    <col min="5611" max="5612" width="10.28515625" style="3794" customWidth="1"/>
    <col min="5613" max="5614" width="12.42578125" style="3794" bestFit="1" customWidth="1"/>
    <col min="5615" max="5616" width="10.28515625" style="3794" customWidth="1"/>
    <col min="5617" max="5618" width="12.42578125" style="3794" bestFit="1" customWidth="1"/>
    <col min="5619" max="5620" width="10.28515625" style="3794" customWidth="1"/>
    <col min="5621" max="5622" width="12.42578125" style="3794" bestFit="1" customWidth="1"/>
    <col min="5623" max="5624" width="10.28515625" style="3794" customWidth="1"/>
    <col min="5625" max="5626" width="12.42578125" style="3794" bestFit="1" customWidth="1"/>
    <col min="5627" max="5855" width="12.5703125" style="3794"/>
    <col min="5856" max="5856" width="0.85546875" style="3794" customWidth="1"/>
    <col min="5857" max="5857" width="9.42578125" style="3794" customWidth="1"/>
    <col min="5858" max="5858" width="14.7109375" style="3794" customWidth="1"/>
    <col min="5859" max="5860" width="10.28515625" style="3794" customWidth="1"/>
    <col min="5861" max="5861" width="12.42578125" style="3794" bestFit="1" customWidth="1"/>
    <col min="5862" max="5862" width="11.85546875" style="3794" bestFit="1" customWidth="1"/>
    <col min="5863" max="5864" width="10.28515625" style="3794" customWidth="1"/>
    <col min="5865" max="5866" width="12.42578125" style="3794" bestFit="1" customWidth="1"/>
    <col min="5867" max="5868" width="10.28515625" style="3794" customWidth="1"/>
    <col min="5869" max="5870" width="12.42578125" style="3794" bestFit="1" customWidth="1"/>
    <col min="5871" max="5872" width="10.28515625" style="3794" customWidth="1"/>
    <col min="5873" max="5874" width="12.42578125" style="3794" bestFit="1" customWidth="1"/>
    <col min="5875" max="5876" width="10.28515625" style="3794" customWidth="1"/>
    <col min="5877" max="5878" width="12.42578125" style="3794" bestFit="1" customWidth="1"/>
    <col min="5879" max="5880" width="10.28515625" style="3794" customWidth="1"/>
    <col min="5881" max="5882" width="12.42578125" style="3794" bestFit="1" customWidth="1"/>
    <col min="5883" max="6111" width="12.5703125" style="3794"/>
    <col min="6112" max="6112" width="0.85546875" style="3794" customWidth="1"/>
    <col min="6113" max="6113" width="9.42578125" style="3794" customWidth="1"/>
    <col min="6114" max="6114" width="14.7109375" style="3794" customWidth="1"/>
    <col min="6115" max="6116" width="10.28515625" style="3794" customWidth="1"/>
    <col min="6117" max="6117" width="12.42578125" style="3794" bestFit="1" customWidth="1"/>
    <col min="6118" max="6118" width="11.85546875" style="3794" bestFit="1" customWidth="1"/>
    <col min="6119" max="6120" width="10.28515625" style="3794" customWidth="1"/>
    <col min="6121" max="6122" width="12.42578125" style="3794" bestFit="1" customWidth="1"/>
    <col min="6123" max="6124" width="10.28515625" style="3794" customWidth="1"/>
    <col min="6125" max="6126" width="12.42578125" style="3794" bestFit="1" customWidth="1"/>
    <col min="6127" max="6128" width="10.28515625" style="3794" customWidth="1"/>
    <col min="6129" max="6130" width="12.42578125" style="3794" bestFit="1" customWidth="1"/>
    <col min="6131" max="6132" width="10.28515625" style="3794" customWidth="1"/>
    <col min="6133" max="6134" width="12.42578125" style="3794" bestFit="1" customWidth="1"/>
    <col min="6135" max="6136" width="10.28515625" style="3794" customWidth="1"/>
    <col min="6137" max="6138" width="12.42578125" style="3794" bestFit="1" customWidth="1"/>
    <col min="6139" max="6367" width="12.5703125" style="3794"/>
    <col min="6368" max="6368" width="0.85546875" style="3794" customWidth="1"/>
    <col min="6369" max="6369" width="9.42578125" style="3794" customWidth="1"/>
    <col min="6370" max="6370" width="14.7109375" style="3794" customWidth="1"/>
    <col min="6371" max="6372" width="10.28515625" style="3794" customWidth="1"/>
    <col min="6373" max="6373" width="12.42578125" style="3794" bestFit="1" customWidth="1"/>
    <col min="6374" max="6374" width="11.85546875" style="3794" bestFit="1" customWidth="1"/>
    <col min="6375" max="6376" width="10.28515625" style="3794" customWidth="1"/>
    <col min="6377" max="6378" width="12.42578125" style="3794" bestFit="1" customWidth="1"/>
    <col min="6379" max="6380" width="10.28515625" style="3794" customWidth="1"/>
    <col min="6381" max="6382" width="12.42578125" style="3794" bestFit="1" customWidth="1"/>
    <col min="6383" max="6384" width="10.28515625" style="3794" customWidth="1"/>
    <col min="6385" max="6386" width="12.42578125" style="3794" bestFit="1" customWidth="1"/>
    <col min="6387" max="6388" width="10.28515625" style="3794" customWidth="1"/>
    <col min="6389" max="6390" width="12.42578125" style="3794" bestFit="1" customWidth="1"/>
    <col min="6391" max="6392" width="10.28515625" style="3794" customWidth="1"/>
    <col min="6393" max="6394" width="12.42578125" style="3794" bestFit="1" customWidth="1"/>
    <col min="6395" max="6623" width="12.5703125" style="3794"/>
    <col min="6624" max="6624" width="0.85546875" style="3794" customWidth="1"/>
    <col min="6625" max="6625" width="9.42578125" style="3794" customWidth="1"/>
    <col min="6626" max="6626" width="14.7109375" style="3794" customWidth="1"/>
    <col min="6627" max="6628" width="10.28515625" style="3794" customWidth="1"/>
    <col min="6629" max="6629" width="12.42578125" style="3794" bestFit="1" customWidth="1"/>
    <col min="6630" max="6630" width="11.85546875" style="3794" bestFit="1" customWidth="1"/>
    <col min="6631" max="6632" width="10.28515625" style="3794" customWidth="1"/>
    <col min="6633" max="6634" width="12.42578125" style="3794" bestFit="1" customWidth="1"/>
    <col min="6635" max="6636" width="10.28515625" style="3794" customWidth="1"/>
    <col min="6637" max="6638" width="12.42578125" style="3794" bestFit="1" customWidth="1"/>
    <col min="6639" max="6640" width="10.28515625" style="3794" customWidth="1"/>
    <col min="6641" max="6642" width="12.42578125" style="3794" bestFit="1" customWidth="1"/>
    <col min="6643" max="6644" width="10.28515625" style="3794" customWidth="1"/>
    <col min="6645" max="6646" width="12.42578125" style="3794" bestFit="1" customWidth="1"/>
    <col min="6647" max="6648" width="10.28515625" style="3794" customWidth="1"/>
    <col min="6649" max="6650" width="12.42578125" style="3794" bestFit="1" customWidth="1"/>
    <col min="6651" max="6879" width="12.5703125" style="3794"/>
    <col min="6880" max="6880" width="0.85546875" style="3794" customWidth="1"/>
    <col min="6881" max="6881" width="9.42578125" style="3794" customWidth="1"/>
    <col min="6882" max="6882" width="14.7109375" style="3794" customWidth="1"/>
    <col min="6883" max="6884" width="10.28515625" style="3794" customWidth="1"/>
    <col min="6885" max="6885" width="12.42578125" style="3794" bestFit="1" customWidth="1"/>
    <col min="6886" max="6886" width="11.85546875" style="3794" bestFit="1" customWidth="1"/>
    <col min="6887" max="6888" width="10.28515625" style="3794" customWidth="1"/>
    <col min="6889" max="6890" width="12.42578125" style="3794" bestFit="1" customWidth="1"/>
    <col min="6891" max="6892" width="10.28515625" style="3794" customWidth="1"/>
    <col min="6893" max="6894" width="12.42578125" style="3794" bestFit="1" customWidth="1"/>
    <col min="6895" max="6896" width="10.28515625" style="3794" customWidth="1"/>
    <col min="6897" max="6898" width="12.42578125" style="3794" bestFit="1" customWidth="1"/>
    <col min="6899" max="6900" width="10.28515625" style="3794" customWidth="1"/>
    <col min="6901" max="6902" width="12.42578125" style="3794" bestFit="1" customWidth="1"/>
    <col min="6903" max="6904" width="10.28515625" style="3794" customWidth="1"/>
    <col min="6905" max="6906" width="12.42578125" style="3794" bestFit="1" customWidth="1"/>
    <col min="6907" max="7135" width="12.5703125" style="3794"/>
    <col min="7136" max="7136" width="0.85546875" style="3794" customWidth="1"/>
    <col min="7137" max="7137" width="9.42578125" style="3794" customWidth="1"/>
    <col min="7138" max="7138" width="14.7109375" style="3794" customWidth="1"/>
    <col min="7139" max="7140" width="10.28515625" style="3794" customWidth="1"/>
    <col min="7141" max="7141" width="12.42578125" style="3794" bestFit="1" customWidth="1"/>
    <col min="7142" max="7142" width="11.85546875" style="3794" bestFit="1" customWidth="1"/>
    <col min="7143" max="7144" width="10.28515625" style="3794" customWidth="1"/>
    <col min="7145" max="7146" width="12.42578125" style="3794" bestFit="1" customWidth="1"/>
    <col min="7147" max="7148" width="10.28515625" style="3794" customWidth="1"/>
    <col min="7149" max="7150" width="12.42578125" style="3794" bestFit="1" customWidth="1"/>
    <col min="7151" max="7152" width="10.28515625" style="3794" customWidth="1"/>
    <col min="7153" max="7154" width="12.42578125" style="3794" bestFit="1" customWidth="1"/>
    <col min="7155" max="7156" width="10.28515625" style="3794" customWidth="1"/>
    <col min="7157" max="7158" width="12.42578125" style="3794" bestFit="1" customWidth="1"/>
    <col min="7159" max="7160" width="10.28515625" style="3794" customWidth="1"/>
    <col min="7161" max="7162" width="12.42578125" style="3794" bestFit="1" customWidth="1"/>
    <col min="7163" max="7391" width="12.5703125" style="3794"/>
    <col min="7392" max="7392" width="0.85546875" style="3794" customWidth="1"/>
    <col min="7393" max="7393" width="9.42578125" style="3794" customWidth="1"/>
    <col min="7394" max="7394" width="14.7109375" style="3794" customWidth="1"/>
    <col min="7395" max="7396" width="10.28515625" style="3794" customWidth="1"/>
    <col min="7397" max="7397" width="12.42578125" style="3794" bestFit="1" customWidth="1"/>
    <col min="7398" max="7398" width="11.85546875" style="3794" bestFit="1" customWidth="1"/>
    <col min="7399" max="7400" width="10.28515625" style="3794" customWidth="1"/>
    <col min="7401" max="7402" width="12.42578125" style="3794" bestFit="1" customWidth="1"/>
    <col min="7403" max="7404" width="10.28515625" style="3794" customWidth="1"/>
    <col min="7405" max="7406" width="12.42578125" style="3794" bestFit="1" customWidth="1"/>
    <col min="7407" max="7408" width="10.28515625" style="3794" customWidth="1"/>
    <col min="7409" max="7410" width="12.42578125" style="3794" bestFit="1" customWidth="1"/>
    <col min="7411" max="7412" width="10.28515625" style="3794" customWidth="1"/>
    <col min="7413" max="7414" width="12.42578125" style="3794" bestFit="1" customWidth="1"/>
    <col min="7415" max="7416" width="10.28515625" style="3794" customWidth="1"/>
    <col min="7417" max="7418" width="12.42578125" style="3794" bestFit="1" customWidth="1"/>
    <col min="7419" max="7647" width="12.5703125" style="3794"/>
    <col min="7648" max="7648" width="0.85546875" style="3794" customWidth="1"/>
    <col min="7649" max="7649" width="9.42578125" style="3794" customWidth="1"/>
    <col min="7650" max="7650" width="14.7109375" style="3794" customWidth="1"/>
    <col min="7651" max="7652" width="10.28515625" style="3794" customWidth="1"/>
    <col min="7653" max="7653" width="12.42578125" style="3794" bestFit="1" customWidth="1"/>
    <col min="7654" max="7654" width="11.85546875" style="3794" bestFit="1" customWidth="1"/>
    <col min="7655" max="7656" width="10.28515625" style="3794" customWidth="1"/>
    <col min="7657" max="7658" width="12.42578125" style="3794" bestFit="1" customWidth="1"/>
    <col min="7659" max="7660" width="10.28515625" style="3794" customWidth="1"/>
    <col min="7661" max="7662" width="12.42578125" style="3794" bestFit="1" customWidth="1"/>
    <col min="7663" max="7664" width="10.28515625" style="3794" customWidth="1"/>
    <col min="7665" max="7666" width="12.42578125" style="3794" bestFit="1" customWidth="1"/>
    <col min="7667" max="7668" width="10.28515625" style="3794" customWidth="1"/>
    <col min="7669" max="7670" width="12.42578125" style="3794" bestFit="1" customWidth="1"/>
    <col min="7671" max="7672" width="10.28515625" style="3794" customWidth="1"/>
    <col min="7673" max="7674" width="12.42578125" style="3794" bestFit="1" customWidth="1"/>
    <col min="7675" max="7903" width="12.5703125" style="3794"/>
    <col min="7904" max="7904" width="0.85546875" style="3794" customWidth="1"/>
    <col min="7905" max="7905" width="9.42578125" style="3794" customWidth="1"/>
    <col min="7906" max="7906" width="14.7109375" style="3794" customWidth="1"/>
    <col min="7907" max="7908" width="10.28515625" style="3794" customWidth="1"/>
    <col min="7909" max="7909" width="12.42578125" style="3794" bestFit="1" customWidth="1"/>
    <col min="7910" max="7910" width="11.85546875" style="3794" bestFit="1" customWidth="1"/>
    <col min="7911" max="7912" width="10.28515625" style="3794" customWidth="1"/>
    <col min="7913" max="7914" width="12.42578125" style="3794" bestFit="1" customWidth="1"/>
    <col min="7915" max="7916" width="10.28515625" style="3794" customWidth="1"/>
    <col min="7917" max="7918" width="12.42578125" style="3794" bestFit="1" customWidth="1"/>
    <col min="7919" max="7920" width="10.28515625" style="3794" customWidth="1"/>
    <col min="7921" max="7922" width="12.42578125" style="3794" bestFit="1" customWidth="1"/>
    <col min="7923" max="7924" width="10.28515625" style="3794" customWidth="1"/>
    <col min="7925" max="7926" width="12.42578125" style="3794" bestFit="1" customWidth="1"/>
    <col min="7927" max="7928" width="10.28515625" style="3794" customWidth="1"/>
    <col min="7929" max="7930" width="12.42578125" style="3794" bestFit="1" customWidth="1"/>
    <col min="7931" max="8159" width="12.5703125" style="3794"/>
    <col min="8160" max="8160" width="0.85546875" style="3794" customWidth="1"/>
    <col min="8161" max="8161" width="9.42578125" style="3794" customWidth="1"/>
    <col min="8162" max="8162" width="14.7109375" style="3794" customWidth="1"/>
    <col min="8163" max="8164" width="10.28515625" style="3794" customWidth="1"/>
    <col min="8165" max="8165" width="12.42578125" style="3794" bestFit="1" customWidth="1"/>
    <col min="8166" max="8166" width="11.85546875" style="3794" bestFit="1" customWidth="1"/>
    <col min="8167" max="8168" width="10.28515625" style="3794" customWidth="1"/>
    <col min="8169" max="8170" width="12.42578125" style="3794" bestFit="1" customWidth="1"/>
    <col min="8171" max="8172" width="10.28515625" style="3794" customWidth="1"/>
    <col min="8173" max="8174" width="12.42578125" style="3794" bestFit="1" customWidth="1"/>
    <col min="8175" max="8176" width="10.28515625" style="3794" customWidth="1"/>
    <col min="8177" max="8178" width="12.42578125" style="3794" bestFit="1" customWidth="1"/>
    <col min="8179" max="8180" width="10.28515625" style="3794" customWidth="1"/>
    <col min="8181" max="8182" width="12.42578125" style="3794" bestFit="1" customWidth="1"/>
    <col min="8183" max="8184" width="10.28515625" style="3794" customWidth="1"/>
    <col min="8185" max="8186" width="12.42578125" style="3794" bestFit="1" customWidth="1"/>
    <col min="8187" max="8415" width="12.5703125" style="3794"/>
    <col min="8416" max="8416" width="0.85546875" style="3794" customWidth="1"/>
    <col min="8417" max="8417" width="9.42578125" style="3794" customWidth="1"/>
    <col min="8418" max="8418" width="14.7109375" style="3794" customWidth="1"/>
    <col min="8419" max="8420" width="10.28515625" style="3794" customWidth="1"/>
    <col min="8421" max="8421" width="12.42578125" style="3794" bestFit="1" customWidth="1"/>
    <col min="8422" max="8422" width="11.85546875" style="3794" bestFit="1" customWidth="1"/>
    <col min="8423" max="8424" width="10.28515625" style="3794" customWidth="1"/>
    <col min="8425" max="8426" width="12.42578125" style="3794" bestFit="1" customWidth="1"/>
    <col min="8427" max="8428" width="10.28515625" style="3794" customWidth="1"/>
    <col min="8429" max="8430" width="12.42578125" style="3794" bestFit="1" customWidth="1"/>
    <col min="8431" max="8432" width="10.28515625" style="3794" customWidth="1"/>
    <col min="8433" max="8434" width="12.42578125" style="3794" bestFit="1" customWidth="1"/>
    <col min="8435" max="8436" width="10.28515625" style="3794" customWidth="1"/>
    <col min="8437" max="8438" width="12.42578125" style="3794" bestFit="1" customWidth="1"/>
    <col min="8439" max="8440" width="10.28515625" style="3794" customWidth="1"/>
    <col min="8441" max="8442" width="12.42578125" style="3794" bestFit="1" customWidth="1"/>
    <col min="8443" max="8671" width="12.5703125" style="3794"/>
    <col min="8672" max="8672" width="0.85546875" style="3794" customWidth="1"/>
    <col min="8673" max="8673" width="9.42578125" style="3794" customWidth="1"/>
    <col min="8674" max="8674" width="14.7109375" style="3794" customWidth="1"/>
    <col min="8675" max="8676" width="10.28515625" style="3794" customWidth="1"/>
    <col min="8677" max="8677" width="12.42578125" style="3794" bestFit="1" customWidth="1"/>
    <col min="8678" max="8678" width="11.85546875" style="3794" bestFit="1" customWidth="1"/>
    <col min="8679" max="8680" width="10.28515625" style="3794" customWidth="1"/>
    <col min="8681" max="8682" width="12.42578125" style="3794" bestFit="1" customWidth="1"/>
    <col min="8683" max="8684" width="10.28515625" style="3794" customWidth="1"/>
    <col min="8685" max="8686" width="12.42578125" style="3794" bestFit="1" customWidth="1"/>
    <col min="8687" max="8688" width="10.28515625" style="3794" customWidth="1"/>
    <col min="8689" max="8690" width="12.42578125" style="3794" bestFit="1" customWidth="1"/>
    <col min="8691" max="8692" width="10.28515625" style="3794" customWidth="1"/>
    <col min="8693" max="8694" width="12.42578125" style="3794" bestFit="1" customWidth="1"/>
    <col min="8695" max="8696" width="10.28515625" style="3794" customWidth="1"/>
    <col min="8697" max="8698" width="12.42578125" style="3794" bestFit="1" customWidth="1"/>
    <col min="8699" max="8927" width="12.5703125" style="3794"/>
    <col min="8928" max="8928" width="0.85546875" style="3794" customWidth="1"/>
    <col min="8929" max="8929" width="9.42578125" style="3794" customWidth="1"/>
    <col min="8930" max="8930" width="14.7109375" style="3794" customWidth="1"/>
    <col min="8931" max="8932" width="10.28515625" style="3794" customWidth="1"/>
    <col min="8933" max="8933" width="12.42578125" style="3794" bestFit="1" customWidth="1"/>
    <col min="8934" max="8934" width="11.85546875" style="3794" bestFit="1" customWidth="1"/>
    <col min="8935" max="8936" width="10.28515625" style="3794" customWidth="1"/>
    <col min="8937" max="8938" width="12.42578125" style="3794" bestFit="1" customWidth="1"/>
    <col min="8939" max="8940" width="10.28515625" style="3794" customWidth="1"/>
    <col min="8941" max="8942" width="12.42578125" style="3794" bestFit="1" customWidth="1"/>
    <col min="8943" max="8944" width="10.28515625" style="3794" customWidth="1"/>
    <col min="8945" max="8946" width="12.42578125" style="3794" bestFit="1" customWidth="1"/>
    <col min="8947" max="8948" width="10.28515625" style="3794" customWidth="1"/>
    <col min="8949" max="8950" width="12.42578125" style="3794" bestFit="1" customWidth="1"/>
    <col min="8951" max="8952" width="10.28515625" style="3794" customWidth="1"/>
    <col min="8953" max="8954" width="12.42578125" style="3794" bestFit="1" customWidth="1"/>
    <col min="8955" max="9183" width="12.5703125" style="3794"/>
    <col min="9184" max="9184" width="0.85546875" style="3794" customWidth="1"/>
    <col min="9185" max="9185" width="9.42578125" style="3794" customWidth="1"/>
    <col min="9186" max="9186" width="14.7109375" style="3794" customWidth="1"/>
    <col min="9187" max="9188" width="10.28515625" style="3794" customWidth="1"/>
    <col min="9189" max="9189" width="12.42578125" style="3794" bestFit="1" customWidth="1"/>
    <col min="9190" max="9190" width="11.85546875" style="3794" bestFit="1" customWidth="1"/>
    <col min="9191" max="9192" width="10.28515625" style="3794" customWidth="1"/>
    <col min="9193" max="9194" width="12.42578125" style="3794" bestFit="1" customWidth="1"/>
    <col min="9195" max="9196" width="10.28515625" style="3794" customWidth="1"/>
    <col min="9197" max="9198" width="12.42578125" style="3794" bestFit="1" customWidth="1"/>
    <col min="9199" max="9200" width="10.28515625" style="3794" customWidth="1"/>
    <col min="9201" max="9202" width="12.42578125" style="3794" bestFit="1" customWidth="1"/>
    <col min="9203" max="9204" width="10.28515625" style="3794" customWidth="1"/>
    <col min="9205" max="9206" width="12.42578125" style="3794" bestFit="1" customWidth="1"/>
    <col min="9207" max="9208" width="10.28515625" style="3794" customWidth="1"/>
    <col min="9209" max="9210" width="12.42578125" style="3794" bestFit="1" customWidth="1"/>
    <col min="9211" max="9439" width="12.5703125" style="3794"/>
    <col min="9440" max="9440" width="0.85546875" style="3794" customWidth="1"/>
    <col min="9441" max="9441" width="9.42578125" style="3794" customWidth="1"/>
    <col min="9442" max="9442" width="14.7109375" style="3794" customWidth="1"/>
    <col min="9443" max="9444" width="10.28515625" style="3794" customWidth="1"/>
    <col min="9445" max="9445" width="12.42578125" style="3794" bestFit="1" customWidth="1"/>
    <col min="9446" max="9446" width="11.85546875" style="3794" bestFit="1" customWidth="1"/>
    <col min="9447" max="9448" width="10.28515625" style="3794" customWidth="1"/>
    <col min="9449" max="9450" width="12.42578125" style="3794" bestFit="1" customWidth="1"/>
    <col min="9451" max="9452" width="10.28515625" style="3794" customWidth="1"/>
    <col min="9453" max="9454" width="12.42578125" style="3794" bestFit="1" customWidth="1"/>
    <col min="9455" max="9456" width="10.28515625" style="3794" customWidth="1"/>
    <col min="9457" max="9458" width="12.42578125" style="3794" bestFit="1" customWidth="1"/>
    <col min="9459" max="9460" width="10.28515625" style="3794" customWidth="1"/>
    <col min="9461" max="9462" width="12.42578125" style="3794" bestFit="1" customWidth="1"/>
    <col min="9463" max="9464" width="10.28515625" style="3794" customWidth="1"/>
    <col min="9465" max="9466" width="12.42578125" style="3794" bestFit="1" customWidth="1"/>
    <col min="9467" max="9695" width="12.5703125" style="3794"/>
    <col min="9696" max="9696" width="0.85546875" style="3794" customWidth="1"/>
    <col min="9697" max="9697" width="9.42578125" style="3794" customWidth="1"/>
    <col min="9698" max="9698" width="14.7109375" style="3794" customWidth="1"/>
    <col min="9699" max="9700" width="10.28515625" style="3794" customWidth="1"/>
    <col min="9701" max="9701" width="12.42578125" style="3794" bestFit="1" customWidth="1"/>
    <col min="9702" max="9702" width="11.85546875" style="3794" bestFit="1" customWidth="1"/>
    <col min="9703" max="9704" width="10.28515625" style="3794" customWidth="1"/>
    <col min="9705" max="9706" width="12.42578125" style="3794" bestFit="1" customWidth="1"/>
    <col min="9707" max="9708" width="10.28515625" style="3794" customWidth="1"/>
    <col min="9709" max="9710" width="12.42578125" style="3794" bestFit="1" customWidth="1"/>
    <col min="9711" max="9712" width="10.28515625" style="3794" customWidth="1"/>
    <col min="9713" max="9714" width="12.42578125" style="3794" bestFit="1" customWidth="1"/>
    <col min="9715" max="9716" width="10.28515625" style="3794" customWidth="1"/>
    <col min="9717" max="9718" width="12.42578125" style="3794" bestFit="1" customWidth="1"/>
    <col min="9719" max="9720" width="10.28515625" style="3794" customWidth="1"/>
    <col min="9721" max="9722" width="12.42578125" style="3794" bestFit="1" customWidth="1"/>
    <col min="9723" max="9951" width="12.5703125" style="3794"/>
    <col min="9952" max="9952" width="0.85546875" style="3794" customWidth="1"/>
    <col min="9953" max="9953" width="9.42578125" style="3794" customWidth="1"/>
    <col min="9954" max="9954" width="14.7109375" style="3794" customWidth="1"/>
    <col min="9955" max="9956" width="10.28515625" style="3794" customWidth="1"/>
    <col min="9957" max="9957" width="12.42578125" style="3794" bestFit="1" customWidth="1"/>
    <col min="9958" max="9958" width="11.85546875" style="3794" bestFit="1" customWidth="1"/>
    <col min="9959" max="9960" width="10.28515625" style="3794" customWidth="1"/>
    <col min="9961" max="9962" width="12.42578125" style="3794" bestFit="1" customWidth="1"/>
    <col min="9963" max="9964" width="10.28515625" style="3794" customWidth="1"/>
    <col min="9965" max="9966" width="12.42578125" style="3794" bestFit="1" customWidth="1"/>
    <col min="9967" max="9968" width="10.28515625" style="3794" customWidth="1"/>
    <col min="9969" max="9970" width="12.42578125" style="3794" bestFit="1" customWidth="1"/>
    <col min="9971" max="9972" width="10.28515625" style="3794" customWidth="1"/>
    <col min="9973" max="9974" width="12.42578125" style="3794" bestFit="1" customWidth="1"/>
    <col min="9975" max="9976" width="10.28515625" style="3794" customWidth="1"/>
    <col min="9977" max="9978" width="12.42578125" style="3794" bestFit="1" customWidth="1"/>
    <col min="9979" max="10207" width="12.5703125" style="3794"/>
    <col min="10208" max="10208" width="0.85546875" style="3794" customWidth="1"/>
    <col min="10209" max="10209" width="9.42578125" style="3794" customWidth="1"/>
    <col min="10210" max="10210" width="14.7109375" style="3794" customWidth="1"/>
    <col min="10211" max="10212" width="10.28515625" style="3794" customWidth="1"/>
    <col min="10213" max="10213" width="12.42578125" style="3794" bestFit="1" customWidth="1"/>
    <col min="10214" max="10214" width="11.85546875" style="3794" bestFit="1" customWidth="1"/>
    <col min="10215" max="10216" width="10.28515625" style="3794" customWidth="1"/>
    <col min="10217" max="10218" width="12.42578125" style="3794" bestFit="1" customWidth="1"/>
    <col min="10219" max="10220" width="10.28515625" style="3794" customWidth="1"/>
    <col min="10221" max="10222" width="12.42578125" style="3794" bestFit="1" customWidth="1"/>
    <col min="10223" max="10224" width="10.28515625" style="3794" customWidth="1"/>
    <col min="10225" max="10226" width="12.42578125" style="3794" bestFit="1" customWidth="1"/>
    <col min="10227" max="10228" width="10.28515625" style="3794" customWidth="1"/>
    <col min="10229" max="10230" width="12.42578125" style="3794" bestFit="1" customWidth="1"/>
    <col min="10231" max="10232" width="10.28515625" style="3794" customWidth="1"/>
    <col min="10233" max="10234" width="12.42578125" style="3794" bestFit="1" customWidth="1"/>
    <col min="10235" max="10463" width="12.5703125" style="3794"/>
    <col min="10464" max="10464" width="0.85546875" style="3794" customWidth="1"/>
    <col min="10465" max="10465" width="9.42578125" style="3794" customWidth="1"/>
    <col min="10466" max="10466" width="14.7109375" style="3794" customWidth="1"/>
    <col min="10467" max="10468" width="10.28515625" style="3794" customWidth="1"/>
    <col min="10469" max="10469" width="12.42578125" style="3794" bestFit="1" customWidth="1"/>
    <col min="10470" max="10470" width="11.85546875" style="3794" bestFit="1" customWidth="1"/>
    <col min="10471" max="10472" width="10.28515625" style="3794" customWidth="1"/>
    <col min="10473" max="10474" width="12.42578125" style="3794" bestFit="1" customWidth="1"/>
    <col min="10475" max="10476" width="10.28515625" style="3794" customWidth="1"/>
    <col min="10477" max="10478" width="12.42578125" style="3794" bestFit="1" customWidth="1"/>
    <col min="10479" max="10480" width="10.28515625" style="3794" customWidth="1"/>
    <col min="10481" max="10482" width="12.42578125" style="3794" bestFit="1" customWidth="1"/>
    <col min="10483" max="10484" width="10.28515625" style="3794" customWidth="1"/>
    <col min="10485" max="10486" width="12.42578125" style="3794" bestFit="1" customWidth="1"/>
    <col min="10487" max="10488" width="10.28515625" style="3794" customWidth="1"/>
    <col min="10489" max="10490" width="12.42578125" style="3794" bestFit="1" customWidth="1"/>
    <col min="10491" max="10719" width="12.5703125" style="3794"/>
    <col min="10720" max="10720" width="0.85546875" style="3794" customWidth="1"/>
    <col min="10721" max="10721" width="9.42578125" style="3794" customWidth="1"/>
    <col min="10722" max="10722" width="14.7109375" style="3794" customWidth="1"/>
    <col min="10723" max="10724" width="10.28515625" style="3794" customWidth="1"/>
    <col min="10725" max="10725" width="12.42578125" style="3794" bestFit="1" customWidth="1"/>
    <col min="10726" max="10726" width="11.85546875" style="3794" bestFit="1" customWidth="1"/>
    <col min="10727" max="10728" width="10.28515625" style="3794" customWidth="1"/>
    <col min="10729" max="10730" width="12.42578125" style="3794" bestFit="1" customWidth="1"/>
    <col min="10731" max="10732" width="10.28515625" style="3794" customWidth="1"/>
    <col min="10733" max="10734" width="12.42578125" style="3794" bestFit="1" customWidth="1"/>
    <col min="10735" max="10736" width="10.28515625" style="3794" customWidth="1"/>
    <col min="10737" max="10738" width="12.42578125" style="3794" bestFit="1" customWidth="1"/>
    <col min="10739" max="10740" width="10.28515625" style="3794" customWidth="1"/>
    <col min="10741" max="10742" width="12.42578125" style="3794" bestFit="1" customWidth="1"/>
    <col min="10743" max="10744" width="10.28515625" style="3794" customWidth="1"/>
    <col min="10745" max="10746" width="12.42578125" style="3794" bestFit="1" customWidth="1"/>
    <col min="10747" max="10975" width="12.5703125" style="3794"/>
    <col min="10976" max="10976" width="0.85546875" style="3794" customWidth="1"/>
    <col min="10977" max="10977" width="9.42578125" style="3794" customWidth="1"/>
    <col min="10978" max="10978" width="14.7109375" style="3794" customWidth="1"/>
    <col min="10979" max="10980" width="10.28515625" style="3794" customWidth="1"/>
    <col min="10981" max="10981" width="12.42578125" style="3794" bestFit="1" customWidth="1"/>
    <col min="10982" max="10982" width="11.85546875" style="3794" bestFit="1" customWidth="1"/>
    <col min="10983" max="10984" width="10.28515625" style="3794" customWidth="1"/>
    <col min="10985" max="10986" width="12.42578125" style="3794" bestFit="1" customWidth="1"/>
    <col min="10987" max="10988" width="10.28515625" style="3794" customWidth="1"/>
    <col min="10989" max="10990" width="12.42578125" style="3794" bestFit="1" customWidth="1"/>
    <col min="10991" max="10992" width="10.28515625" style="3794" customWidth="1"/>
    <col min="10993" max="10994" width="12.42578125" style="3794" bestFit="1" customWidth="1"/>
    <col min="10995" max="10996" width="10.28515625" style="3794" customWidth="1"/>
    <col min="10997" max="10998" width="12.42578125" style="3794" bestFit="1" customWidth="1"/>
    <col min="10999" max="11000" width="10.28515625" style="3794" customWidth="1"/>
    <col min="11001" max="11002" width="12.42578125" style="3794" bestFit="1" customWidth="1"/>
    <col min="11003" max="11231" width="12.5703125" style="3794"/>
    <col min="11232" max="11232" width="0.85546875" style="3794" customWidth="1"/>
    <col min="11233" max="11233" width="9.42578125" style="3794" customWidth="1"/>
    <col min="11234" max="11234" width="14.7109375" style="3794" customWidth="1"/>
    <col min="11235" max="11236" width="10.28515625" style="3794" customWidth="1"/>
    <col min="11237" max="11237" width="12.42578125" style="3794" bestFit="1" customWidth="1"/>
    <col min="11238" max="11238" width="11.85546875" style="3794" bestFit="1" customWidth="1"/>
    <col min="11239" max="11240" width="10.28515625" style="3794" customWidth="1"/>
    <col min="11241" max="11242" width="12.42578125" style="3794" bestFit="1" customWidth="1"/>
    <col min="11243" max="11244" width="10.28515625" style="3794" customWidth="1"/>
    <col min="11245" max="11246" width="12.42578125" style="3794" bestFit="1" customWidth="1"/>
    <col min="11247" max="11248" width="10.28515625" style="3794" customWidth="1"/>
    <col min="11249" max="11250" width="12.42578125" style="3794" bestFit="1" customWidth="1"/>
    <col min="11251" max="11252" width="10.28515625" style="3794" customWidth="1"/>
    <col min="11253" max="11254" width="12.42578125" style="3794" bestFit="1" customWidth="1"/>
    <col min="11255" max="11256" width="10.28515625" style="3794" customWidth="1"/>
    <col min="11257" max="11258" width="12.42578125" style="3794" bestFit="1" customWidth="1"/>
    <col min="11259" max="11487" width="12.5703125" style="3794"/>
    <col min="11488" max="11488" width="0.85546875" style="3794" customWidth="1"/>
    <col min="11489" max="11489" width="9.42578125" style="3794" customWidth="1"/>
    <col min="11490" max="11490" width="14.7109375" style="3794" customWidth="1"/>
    <col min="11491" max="11492" width="10.28515625" style="3794" customWidth="1"/>
    <col min="11493" max="11493" width="12.42578125" style="3794" bestFit="1" customWidth="1"/>
    <col min="11494" max="11494" width="11.85546875" style="3794" bestFit="1" customWidth="1"/>
    <col min="11495" max="11496" width="10.28515625" style="3794" customWidth="1"/>
    <col min="11497" max="11498" width="12.42578125" style="3794" bestFit="1" customWidth="1"/>
    <col min="11499" max="11500" width="10.28515625" style="3794" customWidth="1"/>
    <col min="11501" max="11502" width="12.42578125" style="3794" bestFit="1" customWidth="1"/>
    <col min="11503" max="11504" width="10.28515625" style="3794" customWidth="1"/>
    <col min="11505" max="11506" width="12.42578125" style="3794" bestFit="1" customWidth="1"/>
    <col min="11507" max="11508" width="10.28515625" style="3794" customWidth="1"/>
    <col min="11509" max="11510" width="12.42578125" style="3794" bestFit="1" customWidth="1"/>
    <col min="11511" max="11512" width="10.28515625" style="3794" customWidth="1"/>
    <col min="11513" max="11514" width="12.42578125" style="3794" bestFit="1" customWidth="1"/>
    <col min="11515" max="11743" width="12.5703125" style="3794"/>
    <col min="11744" max="11744" width="0.85546875" style="3794" customWidth="1"/>
    <col min="11745" max="11745" width="9.42578125" style="3794" customWidth="1"/>
    <col min="11746" max="11746" width="14.7109375" style="3794" customWidth="1"/>
    <col min="11747" max="11748" width="10.28515625" style="3794" customWidth="1"/>
    <col min="11749" max="11749" width="12.42578125" style="3794" bestFit="1" customWidth="1"/>
    <col min="11750" max="11750" width="11.85546875" style="3794" bestFit="1" customWidth="1"/>
    <col min="11751" max="11752" width="10.28515625" style="3794" customWidth="1"/>
    <col min="11753" max="11754" width="12.42578125" style="3794" bestFit="1" customWidth="1"/>
    <col min="11755" max="11756" width="10.28515625" style="3794" customWidth="1"/>
    <col min="11757" max="11758" width="12.42578125" style="3794" bestFit="1" customWidth="1"/>
    <col min="11759" max="11760" width="10.28515625" style="3794" customWidth="1"/>
    <col min="11761" max="11762" width="12.42578125" style="3794" bestFit="1" customWidth="1"/>
    <col min="11763" max="11764" width="10.28515625" style="3794" customWidth="1"/>
    <col min="11765" max="11766" width="12.42578125" style="3794" bestFit="1" customWidth="1"/>
    <col min="11767" max="11768" width="10.28515625" style="3794" customWidth="1"/>
    <col min="11769" max="11770" width="12.42578125" style="3794" bestFit="1" customWidth="1"/>
    <col min="11771" max="11999" width="12.5703125" style="3794"/>
    <col min="12000" max="12000" width="0.85546875" style="3794" customWidth="1"/>
    <col min="12001" max="12001" width="9.42578125" style="3794" customWidth="1"/>
    <col min="12002" max="12002" width="14.7109375" style="3794" customWidth="1"/>
    <col min="12003" max="12004" width="10.28515625" style="3794" customWidth="1"/>
    <col min="12005" max="12005" width="12.42578125" style="3794" bestFit="1" customWidth="1"/>
    <col min="12006" max="12006" width="11.85546875" style="3794" bestFit="1" customWidth="1"/>
    <col min="12007" max="12008" width="10.28515625" style="3794" customWidth="1"/>
    <col min="12009" max="12010" width="12.42578125" style="3794" bestFit="1" customWidth="1"/>
    <col min="12011" max="12012" width="10.28515625" style="3794" customWidth="1"/>
    <col min="12013" max="12014" width="12.42578125" style="3794" bestFit="1" customWidth="1"/>
    <col min="12015" max="12016" width="10.28515625" style="3794" customWidth="1"/>
    <col min="12017" max="12018" width="12.42578125" style="3794" bestFit="1" customWidth="1"/>
    <col min="12019" max="12020" width="10.28515625" style="3794" customWidth="1"/>
    <col min="12021" max="12022" width="12.42578125" style="3794" bestFit="1" customWidth="1"/>
    <col min="12023" max="12024" width="10.28515625" style="3794" customWidth="1"/>
    <col min="12025" max="12026" width="12.42578125" style="3794" bestFit="1" customWidth="1"/>
    <col min="12027" max="12255" width="12.5703125" style="3794"/>
    <col min="12256" max="12256" width="0.85546875" style="3794" customWidth="1"/>
    <col min="12257" max="12257" width="9.42578125" style="3794" customWidth="1"/>
    <col min="12258" max="12258" width="14.7109375" style="3794" customWidth="1"/>
    <col min="12259" max="12260" width="10.28515625" style="3794" customWidth="1"/>
    <col min="12261" max="12261" width="12.42578125" style="3794" bestFit="1" customWidth="1"/>
    <col min="12262" max="12262" width="11.85546875" style="3794" bestFit="1" customWidth="1"/>
    <col min="12263" max="12264" width="10.28515625" style="3794" customWidth="1"/>
    <col min="12265" max="12266" width="12.42578125" style="3794" bestFit="1" customWidth="1"/>
    <col min="12267" max="12268" width="10.28515625" style="3794" customWidth="1"/>
    <col min="12269" max="12270" width="12.42578125" style="3794" bestFit="1" customWidth="1"/>
    <col min="12271" max="12272" width="10.28515625" style="3794" customWidth="1"/>
    <col min="12273" max="12274" width="12.42578125" style="3794" bestFit="1" customWidth="1"/>
    <col min="12275" max="12276" width="10.28515625" style="3794" customWidth="1"/>
    <col min="12277" max="12278" width="12.42578125" style="3794" bestFit="1" customWidth="1"/>
    <col min="12279" max="12280" width="10.28515625" style="3794" customWidth="1"/>
    <col min="12281" max="12282" width="12.42578125" style="3794" bestFit="1" customWidth="1"/>
    <col min="12283" max="12511" width="12.5703125" style="3794"/>
    <col min="12512" max="12512" width="0.85546875" style="3794" customWidth="1"/>
    <col min="12513" max="12513" width="9.42578125" style="3794" customWidth="1"/>
    <col min="12514" max="12514" width="14.7109375" style="3794" customWidth="1"/>
    <col min="12515" max="12516" width="10.28515625" style="3794" customWidth="1"/>
    <col min="12517" max="12517" width="12.42578125" style="3794" bestFit="1" customWidth="1"/>
    <col min="12518" max="12518" width="11.85546875" style="3794" bestFit="1" customWidth="1"/>
    <col min="12519" max="12520" width="10.28515625" style="3794" customWidth="1"/>
    <col min="12521" max="12522" width="12.42578125" style="3794" bestFit="1" customWidth="1"/>
    <col min="12523" max="12524" width="10.28515625" style="3794" customWidth="1"/>
    <col min="12525" max="12526" width="12.42578125" style="3794" bestFit="1" customWidth="1"/>
    <col min="12527" max="12528" width="10.28515625" style="3794" customWidth="1"/>
    <col min="12529" max="12530" width="12.42578125" style="3794" bestFit="1" customWidth="1"/>
    <col min="12531" max="12532" width="10.28515625" style="3794" customWidth="1"/>
    <col min="12533" max="12534" width="12.42578125" style="3794" bestFit="1" customWidth="1"/>
    <col min="12535" max="12536" width="10.28515625" style="3794" customWidth="1"/>
    <col min="12537" max="12538" width="12.42578125" style="3794" bestFit="1" customWidth="1"/>
    <col min="12539" max="12767" width="12.5703125" style="3794"/>
    <col min="12768" max="12768" width="0.85546875" style="3794" customWidth="1"/>
    <col min="12769" max="12769" width="9.42578125" style="3794" customWidth="1"/>
    <col min="12770" max="12770" width="14.7109375" style="3794" customWidth="1"/>
    <col min="12771" max="12772" width="10.28515625" style="3794" customWidth="1"/>
    <col min="12773" max="12773" width="12.42578125" style="3794" bestFit="1" customWidth="1"/>
    <col min="12774" max="12774" width="11.85546875" style="3794" bestFit="1" customWidth="1"/>
    <col min="12775" max="12776" width="10.28515625" style="3794" customWidth="1"/>
    <col min="12777" max="12778" width="12.42578125" style="3794" bestFit="1" customWidth="1"/>
    <col min="12779" max="12780" width="10.28515625" style="3794" customWidth="1"/>
    <col min="12781" max="12782" width="12.42578125" style="3794" bestFit="1" customWidth="1"/>
    <col min="12783" max="12784" width="10.28515625" style="3794" customWidth="1"/>
    <col min="12785" max="12786" width="12.42578125" style="3794" bestFit="1" customWidth="1"/>
    <col min="12787" max="12788" width="10.28515625" style="3794" customWidth="1"/>
    <col min="12789" max="12790" width="12.42578125" style="3794" bestFit="1" customWidth="1"/>
    <col min="12791" max="12792" width="10.28515625" style="3794" customWidth="1"/>
    <col min="12793" max="12794" width="12.42578125" style="3794" bestFit="1" customWidth="1"/>
    <col min="12795" max="13023" width="12.5703125" style="3794"/>
    <col min="13024" max="13024" width="0.85546875" style="3794" customWidth="1"/>
    <col min="13025" max="13025" width="9.42578125" style="3794" customWidth="1"/>
    <col min="13026" max="13026" width="14.7109375" style="3794" customWidth="1"/>
    <col min="13027" max="13028" width="10.28515625" style="3794" customWidth="1"/>
    <col min="13029" max="13029" width="12.42578125" style="3794" bestFit="1" customWidth="1"/>
    <col min="13030" max="13030" width="11.85546875" style="3794" bestFit="1" customWidth="1"/>
    <col min="13031" max="13032" width="10.28515625" style="3794" customWidth="1"/>
    <col min="13033" max="13034" width="12.42578125" style="3794" bestFit="1" customWidth="1"/>
    <col min="13035" max="13036" width="10.28515625" style="3794" customWidth="1"/>
    <col min="13037" max="13038" width="12.42578125" style="3794" bestFit="1" customWidth="1"/>
    <col min="13039" max="13040" width="10.28515625" style="3794" customWidth="1"/>
    <col min="13041" max="13042" width="12.42578125" style="3794" bestFit="1" customWidth="1"/>
    <col min="13043" max="13044" width="10.28515625" style="3794" customWidth="1"/>
    <col min="13045" max="13046" width="12.42578125" style="3794" bestFit="1" customWidth="1"/>
    <col min="13047" max="13048" width="10.28515625" style="3794" customWidth="1"/>
    <col min="13049" max="13050" width="12.42578125" style="3794" bestFit="1" customWidth="1"/>
    <col min="13051" max="13279" width="12.5703125" style="3794"/>
    <col min="13280" max="13280" width="0.85546875" style="3794" customWidth="1"/>
    <col min="13281" max="13281" width="9.42578125" style="3794" customWidth="1"/>
    <col min="13282" max="13282" width="14.7109375" style="3794" customWidth="1"/>
    <col min="13283" max="13284" width="10.28515625" style="3794" customWidth="1"/>
    <col min="13285" max="13285" width="12.42578125" style="3794" bestFit="1" customWidth="1"/>
    <col min="13286" max="13286" width="11.85546875" style="3794" bestFit="1" customWidth="1"/>
    <col min="13287" max="13288" width="10.28515625" style="3794" customWidth="1"/>
    <col min="13289" max="13290" width="12.42578125" style="3794" bestFit="1" customWidth="1"/>
    <col min="13291" max="13292" width="10.28515625" style="3794" customWidth="1"/>
    <col min="13293" max="13294" width="12.42578125" style="3794" bestFit="1" customWidth="1"/>
    <col min="13295" max="13296" width="10.28515625" style="3794" customWidth="1"/>
    <col min="13297" max="13298" width="12.42578125" style="3794" bestFit="1" customWidth="1"/>
    <col min="13299" max="13300" width="10.28515625" style="3794" customWidth="1"/>
    <col min="13301" max="13302" width="12.42578125" style="3794" bestFit="1" customWidth="1"/>
    <col min="13303" max="13304" width="10.28515625" style="3794" customWidth="1"/>
    <col min="13305" max="13306" width="12.42578125" style="3794" bestFit="1" customWidth="1"/>
    <col min="13307" max="13535" width="12.5703125" style="3794"/>
    <col min="13536" max="13536" width="0.85546875" style="3794" customWidth="1"/>
    <col min="13537" max="13537" width="9.42578125" style="3794" customWidth="1"/>
    <col min="13538" max="13538" width="14.7109375" style="3794" customWidth="1"/>
    <col min="13539" max="13540" width="10.28515625" style="3794" customWidth="1"/>
    <col min="13541" max="13541" width="12.42578125" style="3794" bestFit="1" customWidth="1"/>
    <col min="13542" max="13542" width="11.85546875" style="3794" bestFit="1" customWidth="1"/>
    <col min="13543" max="13544" width="10.28515625" style="3794" customWidth="1"/>
    <col min="13545" max="13546" width="12.42578125" style="3794" bestFit="1" customWidth="1"/>
    <col min="13547" max="13548" width="10.28515625" style="3794" customWidth="1"/>
    <col min="13549" max="13550" width="12.42578125" style="3794" bestFit="1" customWidth="1"/>
    <col min="13551" max="13552" width="10.28515625" style="3794" customWidth="1"/>
    <col min="13553" max="13554" width="12.42578125" style="3794" bestFit="1" customWidth="1"/>
    <col min="13555" max="13556" width="10.28515625" style="3794" customWidth="1"/>
    <col min="13557" max="13558" width="12.42578125" style="3794" bestFit="1" customWidth="1"/>
    <col min="13559" max="13560" width="10.28515625" style="3794" customWidth="1"/>
    <col min="13561" max="13562" width="12.42578125" style="3794" bestFit="1" customWidth="1"/>
    <col min="13563" max="13791" width="12.5703125" style="3794"/>
    <col min="13792" max="13792" width="0.85546875" style="3794" customWidth="1"/>
    <col min="13793" max="13793" width="9.42578125" style="3794" customWidth="1"/>
    <col min="13794" max="13794" width="14.7109375" style="3794" customWidth="1"/>
    <col min="13795" max="13796" width="10.28515625" style="3794" customWidth="1"/>
    <col min="13797" max="13797" width="12.42578125" style="3794" bestFit="1" customWidth="1"/>
    <col min="13798" max="13798" width="11.85546875" style="3794" bestFit="1" customWidth="1"/>
    <col min="13799" max="13800" width="10.28515625" style="3794" customWidth="1"/>
    <col min="13801" max="13802" width="12.42578125" style="3794" bestFit="1" customWidth="1"/>
    <col min="13803" max="13804" width="10.28515625" style="3794" customWidth="1"/>
    <col min="13805" max="13806" width="12.42578125" style="3794" bestFit="1" customWidth="1"/>
    <col min="13807" max="13808" width="10.28515625" style="3794" customWidth="1"/>
    <col min="13809" max="13810" width="12.42578125" style="3794" bestFit="1" customWidth="1"/>
    <col min="13811" max="13812" width="10.28515625" style="3794" customWidth="1"/>
    <col min="13813" max="13814" width="12.42578125" style="3794" bestFit="1" customWidth="1"/>
    <col min="13815" max="13816" width="10.28515625" style="3794" customWidth="1"/>
    <col min="13817" max="13818" width="12.42578125" style="3794" bestFit="1" customWidth="1"/>
    <col min="13819" max="14047" width="12.5703125" style="3794"/>
    <col min="14048" max="14048" width="0.85546875" style="3794" customWidth="1"/>
    <col min="14049" max="14049" width="9.42578125" style="3794" customWidth="1"/>
    <col min="14050" max="14050" width="14.7109375" style="3794" customWidth="1"/>
    <col min="14051" max="14052" width="10.28515625" style="3794" customWidth="1"/>
    <col min="14053" max="14053" width="12.42578125" style="3794" bestFit="1" customWidth="1"/>
    <col min="14054" max="14054" width="11.85546875" style="3794" bestFit="1" customWidth="1"/>
    <col min="14055" max="14056" width="10.28515625" style="3794" customWidth="1"/>
    <col min="14057" max="14058" width="12.42578125" style="3794" bestFit="1" customWidth="1"/>
    <col min="14059" max="14060" width="10.28515625" style="3794" customWidth="1"/>
    <col min="14061" max="14062" width="12.42578125" style="3794" bestFit="1" customWidth="1"/>
    <col min="14063" max="14064" width="10.28515625" style="3794" customWidth="1"/>
    <col min="14065" max="14066" width="12.42578125" style="3794" bestFit="1" customWidth="1"/>
    <col min="14067" max="14068" width="10.28515625" style="3794" customWidth="1"/>
    <col min="14069" max="14070" width="12.42578125" style="3794" bestFit="1" customWidth="1"/>
    <col min="14071" max="14072" width="10.28515625" style="3794" customWidth="1"/>
    <col min="14073" max="14074" width="12.42578125" style="3794" bestFit="1" customWidth="1"/>
    <col min="14075" max="14303" width="12.5703125" style="3794"/>
    <col min="14304" max="14304" width="0.85546875" style="3794" customWidth="1"/>
    <col min="14305" max="14305" width="9.42578125" style="3794" customWidth="1"/>
    <col min="14306" max="14306" width="14.7109375" style="3794" customWidth="1"/>
    <col min="14307" max="14308" width="10.28515625" style="3794" customWidth="1"/>
    <col min="14309" max="14309" width="12.42578125" style="3794" bestFit="1" customWidth="1"/>
    <col min="14310" max="14310" width="11.85546875" style="3794" bestFit="1" customWidth="1"/>
    <col min="14311" max="14312" width="10.28515625" style="3794" customWidth="1"/>
    <col min="14313" max="14314" width="12.42578125" style="3794" bestFit="1" customWidth="1"/>
    <col min="14315" max="14316" width="10.28515625" style="3794" customWidth="1"/>
    <col min="14317" max="14318" width="12.42578125" style="3794" bestFit="1" customWidth="1"/>
    <col min="14319" max="14320" width="10.28515625" style="3794" customWidth="1"/>
    <col min="14321" max="14322" width="12.42578125" style="3794" bestFit="1" customWidth="1"/>
    <col min="14323" max="14324" width="10.28515625" style="3794" customWidth="1"/>
    <col min="14325" max="14326" width="12.42578125" style="3794" bestFit="1" customWidth="1"/>
    <col min="14327" max="14328" width="10.28515625" style="3794" customWidth="1"/>
    <col min="14329" max="14330" width="12.42578125" style="3794" bestFit="1" customWidth="1"/>
    <col min="14331" max="14559" width="12.5703125" style="3794"/>
    <col min="14560" max="14560" width="0.85546875" style="3794" customWidth="1"/>
    <col min="14561" max="14561" width="9.42578125" style="3794" customWidth="1"/>
    <col min="14562" max="14562" width="14.7109375" style="3794" customWidth="1"/>
    <col min="14563" max="14564" width="10.28515625" style="3794" customWidth="1"/>
    <col min="14565" max="14565" width="12.42578125" style="3794" bestFit="1" customWidth="1"/>
    <col min="14566" max="14566" width="11.85546875" style="3794" bestFit="1" customWidth="1"/>
    <col min="14567" max="14568" width="10.28515625" style="3794" customWidth="1"/>
    <col min="14569" max="14570" width="12.42578125" style="3794" bestFit="1" customWidth="1"/>
    <col min="14571" max="14572" width="10.28515625" style="3794" customWidth="1"/>
    <col min="14573" max="14574" width="12.42578125" style="3794" bestFit="1" customWidth="1"/>
    <col min="14575" max="14576" width="10.28515625" style="3794" customWidth="1"/>
    <col min="14577" max="14578" width="12.42578125" style="3794" bestFit="1" customWidth="1"/>
    <col min="14579" max="14580" width="10.28515625" style="3794" customWidth="1"/>
    <col min="14581" max="14582" width="12.42578125" style="3794" bestFit="1" customWidth="1"/>
    <col min="14583" max="14584" width="10.28515625" style="3794" customWidth="1"/>
    <col min="14585" max="14586" width="12.42578125" style="3794" bestFit="1" customWidth="1"/>
    <col min="14587" max="14815" width="12.5703125" style="3794"/>
    <col min="14816" max="14816" width="0.85546875" style="3794" customWidth="1"/>
    <col min="14817" max="14817" width="9.42578125" style="3794" customWidth="1"/>
    <col min="14818" max="14818" width="14.7109375" style="3794" customWidth="1"/>
    <col min="14819" max="14820" width="10.28515625" style="3794" customWidth="1"/>
    <col min="14821" max="14821" width="12.42578125" style="3794" bestFit="1" customWidth="1"/>
    <col min="14822" max="14822" width="11.85546875" style="3794" bestFit="1" customWidth="1"/>
    <col min="14823" max="14824" width="10.28515625" style="3794" customWidth="1"/>
    <col min="14825" max="14826" width="12.42578125" style="3794" bestFit="1" customWidth="1"/>
    <col min="14827" max="14828" width="10.28515625" style="3794" customWidth="1"/>
    <col min="14829" max="14830" width="12.42578125" style="3794" bestFit="1" customWidth="1"/>
    <col min="14831" max="14832" width="10.28515625" style="3794" customWidth="1"/>
    <col min="14833" max="14834" width="12.42578125" style="3794" bestFit="1" customWidth="1"/>
    <col min="14835" max="14836" width="10.28515625" style="3794" customWidth="1"/>
    <col min="14837" max="14838" width="12.42578125" style="3794" bestFit="1" customWidth="1"/>
    <col min="14839" max="14840" width="10.28515625" style="3794" customWidth="1"/>
    <col min="14841" max="14842" width="12.42578125" style="3794" bestFit="1" customWidth="1"/>
    <col min="14843" max="15071" width="12.5703125" style="3794"/>
    <col min="15072" max="15072" width="0.85546875" style="3794" customWidth="1"/>
    <col min="15073" max="15073" width="9.42578125" style="3794" customWidth="1"/>
    <col min="15074" max="15074" width="14.7109375" style="3794" customWidth="1"/>
    <col min="15075" max="15076" width="10.28515625" style="3794" customWidth="1"/>
    <col min="15077" max="15077" width="12.42578125" style="3794" bestFit="1" customWidth="1"/>
    <col min="15078" max="15078" width="11.85546875" style="3794" bestFit="1" customWidth="1"/>
    <col min="15079" max="15080" width="10.28515625" style="3794" customWidth="1"/>
    <col min="15081" max="15082" width="12.42578125" style="3794" bestFit="1" customWidth="1"/>
    <col min="15083" max="15084" width="10.28515625" style="3794" customWidth="1"/>
    <col min="15085" max="15086" width="12.42578125" style="3794" bestFit="1" customWidth="1"/>
    <col min="15087" max="15088" width="10.28515625" style="3794" customWidth="1"/>
    <col min="15089" max="15090" width="12.42578125" style="3794" bestFit="1" customWidth="1"/>
    <col min="15091" max="15092" width="10.28515625" style="3794" customWidth="1"/>
    <col min="15093" max="15094" width="12.42578125" style="3794" bestFit="1" customWidth="1"/>
    <col min="15095" max="15096" width="10.28515625" style="3794" customWidth="1"/>
    <col min="15097" max="15098" width="12.42578125" style="3794" bestFit="1" customWidth="1"/>
    <col min="15099" max="15327" width="12.5703125" style="3794"/>
    <col min="15328" max="15328" width="0.85546875" style="3794" customWidth="1"/>
    <col min="15329" max="15329" width="9.42578125" style="3794" customWidth="1"/>
    <col min="15330" max="15330" width="14.7109375" style="3794" customWidth="1"/>
    <col min="15331" max="15332" width="10.28515625" style="3794" customWidth="1"/>
    <col min="15333" max="15333" width="12.42578125" style="3794" bestFit="1" customWidth="1"/>
    <col min="15334" max="15334" width="11.85546875" style="3794" bestFit="1" customWidth="1"/>
    <col min="15335" max="15336" width="10.28515625" style="3794" customWidth="1"/>
    <col min="15337" max="15338" width="12.42578125" style="3794" bestFit="1" customWidth="1"/>
    <col min="15339" max="15340" width="10.28515625" style="3794" customWidth="1"/>
    <col min="15341" max="15342" width="12.42578125" style="3794" bestFit="1" customWidth="1"/>
    <col min="15343" max="15344" width="10.28515625" style="3794" customWidth="1"/>
    <col min="15345" max="15346" width="12.42578125" style="3794" bestFit="1" customWidth="1"/>
    <col min="15347" max="15348" width="10.28515625" style="3794" customWidth="1"/>
    <col min="15349" max="15350" width="12.42578125" style="3794" bestFit="1" customWidth="1"/>
    <col min="15351" max="15352" width="10.28515625" style="3794" customWidth="1"/>
    <col min="15353" max="15354" width="12.42578125" style="3794" bestFit="1" customWidth="1"/>
    <col min="15355" max="15583" width="12.5703125" style="3794"/>
    <col min="15584" max="15584" width="0.85546875" style="3794" customWidth="1"/>
    <col min="15585" max="15585" width="9.42578125" style="3794" customWidth="1"/>
    <col min="15586" max="15586" width="14.7109375" style="3794" customWidth="1"/>
    <col min="15587" max="15588" width="10.28515625" style="3794" customWidth="1"/>
    <col min="15589" max="15589" width="12.42578125" style="3794" bestFit="1" customWidth="1"/>
    <col min="15590" max="15590" width="11.85546875" style="3794" bestFit="1" customWidth="1"/>
    <col min="15591" max="15592" width="10.28515625" style="3794" customWidth="1"/>
    <col min="15593" max="15594" width="12.42578125" style="3794" bestFit="1" customWidth="1"/>
    <col min="15595" max="15596" width="10.28515625" style="3794" customWidth="1"/>
    <col min="15597" max="15598" width="12.42578125" style="3794" bestFit="1" customWidth="1"/>
    <col min="15599" max="15600" width="10.28515625" style="3794" customWidth="1"/>
    <col min="15601" max="15602" width="12.42578125" style="3794" bestFit="1" customWidth="1"/>
    <col min="15603" max="15604" width="10.28515625" style="3794" customWidth="1"/>
    <col min="15605" max="15606" width="12.42578125" style="3794" bestFit="1" customWidth="1"/>
    <col min="15607" max="15608" width="10.28515625" style="3794" customWidth="1"/>
    <col min="15609" max="15610" width="12.42578125" style="3794" bestFit="1" customWidth="1"/>
    <col min="15611" max="15839" width="12.5703125" style="3794"/>
    <col min="15840" max="15840" width="0.85546875" style="3794" customWidth="1"/>
    <col min="15841" max="15841" width="9.42578125" style="3794" customWidth="1"/>
    <col min="15842" max="15842" width="14.7109375" style="3794" customWidth="1"/>
    <col min="15843" max="15844" width="10.28515625" style="3794" customWidth="1"/>
    <col min="15845" max="15845" width="12.42578125" style="3794" bestFit="1" customWidth="1"/>
    <col min="15846" max="15846" width="11.85546875" style="3794" bestFit="1" customWidth="1"/>
    <col min="15847" max="15848" width="10.28515625" style="3794" customWidth="1"/>
    <col min="15849" max="15850" width="12.42578125" style="3794" bestFit="1" customWidth="1"/>
    <col min="15851" max="15852" width="10.28515625" style="3794" customWidth="1"/>
    <col min="15853" max="15854" width="12.42578125" style="3794" bestFit="1" customWidth="1"/>
    <col min="15855" max="15856" width="10.28515625" style="3794" customWidth="1"/>
    <col min="15857" max="15858" width="12.42578125" style="3794" bestFit="1" customWidth="1"/>
    <col min="15859" max="15860" width="10.28515625" style="3794" customWidth="1"/>
    <col min="15861" max="15862" width="12.42578125" style="3794" bestFit="1" customWidth="1"/>
    <col min="15863" max="15864" width="10.28515625" style="3794" customWidth="1"/>
    <col min="15865" max="15866" width="12.42578125" style="3794" bestFit="1" customWidth="1"/>
    <col min="15867" max="16095" width="12.5703125" style="3794"/>
    <col min="16096" max="16096" width="0.85546875" style="3794" customWidth="1"/>
    <col min="16097" max="16097" width="9.42578125" style="3794" customWidth="1"/>
    <col min="16098" max="16098" width="14.7109375" style="3794" customWidth="1"/>
    <col min="16099" max="16100" width="10.28515625" style="3794" customWidth="1"/>
    <col min="16101" max="16101" width="12.42578125" style="3794" bestFit="1" customWidth="1"/>
    <col min="16102" max="16102" width="11.85546875" style="3794" bestFit="1" customWidth="1"/>
    <col min="16103" max="16104" width="10.28515625" style="3794" customWidth="1"/>
    <col min="16105" max="16106" width="12.42578125" style="3794" bestFit="1" customWidth="1"/>
    <col min="16107" max="16108" width="10.28515625" style="3794" customWidth="1"/>
    <col min="16109" max="16110" width="12.42578125" style="3794" bestFit="1" customWidth="1"/>
    <col min="16111" max="16112" width="10.28515625" style="3794" customWidth="1"/>
    <col min="16113" max="16114" width="12.42578125" style="3794" bestFit="1" customWidth="1"/>
    <col min="16115" max="16116" width="10.28515625" style="3794" customWidth="1"/>
    <col min="16117" max="16118" width="12.42578125" style="3794" bestFit="1" customWidth="1"/>
    <col min="16119" max="16120" width="10.28515625" style="3794" customWidth="1"/>
    <col min="16121" max="16122" width="12.42578125" style="3794" bestFit="1" customWidth="1"/>
    <col min="16123" max="16384" width="12.5703125" style="3794"/>
  </cols>
  <sheetData>
    <row r="1" spans="1:62" ht="60.75" customHeight="1" x14ac:dyDescent="0.3">
      <c r="A1" s="7126" t="s">
        <v>1299</v>
      </c>
      <c r="B1" s="7126"/>
      <c r="D1" s="3796"/>
      <c r="E1" s="3796"/>
      <c r="F1" s="3796"/>
      <c r="G1" s="3796"/>
      <c r="H1" s="3796"/>
      <c r="I1" s="3796"/>
      <c r="J1" s="3796"/>
      <c r="K1" s="3796"/>
      <c r="L1" s="3796"/>
      <c r="M1" s="3796"/>
      <c r="N1" s="3796"/>
      <c r="O1" s="3796"/>
      <c r="P1" s="3796"/>
      <c r="Q1" s="3796"/>
      <c r="R1" s="3796"/>
      <c r="S1" s="3796"/>
      <c r="T1" s="3796"/>
      <c r="U1" s="3796"/>
      <c r="V1" s="3796"/>
      <c r="X1" s="3796"/>
      <c r="Y1" s="3796"/>
      <c r="Z1" s="3796"/>
      <c r="AB1" s="3796"/>
      <c r="AC1" s="3796"/>
      <c r="AD1" s="3796"/>
      <c r="AE1" s="3796"/>
      <c r="AF1" s="3796"/>
      <c r="AG1" s="3796"/>
      <c r="AH1" s="3796"/>
      <c r="AI1" s="3796"/>
      <c r="AJ1" s="3796"/>
      <c r="AK1" s="3796"/>
      <c r="AL1" s="3796"/>
      <c r="AM1" s="3796"/>
      <c r="AN1" s="3796"/>
      <c r="AO1" s="3796"/>
      <c r="AP1" s="3796"/>
      <c r="AQ1" s="3796"/>
      <c r="AR1" s="3796"/>
      <c r="AS1" s="3796"/>
      <c r="AT1" s="3796"/>
      <c r="AU1" s="3796"/>
      <c r="AV1" s="3796"/>
      <c r="AW1" s="3796"/>
      <c r="AX1" s="3880"/>
      <c r="BJ1" s="5303" t="s">
        <v>76</v>
      </c>
    </row>
    <row r="2" spans="1:62" ht="11.25" customHeight="1" x14ac:dyDescent="0.2">
      <c r="A2" s="3879"/>
      <c r="B2" s="3797"/>
      <c r="C2" s="3797"/>
      <c r="D2" s="3797"/>
      <c r="E2" s="3797"/>
      <c r="F2" s="3797"/>
      <c r="G2" s="3797"/>
      <c r="H2" s="3797"/>
      <c r="I2" s="3797"/>
      <c r="J2" s="3797"/>
      <c r="K2" s="3797"/>
      <c r="L2" s="3797"/>
      <c r="M2" s="3797"/>
      <c r="N2" s="3797"/>
      <c r="O2" s="3797"/>
      <c r="P2" s="3797"/>
      <c r="Q2" s="3797"/>
      <c r="R2" s="3797"/>
      <c r="S2" s="3797"/>
      <c r="T2" s="3797"/>
      <c r="U2" s="3797"/>
      <c r="V2" s="3797"/>
    </row>
    <row r="3" spans="1:62" x14ac:dyDescent="0.2">
      <c r="A3" s="7134" t="s">
        <v>16</v>
      </c>
      <c r="B3" s="7143" t="s">
        <v>4</v>
      </c>
      <c r="C3" s="7139">
        <v>2003</v>
      </c>
      <c r="D3" s="7140"/>
      <c r="E3" s="7140"/>
      <c r="F3" s="7141"/>
      <c r="G3" s="7139">
        <v>2004</v>
      </c>
      <c r="H3" s="7140"/>
      <c r="I3" s="7140"/>
      <c r="J3" s="7141"/>
      <c r="K3" s="7139">
        <v>2005</v>
      </c>
      <c r="L3" s="7140"/>
      <c r="M3" s="7140"/>
      <c r="N3" s="7141"/>
      <c r="O3" s="7139">
        <v>2006</v>
      </c>
      <c r="P3" s="7140"/>
      <c r="Q3" s="7140"/>
      <c r="R3" s="7141"/>
      <c r="S3" s="7139">
        <v>2007</v>
      </c>
      <c r="T3" s="7140"/>
      <c r="U3" s="7140"/>
      <c r="V3" s="7141"/>
      <c r="W3" s="7139">
        <v>2008</v>
      </c>
      <c r="X3" s="7140"/>
      <c r="Y3" s="7140"/>
      <c r="Z3" s="7141"/>
      <c r="AA3" s="7139">
        <v>2009</v>
      </c>
      <c r="AB3" s="7140"/>
      <c r="AC3" s="7140"/>
      <c r="AD3" s="7141"/>
      <c r="AE3" s="7139">
        <v>2010</v>
      </c>
      <c r="AF3" s="7140"/>
      <c r="AG3" s="7140"/>
      <c r="AH3" s="7141"/>
      <c r="AI3" s="7139">
        <v>2011</v>
      </c>
      <c r="AJ3" s="7140"/>
      <c r="AK3" s="7140"/>
      <c r="AL3" s="7141"/>
      <c r="AM3" s="7139">
        <v>2012</v>
      </c>
      <c r="AN3" s="7140"/>
      <c r="AO3" s="7140"/>
      <c r="AP3" s="7141"/>
      <c r="AQ3" s="7139">
        <v>2013</v>
      </c>
      <c r="AR3" s="7140"/>
      <c r="AS3" s="7140"/>
      <c r="AT3" s="7141"/>
      <c r="AU3" s="7139">
        <v>2014</v>
      </c>
      <c r="AV3" s="7140"/>
      <c r="AW3" s="7140"/>
      <c r="AX3" s="7141"/>
      <c r="AY3" s="7139">
        <v>2015</v>
      </c>
      <c r="AZ3" s="7140"/>
      <c r="BA3" s="7140"/>
      <c r="BB3" s="7141"/>
      <c r="BC3" s="7139">
        <v>2016</v>
      </c>
      <c r="BD3" s="7140"/>
      <c r="BE3" s="7140"/>
      <c r="BF3" s="7141"/>
      <c r="BG3" s="7145">
        <v>2017</v>
      </c>
      <c r="BH3" s="7146"/>
      <c r="BI3" s="7146"/>
      <c r="BJ3" s="7147"/>
    </row>
    <row r="4" spans="1:62" x14ac:dyDescent="0.2">
      <c r="A4" s="7135"/>
      <c r="B4" s="7144"/>
      <c r="C4" s="3798" t="s">
        <v>1286</v>
      </c>
      <c r="D4" s="3799" t="s">
        <v>1287</v>
      </c>
      <c r="E4" s="3800" t="s">
        <v>1288</v>
      </c>
      <c r="F4" s="3801" t="s">
        <v>12</v>
      </c>
      <c r="G4" s="3798" t="s">
        <v>1286</v>
      </c>
      <c r="H4" s="3799" t="s">
        <v>1287</v>
      </c>
      <c r="I4" s="3800" t="s">
        <v>1288</v>
      </c>
      <c r="J4" s="3801" t="s">
        <v>12</v>
      </c>
      <c r="K4" s="3798" t="s">
        <v>1286</v>
      </c>
      <c r="L4" s="3799" t="s">
        <v>1287</v>
      </c>
      <c r="M4" s="3800" t="s">
        <v>1288</v>
      </c>
      <c r="N4" s="3801" t="s">
        <v>12</v>
      </c>
      <c r="O4" s="3798" t="s">
        <v>1286</v>
      </c>
      <c r="P4" s="3799" t="s">
        <v>1287</v>
      </c>
      <c r="Q4" s="3800" t="s">
        <v>1288</v>
      </c>
      <c r="R4" s="3801" t="s">
        <v>12</v>
      </c>
      <c r="S4" s="3798" t="s">
        <v>1286</v>
      </c>
      <c r="T4" s="3799" t="s">
        <v>1287</v>
      </c>
      <c r="U4" s="3800" t="s">
        <v>1288</v>
      </c>
      <c r="V4" s="3801" t="s">
        <v>12</v>
      </c>
      <c r="W4" s="3798" t="s">
        <v>1286</v>
      </c>
      <c r="X4" s="3799" t="s">
        <v>1287</v>
      </c>
      <c r="Y4" s="3800" t="s">
        <v>1288</v>
      </c>
      <c r="Z4" s="3801" t="s">
        <v>12</v>
      </c>
      <c r="AA4" s="3798" t="s">
        <v>1286</v>
      </c>
      <c r="AB4" s="3799" t="s">
        <v>1287</v>
      </c>
      <c r="AC4" s="3800" t="s">
        <v>1288</v>
      </c>
      <c r="AD4" s="3801" t="s">
        <v>12</v>
      </c>
      <c r="AE4" s="3798" t="s">
        <v>1286</v>
      </c>
      <c r="AF4" s="3799" t="s">
        <v>1287</v>
      </c>
      <c r="AG4" s="3800" t="s">
        <v>1288</v>
      </c>
      <c r="AH4" s="3801" t="s">
        <v>12</v>
      </c>
      <c r="AI4" s="3798" t="s">
        <v>1286</v>
      </c>
      <c r="AJ4" s="3799" t="s">
        <v>1287</v>
      </c>
      <c r="AK4" s="3800" t="s">
        <v>1288</v>
      </c>
      <c r="AL4" s="3801" t="s">
        <v>12</v>
      </c>
      <c r="AM4" s="3798" t="s">
        <v>1286</v>
      </c>
      <c r="AN4" s="3799" t="s">
        <v>1287</v>
      </c>
      <c r="AO4" s="3800" t="s">
        <v>1288</v>
      </c>
      <c r="AP4" s="3801" t="s">
        <v>12</v>
      </c>
      <c r="AQ4" s="3798" t="s">
        <v>1286</v>
      </c>
      <c r="AR4" s="3799" t="s">
        <v>1287</v>
      </c>
      <c r="AS4" s="3800" t="s">
        <v>1288</v>
      </c>
      <c r="AT4" s="3801" t="s">
        <v>12</v>
      </c>
      <c r="AU4" s="3798" t="s">
        <v>1286</v>
      </c>
      <c r="AV4" s="3799" t="s">
        <v>1287</v>
      </c>
      <c r="AW4" s="3800" t="s">
        <v>1288</v>
      </c>
      <c r="AX4" s="3801" t="s">
        <v>12</v>
      </c>
      <c r="AY4" s="3798" t="s">
        <v>1286</v>
      </c>
      <c r="AZ4" s="3799" t="s">
        <v>1287</v>
      </c>
      <c r="BA4" s="3800" t="s">
        <v>1288</v>
      </c>
      <c r="BB4" s="3801" t="s">
        <v>12</v>
      </c>
      <c r="BC4" s="3798" t="s">
        <v>1286</v>
      </c>
      <c r="BD4" s="3799" t="s">
        <v>1287</v>
      </c>
      <c r="BE4" s="3800" t="s">
        <v>1288</v>
      </c>
      <c r="BF4" s="3801" t="s">
        <v>12</v>
      </c>
      <c r="BG4" s="3798" t="s">
        <v>1286</v>
      </c>
      <c r="BH4" s="3799" t="s">
        <v>1287</v>
      </c>
      <c r="BI4" s="3800" t="s">
        <v>1288</v>
      </c>
      <c r="BJ4" s="3801" t="s">
        <v>12</v>
      </c>
    </row>
    <row r="5" spans="1:62" ht="11.25" customHeight="1" x14ac:dyDescent="0.2">
      <c r="A5" s="1783"/>
      <c r="B5" s="1783"/>
      <c r="C5" s="1783"/>
      <c r="D5" s="1783"/>
      <c r="E5" s="1783"/>
      <c r="F5" s="1783"/>
      <c r="G5" s="1783"/>
      <c r="H5" s="1783"/>
      <c r="I5" s="1783"/>
      <c r="J5" s="1783"/>
      <c r="K5" s="1783"/>
      <c r="L5" s="1783"/>
      <c r="M5" s="1783"/>
      <c r="N5" s="1783"/>
      <c r="O5" s="1783"/>
      <c r="P5" s="1783"/>
      <c r="Q5" s="1783"/>
      <c r="R5" s="1783"/>
      <c r="S5" s="1783"/>
      <c r="T5" s="1783"/>
      <c r="U5" s="1783"/>
      <c r="V5" s="1783"/>
      <c r="W5" s="1783"/>
      <c r="X5" s="1783"/>
      <c r="Y5" s="1783"/>
      <c r="Z5" s="1783"/>
      <c r="AA5" s="1783"/>
      <c r="AB5" s="1783"/>
      <c r="AC5" s="1783"/>
      <c r="AD5" s="1783"/>
      <c r="AE5" s="1783"/>
      <c r="AF5" s="1783"/>
      <c r="AG5" s="1783"/>
      <c r="AH5" s="1783"/>
      <c r="AI5" s="1783"/>
      <c r="AJ5" s="1783"/>
      <c r="AK5" s="1783"/>
      <c r="AL5" s="1783"/>
      <c r="AM5" s="1783"/>
      <c r="AN5" s="1783"/>
      <c r="AO5" s="1783"/>
      <c r="AP5" s="1783"/>
      <c r="AQ5" s="1783"/>
      <c r="AR5" s="1783"/>
      <c r="AS5" s="1783"/>
      <c r="AT5" s="1783"/>
      <c r="AU5" s="1783"/>
      <c r="AV5" s="1783"/>
      <c r="AW5" s="1783"/>
      <c r="AX5" s="1783"/>
      <c r="AY5" s="1783"/>
      <c r="AZ5" s="1783"/>
      <c r="BA5" s="1783"/>
      <c r="BB5" s="1783"/>
      <c r="BC5" s="1783"/>
      <c r="BD5" s="1783"/>
      <c r="BE5" s="1783"/>
      <c r="BF5" s="1783"/>
      <c r="BG5" s="1783"/>
      <c r="BH5" s="1783"/>
      <c r="BI5" s="1783"/>
      <c r="BJ5" s="1783"/>
    </row>
    <row r="6" spans="1:62" ht="18" customHeight="1" x14ac:dyDescent="0.2">
      <c r="A6" s="7128" t="s">
        <v>161</v>
      </c>
      <c r="B6" s="3705" t="s">
        <v>5</v>
      </c>
      <c r="C6" s="3802">
        <v>10</v>
      </c>
      <c r="D6" s="3803">
        <v>66</v>
      </c>
      <c r="E6" s="3803">
        <v>314</v>
      </c>
      <c r="F6" s="3804">
        <f>SUM(C6:E6)</f>
        <v>390</v>
      </c>
      <c r="G6" s="3802">
        <v>10</v>
      </c>
      <c r="H6" s="3803">
        <v>43</v>
      </c>
      <c r="I6" s="3803">
        <v>347</v>
      </c>
      <c r="J6" s="3804">
        <v>400</v>
      </c>
      <c r="K6" s="3802">
        <v>14</v>
      </c>
      <c r="L6" s="3803">
        <v>42</v>
      </c>
      <c r="M6" s="3803">
        <v>348</v>
      </c>
      <c r="N6" s="3805">
        <v>404</v>
      </c>
      <c r="O6" s="3802">
        <v>12</v>
      </c>
      <c r="P6" s="3803">
        <v>48</v>
      </c>
      <c r="Q6" s="3803">
        <v>347</v>
      </c>
      <c r="R6" s="3804">
        <v>407</v>
      </c>
      <c r="S6" s="3803">
        <v>12</v>
      </c>
      <c r="T6" s="3803">
        <v>55</v>
      </c>
      <c r="U6" s="3803">
        <v>352</v>
      </c>
      <c r="V6" s="3804">
        <v>419</v>
      </c>
      <c r="W6" s="3803">
        <v>13</v>
      </c>
      <c r="X6" s="3803">
        <v>56</v>
      </c>
      <c r="Y6" s="3803">
        <v>345</v>
      </c>
      <c r="Z6" s="3804">
        <f>SUM(W6:Y6)</f>
        <v>414</v>
      </c>
      <c r="AA6" s="3803">
        <v>14</v>
      </c>
      <c r="AB6" s="3803">
        <v>58</v>
      </c>
      <c r="AC6" s="3803">
        <v>342</v>
      </c>
      <c r="AD6" s="3804">
        <f>SUM(AA6:AC6)</f>
        <v>414</v>
      </c>
      <c r="AE6" s="3803">
        <v>12</v>
      </c>
      <c r="AF6" s="3803">
        <v>58</v>
      </c>
      <c r="AG6" s="3803">
        <v>339</v>
      </c>
      <c r="AH6" s="3804">
        <v>409</v>
      </c>
      <c r="AI6" s="3803">
        <v>10</v>
      </c>
      <c r="AJ6" s="3803">
        <v>52</v>
      </c>
      <c r="AK6" s="3803">
        <v>343</v>
      </c>
      <c r="AL6" s="3804">
        <f>SUM(AI6:AK6)</f>
        <v>405</v>
      </c>
      <c r="AM6" s="3803">
        <v>13</v>
      </c>
      <c r="AN6" s="3803">
        <v>52</v>
      </c>
      <c r="AO6" s="3803">
        <v>343</v>
      </c>
      <c r="AP6" s="3804">
        <f>SUM(AM6:AO6)</f>
        <v>408</v>
      </c>
      <c r="AQ6" s="3803">
        <f>SUM(AQ41,AQ76,AQ111)</f>
        <v>11</v>
      </c>
      <c r="AR6" s="3803">
        <f>SUM(AR41,AR76,AR111)</f>
        <v>57</v>
      </c>
      <c r="AS6" s="3803">
        <f>SUM(AS41,AS76,AS111)</f>
        <v>339</v>
      </c>
      <c r="AT6" s="3804">
        <f>SUM(AQ6:AS6)</f>
        <v>407</v>
      </c>
      <c r="AU6" s="3803">
        <f t="shared" ref="AU6:AW8" si="0">SUM(AU41,AU76,AU111)</f>
        <v>15</v>
      </c>
      <c r="AV6" s="3803">
        <f t="shared" si="0"/>
        <v>60</v>
      </c>
      <c r="AW6" s="3803">
        <f t="shared" si="0"/>
        <v>339</v>
      </c>
      <c r="AX6" s="3804">
        <f>SUM(AU6:AW6)</f>
        <v>414</v>
      </c>
      <c r="AY6" s="3803">
        <f t="shared" ref="AY6:BA8" si="1">SUM(AY41,AY76,AY111)</f>
        <v>13</v>
      </c>
      <c r="AZ6" s="3803">
        <f t="shared" si="1"/>
        <v>56</v>
      </c>
      <c r="BA6" s="3803">
        <f t="shared" si="1"/>
        <v>334</v>
      </c>
      <c r="BB6" s="3804">
        <f>SUM(AY6:BA6)</f>
        <v>403</v>
      </c>
      <c r="BC6" s="3803">
        <f t="shared" ref="BC6:BE8" si="2">SUM(BC41,BC76,BC111)</f>
        <v>13</v>
      </c>
      <c r="BD6" s="3803">
        <f t="shared" si="2"/>
        <v>56</v>
      </c>
      <c r="BE6" s="3803">
        <f t="shared" si="2"/>
        <v>327</v>
      </c>
      <c r="BF6" s="3804">
        <f>SUM(BC6:BE6)</f>
        <v>396</v>
      </c>
      <c r="BG6" s="3803">
        <f t="shared" ref="BG6:BI6" si="3">SUM(BG41,BG76,BG111)</f>
        <v>17</v>
      </c>
      <c r="BH6" s="3803">
        <f t="shared" si="3"/>
        <v>60</v>
      </c>
      <c r="BI6" s="3803">
        <f t="shared" si="3"/>
        <v>321</v>
      </c>
      <c r="BJ6" s="3804">
        <f>SUM(BG6:BI6)</f>
        <v>398</v>
      </c>
    </row>
    <row r="7" spans="1:62" ht="18" customHeight="1" x14ac:dyDescent="0.2">
      <c r="A7" s="5779"/>
      <c r="B7" s="1784" t="s">
        <v>6</v>
      </c>
      <c r="C7" s="3806">
        <v>12</v>
      </c>
      <c r="D7" s="3807">
        <v>54</v>
      </c>
      <c r="E7" s="3807">
        <v>288</v>
      </c>
      <c r="F7" s="3808">
        <f>SUM(C7:E7)</f>
        <v>354</v>
      </c>
      <c r="G7" s="3806">
        <v>5</v>
      </c>
      <c r="H7" s="3807">
        <v>33</v>
      </c>
      <c r="I7" s="3807">
        <v>310</v>
      </c>
      <c r="J7" s="3808">
        <v>348</v>
      </c>
      <c r="K7" s="3806">
        <v>5</v>
      </c>
      <c r="L7" s="3807">
        <v>36</v>
      </c>
      <c r="M7" s="3807">
        <v>310</v>
      </c>
      <c r="N7" s="3809">
        <v>351</v>
      </c>
      <c r="O7" s="3806">
        <v>9</v>
      </c>
      <c r="P7" s="3807">
        <v>45</v>
      </c>
      <c r="Q7" s="3807">
        <v>307</v>
      </c>
      <c r="R7" s="3808">
        <v>361</v>
      </c>
      <c r="S7" s="3807">
        <v>6</v>
      </c>
      <c r="T7" s="3807">
        <v>46</v>
      </c>
      <c r="U7" s="3807">
        <v>313</v>
      </c>
      <c r="V7" s="3808">
        <v>365</v>
      </c>
      <c r="W7" s="3807">
        <v>7</v>
      </c>
      <c r="X7" s="3807">
        <v>46</v>
      </c>
      <c r="Y7" s="3807">
        <v>311</v>
      </c>
      <c r="Z7" s="3808">
        <f>SUM(W7:Y7)</f>
        <v>364</v>
      </c>
      <c r="AA7" s="3807">
        <v>9</v>
      </c>
      <c r="AB7" s="3807">
        <v>43</v>
      </c>
      <c r="AC7" s="3807">
        <v>309</v>
      </c>
      <c r="AD7" s="3808">
        <f>SUM(AA7:AC7)</f>
        <v>361</v>
      </c>
      <c r="AE7" s="3807">
        <v>8</v>
      </c>
      <c r="AF7" s="3807">
        <v>44</v>
      </c>
      <c r="AG7" s="3807">
        <v>306</v>
      </c>
      <c r="AH7" s="3808">
        <v>358</v>
      </c>
      <c r="AI7" s="3807">
        <v>6</v>
      </c>
      <c r="AJ7" s="3807">
        <v>54</v>
      </c>
      <c r="AK7" s="3807">
        <v>307</v>
      </c>
      <c r="AL7" s="3808">
        <f>SUM(AI7:AK7)</f>
        <v>367</v>
      </c>
      <c r="AM7" s="3807">
        <v>6</v>
      </c>
      <c r="AN7" s="3807">
        <v>57</v>
      </c>
      <c r="AO7" s="3807">
        <v>302</v>
      </c>
      <c r="AP7" s="3808">
        <f>SUM(AM7:AO7)</f>
        <v>365</v>
      </c>
      <c r="AQ7" s="3807">
        <f t="shared" ref="AQ7:AS8" si="4">SUM(AQ42,AQ77,AQ112)</f>
        <v>11</v>
      </c>
      <c r="AR7" s="3807">
        <f t="shared" si="4"/>
        <v>60</v>
      </c>
      <c r="AS7" s="3807">
        <f t="shared" si="4"/>
        <v>303</v>
      </c>
      <c r="AT7" s="3808">
        <f>SUM(AQ7:AS7)</f>
        <v>374</v>
      </c>
      <c r="AU7" s="3807">
        <f t="shared" si="0"/>
        <v>10</v>
      </c>
      <c r="AV7" s="3807">
        <f t="shared" si="0"/>
        <v>61</v>
      </c>
      <c r="AW7" s="3807">
        <f t="shared" si="0"/>
        <v>303</v>
      </c>
      <c r="AX7" s="3808">
        <f>SUM(AU7:AW7)</f>
        <v>374</v>
      </c>
      <c r="AY7" s="3807">
        <f t="shared" si="1"/>
        <v>7</v>
      </c>
      <c r="AZ7" s="3807">
        <f t="shared" si="1"/>
        <v>61</v>
      </c>
      <c r="BA7" s="3807">
        <f t="shared" si="1"/>
        <v>299</v>
      </c>
      <c r="BB7" s="3808">
        <f>SUM(AY7:BA7)</f>
        <v>367</v>
      </c>
      <c r="BC7" s="3807">
        <f t="shared" si="2"/>
        <v>7</v>
      </c>
      <c r="BD7" s="3807">
        <f t="shared" si="2"/>
        <v>57</v>
      </c>
      <c r="BE7" s="3807">
        <f t="shared" si="2"/>
        <v>294</v>
      </c>
      <c r="BF7" s="3808">
        <f>SUM(BC7:BE7)</f>
        <v>358</v>
      </c>
      <c r="BG7" s="3807">
        <f t="shared" ref="BG7:BI7" si="5">SUM(BG42,BG77,BG112)</f>
        <v>11</v>
      </c>
      <c r="BH7" s="3807">
        <f t="shared" si="5"/>
        <v>61</v>
      </c>
      <c r="BI7" s="3807">
        <f t="shared" si="5"/>
        <v>295</v>
      </c>
      <c r="BJ7" s="3808">
        <f>SUM(BG7:BI7)</f>
        <v>367</v>
      </c>
    </row>
    <row r="8" spans="1:62" ht="18" customHeight="1" x14ac:dyDescent="0.2">
      <c r="A8" s="5779"/>
      <c r="B8" s="3810" t="s">
        <v>7</v>
      </c>
      <c r="C8" s="3806">
        <v>4</v>
      </c>
      <c r="D8" s="3807">
        <v>25</v>
      </c>
      <c r="E8" s="3807">
        <v>196</v>
      </c>
      <c r="F8" s="3808">
        <f>SUM(C8:E8)</f>
        <v>225</v>
      </c>
      <c r="G8" s="3806">
        <v>4</v>
      </c>
      <c r="H8" s="3807">
        <v>15</v>
      </c>
      <c r="I8" s="3807">
        <v>205</v>
      </c>
      <c r="J8" s="3808">
        <v>224</v>
      </c>
      <c r="K8" s="3806">
        <v>5</v>
      </c>
      <c r="L8" s="3807">
        <v>17</v>
      </c>
      <c r="M8" s="3807">
        <v>210</v>
      </c>
      <c r="N8" s="3809">
        <v>232</v>
      </c>
      <c r="O8" s="3806">
        <v>7</v>
      </c>
      <c r="P8" s="3807">
        <v>13</v>
      </c>
      <c r="Q8" s="3807">
        <v>206</v>
      </c>
      <c r="R8" s="3808">
        <v>226</v>
      </c>
      <c r="S8" s="3807">
        <v>9</v>
      </c>
      <c r="T8" s="3807">
        <v>18</v>
      </c>
      <c r="U8" s="3807">
        <v>194</v>
      </c>
      <c r="V8" s="3808">
        <v>221</v>
      </c>
      <c r="W8" s="3807">
        <v>7</v>
      </c>
      <c r="X8" s="3807">
        <v>25</v>
      </c>
      <c r="Y8" s="3807">
        <v>187</v>
      </c>
      <c r="Z8" s="3808">
        <f>SUM(W8:Y8)</f>
        <v>219</v>
      </c>
      <c r="AA8" s="3807">
        <v>7</v>
      </c>
      <c r="AB8" s="3807">
        <v>30</v>
      </c>
      <c r="AC8" s="3807">
        <v>188</v>
      </c>
      <c r="AD8" s="3808">
        <f>SUM(AA8:AC8)</f>
        <v>225</v>
      </c>
      <c r="AE8" s="3811">
        <v>8</v>
      </c>
      <c r="AF8" s="3811">
        <v>34</v>
      </c>
      <c r="AG8" s="3811">
        <v>191</v>
      </c>
      <c r="AH8" s="3812">
        <v>233</v>
      </c>
      <c r="AI8" s="3811">
        <v>5</v>
      </c>
      <c r="AJ8" s="3811">
        <v>33</v>
      </c>
      <c r="AK8" s="3811">
        <v>198</v>
      </c>
      <c r="AL8" s="3812">
        <f>SUM(AI8:AK8)</f>
        <v>236</v>
      </c>
      <c r="AM8" s="3811">
        <v>2</v>
      </c>
      <c r="AN8" s="3811">
        <v>32</v>
      </c>
      <c r="AO8" s="3811">
        <v>202</v>
      </c>
      <c r="AP8" s="3812">
        <f>SUM(AM8:AO8)</f>
        <v>236</v>
      </c>
      <c r="AQ8" s="3811">
        <f t="shared" si="4"/>
        <v>2</v>
      </c>
      <c r="AR8" s="3811">
        <f t="shared" si="4"/>
        <v>30</v>
      </c>
      <c r="AS8" s="3811">
        <f t="shared" si="4"/>
        <v>206</v>
      </c>
      <c r="AT8" s="3812">
        <f>SUM(AQ8:AS8)</f>
        <v>238</v>
      </c>
      <c r="AU8" s="3811">
        <f t="shared" si="0"/>
        <v>2</v>
      </c>
      <c r="AV8" s="3811">
        <f t="shared" si="0"/>
        <v>37</v>
      </c>
      <c r="AW8" s="3811">
        <f t="shared" si="0"/>
        <v>212</v>
      </c>
      <c r="AX8" s="3812">
        <f>SUM(AU8:AW8)</f>
        <v>251</v>
      </c>
      <c r="AY8" s="3811">
        <f t="shared" si="1"/>
        <v>2</v>
      </c>
      <c r="AZ8" s="3811">
        <f t="shared" si="1"/>
        <v>34</v>
      </c>
      <c r="BA8" s="3811">
        <f t="shared" si="1"/>
        <v>210</v>
      </c>
      <c r="BB8" s="3812">
        <f>SUM(AY8:BA8)</f>
        <v>246</v>
      </c>
      <c r="BC8" s="3811">
        <f t="shared" si="2"/>
        <v>2</v>
      </c>
      <c r="BD8" s="3811">
        <f t="shared" si="2"/>
        <v>35</v>
      </c>
      <c r="BE8" s="3811">
        <f t="shared" si="2"/>
        <v>203</v>
      </c>
      <c r="BF8" s="3812">
        <f>SUM(BC8:BE8)</f>
        <v>240</v>
      </c>
      <c r="BG8" s="3811">
        <f t="shared" ref="BG8:BI8" si="6">SUM(BG43,BG78,BG113)</f>
        <v>2</v>
      </c>
      <c r="BH8" s="3811">
        <f t="shared" si="6"/>
        <v>37</v>
      </c>
      <c r="BI8" s="3811">
        <f t="shared" si="6"/>
        <v>198</v>
      </c>
      <c r="BJ8" s="3812">
        <f>SUM(BG8:BI8)</f>
        <v>237</v>
      </c>
    </row>
    <row r="9" spans="1:62" ht="18" customHeight="1" x14ac:dyDescent="0.2">
      <c r="A9" s="5780"/>
      <c r="B9" s="3813" t="s">
        <v>12</v>
      </c>
      <c r="C9" s="3814">
        <f>SUM(C6:C8)</f>
        <v>26</v>
      </c>
      <c r="D9" s="3815">
        <f>SUM(D6:D8)</f>
        <v>145</v>
      </c>
      <c r="E9" s="3815">
        <f>SUM(E6:E8)</f>
        <v>798</v>
      </c>
      <c r="F9" s="3816">
        <f>SUM(F6:F8)</f>
        <v>969</v>
      </c>
      <c r="G9" s="3814">
        <v>19</v>
      </c>
      <c r="H9" s="3815">
        <v>91</v>
      </c>
      <c r="I9" s="3815">
        <v>862</v>
      </c>
      <c r="J9" s="3816">
        <v>972</v>
      </c>
      <c r="K9" s="3814">
        <v>24</v>
      </c>
      <c r="L9" s="3815">
        <v>95</v>
      </c>
      <c r="M9" s="3815">
        <v>868</v>
      </c>
      <c r="N9" s="3815">
        <v>987</v>
      </c>
      <c r="O9" s="3814">
        <v>28</v>
      </c>
      <c r="P9" s="3815">
        <v>106</v>
      </c>
      <c r="Q9" s="3815">
        <v>860</v>
      </c>
      <c r="R9" s="3816">
        <v>994</v>
      </c>
      <c r="S9" s="3815">
        <v>27</v>
      </c>
      <c r="T9" s="3815">
        <v>119</v>
      </c>
      <c r="U9" s="3815">
        <v>859</v>
      </c>
      <c r="V9" s="3816">
        <v>1005</v>
      </c>
      <c r="W9" s="3814">
        <f t="shared" ref="W9:AD9" si="7">SUM(W6:W8)</f>
        <v>27</v>
      </c>
      <c r="X9" s="3815">
        <f t="shared" si="7"/>
        <v>127</v>
      </c>
      <c r="Y9" s="3815">
        <f t="shared" si="7"/>
        <v>843</v>
      </c>
      <c r="Z9" s="3816">
        <f t="shared" si="7"/>
        <v>997</v>
      </c>
      <c r="AA9" s="3814">
        <f t="shared" si="7"/>
        <v>30</v>
      </c>
      <c r="AB9" s="3815">
        <f t="shared" si="7"/>
        <v>131</v>
      </c>
      <c r="AC9" s="3815">
        <f t="shared" si="7"/>
        <v>839</v>
      </c>
      <c r="AD9" s="3816">
        <f t="shared" si="7"/>
        <v>1000</v>
      </c>
      <c r="AE9" s="3814">
        <v>28</v>
      </c>
      <c r="AF9" s="3815">
        <v>136</v>
      </c>
      <c r="AG9" s="3815">
        <v>836</v>
      </c>
      <c r="AH9" s="3816">
        <v>1000</v>
      </c>
      <c r="AI9" s="3814">
        <f t="shared" ref="AI9:AX9" si="8">SUM(AI6:AI8)</f>
        <v>21</v>
      </c>
      <c r="AJ9" s="3815">
        <f t="shared" si="8"/>
        <v>139</v>
      </c>
      <c r="AK9" s="3815">
        <f t="shared" si="8"/>
        <v>848</v>
      </c>
      <c r="AL9" s="3816">
        <f t="shared" si="8"/>
        <v>1008</v>
      </c>
      <c r="AM9" s="3814">
        <f t="shared" si="8"/>
        <v>21</v>
      </c>
      <c r="AN9" s="3815">
        <f t="shared" si="8"/>
        <v>141</v>
      </c>
      <c r="AO9" s="3815">
        <f t="shared" si="8"/>
        <v>847</v>
      </c>
      <c r="AP9" s="3816">
        <f t="shared" si="8"/>
        <v>1009</v>
      </c>
      <c r="AQ9" s="3814">
        <f t="shared" si="8"/>
        <v>24</v>
      </c>
      <c r="AR9" s="3815">
        <f t="shared" si="8"/>
        <v>147</v>
      </c>
      <c r="AS9" s="3815">
        <f t="shared" si="8"/>
        <v>848</v>
      </c>
      <c r="AT9" s="3816">
        <f t="shared" si="8"/>
        <v>1019</v>
      </c>
      <c r="AU9" s="3814">
        <f t="shared" si="8"/>
        <v>27</v>
      </c>
      <c r="AV9" s="3815">
        <f t="shared" si="8"/>
        <v>158</v>
      </c>
      <c r="AW9" s="3815">
        <f t="shared" si="8"/>
        <v>854</v>
      </c>
      <c r="AX9" s="3816">
        <f t="shared" si="8"/>
        <v>1039</v>
      </c>
      <c r="AY9" s="3814">
        <f t="shared" ref="AY9:BF9" si="9">SUM(AY6:AY8)</f>
        <v>22</v>
      </c>
      <c r="AZ9" s="3815">
        <f t="shared" si="9"/>
        <v>151</v>
      </c>
      <c r="BA9" s="3815">
        <f t="shared" si="9"/>
        <v>843</v>
      </c>
      <c r="BB9" s="3816">
        <f t="shared" si="9"/>
        <v>1016</v>
      </c>
      <c r="BC9" s="3814">
        <f t="shared" si="9"/>
        <v>22</v>
      </c>
      <c r="BD9" s="3815">
        <f t="shared" si="9"/>
        <v>148</v>
      </c>
      <c r="BE9" s="3815">
        <f t="shared" si="9"/>
        <v>824</v>
      </c>
      <c r="BF9" s="3816">
        <f t="shared" si="9"/>
        <v>994</v>
      </c>
      <c r="BG9" s="3814">
        <f t="shared" ref="BG9:BI9" si="10">SUM(BG6:BG8)</f>
        <v>30</v>
      </c>
      <c r="BH9" s="3815">
        <f t="shared" si="10"/>
        <v>158</v>
      </c>
      <c r="BI9" s="3815">
        <f t="shared" si="10"/>
        <v>814</v>
      </c>
      <c r="BJ9" s="3816">
        <f t="shared" ref="BJ9" si="11">SUM(BJ6:BJ8)</f>
        <v>1002</v>
      </c>
    </row>
    <row r="10" spans="1:62" ht="18" customHeight="1" x14ac:dyDescent="0.25">
      <c r="A10" s="1781"/>
      <c r="B10" s="1783"/>
      <c r="C10" s="1783"/>
      <c r="D10" s="1783"/>
      <c r="E10" s="1783"/>
      <c r="F10" s="1783"/>
      <c r="G10" s="1783"/>
      <c r="H10" s="1783"/>
      <c r="I10" s="1783"/>
      <c r="J10" s="1783"/>
      <c r="K10" s="1783"/>
      <c r="L10" s="1783"/>
      <c r="M10" s="1783"/>
      <c r="N10" s="1783"/>
      <c r="O10" s="1783"/>
      <c r="P10" s="1783"/>
      <c r="Q10" s="1783"/>
      <c r="R10" s="1783"/>
      <c r="S10" s="1783"/>
      <c r="T10" s="1783"/>
      <c r="U10" s="1783"/>
      <c r="V10" s="1783"/>
      <c r="W10" s="1783"/>
      <c r="X10" s="1783"/>
      <c r="Y10" s="1783"/>
      <c r="Z10" s="1783"/>
      <c r="AA10" s="1783"/>
      <c r="AB10" s="1783"/>
      <c r="AC10" s="1783"/>
      <c r="AD10" s="1783"/>
      <c r="AE10" s="1783"/>
      <c r="AF10" s="1783"/>
      <c r="AG10" s="1783"/>
      <c r="AH10" s="1783"/>
      <c r="AI10" s="1783"/>
      <c r="AJ10" s="1783"/>
      <c r="AK10" s="1783"/>
      <c r="AL10" s="1783"/>
      <c r="AM10" s="1783"/>
      <c r="AN10" s="1783"/>
      <c r="AO10" s="1783"/>
      <c r="AP10" s="1783"/>
      <c r="AQ10" s="1783"/>
      <c r="AR10" s="1783"/>
      <c r="AS10" s="1783"/>
      <c r="AT10" s="1783"/>
      <c r="AU10" s="1783"/>
      <c r="AV10" s="1783"/>
      <c r="AW10" s="1783"/>
      <c r="AX10" s="1783"/>
      <c r="AY10" s="1783"/>
      <c r="AZ10" s="1783"/>
      <c r="BA10" s="1783"/>
      <c r="BB10" s="1783"/>
      <c r="BC10" s="1783"/>
      <c r="BD10" s="1783"/>
      <c r="BE10" s="1783"/>
      <c r="BF10" s="1783"/>
      <c r="BG10" s="1783"/>
      <c r="BH10" s="1783"/>
      <c r="BI10" s="1783"/>
      <c r="BJ10" s="1783"/>
    </row>
    <row r="11" spans="1:62" ht="18" customHeight="1" x14ac:dyDescent="0.2">
      <c r="A11" s="7138" t="s">
        <v>407</v>
      </c>
      <c r="B11" s="3705" t="s">
        <v>6</v>
      </c>
      <c r="C11" s="3817"/>
      <c r="D11" s="3818"/>
      <c r="E11" s="3818"/>
      <c r="F11" s="3819"/>
      <c r="G11" s="3817"/>
      <c r="H11" s="3818"/>
      <c r="I11" s="3818"/>
      <c r="J11" s="3819"/>
      <c r="K11" s="3817"/>
      <c r="L11" s="3818"/>
      <c r="M11" s="3803">
        <v>4</v>
      </c>
      <c r="N11" s="3805">
        <v>4</v>
      </c>
      <c r="O11" s="3817"/>
      <c r="P11" s="3818"/>
      <c r="Q11" s="3803">
        <v>7</v>
      </c>
      <c r="R11" s="3804">
        <v>7</v>
      </c>
      <c r="S11" s="3803"/>
      <c r="T11" s="3803">
        <v>1</v>
      </c>
      <c r="U11" s="3803">
        <v>21</v>
      </c>
      <c r="V11" s="3804">
        <v>22</v>
      </c>
      <c r="W11" s="3803"/>
      <c r="X11" s="3803">
        <v>2</v>
      </c>
      <c r="Y11" s="3803">
        <v>23</v>
      </c>
      <c r="Z11" s="3804">
        <f>SUM(X11:Y11)</f>
        <v>25</v>
      </c>
      <c r="AA11" s="3803"/>
      <c r="AB11" s="3803">
        <v>3</v>
      </c>
      <c r="AC11" s="3803">
        <v>28</v>
      </c>
      <c r="AD11" s="3804">
        <f>SUM(AA11:AC11)</f>
        <v>31</v>
      </c>
      <c r="AE11" s="3803"/>
      <c r="AF11" s="3803">
        <v>3</v>
      </c>
      <c r="AG11" s="3803">
        <v>38</v>
      </c>
      <c r="AH11" s="3804">
        <v>41</v>
      </c>
      <c r="AI11" s="3803"/>
      <c r="AJ11" s="3803">
        <v>4</v>
      </c>
      <c r="AK11" s="3803">
        <v>45</v>
      </c>
      <c r="AL11" s="3804">
        <f>SUM(AI11:AK11)</f>
        <v>49</v>
      </c>
      <c r="AM11" s="3803"/>
      <c r="AN11" s="3803">
        <v>4</v>
      </c>
      <c r="AO11" s="3803">
        <v>41</v>
      </c>
      <c r="AP11" s="3804">
        <f>SUM(AM11:AO11)</f>
        <v>45</v>
      </c>
      <c r="AQ11" s="3803">
        <f>SUM(AQ46,AQ81,AQ116)</f>
        <v>0</v>
      </c>
      <c r="AR11" s="3803">
        <f>SUM(AR46,AR81,AR116)</f>
        <v>4</v>
      </c>
      <c r="AS11" s="3803">
        <f>SUM(AS46,AS81,AS116)</f>
        <v>45</v>
      </c>
      <c r="AT11" s="3804">
        <f>SUM(AQ11:AS11)</f>
        <v>49</v>
      </c>
      <c r="AU11" s="3803">
        <f t="shared" ref="AU11:AW13" si="12">SUM(AU46,AU81,AU116)</f>
        <v>0</v>
      </c>
      <c r="AV11" s="3803">
        <f t="shared" si="12"/>
        <v>3</v>
      </c>
      <c r="AW11" s="3803">
        <f t="shared" si="12"/>
        <v>48</v>
      </c>
      <c r="AX11" s="3804">
        <f>SUM(AU11:AW11)</f>
        <v>51</v>
      </c>
      <c r="AY11" s="3803">
        <f t="shared" ref="AY11:BA13" si="13">SUM(AY46,AY81,AY116)</f>
        <v>0</v>
      </c>
      <c r="AZ11" s="3803">
        <f t="shared" si="13"/>
        <v>3</v>
      </c>
      <c r="BA11" s="3803">
        <f t="shared" si="13"/>
        <v>48</v>
      </c>
      <c r="BB11" s="3804">
        <f>SUM(AY11:BA11)</f>
        <v>51</v>
      </c>
      <c r="BC11" s="3803">
        <f t="shared" ref="BC11:BE13" si="14">SUM(BC46,BC81,BC116)</f>
        <v>0</v>
      </c>
      <c r="BD11" s="3803">
        <f t="shared" si="14"/>
        <v>4</v>
      </c>
      <c r="BE11" s="3803">
        <f t="shared" si="14"/>
        <v>54</v>
      </c>
      <c r="BF11" s="3804">
        <f>SUM(BC11:BE11)</f>
        <v>58</v>
      </c>
      <c r="BG11" s="3803">
        <f t="shared" ref="BG11:BI11" si="15">SUM(BG46,BG81,BG116)</f>
        <v>0</v>
      </c>
      <c r="BH11" s="3803">
        <f t="shared" si="15"/>
        <v>2</v>
      </c>
      <c r="BI11" s="3803">
        <f t="shared" si="15"/>
        <v>61</v>
      </c>
      <c r="BJ11" s="3804">
        <f>SUM(BG11:BI11)</f>
        <v>63</v>
      </c>
    </row>
    <row r="12" spans="1:62" ht="18" customHeight="1" x14ac:dyDescent="0.2">
      <c r="A12" s="5782"/>
      <c r="B12" s="1784" t="s">
        <v>9</v>
      </c>
      <c r="C12" s="3820"/>
      <c r="D12" s="3821"/>
      <c r="E12" s="3821"/>
      <c r="F12" s="3822"/>
      <c r="G12" s="3820"/>
      <c r="H12" s="3821"/>
      <c r="I12" s="3821"/>
      <c r="J12" s="3822"/>
      <c r="K12" s="3820"/>
      <c r="L12" s="3821"/>
      <c r="M12" s="3807">
        <v>3</v>
      </c>
      <c r="N12" s="3809">
        <v>3</v>
      </c>
      <c r="O12" s="3820"/>
      <c r="P12" s="3807">
        <v>1</v>
      </c>
      <c r="Q12" s="3807">
        <v>8</v>
      </c>
      <c r="R12" s="3808">
        <v>9</v>
      </c>
      <c r="S12" s="3807"/>
      <c r="T12" s="3807"/>
      <c r="U12" s="3807">
        <v>13</v>
      </c>
      <c r="V12" s="3808">
        <v>13</v>
      </c>
      <c r="W12" s="3807"/>
      <c r="X12" s="3807">
        <v>5</v>
      </c>
      <c r="Y12" s="3807">
        <v>19</v>
      </c>
      <c r="Z12" s="3808">
        <f>SUM(X12:Y12)</f>
        <v>24</v>
      </c>
      <c r="AA12" s="3807"/>
      <c r="AB12" s="3807">
        <v>6</v>
      </c>
      <c r="AC12" s="3807">
        <v>24</v>
      </c>
      <c r="AD12" s="3808">
        <f>SUM(AA12:AC12)</f>
        <v>30</v>
      </c>
      <c r="AE12" s="3807"/>
      <c r="AF12" s="3807">
        <v>7</v>
      </c>
      <c r="AG12" s="3807">
        <v>31</v>
      </c>
      <c r="AH12" s="3808">
        <v>38</v>
      </c>
      <c r="AI12" s="3807"/>
      <c r="AJ12" s="3807">
        <v>7</v>
      </c>
      <c r="AK12" s="3807">
        <v>35</v>
      </c>
      <c r="AL12" s="3808">
        <f>SUM(AI12:AK12)</f>
        <v>42</v>
      </c>
      <c r="AM12" s="3807"/>
      <c r="AN12" s="3807">
        <v>13</v>
      </c>
      <c r="AO12" s="3807">
        <v>40</v>
      </c>
      <c r="AP12" s="3808">
        <f>SUM(AM12:AO12)</f>
        <v>53</v>
      </c>
      <c r="AQ12" s="3807">
        <f t="shared" ref="AQ12:AS13" si="16">SUM(AQ47,AQ82,AQ117)</f>
        <v>0</v>
      </c>
      <c r="AR12" s="3807">
        <f t="shared" si="16"/>
        <v>14</v>
      </c>
      <c r="AS12" s="3807">
        <f t="shared" si="16"/>
        <v>39</v>
      </c>
      <c r="AT12" s="3808">
        <f>SUM(AQ12:AS12)</f>
        <v>53</v>
      </c>
      <c r="AU12" s="3807">
        <f t="shared" si="12"/>
        <v>0</v>
      </c>
      <c r="AV12" s="3807">
        <f t="shared" si="12"/>
        <v>14</v>
      </c>
      <c r="AW12" s="3807">
        <f t="shared" si="12"/>
        <v>39</v>
      </c>
      <c r="AX12" s="3808">
        <f>SUM(AU12:AW12)</f>
        <v>53</v>
      </c>
      <c r="AY12" s="3807">
        <f t="shared" si="13"/>
        <v>0</v>
      </c>
      <c r="AZ12" s="3807">
        <f t="shared" si="13"/>
        <v>13</v>
      </c>
      <c r="BA12" s="3807">
        <f t="shared" si="13"/>
        <v>42</v>
      </c>
      <c r="BB12" s="3808">
        <f>SUM(AY12:BA12)</f>
        <v>55</v>
      </c>
      <c r="BC12" s="3807">
        <f t="shared" si="14"/>
        <v>0</v>
      </c>
      <c r="BD12" s="3807">
        <f t="shared" si="14"/>
        <v>11</v>
      </c>
      <c r="BE12" s="3807">
        <f t="shared" si="14"/>
        <v>47</v>
      </c>
      <c r="BF12" s="3808">
        <f>SUM(BC12:BE12)</f>
        <v>58</v>
      </c>
      <c r="BG12" s="3807">
        <f t="shared" ref="BG12:BI12" si="17">SUM(BG47,BG82,BG117)</f>
        <v>0</v>
      </c>
      <c r="BH12" s="3807">
        <f t="shared" si="17"/>
        <v>9</v>
      </c>
      <c r="BI12" s="3807">
        <f t="shared" si="17"/>
        <v>45</v>
      </c>
      <c r="BJ12" s="3808">
        <f>SUM(BG12:BI12)</f>
        <v>54</v>
      </c>
    </row>
    <row r="13" spans="1:62" ht="18" customHeight="1" x14ac:dyDescent="0.2">
      <c r="A13" s="5782"/>
      <c r="B13" s="3810" t="s">
        <v>74</v>
      </c>
      <c r="C13" s="3820"/>
      <c r="D13" s="3821"/>
      <c r="E13" s="3821"/>
      <c r="F13" s="3822"/>
      <c r="G13" s="3820"/>
      <c r="H13" s="3821"/>
      <c r="I13" s="3821"/>
      <c r="J13" s="3822"/>
      <c r="K13" s="3820"/>
      <c r="L13" s="3821"/>
      <c r="M13" s="3807">
        <v>6</v>
      </c>
      <c r="N13" s="3809">
        <v>6</v>
      </c>
      <c r="O13" s="3820"/>
      <c r="P13" s="3821"/>
      <c r="Q13" s="3807">
        <v>6</v>
      </c>
      <c r="R13" s="3808">
        <v>6</v>
      </c>
      <c r="S13" s="3807"/>
      <c r="T13" s="3807">
        <v>4</v>
      </c>
      <c r="U13" s="3807">
        <v>14</v>
      </c>
      <c r="V13" s="3808">
        <v>18</v>
      </c>
      <c r="W13" s="3807"/>
      <c r="X13" s="3807">
        <v>4</v>
      </c>
      <c r="Y13" s="3807">
        <v>19</v>
      </c>
      <c r="Z13" s="3808">
        <f>SUM(X13:Y13)</f>
        <v>23</v>
      </c>
      <c r="AA13" s="3807"/>
      <c r="AB13" s="3807">
        <v>5</v>
      </c>
      <c r="AC13" s="3807">
        <v>19</v>
      </c>
      <c r="AD13" s="3808">
        <f>SUM(AA13:AC13)</f>
        <v>24</v>
      </c>
      <c r="AE13" s="3811"/>
      <c r="AF13" s="3811">
        <v>7</v>
      </c>
      <c r="AG13" s="3811">
        <v>20</v>
      </c>
      <c r="AH13" s="3812">
        <v>27</v>
      </c>
      <c r="AI13" s="3811"/>
      <c r="AJ13" s="3811">
        <v>7</v>
      </c>
      <c r="AK13" s="3811">
        <v>26</v>
      </c>
      <c r="AL13" s="3812">
        <f>SUM(AI13:AK13)</f>
        <v>33</v>
      </c>
      <c r="AM13" s="3811"/>
      <c r="AN13" s="3811">
        <v>9</v>
      </c>
      <c r="AO13" s="3811">
        <v>28</v>
      </c>
      <c r="AP13" s="3812">
        <f>SUM(AM13:AO13)</f>
        <v>37</v>
      </c>
      <c r="AQ13" s="3811">
        <f t="shared" si="16"/>
        <v>0</v>
      </c>
      <c r="AR13" s="3811">
        <f t="shared" si="16"/>
        <v>8</v>
      </c>
      <c r="AS13" s="3811">
        <f t="shared" si="16"/>
        <v>30</v>
      </c>
      <c r="AT13" s="3812">
        <f>SUM(AQ13:AS13)</f>
        <v>38</v>
      </c>
      <c r="AU13" s="3811">
        <f t="shared" si="12"/>
        <v>0</v>
      </c>
      <c r="AV13" s="3811">
        <f t="shared" si="12"/>
        <v>10</v>
      </c>
      <c r="AW13" s="3811">
        <f t="shared" si="12"/>
        <v>36</v>
      </c>
      <c r="AX13" s="3812">
        <f>SUM(AU13:AW13)</f>
        <v>46</v>
      </c>
      <c r="AY13" s="3811">
        <f t="shared" si="13"/>
        <v>0</v>
      </c>
      <c r="AZ13" s="3811">
        <f t="shared" si="13"/>
        <v>10</v>
      </c>
      <c r="BA13" s="3811">
        <f t="shared" si="13"/>
        <v>39</v>
      </c>
      <c r="BB13" s="3812">
        <f>SUM(AY13:BA13)</f>
        <v>49</v>
      </c>
      <c r="BC13" s="3811">
        <f t="shared" si="14"/>
        <v>0</v>
      </c>
      <c r="BD13" s="3811">
        <f t="shared" si="14"/>
        <v>11</v>
      </c>
      <c r="BE13" s="3811">
        <f t="shared" si="14"/>
        <v>36</v>
      </c>
      <c r="BF13" s="3812">
        <f>SUM(BC13:BE13)</f>
        <v>47</v>
      </c>
      <c r="BG13" s="3811">
        <f t="shared" ref="BG13:BI13" si="18">SUM(BG48,BG83,BG118)</f>
        <v>0</v>
      </c>
      <c r="BH13" s="3811">
        <f t="shared" si="18"/>
        <v>14</v>
      </c>
      <c r="BI13" s="3811">
        <f t="shared" si="18"/>
        <v>40</v>
      </c>
      <c r="BJ13" s="3812">
        <f>SUM(BG13:BI13)</f>
        <v>54</v>
      </c>
    </row>
    <row r="14" spans="1:62" ht="18" customHeight="1" x14ac:dyDescent="0.2">
      <c r="A14" s="5783"/>
      <c r="B14" s="3823" t="s">
        <v>12</v>
      </c>
      <c r="C14" s="3824"/>
      <c r="D14" s="3825"/>
      <c r="E14" s="3825"/>
      <c r="F14" s="3826"/>
      <c r="G14" s="3824"/>
      <c r="H14" s="3825"/>
      <c r="I14" s="3825"/>
      <c r="J14" s="3826"/>
      <c r="K14" s="3824"/>
      <c r="L14" s="3825"/>
      <c r="M14" s="3827">
        <f>SUM(M11:M13)</f>
        <v>13</v>
      </c>
      <c r="N14" s="3827">
        <v>13</v>
      </c>
      <c r="O14" s="3824"/>
      <c r="P14" s="3827">
        <v>1</v>
      </c>
      <c r="Q14" s="3827">
        <v>21</v>
      </c>
      <c r="R14" s="3828">
        <v>22</v>
      </c>
      <c r="S14" s="3827"/>
      <c r="T14" s="3827">
        <v>5</v>
      </c>
      <c r="U14" s="3827">
        <v>48</v>
      </c>
      <c r="V14" s="3828">
        <f>SUM(V11:V13)</f>
        <v>53</v>
      </c>
      <c r="W14" s="3829"/>
      <c r="X14" s="3827">
        <f>SUM(X11:X13)</f>
        <v>11</v>
      </c>
      <c r="Y14" s="3827">
        <f>SUM(Y11:Y13)</f>
        <v>61</v>
      </c>
      <c r="Z14" s="3828">
        <f>SUM(Z11:Z13)</f>
        <v>72</v>
      </c>
      <c r="AA14" s="3829"/>
      <c r="AB14" s="3827">
        <f>SUM(AB11:AB13)</f>
        <v>14</v>
      </c>
      <c r="AC14" s="3827">
        <f>SUM(AC11:AC13)</f>
        <v>71</v>
      </c>
      <c r="AD14" s="3828">
        <f>SUM(AD11:AD13)</f>
        <v>85</v>
      </c>
      <c r="AE14" s="3829"/>
      <c r="AF14" s="3827">
        <v>17</v>
      </c>
      <c r="AG14" s="3827">
        <v>89</v>
      </c>
      <c r="AH14" s="3828">
        <v>106</v>
      </c>
      <c r="AI14" s="3829"/>
      <c r="AJ14" s="3827">
        <f>SUM(AJ11:AJ13)</f>
        <v>18</v>
      </c>
      <c r="AK14" s="3827">
        <f>SUM(AK11:AK13)</f>
        <v>106</v>
      </c>
      <c r="AL14" s="3828">
        <f>SUM(AL11:AL13)</f>
        <v>124</v>
      </c>
      <c r="AM14" s="3829"/>
      <c r="AN14" s="3827">
        <f>SUM(AN11:AN13)</f>
        <v>26</v>
      </c>
      <c r="AO14" s="3827">
        <f>SUM(AO11:AO13)</f>
        <v>109</v>
      </c>
      <c r="AP14" s="3828">
        <f>SUM(AP11:AP13)</f>
        <v>135</v>
      </c>
      <c r="AQ14" s="3829"/>
      <c r="AR14" s="3827">
        <f>SUM(AR11:AR13)</f>
        <v>26</v>
      </c>
      <c r="AS14" s="3827">
        <f>SUM(AS11:AS13)</f>
        <v>114</v>
      </c>
      <c r="AT14" s="3828">
        <f>SUM(AT11:AT13)</f>
        <v>140</v>
      </c>
      <c r="AU14" s="3829"/>
      <c r="AV14" s="3827">
        <f>SUM(AV11:AV13)</f>
        <v>27</v>
      </c>
      <c r="AW14" s="3827">
        <f>SUM(AW11:AW13)</f>
        <v>123</v>
      </c>
      <c r="AX14" s="3828">
        <f>SUM(AX11:AX13)</f>
        <v>150</v>
      </c>
      <c r="AY14" s="3829"/>
      <c r="AZ14" s="3827">
        <f>SUM(AZ11:AZ13)</f>
        <v>26</v>
      </c>
      <c r="BA14" s="3827">
        <f>SUM(BA11:BA13)</f>
        <v>129</v>
      </c>
      <c r="BB14" s="3828">
        <f>SUM(BB11:BB13)</f>
        <v>155</v>
      </c>
      <c r="BC14" s="3829"/>
      <c r="BD14" s="3827">
        <f>SUM(BD11:BD13)</f>
        <v>26</v>
      </c>
      <c r="BE14" s="3827">
        <f>SUM(BE11:BE13)</f>
        <v>137</v>
      </c>
      <c r="BF14" s="3828">
        <f>SUM(BF11:BF13)</f>
        <v>163</v>
      </c>
      <c r="BG14" s="3829"/>
      <c r="BH14" s="3827">
        <f>SUM(BH11:BH13)</f>
        <v>25</v>
      </c>
      <c r="BI14" s="3827">
        <f>SUM(BI11:BI13)</f>
        <v>146</v>
      </c>
      <c r="BJ14" s="3828">
        <f>SUM(BJ11:BJ13)</f>
        <v>171</v>
      </c>
    </row>
    <row r="15" spans="1:62" ht="15.75" x14ac:dyDescent="0.25">
      <c r="A15" s="1781"/>
      <c r="B15" s="1783"/>
      <c r="C15" s="1783"/>
      <c r="D15" s="1783"/>
      <c r="E15" s="1783"/>
      <c r="F15" s="1783"/>
      <c r="G15" s="1783"/>
      <c r="H15" s="1783"/>
      <c r="I15" s="1783"/>
      <c r="J15" s="1783"/>
      <c r="K15" s="1783"/>
      <c r="L15" s="1783"/>
      <c r="M15" s="1783"/>
      <c r="N15" s="1783"/>
      <c r="O15" s="1783"/>
      <c r="P15" s="1783"/>
      <c r="Q15" s="1783"/>
      <c r="R15" s="1783"/>
      <c r="S15" s="1783"/>
      <c r="T15" s="1783"/>
      <c r="U15" s="1783"/>
      <c r="V15" s="1783"/>
      <c r="W15" s="1783"/>
      <c r="X15" s="1783"/>
      <c r="Y15" s="1783"/>
      <c r="Z15" s="1783"/>
      <c r="AA15" s="1783"/>
      <c r="AB15" s="1783"/>
      <c r="AC15" s="1783"/>
      <c r="AD15" s="1783"/>
      <c r="AE15" s="1783"/>
      <c r="AF15" s="1783"/>
      <c r="AG15" s="1783"/>
      <c r="AH15" s="1783"/>
      <c r="AI15" s="1783"/>
      <c r="AJ15" s="1783"/>
      <c r="AK15" s="1783"/>
      <c r="AL15" s="1783"/>
      <c r="AM15" s="1783"/>
      <c r="AN15" s="1783"/>
      <c r="AO15" s="1783"/>
      <c r="AP15" s="1783"/>
      <c r="AQ15" s="1783"/>
      <c r="AR15" s="1783"/>
      <c r="AS15" s="1783"/>
      <c r="AT15" s="1783"/>
      <c r="AU15" s="1783"/>
      <c r="AV15" s="1783"/>
      <c r="AW15" s="1783"/>
      <c r="AX15" s="1783"/>
      <c r="AY15" s="1783"/>
      <c r="AZ15" s="1783"/>
      <c r="BA15" s="1783"/>
      <c r="BB15" s="1783"/>
      <c r="BC15" s="1783"/>
      <c r="BD15" s="1783"/>
      <c r="BE15" s="1783"/>
      <c r="BF15" s="1783"/>
      <c r="BG15" s="1783"/>
      <c r="BH15" s="1783"/>
      <c r="BI15" s="1783"/>
      <c r="BJ15" s="1783"/>
    </row>
    <row r="16" spans="1:62" ht="18" customHeight="1" x14ac:dyDescent="0.2">
      <c r="A16" s="7129" t="s">
        <v>162</v>
      </c>
      <c r="B16" s="3705" t="s">
        <v>5</v>
      </c>
      <c r="C16" s="3802">
        <v>2</v>
      </c>
      <c r="D16" s="3803">
        <v>21</v>
      </c>
      <c r="E16" s="3803">
        <v>259</v>
      </c>
      <c r="F16" s="3804">
        <v>282</v>
      </c>
      <c r="G16" s="3802">
        <v>1</v>
      </c>
      <c r="H16" s="3803">
        <v>16</v>
      </c>
      <c r="I16" s="3803">
        <v>269</v>
      </c>
      <c r="J16" s="3804">
        <v>286</v>
      </c>
      <c r="K16" s="3802">
        <v>1</v>
      </c>
      <c r="L16" s="3803">
        <v>18</v>
      </c>
      <c r="M16" s="3803">
        <v>277</v>
      </c>
      <c r="N16" s="3805">
        <v>296</v>
      </c>
      <c r="O16" s="3802">
        <v>1</v>
      </c>
      <c r="P16" s="3803">
        <v>19</v>
      </c>
      <c r="Q16" s="3803">
        <v>276</v>
      </c>
      <c r="R16" s="3804">
        <v>296</v>
      </c>
      <c r="S16" s="3803">
        <v>1</v>
      </c>
      <c r="T16" s="3803">
        <v>19</v>
      </c>
      <c r="U16" s="3803">
        <v>278</v>
      </c>
      <c r="V16" s="3804">
        <v>298</v>
      </c>
      <c r="W16" s="3803">
        <v>1</v>
      </c>
      <c r="X16" s="3803">
        <v>19</v>
      </c>
      <c r="Y16" s="3803">
        <v>278</v>
      </c>
      <c r="Z16" s="3804">
        <f>SUM(W16:Y16)</f>
        <v>298</v>
      </c>
      <c r="AA16" s="3803">
        <v>1</v>
      </c>
      <c r="AB16" s="3803">
        <v>16</v>
      </c>
      <c r="AC16" s="3803">
        <v>279</v>
      </c>
      <c r="AD16" s="3804">
        <f>SUM(AA16:AC16)</f>
        <v>296</v>
      </c>
      <c r="AE16" s="3803">
        <v>1</v>
      </c>
      <c r="AF16" s="3803">
        <v>15</v>
      </c>
      <c r="AG16" s="3803">
        <v>277</v>
      </c>
      <c r="AH16" s="3804">
        <v>293</v>
      </c>
      <c r="AI16" s="3803">
        <v>1</v>
      </c>
      <c r="AJ16" s="3803">
        <v>15</v>
      </c>
      <c r="AK16" s="3803">
        <v>278</v>
      </c>
      <c r="AL16" s="3804">
        <f>SUM(AI16:AK16)</f>
        <v>294</v>
      </c>
      <c r="AM16" s="3803">
        <v>1</v>
      </c>
      <c r="AN16" s="3803">
        <v>14</v>
      </c>
      <c r="AO16" s="3803">
        <v>279</v>
      </c>
      <c r="AP16" s="3804">
        <f>SUM(AM16:AO16)</f>
        <v>294</v>
      </c>
      <c r="AQ16" s="3803">
        <f>SUM(AQ51,AQ86,AQ121)</f>
        <v>1</v>
      </c>
      <c r="AR16" s="3803">
        <f>SUM(AR51,AR86,AR121)</f>
        <v>15</v>
      </c>
      <c r="AS16" s="3803">
        <f>SUM(AS51,AS86,AS121)</f>
        <v>283</v>
      </c>
      <c r="AT16" s="3804">
        <f>SUM(AQ16:AS16)</f>
        <v>299</v>
      </c>
      <c r="AU16" s="3803">
        <f t="shared" ref="AU16:AW18" si="19">SUM(AU51,AU86,AU121)</f>
        <v>1</v>
      </c>
      <c r="AV16" s="3803">
        <f t="shared" si="19"/>
        <v>17</v>
      </c>
      <c r="AW16" s="3803">
        <f t="shared" si="19"/>
        <v>283</v>
      </c>
      <c r="AX16" s="3804">
        <f>SUM(AU16:AW16)</f>
        <v>301</v>
      </c>
      <c r="AY16" s="3803">
        <f t="shared" ref="AY16:BA18" si="20">SUM(AY51,AY86,AY121)</f>
        <v>1</v>
      </c>
      <c r="AZ16" s="3803">
        <f t="shared" si="20"/>
        <v>16</v>
      </c>
      <c r="BA16" s="3803">
        <f t="shared" si="20"/>
        <v>282</v>
      </c>
      <c r="BB16" s="3804">
        <f>SUM(AY16:BA16)</f>
        <v>299</v>
      </c>
      <c r="BC16" s="3803">
        <f t="shared" ref="BC16:BE18" si="21">SUM(BC51,BC86,BC121)</f>
        <v>1</v>
      </c>
      <c r="BD16" s="3803">
        <f t="shared" si="21"/>
        <v>14</v>
      </c>
      <c r="BE16" s="3803">
        <f t="shared" si="21"/>
        <v>281</v>
      </c>
      <c r="BF16" s="3804">
        <f>SUM(BC16:BE16)</f>
        <v>296</v>
      </c>
      <c r="BG16" s="3803">
        <f t="shared" ref="BG16:BI16" si="22">SUM(BG51,BG86,BG121)</f>
        <v>1</v>
      </c>
      <c r="BH16" s="3803">
        <f t="shared" si="22"/>
        <v>14</v>
      </c>
      <c r="BI16" s="3803">
        <f t="shared" si="22"/>
        <v>274</v>
      </c>
      <c r="BJ16" s="3804">
        <f>SUM(BG16:BI16)</f>
        <v>289</v>
      </c>
    </row>
    <row r="17" spans="1:62" ht="18" customHeight="1" x14ac:dyDescent="0.2">
      <c r="A17" s="5773"/>
      <c r="B17" s="1784" t="s">
        <v>6</v>
      </c>
      <c r="C17" s="3806">
        <v>4</v>
      </c>
      <c r="D17" s="3807">
        <v>35</v>
      </c>
      <c r="E17" s="3807">
        <v>315</v>
      </c>
      <c r="F17" s="3808">
        <v>354</v>
      </c>
      <c r="G17" s="3806">
        <v>1</v>
      </c>
      <c r="H17" s="3807">
        <v>31</v>
      </c>
      <c r="I17" s="3807">
        <v>330</v>
      </c>
      <c r="J17" s="3808">
        <v>362</v>
      </c>
      <c r="K17" s="3806">
        <v>1</v>
      </c>
      <c r="L17" s="3807">
        <v>30</v>
      </c>
      <c r="M17" s="3807">
        <v>319</v>
      </c>
      <c r="N17" s="3809">
        <v>350</v>
      </c>
      <c r="O17" s="3806">
        <v>1</v>
      </c>
      <c r="P17" s="3807">
        <v>31</v>
      </c>
      <c r="Q17" s="3807">
        <v>320</v>
      </c>
      <c r="R17" s="3808">
        <v>352</v>
      </c>
      <c r="S17" s="3807"/>
      <c r="T17" s="3807">
        <v>32</v>
      </c>
      <c r="U17" s="3807">
        <v>317</v>
      </c>
      <c r="V17" s="3808">
        <v>349</v>
      </c>
      <c r="W17" s="3807"/>
      <c r="X17" s="3807">
        <v>33</v>
      </c>
      <c r="Y17" s="3807">
        <v>317</v>
      </c>
      <c r="Z17" s="3808">
        <f>SUM(W17:Y17)</f>
        <v>350</v>
      </c>
      <c r="AA17" s="3807"/>
      <c r="AB17" s="3807">
        <v>27</v>
      </c>
      <c r="AC17" s="3807">
        <v>323</v>
      </c>
      <c r="AD17" s="3808">
        <f>SUM(AA17:AC17)</f>
        <v>350</v>
      </c>
      <c r="AE17" s="3807"/>
      <c r="AF17" s="3807">
        <v>37</v>
      </c>
      <c r="AG17" s="3807">
        <v>327</v>
      </c>
      <c r="AH17" s="3808">
        <v>364</v>
      </c>
      <c r="AI17" s="3807">
        <v>1</v>
      </c>
      <c r="AJ17" s="3807">
        <v>36</v>
      </c>
      <c r="AK17" s="3807">
        <v>321</v>
      </c>
      <c r="AL17" s="3808">
        <f>SUM(AI17:AK17)</f>
        <v>358</v>
      </c>
      <c r="AM17" s="3807">
        <v>1</v>
      </c>
      <c r="AN17" s="3807">
        <v>32</v>
      </c>
      <c r="AO17" s="3807">
        <v>318</v>
      </c>
      <c r="AP17" s="3808">
        <f>SUM(AM17:AO17)</f>
        <v>351</v>
      </c>
      <c r="AQ17" s="3807">
        <f t="shared" ref="AQ17:AS18" si="23">SUM(AQ52,AQ87,AQ122)</f>
        <v>1</v>
      </c>
      <c r="AR17" s="3807">
        <f t="shared" si="23"/>
        <v>33</v>
      </c>
      <c r="AS17" s="3807">
        <f t="shared" si="23"/>
        <v>323</v>
      </c>
      <c r="AT17" s="3808">
        <f>SUM(AQ17:AS17)</f>
        <v>357</v>
      </c>
      <c r="AU17" s="3807">
        <f t="shared" si="19"/>
        <v>0</v>
      </c>
      <c r="AV17" s="3807">
        <f t="shared" si="19"/>
        <v>38</v>
      </c>
      <c r="AW17" s="3807">
        <f t="shared" si="19"/>
        <v>324</v>
      </c>
      <c r="AX17" s="3808">
        <f>SUM(AU17:AW17)</f>
        <v>362</v>
      </c>
      <c r="AY17" s="3807">
        <f t="shared" si="20"/>
        <v>0</v>
      </c>
      <c r="AZ17" s="3807">
        <f t="shared" si="20"/>
        <v>31</v>
      </c>
      <c r="BA17" s="3807">
        <f t="shared" si="20"/>
        <v>319</v>
      </c>
      <c r="BB17" s="3808">
        <f>SUM(AY17:BA17)</f>
        <v>350</v>
      </c>
      <c r="BC17" s="3807">
        <f t="shared" si="21"/>
        <v>0</v>
      </c>
      <c r="BD17" s="3807">
        <f t="shared" si="21"/>
        <v>27</v>
      </c>
      <c r="BE17" s="3807">
        <f t="shared" si="21"/>
        <v>318</v>
      </c>
      <c r="BF17" s="3808">
        <f>SUM(BC17:BE17)</f>
        <v>345</v>
      </c>
      <c r="BG17" s="3807">
        <f t="shared" ref="BG17:BI17" si="24">SUM(BG52,BG87,BG122)</f>
        <v>0</v>
      </c>
      <c r="BH17" s="3807">
        <f t="shared" si="24"/>
        <v>32</v>
      </c>
      <c r="BI17" s="3807">
        <f t="shared" si="24"/>
        <v>317</v>
      </c>
      <c r="BJ17" s="3808">
        <f>SUM(BG17:BI17)</f>
        <v>349</v>
      </c>
    </row>
    <row r="18" spans="1:62" ht="18" customHeight="1" x14ac:dyDescent="0.2">
      <c r="A18" s="5773"/>
      <c r="B18" s="1784" t="s">
        <v>11</v>
      </c>
      <c r="C18" s="3806">
        <v>6</v>
      </c>
      <c r="D18" s="3807">
        <v>17</v>
      </c>
      <c r="E18" s="3807">
        <v>242</v>
      </c>
      <c r="F18" s="3808">
        <v>265</v>
      </c>
      <c r="G18" s="3806">
        <v>6</v>
      </c>
      <c r="H18" s="3807">
        <v>17</v>
      </c>
      <c r="I18" s="3807">
        <v>241</v>
      </c>
      <c r="J18" s="3808">
        <v>264</v>
      </c>
      <c r="K18" s="3806">
        <v>5</v>
      </c>
      <c r="L18" s="3807">
        <v>16</v>
      </c>
      <c r="M18" s="3807">
        <v>241</v>
      </c>
      <c r="N18" s="3809">
        <v>262</v>
      </c>
      <c r="O18" s="3806">
        <v>4</v>
      </c>
      <c r="P18" s="3807">
        <v>16</v>
      </c>
      <c r="Q18" s="3807">
        <v>238</v>
      </c>
      <c r="R18" s="3808">
        <v>258</v>
      </c>
      <c r="S18" s="3807">
        <v>4</v>
      </c>
      <c r="T18" s="3807">
        <v>18</v>
      </c>
      <c r="U18" s="3807">
        <v>236</v>
      </c>
      <c r="V18" s="3808">
        <v>258</v>
      </c>
      <c r="W18" s="3807">
        <v>3</v>
      </c>
      <c r="X18" s="3807">
        <v>17</v>
      </c>
      <c r="Y18" s="3807">
        <v>230</v>
      </c>
      <c r="Z18" s="3808">
        <f>SUM(W18:Y18)</f>
        <v>250</v>
      </c>
      <c r="AA18" s="3807">
        <v>3</v>
      </c>
      <c r="AB18" s="3807">
        <v>15</v>
      </c>
      <c r="AC18" s="3807">
        <v>228</v>
      </c>
      <c r="AD18" s="3808">
        <f>SUM(AA18:AC18)</f>
        <v>246</v>
      </c>
      <c r="AE18" s="3811">
        <v>2</v>
      </c>
      <c r="AF18" s="3811">
        <v>14</v>
      </c>
      <c r="AG18" s="3811">
        <v>225</v>
      </c>
      <c r="AH18" s="3812">
        <v>241</v>
      </c>
      <c r="AI18" s="3811">
        <v>3</v>
      </c>
      <c r="AJ18" s="3811">
        <v>16</v>
      </c>
      <c r="AK18" s="3811">
        <v>229</v>
      </c>
      <c r="AL18" s="3812">
        <f>SUM(AI18:AK18)</f>
        <v>248</v>
      </c>
      <c r="AM18" s="3811">
        <v>2</v>
      </c>
      <c r="AN18" s="3811">
        <v>18</v>
      </c>
      <c r="AO18" s="3811">
        <v>234</v>
      </c>
      <c r="AP18" s="3812">
        <f>SUM(AM18:AO18)</f>
        <v>254</v>
      </c>
      <c r="AQ18" s="3811">
        <f t="shared" si="23"/>
        <v>3</v>
      </c>
      <c r="AR18" s="3811">
        <f t="shared" si="23"/>
        <v>21</v>
      </c>
      <c r="AS18" s="3811">
        <f t="shared" si="23"/>
        <v>226</v>
      </c>
      <c r="AT18" s="3812">
        <f>SUM(AQ18:AS18)</f>
        <v>250</v>
      </c>
      <c r="AU18" s="3811">
        <f t="shared" si="19"/>
        <v>4</v>
      </c>
      <c r="AV18" s="3811">
        <f t="shared" si="19"/>
        <v>22</v>
      </c>
      <c r="AW18" s="3811">
        <f t="shared" si="19"/>
        <v>228</v>
      </c>
      <c r="AX18" s="3812">
        <f>SUM(AU18:AW18)</f>
        <v>254</v>
      </c>
      <c r="AY18" s="3811">
        <f t="shared" si="20"/>
        <v>3</v>
      </c>
      <c r="AZ18" s="3811">
        <f t="shared" si="20"/>
        <v>19</v>
      </c>
      <c r="BA18" s="3811">
        <f t="shared" si="20"/>
        <v>233</v>
      </c>
      <c r="BB18" s="3812">
        <f>SUM(AY18:BA18)</f>
        <v>255</v>
      </c>
      <c r="BC18" s="3811">
        <f t="shared" si="21"/>
        <v>4</v>
      </c>
      <c r="BD18" s="3811">
        <f t="shared" si="21"/>
        <v>17</v>
      </c>
      <c r="BE18" s="3811">
        <f t="shared" si="21"/>
        <v>234</v>
      </c>
      <c r="BF18" s="3812">
        <f>SUM(BC18:BE18)</f>
        <v>255</v>
      </c>
      <c r="BG18" s="3811">
        <f t="shared" ref="BG18:BI18" si="25">SUM(BG53,BG88,BG123)</f>
        <v>3</v>
      </c>
      <c r="BH18" s="3811">
        <f t="shared" si="25"/>
        <v>20</v>
      </c>
      <c r="BI18" s="3811">
        <f t="shared" si="25"/>
        <v>229</v>
      </c>
      <c r="BJ18" s="3812">
        <f>SUM(BG18:BI18)</f>
        <v>252</v>
      </c>
    </row>
    <row r="19" spans="1:62" ht="18" customHeight="1" x14ac:dyDescent="0.2">
      <c r="A19" s="5774"/>
      <c r="B19" s="3830" t="s">
        <v>12</v>
      </c>
      <c r="C19" s="3831">
        <v>12</v>
      </c>
      <c r="D19" s="3832">
        <v>73</v>
      </c>
      <c r="E19" s="3832">
        <v>816</v>
      </c>
      <c r="F19" s="3833">
        <v>901</v>
      </c>
      <c r="G19" s="3831">
        <v>8</v>
      </c>
      <c r="H19" s="3832">
        <v>64</v>
      </c>
      <c r="I19" s="3832">
        <v>840</v>
      </c>
      <c r="J19" s="3833">
        <v>912</v>
      </c>
      <c r="K19" s="3831">
        <v>7</v>
      </c>
      <c r="L19" s="3832">
        <v>64</v>
      </c>
      <c r="M19" s="3832">
        <v>837</v>
      </c>
      <c r="N19" s="3832">
        <v>908</v>
      </c>
      <c r="O19" s="3831">
        <v>6</v>
      </c>
      <c r="P19" s="3832">
        <v>66</v>
      </c>
      <c r="Q19" s="3832">
        <v>834</v>
      </c>
      <c r="R19" s="3833">
        <f>SUM(R16:R18)</f>
        <v>906</v>
      </c>
      <c r="S19" s="3832">
        <v>5</v>
      </c>
      <c r="T19" s="3832">
        <v>69</v>
      </c>
      <c r="U19" s="3832">
        <v>831</v>
      </c>
      <c r="V19" s="3833">
        <f t="shared" ref="V19:AX19" si="26">SUM(V16:V18)</f>
        <v>905</v>
      </c>
      <c r="W19" s="3831">
        <f t="shared" si="26"/>
        <v>4</v>
      </c>
      <c r="X19" s="3832">
        <f t="shared" si="26"/>
        <v>69</v>
      </c>
      <c r="Y19" s="3832">
        <f t="shared" si="26"/>
        <v>825</v>
      </c>
      <c r="Z19" s="3833">
        <f t="shared" si="26"/>
        <v>898</v>
      </c>
      <c r="AA19" s="3831">
        <f t="shared" si="26"/>
        <v>4</v>
      </c>
      <c r="AB19" s="3832">
        <f t="shared" si="26"/>
        <v>58</v>
      </c>
      <c r="AC19" s="3832">
        <f t="shared" si="26"/>
        <v>830</v>
      </c>
      <c r="AD19" s="3833">
        <f t="shared" si="26"/>
        <v>892</v>
      </c>
      <c r="AE19" s="3831">
        <f t="shared" si="26"/>
        <v>3</v>
      </c>
      <c r="AF19" s="3832">
        <f t="shared" si="26"/>
        <v>66</v>
      </c>
      <c r="AG19" s="3832">
        <f t="shared" si="26"/>
        <v>829</v>
      </c>
      <c r="AH19" s="3833">
        <f t="shared" si="26"/>
        <v>898</v>
      </c>
      <c r="AI19" s="3831">
        <f t="shared" si="26"/>
        <v>5</v>
      </c>
      <c r="AJ19" s="3832">
        <f t="shared" si="26"/>
        <v>67</v>
      </c>
      <c r="AK19" s="3832">
        <f t="shared" si="26"/>
        <v>828</v>
      </c>
      <c r="AL19" s="3833">
        <f t="shared" si="26"/>
        <v>900</v>
      </c>
      <c r="AM19" s="3831">
        <f t="shared" si="26"/>
        <v>4</v>
      </c>
      <c r="AN19" s="3832">
        <f t="shared" si="26"/>
        <v>64</v>
      </c>
      <c r="AO19" s="3832">
        <f t="shared" si="26"/>
        <v>831</v>
      </c>
      <c r="AP19" s="3833">
        <f t="shared" si="26"/>
        <v>899</v>
      </c>
      <c r="AQ19" s="3831">
        <f t="shared" si="26"/>
        <v>5</v>
      </c>
      <c r="AR19" s="3832">
        <f t="shared" si="26"/>
        <v>69</v>
      </c>
      <c r="AS19" s="3832">
        <f t="shared" si="26"/>
        <v>832</v>
      </c>
      <c r="AT19" s="3833">
        <f t="shared" si="26"/>
        <v>906</v>
      </c>
      <c r="AU19" s="3831">
        <f t="shared" si="26"/>
        <v>5</v>
      </c>
      <c r="AV19" s="3832">
        <f t="shared" si="26"/>
        <v>77</v>
      </c>
      <c r="AW19" s="3832">
        <f t="shared" si="26"/>
        <v>835</v>
      </c>
      <c r="AX19" s="3833">
        <f t="shared" si="26"/>
        <v>917</v>
      </c>
      <c r="AY19" s="3831">
        <f t="shared" ref="AY19:BF19" si="27">SUM(AY16:AY18)</f>
        <v>4</v>
      </c>
      <c r="AZ19" s="3832">
        <f t="shared" si="27"/>
        <v>66</v>
      </c>
      <c r="BA19" s="3832">
        <f t="shared" si="27"/>
        <v>834</v>
      </c>
      <c r="BB19" s="3833">
        <f t="shared" si="27"/>
        <v>904</v>
      </c>
      <c r="BC19" s="3831">
        <f t="shared" si="27"/>
        <v>5</v>
      </c>
      <c r="BD19" s="3832">
        <f t="shared" si="27"/>
        <v>58</v>
      </c>
      <c r="BE19" s="3832">
        <f t="shared" si="27"/>
        <v>833</v>
      </c>
      <c r="BF19" s="3833">
        <f t="shared" si="27"/>
        <v>896</v>
      </c>
      <c r="BG19" s="3831">
        <f t="shared" ref="BG19:BI19" si="28">SUM(BG16:BG18)</f>
        <v>4</v>
      </c>
      <c r="BH19" s="3832">
        <f t="shared" si="28"/>
        <v>66</v>
      </c>
      <c r="BI19" s="3832">
        <f t="shared" si="28"/>
        <v>820</v>
      </c>
      <c r="BJ19" s="3833">
        <f t="shared" ref="BJ19" si="29">SUM(BJ16:BJ18)</f>
        <v>890</v>
      </c>
    </row>
    <row r="20" spans="1:62" x14ac:dyDescent="0.2">
      <c r="A20" s="195"/>
      <c r="B20" s="1783"/>
      <c r="C20" s="1783"/>
      <c r="D20" s="1783"/>
      <c r="E20" s="1783"/>
      <c r="F20" s="1783"/>
      <c r="G20" s="1783"/>
      <c r="H20" s="1783"/>
      <c r="I20" s="1783"/>
      <c r="J20" s="1783"/>
      <c r="K20" s="1783"/>
      <c r="L20" s="1783"/>
      <c r="M20" s="1783"/>
      <c r="N20" s="1783"/>
      <c r="O20" s="1783"/>
      <c r="P20" s="1783"/>
      <c r="Q20" s="1783"/>
      <c r="R20" s="1783"/>
      <c r="S20" s="1783"/>
      <c r="T20" s="1783"/>
      <c r="U20" s="1783"/>
      <c r="V20" s="1783"/>
      <c r="W20" s="1783"/>
      <c r="X20" s="1783"/>
      <c r="Y20" s="1783"/>
      <c r="Z20" s="1783"/>
      <c r="AA20" s="1783"/>
      <c r="AB20" s="1783"/>
      <c r="AC20" s="1783"/>
      <c r="AD20" s="1783"/>
      <c r="AE20" s="1783"/>
      <c r="AF20" s="1783"/>
      <c r="AG20" s="1783"/>
      <c r="AH20" s="1783"/>
      <c r="AI20" s="1783"/>
      <c r="AJ20" s="1783"/>
      <c r="AK20" s="1783"/>
      <c r="AL20" s="1783"/>
      <c r="AM20" s="1783"/>
      <c r="AN20" s="1783"/>
      <c r="AO20" s="1783"/>
      <c r="AP20" s="1783"/>
      <c r="AQ20" s="1783"/>
      <c r="AR20" s="1783"/>
      <c r="AS20" s="1783"/>
      <c r="AT20" s="1783"/>
      <c r="AU20" s="1783"/>
      <c r="AV20" s="1783"/>
      <c r="AW20" s="1783"/>
      <c r="AX20" s="1783"/>
      <c r="AY20" s="1783"/>
      <c r="AZ20" s="1783"/>
      <c r="BA20" s="1783"/>
      <c r="BB20" s="1783"/>
      <c r="BC20" s="1783"/>
      <c r="BD20" s="1783"/>
      <c r="BE20" s="1783"/>
      <c r="BF20" s="1783"/>
      <c r="BG20" s="1783"/>
      <c r="BH20" s="1783"/>
      <c r="BI20" s="1783"/>
      <c r="BJ20" s="1783"/>
    </row>
    <row r="21" spans="1:62" ht="18" customHeight="1" x14ac:dyDescent="0.2">
      <c r="A21" s="7130" t="s">
        <v>408</v>
      </c>
      <c r="B21" s="3705" t="s">
        <v>5</v>
      </c>
      <c r="C21" s="3817"/>
      <c r="D21" s="3818"/>
      <c r="E21" s="3818"/>
      <c r="F21" s="3819"/>
      <c r="G21" s="3817"/>
      <c r="H21" s="3818"/>
      <c r="I21" s="3818"/>
      <c r="J21" s="3819"/>
      <c r="K21" s="3817"/>
      <c r="L21" s="3818"/>
      <c r="M21" s="3818"/>
      <c r="N21" s="3819"/>
      <c r="O21" s="3817"/>
      <c r="P21" s="3818"/>
      <c r="Q21" s="3818"/>
      <c r="R21" s="3819"/>
      <c r="S21" s="3802"/>
      <c r="T21" s="3803"/>
      <c r="U21" s="3803"/>
      <c r="V21" s="3804"/>
      <c r="W21" s="3802"/>
      <c r="X21" s="3803"/>
      <c r="Y21" s="3803"/>
      <c r="Z21" s="3804"/>
      <c r="AA21" s="3802"/>
      <c r="AB21" s="3803"/>
      <c r="AC21" s="3803"/>
      <c r="AD21" s="3804"/>
      <c r="AE21" s="3802"/>
      <c r="AF21" s="3803"/>
      <c r="AG21" s="3803">
        <v>3</v>
      </c>
      <c r="AH21" s="3804">
        <v>3</v>
      </c>
      <c r="AI21" s="3802"/>
      <c r="AJ21" s="3803"/>
      <c r="AK21" s="3803">
        <v>4</v>
      </c>
      <c r="AL21" s="3804">
        <f>SUM(AI21:AK21)</f>
        <v>4</v>
      </c>
      <c r="AM21" s="3802"/>
      <c r="AN21" s="3803"/>
      <c r="AO21" s="3803">
        <v>7</v>
      </c>
      <c r="AP21" s="3804">
        <f>SUM(AM21:AO21)</f>
        <v>7</v>
      </c>
      <c r="AQ21" s="3802">
        <f>SUM(AQ56,AQ91,AQ126)</f>
        <v>0</v>
      </c>
      <c r="AR21" s="3803">
        <f>SUM(AR56,AR91,AR126)</f>
        <v>1</v>
      </c>
      <c r="AS21" s="3803">
        <f>SUM(AS56,AS91,AS126)</f>
        <v>7</v>
      </c>
      <c r="AT21" s="3804">
        <f>SUM(AQ21:AS21)</f>
        <v>8</v>
      </c>
      <c r="AU21" s="3803">
        <f t="shared" ref="AU21:AW23" si="30">SUM(AU56,AU91,AU126)</f>
        <v>0</v>
      </c>
      <c r="AV21" s="3803">
        <f t="shared" si="30"/>
        <v>1</v>
      </c>
      <c r="AW21" s="3803">
        <f t="shared" si="30"/>
        <v>9</v>
      </c>
      <c r="AX21" s="3804">
        <f>SUM(AU21:AW21)</f>
        <v>10</v>
      </c>
      <c r="AY21" s="3803">
        <f t="shared" ref="AY21:BA23" si="31">SUM(AY56,AY91,AY126)</f>
        <v>0</v>
      </c>
      <c r="AZ21" s="3803">
        <f t="shared" si="31"/>
        <v>4</v>
      </c>
      <c r="BA21" s="3803">
        <f t="shared" si="31"/>
        <v>11</v>
      </c>
      <c r="BB21" s="3804">
        <f>SUM(AY21:BA21)</f>
        <v>15</v>
      </c>
      <c r="BC21" s="3803">
        <f t="shared" ref="BC21:BE23" si="32">SUM(BC56,BC91,BC126)</f>
        <v>0</v>
      </c>
      <c r="BD21" s="3803">
        <f t="shared" si="32"/>
        <v>3</v>
      </c>
      <c r="BE21" s="3803">
        <f t="shared" si="32"/>
        <v>13</v>
      </c>
      <c r="BF21" s="3804">
        <f>SUM(BC21:BE21)</f>
        <v>16</v>
      </c>
      <c r="BG21" s="3803">
        <f t="shared" ref="BG21:BI21" si="33">SUM(BG56,BG91,BG126)</f>
        <v>0</v>
      </c>
      <c r="BH21" s="3803">
        <f t="shared" si="33"/>
        <v>3</v>
      </c>
      <c r="BI21" s="3803">
        <f t="shared" si="33"/>
        <v>16</v>
      </c>
      <c r="BJ21" s="3804">
        <f>SUM(BG21:BI21)</f>
        <v>19</v>
      </c>
    </row>
    <row r="22" spans="1:62" ht="18" customHeight="1" x14ac:dyDescent="0.2">
      <c r="A22" s="5776"/>
      <c r="B22" s="1784" t="s">
        <v>6</v>
      </c>
      <c r="C22" s="3820"/>
      <c r="D22" s="3821"/>
      <c r="E22" s="3821"/>
      <c r="F22" s="3822"/>
      <c r="G22" s="3820"/>
      <c r="H22" s="3821"/>
      <c r="I22" s="3821"/>
      <c r="J22" s="3822"/>
      <c r="K22" s="3820"/>
      <c r="L22" s="3821"/>
      <c r="M22" s="3821"/>
      <c r="N22" s="3822"/>
      <c r="O22" s="3820"/>
      <c r="P22" s="3821"/>
      <c r="Q22" s="3821"/>
      <c r="R22" s="3822"/>
      <c r="S22" s="3806"/>
      <c r="T22" s="3807"/>
      <c r="U22" s="3807"/>
      <c r="V22" s="3808"/>
      <c r="W22" s="3806"/>
      <c r="X22" s="3807"/>
      <c r="Y22" s="3807"/>
      <c r="Z22" s="3808"/>
      <c r="AA22" s="3806"/>
      <c r="AB22" s="3807"/>
      <c r="AC22" s="3807"/>
      <c r="AD22" s="3808"/>
      <c r="AE22" s="3806"/>
      <c r="AF22" s="3807"/>
      <c r="AG22" s="3807">
        <v>2</v>
      </c>
      <c r="AH22" s="3808">
        <v>5</v>
      </c>
      <c r="AI22" s="3806"/>
      <c r="AJ22" s="3807"/>
      <c r="AK22" s="3807">
        <v>3</v>
      </c>
      <c r="AL22" s="3808">
        <f>SUM(AI22:AK22)</f>
        <v>3</v>
      </c>
      <c r="AM22" s="3806"/>
      <c r="AN22" s="3807"/>
      <c r="AO22" s="3807">
        <v>6</v>
      </c>
      <c r="AP22" s="3808">
        <f>SUM(AM22:AO22)</f>
        <v>6</v>
      </c>
      <c r="AQ22" s="3806">
        <f t="shared" ref="AQ22:AS23" si="34">SUM(AQ57,AQ92,AQ127)</f>
        <v>0</v>
      </c>
      <c r="AR22" s="3807">
        <f t="shared" si="34"/>
        <v>1</v>
      </c>
      <c r="AS22" s="3807">
        <f t="shared" si="34"/>
        <v>6</v>
      </c>
      <c r="AT22" s="3808">
        <f>SUM(AQ22:AS22)</f>
        <v>7</v>
      </c>
      <c r="AU22" s="3807">
        <f t="shared" si="30"/>
        <v>0</v>
      </c>
      <c r="AV22" s="3807">
        <f t="shared" si="30"/>
        <v>6</v>
      </c>
      <c r="AW22" s="3807">
        <f t="shared" si="30"/>
        <v>7</v>
      </c>
      <c r="AX22" s="3808">
        <f>SUM(AU22:AW22)</f>
        <v>13</v>
      </c>
      <c r="AY22" s="3807">
        <f t="shared" si="31"/>
        <v>0</v>
      </c>
      <c r="AZ22" s="3807">
        <f t="shared" si="31"/>
        <v>4</v>
      </c>
      <c r="BA22" s="3807">
        <f t="shared" si="31"/>
        <v>9</v>
      </c>
      <c r="BB22" s="3808">
        <f>SUM(AY22:BA22)</f>
        <v>13</v>
      </c>
      <c r="BC22" s="3807">
        <f t="shared" si="32"/>
        <v>0</v>
      </c>
      <c r="BD22" s="3807">
        <f t="shared" si="32"/>
        <v>5</v>
      </c>
      <c r="BE22" s="3807">
        <f t="shared" si="32"/>
        <v>16</v>
      </c>
      <c r="BF22" s="3808">
        <f>SUM(BC22:BE22)</f>
        <v>21</v>
      </c>
      <c r="BG22" s="3807">
        <f t="shared" ref="BG22:BI22" si="35">SUM(BG57,BG92,BG127)</f>
        <v>0</v>
      </c>
      <c r="BH22" s="3807">
        <f t="shared" si="35"/>
        <v>8</v>
      </c>
      <c r="BI22" s="3807">
        <f t="shared" si="35"/>
        <v>21</v>
      </c>
      <c r="BJ22" s="3808">
        <f>SUM(BG22:BI22)</f>
        <v>29</v>
      </c>
    </row>
    <row r="23" spans="1:62" ht="18" customHeight="1" x14ac:dyDescent="0.2">
      <c r="A23" s="5776"/>
      <c r="B23" s="1784" t="s">
        <v>11</v>
      </c>
      <c r="C23" s="3834"/>
      <c r="D23" s="3835"/>
      <c r="E23" s="3835"/>
      <c r="F23" s="3836"/>
      <c r="G23" s="3834"/>
      <c r="H23" s="3835"/>
      <c r="I23" s="3835"/>
      <c r="J23" s="3836"/>
      <c r="K23" s="3834"/>
      <c r="L23" s="3835"/>
      <c r="M23" s="3835"/>
      <c r="N23" s="3836"/>
      <c r="O23" s="3834"/>
      <c r="P23" s="3835"/>
      <c r="Q23" s="3835"/>
      <c r="R23" s="3836"/>
      <c r="S23" s="3837"/>
      <c r="T23" s="3811"/>
      <c r="U23" s="3811"/>
      <c r="V23" s="3812"/>
      <c r="W23" s="3837"/>
      <c r="X23" s="3811"/>
      <c r="Y23" s="3811"/>
      <c r="Z23" s="3812"/>
      <c r="AA23" s="3837"/>
      <c r="AB23" s="3811"/>
      <c r="AC23" s="3811">
        <v>1</v>
      </c>
      <c r="AD23" s="3812">
        <f>SUM(AC23)</f>
        <v>1</v>
      </c>
      <c r="AE23" s="3806"/>
      <c r="AF23" s="3807"/>
      <c r="AG23" s="3807">
        <v>5</v>
      </c>
      <c r="AH23" s="3808">
        <v>2</v>
      </c>
      <c r="AI23" s="3806"/>
      <c r="AJ23" s="3807"/>
      <c r="AK23" s="3807">
        <v>6</v>
      </c>
      <c r="AL23" s="3812">
        <f>SUM(AI23:AK23)</f>
        <v>6</v>
      </c>
      <c r="AM23" s="3806"/>
      <c r="AN23" s="3807"/>
      <c r="AO23" s="3807">
        <v>9</v>
      </c>
      <c r="AP23" s="3812">
        <f>SUM(AM23:AO23)</f>
        <v>9</v>
      </c>
      <c r="AQ23" s="3806">
        <f t="shared" si="34"/>
        <v>0</v>
      </c>
      <c r="AR23" s="3807">
        <f t="shared" si="34"/>
        <v>0</v>
      </c>
      <c r="AS23" s="3807">
        <f t="shared" si="34"/>
        <v>13</v>
      </c>
      <c r="AT23" s="3812">
        <f>SUM(AQ23:AS23)</f>
        <v>13</v>
      </c>
      <c r="AU23" s="3811">
        <f t="shared" si="30"/>
        <v>0</v>
      </c>
      <c r="AV23" s="3811">
        <f t="shared" si="30"/>
        <v>0</v>
      </c>
      <c r="AW23" s="3811">
        <f t="shared" si="30"/>
        <v>13</v>
      </c>
      <c r="AX23" s="3812">
        <f>SUM(AU23:AW23)</f>
        <v>13</v>
      </c>
      <c r="AY23" s="3811">
        <f t="shared" si="31"/>
        <v>0</v>
      </c>
      <c r="AZ23" s="3811">
        <f t="shared" si="31"/>
        <v>1</v>
      </c>
      <c r="BA23" s="3811">
        <f t="shared" si="31"/>
        <v>13</v>
      </c>
      <c r="BB23" s="3812">
        <f>SUM(AY23:BA23)</f>
        <v>14</v>
      </c>
      <c r="BC23" s="3811">
        <f t="shared" si="32"/>
        <v>0</v>
      </c>
      <c r="BD23" s="3811">
        <f t="shared" si="32"/>
        <v>2</v>
      </c>
      <c r="BE23" s="3811">
        <f t="shared" si="32"/>
        <v>16</v>
      </c>
      <c r="BF23" s="3812">
        <f>SUM(BC23:BE23)</f>
        <v>18</v>
      </c>
      <c r="BG23" s="3811">
        <f t="shared" ref="BG23:BI23" si="36">SUM(BG58,BG93,BG128)</f>
        <v>0</v>
      </c>
      <c r="BH23" s="3811">
        <f t="shared" si="36"/>
        <v>2</v>
      </c>
      <c r="BI23" s="3811">
        <f t="shared" si="36"/>
        <v>18</v>
      </c>
      <c r="BJ23" s="3812">
        <f>SUM(BG23:BI23)</f>
        <v>20</v>
      </c>
    </row>
    <row r="24" spans="1:62" ht="18" customHeight="1" x14ac:dyDescent="0.2">
      <c r="A24" s="5777"/>
      <c r="B24" s="3838" t="s">
        <v>12</v>
      </c>
      <c r="C24" s="3839"/>
      <c r="D24" s="3840"/>
      <c r="E24" s="3840"/>
      <c r="F24" s="3841"/>
      <c r="G24" s="3839"/>
      <c r="H24" s="3840"/>
      <c r="I24" s="3840"/>
      <c r="J24" s="3841"/>
      <c r="K24" s="3839"/>
      <c r="L24" s="3840"/>
      <c r="M24" s="3840"/>
      <c r="N24" s="3840"/>
      <c r="O24" s="3839"/>
      <c r="P24" s="3840"/>
      <c r="Q24" s="3840"/>
      <c r="R24" s="3841"/>
      <c r="S24" s="3842"/>
      <c r="T24" s="3842"/>
      <c r="U24" s="3842"/>
      <c r="V24" s="3843"/>
      <c r="W24" s="3844"/>
      <c r="X24" s="3842"/>
      <c r="Y24" s="3842"/>
      <c r="Z24" s="3843"/>
      <c r="AA24" s="3844"/>
      <c r="AB24" s="3842"/>
      <c r="AC24" s="3842">
        <f>SUM(AC21:AC23)</f>
        <v>1</v>
      </c>
      <c r="AD24" s="3843">
        <f>SUM(AD21:AD23)</f>
        <v>1</v>
      </c>
      <c r="AE24" s="3844"/>
      <c r="AF24" s="3842"/>
      <c r="AG24" s="3842">
        <f>SUM(AG21:AG23)</f>
        <v>10</v>
      </c>
      <c r="AH24" s="3843">
        <f>SUM(AH21:AH23)</f>
        <v>10</v>
      </c>
      <c r="AI24" s="3844"/>
      <c r="AJ24" s="3842"/>
      <c r="AK24" s="3842">
        <f>SUM(AK21:AK23)</f>
        <v>13</v>
      </c>
      <c r="AL24" s="3843">
        <f>SUM(AL21:AL23)</f>
        <v>13</v>
      </c>
      <c r="AM24" s="3844"/>
      <c r="AN24" s="3842"/>
      <c r="AO24" s="3842">
        <f>SUM(AO21:AO23)</f>
        <v>22</v>
      </c>
      <c r="AP24" s="3843">
        <f>SUM(AP21:AP23)</f>
        <v>22</v>
      </c>
      <c r="AQ24" s="3844"/>
      <c r="AR24" s="3842">
        <f>SUM(AR21:AR23)</f>
        <v>2</v>
      </c>
      <c r="AS24" s="3842">
        <f>SUM(AS21:AS23)</f>
        <v>26</v>
      </c>
      <c r="AT24" s="3843">
        <f>SUM(AT21:AT23)</f>
        <v>28</v>
      </c>
      <c r="AU24" s="3844"/>
      <c r="AV24" s="3842">
        <f>SUM(AV21:AV23)</f>
        <v>7</v>
      </c>
      <c r="AW24" s="3842">
        <f>SUM(AW21:AW23)</f>
        <v>29</v>
      </c>
      <c r="AX24" s="3843">
        <f>SUM(AX21:AX23)</f>
        <v>36</v>
      </c>
      <c r="AY24" s="3844"/>
      <c r="AZ24" s="3842">
        <f>SUM(AZ21:AZ23)</f>
        <v>9</v>
      </c>
      <c r="BA24" s="3842">
        <f>SUM(BA21:BA23)</f>
        <v>33</v>
      </c>
      <c r="BB24" s="3843">
        <f>SUM(BB21:BB23)</f>
        <v>42</v>
      </c>
      <c r="BC24" s="3844"/>
      <c r="BD24" s="3842">
        <f>SUM(BD21:BD23)</f>
        <v>10</v>
      </c>
      <c r="BE24" s="3842">
        <f>SUM(BE21:BE23)</f>
        <v>45</v>
      </c>
      <c r="BF24" s="3843">
        <f>SUM(BF21:BF23)</f>
        <v>55</v>
      </c>
      <c r="BG24" s="3844"/>
      <c r="BH24" s="3842">
        <f>SUM(BH21:BH23)</f>
        <v>13</v>
      </c>
      <c r="BI24" s="3842">
        <f>SUM(BI21:BI23)</f>
        <v>55</v>
      </c>
      <c r="BJ24" s="3843">
        <f>SUM(BJ21:BJ23)</f>
        <v>68</v>
      </c>
    </row>
    <row r="25" spans="1:62" ht="18" customHeight="1" x14ac:dyDescent="0.25">
      <c r="A25" s="1781"/>
      <c r="B25" s="1783"/>
      <c r="C25" s="1783"/>
      <c r="D25" s="1783"/>
      <c r="E25" s="1783"/>
      <c r="F25" s="1783"/>
      <c r="G25" s="1783"/>
      <c r="H25" s="1783"/>
      <c r="I25" s="1783"/>
      <c r="J25" s="1783"/>
      <c r="K25" s="1783"/>
      <c r="L25" s="1783"/>
      <c r="M25" s="1783"/>
      <c r="N25" s="1783"/>
      <c r="O25" s="1783"/>
      <c r="P25" s="1783"/>
      <c r="Q25" s="1783"/>
      <c r="R25" s="1783"/>
      <c r="S25" s="1783"/>
      <c r="T25" s="1783"/>
      <c r="U25" s="1783"/>
      <c r="V25" s="1783"/>
      <c r="W25" s="1783"/>
      <c r="X25" s="1783"/>
      <c r="Y25" s="1783"/>
      <c r="Z25" s="1783"/>
      <c r="AA25" s="1783"/>
      <c r="AB25" s="1783"/>
      <c r="AC25" s="1783"/>
      <c r="AD25" s="1783"/>
      <c r="AE25" s="1783"/>
      <c r="AF25" s="1783"/>
      <c r="AG25" s="1783"/>
      <c r="AH25" s="1783"/>
      <c r="AI25" s="1783"/>
      <c r="AJ25" s="1783"/>
      <c r="AK25" s="1783"/>
      <c r="AL25" s="1783"/>
      <c r="AM25" s="1783"/>
      <c r="AN25" s="1783"/>
      <c r="AO25" s="1783"/>
      <c r="AP25" s="1783"/>
      <c r="AQ25" s="1783"/>
      <c r="AR25" s="1783"/>
      <c r="AS25" s="1783"/>
      <c r="AT25" s="1783"/>
      <c r="AU25" s="1783"/>
      <c r="AV25" s="1783"/>
      <c r="AW25" s="1783"/>
      <c r="AX25" s="1783"/>
      <c r="AY25" s="1783"/>
      <c r="AZ25" s="1783"/>
      <c r="BA25" s="1783"/>
      <c r="BB25" s="1783"/>
      <c r="BC25" s="1783"/>
      <c r="BD25" s="1783"/>
      <c r="BE25" s="1783"/>
      <c r="BF25" s="1783"/>
      <c r="BG25" s="1783"/>
      <c r="BH25" s="1783"/>
      <c r="BI25" s="1783"/>
      <c r="BJ25" s="1783"/>
    </row>
    <row r="26" spans="1:62" ht="18" customHeight="1" x14ac:dyDescent="0.2">
      <c r="A26" s="7131" t="s">
        <v>163</v>
      </c>
      <c r="B26" s="3705" t="s">
        <v>6</v>
      </c>
      <c r="C26" s="3802">
        <v>1</v>
      </c>
      <c r="D26" s="3803">
        <v>37</v>
      </c>
      <c r="E26" s="3803">
        <v>351</v>
      </c>
      <c r="F26" s="3804">
        <v>389</v>
      </c>
      <c r="G26" s="3817"/>
      <c r="H26" s="3803">
        <v>26</v>
      </c>
      <c r="I26" s="3803">
        <v>358</v>
      </c>
      <c r="J26" s="3804">
        <v>384</v>
      </c>
      <c r="K26" s="3802">
        <v>2</v>
      </c>
      <c r="L26" s="3803">
        <v>29</v>
      </c>
      <c r="M26" s="3803">
        <v>356</v>
      </c>
      <c r="N26" s="3804">
        <v>387</v>
      </c>
      <c r="O26" s="3802">
        <v>1</v>
      </c>
      <c r="P26" s="3803">
        <v>35</v>
      </c>
      <c r="Q26" s="3803">
        <v>350</v>
      </c>
      <c r="R26" s="3804">
        <v>386</v>
      </c>
      <c r="S26" s="3802">
        <v>1</v>
      </c>
      <c r="T26" s="3803">
        <v>30</v>
      </c>
      <c r="U26" s="3803">
        <v>337</v>
      </c>
      <c r="V26" s="3804">
        <v>368</v>
      </c>
      <c r="W26" s="3802">
        <v>1</v>
      </c>
      <c r="X26" s="3803">
        <v>42</v>
      </c>
      <c r="Y26" s="3803">
        <v>333</v>
      </c>
      <c r="Z26" s="3804">
        <f>SUM(W26:Y26)</f>
        <v>376</v>
      </c>
      <c r="AA26" s="3802">
        <v>2</v>
      </c>
      <c r="AB26" s="3803">
        <v>48</v>
      </c>
      <c r="AC26" s="3803">
        <v>333</v>
      </c>
      <c r="AD26" s="3804">
        <f>SUM(AA26:AC26)</f>
        <v>383</v>
      </c>
      <c r="AE26" s="3802">
        <v>2</v>
      </c>
      <c r="AF26" s="3803">
        <v>56</v>
      </c>
      <c r="AG26" s="3803">
        <v>332</v>
      </c>
      <c r="AH26" s="3804">
        <v>390</v>
      </c>
      <c r="AI26" s="3802">
        <v>4</v>
      </c>
      <c r="AJ26" s="3803">
        <v>59</v>
      </c>
      <c r="AK26" s="3803">
        <v>340</v>
      </c>
      <c r="AL26" s="3804">
        <f>SUM(AI26:AK26)</f>
        <v>403</v>
      </c>
      <c r="AM26" s="3802">
        <v>4</v>
      </c>
      <c r="AN26" s="3803">
        <v>53</v>
      </c>
      <c r="AO26" s="3803">
        <v>346</v>
      </c>
      <c r="AP26" s="3804">
        <f>SUM(AM26:AO26)</f>
        <v>403</v>
      </c>
      <c r="AQ26" s="3802">
        <f>SUM(AQ61,AQ96,AQ131)</f>
        <v>3</v>
      </c>
      <c r="AR26" s="3803">
        <f>SUM(AR61,AR96,AR131)</f>
        <v>48</v>
      </c>
      <c r="AS26" s="3803">
        <f>SUM(AS61,AS96,AS131)</f>
        <v>348</v>
      </c>
      <c r="AT26" s="3804">
        <f>SUM(AQ26:AS26)</f>
        <v>399</v>
      </c>
      <c r="AU26" s="3803">
        <f t="shared" ref="AU26:AW28" si="37">SUM(AU61,AU96,AU131)</f>
        <v>3</v>
      </c>
      <c r="AV26" s="3803">
        <f t="shared" si="37"/>
        <v>48</v>
      </c>
      <c r="AW26" s="3803">
        <f t="shared" si="37"/>
        <v>347</v>
      </c>
      <c r="AX26" s="3804">
        <f>SUM(AU26:AW26)</f>
        <v>398</v>
      </c>
      <c r="AY26" s="3803">
        <f t="shared" ref="AY26:BA28" si="38">SUM(AY61,AY96,AY131)</f>
        <v>3</v>
      </c>
      <c r="AZ26" s="3803">
        <f t="shared" si="38"/>
        <v>46</v>
      </c>
      <c r="BA26" s="3803">
        <f t="shared" si="38"/>
        <v>344</v>
      </c>
      <c r="BB26" s="3804">
        <f>SUM(AY26:BA26)</f>
        <v>393</v>
      </c>
      <c r="BC26" s="3803">
        <f t="shared" ref="BC26:BE28" si="39">SUM(BC61,BC96,BC131)</f>
        <v>1</v>
      </c>
      <c r="BD26" s="3803">
        <f t="shared" si="39"/>
        <v>47</v>
      </c>
      <c r="BE26" s="3803">
        <f t="shared" si="39"/>
        <v>340</v>
      </c>
      <c r="BF26" s="3804">
        <f>SUM(BC26:BE26)</f>
        <v>388</v>
      </c>
      <c r="BG26" s="3803">
        <f t="shared" ref="BG26:BI26" si="40">SUM(BG61,BG96,BG131)</f>
        <v>1</v>
      </c>
      <c r="BH26" s="3803">
        <f t="shared" si="40"/>
        <v>53</v>
      </c>
      <c r="BI26" s="3803">
        <f t="shared" si="40"/>
        <v>334</v>
      </c>
      <c r="BJ26" s="3804">
        <f>SUM(BG26:BI26)</f>
        <v>388</v>
      </c>
    </row>
    <row r="27" spans="1:62" ht="18" customHeight="1" x14ac:dyDescent="0.2">
      <c r="A27" s="5785"/>
      <c r="B27" s="1784" t="s">
        <v>11</v>
      </c>
      <c r="C27" s="3806">
        <v>1</v>
      </c>
      <c r="D27" s="3807">
        <v>33</v>
      </c>
      <c r="E27" s="3807">
        <v>350</v>
      </c>
      <c r="F27" s="3808">
        <v>384</v>
      </c>
      <c r="G27" s="3820"/>
      <c r="H27" s="3807">
        <v>22</v>
      </c>
      <c r="I27" s="3807">
        <v>359</v>
      </c>
      <c r="J27" s="3808">
        <v>381</v>
      </c>
      <c r="K27" s="3820"/>
      <c r="L27" s="3807">
        <v>25</v>
      </c>
      <c r="M27" s="3807">
        <v>364</v>
      </c>
      <c r="N27" s="3808">
        <v>389</v>
      </c>
      <c r="O27" s="3820"/>
      <c r="P27" s="3807">
        <v>28</v>
      </c>
      <c r="Q27" s="3807">
        <v>359</v>
      </c>
      <c r="R27" s="3808">
        <v>387</v>
      </c>
      <c r="S27" s="3806"/>
      <c r="T27" s="3807">
        <v>27</v>
      </c>
      <c r="U27" s="3807">
        <v>355</v>
      </c>
      <c r="V27" s="3808">
        <v>382</v>
      </c>
      <c r="W27" s="3806"/>
      <c r="X27" s="3807">
        <v>30</v>
      </c>
      <c r="Y27" s="3807">
        <v>350</v>
      </c>
      <c r="Z27" s="3808">
        <f>SUM(W27:Y27)</f>
        <v>380</v>
      </c>
      <c r="AA27" s="3806"/>
      <c r="AB27" s="3807">
        <v>32</v>
      </c>
      <c r="AC27" s="3807">
        <v>339</v>
      </c>
      <c r="AD27" s="3808">
        <f>SUM(AA27:AC27)</f>
        <v>371</v>
      </c>
      <c r="AE27" s="3806"/>
      <c r="AF27" s="3807">
        <v>34</v>
      </c>
      <c r="AG27" s="3807">
        <v>341</v>
      </c>
      <c r="AH27" s="3808">
        <v>375</v>
      </c>
      <c r="AI27" s="3806"/>
      <c r="AJ27" s="3807">
        <v>28</v>
      </c>
      <c r="AK27" s="3807">
        <v>345</v>
      </c>
      <c r="AL27" s="3808">
        <f>SUM(AI27:AK27)</f>
        <v>373</v>
      </c>
      <c r="AM27" s="3806"/>
      <c r="AN27" s="3807">
        <v>37</v>
      </c>
      <c r="AO27" s="3807">
        <v>341</v>
      </c>
      <c r="AP27" s="3808">
        <f>SUM(AM27:AO27)</f>
        <v>378</v>
      </c>
      <c r="AQ27" s="3806">
        <f t="shared" ref="AQ27:AS28" si="41">SUM(AQ62,AQ97,AQ132)</f>
        <v>0</v>
      </c>
      <c r="AR27" s="3807">
        <f t="shared" si="41"/>
        <v>50</v>
      </c>
      <c r="AS27" s="3807">
        <f t="shared" si="41"/>
        <v>336</v>
      </c>
      <c r="AT27" s="3808">
        <f>SUM(AQ27:AS27)</f>
        <v>386</v>
      </c>
      <c r="AU27" s="3807">
        <f t="shared" si="37"/>
        <v>0</v>
      </c>
      <c r="AV27" s="3807">
        <f t="shared" si="37"/>
        <v>61</v>
      </c>
      <c r="AW27" s="3807">
        <f t="shared" si="37"/>
        <v>339</v>
      </c>
      <c r="AX27" s="3808">
        <f>SUM(AU27:AW27)</f>
        <v>400</v>
      </c>
      <c r="AY27" s="3807">
        <f t="shared" si="38"/>
        <v>0</v>
      </c>
      <c r="AZ27" s="3807">
        <f t="shared" si="38"/>
        <v>63</v>
      </c>
      <c r="BA27" s="3807">
        <f t="shared" si="38"/>
        <v>336</v>
      </c>
      <c r="BB27" s="3808">
        <f>SUM(AY27:BA27)</f>
        <v>399</v>
      </c>
      <c r="BC27" s="3807">
        <f t="shared" si="39"/>
        <v>0</v>
      </c>
      <c r="BD27" s="3807">
        <f t="shared" si="39"/>
        <v>60</v>
      </c>
      <c r="BE27" s="3807">
        <f t="shared" si="39"/>
        <v>332</v>
      </c>
      <c r="BF27" s="3808">
        <f>SUM(BC27:BE27)</f>
        <v>392</v>
      </c>
      <c r="BG27" s="3807">
        <f t="shared" ref="BG27:BI27" si="42">SUM(BG62,BG97,BG132)</f>
        <v>0</v>
      </c>
      <c r="BH27" s="3807">
        <f t="shared" si="42"/>
        <v>59</v>
      </c>
      <c r="BI27" s="3807">
        <f t="shared" si="42"/>
        <v>327</v>
      </c>
      <c r="BJ27" s="3808">
        <f>SUM(BG27:BI27)</f>
        <v>386</v>
      </c>
    </row>
    <row r="28" spans="1:62" ht="18" customHeight="1" x14ac:dyDescent="0.2">
      <c r="A28" s="5785"/>
      <c r="B28" s="1784" t="s">
        <v>7</v>
      </c>
      <c r="C28" s="3837">
        <v>1</v>
      </c>
      <c r="D28" s="3811">
        <v>17</v>
      </c>
      <c r="E28" s="3811">
        <v>154</v>
      </c>
      <c r="F28" s="3812">
        <v>172</v>
      </c>
      <c r="G28" s="3837">
        <v>1</v>
      </c>
      <c r="H28" s="3811">
        <v>15</v>
      </c>
      <c r="I28" s="3811">
        <v>152</v>
      </c>
      <c r="J28" s="3812">
        <v>168</v>
      </c>
      <c r="K28" s="3837">
        <v>1</v>
      </c>
      <c r="L28" s="3811">
        <v>13</v>
      </c>
      <c r="M28" s="3811">
        <v>155</v>
      </c>
      <c r="N28" s="3812">
        <v>169</v>
      </c>
      <c r="O28" s="3837">
        <v>1</v>
      </c>
      <c r="P28" s="3811">
        <v>15</v>
      </c>
      <c r="Q28" s="3811">
        <v>154</v>
      </c>
      <c r="R28" s="3812">
        <v>170</v>
      </c>
      <c r="S28" s="3837">
        <v>1</v>
      </c>
      <c r="T28" s="3811">
        <v>17</v>
      </c>
      <c r="U28" s="3811">
        <v>151</v>
      </c>
      <c r="V28" s="3812">
        <v>169</v>
      </c>
      <c r="W28" s="3837">
        <v>1</v>
      </c>
      <c r="X28" s="3811">
        <v>17</v>
      </c>
      <c r="Y28" s="3811">
        <v>151</v>
      </c>
      <c r="Z28" s="3808">
        <f>SUM(W28:Y28)</f>
        <v>169</v>
      </c>
      <c r="AA28" s="3837">
        <v>1</v>
      </c>
      <c r="AB28" s="3811">
        <v>21</v>
      </c>
      <c r="AC28" s="3811">
        <v>157</v>
      </c>
      <c r="AD28" s="3812">
        <f>SUM(AA28:AC28)</f>
        <v>179</v>
      </c>
      <c r="AE28" s="3806">
        <v>1</v>
      </c>
      <c r="AF28" s="3807">
        <v>20</v>
      </c>
      <c r="AG28" s="3807">
        <v>158</v>
      </c>
      <c r="AH28" s="3808">
        <v>179</v>
      </c>
      <c r="AI28" s="3806">
        <v>1</v>
      </c>
      <c r="AJ28" s="3807">
        <v>24</v>
      </c>
      <c r="AK28" s="3807">
        <v>158</v>
      </c>
      <c r="AL28" s="3808">
        <f>SUM(AI28:AK28)</f>
        <v>183</v>
      </c>
      <c r="AM28" s="3806">
        <v>1</v>
      </c>
      <c r="AN28" s="3807">
        <v>24</v>
      </c>
      <c r="AO28" s="3807">
        <v>155</v>
      </c>
      <c r="AP28" s="3808">
        <f>SUM(AM28:AO28)</f>
        <v>180</v>
      </c>
      <c r="AQ28" s="3806">
        <f t="shared" si="41"/>
        <v>1</v>
      </c>
      <c r="AR28" s="3807">
        <f t="shared" si="41"/>
        <v>25</v>
      </c>
      <c r="AS28" s="3807">
        <f t="shared" si="41"/>
        <v>153</v>
      </c>
      <c r="AT28" s="3808">
        <f>SUM(AQ28:AS28)</f>
        <v>179</v>
      </c>
      <c r="AU28" s="3811">
        <f t="shared" si="37"/>
        <v>1</v>
      </c>
      <c r="AV28" s="3811">
        <f t="shared" si="37"/>
        <v>30</v>
      </c>
      <c r="AW28" s="3811">
        <f t="shared" si="37"/>
        <v>153</v>
      </c>
      <c r="AX28" s="3812">
        <f>SUM(AU28:AW28)</f>
        <v>184</v>
      </c>
      <c r="AY28" s="3811">
        <f t="shared" si="38"/>
        <v>1</v>
      </c>
      <c r="AZ28" s="3811">
        <f t="shared" si="38"/>
        <v>29</v>
      </c>
      <c r="BA28" s="3811">
        <f t="shared" si="38"/>
        <v>151</v>
      </c>
      <c r="BB28" s="3812">
        <f>SUM(AY28:BA28)</f>
        <v>181</v>
      </c>
      <c r="BC28" s="3811">
        <f t="shared" si="39"/>
        <v>1</v>
      </c>
      <c r="BD28" s="3811">
        <f t="shared" si="39"/>
        <v>26</v>
      </c>
      <c r="BE28" s="3811">
        <f t="shared" si="39"/>
        <v>147</v>
      </c>
      <c r="BF28" s="3812">
        <f>SUM(BC28:BE28)</f>
        <v>174</v>
      </c>
      <c r="BG28" s="3811">
        <f t="shared" ref="BG28:BI28" si="43">SUM(BG63,BG98,BG133)</f>
        <v>0</v>
      </c>
      <c r="BH28" s="3811">
        <f t="shared" si="43"/>
        <v>30</v>
      </c>
      <c r="BI28" s="3811">
        <f t="shared" si="43"/>
        <v>137</v>
      </c>
      <c r="BJ28" s="3812">
        <f>SUM(BG28:BI28)</f>
        <v>167</v>
      </c>
    </row>
    <row r="29" spans="1:62" ht="18" customHeight="1" x14ac:dyDescent="0.2">
      <c r="A29" s="5786"/>
      <c r="B29" s="3845" t="s">
        <v>12</v>
      </c>
      <c r="C29" s="3846">
        <v>3</v>
      </c>
      <c r="D29" s="3847">
        <v>87</v>
      </c>
      <c r="E29" s="3847">
        <v>855</v>
      </c>
      <c r="F29" s="3848">
        <f>SUM(F26:F28)</f>
        <v>945</v>
      </c>
      <c r="G29" s="3846">
        <v>1</v>
      </c>
      <c r="H29" s="3847">
        <v>63</v>
      </c>
      <c r="I29" s="3847">
        <v>869</v>
      </c>
      <c r="J29" s="3848">
        <v>933</v>
      </c>
      <c r="K29" s="3846">
        <v>3</v>
      </c>
      <c r="L29" s="3847">
        <v>67</v>
      </c>
      <c r="M29" s="3847">
        <v>875</v>
      </c>
      <c r="N29" s="3847">
        <f>SUM(N26:N28)</f>
        <v>945</v>
      </c>
      <c r="O29" s="3846">
        <v>2</v>
      </c>
      <c r="P29" s="3847">
        <v>78</v>
      </c>
      <c r="Q29" s="3847">
        <v>863</v>
      </c>
      <c r="R29" s="3848">
        <f>SUM(R26:R28)</f>
        <v>943</v>
      </c>
      <c r="S29" s="3847">
        <v>2</v>
      </c>
      <c r="T29" s="3847">
        <v>74</v>
      </c>
      <c r="U29" s="3847">
        <v>843</v>
      </c>
      <c r="V29" s="3848">
        <f t="shared" ref="V29:AX29" si="44">SUM(V26:V28)</f>
        <v>919</v>
      </c>
      <c r="W29" s="3846">
        <f t="shared" si="44"/>
        <v>2</v>
      </c>
      <c r="X29" s="3847">
        <f t="shared" si="44"/>
        <v>89</v>
      </c>
      <c r="Y29" s="3847">
        <f t="shared" si="44"/>
        <v>834</v>
      </c>
      <c r="Z29" s="3848">
        <f t="shared" si="44"/>
        <v>925</v>
      </c>
      <c r="AA29" s="3846">
        <f t="shared" si="44"/>
        <v>3</v>
      </c>
      <c r="AB29" s="3847">
        <f t="shared" si="44"/>
        <v>101</v>
      </c>
      <c r="AC29" s="3847">
        <f t="shared" si="44"/>
        <v>829</v>
      </c>
      <c r="AD29" s="3848">
        <f t="shared" si="44"/>
        <v>933</v>
      </c>
      <c r="AE29" s="3846">
        <f t="shared" si="44"/>
        <v>3</v>
      </c>
      <c r="AF29" s="3847">
        <f t="shared" si="44"/>
        <v>110</v>
      </c>
      <c r="AG29" s="3847">
        <f t="shared" si="44"/>
        <v>831</v>
      </c>
      <c r="AH29" s="3848">
        <f t="shared" si="44"/>
        <v>944</v>
      </c>
      <c r="AI29" s="3846">
        <f t="shared" si="44"/>
        <v>5</v>
      </c>
      <c r="AJ29" s="3847">
        <f t="shared" si="44"/>
        <v>111</v>
      </c>
      <c r="AK29" s="3847">
        <f t="shared" si="44"/>
        <v>843</v>
      </c>
      <c r="AL29" s="3848">
        <f t="shared" si="44"/>
        <v>959</v>
      </c>
      <c r="AM29" s="3846">
        <f t="shared" si="44"/>
        <v>5</v>
      </c>
      <c r="AN29" s="3847">
        <f t="shared" si="44"/>
        <v>114</v>
      </c>
      <c r="AO29" s="3847">
        <f t="shared" si="44"/>
        <v>842</v>
      </c>
      <c r="AP29" s="3848">
        <f t="shared" si="44"/>
        <v>961</v>
      </c>
      <c r="AQ29" s="3846">
        <f t="shared" si="44"/>
        <v>4</v>
      </c>
      <c r="AR29" s="3847">
        <f t="shared" si="44"/>
        <v>123</v>
      </c>
      <c r="AS29" s="3847">
        <f t="shared" si="44"/>
        <v>837</v>
      </c>
      <c r="AT29" s="3848">
        <f t="shared" si="44"/>
        <v>964</v>
      </c>
      <c r="AU29" s="3846">
        <f t="shared" si="44"/>
        <v>4</v>
      </c>
      <c r="AV29" s="3847">
        <f t="shared" si="44"/>
        <v>139</v>
      </c>
      <c r="AW29" s="3847">
        <f t="shared" si="44"/>
        <v>839</v>
      </c>
      <c r="AX29" s="3848">
        <f t="shared" si="44"/>
        <v>982</v>
      </c>
      <c r="AY29" s="3846">
        <f t="shared" ref="AY29:BF29" si="45">SUM(AY26:AY28)</f>
        <v>4</v>
      </c>
      <c r="AZ29" s="3847">
        <f t="shared" si="45"/>
        <v>138</v>
      </c>
      <c r="BA29" s="3847">
        <f t="shared" si="45"/>
        <v>831</v>
      </c>
      <c r="BB29" s="3848">
        <f t="shared" si="45"/>
        <v>973</v>
      </c>
      <c r="BC29" s="3846">
        <f t="shared" si="45"/>
        <v>2</v>
      </c>
      <c r="BD29" s="3847">
        <f t="shared" si="45"/>
        <v>133</v>
      </c>
      <c r="BE29" s="3847">
        <f t="shared" si="45"/>
        <v>819</v>
      </c>
      <c r="BF29" s="3848">
        <f t="shared" si="45"/>
        <v>954</v>
      </c>
      <c r="BG29" s="3846">
        <f t="shared" ref="BG29:BI29" si="46">SUM(BG26:BG28)</f>
        <v>1</v>
      </c>
      <c r="BH29" s="3847">
        <f t="shared" si="46"/>
        <v>142</v>
      </c>
      <c r="BI29" s="3847">
        <f t="shared" si="46"/>
        <v>798</v>
      </c>
      <c r="BJ29" s="3848">
        <f t="shared" ref="BJ29" si="47">SUM(BJ26:BJ28)</f>
        <v>941</v>
      </c>
    </row>
    <row r="30" spans="1:62" x14ac:dyDescent="0.2">
      <c r="A30" s="1783"/>
      <c r="B30" s="1783"/>
      <c r="C30" s="1783"/>
      <c r="D30" s="1783"/>
      <c r="E30" s="1783"/>
      <c r="F30" s="1783"/>
      <c r="G30" s="1783"/>
      <c r="H30" s="1783"/>
      <c r="I30" s="1783"/>
      <c r="J30" s="1783"/>
      <c r="K30" s="1783"/>
      <c r="L30" s="1783"/>
      <c r="M30" s="1783"/>
      <c r="N30" s="1783"/>
      <c r="O30" s="1783"/>
      <c r="P30" s="1783"/>
      <c r="Q30" s="1783"/>
      <c r="R30" s="1783"/>
      <c r="S30" s="1783"/>
      <c r="T30" s="1783"/>
      <c r="U30" s="1783"/>
      <c r="V30" s="1783"/>
      <c r="W30" s="1783"/>
      <c r="X30" s="1783"/>
      <c r="Y30" s="1783"/>
      <c r="Z30" s="1783"/>
      <c r="AA30" s="1783"/>
      <c r="AB30" s="1783"/>
      <c r="AC30" s="1783"/>
      <c r="AD30" s="1783"/>
      <c r="AE30" s="3809"/>
      <c r="AF30" s="3809"/>
      <c r="AG30" s="3809"/>
      <c r="AH30" s="1783"/>
      <c r="AI30" s="3809"/>
      <c r="AJ30" s="3809"/>
      <c r="AK30" s="3809"/>
      <c r="AL30" s="1783"/>
      <c r="AM30" s="3809"/>
      <c r="AN30" s="3809"/>
      <c r="AO30" s="3809"/>
      <c r="AP30" s="1783"/>
      <c r="AQ30" s="3809"/>
      <c r="AR30" s="3809"/>
      <c r="AS30" s="3809"/>
      <c r="AT30" s="1783"/>
      <c r="AU30" s="3809"/>
      <c r="AV30" s="3809"/>
      <c r="AW30" s="3809"/>
      <c r="AX30" s="1783"/>
      <c r="AY30" s="3809"/>
      <c r="AZ30" s="3809"/>
      <c r="BA30" s="3809"/>
      <c r="BB30" s="1783"/>
      <c r="BC30" s="3809"/>
      <c r="BD30" s="3809"/>
      <c r="BE30" s="3809"/>
      <c r="BF30" s="1783"/>
      <c r="BG30" s="3809"/>
      <c r="BH30" s="3809"/>
      <c r="BI30" s="3809"/>
      <c r="BJ30" s="1783"/>
    </row>
    <row r="31" spans="1:62" ht="21.75" customHeight="1" x14ac:dyDescent="0.2">
      <c r="A31" s="3706" t="s">
        <v>60</v>
      </c>
      <c r="B31" s="3707"/>
      <c r="C31" s="3849">
        <v>41</v>
      </c>
      <c r="D31" s="3850">
        <v>305</v>
      </c>
      <c r="E31" s="3850">
        <v>2469</v>
      </c>
      <c r="F31" s="3851">
        <v>2815</v>
      </c>
      <c r="G31" s="3849">
        <v>28</v>
      </c>
      <c r="H31" s="3850">
        <v>218</v>
      </c>
      <c r="I31" s="3850">
        <v>2571</v>
      </c>
      <c r="J31" s="3851">
        <v>2817</v>
      </c>
      <c r="K31" s="3849">
        <v>34</v>
      </c>
      <c r="L31" s="3850">
        <v>226</v>
      </c>
      <c r="M31" s="3850">
        <v>2593</v>
      </c>
      <c r="N31" s="3850">
        <v>2853</v>
      </c>
      <c r="O31" s="3849">
        <v>36</v>
      </c>
      <c r="P31" s="3850">
        <v>251</v>
      </c>
      <c r="Q31" s="3850">
        <v>2578</v>
      </c>
      <c r="R31" s="3851">
        <v>2865</v>
      </c>
      <c r="S31" s="3850">
        <v>34</v>
      </c>
      <c r="T31" s="3850">
        <v>267</v>
      </c>
      <c r="U31" s="3850">
        <v>2581</v>
      </c>
      <c r="V31" s="3851">
        <v>2882</v>
      </c>
      <c r="W31" s="3849">
        <f>W9+W14+W19+W29</f>
        <v>33</v>
      </c>
      <c r="X31" s="3850">
        <f>X9+X14+X19+X29</f>
        <v>296</v>
      </c>
      <c r="Y31" s="3850">
        <f>Y9+Y14+Y19+Y29</f>
        <v>2563</v>
      </c>
      <c r="Z31" s="3851">
        <f>Z9+Z14+Z19+Z29</f>
        <v>2892</v>
      </c>
      <c r="AA31" s="3849">
        <f t="shared" ref="AA31:AH31" si="48">AA9+AA14+AA19+AA24+AA29</f>
        <v>37</v>
      </c>
      <c r="AB31" s="3850">
        <f t="shared" si="48"/>
        <v>304</v>
      </c>
      <c r="AC31" s="3850">
        <f t="shared" si="48"/>
        <v>2570</v>
      </c>
      <c r="AD31" s="3851">
        <f t="shared" si="48"/>
        <v>2911</v>
      </c>
      <c r="AE31" s="3849">
        <f t="shared" si="48"/>
        <v>34</v>
      </c>
      <c r="AF31" s="3850">
        <f t="shared" si="48"/>
        <v>329</v>
      </c>
      <c r="AG31" s="3850">
        <f t="shared" si="48"/>
        <v>2595</v>
      </c>
      <c r="AH31" s="3851">
        <f t="shared" si="48"/>
        <v>2958</v>
      </c>
      <c r="AI31" s="3849">
        <f t="shared" ref="AI31:AX31" si="49">SUM(AI9,AI14,AI19,AI24,AI29)</f>
        <v>31</v>
      </c>
      <c r="AJ31" s="3850">
        <f t="shared" si="49"/>
        <v>335</v>
      </c>
      <c r="AK31" s="3850">
        <f t="shared" si="49"/>
        <v>2638</v>
      </c>
      <c r="AL31" s="3851">
        <f t="shared" si="49"/>
        <v>3004</v>
      </c>
      <c r="AM31" s="3849">
        <f t="shared" si="49"/>
        <v>30</v>
      </c>
      <c r="AN31" s="3850">
        <f t="shared" si="49"/>
        <v>345</v>
      </c>
      <c r="AO31" s="3850">
        <f t="shared" si="49"/>
        <v>2651</v>
      </c>
      <c r="AP31" s="3851">
        <f t="shared" si="49"/>
        <v>3026</v>
      </c>
      <c r="AQ31" s="3849">
        <f t="shared" si="49"/>
        <v>33</v>
      </c>
      <c r="AR31" s="3850">
        <f t="shared" si="49"/>
        <v>367</v>
      </c>
      <c r="AS31" s="3850">
        <f t="shared" si="49"/>
        <v>2657</v>
      </c>
      <c r="AT31" s="3851">
        <f t="shared" si="49"/>
        <v>3057</v>
      </c>
      <c r="AU31" s="3849">
        <f t="shared" si="49"/>
        <v>36</v>
      </c>
      <c r="AV31" s="3850">
        <f t="shared" si="49"/>
        <v>408</v>
      </c>
      <c r="AW31" s="3850">
        <f t="shared" si="49"/>
        <v>2680</v>
      </c>
      <c r="AX31" s="3851">
        <f t="shared" si="49"/>
        <v>3124</v>
      </c>
      <c r="AY31" s="3849">
        <f t="shared" ref="AY31:BF31" si="50">SUM(AY9,AY14,AY19,AY24,AY29)</f>
        <v>30</v>
      </c>
      <c r="AZ31" s="3850">
        <f t="shared" si="50"/>
        <v>390</v>
      </c>
      <c r="BA31" s="3850">
        <f t="shared" si="50"/>
        <v>2670</v>
      </c>
      <c r="BB31" s="3851">
        <f t="shared" si="50"/>
        <v>3090</v>
      </c>
      <c r="BC31" s="3849">
        <f t="shared" si="50"/>
        <v>29</v>
      </c>
      <c r="BD31" s="3850">
        <f t="shared" si="50"/>
        <v>375</v>
      </c>
      <c r="BE31" s="3850">
        <f t="shared" si="50"/>
        <v>2658</v>
      </c>
      <c r="BF31" s="3851">
        <f t="shared" si="50"/>
        <v>3062</v>
      </c>
      <c r="BG31" s="3849">
        <f t="shared" ref="BG31:BI31" si="51">SUM(BG9,BG14,BG19,BG24,BG29)</f>
        <v>35</v>
      </c>
      <c r="BH31" s="3850">
        <f t="shared" si="51"/>
        <v>404</v>
      </c>
      <c r="BI31" s="3850">
        <f t="shared" si="51"/>
        <v>2633</v>
      </c>
      <c r="BJ31" s="3851">
        <f t="shared" ref="BJ31" si="52">SUM(BJ9,BJ14,BJ19,BJ24,BJ29)</f>
        <v>3072</v>
      </c>
    </row>
    <row r="32" spans="1:62" x14ac:dyDescent="0.25">
      <c r="A32" s="3852" t="s">
        <v>1289</v>
      </c>
      <c r="B32" s="3853"/>
      <c r="C32" s="3853"/>
      <c r="D32" s="3853"/>
      <c r="E32" s="3853"/>
      <c r="F32" s="3853"/>
      <c r="G32" s="3853"/>
      <c r="H32" s="3853"/>
      <c r="I32" s="3853"/>
      <c r="J32" s="3853"/>
      <c r="K32" s="3853"/>
      <c r="L32" s="3853"/>
      <c r="M32" s="3853"/>
      <c r="N32" s="3853"/>
      <c r="O32" s="3853"/>
      <c r="P32" s="3853"/>
      <c r="Q32" s="3853"/>
      <c r="R32" s="3853"/>
      <c r="S32" s="3853"/>
      <c r="T32" s="3853"/>
      <c r="U32" s="3853"/>
      <c r="V32" s="3853"/>
      <c r="W32" s="1783"/>
      <c r="X32" s="1783"/>
      <c r="Y32" s="1783"/>
      <c r="Z32" s="1783"/>
      <c r="AA32" s="1783"/>
      <c r="AB32" s="1783"/>
      <c r="AC32" s="1783"/>
      <c r="AD32" s="1783"/>
      <c r="AE32" s="1783"/>
      <c r="AF32" s="1783"/>
      <c r="AG32" s="1783"/>
      <c r="AH32" s="1783"/>
      <c r="AI32" s="1783"/>
      <c r="AJ32" s="1783"/>
      <c r="AK32" s="1783"/>
      <c r="AL32" s="1783"/>
      <c r="AM32" s="1783"/>
      <c r="AN32" s="1783"/>
      <c r="AO32" s="1783"/>
      <c r="AP32" s="1783"/>
      <c r="AQ32" s="1783"/>
      <c r="AR32" s="1783"/>
      <c r="AS32" s="1783"/>
      <c r="AT32" s="1783"/>
      <c r="AU32" s="1783"/>
      <c r="AV32" s="1783"/>
      <c r="AW32" s="1783"/>
      <c r="AX32" s="1783"/>
      <c r="AY32" s="1783"/>
      <c r="AZ32" s="1783"/>
      <c r="BA32" s="1783"/>
      <c r="BB32" s="1783"/>
    </row>
    <row r="33" spans="1:62" x14ac:dyDescent="0.25">
      <c r="A33" s="3852" t="s">
        <v>116</v>
      </c>
      <c r="B33" s="3853"/>
      <c r="C33" s="3853"/>
      <c r="D33" s="3853"/>
      <c r="E33" s="3853"/>
      <c r="F33" s="3853"/>
      <c r="G33" s="3853"/>
      <c r="H33" s="3853"/>
      <c r="I33" s="3853"/>
      <c r="J33" s="3853"/>
      <c r="K33" s="3853"/>
      <c r="L33" s="3853"/>
      <c r="M33" s="3853"/>
      <c r="N33" s="3853"/>
      <c r="O33" s="3853"/>
      <c r="P33" s="3853"/>
      <c r="Q33" s="3853"/>
      <c r="R33" s="3853"/>
      <c r="S33" s="3853"/>
      <c r="T33" s="3853"/>
      <c r="U33" s="3853"/>
      <c r="V33" s="3853"/>
      <c r="W33" s="1783"/>
      <c r="X33" s="1783"/>
      <c r="Y33" s="1783"/>
      <c r="Z33" s="1783"/>
      <c r="AA33" s="1783"/>
      <c r="AB33" s="1783"/>
      <c r="AC33" s="1783"/>
      <c r="AD33" s="1783"/>
      <c r="AE33" s="1783"/>
      <c r="AF33" s="1783"/>
      <c r="AG33" s="1783"/>
      <c r="AH33" s="1783"/>
      <c r="AI33" s="1783"/>
      <c r="AJ33" s="1783"/>
      <c r="AK33" s="1783"/>
      <c r="AL33" s="1783"/>
      <c r="AM33" s="1783"/>
      <c r="AN33" s="1783"/>
      <c r="AO33" s="1783"/>
      <c r="AP33" s="1783"/>
      <c r="AQ33" s="1783"/>
      <c r="AR33" s="1783"/>
      <c r="AS33" s="1783"/>
      <c r="AT33" s="1783"/>
      <c r="AU33" s="1783"/>
      <c r="AV33" s="1783"/>
      <c r="AW33" s="1783"/>
      <c r="AX33" s="1783"/>
      <c r="AY33" s="1783"/>
      <c r="AZ33" s="1783"/>
      <c r="BA33" s="1783"/>
      <c r="BB33" s="1783"/>
    </row>
    <row r="34" spans="1:62" x14ac:dyDescent="0.25">
      <c r="A34" s="3852"/>
      <c r="B34" s="3853"/>
      <c r="C34" s="3853"/>
      <c r="D34" s="3853"/>
      <c r="E34" s="3853"/>
      <c r="F34" s="3853"/>
      <c r="G34" s="3853"/>
      <c r="H34" s="3853"/>
      <c r="I34" s="3853"/>
      <c r="J34" s="3853"/>
      <c r="K34" s="3853"/>
      <c r="L34" s="3853"/>
      <c r="M34" s="3853"/>
      <c r="N34" s="3853"/>
      <c r="O34" s="3853"/>
      <c r="P34" s="3853"/>
      <c r="Q34" s="3853"/>
      <c r="R34" s="3853"/>
      <c r="S34" s="3853"/>
      <c r="T34" s="3853"/>
      <c r="U34" s="3853"/>
      <c r="V34" s="3853"/>
      <c r="W34" s="1783"/>
      <c r="X34" s="1783"/>
      <c r="Y34" s="1783"/>
      <c r="Z34" s="1783"/>
      <c r="AA34" s="1783"/>
      <c r="AB34" s="1783"/>
      <c r="AC34" s="1783"/>
      <c r="AD34" s="1783"/>
      <c r="AE34" s="1783"/>
      <c r="AF34" s="1783"/>
      <c r="AG34" s="1783"/>
      <c r="AH34" s="1783"/>
      <c r="AI34" s="1783"/>
      <c r="AJ34" s="1783"/>
      <c r="AK34" s="1783"/>
      <c r="AL34" s="1783"/>
      <c r="AM34" s="1783"/>
      <c r="AN34" s="1783"/>
      <c r="AO34" s="1783"/>
      <c r="AP34" s="1783"/>
      <c r="AQ34" s="1783"/>
      <c r="AR34" s="1783"/>
      <c r="AS34" s="1783"/>
      <c r="AT34" s="1783"/>
      <c r="AU34" s="1783"/>
      <c r="AV34" s="1783"/>
      <c r="AW34" s="1783"/>
      <c r="AX34" s="1783"/>
      <c r="AY34" s="1783"/>
      <c r="AZ34" s="1783"/>
      <c r="BA34" s="1783"/>
      <c r="BB34" s="1783"/>
    </row>
    <row r="35" spans="1:62" x14ac:dyDescent="0.2">
      <c r="A35" s="3854"/>
      <c r="B35" s="3854"/>
      <c r="C35" s="3854"/>
      <c r="D35" s="3854"/>
      <c r="E35" s="3854"/>
      <c r="F35" s="3854"/>
      <c r="G35" s="3854"/>
      <c r="H35" s="3854"/>
      <c r="I35" s="3854"/>
      <c r="J35" s="3854"/>
      <c r="K35" s="3854"/>
      <c r="L35" s="3854"/>
      <c r="M35" s="3854"/>
      <c r="N35" s="3854"/>
      <c r="O35" s="3854"/>
      <c r="P35" s="3854"/>
      <c r="Q35" s="3854"/>
      <c r="R35" s="3854"/>
      <c r="S35" s="3854"/>
      <c r="T35" s="3854"/>
      <c r="U35" s="3854"/>
      <c r="V35" s="3854"/>
      <c r="W35" s="3854"/>
      <c r="X35" s="3854"/>
      <c r="Y35" s="3854"/>
      <c r="Z35" s="3854"/>
      <c r="AA35" s="1783"/>
      <c r="AB35" s="1783"/>
      <c r="AC35" s="1783"/>
      <c r="AD35" s="1783"/>
      <c r="AE35" s="1783"/>
      <c r="AF35" s="1783"/>
      <c r="AG35" s="1783"/>
      <c r="AH35" s="1783"/>
      <c r="AI35" s="1783"/>
      <c r="AJ35" s="1783"/>
      <c r="AK35" s="1783"/>
      <c r="AL35" s="1783"/>
      <c r="AM35" s="1783"/>
      <c r="AN35" s="1783"/>
      <c r="AO35" s="1783"/>
      <c r="AP35" s="1783"/>
      <c r="AQ35" s="1783"/>
      <c r="AR35" s="1783"/>
      <c r="AS35" s="1783"/>
      <c r="AT35" s="1783"/>
      <c r="AU35" s="1783"/>
      <c r="AV35" s="1783"/>
      <c r="AW35" s="1783"/>
      <c r="AX35" s="1783"/>
      <c r="AY35" s="1783"/>
      <c r="AZ35" s="1783"/>
      <c r="BA35" s="1783"/>
      <c r="BB35" s="1783"/>
    </row>
    <row r="36" spans="1:62" ht="59.25" customHeight="1" x14ac:dyDescent="0.3">
      <c r="A36" s="7127" t="s">
        <v>1296</v>
      </c>
      <c r="B36" s="7127"/>
      <c r="D36" s="3795"/>
      <c r="E36" s="3795"/>
      <c r="F36" s="3795"/>
      <c r="G36" s="3795"/>
      <c r="H36" s="3795"/>
      <c r="I36" s="3795"/>
      <c r="J36" s="3795"/>
      <c r="K36" s="3795"/>
      <c r="L36" s="3795"/>
      <c r="M36" s="3795"/>
      <c r="N36" s="3795"/>
      <c r="O36" s="3795"/>
      <c r="P36" s="3795"/>
      <c r="Q36" s="3795"/>
      <c r="R36" s="3795"/>
      <c r="S36" s="3795"/>
      <c r="T36" s="3795"/>
      <c r="U36" s="3795"/>
      <c r="V36" s="3795"/>
      <c r="W36" s="3795"/>
      <c r="X36" s="3795"/>
      <c r="Y36" s="3795"/>
      <c r="Z36" s="3795"/>
      <c r="AB36" s="3795"/>
      <c r="AC36" s="3795"/>
      <c r="AD36" s="3795"/>
      <c r="AE36" s="3795"/>
      <c r="AF36" s="3795"/>
      <c r="AG36" s="3795"/>
      <c r="AH36" s="3795"/>
      <c r="AI36" s="3795"/>
      <c r="AJ36" s="3795"/>
      <c r="AK36" s="3795"/>
      <c r="AL36" s="3795"/>
      <c r="AM36" s="3795"/>
      <c r="AN36" s="3795"/>
      <c r="AO36" s="3795"/>
      <c r="AP36" s="3795"/>
      <c r="AQ36" s="3795"/>
      <c r="AR36" s="3795"/>
      <c r="AS36" s="3795"/>
      <c r="AT36" s="3795"/>
      <c r="AU36" s="3795"/>
      <c r="AV36" s="3795"/>
      <c r="AW36" s="3795"/>
      <c r="AX36" s="3856"/>
      <c r="AY36" s="3795"/>
      <c r="AZ36" s="3795"/>
      <c r="BA36" s="3795"/>
      <c r="BJ36" s="5302" t="s">
        <v>1293</v>
      </c>
    </row>
    <row r="37" spans="1:62" ht="11.25" customHeight="1" x14ac:dyDescent="0.2">
      <c r="A37" s="1783"/>
      <c r="B37" s="1783"/>
      <c r="C37" s="1783"/>
      <c r="D37" s="1783"/>
      <c r="E37" s="1783"/>
      <c r="F37" s="1783"/>
      <c r="G37" s="1783"/>
      <c r="H37" s="1783"/>
      <c r="I37" s="1783"/>
      <c r="J37" s="1783"/>
      <c r="K37" s="1783"/>
      <c r="L37" s="1783"/>
      <c r="M37" s="1783"/>
      <c r="N37" s="1783"/>
      <c r="O37" s="1783"/>
      <c r="P37" s="1783"/>
      <c r="Q37" s="1783"/>
      <c r="R37" s="1783"/>
      <c r="S37" s="1783"/>
      <c r="T37" s="1783"/>
      <c r="U37" s="1783"/>
      <c r="V37" s="1783"/>
      <c r="W37" s="1783"/>
      <c r="X37" s="1783"/>
      <c r="Y37" s="1783"/>
      <c r="Z37" s="1783"/>
      <c r="AA37" s="1783"/>
      <c r="AB37" s="1783"/>
      <c r="AC37" s="1783"/>
      <c r="AD37" s="1783"/>
      <c r="AE37" s="1783"/>
      <c r="AF37" s="1783"/>
      <c r="AG37" s="1783"/>
      <c r="AH37" s="1783"/>
      <c r="AI37" s="1783"/>
      <c r="AJ37" s="1783"/>
      <c r="AK37" s="1783"/>
      <c r="AL37" s="1783"/>
      <c r="AM37" s="1783"/>
      <c r="AN37" s="1783"/>
      <c r="AO37" s="1783"/>
      <c r="AP37" s="1783"/>
      <c r="AQ37" s="1783"/>
      <c r="AR37" s="1783"/>
      <c r="AS37" s="1783"/>
      <c r="AT37" s="1783"/>
      <c r="AU37" s="1783"/>
      <c r="AV37" s="1783"/>
      <c r="AW37" s="1783"/>
      <c r="AX37" s="1783"/>
      <c r="AY37" s="1783"/>
      <c r="AZ37" s="1783"/>
      <c r="BA37" s="1783"/>
      <c r="BB37" s="1783"/>
    </row>
    <row r="38" spans="1:62" x14ac:dyDescent="0.2">
      <c r="A38" s="7134" t="s">
        <v>16</v>
      </c>
      <c r="B38" s="7134" t="s">
        <v>4</v>
      </c>
      <c r="C38" s="7139">
        <v>2003</v>
      </c>
      <c r="D38" s="7140"/>
      <c r="E38" s="7140"/>
      <c r="F38" s="7141"/>
      <c r="G38" s="7139">
        <v>2004</v>
      </c>
      <c r="H38" s="7140"/>
      <c r="I38" s="7140"/>
      <c r="J38" s="7141"/>
      <c r="K38" s="7139">
        <v>2005</v>
      </c>
      <c r="L38" s="7140"/>
      <c r="M38" s="7140"/>
      <c r="N38" s="7141"/>
      <c r="O38" s="7139">
        <v>2006</v>
      </c>
      <c r="P38" s="7140"/>
      <c r="Q38" s="7140"/>
      <c r="R38" s="7141"/>
      <c r="S38" s="7139">
        <v>2007</v>
      </c>
      <c r="T38" s="7140"/>
      <c r="U38" s="7140"/>
      <c r="V38" s="7141"/>
      <c r="W38" s="7139">
        <v>2008</v>
      </c>
      <c r="X38" s="7140"/>
      <c r="Y38" s="7140"/>
      <c r="Z38" s="7141"/>
      <c r="AA38" s="7139">
        <v>2009</v>
      </c>
      <c r="AB38" s="7140"/>
      <c r="AC38" s="7140"/>
      <c r="AD38" s="7141"/>
      <c r="AE38" s="7139">
        <v>2010</v>
      </c>
      <c r="AF38" s="7140"/>
      <c r="AG38" s="7140"/>
      <c r="AH38" s="7141"/>
      <c r="AI38" s="7139">
        <v>2011</v>
      </c>
      <c r="AJ38" s="7140"/>
      <c r="AK38" s="7140"/>
      <c r="AL38" s="7141"/>
      <c r="AM38" s="7139">
        <v>2012</v>
      </c>
      <c r="AN38" s="7140"/>
      <c r="AO38" s="7140"/>
      <c r="AP38" s="7141"/>
      <c r="AQ38" s="7139">
        <v>2013</v>
      </c>
      <c r="AR38" s="7140"/>
      <c r="AS38" s="7140"/>
      <c r="AT38" s="7141"/>
      <c r="AU38" s="7139">
        <v>2014</v>
      </c>
      <c r="AV38" s="7140"/>
      <c r="AW38" s="7140"/>
      <c r="AX38" s="7141"/>
      <c r="AY38" s="7139">
        <v>2015</v>
      </c>
      <c r="AZ38" s="7140"/>
      <c r="BA38" s="7140"/>
      <c r="BB38" s="7141"/>
      <c r="BC38" s="7139">
        <v>2016</v>
      </c>
      <c r="BD38" s="7140"/>
      <c r="BE38" s="7140"/>
      <c r="BF38" s="7141"/>
      <c r="BG38" s="7139">
        <v>2017</v>
      </c>
      <c r="BH38" s="7140"/>
      <c r="BI38" s="7140"/>
      <c r="BJ38" s="7141"/>
    </row>
    <row r="39" spans="1:62" x14ac:dyDescent="0.2">
      <c r="A39" s="7142"/>
      <c r="B39" s="7142"/>
      <c r="C39" s="3798" t="s">
        <v>1286</v>
      </c>
      <c r="D39" s="3799" t="s">
        <v>1287</v>
      </c>
      <c r="E39" s="3800" t="s">
        <v>1288</v>
      </c>
      <c r="F39" s="3801" t="s">
        <v>12</v>
      </c>
      <c r="G39" s="3798" t="s">
        <v>1286</v>
      </c>
      <c r="H39" s="3799" t="s">
        <v>1287</v>
      </c>
      <c r="I39" s="3800" t="s">
        <v>1288</v>
      </c>
      <c r="J39" s="3801" t="s">
        <v>12</v>
      </c>
      <c r="K39" s="3798" t="s">
        <v>1286</v>
      </c>
      <c r="L39" s="3799" t="s">
        <v>1287</v>
      </c>
      <c r="M39" s="3800" t="s">
        <v>1288</v>
      </c>
      <c r="N39" s="3801" t="s">
        <v>12</v>
      </c>
      <c r="O39" s="3798" t="s">
        <v>1286</v>
      </c>
      <c r="P39" s="3799" t="s">
        <v>1287</v>
      </c>
      <c r="Q39" s="3800" t="s">
        <v>1288</v>
      </c>
      <c r="R39" s="3801" t="s">
        <v>12</v>
      </c>
      <c r="S39" s="3798" t="s">
        <v>1286</v>
      </c>
      <c r="T39" s="3799" t="s">
        <v>1287</v>
      </c>
      <c r="U39" s="3800" t="s">
        <v>1288</v>
      </c>
      <c r="V39" s="3801" t="s">
        <v>12</v>
      </c>
      <c r="W39" s="3798" t="s">
        <v>1286</v>
      </c>
      <c r="X39" s="3799" t="s">
        <v>1287</v>
      </c>
      <c r="Y39" s="3800" t="s">
        <v>1288</v>
      </c>
      <c r="Z39" s="3801" t="s">
        <v>12</v>
      </c>
      <c r="AA39" s="3798" t="s">
        <v>1286</v>
      </c>
      <c r="AB39" s="3799" t="s">
        <v>1287</v>
      </c>
      <c r="AC39" s="3800" t="s">
        <v>1288</v>
      </c>
      <c r="AD39" s="3801" t="s">
        <v>12</v>
      </c>
      <c r="AE39" s="3798" t="s">
        <v>1286</v>
      </c>
      <c r="AF39" s="3799" t="s">
        <v>1287</v>
      </c>
      <c r="AG39" s="3800" t="s">
        <v>1288</v>
      </c>
      <c r="AH39" s="3801" t="s">
        <v>12</v>
      </c>
      <c r="AI39" s="3798" t="s">
        <v>1286</v>
      </c>
      <c r="AJ39" s="3799" t="s">
        <v>1287</v>
      </c>
      <c r="AK39" s="3800" t="s">
        <v>1288</v>
      </c>
      <c r="AL39" s="3801" t="s">
        <v>12</v>
      </c>
      <c r="AM39" s="3798" t="s">
        <v>1286</v>
      </c>
      <c r="AN39" s="3799" t="s">
        <v>1287</v>
      </c>
      <c r="AO39" s="3800" t="s">
        <v>1288</v>
      </c>
      <c r="AP39" s="3801" t="s">
        <v>12</v>
      </c>
      <c r="AQ39" s="3798" t="s">
        <v>1286</v>
      </c>
      <c r="AR39" s="3799" t="s">
        <v>1287</v>
      </c>
      <c r="AS39" s="3800" t="s">
        <v>1288</v>
      </c>
      <c r="AT39" s="3801" t="s">
        <v>12</v>
      </c>
      <c r="AU39" s="3798" t="s">
        <v>1286</v>
      </c>
      <c r="AV39" s="3799" t="s">
        <v>1287</v>
      </c>
      <c r="AW39" s="3800" t="s">
        <v>1288</v>
      </c>
      <c r="AX39" s="3801" t="s">
        <v>12</v>
      </c>
      <c r="AY39" s="3798" t="s">
        <v>1286</v>
      </c>
      <c r="AZ39" s="3799" t="s">
        <v>1287</v>
      </c>
      <c r="BA39" s="3800" t="s">
        <v>1288</v>
      </c>
      <c r="BB39" s="3801" t="s">
        <v>12</v>
      </c>
      <c r="BC39" s="3798" t="s">
        <v>1286</v>
      </c>
      <c r="BD39" s="3799" t="s">
        <v>1287</v>
      </c>
      <c r="BE39" s="3800" t="s">
        <v>1288</v>
      </c>
      <c r="BF39" s="3801" t="s">
        <v>12</v>
      </c>
      <c r="BG39" s="3798" t="s">
        <v>1286</v>
      </c>
      <c r="BH39" s="3799" t="s">
        <v>1287</v>
      </c>
      <c r="BI39" s="3800" t="s">
        <v>1288</v>
      </c>
      <c r="BJ39" s="3801" t="s">
        <v>12</v>
      </c>
    </row>
    <row r="40" spans="1:62" x14ac:dyDescent="0.2">
      <c r="A40" s="1783"/>
      <c r="B40" s="1783"/>
      <c r="C40" s="1783"/>
      <c r="D40" s="1783"/>
      <c r="E40" s="1783"/>
      <c r="F40" s="1783"/>
      <c r="G40" s="1783"/>
      <c r="H40" s="1783"/>
      <c r="I40" s="1783"/>
      <c r="J40" s="1783"/>
      <c r="K40" s="1783"/>
      <c r="L40" s="1783"/>
      <c r="M40" s="1783"/>
      <c r="N40" s="1783"/>
      <c r="O40" s="1783"/>
      <c r="P40" s="1783"/>
      <c r="Q40" s="1783"/>
      <c r="R40" s="1783"/>
      <c r="S40" s="1783"/>
      <c r="T40" s="1783"/>
      <c r="U40" s="1783"/>
      <c r="V40" s="1783"/>
      <c r="W40" s="1783"/>
      <c r="X40" s="1783"/>
      <c r="Y40" s="1783"/>
      <c r="Z40" s="1783"/>
      <c r="AA40" s="1783"/>
      <c r="AB40" s="1783"/>
      <c r="AC40" s="1783"/>
      <c r="AD40" s="1783"/>
      <c r="AE40" s="1783"/>
      <c r="AF40" s="1783"/>
      <c r="AG40" s="1783"/>
      <c r="AH40" s="1783"/>
      <c r="AI40" s="1783"/>
      <c r="AJ40" s="1783"/>
      <c r="AK40" s="1783"/>
      <c r="AL40" s="1783"/>
      <c r="AM40" s="1783"/>
      <c r="AN40" s="1783"/>
      <c r="AO40" s="1783"/>
      <c r="AP40" s="1783"/>
      <c r="AQ40" s="1783"/>
      <c r="AR40" s="1783"/>
      <c r="AS40" s="1783"/>
      <c r="AT40" s="1783"/>
      <c r="AU40" s="1783"/>
      <c r="AV40" s="1783"/>
      <c r="AW40" s="1783"/>
      <c r="AX40" s="1783"/>
      <c r="AY40" s="1783"/>
      <c r="AZ40" s="1783"/>
      <c r="BA40" s="1783"/>
      <c r="BB40" s="1783"/>
      <c r="BC40" s="1783"/>
      <c r="BD40" s="1783"/>
      <c r="BE40" s="1783"/>
      <c r="BF40" s="1783"/>
      <c r="BG40" s="1783"/>
      <c r="BH40" s="1783"/>
      <c r="BI40" s="1783"/>
      <c r="BJ40" s="1783"/>
    </row>
    <row r="41" spans="1:62" ht="18" customHeight="1" x14ac:dyDescent="0.2">
      <c r="A41" s="7128" t="s">
        <v>161</v>
      </c>
      <c r="B41" s="3705" t="s">
        <v>5</v>
      </c>
      <c r="C41" s="3802">
        <v>1</v>
      </c>
      <c r="D41" s="3803">
        <v>31</v>
      </c>
      <c r="E41" s="3803">
        <v>279</v>
      </c>
      <c r="F41" s="3804">
        <v>311</v>
      </c>
      <c r="G41" s="3802">
        <v>6</v>
      </c>
      <c r="H41" s="3803">
        <v>17</v>
      </c>
      <c r="I41" s="3803">
        <v>299</v>
      </c>
      <c r="J41" s="3804">
        <v>322</v>
      </c>
      <c r="K41" s="3802">
        <v>8</v>
      </c>
      <c r="L41" s="3803">
        <v>18</v>
      </c>
      <c r="M41" s="3803">
        <v>303</v>
      </c>
      <c r="N41" s="3805">
        <v>329</v>
      </c>
      <c r="O41" s="3802">
        <v>6</v>
      </c>
      <c r="P41" s="3803">
        <v>22</v>
      </c>
      <c r="Q41" s="3803">
        <v>299</v>
      </c>
      <c r="R41" s="3804">
        <v>327</v>
      </c>
      <c r="S41" s="3803">
        <v>5</v>
      </c>
      <c r="T41" s="3803">
        <v>29</v>
      </c>
      <c r="U41" s="3803">
        <v>306</v>
      </c>
      <c r="V41" s="3804">
        <v>340</v>
      </c>
      <c r="W41" s="3803">
        <v>7</v>
      </c>
      <c r="X41" s="3803">
        <v>31</v>
      </c>
      <c r="Y41" s="3803">
        <v>303</v>
      </c>
      <c r="Z41" s="3804">
        <v>341</v>
      </c>
      <c r="AA41" s="3803">
        <v>10</v>
      </c>
      <c r="AB41" s="3803">
        <v>34</v>
      </c>
      <c r="AC41" s="3803">
        <v>300</v>
      </c>
      <c r="AD41" s="3804">
        <v>344</v>
      </c>
      <c r="AE41" s="3803">
        <v>8</v>
      </c>
      <c r="AF41" s="3803">
        <v>35</v>
      </c>
      <c r="AG41" s="3803">
        <v>299</v>
      </c>
      <c r="AH41" s="3804">
        <v>342</v>
      </c>
      <c r="AI41" s="3803">
        <v>6</v>
      </c>
      <c r="AJ41" s="3803">
        <v>32</v>
      </c>
      <c r="AK41" s="3803">
        <v>304</v>
      </c>
      <c r="AL41" s="3804">
        <f>SUM(AI41:AK41)</f>
        <v>342</v>
      </c>
      <c r="AM41" s="3803">
        <v>9</v>
      </c>
      <c r="AN41" s="3803">
        <v>34</v>
      </c>
      <c r="AO41" s="3803">
        <v>305</v>
      </c>
      <c r="AP41" s="3804">
        <f>SUM(AM41:AO41)</f>
        <v>348</v>
      </c>
      <c r="AQ41" s="3803">
        <v>7</v>
      </c>
      <c r="AR41" s="3803">
        <v>39</v>
      </c>
      <c r="AS41" s="3803">
        <v>303</v>
      </c>
      <c r="AT41" s="3804">
        <f>SUM(AQ41:AS41)</f>
        <v>349</v>
      </c>
      <c r="AU41" s="3803">
        <v>11</v>
      </c>
      <c r="AV41" s="3803">
        <v>41</v>
      </c>
      <c r="AW41" s="3803">
        <v>305</v>
      </c>
      <c r="AX41" s="3804">
        <f>SUM(AU41:AW41)</f>
        <v>357</v>
      </c>
      <c r="AY41" s="3803">
        <v>9</v>
      </c>
      <c r="AZ41" s="3803">
        <v>39</v>
      </c>
      <c r="BA41" s="3803">
        <v>303</v>
      </c>
      <c r="BB41" s="3804">
        <f>SUM(AY41:BA41)</f>
        <v>351</v>
      </c>
      <c r="BC41" s="3803">
        <v>9</v>
      </c>
      <c r="BD41" s="3803">
        <v>40</v>
      </c>
      <c r="BE41" s="3803">
        <v>299</v>
      </c>
      <c r="BF41" s="3804">
        <f>SUM(BC41:BE41)</f>
        <v>348</v>
      </c>
      <c r="BG41" s="3803">
        <v>13</v>
      </c>
      <c r="BH41" s="3803">
        <v>48</v>
      </c>
      <c r="BI41" s="3803">
        <v>294</v>
      </c>
      <c r="BJ41" s="3804">
        <f>SUM(BG41:BI41)</f>
        <v>355</v>
      </c>
    </row>
    <row r="42" spans="1:62" ht="18" customHeight="1" x14ac:dyDescent="0.2">
      <c r="A42" s="5779"/>
      <c r="B42" s="1784" t="s">
        <v>6</v>
      </c>
      <c r="C42" s="3806">
        <v>7</v>
      </c>
      <c r="D42" s="3807">
        <v>27</v>
      </c>
      <c r="E42" s="3807">
        <v>271</v>
      </c>
      <c r="F42" s="3808">
        <v>305</v>
      </c>
      <c r="G42" s="3806">
        <v>2</v>
      </c>
      <c r="H42" s="3807">
        <v>16</v>
      </c>
      <c r="I42" s="3807">
        <v>286</v>
      </c>
      <c r="J42" s="3808">
        <v>304</v>
      </c>
      <c r="K42" s="3806">
        <v>2</v>
      </c>
      <c r="L42" s="3807">
        <v>18</v>
      </c>
      <c r="M42" s="3807">
        <v>285</v>
      </c>
      <c r="N42" s="3809">
        <v>305</v>
      </c>
      <c r="O42" s="3806">
        <v>6</v>
      </c>
      <c r="P42" s="3807">
        <v>25</v>
      </c>
      <c r="Q42" s="3807">
        <v>279</v>
      </c>
      <c r="R42" s="3808">
        <v>310</v>
      </c>
      <c r="S42" s="3807">
        <v>3</v>
      </c>
      <c r="T42" s="3807">
        <v>26</v>
      </c>
      <c r="U42" s="3807">
        <v>285</v>
      </c>
      <c r="V42" s="3808">
        <v>314</v>
      </c>
      <c r="W42" s="3807">
        <v>4</v>
      </c>
      <c r="X42" s="3807">
        <v>27</v>
      </c>
      <c r="Y42" s="3807">
        <v>283</v>
      </c>
      <c r="Z42" s="3808">
        <v>314</v>
      </c>
      <c r="AA42" s="3807">
        <v>6</v>
      </c>
      <c r="AB42" s="3807">
        <v>24</v>
      </c>
      <c r="AC42" s="3807">
        <v>282</v>
      </c>
      <c r="AD42" s="3808">
        <v>312</v>
      </c>
      <c r="AE42" s="3807">
        <v>5</v>
      </c>
      <c r="AF42" s="3807">
        <v>23</v>
      </c>
      <c r="AG42" s="3807">
        <v>280</v>
      </c>
      <c r="AH42" s="3808">
        <v>308</v>
      </c>
      <c r="AI42" s="3807">
        <v>3</v>
      </c>
      <c r="AJ42" s="3807">
        <v>32</v>
      </c>
      <c r="AK42" s="3807">
        <v>280</v>
      </c>
      <c r="AL42" s="3808">
        <f>SUM(AI42:AK42)</f>
        <v>315</v>
      </c>
      <c r="AM42" s="3807">
        <v>3</v>
      </c>
      <c r="AN42" s="3807">
        <v>36</v>
      </c>
      <c r="AO42" s="3807">
        <v>275</v>
      </c>
      <c r="AP42" s="3808">
        <f>SUM(AM42:AO42)</f>
        <v>314</v>
      </c>
      <c r="AQ42" s="3807">
        <v>8</v>
      </c>
      <c r="AR42" s="3807">
        <v>40</v>
      </c>
      <c r="AS42" s="3807">
        <v>278</v>
      </c>
      <c r="AT42" s="3808">
        <f>SUM(AQ42:AS42)</f>
        <v>326</v>
      </c>
      <c r="AU42" s="3807">
        <v>7</v>
      </c>
      <c r="AV42" s="3807">
        <v>40</v>
      </c>
      <c r="AW42" s="3807">
        <v>278</v>
      </c>
      <c r="AX42" s="3808">
        <f>SUM(AU42:AW42)</f>
        <v>325</v>
      </c>
      <c r="AY42" s="3807">
        <v>4</v>
      </c>
      <c r="AZ42" s="3807">
        <v>40</v>
      </c>
      <c r="BA42" s="3807">
        <v>275</v>
      </c>
      <c r="BB42" s="3808">
        <f>SUM(AY42:BA42)</f>
        <v>319</v>
      </c>
      <c r="BC42" s="3807">
        <v>4</v>
      </c>
      <c r="BD42" s="3807">
        <v>35</v>
      </c>
      <c r="BE42" s="3807">
        <v>272</v>
      </c>
      <c r="BF42" s="3808">
        <f>SUM(BC42:BE42)</f>
        <v>311</v>
      </c>
      <c r="BG42" s="3807">
        <v>8</v>
      </c>
      <c r="BH42" s="3807">
        <v>39</v>
      </c>
      <c r="BI42" s="3807">
        <v>276</v>
      </c>
      <c r="BJ42" s="3808">
        <f>SUM(BG42:BI42)</f>
        <v>323</v>
      </c>
    </row>
    <row r="43" spans="1:62" ht="18" customHeight="1" x14ac:dyDescent="0.2">
      <c r="A43" s="5779"/>
      <c r="B43" s="3810" t="s">
        <v>7</v>
      </c>
      <c r="C43" s="3837">
        <v>2</v>
      </c>
      <c r="D43" s="3811">
        <v>10</v>
      </c>
      <c r="E43" s="3811">
        <v>172</v>
      </c>
      <c r="F43" s="3812">
        <v>184</v>
      </c>
      <c r="G43" s="3837">
        <v>3</v>
      </c>
      <c r="H43" s="3811">
        <v>6</v>
      </c>
      <c r="I43" s="3811">
        <v>174</v>
      </c>
      <c r="J43" s="3812">
        <v>183</v>
      </c>
      <c r="K43" s="3837">
        <v>5</v>
      </c>
      <c r="L43" s="3811">
        <v>6</v>
      </c>
      <c r="M43" s="3811">
        <v>178</v>
      </c>
      <c r="N43" s="3857">
        <v>189</v>
      </c>
      <c r="O43" s="3837">
        <v>7</v>
      </c>
      <c r="P43" s="3811">
        <v>6</v>
      </c>
      <c r="Q43" s="3811">
        <v>175</v>
      </c>
      <c r="R43" s="3812">
        <v>188</v>
      </c>
      <c r="S43" s="3811">
        <v>9</v>
      </c>
      <c r="T43" s="3811">
        <v>9</v>
      </c>
      <c r="U43" s="3811">
        <v>164</v>
      </c>
      <c r="V43" s="3812">
        <v>182</v>
      </c>
      <c r="W43" s="3811">
        <v>7</v>
      </c>
      <c r="X43" s="3811">
        <v>16</v>
      </c>
      <c r="Y43" s="3811">
        <v>160</v>
      </c>
      <c r="Z43" s="3812">
        <v>183</v>
      </c>
      <c r="AA43" s="3811">
        <v>7</v>
      </c>
      <c r="AB43" s="3811">
        <v>23</v>
      </c>
      <c r="AC43" s="3811">
        <v>160</v>
      </c>
      <c r="AD43" s="3812">
        <v>190</v>
      </c>
      <c r="AE43" s="3811">
        <v>8</v>
      </c>
      <c r="AF43" s="3811">
        <v>27</v>
      </c>
      <c r="AG43" s="3811">
        <v>164</v>
      </c>
      <c r="AH43" s="3812">
        <v>199</v>
      </c>
      <c r="AI43" s="3811">
        <v>5</v>
      </c>
      <c r="AJ43" s="3811">
        <v>24</v>
      </c>
      <c r="AK43" s="3811">
        <v>172</v>
      </c>
      <c r="AL43" s="3812">
        <f>SUM(AI43:AK43)</f>
        <v>201</v>
      </c>
      <c r="AM43" s="3811">
        <v>2</v>
      </c>
      <c r="AN43" s="3811">
        <v>24</v>
      </c>
      <c r="AO43" s="3811">
        <v>180</v>
      </c>
      <c r="AP43" s="3812">
        <f>SUM(AM43:AO43)</f>
        <v>206</v>
      </c>
      <c r="AQ43" s="3811">
        <v>2</v>
      </c>
      <c r="AR43" s="3811">
        <v>23</v>
      </c>
      <c r="AS43" s="3811">
        <v>186</v>
      </c>
      <c r="AT43" s="3812">
        <f>SUM(AQ43:AS43)</f>
        <v>211</v>
      </c>
      <c r="AU43" s="3811">
        <v>2</v>
      </c>
      <c r="AV43" s="3811">
        <v>28</v>
      </c>
      <c r="AW43" s="3811">
        <v>191</v>
      </c>
      <c r="AX43" s="3812">
        <f>SUM(AU43:AW43)</f>
        <v>221</v>
      </c>
      <c r="AY43" s="3811">
        <v>2</v>
      </c>
      <c r="AZ43" s="3811">
        <v>24</v>
      </c>
      <c r="BA43" s="3811">
        <v>189</v>
      </c>
      <c r="BB43" s="3812">
        <f>SUM(AY43:BA43)</f>
        <v>215</v>
      </c>
      <c r="BC43" s="3811">
        <v>2</v>
      </c>
      <c r="BD43" s="3811">
        <v>26</v>
      </c>
      <c r="BE43" s="3811">
        <v>185</v>
      </c>
      <c r="BF43" s="3812">
        <f>SUM(BC43:BE43)</f>
        <v>213</v>
      </c>
      <c r="BG43" s="3811">
        <v>2</v>
      </c>
      <c r="BH43" s="3811">
        <v>26</v>
      </c>
      <c r="BI43" s="3811">
        <v>181</v>
      </c>
      <c r="BJ43" s="3812">
        <f>SUM(BG43:BI43)</f>
        <v>209</v>
      </c>
    </row>
    <row r="44" spans="1:62" ht="18" customHeight="1" x14ac:dyDescent="0.2">
      <c r="A44" s="5780"/>
      <c r="B44" s="3813" t="s">
        <v>12</v>
      </c>
      <c r="C44" s="3814">
        <v>10</v>
      </c>
      <c r="D44" s="3815">
        <v>68</v>
      </c>
      <c r="E44" s="3815">
        <v>722</v>
      </c>
      <c r="F44" s="3816">
        <v>800</v>
      </c>
      <c r="G44" s="3814">
        <v>11</v>
      </c>
      <c r="H44" s="3815">
        <v>39</v>
      </c>
      <c r="I44" s="3815">
        <v>759</v>
      </c>
      <c r="J44" s="3816">
        <v>809</v>
      </c>
      <c r="K44" s="3814">
        <v>15</v>
      </c>
      <c r="L44" s="3815">
        <v>42</v>
      </c>
      <c r="M44" s="3815">
        <v>766</v>
      </c>
      <c r="N44" s="3815">
        <v>823</v>
      </c>
      <c r="O44" s="3814">
        <v>19</v>
      </c>
      <c r="P44" s="3815">
        <v>53</v>
      </c>
      <c r="Q44" s="3815">
        <v>753</v>
      </c>
      <c r="R44" s="3816">
        <v>825</v>
      </c>
      <c r="S44" s="3815">
        <v>17</v>
      </c>
      <c r="T44" s="3815">
        <v>64</v>
      </c>
      <c r="U44" s="3815">
        <v>755</v>
      </c>
      <c r="V44" s="3816">
        <v>836</v>
      </c>
      <c r="W44" s="3814">
        <v>18</v>
      </c>
      <c r="X44" s="3815">
        <v>74</v>
      </c>
      <c r="Y44" s="3815">
        <v>746</v>
      </c>
      <c r="Z44" s="3816">
        <v>838</v>
      </c>
      <c r="AA44" s="3814">
        <v>23</v>
      </c>
      <c r="AB44" s="3815">
        <v>81</v>
      </c>
      <c r="AC44" s="3815">
        <v>742</v>
      </c>
      <c r="AD44" s="3816">
        <v>846</v>
      </c>
      <c r="AE44" s="3814">
        <v>21</v>
      </c>
      <c r="AF44" s="3815">
        <v>85</v>
      </c>
      <c r="AG44" s="3815">
        <v>743</v>
      </c>
      <c r="AH44" s="3816">
        <v>849</v>
      </c>
      <c r="AI44" s="3814">
        <f t="shared" ref="AI44:AX44" si="53">SUM(AI41:AI43)</f>
        <v>14</v>
      </c>
      <c r="AJ44" s="3815">
        <f t="shared" si="53"/>
        <v>88</v>
      </c>
      <c r="AK44" s="3815">
        <f t="shared" si="53"/>
        <v>756</v>
      </c>
      <c r="AL44" s="3816">
        <f t="shared" si="53"/>
        <v>858</v>
      </c>
      <c r="AM44" s="3814">
        <f t="shared" si="53"/>
        <v>14</v>
      </c>
      <c r="AN44" s="3815">
        <f t="shared" si="53"/>
        <v>94</v>
      </c>
      <c r="AO44" s="3815">
        <f t="shared" si="53"/>
        <v>760</v>
      </c>
      <c r="AP44" s="3816">
        <f t="shared" si="53"/>
        <v>868</v>
      </c>
      <c r="AQ44" s="3814">
        <f t="shared" si="53"/>
        <v>17</v>
      </c>
      <c r="AR44" s="3815">
        <f t="shared" si="53"/>
        <v>102</v>
      </c>
      <c r="AS44" s="3815">
        <f t="shared" si="53"/>
        <v>767</v>
      </c>
      <c r="AT44" s="3816">
        <f t="shared" si="53"/>
        <v>886</v>
      </c>
      <c r="AU44" s="3814">
        <f t="shared" si="53"/>
        <v>20</v>
      </c>
      <c r="AV44" s="3815">
        <f t="shared" si="53"/>
        <v>109</v>
      </c>
      <c r="AW44" s="3815">
        <f t="shared" si="53"/>
        <v>774</v>
      </c>
      <c r="AX44" s="3816">
        <f t="shared" si="53"/>
        <v>903</v>
      </c>
      <c r="AY44" s="3814">
        <f t="shared" ref="AY44:BF44" si="54">SUM(AY41:AY43)</f>
        <v>15</v>
      </c>
      <c r="AZ44" s="3815">
        <f t="shared" si="54"/>
        <v>103</v>
      </c>
      <c r="BA44" s="3815">
        <f t="shared" si="54"/>
        <v>767</v>
      </c>
      <c r="BB44" s="3816">
        <f t="shared" si="54"/>
        <v>885</v>
      </c>
      <c r="BC44" s="3814">
        <f t="shared" si="54"/>
        <v>15</v>
      </c>
      <c r="BD44" s="3815">
        <f t="shared" si="54"/>
        <v>101</v>
      </c>
      <c r="BE44" s="3815">
        <f t="shared" si="54"/>
        <v>756</v>
      </c>
      <c r="BF44" s="3816">
        <f t="shared" si="54"/>
        <v>872</v>
      </c>
      <c r="BG44" s="3814">
        <f t="shared" ref="BG44:BJ44" si="55">SUM(BG41:BG43)</f>
        <v>23</v>
      </c>
      <c r="BH44" s="3815">
        <f t="shared" si="55"/>
        <v>113</v>
      </c>
      <c r="BI44" s="3815">
        <f t="shared" si="55"/>
        <v>751</v>
      </c>
      <c r="BJ44" s="3816">
        <f t="shared" si="55"/>
        <v>887</v>
      </c>
    </row>
    <row r="45" spans="1:62" ht="18" customHeight="1" x14ac:dyDescent="0.25">
      <c r="A45" s="1781"/>
      <c r="B45" s="1783"/>
      <c r="C45" s="1783"/>
      <c r="D45" s="1783"/>
      <c r="E45" s="1783"/>
      <c r="F45" s="1783"/>
      <c r="G45" s="1783"/>
      <c r="H45" s="1783"/>
      <c r="I45" s="1783"/>
      <c r="J45" s="1783"/>
      <c r="K45" s="1783"/>
      <c r="L45" s="1783"/>
      <c r="M45" s="1783"/>
      <c r="N45" s="1783"/>
      <c r="O45" s="1783"/>
      <c r="P45" s="1783"/>
      <c r="Q45" s="1783"/>
      <c r="R45" s="1783"/>
      <c r="S45" s="1783"/>
      <c r="T45" s="1783"/>
      <c r="U45" s="1783"/>
      <c r="V45" s="1783"/>
      <c r="W45" s="1783"/>
      <c r="X45" s="1783"/>
      <c r="Y45" s="1783"/>
      <c r="Z45" s="1783"/>
      <c r="AA45" s="1783"/>
      <c r="AB45" s="1783"/>
      <c r="AC45" s="1783"/>
      <c r="AD45" s="1783"/>
      <c r="AE45" s="1783"/>
      <c r="AF45" s="1783"/>
      <c r="AG45" s="1783"/>
      <c r="AH45" s="1783"/>
      <c r="AI45" s="1783"/>
      <c r="AJ45" s="1783"/>
      <c r="AK45" s="1783"/>
      <c r="AL45" s="1783"/>
      <c r="AM45" s="1783"/>
      <c r="AN45" s="1783"/>
      <c r="AO45" s="1783"/>
      <c r="AP45" s="1783"/>
      <c r="AQ45" s="1783"/>
      <c r="AR45" s="1783"/>
      <c r="AS45" s="1783"/>
      <c r="AT45" s="1783"/>
      <c r="AU45" s="1783"/>
      <c r="AV45" s="1783"/>
      <c r="AW45" s="1783"/>
      <c r="AX45" s="1783"/>
      <c r="AY45" s="1783"/>
      <c r="AZ45" s="1783"/>
      <c r="BA45" s="1783"/>
      <c r="BB45" s="1783"/>
      <c r="BC45" s="1783"/>
      <c r="BD45" s="1783"/>
      <c r="BE45" s="1783"/>
      <c r="BF45" s="1783"/>
      <c r="BG45" s="1783"/>
      <c r="BH45" s="1783"/>
      <c r="BI45" s="1783"/>
      <c r="BJ45" s="1783"/>
    </row>
    <row r="46" spans="1:62" ht="18" customHeight="1" x14ac:dyDescent="0.2">
      <c r="A46" s="7138" t="s">
        <v>407</v>
      </c>
      <c r="B46" s="3705" t="s">
        <v>6</v>
      </c>
      <c r="C46" s="3817"/>
      <c r="D46" s="3818"/>
      <c r="E46" s="3818"/>
      <c r="F46" s="3819"/>
      <c r="G46" s="3817"/>
      <c r="H46" s="3818"/>
      <c r="I46" s="3818"/>
      <c r="J46" s="3819"/>
      <c r="K46" s="3817"/>
      <c r="L46" s="3818"/>
      <c r="M46" s="3803">
        <v>4</v>
      </c>
      <c r="N46" s="3805">
        <v>4</v>
      </c>
      <c r="O46" s="3802"/>
      <c r="P46" s="3803"/>
      <c r="Q46" s="3803">
        <v>7</v>
      </c>
      <c r="R46" s="3804">
        <v>7</v>
      </c>
      <c r="S46" s="3803"/>
      <c r="T46" s="3803"/>
      <c r="U46" s="3803">
        <v>21</v>
      </c>
      <c r="V46" s="3804">
        <v>21</v>
      </c>
      <c r="W46" s="3803"/>
      <c r="X46" s="3803"/>
      <c r="Y46" s="3803">
        <v>23</v>
      </c>
      <c r="Z46" s="3804">
        <f>SUM(W46:Y46)</f>
        <v>23</v>
      </c>
      <c r="AA46" s="3803"/>
      <c r="AB46" s="3803"/>
      <c r="AC46" s="3803">
        <v>28</v>
      </c>
      <c r="AD46" s="3804">
        <v>28</v>
      </c>
      <c r="AE46" s="3803"/>
      <c r="AF46" s="3803"/>
      <c r="AG46" s="3803">
        <v>38</v>
      </c>
      <c r="AH46" s="3804">
        <v>38</v>
      </c>
      <c r="AI46" s="3803"/>
      <c r="AJ46" s="3803"/>
      <c r="AK46" s="3803">
        <v>45</v>
      </c>
      <c r="AL46" s="3804">
        <f>SUM(AI46:AK46)</f>
        <v>45</v>
      </c>
      <c r="AM46" s="3803"/>
      <c r="AN46" s="3803">
        <v>1</v>
      </c>
      <c r="AO46" s="3803">
        <v>41</v>
      </c>
      <c r="AP46" s="3804">
        <f>SUM(AM46:AO46)</f>
        <v>42</v>
      </c>
      <c r="AQ46" s="3803"/>
      <c r="AR46" s="3803">
        <v>1</v>
      </c>
      <c r="AS46" s="3803">
        <v>45</v>
      </c>
      <c r="AT46" s="3804">
        <f>SUM(AQ46:AS46)</f>
        <v>46</v>
      </c>
      <c r="AU46" s="3803"/>
      <c r="AV46" s="3803">
        <v>1</v>
      </c>
      <c r="AW46" s="3803">
        <v>48</v>
      </c>
      <c r="AX46" s="3804">
        <f>SUM(AU46:AW46)</f>
        <v>49</v>
      </c>
      <c r="AY46" s="3803"/>
      <c r="AZ46" s="3803">
        <v>2</v>
      </c>
      <c r="BA46" s="3803">
        <v>48</v>
      </c>
      <c r="BB46" s="3804">
        <f>SUM(AY46:BA46)</f>
        <v>50</v>
      </c>
      <c r="BC46" s="3803"/>
      <c r="BD46" s="3803">
        <v>1</v>
      </c>
      <c r="BE46" s="3803">
        <v>53</v>
      </c>
      <c r="BF46" s="3804">
        <f>SUM(BC46:BE46)</f>
        <v>54</v>
      </c>
      <c r="BG46" s="3803"/>
      <c r="BH46" s="3803">
        <v>1</v>
      </c>
      <c r="BI46" s="3803">
        <v>60</v>
      </c>
      <c r="BJ46" s="3804">
        <f>SUM(BG46:BI46)</f>
        <v>61</v>
      </c>
    </row>
    <row r="47" spans="1:62" ht="18" customHeight="1" x14ac:dyDescent="0.2">
      <c r="A47" s="5782"/>
      <c r="B47" s="1784" t="s">
        <v>9</v>
      </c>
      <c r="C47" s="3820"/>
      <c r="D47" s="3821"/>
      <c r="E47" s="3821"/>
      <c r="F47" s="3822"/>
      <c r="G47" s="3820"/>
      <c r="H47" s="3821"/>
      <c r="I47" s="3821"/>
      <c r="J47" s="3822"/>
      <c r="K47" s="3820"/>
      <c r="L47" s="3821"/>
      <c r="M47" s="3807">
        <v>3</v>
      </c>
      <c r="N47" s="3809">
        <v>3</v>
      </c>
      <c r="O47" s="3806"/>
      <c r="P47" s="3807">
        <v>1</v>
      </c>
      <c r="Q47" s="3807">
        <v>8</v>
      </c>
      <c r="R47" s="3808">
        <v>9</v>
      </c>
      <c r="S47" s="3807"/>
      <c r="T47" s="3807"/>
      <c r="U47" s="3807">
        <v>13</v>
      </c>
      <c r="V47" s="3808">
        <v>13</v>
      </c>
      <c r="W47" s="3807"/>
      <c r="X47" s="3807">
        <v>5</v>
      </c>
      <c r="Y47" s="3807">
        <v>19</v>
      </c>
      <c r="Z47" s="3808">
        <f>SUM(W47:Y47)</f>
        <v>24</v>
      </c>
      <c r="AA47" s="3807"/>
      <c r="AB47" s="3807">
        <v>6</v>
      </c>
      <c r="AC47" s="3807">
        <v>24</v>
      </c>
      <c r="AD47" s="3808">
        <v>30</v>
      </c>
      <c r="AE47" s="3807"/>
      <c r="AF47" s="3807">
        <v>7</v>
      </c>
      <c r="AG47" s="3807">
        <v>31</v>
      </c>
      <c r="AH47" s="3808">
        <v>38</v>
      </c>
      <c r="AI47" s="3807"/>
      <c r="AJ47" s="3807">
        <v>6</v>
      </c>
      <c r="AK47" s="3807">
        <v>35</v>
      </c>
      <c r="AL47" s="3808">
        <f>SUM(AI47:AK47)</f>
        <v>41</v>
      </c>
      <c r="AM47" s="3807"/>
      <c r="AN47" s="3807">
        <v>12</v>
      </c>
      <c r="AO47" s="3807">
        <v>40</v>
      </c>
      <c r="AP47" s="3808">
        <f>SUM(AM47:AO47)</f>
        <v>52</v>
      </c>
      <c r="AQ47" s="3807"/>
      <c r="AR47" s="3807">
        <v>13</v>
      </c>
      <c r="AS47" s="3807">
        <v>38</v>
      </c>
      <c r="AT47" s="3808">
        <f>SUM(AQ47:AS47)</f>
        <v>51</v>
      </c>
      <c r="AU47" s="3807"/>
      <c r="AV47" s="3807">
        <v>13</v>
      </c>
      <c r="AW47" s="3807">
        <v>39</v>
      </c>
      <c r="AX47" s="3808">
        <f>SUM(AU47:AW47)</f>
        <v>52</v>
      </c>
      <c r="AY47" s="3807"/>
      <c r="AZ47" s="3807">
        <v>12</v>
      </c>
      <c r="BA47" s="3807">
        <v>42</v>
      </c>
      <c r="BB47" s="3808">
        <f>SUM(AY47:BA47)</f>
        <v>54</v>
      </c>
      <c r="BC47" s="3807"/>
      <c r="BD47" s="3807">
        <v>10</v>
      </c>
      <c r="BE47" s="3807">
        <v>43</v>
      </c>
      <c r="BF47" s="3808">
        <f>SUM(BC47:BE47)</f>
        <v>53</v>
      </c>
      <c r="BG47" s="3807"/>
      <c r="BH47" s="3807">
        <v>9</v>
      </c>
      <c r="BI47" s="3807">
        <v>45</v>
      </c>
      <c r="BJ47" s="3808">
        <f>SUM(BG47:BI47)</f>
        <v>54</v>
      </c>
    </row>
    <row r="48" spans="1:62" ht="18" customHeight="1" x14ac:dyDescent="0.2">
      <c r="A48" s="5782"/>
      <c r="B48" s="3810" t="s">
        <v>74</v>
      </c>
      <c r="C48" s="3834"/>
      <c r="D48" s="3835"/>
      <c r="E48" s="3835"/>
      <c r="F48" s="3836"/>
      <c r="G48" s="3834"/>
      <c r="H48" s="3835"/>
      <c r="I48" s="3835"/>
      <c r="J48" s="3836"/>
      <c r="K48" s="3834"/>
      <c r="L48" s="3835"/>
      <c r="M48" s="3811">
        <v>6</v>
      </c>
      <c r="N48" s="3857">
        <v>6</v>
      </c>
      <c r="O48" s="3837"/>
      <c r="P48" s="3811"/>
      <c r="Q48" s="3811">
        <v>6</v>
      </c>
      <c r="R48" s="3812">
        <v>6</v>
      </c>
      <c r="S48" s="3811"/>
      <c r="T48" s="3811">
        <v>4</v>
      </c>
      <c r="U48" s="3811">
        <v>14</v>
      </c>
      <c r="V48" s="3812">
        <v>18</v>
      </c>
      <c r="W48" s="3811"/>
      <c r="X48" s="3811">
        <v>4</v>
      </c>
      <c r="Y48" s="3811">
        <v>19</v>
      </c>
      <c r="Z48" s="3812">
        <f>SUM(W48:Y48)</f>
        <v>23</v>
      </c>
      <c r="AA48" s="3811"/>
      <c r="AB48" s="3811">
        <v>5</v>
      </c>
      <c r="AC48" s="3811">
        <v>19</v>
      </c>
      <c r="AD48" s="3812">
        <v>24</v>
      </c>
      <c r="AE48" s="3811"/>
      <c r="AF48" s="3811">
        <v>7</v>
      </c>
      <c r="AG48" s="3811">
        <v>20</v>
      </c>
      <c r="AH48" s="3812">
        <v>27</v>
      </c>
      <c r="AI48" s="3811"/>
      <c r="AJ48" s="3811">
        <v>7</v>
      </c>
      <c r="AK48" s="3811">
        <v>26</v>
      </c>
      <c r="AL48" s="3812">
        <f>SUM(AI48:AK48)</f>
        <v>33</v>
      </c>
      <c r="AM48" s="3811"/>
      <c r="AN48" s="3811">
        <v>8</v>
      </c>
      <c r="AO48" s="3811">
        <v>28</v>
      </c>
      <c r="AP48" s="3812">
        <f>SUM(AM48:AO48)</f>
        <v>36</v>
      </c>
      <c r="AQ48" s="3811"/>
      <c r="AR48" s="3811">
        <v>8</v>
      </c>
      <c r="AS48" s="3811">
        <v>29</v>
      </c>
      <c r="AT48" s="3812">
        <f>SUM(AQ48:AS48)</f>
        <v>37</v>
      </c>
      <c r="AU48" s="3811"/>
      <c r="AV48" s="3811">
        <v>9</v>
      </c>
      <c r="AW48" s="3811">
        <v>33</v>
      </c>
      <c r="AX48" s="3812">
        <f>SUM(AU48:AW48)</f>
        <v>42</v>
      </c>
      <c r="AY48" s="3811"/>
      <c r="AZ48" s="3811">
        <v>9</v>
      </c>
      <c r="BA48" s="3811">
        <v>34</v>
      </c>
      <c r="BB48" s="3812">
        <f>SUM(AY48:BA48)</f>
        <v>43</v>
      </c>
      <c r="BC48" s="3811"/>
      <c r="BD48" s="3811">
        <v>11</v>
      </c>
      <c r="BE48" s="3811">
        <v>35</v>
      </c>
      <c r="BF48" s="3812">
        <f>SUM(BC48:BE48)</f>
        <v>46</v>
      </c>
      <c r="BG48" s="3811"/>
      <c r="BH48" s="3811">
        <v>13</v>
      </c>
      <c r="BI48" s="3811">
        <v>35</v>
      </c>
      <c r="BJ48" s="3812">
        <f>SUM(BG48:BI48)</f>
        <v>48</v>
      </c>
    </row>
    <row r="49" spans="1:62" ht="18" customHeight="1" x14ac:dyDescent="0.2">
      <c r="A49" s="5783"/>
      <c r="B49" s="3823" t="s">
        <v>12</v>
      </c>
      <c r="C49" s="3824"/>
      <c r="D49" s="3825"/>
      <c r="E49" s="3825"/>
      <c r="F49" s="3826"/>
      <c r="G49" s="3824"/>
      <c r="H49" s="3825"/>
      <c r="I49" s="3825"/>
      <c r="J49" s="3826"/>
      <c r="K49" s="3824"/>
      <c r="L49" s="3825"/>
      <c r="M49" s="3827">
        <v>13</v>
      </c>
      <c r="N49" s="3827">
        <v>13</v>
      </c>
      <c r="O49" s="3824"/>
      <c r="P49" s="3827">
        <v>1</v>
      </c>
      <c r="Q49" s="3827">
        <v>21</v>
      </c>
      <c r="R49" s="3828">
        <v>22</v>
      </c>
      <c r="S49" s="3827"/>
      <c r="T49" s="3827">
        <v>4</v>
      </c>
      <c r="U49" s="3827">
        <v>48</v>
      </c>
      <c r="V49" s="3828">
        <v>52</v>
      </c>
      <c r="W49" s="3829"/>
      <c r="X49" s="3827">
        <v>9</v>
      </c>
      <c r="Y49" s="3827">
        <v>61</v>
      </c>
      <c r="Z49" s="3828">
        <f>SUM(Z46:Z48)</f>
        <v>70</v>
      </c>
      <c r="AA49" s="3829"/>
      <c r="AB49" s="3827">
        <v>11</v>
      </c>
      <c r="AC49" s="3827">
        <v>71</v>
      </c>
      <c r="AD49" s="3828">
        <v>82</v>
      </c>
      <c r="AE49" s="3829"/>
      <c r="AF49" s="3827">
        <v>14</v>
      </c>
      <c r="AG49" s="3827">
        <v>89</v>
      </c>
      <c r="AH49" s="3828">
        <v>103</v>
      </c>
      <c r="AI49" s="3829"/>
      <c r="AJ49" s="3827">
        <f>SUM(AJ46:AJ48)</f>
        <v>13</v>
      </c>
      <c r="AK49" s="3827">
        <f>SUM(AK46:AK48)</f>
        <v>106</v>
      </c>
      <c r="AL49" s="3828">
        <f>SUM(AL46:AL48)</f>
        <v>119</v>
      </c>
      <c r="AM49" s="3829"/>
      <c r="AN49" s="3827">
        <f>SUM(AN46:AN48)</f>
        <v>21</v>
      </c>
      <c r="AO49" s="3827">
        <f>SUM(AO46:AO48)</f>
        <v>109</v>
      </c>
      <c r="AP49" s="3828">
        <f>SUM(AP46:AP48)</f>
        <v>130</v>
      </c>
      <c r="AQ49" s="3829"/>
      <c r="AR49" s="3827">
        <f>SUM(AR46:AR48)</f>
        <v>22</v>
      </c>
      <c r="AS49" s="3827">
        <f>SUM(AS46:AS48)</f>
        <v>112</v>
      </c>
      <c r="AT49" s="3828">
        <f>SUM(AT46:AT48)</f>
        <v>134</v>
      </c>
      <c r="AU49" s="3829"/>
      <c r="AV49" s="3827">
        <f>SUM(AV46:AV48)</f>
        <v>23</v>
      </c>
      <c r="AW49" s="3827">
        <f>SUM(AW46:AW48)</f>
        <v>120</v>
      </c>
      <c r="AX49" s="3828">
        <f>SUM(AX46:AX48)</f>
        <v>143</v>
      </c>
      <c r="AY49" s="3829"/>
      <c r="AZ49" s="3827">
        <f>SUM(AZ46:AZ48)</f>
        <v>23</v>
      </c>
      <c r="BA49" s="3827">
        <f>SUM(BA46:BA48)</f>
        <v>124</v>
      </c>
      <c r="BB49" s="3828">
        <f>SUM(BB46:BB48)</f>
        <v>147</v>
      </c>
      <c r="BC49" s="3829"/>
      <c r="BD49" s="3827">
        <f>SUM(BD46:BD48)</f>
        <v>22</v>
      </c>
      <c r="BE49" s="3827">
        <f>SUM(BE46:BE48)</f>
        <v>131</v>
      </c>
      <c r="BF49" s="3828">
        <f>SUM(BF46:BF48)</f>
        <v>153</v>
      </c>
      <c r="BG49" s="3829"/>
      <c r="BH49" s="3827">
        <f>SUM(BH46:BH48)</f>
        <v>23</v>
      </c>
      <c r="BI49" s="3827">
        <f>SUM(BI46:BI48)</f>
        <v>140</v>
      </c>
      <c r="BJ49" s="3828">
        <f>SUM(BJ46:BJ48)</f>
        <v>163</v>
      </c>
    </row>
    <row r="50" spans="1:62" ht="15.75" x14ac:dyDescent="0.25">
      <c r="A50" s="1781"/>
      <c r="B50" s="1783"/>
      <c r="C50" s="1783"/>
      <c r="D50" s="1783"/>
      <c r="E50" s="1783"/>
      <c r="F50" s="1783"/>
      <c r="G50" s="1783"/>
      <c r="H50" s="1783"/>
      <c r="I50" s="1783"/>
      <c r="J50" s="1783"/>
      <c r="K50" s="1783"/>
      <c r="L50" s="1783"/>
      <c r="M50" s="1783"/>
      <c r="N50" s="1783"/>
      <c r="O50" s="1783"/>
      <c r="P50" s="1783"/>
      <c r="Q50" s="1783"/>
      <c r="R50" s="1783"/>
      <c r="S50" s="1783"/>
      <c r="T50" s="1783"/>
      <c r="U50" s="1783"/>
      <c r="V50" s="1783"/>
      <c r="W50" s="1783"/>
      <c r="X50" s="1783"/>
      <c r="Y50" s="1783"/>
      <c r="Z50" s="1783"/>
      <c r="AA50" s="1783"/>
      <c r="AB50" s="1783"/>
      <c r="AC50" s="1783"/>
      <c r="AD50" s="1783"/>
      <c r="AE50" s="1783"/>
      <c r="AF50" s="1783"/>
      <c r="AG50" s="1783"/>
      <c r="AH50" s="1783"/>
      <c r="AI50" s="1783"/>
      <c r="AJ50" s="1783"/>
      <c r="AK50" s="1783"/>
      <c r="AL50" s="1783"/>
      <c r="AM50" s="1783"/>
      <c r="AN50" s="1783"/>
      <c r="AO50" s="1783"/>
      <c r="AP50" s="1783"/>
      <c r="AQ50" s="1783"/>
      <c r="AR50" s="1783"/>
      <c r="AS50" s="1783"/>
      <c r="AT50" s="1783"/>
      <c r="AU50" s="1783"/>
      <c r="AV50" s="1783"/>
      <c r="AW50" s="1783"/>
      <c r="AX50" s="1783"/>
      <c r="AY50" s="1783"/>
      <c r="AZ50" s="1783"/>
      <c r="BA50" s="1783"/>
      <c r="BB50" s="1783"/>
      <c r="BC50" s="1783"/>
      <c r="BD50" s="1783"/>
      <c r="BE50" s="1783"/>
      <c r="BF50" s="1783"/>
      <c r="BG50" s="1783"/>
      <c r="BH50" s="1783"/>
      <c r="BI50" s="1783"/>
      <c r="BJ50" s="1783"/>
    </row>
    <row r="51" spans="1:62" ht="18" customHeight="1" x14ac:dyDescent="0.2">
      <c r="A51" s="7129" t="s">
        <v>162</v>
      </c>
      <c r="B51" s="3705" t="s">
        <v>5</v>
      </c>
      <c r="C51" s="3802"/>
      <c r="D51" s="3803">
        <v>11</v>
      </c>
      <c r="E51" s="3803">
        <v>252</v>
      </c>
      <c r="F51" s="3804">
        <v>263</v>
      </c>
      <c r="G51" s="3802"/>
      <c r="H51" s="3803">
        <v>5</v>
      </c>
      <c r="I51" s="3803">
        <v>261</v>
      </c>
      <c r="J51" s="3804">
        <v>266</v>
      </c>
      <c r="K51" s="3802"/>
      <c r="L51" s="3803">
        <v>5</v>
      </c>
      <c r="M51" s="3803">
        <v>269</v>
      </c>
      <c r="N51" s="3805">
        <v>274</v>
      </c>
      <c r="O51" s="3802"/>
      <c r="P51" s="3803">
        <v>7</v>
      </c>
      <c r="Q51" s="3803">
        <v>268</v>
      </c>
      <c r="R51" s="3804">
        <v>275</v>
      </c>
      <c r="S51" s="3803"/>
      <c r="T51" s="3803">
        <v>7</v>
      </c>
      <c r="U51" s="3803">
        <v>270</v>
      </c>
      <c r="V51" s="3804">
        <v>277</v>
      </c>
      <c r="W51" s="3803"/>
      <c r="X51" s="3803">
        <v>8</v>
      </c>
      <c r="Y51" s="3803">
        <v>271</v>
      </c>
      <c r="Z51" s="3804">
        <v>279</v>
      </c>
      <c r="AA51" s="3803"/>
      <c r="AB51" s="3803">
        <v>6</v>
      </c>
      <c r="AC51" s="3803">
        <v>272</v>
      </c>
      <c r="AD51" s="3804">
        <v>278</v>
      </c>
      <c r="AE51" s="3803"/>
      <c r="AF51" s="3803">
        <v>7</v>
      </c>
      <c r="AG51" s="3803">
        <v>269</v>
      </c>
      <c r="AH51" s="3804">
        <v>276</v>
      </c>
      <c r="AI51" s="3803"/>
      <c r="AJ51" s="3803">
        <v>7</v>
      </c>
      <c r="AK51" s="3803">
        <v>271</v>
      </c>
      <c r="AL51" s="3804">
        <f>SUM(AI51:AK51)</f>
        <v>278</v>
      </c>
      <c r="AM51" s="3803"/>
      <c r="AN51" s="3803">
        <v>6</v>
      </c>
      <c r="AO51" s="3803">
        <v>273</v>
      </c>
      <c r="AP51" s="3804">
        <f>SUM(AM51:AO51)</f>
        <v>279</v>
      </c>
      <c r="AQ51" s="3803"/>
      <c r="AR51" s="3803">
        <v>7</v>
      </c>
      <c r="AS51" s="3803">
        <v>277</v>
      </c>
      <c r="AT51" s="3804">
        <f>SUM(AQ51:AS51)</f>
        <v>284</v>
      </c>
      <c r="AU51" s="3803"/>
      <c r="AV51" s="3803">
        <v>9</v>
      </c>
      <c r="AW51" s="3803">
        <v>277</v>
      </c>
      <c r="AX51" s="3804">
        <f>SUM(AU51:AW51)</f>
        <v>286</v>
      </c>
      <c r="AY51" s="3803"/>
      <c r="AZ51" s="3803">
        <v>7</v>
      </c>
      <c r="BA51" s="3803">
        <v>276</v>
      </c>
      <c r="BB51" s="3804">
        <f>SUM(AY51:BA51)</f>
        <v>283</v>
      </c>
      <c r="BC51" s="3803"/>
      <c r="BD51" s="3803">
        <v>6</v>
      </c>
      <c r="BE51" s="3803">
        <v>275</v>
      </c>
      <c r="BF51" s="3804">
        <f>SUM(BC51:BE51)</f>
        <v>281</v>
      </c>
      <c r="BG51" s="3803"/>
      <c r="BH51" s="3803">
        <v>7</v>
      </c>
      <c r="BI51" s="3803">
        <v>268</v>
      </c>
      <c r="BJ51" s="3804">
        <f>SUM(BG51:BI51)</f>
        <v>275</v>
      </c>
    </row>
    <row r="52" spans="1:62" ht="18" customHeight="1" x14ac:dyDescent="0.2">
      <c r="A52" s="5773"/>
      <c r="B52" s="1784" t="s">
        <v>6</v>
      </c>
      <c r="C52" s="3806">
        <v>3</v>
      </c>
      <c r="D52" s="3807">
        <v>12</v>
      </c>
      <c r="E52" s="3807">
        <v>283</v>
      </c>
      <c r="F52" s="3808">
        <v>298</v>
      </c>
      <c r="G52" s="3806">
        <v>1</v>
      </c>
      <c r="H52" s="3807">
        <v>8</v>
      </c>
      <c r="I52" s="3807">
        <v>292</v>
      </c>
      <c r="J52" s="3808">
        <v>301</v>
      </c>
      <c r="K52" s="3806">
        <v>1</v>
      </c>
      <c r="L52" s="3807">
        <v>8</v>
      </c>
      <c r="M52" s="3807">
        <v>285</v>
      </c>
      <c r="N52" s="3809">
        <v>294</v>
      </c>
      <c r="O52" s="3806">
        <v>1</v>
      </c>
      <c r="P52" s="3807">
        <v>10</v>
      </c>
      <c r="Q52" s="3807">
        <v>285</v>
      </c>
      <c r="R52" s="3808">
        <v>296</v>
      </c>
      <c r="S52" s="3807"/>
      <c r="T52" s="3807">
        <v>12</v>
      </c>
      <c r="U52" s="3807">
        <v>282</v>
      </c>
      <c r="V52" s="3808">
        <v>294</v>
      </c>
      <c r="W52" s="3807"/>
      <c r="X52" s="3807">
        <v>14</v>
      </c>
      <c r="Y52" s="3807">
        <v>285</v>
      </c>
      <c r="Z52" s="3808">
        <v>299</v>
      </c>
      <c r="AA52" s="3807"/>
      <c r="AB52" s="3807">
        <v>12</v>
      </c>
      <c r="AC52" s="3807">
        <v>289</v>
      </c>
      <c r="AD52" s="3808">
        <v>301</v>
      </c>
      <c r="AE52" s="3807"/>
      <c r="AF52" s="3807">
        <v>15</v>
      </c>
      <c r="AG52" s="3807">
        <v>292</v>
      </c>
      <c r="AH52" s="3808">
        <v>307</v>
      </c>
      <c r="AI52" s="3807">
        <v>1</v>
      </c>
      <c r="AJ52" s="3807">
        <v>16</v>
      </c>
      <c r="AK52" s="3807">
        <v>285</v>
      </c>
      <c r="AL52" s="3808">
        <f>SUM(AI52:AK52)</f>
        <v>302</v>
      </c>
      <c r="AM52" s="3807">
        <v>1</v>
      </c>
      <c r="AN52" s="3807">
        <v>8</v>
      </c>
      <c r="AO52" s="3807">
        <v>289</v>
      </c>
      <c r="AP52" s="3808">
        <f>SUM(AM52:AO52)</f>
        <v>298</v>
      </c>
      <c r="AQ52" s="3807">
        <v>1</v>
      </c>
      <c r="AR52" s="3807">
        <v>9</v>
      </c>
      <c r="AS52" s="3807">
        <v>289</v>
      </c>
      <c r="AT52" s="3808">
        <f>SUM(AQ52:AS52)</f>
        <v>299</v>
      </c>
      <c r="AU52" s="3807"/>
      <c r="AV52" s="3807">
        <v>12</v>
      </c>
      <c r="AW52" s="3807">
        <v>291</v>
      </c>
      <c r="AX52" s="3808">
        <f>SUM(AU52:AW52)</f>
        <v>303</v>
      </c>
      <c r="AY52" s="3807"/>
      <c r="AZ52" s="3807">
        <v>12</v>
      </c>
      <c r="BA52" s="3807">
        <v>289</v>
      </c>
      <c r="BB52" s="3808">
        <f>SUM(AY52:BA52)</f>
        <v>301</v>
      </c>
      <c r="BC52" s="3807"/>
      <c r="BD52" s="3807">
        <v>11</v>
      </c>
      <c r="BE52" s="3807">
        <v>287</v>
      </c>
      <c r="BF52" s="3808">
        <f>SUM(BC52:BE52)</f>
        <v>298</v>
      </c>
      <c r="BG52" s="3807"/>
      <c r="BH52" s="3807">
        <v>15</v>
      </c>
      <c r="BI52" s="3807">
        <v>288</v>
      </c>
      <c r="BJ52" s="3808">
        <f>SUM(BG52:BI52)</f>
        <v>303</v>
      </c>
    </row>
    <row r="53" spans="1:62" ht="18" customHeight="1" x14ac:dyDescent="0.2">
      <c r="A53" s="5773"/>
      <c r="B53" s="3810" t="s">
        <v>11</v>
      </c>
      <c r="C53" s="3837"/>
      <c r="D53" s="3811">
        <v>10</v>
      </c>
      <c r="E53" s="3811">
        <v>206</v>
      </c>
      <c r="F53" s="3812">
        <v>216</v>
      </c>
      <c r="G53" s="3837"/>
      <c r="H53" s="3811">
        <v>10</v>
      </c>
      <c r="I53" s="3811">
        <v>205</v>
      </c>
      <c r="J53" s="3812">
        <v>215</v>
      </c>
      <c r="K53" s="3837"/>
      <c r="L53" s="3811">
        <v>11</v>
      </c>
      <c r="M53" s="3811">
        <v>208</v>
      </c>
      <c r="N53" s="3857">
        <v>219</v>
      </c>
      <c r="O53" s="3837"/>
      <c r="P53" s="3811">
        <v>11</v>
      </c>
      <c r="Q53" s="3811">
        <v>205</v>
      </c>
      <c r="R53" s="3812">
        <v>216</v>
      </c>
      <c r="S53" s="3811"/>
      <c r="T53" s="3811">
        <v>14</v>
      </c>
      <c r="U53" s="3811">
        <v>206</v>
      </c>
      <c r="V53" s="3812">
        <v>220</v>
      </c>
      <c r="W53" s="3811"/>
      <c r="X53" s="3811">
        <v>13</v>
      </c>
      <c r="Y53" s="3811">
        <v>202</v>
      </c>
      <c r="Z53" s="3812">
        <v>215</v>
      </c>
      <c r="AA53" s="3811"/>
      <c r="AB53" s="3811">
        <v>11</v>
      </c>
      <c r="AC53" s="3811">
        <v>199</v>
      </c>
      <c r="AD53" s="3812">
        <v>210</v>
      </c>
      <c r="AE53" s="3811"/>
      <c r="AF53" s="3811">
        <v>10</v>
      </c>
      <c r="AG53" s="3811">
        <v>196</v>
      </c>
      <c r="AH53" s="3812">
        <v>206</v>
      </c>
      <c r="AI53" s="3811">
        <v>1</v>
      </c>
      <c r="AJ53" s="3811">
        <v>13</v>
      </c>
      <c r="AK53" s="3811">
        <v>200</v>
      </c>
      <c r="AL53" s="3812">
        <f>SUM(AI53:AK53)</f>
        <v>214</v>
      </c>
      <c r="AM53" s="3811"/>
      <c r="AN53" s="3811">
        <v>15</v>
      </c>
      <c r="AO53" s="3811">
        <v>199</v>
      </c>
      <c r="AP53" s="3812">
        <f>SUM(AM53:AO53)</f>
        <v>214</v>
      </c>
      <c r="AQ53" s="3811">
        <v>1</v>
      </c>
      <c r="AR53" s="3811">
        <v>18</v>
      </c>
      <c r="AS53" s="3811">
        <v>202</v>
      </c>
      <c r="AT53" s="3812">
        <f>SUM(AQ53:AS53)</f>
        <v>221</v>
      </c>
      <c r="AU53" s="3811">
        <v>2</v>
      </c>
      <c r="AV53" s="3811">
        <v>20</v>
      </c>
      <c r="AW53" s="3811">
        <v>206</v>
      </c>
      <c r="AX53" s="3812">
        <f>SUM(AU53:AW53)</f>
        <v>228</v>
      </c>
      <c r="AY53" s="3811">
        <v>1</v>
      </c>
      <c r="AZ53" s="3811">
        <v>17</v>
      </c>
      <c r="BA53" s="3811">
        <v>211</v>
      </c>
      <c r="BB53" s="3812">
        <f>SUM(AY53:BA53)</f>
        <v>229</v>
      </c>
      <c r="BC53" s="3811">
        <v>2</v>
      </c>
      <c r="BD53" s="3811">
        <v>15</v>
      </c>
      <c r="BE53" s="3811">
        <v>214</v>
      </c>
      <c r="BF53" s="3812">
        <f>SUM(BC53:BE53)</f>
        <v>231</v>
      </c>
      <c r="BG53" s="3811">
        <v>1</v>
      </c>
      <c r="BH53" s="3811">
        <v>17</v>
      </c>
      <c r="BI53" s="3811">
        <v>210</v>
      </c>
      <c r="BJ53" s="3812">
        <f>SUM(BG53:BI53)</f>
        <v>228</v>
      </c>
    </row>
    <row r="54" spans="1:62" ht="18" customHeight="1" x14ac:dyDescent="0.2">
      <c r="A54" s="5774"/>
      <c r="B54" s="3830" t="s">
        <v>12</v>
      </c>
      <c r="C54" s="3831">
        <v>3</v>
      </c>
      <c r="D54" s="3832">
        <v>33</v>
      </c>
      <c r="E54" s="3832">
        <v>741</v>
      </c>
      <c r="F54" s="3833">
        <v>777</v>
      </c>
      <c r="G54" s="3831">
        <v>1</v>
      </c>
      <c r="H54" s="3832">
        <v>23</v>
      </c>
      <c r="I54" s="3832">
        <v>758</v>
      </c>
      <c r="J54" s="3833">
        <v>782</v>
      </c>
      <c r="K54" s="3831">
        <v>1</v>
      </c>
      <c r="L54" s="3832">
        <v>24</v>
      </c>
      <c r="M54" s="3832">
        <v>762</v>
      </c>
      <c r="N54" s="3832">
        <v>787</v>
      </c>
      <c r="O54" s="3831">
        <v>1</v>
      </c>
      <c r="P54" s="3832">
        <v>28</v>
      </c>
      <c r="Q54" s="3832">
        <v>758</v>
      </c>
      <c r="R54" s="3833">
        <v>787</v>
      </c>
      <c r="S54" s="3858"/>
      <c r="T54" s="3832">
        <v>33</v>
      </c>
      <c r="U54" s="3832">
        <v>758</v>
      </c>
      <c r="V54" s="3833">
        <v>791</v>
      </c>
      <c r="W54" s="3831"/>
      <c r="X54" s="3832">
        <v>35</v>
      </c>
      <c r="Y54" s="3832">
        <v>758</v>
      </c>
      <c r="Z54" s="3833">
        <v>793</v>
      </c>
      <c r="AA54" s="3831"/>
      <c r="AB54" s="3832">
        <v>29</v>
      </c>
      <c r="AC54" s="3832">
        <v>760</v>
      </c>
      <c r="AD54" s="3833">
        <v>789</v>
      </c>
      <c r="AE54" s="3831"/>
      <c r="AF54" s="3832">
        <v>32</v>
      </c>
      <c r="AG54" s="3832">
        <v>757</v>
      </c>
      <c r="AH54" s="3833">
        <v>789</v>
      </c>
      <c r="AI54" s="3831">
        <f t="shared" ref="AI54:AX54" si="56">SUM(AI51:AI53)</f>
        <v>2</v>
      </c>
      <c r="AJ54" s="3832">
        <f t="shared" si="56"/>
        <v>36</v>
      </c>
      <c r="AK54" s="3832">
        <f t="shared" si="56"/>
        <v>756</v>
      </c>
      <c r="AL54" s="3833">
        <f t="shared" si="56"/>
        <v>794</v>
      </c>
      <c r="AM54" s="3831">
        <f t="shared" si="56"/>
        <v>1</v>
      </c>
      <c r="AN54" s="3832">
        <f t="shared" si="56"/>
        <v>29</v>
      </c>
      <c r="AO54" s="3832">
        <f t="shared" si="56"/>
        <v>761</v>
      </c>
      <c r="AP54" s="3833">
        <f t="shared" si="56"/>
        <v>791</v>
      </c>
      <c r="AQ54" s="3831">
        <f t="shared" si="56"/>
        <v>2</v>
      </c>
      <c r="AR54" s="3832">
        <f t="shared" si="56"/>
        <v>34</v>
      </c>
      <c r="AS54" s="3832">
        <f t="shared" si="56"/>
        <v>768</v>
      </c>
      <c r="AT54" s="3833">
        <f t="shared" si="56"/>
        <v>804</v>
      </c>
      <c r="AU54" s="3831">
        <f t="shared" si="56"/>
        <v>2</v>
      </c>
      <c r="AV54" s="3832">
        <f t="shared" si="56"/>
        <v>41</v>
      </c>
      <c r="AW54" s="3832">
        <f t="shared" si="56"/>
        <v>774</v>
      </c>
      <c r="AX54" s="3833">
        <f t="shared" si="56"/>
        <v>817</v>
      </c>
      <c r="AY54" s="3831">
        <f t="shared" ref="AY54:BF54" si="57">SUM(AY51:AY53)</f>
        <v>1</v>
      </c>
      <c r="AZ54" s="3832">
        <f t="shared" si="57"/>
        <v>36</v>
      </c>
      <c r="BA54" s="3832">
        <f t="shared" si="57"/>
        <v>776</v>
      </c>
      <c r="BB54" s="3833">
        <f t="shared" si="57"/>
        <v>813</v>
      </c>
      <c r="BC54" s="3831">
        <f t="shared" si="57"/>
        <v>2</v>
      </c>
      <c r="BD54" s="3832">
        <f t="shared" si="57"/>
        <v>32</v>
      </c>
      <c r="BE54" s="3832">
        <f t="shared" si="57"/>
        <v>776</v>
      </c>
      <c r="BF54" s="3833">
        <f t="shared" si="57"/>
        <v>810</v>
      </c>
      <c r="BG54" s="3831">
        <f t="shared" ref="BG54:BJ54" si="58">SUM(BG51:BG53)</f>
        <v>1</v>
      </c>
      <c r="BH54" s="3832">
        <f t="shared" si="58"/>
        <v>39</v>
      </c>
      <c r="BI54" s="3832">
        <f t="shared" si="58"/>
        <v>766</v>
      </c>
      <c r="BJ54" s="3833">
        <f t="shared" si="58"/>
        <v>806</v>
      </c>
    </row>
    <row r="55" spans="1:62" ht="18" customHeight="1" x14ac:dyDescent="0.2">
      <c r="A55" s="195"/>
      <c r="B55" s="1783"/>
      <c r="C55" s="1783"/>
      <c r="D55" s="1783"/>
      <c r="E55" s="1783"/>
      <c r="F55" s="1783"/>
      <c r="G55" s="1783"/>
      <c r="H55" s="1783"/>
      <c r="I55" s="1783"/>
      <c r="J55" s="1783"/>
      <c r="K55" s="1783"/>
      <c r="L55" s="1783"/>
      <c r="M55" s="1783"/>
      <c r="N55" s="1783"/>
      <c r="O55" s="1783"/>
      <c r="P55" s="1783"/>
      <c r="Q55" s="1783"/>
      <c r="R55" s="1783"/>
      <c r="S55" s="1783"/>
      <c r="T55" s="1783"/>
      <c r="U55" s="1783"/>
      <c r="V55" s="1783"/>
      <c r="W55" s="1783"/>
      <c r="X55" s="1783"/>
      <c r="Y55" s="1783"/>
      <c r="Z55" s="1783"/>
      <c r="AA55" s="1783"/>
      <c r="AB55" s="1783"/>
      <c r="AC55" s="1783"/>
      <c r="AD55" s="1783"/>
      <c r="AE55" s="1783"/>
      <c r="AF55" s="1783"/>
      <c r="AG55" s="1783"/>
      <c r="AH55" s="1783"/>
      <c r="AI55" s="1783"/>
      <c r="AJ55" s="1783"/>
      <c r="AK55" s="1783"/>
      <c r="AL55" s="1783"/>
      <c r="AM55" s="1783"/>
      <c r="AN55" s="1783"/>
      <c r="AO55" s="1783"/>
      <c r="AP55" s="1783"/>
      <c r="AQ55" s="1783"/>
      <c r="AR55" s="1783"/>
      <c r="AS55" s="1783"/>
      <c r="AT55" s="1783"/>
      <c r="AU55" s="1783"/>
      <c r="AV55" s="1783"/>
      <c r="AW55" s="1783"/>
      <c r="AX55" s="1783"/>
      <c r="AY55" s="1783"/>
      <c r="AZ55" s="1783"/>
      <c r="BA55" s="1783"/>
      <c r="BB55" s="1783"/>
      <c r="BC55" s="1783"/>
      <c r="BD55" s="1783"/>
      <c r="BE55" s="1783"/>
      <c r="BF55" s="1783"/>
      <c r="BG55" s="1783"/>
      <c r="BH55" s="1783"/>
      <c r="BI55" s="1783"/>
      <c r="BJ55" s="1783"/>
    </row>
    <row r="56" spans="1:62" ht="18" customHeight="1" x14ac:dyDescent="0.2">
      <c r="A56" s="7130" t="s">
        <v>408</v>
      </c>
      <c r="B56" s="3705" t="s">
        <v>5</v>
      </c>
      <c r="C56" s="3859"/>
      <c r="D56" s="3859"/>
      <c r="E56" s="3859"/>
      <c r="F56" s="3860"/>
      <c r="G56" s="3859"/>
      <c r="H56" s="3859"/>
      <c r="I56" s="3859"/>
      <c r="J56" s="3860"/>
      <c r="K56" s="3859"/>
      <c r="L56" s="3859"/>
      <c r="M56" s="3859"/>
      <c r="N56" s="3860"/>
      <c r="O56" s="3859"/>
      <c r="P56" s="3859"/>
      <c r="Q56" s="3859"/>
      <c r="R56" s="3860"/>
      <c r="S56" s="3803"/>
      <c r="T56" s="3803"/>
      <c r="U56" s="3803"/>
      <c r="V56" s="3804"/>
      <c r="W56" s="3803"/>
      <c r="X56" s="3803"/>
      <c r="Y56" s="3803"/>
      <c r="Z56" s="3804"/>
      <c r="AA56" s="3803"/>
      <c r="AB56" s="3803"/>
      <c r="AC56" s="3803"/>
      <c r="AD56" s="3804"/>
      <c r="AE56" s="3803"/>
      <c r="AF56" s="3803"/>
      <c r="AG56" s="3803">
        <v>3</v>
      </c>
      <c r="AH56" s="3804">
        <v>3</v>
      </c>
      <c r="AI56" s="3803"/>
      <c r="AJ56" s="3803"/>
      <c r="AK56" s="3803">
        <v>4</v>
      </c>
      <c r="AL56" s="3804">
        <f>SUM(AI56:AK56)</f>
        <v>4</v>
      </c>
      <c r="AM56" s="3803"/>
      <c r="AN56" s="3803"/>
      <c r="AO56" s="3803">
        <v>7</v>
      </c>
      <c r="AP56" s="3804">
        <f>SUM(AM56:AO56)</f>
        <v>7</v>
      </c>
      <c r="AQ56" s="3803"/>
      <c r="AR56" s="3803">
        <v>1</v>
      </c>
      <c r="AS56" s="3803">
        <v>7</v>
      </c>
      <c r="AT56" s="3804">
        <f>SUM(AQ56:AS56)</f>
        <v>8</v>
      </c>
      <c r="AU56" s="3803"/>
      <c r="AV56" s="3803">
        <v>1</v>
      </c>
      <c r="AW56" s="3803">
        <v>9</v>
      </c>
      <c r="AX56" s="3804">
        <f>SUM(AU56:AW56)</f>
        <v>10</v>
      </c>
      <c r="AY56" s="3803"/>
      <c r="AZ56" s="3803">
        <v>4</v>
      </c>
      <c r="BA56" s="3803">
        <v>11</v>
      </c>
      <c r="BB56" s="3804">
        <f>SUM(AY56:BA56)</f>
        <v>15</v>
      </c>
      <c r="BC56" s="3803"/>
      <c r="BD56" s="3803">
        <v>3</v>
      </c>
      <c r="BE56" s="3803">
        <v>13</v>
      </c>
      <c r="BF56" s="3804">
        <f>SUM(BC56:BE56)</f>
        <v>16</v>
      </c>
      <c r="BG56" s="3803"/>
      <c r="BH56" s="3803">
        <v>3</v>
      </c>
      <c r="BI56" s="3803">
        <v>16</v>
      </c>
      <c r="BJ56" s="3804">
        <f>SUM(BG56:BI56)</f>
        <v>19</v>
      </c>
    </row>
    <row r="57" spans="1:62" ht="18" customHeight="1" x14ac:dyDescent="0.2">
      <c r="A57" s="5776"/>
      <c r="B57" s="1784" t="s">
        <v>6</v>
      </c>
      <c r="C57" s="3861"/>
      <c r="D57" s="3861"/>
      <c r="E57" s="3861"/>
      <c r="F57" s="3862"/>
      <c r="G57" s="3861"/>
      <c r="H57" s="3861"/>
      <c r="I57" s="3861"/>
      <c r="J57" s="3862"/>
      <c r="K57" s="3861"/>
      <c r="L57" s="3861"/>
      <c r="M57" s="3861"/>
      <c r="N57" s="3862"/>
      <c r="O57" s="3861"/>
      <c r="P57" s="3861"/>
      <c r="Q57" s="3861"/>
      <c r="R57" s="3862"/>
      <c r="S57" s="3807"/>
      <c r="T57" s="3807"/>
      <c r="U57" s="3807"/>
      <c r="V57" s="3808"/>
      <c r="W57" s="3807"/>
      <c r="X57" s="3807"/>
      <c r="Y57" s="3807"/>
      <c r="Z57" s="3808"/>
      <c r="AA57" s="3807"/>
      <c r="AB57" s="3807"/>
      <c r="AC57" s="3807"/>
      <c r="AD57" s="3808"/>
      <c r="AE57" s="3807"/>
      <c r="AF57" s="3807"/>
      <c r="AG57" s="3807">
        <v>2</v>
      </c>
      <c r="AH57" s="3808">
        <v>2</v>
      </c>
      <c r="AI57" s="3807"/>
      <c r="AJ57" s="3807"/>
      <c r="AK57" s="3807">
        <v>3</v>
      </c>
      <c r="AL57" s="3808">
        <f>SUM(AI57:AK57)</f>
        <v>3</v>
      </c>
      <c r="AM57" s="3807"/>
      <c r="AN57" s="3807"/>
      <c r="AO57" s="3807">
        <v>6</v>
      </c>
      <c r="AP57" s="3808">
        <f>SUM(AM57:AO57)</f>
        <v>6</v>
      </c>
      <c r="AQ57" s="3807"/>
      <c r="AR57" s="3807">
        <v>1</v>
      </c>
      <c r="AS57" s="3807">
        <v>6</v>
      </c>
      <c r="AT57" s="3808">
        <f>SUM(AQ57:AS57)</f>
        <v>7</v>
      </c>
      <c r="AU57" s="3807"/>
      <c r="AV57" s="3807">
        <v>6</v>
      </c>
      <c r="AW57" s="3807">
        <v>7</v>
      </c>
      <c r="AX57" s="3808">
        <f>SUM(AU57:AW57)</f>
        <v>13</v>
      </c>
      <c r="AY57" s="3807"/>
      <c r="AZ57" s="3807">
        <v>4</v>
      </c>
      <c r="BA57" s="3807">
        <v>9</v>
      </c>
      <c r="BB57" s="3808">
        <f>SUM(AY57:BA57)</f>
        <v>13</v>
      </c>
      <c r="BC57" s="3807"/>
      <c r="BD57" s="3807">
        <v>5</v>
      </c>
      <c r="BE57" s="3807">
        <v>16</v>
      </c>
      <c r="BF57" s="3808">
        <f>SUM(BC57:BE57)</f>
        <v>21</v>
      </c>
      <c r="BG57" s="3807"/>
      <c r="BH57" s="3807">
        <v>8</v>
      </c>
      <c r="BI57" s="3807">
        <v>19</v>
      </c>
      <c r="BJ57" s="3808">
        <f>SUM(BG57:BI57)</f>
        <v>27</v>
      </c>
    </row>
    <row r="58" spans="1:62" ht="18" customHeight="1" x14ac:dyDescent="0.2">
      <c r="A58" s="5776"/>
      <c r="B58" s="3810" t="s">
        <v>11</v>
      </c>
      <c r="C58" s="3863"/>
      <c r="D58" s="3863"/>
      <c r="E58" s="3863"/>
      <c r="F58" s="3864"/>
      <c r="G58" s="3863"/>
      <c r="H58" s="3863"/>
      <c r="I58" s="3863"/>
      <c r="J58" s="3864"/>
      <c r="K58" s="3863"/>
      <c r="L58" s="3863"/>
      <c r="M58" s="3863"/>
      <c r="N58" s="3864"/>
      <c r="O58" s="3863"/>
      <c r="P58" s="3863"/>
      <c r="Q58" s="3863"/>
      <c r="R58" s="3864"/>
      <c r="S58" s="3811"/>
      <c r="T58" s="3811"/>
      <c r="U58" s="3811"/>
      <c r="V58" s="3812"/>
      <c r="W58" s="3811"/>
      <c r="X58" s="3811"/>
      <c r="Y58" s="3811"/>
      <c r="Z58" s="3812"/>
      <c r="AA58" s="3811"/>
      <c r="AB58" s="3811"/>
      <c r="AC58" s="3811">
        <v>1</v>
      </c>
      <c r="AD58" s="3812">
        <v>1</v>
      </c>
      <c r="AE58" s="3811"/>
      <c r="AF58" s="3811"/>
      <c r="AG58" s="3811">
        <v>5</v>
      </c>
      <c r="AH58" s="3812">
        <v>5</v>
      </c>
      <c r="AI58" s="3811"/>
      <c r="AJ58" s="3811"/>
      <c r="AK58" s="3811">
        <v>6</v>
      </c>
      <c r="AL58" s="3812">
        <f>SUM(AI58:AK58)</f>
        <v>6</v>
      </c>
      <c r="AM58" s="3811"/>
      <c r="AN58" s="3811"/>
      <c r="AO58" s="3811">
        <v>9</v>
      </c>
      <c r="AP58" s="3812">
        <f>SUM(AM58:AO58)</f>
        <v>9</v>
      </c>
      <c r="AQ58" s="3811"/>
      <c r="AR58" s="3811"/>
      <c r="AS58" s="3811">
        <v>13</v>
      </c>
      <c r="AT58" s="3812">
        <f>SUM(AQ58:AS58)</f>
        <v>13</v>
      </c>
      <c r="AU58" s="3811"/>
      <c r="AV58" s="3811"/>
      <c r="AW58" s="3811">
        <v>13</v>
      </c>
      <c r="AX58" s="3812">
        <f>SUM(AU58:AW58)</f>
        <v>13</v>
      </c>
      <c r="AY58" s="3811"/>
      <c r="AZ58" s="3811">
        <v>1</v>
      </c>
      <c r="BA58" s="3811">
        <v>13</v>
      </c>
      <c r="BB58" s="3812">
        <f>SUM(AY58:BA58)</f>
        <v>14</v>
      </c>
      <c r="BC58" s="3811"/>
      <c r="BD58" s="3811">
        <v>2</v>
      </c>
      <c r="BE58" s="3811">
        <v>16</v>
      </c>
      <c r="BF58" s="3812">
        <f>SUM(BC58:BE58)</f>
        <v>18</v>
      </c>
      <c r="BG58" s="3811"/>
      <c r="BH58" s="3811">
        <v>2</v>
      </c>
      <c r="BI58" s="3811">
        <v>18</v>
      </c>
      <c r="BJ58" s="3812">
        <f>SUM(BG58:BI58)</f>
        <v>20</v>
      </c>
    </row>
    <row r="59" spans="1:62" ht="18" customHeight="1" x14ac:dyDescent="0.2">
      <c r="A59" s="5777"/>
      <c r="B59" s="3838" t="s">
        <v>12</v>
      </c>
      <c r="C59" s="3865"/>
      <c r="D59" s="3865"/>
      <c r="E59" s="3865"/>
      <c r="F59" s="3866"/>
      <c r="G59" s="3865"/>
      <c r="H59" s="3865"/>
      <c r="I59" s="3865"/>
      <c r="J59" s="3866"/>
      <c r="K59" s="3865"/>
      <c r="L59" s="3865"/>
      <c r="M59" s="3865"/>
      <c r="N59" s="3866"/>
      <c r="O59" s="3865"/>
      <c r="P59" s="3865"/>
      <c r="Q59" s="3865"/>
      <c r="R59" s="3866"/>
      <c r="S59" s="3842"/>
      <c r="T59" s="3842"/>
      <c r="U59" s="3842"/>
      <c r="V59" s="3843"/>
      <c r="W59" s="3844"/>
      <c r="X59" s="3842"/>
      <c r="Y59" s="3842"/>
      <c r="Z59" s="3843"/>
      <c r="AA59" s="3844"/>
      <c r="AB59" s="3842"/>
      <c r="AC59" s="3842">
        <v>1</v>
      </c>
      <c r="AD59" s="3843">
        <v>1</v>
      </c>
      <c r="AE59" s="3844"/>
      <c r="AF59" s="3842"/>
      <c r="AG59" s="3842">
        <v>10</v>
      </c>
      <c r="AH59" s="3843">
        <v>10</v>
      </c>
      <c r="AI59" s="3844"/>
      <c r="AJ59" s="3842"/>
      <c r="AK59" s="3842">
        <f>SUM(AK56:AK58)</f>
        <v>13</v>
      </c>
      <c r="AL59" s="3843">
        <f>SUM(AL56:AL58)</f>
        <v>13</v>
      </c>
      <c r="AM59" s="3844"/>
      <c r="AN59" s="3842"/>
      <c r="AO59" s="3842">
        <f>SUM(AO56:AO58)</f>
        <v>22</v>
      </c>
      <c r="AP59" s="3843">
        <f>SUM(AP56:AP58)</f>
        <v>22</v>
      </c>
      <c r="AQ59" s="3844"/>
      <c r="AR59" s="3842">
        <f>SUM(AR56:AR58)</f>
        <v>2</v>
      </c>
      <c r="AS59" s="3842">
        <f>SUM(AS56:AS58)</f>
        <v>26</v>
      </c>
      <c r="AT59" s="3843">
        <f>SUM(AT56:AT58)</f>
        <v>28</v>
      </c>
      <c r="AU59" s="3844"/>
      <c r="AV59" s="3842">
        <f>SUM(AV56:AV58)</f>
        <v>7</v>
      </c>
      <c r="AW59" s="3842">
        <f>SUM(AW56:AW58)</f>
        <v>29</v>
      </c>
      <c r="AX59" s="3843">
        <f>SUM(AX56:AX58)</f>
        <v>36</v>
      </c>
      <c r="AY59" s="3844"/>
      <c r="AZ59" s="3842">
        <f>SUM(AZ56:AZ58)</f>
        <v>9</v>
      </c>
      <c r="BA59" s="3842">
        <f>SUM(BA56:BA58)</f>
        <v>33</v>
      </c>
      <c r="BB59" s="3843">
        <f>SUM(BB56:BB58)</f>
        <v>42</v>
      </c>
      <c r="BC59" s="3844"/>
      <c r="BD59" s="3842">
        <f>SUM(BD56:BD58)</f>
        <v>10</v>
      </c>
      <c r="BE59" s="3842">
        <f>SUM(BE56:BE58)</f>
        <v>45</v>
      </c>
      <c r="BF59" s="3843">
        <f>SUM(BF56:BF58)</f>
        <v>55</v>
      </c>
      <c r="BG59" s="3844"/>
      <c r="BH59" s="3842">
        <f>SUM(BH56:BH58)</f>
        <v>13</v>
      </c>
      <c r="BI59" s="3842">
        <f>SUM(BI56:BI58)</f>
        <v>53</v>
      </c>
      <c r="BJ59" s="3843">
        <f>SUM(BJ56:BJ58)</f>
        <v>66</v>
      </c>
    </row>
    <row r="60" spans="1:62" ht="18" customHeight="1" x14ac:dyDescent="0.25">
      <c r="A60" s="1781"/>
      <c r="B60" s="3867"/>
      <c r="C60" s="3867"/>
      <c r="D60" s="3867"/>
      <c r="E60" s="3867"/>
      <c r="F60" s="3867"/>
      <c r="G60" s="3867"/>
      <c r="H60" s="3867"/>
      <c r="I60" s="3867"/>
      <c r="J60" s="3867"/>
      <c r="K60" s="3867"/>
      <c r="L60" s="3867"/>
      <c r="M60" s="3867"/>
      <c r="N60" s="3867"/>
      <c r="O60" s="3867"/>
      <c r="P60" s="3867"/>
      <c r="Q60" s="3867"/>
      <c r="R60" s="3867"/>
      <c r="S60" s="3867"/>
      <c r="T60" s="3867"/>
      <c r="U60" s="3867"/>
      <c r="V60" s="3867"/>
      <c r="W60" s="3867"/>
      <c r="X60" s="3867"/>
      <c r="Y60" s="3867"/>
      <c r="Z60" s="3867"/>
      <c r="AA60" s="3867"/>
      <c r="AB60" s="3867"/>
      <c r="AC60" s="3867"/>
      <c r="AD60" s="3867"/>
      <c r="AE60" s="3867"/>
      <c r="AF60" s="3867"/>
      <c r="AG60" s="3867"/>
      <c r="AH60" s="3867"/>
      <c r="AI60" s="3867"/>
      <c r="AJ60" s="3867"/>
      <c r="AK60" s="3867"/>
      <c r="AL60" s="3867"/>
      <c r="AM60" s="3867"/>
      <c r="AN60" s="3867"/>
      <c r="AO60" s="3867"/>
      <c r="AP60" s="3867"/>
      <c r="AQ60" s="3867"/>
      <c r="AR60" s="3867"/>
      <c r="AS60" s="3867"/>
      <c r="AT60" s="3867"/>
      <c r="AU60" s="3867"/>
      <c r="AV60" s="3867"/>
      <c r="AW60" s="3867"/>
      <c r="AX60" s="3867"/>
      <c r="AY60" s="3867"/>
      <c r="AZ60" s="3867"/>
      <c r="BA60" s="3867"/>
      <c r="BB60" s="3867"/>
      <c r="BC60" s="3867"/>
      <c r="BD60" s="3867"/>
      <c r="BE60" s="3867"/>
      <c r="BF60" s="3867"/>
      <c r="BG60" s="3867"/>
      <c r="BH60" s="3867"/>
      <c r="BI60" s="3867"/>
      <c r="BJ60" s="3867"/>
    </row>
    <row r="61" spans="1:62" ht="18" customHeight="1" x14ac:dyDescent="0.2">
      <c r="A61" s="7131" t="s">
        <v>163</v>
      </c>
      <c r="B61" s="3705" t="s">
        <v>6</v>
      </c>
      <c r="C61" s="3802">
        <v>1</v>
      </c>
      <c r="D61" s="3803">
        <v>17</v>
      </c>
      <c r="E61" s="3803">
        <v>330</v>
      </c>
      <c r="F61" s="3804">
        <v>348</v>
      </c>
      <c r="G61" s="3802"/>
      <c r="H61" s="3803">
        <v>12</v>
      </c>
      <c r="I61" s="3803">
        <v>335</v>
      </c>
      <c r="J61" s="3804">
        <v>347</v>
      </c>
      <c r="K61" s="3802">
        <v>1</v>
      </c>
      <c r="L61" s="3803">
        <v>13</v>
      </c>
      <c r="M61" s="3803">
        <v>333</v>
      </c>
      <c r="N61" s="3805">
        <v>347</v>
      </c>
      <c r="O61" s="3802"/>
      <c r="P61" s="3803">
        <v>13</v>
      </c>
      <c r="Q61" s="3803">
        <v>327</v>
      </c>
      <c r="R61" s="3804">
        <v>340</v>
      </c>
      <c r="S61" s="3803"/>
      <c r="T61" s="3803">
        <v>12</v>
      </c>
      <c r="U61" s="3803">
        <v>314</v>
      </c>
      <c r="V61" s="3804">
        <v>326</v>
      </c>
      <c r="W61" s="3803"/>
      <c r="X61" s="3803">
        <v>24</v>
      </c>
      <c r="Y61" s="3803">
        <v>311</v>
      </c>
      <c r="Z61" s="3804">
        <v>335</v>
      </c>
      <c r="AA61" s="3803">
        <v>1</v>
      </c>
      <c r="AB61" s="3803">
        <v>29</v>
      </c>
      <c r="AC61" s="3803">
        <v>314</v>
      </c>
      <c r="AD61" s="3804">
        <v>344</v>
      </c>
      <c r="AE61" s="3803">
        <v>1</v>
      </c>
      <c r="AF61" s="3803">
        <v>27</v>
      </c>
      <c r="AG61" s="3803">
        <v>314</v>
      </c>
      <c r="AH61" s="3804">
        <v>342</v>
      </c>
      <c r="AI61" s="3803">
        <v>3</v>
      </c>
      <c r="AJ61" s="3803">
        <v>31</v>
      </c>
      <c r="AK61" s="3803">
        <v>322</v>
      </c>
      <c r="AL61" s="3804">
        <f>SUM(AI61:AK61)</f>
        <v>356</v>
      </c>
      <c r="AM61" s="3803">
        <v>3</v>
      </c>
      <c r="AN61" s="3803">
        <v>31</v>
      </c>
      <c r="AO61" s="3803">
        <v>329</v>
      </c>
      <c r="AP61" s="3804">
        <f>SUM(AM61:AO61)</f>
        <v>363</v>
      </c>
      <c r="AQ61" s="3803">
        <v>2</v>
      </c>
      <c r="AR61" s="3803">
        <v>29</v>
      </c>
      <c r="AS61" s="3803">
        <v>332</v>
      </c>
      <c r="AT61" s="3804">
        <f>SUM(AQ61:AS61)</f>
        <v>363</v>
      </c>
      <c r="AU61" s="3803">
        <v>2</v>
      </c>
      <c r="AV61" s="3803">
        <v>28</v>
      </c>
      <c r="AW61" s="3803">
        <v>331</v>
      </c>
      <c r="AX61" s="3804">
        <f>SUM(AU61:AW61)</f>
        <v>361</v>
      </c>
      <c r="AY61" s="3803">
        <v>2</v>
      </c>
      <c r="AZ61" s="3803">
        <v>29</v>
      </c>
      <c r="BA61" s="3803">
        <v>327</v>
      </c>
      <c r="BB61" s="3804">
        <f>SUM(AY61:BA61)</f>
        <v>358</v>
      </c>
      <c r="BC61" s="3803">
        <v>1</v>
      </c>
      <c r="BD61" s="3803">
        <v>30</v>
      </c>
      <c r="BE61" s="3803">
        <v>320</v>
      </c>
      <c r="BF61" s="3804">
        <f>SUM(BC61:BE61)</f>
        <v>351</v>
      </c>
      <c r="BG61" s="3803">
        <v>1</v>
      </c>
      <c r="BH61" s="3803">
        <v>33</v>
      </c>
      <c r="BI61" s="3803">
        <v>316</v>
      </c>
      <c r="BJ61" s="3804">
        <f>SUM(BG61:BI61)</f>
        <v>350</v>
      </c>
    </row>
    <row r="62" spans="1:62" ht="18" customHeight="1" x14ac:dyDescent="0.2">
      <c r="A62" s="5785"/>
      <c r="B62" s="1784" t="s">
        <v>11</v>
      </c>
      <c r="C62" s="3806"/>
      <c r="D62" s="3807">
        <v>25</v>
      </c>
      <c r="E62" s="3807">
        <v>331</v>
      </c>
      <c r="F62" s="3808">
        <v>356</v>
      </c>
      <c r="G62" s="3806"/>
      <c r="H62" s="3807">
        <v>12</v>
      </c>
      <c r="I62" s="3807">
        <v>340</v>
      </c>
      <c r="J62" s="3808">
        <v>352</v>
      </c>
      <c r="K62" s="3806"/>
      <c r="L62" s="3807">
        <v>13</v>
      </c>
      <c r="M62" s="3807">
        <v>345</v>
      </c>
      <c r="N62" s="3809">
        <v>358</v>
      </c>
      <c r="O62" s="3806"/>
      <c r="P62" s="3807">
        <v>15</v>
      </c>
      <c r="Q62" s="3807">
        <v>340</v>
      </c>
      <c r="R62" s="3808">
        <v>355</v>
      </c>
      <c r="S62" s="3807"/>
      <c r="T62" s="3807">
        <v>15</v>
      </c>
      <c r="U62" s="3807">
        <v>336</v>
      </c>
      <c r="V62" s="3808">
        <v>351</v>
      </c>
      <c r="W62" s="3807"/>
      <c r="X62" s="3807">
        <v>15</v>
      </c>
      <c r="Y62" s="3807">
        <v>331</v>
      </c>
      <c r="Z62" s="3808">
        <v>346</v>
      </c>
      <c r="AA62" s="3807"/>
      <c r="AB62" s="3807">
        <v>16</v>
      </c>
      <c r="AC62" s="3807">
        <v>320</v>
      </c>
      <c r="AD62" s="3808">
        <v>336</v>
      </c>
      <c r="AE62" s="3807"/>
      <c r="AF62" s="3807">
        <v>17</v>
      </c>
      <c r="AG62" s="3807">
        <v>323</v>
      </c>
      <c r="AH62" s="3808">
        <v>340</v>
      </c>
      <c r="AI62" s="3807"/>
      <c r="AJ62" s="3807">
        <v>12</v>
      </c>
      <c r="AK62" s="3807">
        <v>328</v>
      </c>
      <c r="AL62" s="3808">
        <f>SUM(AI62:AK62)</f>
        <v>340</v>
      </c>
      <c r="AM62" s="3807"/>
      <c r="AN62" s="3807">
        <v>23</v>
      </c>
      <c r="AO62" s="3807">
        <v>325</v>
      </c>
      <c r="AP62" s="3808">
        <f>SUM(AM62:AO62)</f>
        <v>348</v>
      </c>
      <c r="AQ62" s="3807"/>
      <c r="AR62" s="3807">
        <v>29</v>
      </c>
      <c r="AS62" s="3807">
        <v>320</v>
      </c>
      <c r="AT62" s="3808">
        <f>SUM(AQ62:AS62)</f>
        <v>349</v>
      </c>
      <c r="AU62" s="3807"/>
      <c r="AV62" s="3807">
        <v>30</v>
      </c>
      <c r="AW62" s="3807">
        <v>323</v>
      </c>
      <c r="AX62" s="3808">
        <f>SUM(AU62:AW62)</f>
        <v>353</v>
      </c>
      <c r="AY62" s="3807">
        <v>0</v>
      </c>
      <c r="AZ62" s="3807">
        <v>34</v>
      </c>
      <c r="BA62" s="3807">
        <v>321</v>
      </c>
      <c r="BB62" s="3808">
        <f>SUM(AY62:BA62)</f>
        <v>355</v>
      </c>
      <c r="BC62" s="3807">
        <v>0</v>
      </c>
      <c r="BD62" s="3807">
        <v>30</v>
      </c>
      <c r="BE62" s="3807">
        <v>317</v>
      </c>
      <c r="BF62" s="3808">
        <f>SUM(BC62:BE62)</f>
        <v>347</v>
      </c>
      <c r="BG62" s="3807">
        <v>0</v>
      </c>
      <c r="BH62" s="3807">
        <v>34</v>
      </c>
      <c r="BI62" s="3807">
        <v>313</v>
      </c>
      <c r="BJ62" s="3808">
        <f>SUM(BG62:BI62)</f>
        <v>347</v>
      </c>
    </row>
    <row r="63" spans="1:62" ht="18" customHeight="1" x14ac:dyDescent="0.2">
      <c r="A63" s="5785"/>
      <c r="B63" s="3810" t="s">
        <v>7</v>
      </c>
      <c r="C63" s="3837">
        <v>1</v>
      </c>
      <c r="D63" s="3811">
        <v>5</v>
      </c>
      <c r="E63" s="3811">
        <v>134</v>
      </c>
      <c r="F63" s="3812">
        <v>140</v>
      </c>
      <c r="G63" s="3837">
        <v>1</v>
      </c>
      <c r="H63" s="3811">
        <v>7</v>
      </c>
      <c r="I63" s="3811">
        <v>131</v>
      </c>
      <c r="J63" s="3812">
        <v>139</v>
      </c>
      <c r="K63" s="3837">
        <v>1</v>
      </c>
      <c r="L63" s="3811">
        <v>6</v>
      </c>
      <c r="M63" s="3811">
        <v>132</v>
      </c>
      <c r="N63" s="3857">
        <v>139</v>
      </c>
      <c r="O63" s="3837">
        <v>1</v>
      </c>
      <c r="P63" s="3811">
        <v>6</v>
      </c>
      <c r="Q63" s="3811">
        <v>132</v>
      </c>
      <c r="R63" s="3812">
        <v>139</v>
      </c>
      <c r="S63" s="3811">
        <v>1</v>
      </c>
      <c r="T63" s="3811">
        <v>10</v>
      </c>
      <c r="U63" s="3811">
        <v>128</v>
      </c>
      <c r="V63" s="3812">
        <v>139</v>
      </c>
      <c r="W63" s="3811">
        <v>1</v>
      </c>
      <c r="X63" s="3811">
        <v>10</v>
      </c>
      <c r="Y63" s="3811">
        <v>127</v>
      </c>
      <c r="Z63" s="3812">
        <v>138</v>
      </c>
      <c r="AA63" s="3811">
        <v>1</v>
      </c>
      <c r="AB63" s="3811">
        <v>10</v>
      </c>
      <c r="AC63" s="3811">
        <v>129</v>
      </c>
      <c r="AD63" s="3812">
        <v>140</v>
      </c>
      <c r="AE63" s="3811">
        <v>1</v>
      </c>
      <c r="AF63" s="3811">
        <v>8</v>
      </c>
      <c r="AG63" s="3811">
        <v>133</v>
      </c>
      <c r="AH63" s="3812">
        <v>142</v>
      </c>
      <c r="AI63" s="3811">
        <v>1</v>
      </c>
      <c r="AJ63" s="3811">
        <v>10</v>
      </c>
      <c r="AK63" s="3811">
        <v>132</v>
      </c>
      <c r="AL63" s="3812">
        <f>SUM(AI63:AK63)</f>
        <v>143</v>
      </c>
      <c r="AM63" s="3811">
        <v>1</v>
      </c>
      <c r="AN63" s="3811">
        <v>10</v>
      </c>
      <c r="AO63" s="3811">
        <v>130</v>
      </c>
      <c r="AP63" s="3812">
        <f>SUM(AM63:AO63)</f>
        <v>141</v>
      </c>
      <c r="AQ63" s="3811">
        <v>1</v>
      </c>
      <c r="AR63" s="3811">
        <v>11</v>
      </c>
      <c r="AS63" s="3811">
        <v>129</v>
      </c>
      <c r="AT63" s="3812">
        <f>SUM(AQ63:AS63)</f>
        <v>141</v>
      </c>
      <c r="AU63" s="3811">
        <v>1</v>
      </c>
      <c r="AV63" s="3811">
        <v>14</v>
      </c>
      <c r="AW63" s="3811">
        <v>131</v>
      </c>
      <c r="AX63" s="3812">
        <f>SUM(AU63:AW63)</f>
        <v>146</v>
      </c>
      <c r="AY63" s="3811">
        <v>1</v>
      </c>
      <c r="AZ63" s="3811">
        <v>13</v>
      </c>
      <c r="BA63" s="3811">
        <v>129</v>
      </c>
      <c r="BB63" s="3812">
        <f>SUM(AY63:BA63)</f>
        <v>143</v>
      </c>
      <c r="BC63" s="3811">
        <v>1</v>
      </c>
      <c r="BD63" s="3811">
        <v>14</v>
      </c>
      <c r="BE63" s="3811">
        <v>129</v>
      </c>
      <c r="BF63" s="3812">
        <f>SUM(BC63:BE63)</f>
        <v>144</v>
      </c>
      <c r="BG63" s="3811">
        <v>0</v>
      </c>
      <c r="BH63" s="3811">
        <v>16</v>
      </c>
      <c r="BI63" s="3811">
        <v>119</v>
      </c>
      <c r="BJ63" s="3812">
        <f>SUM(BG63:BI63)</f>
        <v>135</v>
      </c>
    </row>
    <row r="64" spans="1:62" ht="18" customHeight="1" x14ac:dyDescent="0.2">
      <c r="A64" s="5786"/>
      <c r="B64" s="3845" t="s">
        <v>12</v>
      </c>
      <c r="C64" s="3846">
        <v>2</v>
      </c>
      <c r="D64" s="3847">
        <v>47</v>
      </c>
      <c r="E64" s="3847">
        <v>795</v>
      </c>
      <c r="F64" s="3848">
        <v>844</v>
      </c>
      <c r="G64" s="3846">
        <v>1</v>
      </c>
      <c r="H64" s="3847">
        <v>31</v>
      </c>
      <c r="I64" s="3847">
        <v>806</v>
      </c>
      <c r="J64" s="3848">
        <v>838</v>
      </c>
      <c r="K64" s="3846">
        <v>2</v>
      </c>
      <c r="L64" s="3847">
        <v>32</v>
      </c>
      <c r="M64" s="3847">
        <v>810</v>
      </c>
      <c r="N64" s="3847">
        <v>844</v>
      </c>
      <c r="O64" s="3846">
        <v>1</v>
      </c>
      <c r="P64" s="3847">
        <v>34</v>
      </c>
      <c r="Q64" s="3847">
        <v>799</v>
      </c>
      <c r="R64" s="3848">
        <v>834</v>
      </c>
      <c r="S64" s="3847">
        <v>1</v>
      </c>
      <c r="T64" s="3847">
        <v>37</v>
      </c>
      <c r="U64" s="3847">
        <v>778</v>
      </c>
      <c r="V64" s="3848">
        <v>816</v>
      </c>
      <c r="W64" s="3846">
        <v>1</v>
      </c>
      <c r="X64" s="3847">
        <v>49</v>
      </c>
      <c r="Y64" s="3847">
        <v>769</v>
      </c>
      <c r="Z64" s="3848">
        <v>819</v>
      </c>
      <c r="AA64" s="3846">
        <v>2</v>
      </c>
      <c r="AB64" s="3847">
        <v>55</v>
      </c>
      <c r="AC64" s="3847">
        <v>763</v>
      </c>
      <c r="AD64" s="3848">
        <v>820</v>
      </c>
      <c r="AE64" s="3846">
        <v>2</v>
      </c>
      <c r="AF64" s="3847">
        <v>52</v>
      </c>
      <c r="AG64" s="3847">
        <v>770</v>
      </c>
      <c r="AH64" s="3848">
        <v>824</v>
      </c>
      <c r="AI64" s="3846">
        <f t="shared" ref="AI64:AX64" si="59">SUM(AI61:AI63)</f>
        <v>4</v>
      </c>
      <c r="AJ64" s="3847">
        <f t="shared" si="59"/>
        <v>53</v>
      </c>
      <c r="AK64" s="3847">
        <f t="shared" si="59"/>
        <v>782</v>
      </c>
      <c r="AL64" s="3848">
        <f t="shared" si="59"/>
        <v>839</v>
      </c>
      <c r="AM64" s="3846">
        <f t="shared" si="59"/>
        <v>4</v>
      </c>
      <c r="AN64" s="3847">
        <f t="shared" si="59"/>
        <v>64</v>
      </c>
      <c r="AO64" s="3847">
        <f t="shared" si="59"/>
        <v>784</v>
      </c>
      <c r="AP64" s="3848">
        <f t="shared" si="59"/>
        <v>852</v>
      </c>
      <c r="AQ64" s="3846">
        <f t="shared" si="59"/>
        <v>3</v>
      </c>
      <c r="AR64" s="3847">
        <f t="shared" si="59"/>
        <v>69</v>
      </c>
      <c r="AS64" s="3847">
        <f t="shared" si="59"/>
        <v>781</v>
      </c>
      <c r="AT64" s="3848">
        <f t="shared" si="59"/>
        <v>853</v>
      </c>
      <c r="AU64" s="3846">
        <f t="shared" si="59"/>
        <v>3</v>
      </c>
      <c r="AV64" s="3847">
        <f t="shared" si="59"/>
        <v>72</v>
      </c>
      <c r="AW64" s="3847">
        <f t="shared" si="59"/>
        <v>785</v>
      </c>
      <c r="AX64" s="3848">
        <f t="shared" si="59"/>
        <v>860</v>
      </c>
      <c r="AY64" s="3846">
        <f t="shared" ref="AY64:BF64" si="60">SUM(AY61:AY63)</f>
        <v>3</v>
      </c>
      <c r="AZ64" s="3847">
        <f t="shared" si="60"/>
        <v>76</v>
      </c>
      <c r="BA64" s="3847">
        <f t="shared" si="60"/>
        <v>777</v>
      </c>
      <c r="BB64" s="3848">
        <f t="shared" si="60"/>
        <v>856</v>
      </c>
      <c r="BC64" s="3846">
        <f t="shared" si="60"/>
        <v>2</v>
      </c>
      <c r="BD64" s="3847">
        <f t="shared" si="60"/>
        <v>74</v>
      </c>
      <c r="BE64" s="3847">
        <f t="shared" si="60"/>
        <v>766</v>
      </c>
      <c r="BF64" s="3848">
        <f t="shared" si="60"/>
        <v>842</v>
      </c>
      <c r="BG64" s="3846">
        <f t="shared" ref="BG64:BJ64" si="61">SUM(BG61:BG63)</f>
        <v>1</v>
      </c>
      <c r="BH64" s="3847">
        <f t="shared" si="61"/>
        <v>83</v>
      </c>
      <c r="BI64" s="3847">
        <f t="shared" si="61"/>
        <v>748</v>
      </c>
      <c r="BJ64" s="3848">
        <f t="shared" si="61"/>
        <v>832</v>
      </c>
    </row>
    <row r="65" spans="1:62" x14ac:dyDescent="0.2">
      <c r="A65" s="1783"/>
      <c r="B65" s="1783"/>
      <c r="C65" s="1783"/>
      <c r="D65" s="1783"/>
      <c r="E65" s="1783"/>
      <c r="F65" s="1783"/>
      <c r="G65" s="1783"/>
      <c r="H65" s="1783"/>
      <c r="I65" s="1783"/>
      <c r="J65" s="1783"/>
      <c r="K65" s="1783"/>
      <c r="L65" s="1783"/>
      <c r="M65" s="1783"/>
      <c r="N65" s="1783"/>
      <c r="O65" s="1783"/>
      <c r="P65" s="1783"/>
      <c r="Q65" s="1783"/>
      <c r="R65" s="1783"/>
      <c r="S65" s="1783"/>
      <c r="T65" s="1783"/>
      <c r="U65" s="1783"/>
      <c r="V65" s="1783"/>
      <c r="W65" s="1783"/>
      <c r="X65" s="1783"/>
      <c r="Y65" s="1783"/>
      <c r="Z65" s="1783"/>
      <c r="AA65" s="1783"/>
      <c r="AB65" s="1783"/>
      <c r="AC65" s="1783"/>
      <c r="AD65" s="1783"/>
      <c r="AE65" s="1783"/>
      <c r="AF65" s="1783"/>
      <c r="AG65" s="1783"/>
      <c r="AH65" s="1783"/>
      <c r="AI65" s="1783"/>
      <c r="AJ65" s="1783"/>
      <c r="AK65" s="1783"/>
      <c r="AL65" s="1783"/>
      <c r="AM65" s="1783"/>
      <c r="AN65" s="1783"/>
      <c r="AO65" s="1783"/>
      <c r="AP65" s="1783"/>
      <c r="AQ65" s="1783"/>
      <c r="AR65" s="1783"/>
      <c r="AS65" s="1783"/>
      <c r="AT65" s="1783"/>
      <c r="AU65" s="1783"/>
      <c r="AV65" s="1783"/>
      <c r="AW65" s="1783"/>
      <c r="AX65" s="1783"/>
      <c r="AY65" s="1783"/>
      <c r="AZ65" s="1783"/>
      <c r="BA65" s="1783"/>
      <c r="BB65" s="1783"/>
      <c r="BC65" s="1783"/>
      <c r="BD65" s="1783"/>
      <c r="BE65" s="1783"/>
      <c r="BF65" s="1783"/>
      <c r="BG65" s="1783"/>
      <c r="BH65" s="1783"/>
      <c r="BI65" s="1783"/>
      <c r="BJ65" s="1783"/>
    </row>
    <row r="66" spans="1:62" ht="21.75" customHeight="1" x14ac:dyDescent="0.2">
      <c r="A66" s="3706" t="s">
        <v>60</v>
      </c>
      <c r="B66" s="3707"/>
      <c r="C66" s="3849">
        <v>15</v>
      </c>
      <c r="D66" s="3850">
        <v>148</v>
      </c>
      <c r="E66" s="3850">
        <v>2258</v>
      </c>
      <c r="F66" s="3851">
        <v>2421</v>
      </c>
      <c r="G66" s="3849">
        <v>13</v>
      </c>
      <c r="H66" s="3850">
        <v>93</v>
      </c>
      <c r="I66" s="3850">
        <v>2323</v>
      </c>
      <c r="J66" s="3851">
        <v>2429</v>
      </c>
      <c r="K66" s="3849">
        <v>18</v>
      </c>
      <c r="L66" s="3850">
        <v>98</v>
      </c>
      <c r="M66" s="3850">
        <v>2351</v>
      </c>
      <c r="N66" s="3850">
        <v>2467</v>
      </c>
      <c r="O66" s="3849">
        <v>21</v>
      </c>
      <c r="P66" s="3850">
        <v>116</v>
      </c>
      <c r="Q66" s="3850">
        <v>2331</v>
      </c>
      <c r="R66" s="3851">
        <v>2468</v>
      </c>
      <c r="S66" s="3850">
        <v>18</v>
      </c>
      <c r="T66" s="3850">
        <v>138</v>
      </c>
      <c r="U66" s="3850">
        <v>2339</v>
      </c>
      <c r="V66" s="3851">
        <v>2495</v>
      </c>
      <c r="W66" s="3850">
        <v>19</v>
      </c>
      <c r="X66" s="3850">
        <v>167</v>
      </c>
      <c r="Y66" s="3850">
        <v>2334</v>
      </c>
      <c r="Z66" s="3851">
        <v>2520</v>
      </c>
      <c r="AA66" s="3850">
        <v>25</v>
      </c>
      <c r="AB66" s="3850">
        <v>176</v>
      </c>
      <c r="AC66" s="3850">
        <v>2337</v>
      </c>
      <c r="AD66" s="3851">
        <v>2538</v>
      </c>
      <c r="AE66" s="3850">
        <v>23</v>
      </c>
      <c r="AF66" s="3850">
        <v>183</v>
      </c>
      <c r="AG66" s="3850">
        <v>2369</v>
      </c>
      <c r="AH66" s="3851">
        <v>2575</v>
      </c>
      <c r="AI66" s="3850">
        <f t="shared" ref="AI66:AX66" si="62">SUM(AI44,AI49,AI54,AI59,AI64)</f>
        <v>20</v>
      </c>
      <c r="AJ66" s="3850">
        <f t="shared" si="62"/>
        <v>190</v>
      </c>
      <c r="AK66" s="3850">
        <f t="shared" si="62"/>
        <v>2413</v>
      </c>
      <c r="AL66" s="3851">
        <f t="shared" si="62"/>
        <v>2623</v>
      </c>
      <c r="AM66" s="3850">
        <f t="shared" si="62"/>
        <v>19</v>
      </c>
      <c r="AN66" s="3850">
        <f t="shared" si="62"/>
        <v>208</v>
      </c>
      <c r="AO66" s="3850">
        <f t="shared" si="62"/>
        <v>2436</v>
      </c>
      <c r="AP66" s="3851">
        <f t="shared" si="62"/>
        <v>2663</v>
      </c>
      <c r="AQ66" s="3850">
        <f t="shared" si="62"/>
        <v>22</v>
      </c>
      <c r="AR66" s="3850">
        <f t="shared" si="62"/>
        <v>229</v>
      </c>
      <c r="AS66" s="3850">
        <f t="shared" si="62"/>
        <v>2454</v>
      </c>
      <c r="AT66" s="3851">
        <f t="shared" si="62"/>
        <v>2705</v>
      </c>
      <c r="AU66" s="3850">
        <f t="shared" si="62"/>
        <v>25</v>
      </c>
      <c r="AV66" s="3850">
        <f t="shared" si="62"/>
        <v>252</v>
      </c>
      <c r="AW66" s="3850">
        <f t="shared" si="62"/>
        <v>2482</v>
      </c>
      <c r="AX66" s="3851">
        <f t="shared" si="62"/>
        <v>2759</v>
      </c>
      <c r="AY66" s="3850">
        <f t="shared" ref="AY66:BF66" si="63">SUM(AY44,AY49,AY54,AY59,AY64)</f>
        <v>19</v>
      </c>
      <c r="AZ66" s="3850">
        <f t="shared" si="63"/>
        <v>247</v>
      </c>
      <c r="BA66" s="3850">
        <f t="shared" si="63"/>
        <v>2477</v>
      </c>
      <c r="BB66" s="3851">
        <f t="shared" si="63"/>
        <v>2743</v>
      </c>
      <c r="BC66" s="3850">
        <f t="shared" si="63"/>
        <v>19</v>
      </c>
      <c r="BD66" s="3850">
        <f t="shared" si="63"/>
        <v>239</v>
      </c>
      <c r="BE66" s="3850">
        <f t="shared" si="63"/>
        <v>2474</v>
      </c>
      <c r="BF66" s="3851">
        <f t="shared" si="63"/>
        <v>2732</v>
      </c>
      <c r="BG66" s="3850">
        <f t="shared" ref="BG66:BJ66" si="64">SUM(BG44,BG49,BG54,BG59,BG64)</f>
        <v>25</v>
      </c>
      <c r="BH66" s="3850">
        <f t="shared" si="64"/>
        <v>271</v>
      </c>
      <c r="BI66" s="3850">
        <f t="shared" si="64"/>
        <v>2458</v>
      </c>
      <c r="BJ66" s="3851">
        <f t="shared" si="64"/>
        <v>2754</v>
      </c>
    </row>
    <row r="67" spans="1:62" ht="15" customHeight="1" x14ac:dyDescent="0.25">
      <c r="A67" s="3852" t="s">
        <v>1289</v>
      </c>
      <c r="B67" s="3853"/>
      <c r="C67" s="1783"/>
      <c r="D67" s="1783"/>
      <c r="E67" s="1783"/>
      <c r="F67" s="1783"/>
      <c r="G67" s="1783"/>
      <c r="H67" s="1783"/>
      <c r="I67" s="1783"/>
      <c r="J67" s="1783"/>
      <c r="K67" s="1783"/>
      <c r="L67" s="1783"/>
      <c r="M67" s="1783"/>
      <c r="N67" s="1783"/>
      <c r="O67" s="1783"/>
      <c r="P67" s="1783"/>
      <c r="Q67" s="1783"/>
      <c r="R67" s="1783"/>
      <c r="S67" s="1783"/>
      <c r="T67" s="1783"/>
      <c r="U67" s="1783"/>
      <c r="V67" s="1783"/>
      <c r="W67" s="1783"/>
      <c r="X67" s="1783"/>
      <c r="Y67" s="1783"/>
      <c r="Z67" s="1783"/>
      <c r="AA67" s="1783"/>
      <c r="AB67" s="1783"/>
      <c r="AC67" s="1783"/>
      <c r="AD67" s="1783"/>
      <c r="AE67" s="1783"/>
      <c r="AF67" s="1783"/>
      <c r="AG67" s="1783"/>
      <c r="AH67" s="1783"/>
      <c r="AI67" s="1783"/>
      <c r="AJ67" s="1783"/>
      <c r="AK67" s="1783"/>
      <c r="AL67" s="1783"/>
      <c r="AM67" s="1783"/>
      <c r="AN67" s="1783"/>
      <c r="AO67" s="1783"/>
      <c r="AP67" s="1783"/>
      <c r="AQ67" s="1783"/>
      <c r="AR67" s="1783"/>
      <c r="AS67" s="1783"/>
      <c r="AT67" s="1783"/>
      <c r="AU67" s="1783"/>
      <c r="AV67" s="1783"/>
      <c r="AW67" s="1783"/>
      <c r="AX67" s="1783"/>
      <c r="AY67" s="1783"/>
      <c r="AZ67" s="1783"/>
      <c r="BA67" s="1783"/>
      <c r="BB67" s="1783"/>
    </row>
    <row r="68" spans="1:62" ht="15" customHeight="1" x14ac:dyDescent="0.25">
      <c r="A68" s="3852" t="s">
        <v>116</v>
      </c>
      <c r="B68" s="3853"/>
      <c r="C68" s="1783"/>
      <c r="D68" s="1783"/>
      <c r="E68" s="1783"/>
      <c r="F68" s="1783"/>
      <c r="G68" s="1783"/>
      <c r="H68" s="1783"/>
      <c r="I68" s="1783"/>
      <c r="J68" s="1783"/>
      <c r="K68" s="1783"/>
      <c r="L68" s="1783"/>
      <c r="M68" s="1783"/>
      <c r="N68" s="1783"/>
      <c r="O68" s="1783"/>
      <c r="P68" s="1783"/>
      <c r="Q68" s="1783"/>
      <c r="R68" s="1783"/>
      <c r="S68" s="1783"/>
      <c r="T68" s="1783"/>
      <c r="U68" s="1783"/>
      <c r="V68" s="1783"/>
      <c r="W68" s="1783"/>
      <c r="X68" s="1783"/>
      <c r="Y68" s="1783"/>
      <c r="Z68" s="1783"/>
      <c r="AA68" s="1783"/>
      <c r="AB68" s="1783"/>
      <c r="AC68" s="1783"/>
      <c r="AD68" s="1783"/>
      <c r="AE68" s="1783"/>
      <c r="AF68" s="1783"/>
      <c r="AG68" s="1783"/>
      <c r="AH68" s="1783"/>
      <c r="AI68" s="1783"/>
      <c r="AJ68" s="1783"/>
      <c r="AK68" s="1783"/>
      <c r="AL68" s="1783"/>
      <c r="AM68" s="1783"/>
      <c r="AN68" s="1783"/>
      <c r="AO68" s="1783"/>
      <c r="AP68" s="1783"/>
      <c r="AQ68" s="1783"/>
      <c r="AR68" s="1783"/>
      <c r="AS68" s="1783"/>
      <c r="AT68" s="1783"/>
      <c r="AU68" s="1783"/>
      <c r="AV68" s="1783"/>
      <c r="AW68" s="1783"/>
      <c r="AX68" s="1783"/>
      <c r="AY68" s="1783"/>
      <c r="AZ68" s="1783"/>
      <c r="BA68" s="1783"/>
      <c r="BB68" s="1783"/>
    </row>
    <row r="69" spans="1:62" x14ac:dyDescent="0.2">
      <c r="A69" s="3853"/>
      <c r="B69" s="3853"/>
      <c r="C69" s="3853"/>
      <c r="D69" s="3853"/>
      <c r="E69" s="3853"/>
      <c r="F69" s="3853"/>
      <c r="G69" s="3853"/>
      <c r="H69" s="3853"/>
      <c r="I69" s="3853"/>
      <c r="J69" s="3853"/>
      <c r="K69" s="3853"/>
      <c r="L69" s="3853"/>
      <c r="M69" s="3853"/>
      <c r="N69" s="3853"/>
      <c r="O69" s="3853"/>
      <c r="P69" s="3853"/>
      <c r="Q69" s="3853"/>
      <c r="R69" s="3853"/>
      <c r="S69" s="3853"/>
      <c r="T69" s="3853"/>
      <c r="U69" s="3853"/>
      <c r="V69" s="3853"/>
      <c r="W69" s="1783"/>
      <c r="X69" s="1783"/>
      <c r="Y69" s="1783"/>
      <c r="Z69" s="1783"/>
      <c r="AA69" s="1783"/>
      <c r="AB69" s="1783"/>
      <c r="AC69" s="1783"/>
      <c r="AD69" s="1783"/>
      <c r="AE69" s="1783"/>
      <c r="AF69" s="1783"/>
      <c r="AG69" s="1783"/>
      <c r="AH69" s="1783"/>
      <c r="AI69" s="1783"/>
      <c r="AJ69" s="1783"/>
      <c r="AK69" s="1783"/>
      <c r="AL69" s="1783"/>
      <c r="AM69" s="1783"/>
      <c r="AN69" s="1783"/>
      <c r="AO69" s="1783"/>
      <c r="AP69" s="1783"/>
      <c r="AQ69" s="1783"/>
      <c r="AR69" s="1783"/>
      <c r="AS69" s="1783"/>
      <c r="AT69" s="1783"/>
      <c r="AU69" s="1783"/>
      <c r="AV69" s="1783"/>
      <c r="AW69" s="1783"/>
      <c r="AX69" s="1783"/>
      <c r="AY69" s="1783"/>
      <c r="AZ69" s="1783"/>
      <c r="BA69" s="1783"/>
      <c r="BB69" s="1783"/>
    </row>
    <row r="70" spans="1:62" x14ac:dyDescent="0.2">
      <c r="A70" s="3853"/>
      <c r="B70" s="3853"/>
      <c r="C70" s="3853"/>
      <c r="D70" s="3853"/>
      <c r="E70" s="3853"/>
      <c r="F70" s="3853"/>
      <c r="G70" s="3853"/>
      <c r="H70" s="3853"/>
      <c r="I70" s="3853"/>
      <c r="J70" s="3853"/>
      <c r="K70" s="3853"/>
      <c r="L70" s="3853"/>
      <c r="M70" s="3853"/>
      <c r="N70" s="3853"/>
      <c r="O70" s="3853"/>
      <c r="P70" s="3853"/>
      <c r="Q70" s="3853"/>
      <c r="R70" s="3853"/>
      <c r="S70" s="3853"/>
      <c r="T70" s="3853"/>
      <c r="U70" s="3853"/>
      <c r="V70" s="3853"/>
      <c r="W70" s="1783"/>
      <c r="X70" s="1783"/>
      <c r="Y70" s="1783"/>
      <c r="Z70" s="1783"/>
      <c r="AA70" s="1783"/>
      <c r="AB70" s="1783"/>
      <c r="AC70" s="1783"/>
      <c r="AD70" s="1783"/>
      <c r="AE70" s="1783"/>
      <c r="AF70" s="1783"/>
      <c r="AG70" s="1783"/>
      <c r="AH70" s="1783"/>
      <c r="AI70" s="1783"/>
      <c r="AJ70" s="1783"/>
      <c r="AK70" s="1783"/>
      <c r="AL70" s="1783"/>
      <c r="AM70" s="1783"/>
      <c r="AN70" s="1783"/>
      <c r="AO70" s="1783"/>
      <c r="AP70" s="1783"/>
      <c r="AQ70" s="1783"/>
      <c r="AR70" s="1783"/>
      <c r="AS70" s="1783"/>
      <c r="AT70" s="1783"/>
      <c r="AU70" s="1783"/>
      <c r="AV70" s="1783"/>
      <c r="AW70" s="1783"/>
      <c r="AX70" s="1783"/>
      <c r="AY70" s="1783"/>
      <c r="AZ70" s="1783"/>
      <c r="BA70" s="1783"/>
      <c r="BB70" s="1783"/>
    </row>
    <row r="71" spans="1:62" ht="62.25" customHeight="1" x14ac:dyDescent="0.3">
      <c r="A71" s="7126" t="s">
        <v>1297</v>
      </c>
      <c r="B71" s="7126"/>
      <c r="D71" s="3855"/>
      <c r="E71" s="3855"/>
      <c r="F71" s="3855"/>
      <c r="G71" s="3855"/>
      <c r="H71" s="3855"/>
      <c r="I71" s="3855"/>
      <c r="J71" s="3855"/>
      <c r="K71" s="3855"/>
      <c r="L71" s="3855"/>
      <c r="M71" s="3855"/>
      <c r="N71" s="3855"/>
      <c r="O71" s="3855"/>
      <c r="P71" s="3855"/>
      <c r="Q71" s="3855"/>
      <c r="R71" s="3855"/>
      <c r="S71" s="3855"/>
      <c r="T71" s="3855"/>
      <c r="U71" s="3855"/>
      <c r="V71" s="3855"/>
      <c r="W71" s="3855"/>
      <c r="X71" s="3855"/>
      <c r="Y71" s="3855"/>
      <c r="Z71" s="3855"/>
      <c r="AB71" s="3855"/>
      <c r="AC71" s="3855"/>
      <c r="AD71" s="3855"/>
      <c r="AE71" s="3855"/>
      <c r="AF71" s="3855"/>
      <c r="AG71" s="3855"/>
      <c r="AH71" s="3855"/>
      <c r="AI71" s="3855"/>
      <c r="AJ71" s="3855"/>
      <c r="AK71" s="3855"/>
      <c r="AL71" s="3855"/>
      <c r="AM71" s="3855"/>
      <c r="AN71" s="3855"/>
      <c r="AO71" s="3855"/>
      <c r="AP71" s="3855"/>
      <c r="AQ71" s="3855"/>
      <c r="AR71" s="3855"/>
      <c r="AS71" s="3855"/>
      <c r="AT71" s="3855"/>
      <c r="AU71" s="3855"/>
      <c r="AV71" s="3855"/>
      <c r="AW71" s="3855"/>
      <c r="AX71" s="3856"/>
      <c r="AY71" s="3855"/>
      <c r="AZ71" s="3855"/>
      <c r="BA71" s="3855"/>
      <c r="BJ71" s="5302" t="s">
        <v>1294</v>
      </c>
    </row>
    <row r="72" spans="1:62" x14ac:dyDescent="0.2">
      <c r="A72" s="3853"/>
      <c r="B72" s="3853"/>
      <c r="C72" s="3853"/>
      <c r="D72" s="3853"/>
      <c r="E72" s="3853"/>
      <c r="F72" s="3853"/>
      <c r="G72" s="3853"/>
      <c r="H72" s="3853"/>
      <c r="I72" s="3853"/>
      <c r="J72" s="3853"/>
      <c r="K72" s="3853"/>
      <c r="L72" s="3853"/>
      <c r="M72" s="3853"/>
      <c r="N72" s="3853"/>
      <c r="O72" s="3853"/>
      <c r="P72" s="3853"/>
      <c r="Q72" s="3853"/>
      <c r="R72" s="3853"/>
      <c r="S72" s="3853"/>
      <c r="T72" s="3853"/>
      <c r="U72" s="3853"/>
      <c r="V72" s="3853"/>
      <c r="W72" s="1783"/>
      <c r="X72" s="1783"/>
      <c r="Y72" s="1783"/>
      <c r="Z72" s="1783"/>
      <c r="AA72" s="1783"/>
      <c r="AB72" s="1783"/>
      <c r="AC72" s="1783"/>
      <c r="AD72" s="1783"/>
      <c r="AE72" s="1783"/>
      <c r="AF72" s="1783"/>
      <c r="AG72" s="1783"/>
      <c r="AH72" s="1783"/>
      <c r="AI72" s="1783"/>
      <c r="AJ72" s="1783"/>
      <c r="AK72" s="1783"/>
      <c r="AL72" s="1783"/>
      <c r="AM72" s="1783"/>
      <c r="AN72" s="1783"/>
      <c r="AO72" s="1783"/>
      <c r="AP72" s="1783"/>
      <c r="AQ72" s="1783"/>
      <c r="AR72" s="1783"/>
      <c r="AS72" s="1783"/>
      <c r="AT72" s="1783"/>
      <c r="AU72" s="1783"/>
      <c r="AV72" s="1783"/>
      <c r="AW72" s="1783"/>
      <c r="AX72" s="1783"/>
      <c r="AY72" s="1783"/>
      <c r="AZ72" s="1783"/>
      <c r="BA72" s="1783"/>
      <c r="BB72" s="1783"/>
    </row>
    <row r="73" spans="1:62" x14ac:dyDescent="0.2">
      <c r="A73" s="7134" t="s">
        <v>16</v>
      </c>
      <c r="B73" s="7136" t="s">
        <v>4</v>
      </c>
      <c r="C73" s="7139">
        <v>2003</v>
      </c>
      <c r="D73" s="7140"/>
      <c r="E73" s="7140"/>
      <c r="F73" s="7141"/>
      <c r="G73" s="7139">
        <v>2004</v>
      </c>
      <c r="H73" s="7140"/>
      <c r="I73" s="7140"/>
      <c r="J73" s="7141"/>
      <c r="K73" s="7139">
        <v>2005</v>
      </c>
      <c r="L73" s="7140"/>
      <c r="M73" s="7140"/>
      <c r="N73" s="7141"/>
      <c r="O73" s="7139">
        <v>2006</v>
      </c>
      <c r="P73" s="7140"/>
      <c r="Q73" s="7140"/>
      <c r="R73" s="7141"/>
      <c r="S73" s="7139">
        <v>2007</v>
      </c>
      <c r="T73" s="7140"/>
      <c r="U73" s="7140"/>
      <c r="V73" s="7141"/>
      <c r="W73" s="7139">
        <v>2008</v>
      </c>
      <c r="X73" s="7140"/>
      <c r="Y73" s="7140"/>
      <c r="Z73" s="7141"/>
      <c r="AA73" s="7139">
        <v>2009</v>
      </c>
      <c r="AB73" s="7140"/>
      <c r="AC73" s="7140"/>
      <c r="AD73" s="7141"/>
      <c r="AE73" s="7139">
        <v>2010</v>
      </c>
      <c r="AF73" s="7140"/>
      <c r="AG73" s="7140"/>
      <c r="AH73" s="7141"/>
      <c r="AI73" s="7139">
        <v>2011</v>
      </c>
      <c r="AJ73" s="7140"/>
      <c r="AK73" s="7140"/>
      <c r="AL73" s="7141"/>
      <c r="AM73" s="7139">
        <v>2012</v>
      </c>
      <c r="AN73" s="7140"/>
      <c r="AO73" s="7140"/>
      <c r="AP73" s="7141"/>
      <c r="AQ73" s="7139">
        <v>2013</v>
      </c>
      <c r="AR73" s="7140"/>
      <c r="AS73" s="7140"/>
      <c r="AT73" s="7141"/>
      <c r="AU73" s="7139">
        <v>2014</v>
      </c>
      <c r="AV73" s="7140"/>
      <c r="AW73" s="7140"/>
      <c r="AX73" s="7141"/>
      <c r="AY73" s="7139">
        <v>2015</v>
      </c>
      <c r="AZ73" s="7140"/>
      <c r="BA73" s="7140"/>
      <c r="BB73" s="7141"/>
      <c r="BC73" s="7139">
        <v>2016</v>
      </c>
      <c r="BD73" s="7140"/>
      <c r="BE73" s="7140"/>
      <c r="BF73" s="7141"/>
      <c r="BG73" s="7139">
        <v>2017</v>
      </c>
      <c r="BH73" s="7140"/>
      <c r="BI73" s="7140"/>
      <c r="BJ73" s="7141"/>
    </row>
    <row r="74" spans="1:62" x14ac:dyDescent="0.2">
      <c r="A74" s="7135"/>
      <c r="B74" s="7137"/>
      <c r="C74" s="3798" t="s">
        <v>1286</v>
      </c>
      <c r="D74" s="3799" t="s">
        <v>1287</v>
      </c>
      <c r="E74" s="3800" t="s">
        <v>1288</v>
      </c>
      <c r="F74" s="3801" t="s">
        <v>12</v>
      </c>
      <c r="G74" s="3798" t="s">
        <v>1286</v>
      </c>
      <c r="H74" s="3799" t="s">
        <v>1287</v>
      </c>
      <c r="I74" s="3800" t="s">
        <v>1288</v>
      </c>
      <c r="J74" s="3801" t="s">
        <v>12</v>
      </c>
      <c r="K74" s="3798" t="s">
        <v>1286</v>
      </c>
      <c r="L74" s="3799" t="s">
        <v>1287</v>
      </c>
      <c r="M74" s="3800" t="s">
        <v>1288</v>
      </c>
      <c r="N74" s="3801" t="s">
        <v>12</v>
      </c>
      <c r="O74" s="3798" t="s">
        <v>1286</v>
      </c>
      <c r="P74" s="3799" t="s">
        <v>1287</v>
      </c>
      <c r="Q74" s="3800" t="s">
        <v>1288</v>
      </c>
      <c r="R74" s="3801" t="s">
        <v>12</v>
      </c>
      <c r="S74" s="3798" t="s">
        <v>1286</v>
      </c>
      <c r="T74" s="3799" t="s">
        <v>1287</v>
      </c>
      <c r="U74" s="3800" t="s">
        <v>1288</v>
      </c>
      <c r="V74" s="3801" t="s">
        <v>12</v>
      </c>
      <c r="W74" s="3798" t="s">
        <v>1286</v>
      </c>
      <c r="X74" s="3799" t="s">
        <v>1287</v>
      </c>
      <c r="Y74" s="3800" t="s">
        <v>1288</v>
      </c>
      <c r="Z74" s="3801" t="s">
        <v>12</v>
      </c>
      <c r="AA74" s="3798" t="s">
        <v>1286</v>
      </c>
      <c r="AB74" s="3799" t="s">
        <v>1287</v>
      </c>
      <c r="AC74" s="3800" t="s">
        <v>1288</v>
      </c>
      <c r="AD74" s="3801" t="s">
        <v>12</v>
      </c>
      <c r="AE74" s="3798" t="s">
        <v>1286</v>
      </c>
      <c r="AF74" s="3799" t="s">
        <v>1287</v>
      </c>
      <c r="AG74" s="3800" t="s">
        <v>1288</v>
      </c>
      <c r="AH74" s="3801" t="s">
        <v>12</v>
      </c>
      <c r="AI74" s="3798" t="s">
        <v>1286</v>
      </c>
      <c r="AJ74" s="3799" t="s">
        <v>1287</v>
      </c>
      <c r="AK74" s="3800" t="s">
        <v>1288</v>
      </c>
      <c r="AL74" s="3801" t="s">
        <v>12</v>
      </c>
      <c r="AM74" s="3798" t="s">
        <v>1286</v>
      </c>
      <c r="AN74" s="3799" t="s">
        <v>1287</v>
      </c>
      <c r="AO74" s="3800" t="s">
        <v>1288</v>
      </c>
      <c r="AP74" s="3801" t="s">
        <v>12</v>
      </c>
      <c r="AQ74" s="3798" t="s">
        <v>1286</v>
      </c>
      <c r="AR74" s="3799" t="s">
        <v>1287</v>
      </c>
      <c r="AS74" s="3800" t="s">
        <v>1288</v>
      </c>
      <c r="AT74" s="3801" t="s">
        <v>12</v>
      </c>
      <c r="AU74" s="3798" t="s">
        <v>1286</v>
      </c>
      <c r="AV74" s="3799" t="s">
        <v>1287</v>
      </c>
      <c r="AW74" s="3800" t="s">
        <v>1288</v>
      </c>
      <c r="AX74" s="3801" t="s">
        <v>12</v>
      </c>
      <c r="AY74" s="3798" t="s">
        <v>1286</v>
      </c>
      <c r="AZ74" s="3799" t="s">
        <v>1287</v>
      </c>
      <c r="BA74" s="3800" t="s">
        <v>1288</v>
      </c>
      <c r="BB74" s="3801" t="s">
        <v>12</v>
      </c>
      <c r="BC74" s="3798" t="s">
        <v>1286</v>
      </c>
      <c r="BD74" s="3799" t="s">
        <v>1287</v>
      </c>
      <c r="BE74" s="3800" t="s">
        <v>1288</v>
      </c>
      <c r="BF74" s="3801" t="s">
        <v>12</v>
      </c>
      <c r="BG74" s="3798" t="s">
        <v>1286</v>
      </c>
      <c r="BH74" s="3799" t="s">
        <v>1287</v>
      </c>
      <c r="BI74" s="3800" t="s">
        <v>1288</v>
      </c>
      <c r="BJ74" s="3801" t="s">
        <v>12</v>
      </c>
    </row>
    <row r="75" spans="1:62" x14ac:dyDescent="0.2">
      <c r="A75" s="1783"/>
      <c r="B75" s="3868"/>
      <c r="C75" s="1783"/>
      <c r="D75" s="1783"/>
      <c r="E75" s="1783"/>
      <c r="F75" s="1783"/>
      <c r="G75" s="1783"/>
      <c r="H75" s="1783"/>
      <c r="I75" s="1783"/>
      <c r="J75" s="1783"/>
      <c r="K75" s="1783"/>
      <c r="L75" s="1783"/>
      <c r="M75" s="1783"/>
      <c r="N75" s="1783"/>
      <c r="O75" s="1783"/>
      <c r="P75" s="1783"/>
      <c r="Q75" s="1783"/>
      <c r="R75" s="1783"/>
      <c r="S75" s="1783"/>
      <c r="T75" s="1783"/>
      <c r="U75" s="1783"/>
      <c r="V75" s="1783"/>
      <c r="W75" s="1783"/>
      <c r="X75" s="1783"/>
      <c r="Y75" s="1783"/>
      <c r="Z75" s="1783"/>
      <c r="AA75" s="1783"/>
      <c r="AB75" s="1783"/>
      <c r="AC75" s="1783"/>
      <c r="AD75" s="1783"/>
      <c r="AE75" s="1783"/>
      <c r="AF75" s="1783"/>
      <c r="AG75" s="1783"/>
      <c r="AH75" s="1783"/>
      <c r="AI75" s="1783"/>
      <c r="AJ75" s="1783"/>
      <c r="AK75" s="1783"/>
      <c r="AL75" s="1783"/>
      <c r="AM75" s="1783"/>
      <c r="AN75" s="1783"/>
      <c r="AO75" s="1783"/>
      <c r="AP75" s="1783"/>
      <c r="AQ75" s="1783"/>
      <c r="AR75" s="1783"/>
      <c r="AS75" s="1783"/>
      <c r="AT75" s="1783"/>
      <c r="AU75" s="1783"/>
      <c r="AV75" s="1783"/>
      <c r="AW75" s="1783"/>
      <c r="AX75" s="1783"/>
      <c r="AY75" s="1783"/>
      <c r="AZ75" s="1783"/>
      <c r="BA75" s="1783"/>
      <c r="BB75" s="1783"/>
      <c r="BC75" s="1783"/>
      <c r="BD75" s="1783"/>
      <c r="BE75" s="1783"/>
      <c r="BF75" s="1783"/>
      <c r="BG75" s="1783"/>
      <c r="BH75" s="1783"/>
      <c r="BI75" s="1783"/>
      <c r="BJ75" s="1783"/>
    </row>
    <row r="76" spans="1:62" x14ac:dyDescent="0.2">
      <c r="A76" s="7128" t="s">
        <v>161</v>
      </c>
      <c r="B76" s="3705" t="s">
        <v>5</v>
      </c>
      <c r="C76" s="3802">
        <v>3</v>
      </c>
      <c r="D76" s="3803">
        <v>17</v>
      </c>
      <c r="E76" s="3803">
        <v>15</v>
      </c>
      <c r="F76" s="3804">
        <v>35</v>
      </c>
      <c r="G76" s="3802">
        <v>2</v>
      </c>
      <c r="H76" s="3803">
        <v>9</v>
      </c>
      <c r="I76" s="3803">
        <v>23</v>
      </c>
      <c r="J76" s="3804">
        <v>34</v>
      </c>
      <c r="K76" s="3802">
        <v>1</v>
      </c>
      <c r="L76" s="3803">
        <v>8</v>
      </c>
      <c r="M76" s="3803">
        <v>22</v>
      </c>
      <c r="N76" s="3805">
        <v>31</v>
      </c>
      <c r="O76" s="3802">
        <v>2</v>
      </c>
      <c r="P76" s="3803">
        <v>10</v>
      </c>
      <c r="Q76" s="3803">
        <v>22</v>
      </c>
      <c r="R76" s="3804">
        <v>34</v>
      </c>
      <c r="S76" s="3803">
        <v>2</v>
      </c>
      <c r="T76" s="3803">
        <v>9</v>
      </c>
      <c r="U76" s="3803">
        <v>22</v>
      </c>
      <c r="V76" s="3804">
        <v>33</v>
      </c>
      <c r="W76" s="3803">
        <v>2</v>
      </c>
      <c r="X76" s="3803">
        <v>8</v>
      </c>
      <c r="Y76" s="3803">
        <v>20</v>
      </c>
      <c r="Z76" s="3804">
        <v>30</v>
      </c>
      <c r="AA76" s="3803">
        <v>1</v>
      </c>
      <c r="AB76" s="3803">
        <v>8</v>
      </c>
      <c r="AC76" s="3803">
        <v>19</v>
      </c>
      <c r="AD76" s="3804">
        <f>SUM(AA76:AC76)</f>
        <v>28</v>
      </c>
      <c r="AE76" s="3803">
        <v>1</v>
      </c>
      <c r="AF76" s="3803">
        <v>8</v>
      </c>
      <c r="AG76" s="3803">
        <v>19</v>
      </c>
      <c r="AH76" s="3804">
        <f>SUM(AE76:AG76)</f>
        <v>28</v>
      </c>
      <c r="AI76" s="3803">
        <v>1</v>
      </c>
      <c r="AJ76" s="3803">
        <v>5</v>
      </c>
      <c r="AK76" s="3803">
        <v>18</v>
      </c>
      <c r="AL76" s="3804">
        <f>SUM(AI76:AK76)</f>
        <v>24</v>
      </c>
      <c r="AM76" s="3803">
        <v>1</v>
      </c>
      <c r="AN76" s="3803">
        <v>3</v>
      </c>
      <c r="AO76" s="3803">
        <v>18</v>
      </c>
      <c r="AP76" s="3804">
        <f>SUM(AM76:AO76)</f>
        <v>22</v>
      </c>
      <c r="AQ76" s="3803">
        <v>1</v>
      </c>
      <c r="AR76" s="3803">
        <v>3</v>
      </c>
      <c r="AS76" s="3803">
        <v>17</v>
      </c>
      <c r="AT76" s="3804">
        <f>SUM(AQ76:AS76)</f>
        <v>21</v>
      </c>
      <c r="AU76" s="3803">
        <v>1</v>
      </c>
      <c r="AV76" s="3803">
        <v>4</v>
      </c>
      <c r="AW76" s="3803">
        <v>16</v>
      </c>
      <c r="AX76" s="3804">
        <f>SUM(AU76:AW76)</f>
        <v>21</v>
      </c>
      <c r="AY76" s="3803">
        <v>1</v>
      </c>
      <c r="AZ76" s="3803">
        <v>3</v>
      </c>
      <c r="BA76" s="3803">
        <v>14</v>
      </c>
      <c r="BB76" s="3804">
        <f>SUM(AY76:BA76)</f>
        <v>18</v>
      </c>
      <c r="BC76" s="3803">
        <v>1</v>
      </c>
      <c r="BD76" s="3803">
        <v>3</v>
      </c>
      <c r="BE76" s="3803">
        <v>12</v>
      </c>
      <c r="BF76" s="3804">
        <f>SUM(BC76:BE76)</f>
        <v>16</v>
      </c>
      <c r="BG76" s="3803">
        <v>1</v>
      </c>
      <c r="BH76" s="3803">
        <v>1</v>
      </c>
      <c r="BI76" s="3803">
        <v>11</v>
      </c>
      <c r="BJ76" s="3804">
        <f>SUM(BG76:BI76)</f>
        <v>13</v>
      </c>
    </row>
    <row r="77" spans="1:62" x14ac:dyDescent="0.2">
      <c r="A77" s="5779"/>
      <c r="B77" s="1784" t="s">
        <v>6</v>
      </c>
      <c r="C77" s="3806">
        <v>4</v>
      </c>
      <c r="D77" s="3807">
        <v>22</v>
      </c>
      <c r="E77" s="3807">
        <v>17</v>
      </c>
      <c r="F77" s="3808">
        <v>43</v>
      </c>
      <c r="G77" s="3806">
        <v>2</v>
      </c>
      <c r="H77" s="3807">
        <v>13</v>
      </c>
      <c r="I77" s="3807">
        <v>23</v>
      </c>
      <c r="J77" s="3808">
        <v>38</v>
      </c>
      <c r="K77" s="3806">
        <v>2</v>
      </c>
      <c r="L77" s="3807">
        <v>14</v>
      </c>
      <c r="M77" s="3807">
        <v>24</v>
      </c>
      <c r="N77" s="3809">
        <v>40</v>
      </c>
      <c r="O77" s="3806">
        <v>2</v>
      </c>
      <c r="P77" s="3807">
        <v>16</v>
      </c>
      <c r="Q77" s="3807">
        <v>28</v>
      </c>
      <c r="R77" s="3808">
        <v>46</v>
      </c>
      <c r="S77" s="3807">
        <v>2</v>
      </c>
      <c r="T77" s="3807">
        <v>16</v>
      </c>
      <c r="U77" s="3807">
        <v>28</v>
      </c>
      <c r="V77" s="3808">
        <v>46</v>
      </c>
      <c r="W77" s="3807">
        <v>2</v>
      </c>
      <c r="X77" s="3807">
        <v>16</v>
      </c>
      <c r="Y77" s="3807">
        <v>28</v>
      </c>
      <c r="Z77" s="3808">
        <v>46</v>
      </c>
      <c r="AA77" s="3807">
        <v>2</v>
      </c>
      <c r="AB77" s="3807">
        <v>16</v>
      </c>
      <c r="AC77" s="3807">
        <v>27</v>
      </c>
      <c r="AD77" s="3808">
        <f>SUM(AA77:AC77)</f>
        <v>45</v>
      </c>
      <c r="AE77" s="3807">
        <v>2</v>
      </c>
      <c r="AF77" s="3807">
        <v>16</v>
      </c>
      <c r="AG77" s="3807">
        <v>26</v>
      </c>
      <c r="AH77" s="3808">
        <f>SUM(AE77:AG77)</f>
        <v>44</v>
      </c>
      <c r="AI77" s="3807">
        <v>2</v>
      </c>
      <c r="AJ77" s="3807">
        <v>13</v>
      </c>
      <c r="AK77" s="3807">
        <v>27</v>
      </c>
      <c r="AL77" s="3808">
        <f>SUM(AI77:AK77)</f>
        <v>42</v>
      </c>
      <c r="AM77" s="3807">
        <v>2</v>
      </c>
      <c r="AN77" s="3807">
        <v>10</v>
      </c>
      <c r="AO77" s="3807">
        <v>27</v>
      </c>
      <c r="AP77" s="3808">
        <f>SUM(AM77:AO77)</f>
        <v>39</v>
      </c>
      <c r="AQ77" s="3807">
        <v>2</v>
      </c>
      <c r="AR77" s="3807">
        <v>10</v>
      </c>
      <c r="AS77" s="3807">
        <v>25</v>
      </c>
      <c r="AT77" s="3808">
        <f>SUM(AQ77:AS77)</f>
        <v>37</v>
      </c>
      <c r="AU77" s="3807">
        <v>2</v>
      </c>
      <c r="AV77" s="3807">
        <v>10</v>
      </c>
      <c r="AW77" s="3807">
        <v>25</v>
      </c>
      <c r="AX77" s="3808">
        <f>SUM(AU77:AW77)</f>
        <v>37</v>
      </c>
      <c r="AY77" s="3807">
        <v>2</v>
      </c>
      <c r="AZ77" s="3807">
        <v>7</v>
      </c>
      <c r="BA77" s="3807">
        <v>24</v>
      </c>
      <c r="BB77" s="3808">
        <f>SUM(AY77:BA77)</f>
        <v>33</v>
      </c>
      <c r="BC77" s="3807">
        <v>2</v>
      </c>
      <c r="BD77" s="3807">
        <v>8</v>
      </c>
      <c r="BE77" s="3807">
        <v>22</v>
      </c>
      <c r="BF77" s="3808">
        <f>SUM(BC77:BE77)</f>
        <v>32</v>
      </c>
      <c r="BG77" s="3807">
        <v>2</v>
      </c>
      <c r="BH77" s="3807">
        <v>8</v>
      </c>
      <c r="BI77" s="3807">
        <v>19</v>
      </c>
      <c r="BJ77" s="3808">
        <f>SUM(BG77:BI77)</f>
        <v>29</v>
      </c>
    </row>
    <row r="78" spans="1:62" x14ac:dyDescent="0.2">
      <c r="A78" s="5779"/>
      <c r="B78" s="1784" t="s">
        <v>7</v>
      </c>
      <c r="C78" s="3806">
        <v>2</v>
      </c>
      <c r="D78" s="3807">
        <v>12</v>
      </c>
      <c r="E78" s="3807">
        <v>20</v>
      </c>
      <c r="F78" s="3808">
        <v>34</v>
      </c>
      <c r="G78" s="3806"/>
      <c r="H78" s="3807">
        <v>9</v>
      </c>
      <c r="I78" s="3807">
        <v>25</v>
      </c>
      <c r="J78" s="3808">
        <v>34</v>
      </c>
      <c r="K78" s="3806"/>
      <c r="L78" s="3807">
        <v>10</v>
      </c>
      <c r="M78" s="3807">
        <v>25</v>
      </c>
      <c r="N78" s="3809">
        <v>35</v>
      </c>
      <c r="O78" s="3806"/>
      <c r="P78" s="3807">
        <v>7</v>
      </c>
      <c r="Q78" s="3807">
        <v>25</v>
      </c>
      <c r="R78" s="3808">
        <v>32</v>
      </c>
      <c r="S78" s="3807"/>
      <c r="T78" s="3807">
        <v>8</v>
      </c>
      <c r="U78" s="3807">
        <v>24</v>
      </c>
      <c r="V78" s="3808">
        <v>32</v>
      </c>
      <c r="W78" s="3821"/>
      <c r="X78" s="3807">
        <v>8</v>
      </c>
      <c r="Y78" s="3807">
        <v>23</v>
      </c>
      <c r="Z78" s="3808">
        <v>31</v>
      </c>
      <c r="AA78" s="3807"/>
      <c r="AB78" s="3807">
        <v>6</v>
      </c>
      <c r="AC78" s="3807">
        <v>24</v>
      </c>
      <c r="AD78" s="3808">
        <f>SUM(AA78:AC78)</f>
        <v>30</v>
      </c>
      <c r="AE78" s="3807"/>
      <c r="AF78" s="3807">
        <v>6</v>
      </c>
      <c r="AG78" s="3807">
        <v>23</v>
      </c>
      <c r="AH78" s="3808">
        <f>SUM(AE78:AG78)</f>
        <v>29</v>
      </c>
      <c r="AI78" s="3807">
        <v>0</v>
      </c>
      <c r="AJ78" s="3807">
        <v>7</v>
      </c>
      <c r="AK78" s="3807">
        <v>22</v>
      </c>
      <c r="AL78" s="3808">
        <f>SUM(AI78:AK78)</f>
        <v>29</v>
      </c>
      <c r="AM78" s="3807"/>
      <c r="AN78" s="3807">
        <v>6</v>
      </c>
      <c r="AO78" s="3807">
        <v>18</v>
      </c>
      <c r="AP78" s="3808">
        <f>SUM(AM78:AO78)</f>
        <v>24</v>
      </c>
      <c r="AQ78" s="3807"/>
      <c r="AR78" s="3807">
        <v>5</v>
      </c>
      <c r="AS78" s="3807">
        <v>16</v>
      </c>
      <c r="AT78" s="3808">
        <f>SUM(AQ78:AS78)</f>
        <v>21</v>
      </c>
      <c r="AU78" s="3807"/>
      <c r="AV78" s="3807">
        <v>7</v>
      </c>
      <c r="AW78" s="3807">
        <v>15</v>
      </c>
      <c r="AX78" s="3808">
        <f>SUM(AU78:AW78)</f>
        <v>22</v>
      </c>
      <c r="AY78" s="3807">
        <v>0</v>
      </c>
      <c r="AZ78" s="3807">
        <v>8</v>
      </c>
      <c r="BA78" s="3807">
        <v>15</v>
      </c>
      <c r="BB78" s="3808">
        <f>SUM(AY78:BA78)</f>
        <v>23</v>
      </c>
      <c r="BC78" s="3807">
        <v>0</v>
      </c>
      <c r="BD78" s="3807">
        <v>7</v>
      </c>
      <c r="BE78" s="3807">
        <v>13</v>
      </c>
      <c r="BF78" s="3808">
        <f>SUM(BC78:BE78)</f>
        <v>20</v>
      </c>
      <c r="BG78" s="3807"/>
      <c r="BH78" s="3807">
        <v>9</v>
      </c>
      <c r="BI78" s="3807">
        <v>12</v>
      </c>
      <c r="BJ78" s="3808">
        <f>SUM(BG78:BI78)</f>
        <v>21</v>
      </c>
    </row>
    <row r="79" spans="1:62" x14ac:dyDescent="0.2">
      <c r="A79" s="5780"/>
      <c r="B79" s="3813" t="s">
        <v>12</v>
      </c>
      <c r="C79" s="3814">
        <v>9</v>
      </c>
      <c r="D79" s="3815">
        <v>51</v>
      </c>
      <c r="E79" s="3815">
        <v>52</v>
      </c>
      <c r="F79" s="3816">
        <v>112</v>
      </c>
      <c r="G79" s="3814">
        <v>4</v>
      </c>
      <c r="H79" s="3815">
        <v>31</v>
      </c>
      <c r="I79" s="3815">
        <v>71</v>
      </c>
      <c r="J79" s="3816">
        <v>106</v>
      </c>
      <c r="K79" s="3814">
        <v>3</v>
      </c>
      <c r="L79" s="3815">
        <v>32</v>
      </c>
      <c r="M79" s="3815">
        <v>71</v>
      </c>
      <c r="N79" s="3815">
        <v>106</v>
      </c>
      <c r="O79" s="3814">
        <v>4</v>
      </c>
      <c r="P79" s="3815">
        <v>33</v>
      </c>
      <c r="Q79" s="3815">
        <v>75</v>
      </c>
      <c r="R79" s="3816">
        <v>112</v>
      </c>
      <c r="S79" s="3815">
        <v>4</v>
      </c>
      <c r="T79" s="3815">
        <v>33</v>
      </c>
      <c r="U79" s="3815">
        <v>74</v>
      </c>
      <c r="V79" s="3816">
        <v>111</v>
      </c>
      <c r="W79" s="3814">
        <v>4</v>
      </c>
      <c r="X79" s="3815">
        <v>32</v>
      </c>
      <c r="Y79" s="3815">
        <v>71</v>
      </c>
      <c r="Z79" s="3816">
        <v>107</v>
      </c>
      <c r="AA79" s="3814">
        <f t="shared" ref="AA79:AX79" si="65">SUM(AA76:AA78)</f>
        <v>3</v>
      </c>
      <c r="AB79" s="3815">
        <f t="shared" si="65"/>
        <v>30</v>
      </c>
      <c r="AC79" s="3815">
        <f t="shared" si="65"/>
        <v>70</v>
      </c>
      <c r="AD79" s="3816">
        <f t="shared" si="65"/>
        <v>103</v>
      </c>
      <c r="AE79" s="3814">
        <f t="shared" si="65"/>
        <v>3</v>
      </c>
      <c r="AF79" s="3815">
        <f t="shared" si="65"/>
        <v>30</v>
      </c>
      <c r="AG79" s="3815">
        <f t="shared" si="65"/>
        <v>68</v>
      </c>
      <c r="AH79" s="3816">
        <f t="shared" si="65"/>
        <v>101</v>
      </c>
      <c r="AI79" s="3814">
        <f t="shared" si="65"/>
        <v>3</v>
      </c>
      <c r="AJ79" s="3815">
        <f t="shared" si="65"/>
        <v>25</v>
      </c>
      <c r="AK79" s="3815">
        <f t="shared" si="65"/>
        <v>67</v>
      </c>
      <c r="AL79" s="3816">
        <f t="shared" si="65"/>
        <v>95</v>
      </c>
      <c r="AM79" s="3814">
        <f t="shared" si="65"/>
        <v>3</v>
      </c>
      <c r="AN79" s="3815">
        <f t="shared" si="65"/>
        <v>19</v>
      </c>
      <c r="AO79" s="3815">
        <f t="shared" si="65"/>
        <v>63</v>
      </c>
      <c r="AP79" s="3816">
        <f t="shared" si="65"/>
        <v>85</v>
      </c>
      <c r="AQ79" s="3814">
        <f t="shared" si="65"/>
        <v>3</v>
      </c>
      <c r="AR79" s="3815">
        <f t="shared" si="65"/>
        <v>18</v>
      </c>
      <c r="AS79" s="3815">
        <f t="shared" si="65"/>
        <v>58</v>
      </c>
      <c r="AT79" s="3816">
        <f t="shared" si="65"/>
        <v>79</v>
      </c>
      <c r="AU79" s="3814">
        <f t="shared" si="65"/>
        <v>3</v>
      </c>
      <c r="AV79" s="3815">
        <f t="shared" si="65"/>
        <v>21</v>
      </c>
      <c r="AW79" s="3815">
        <f t="shared" si="65"/>
        <v>56</v>
      </c>
      <c r="AX79" s="3816">
        <f t="shared" si="65"/>
        <v>80</v>
      </c>
      <c r="AY79" s="3814">
        <f t="shared" ref="AY79:BF79" si="66">SUM(AY76:AY78)</f>
        <v>3</v>
      </c>
      <c r="AZ79" s="3815">
        <f t="shared" si="66"/>
        <v>18</v>
      </c>
      <c r="BA79" s="3815">
        <f t="shared" si="66"/>
        <v>53</v>
      </c>
      <c r="BB79" s="3816">
        <f t="shared" si="66"/>
        <v>74</v>
      </c>
      <c r="BC79" s="3814">
        <f t="shared" si="66"/>
        <v>3</v>
      </c>
      <c r="BD79" s="3815">
        <f t="shared" si="66"/>
        <v>18</v>
      </c>
      <c r="BE79" s="3815">
        <f t="shared" si="66"/>
        <v>47</v>
      </c>
      <c r="BF79" s="3816">
        <f t="shared" si="66"/>
        <v>68</v>
      </c>
      <c r="BG79" s="3814">
        <f t="shared" ref="BG79:BJ79" si="67">SUM(BG76:BG78)</f>
        <v>3</v>
      </c>
      <c r="BH79" s="3815">
        <f t="shared" si="67"/>
        <v>18</v>
      </c>
      <c r="BI79" s="3815">
        <f t="shared" si="67"/>
        <v>42</v>
      </c>
      <c r="BJ79" s="3816">
        <f t="shared" si="67"/>
        <v>63</v>
      </c>
    </row>
    <row r="80" spans="1:62" ht="15.75" x14ac:dyDescent="0.25">
      <c r="A80" s="1781"/>
      <c r="B80" s="1783"/>
      <c r="C80" s="1783"/>
      <c r="D80" s="1783"/>
      <c r="E80" s="1783"/>
      <c r="F80" s="1783"/>
      <c r="G80" s="1783"/>
      <c r="H80" s="1783"/>
      <c r="I80" s="1783"/>
      <c r="J80" s="1783"/>
      <c r="K80" s="1783"/>
      <c r="L80" s="1783"/>
      <c r="M80" s="1783"/>
      <c r="N80" s="1783"/>
      <c r="O80" s="1783"/>
      <c r="P80" s="1783"/>
      <c r="Q80" s="1783"/>
      <c r="R80" s="1783"/>
      <c r="S80" s="1783"/>
      <c r="T80" s="1783"/>
      <c r="U80" s="1783"/>
      <c r="V80" s="1783"/>
      <c r="W80" s="1783"/>
      <c r="X80" s="1783"/>
      <c r="Y80" s="1783"/>
      <c r="Z80" s="1783"/>
      <c r="AA80" s="1783"/>
      <c r="AB80" s="1783"/>
      <c r="AC80" s="1783"/>
      <c r="AD80" s="1783"/>
      <c r="AE80" s="1783"/>
      <c r="AF80" s="1783"/>
      <c r="AG80" s="1783"/>
      <c r="AH80" s="1783"/>
      <c r="AI80" s="1783"/>
      <c r="AJ80" s="1783"/>
      <c r="AK80" s="1783"/>
      <c r="AL80" s="1783"/>
      <c r="AM80" s="1783"/>
      <c r="AN80" s="1783"/>
      <c r="AO80" s="1783"/>
      <c r="AP80" s="1783"/>
      <c r="AQ80" s="1783"/>
      <c r="AR80" s="1783"/>
      <c r="AS80" s="1783"/>
      <c r="AT80" s="1783"/>
      <c r="AU80" s="1783"/>
      <c r="AV80" s="1783"/>
      <c r="AW80" s="1783"/>
      <c r="AX80" s="1783"/>
      <c r="AY80" s="1783"/>
      <c r="AZ80" s="1783"/>
      <c r="BA80" s="1783"/>
      <c r="BB80" s="1783"/>
      <c r="BC80" s="1783"/>
      <c r="BD80" s="1783"/>
      <c r="BE80" s="1783"/>
      <c r="BF80" s="1783"/>
      <c r="BG80" s="1783"/>
      <c r="BH80" s="1783"/>
      <c r="BI80" s="1783"/>
      <c r="BJ80" s="1783"/>
    </row>
    <row r="81" spans="1:62" x14ac:dyDescent="0.2">
      <c r="A81" s="7138" t="s">
        <v>407</v>
      </c>
      <c r="B81" s="3705" t="s">
        <v>6</v>
      </c>
      <c r="C81" s="3817"/>
      <c r="D81" s="3818"/>
      <c r="E81" s="3818"/>
      <c r="F81" s="3819"/>
      <c r="G81" s="3817"/>
      <c r="H81" s="3818"/>
      <c r="I81" s="3818"/>
      <c r="J81" s="3819"/>
      <c r="K81" s="3817"/>
      <c r="L81" s="3818"/>
      <c r="M81" s="3818"/>
      <c r="N81" s="3869"/>
      <c r="O81" s="3817"/>
      <c r="P81" s="3818"/>
      <c r="Q81" s="3818"/>
      <c r="R81" s="3819"/>
      <c r="S81" s="3803"/>
      <c r="T81" s="3803">
        <v>1</v>
      </c>
      <c r="U81" s="3803"/>
      <c r="V81" s="3804">
        <v>1</v>
      </c>
      <c r="W81" s="3803"/>
      <c r="X81" s="3803">
        <v>2</v>
      </c>
      <c r="Y81" s="3803"/>
      <c r="Z81" s="3804">
        <v>2</v>
      </c>
      <c r="AA81" s="3803"/>
      <c r="AB81" s="3803">
        <v>3</v>
      </c>
      <c r="AC81" s="3803"/>
      <c r="AD81" s="3804">
        <f>SUM(AA81:AC81)</f>
        <v>3</v>
      </c>
      <c r="AE81" s="3803"/>
      <c r="AF81" s="3803">
        <v>3</v>
      </c>
      <c r="AG81" s="3803"/>
      <c r="AH81" s="3804">
        <f>SUM(AE81:AG81)</f>
        <v>3</v>
      </c>
      <c r="AI81" s="3803"/>
      <c r="AJ81" s="3803">
        <v>3</v>
      </c>
      <c r="AK81" s="3803"/>
      <c r="AL81" s="3804">
        <f>SUM(AI81:AK81)</f>
        <v>3</v>
      </c>
      <c r="AM81" s="3803"/>
      <c r="AN81" s="3803">
        <v>2</v>
      </c>
      <c r="AO81" s="3803"/>
      <c r="AP81" s="3804">
        <f>SUM(AM81:AO81)</f>
        <v>2</v>
      </c>
      <c r="AQ81" s="3803"/>
      <c r="AR81" s="3803">
        <v>2</v>
      </c>
      <c r="AS81" s="3803"/>
      <c r="AT81" s="3804">
        <f>SUM(AQ81:AS81)</f>
        <v>2</v>
      </c>
      <c r="AU81" s="3803"/>
      <c r="AV81" s="3803">
        <v>2</v>
      </c>
      <c r="AW81" s="3803"/>
      <c r="AX81" s="3804">
        <f>SUM(AU81:AW81)</f>
        <v>2</v>
      </c>
      <c r="AY81" s="3803">
        <v>0</v>
      </c>
      <c r="AZ81" s="3803">
        <v>1</v>
      </c>
      <c r="BA81" s="3803">
        <v>0</v>
      </c>
      <c r="BB81" s="3804">
        <f>SUM(AY81:BA81)</f>
        <v>1</v>
      </c>
      <c r="BC81" s="3803">
        <v>0</v>
      </c>
      <c r="BD81" s="3803">
        <v>3</v>
      </c>
      <c r="BE81" s="3803">
        <v>1</v>
      </c>
      <c r="BF81" s="3804">
        <f>SUM(BC81:BE81)</f>
        <v>4</v>
      </c>
      <c r="BG81" s="3803"/>
      <c r="BH81" s="3803">
        <v>1</v>
      </c>
      <c r="BI81" s="3803">
        <v>1</v>
      </c>
      <c r="BJ81" s="3804">
        <f>SUM(BG81:BI81)</f>
        <v>2</v>
      </c>
    </row>
    <row r="82" spans="1:62" x14ac:dyDescent="0.2">
      <c r="A82" s="5782"/>
      <c r="B82" s="1784" t="s">
        <v>9</v>
      </c>
      <c r="C82" s="3820"/>
      <c r="D82" s="3821"/>
      <c r="E82" s="3821"/>
      <c r="F82" s="3822"/>
      <c r="G82" s="3820"/>
      <c r="H82" s="3821"/>
      <c r="I82" s="3821"/>
      <c r="J82" s="3822"/>
      <c r="K82" s="3820"/>
      <c r="L82" s="3821"/>
      <c r="M82" s="3821"/>
      <c r="N82" s="3870"/>
      <c r="O82" s="3820"/>
      <c r="P82" s="3821"/>
      <c r="Q82" s="3821"/>
      <c r="R82" s="3822"/>
      <c r="S82" s="3807"/>
      <c r="T82" s="3807"/>
      <c r="U82" s="3807"/>
      <c r="V82" s="3808"/>
      <c r="W82" s="3807"/>
      <c r="X82" s="3807"/>
      <c r="Y82" s="3807"/>
      <c r="Z82" s="3808"/>
      <c r="AA82" s="3807"/>
      <c r="AB82" s="3807"/>
      <c r="AC82" s="3807"/>
      <c r="AD82" s="3808"/>
      <c r="AE82" s="3807"/>
      <c r="AF82" s="3807"/>
      <c r="AG82" s="3807"/>
      <c r="AH82" s="3808"/>
      <c r="AI82" s="3807"/>
      <c r="AJ82" s="3807"/>
      <c r="AK82" s="3807"/>
      <c r="AL82" s="3808"/>
      <c r="AM82" s="3807"/>
      <c r="AN82" s="3807"/>
      <c r="AO82" s="3807"/>
      <c r="AP82" s="3808"/>
      <c r="AQ82" s="3807"/>
      <c r="AR82" s="3807"/>
      <c r="AS82" s="3807"/>
      <c r="AT82" s="3808"/>
      <c r="AU82" s="3807"/>
      <c r="AV82" s="3807"/>
      <c r="AW82" s="3807"/>
      <c r="AX82" s="3808"/>
      <c r="AY82" s="3807"/>
      <c r="AZ82" s="3807"/>
      <c r="BA82" s="3807"/>
      <c r="BB82" s="3808"/>
      <c r="BC82" s="3807"/>
      <c r="BD82" s="3807"/>
      <c r="BE82" s="3807"/>
      <c r="BF82" s="3808"/>
      <c r="BG82" s="3807"/>
      <c r="BH82" s="3807"/>
      <c r="BI82" s="3807"/>
      <c r="BJ82" s="3808"/>
    </row>
    <row r="83" spans="1:62" x14ac:dyDescent="0.2">
      <c r="A83" s="5782"/>
      <c r="B83" s="1784" t="s">
        <v>74</v>
      </c>
      <c r="C83" s="3820"/>
      <c r="D83" s="3821"/>
      <c r="E83" s="3821"/>
      <c r="F83" s="3822"/>
      <c r="G83" s="3820"/>
      <c r="H83" s="3821"/>
      <c r="I83" s="3821"/>
      <c r="J83" s="3822"/>
      <c r="K83" s="3820"/>
      <c r="L83" s="3821"/>
      <c r="M83" s="3821"/>
      <c r="N83" s="3870"/>
      <c r="O83" s="3820"/>
      <c r="P83" s="3821"/>
      <c r="Q83" s="3821"/>
      <c r="R83" s="3822"/>
      <c r="S83" s="3807"/>
      <c r="T83" s="3807"/>
      <c r="U83" s="3807"/>
      <c r="V83" s="3808"/>
      <c r="W83" s="3807"/>
      <c r="X83" s="3807"/>
      <c r="Y83" s="3807"/>
      <c r="Z83" s="3808"/>
      <c r="AA83" s="3807"/>
      <c r="AB83" s="3807"/>
      <c r="AC83" s="3807"/>
      <c r="AD83" s="3808"/>
      <c r="AE83" s="3807"/>
      <c r="AF83" s="3807"/>
      <c r="AG83" s="3807"/>
      <c r="AH83" s="3808"/>
      <c r="AI83" s="3807"/>
      <c r="AJ83" s="3807"/>
      <c r="AK83" s="3807"/>
      <c r="AL83" s="3808"/>
      <c r="AM83" s="3807"/>
      <c r="AN83" s="3807"/>
      <c r="AO83" s="3807"/>
      <c r="AP83" s="3808"/>
      <c r="AQ83" s="3807"/>
      <c r="AR83" s="3807"/>
      <c r="AS83" s="3807">
        <v>1</v>
      </c>
      <c r="AT83" s="3808">
        <f>SUM(AQ83:AS83)</f>
        <v>1</v>
      </c>
      <c r="AU83" s="3807"/>
      <c r="AV83" s="3807"/>
      <c r="AW83" s="3807">
        <v>1</v>
      </c>
      <c r="AX83" s="3808">
        <f>SUM(AU83:AW83)</f>
        <v>1</v>
      </c>
      <c r="AY83" s="3807"/>
      <c r="AZ83" s="3807"/>
      <c r="BA83" s="3807">
        <v>1</v>
      </c>
      <c r="BB83" s="3808">
        <f>SUM(AY83:BA83)</f>
        <v>1</v>
      </c>
      <c r="BC83" s="3807"/>
      <c r="BD83" s="3807"/>
      <c r="BE83" s="3807">
        <v>1</v>
      </c>
      <c r="BF83" s="3808">
        <f>SUM(BC83:BE83)</f>
        <v>1</v>
      </c>
      <c r="BG83" s="3807"/>
      <c r="BH83" s="3807"/>
      <c r="BI83" s="3807">
        <v>1</v>
      </c>
      <c r="BJ83" s="3808">
        <f>SUM(BG83:BI83)</f>
        <v>1</v>
      </c>
    </row>
    <row r="84" spans="1:62" x14ac:dyDescent="0.2">
      <c r="A84" s="5783"/>
      <c r="B84" s="3823" t="s">
        <v>12</v>
      </c>
      <c r="C84" s="3824"/>
      <c r="D84" s="3825"/>
      <c r="E84" s="3825"/>
      <c r="F84" s="3826"/>
      <c r="G84" s="3824"/>
      <c r="H84" s="3825"/>
      <c r="I84" s="3825"/>
      <c r="J84" s="3826"/>
      <c r="K84" s="3824"/>
      <c r="L84" s="3825"/>
      <c r="M84" s="3825"/>
      <c r="N84" s="3825"/>
      <c r="O84" s="3824"/>
      <c r="P84" s="3825"/>
      <c r="Q84" s="3825"/>
      <c r="R84" s="3826"/>
      <c r="S84" s="3827"/>
      <c r="T84" s="3827">
        <v>1</v>
      </c>
      <c r="U84" s="3827"/>
      <c r="V84" s="3828">
        <v>1</v>
      </c>
      <c r="W84" s="3829"/>
      <c r="X84" s="3827">
        <v>2</v>
      </c>
      <c r="Y84" s="3827"/>
      <c r="Z84" s="3828">
        <v>2</v>
      </c>
      <c r="AA84" s="3829"/>
      <c r="AB84" s="3827">
        <f t="shared" ref="AB84:AH84" si="68">SUM(AB81:AB81)</f>
        <v>3</v>
      </c>
      <c r="AC84" s="3827"/>
      <c r="AD84" s="3828">
        <f t="shared" si="68"/>
        <v>3</v>
      </c>
      <c r="AE84" s="3829"/>
      <c r="AF84" s="3827">
        <f t="shared" si="68"/>
        <v>3</v>
      </c>
      <c r="AG84" s="3827"/>
      <c r="AH84" s="3828">
        <f t="shared" si="68"/>
        <v>3</v>
      </c>
      <c r="AI84" s="3829"/>
      <c r="AJ84" s="3827">
        <f>SUM(AJ81:AJ81)</f>
        <v>3</v>
      </c>
      <c r="AK84" s="3827"/>
      <c r="AL84" s="3828">
        <f>SUM(AL81:AL81)</f>
        <v>3</v>
      </c>
      <c r="AM84" s="3829"/>
      <c r="AN84" s="3827">
        <f>SUM(AN81:AN81)</f>
        <v>2</v>
      </c>
      <c r="AO84" s="3827"/>
      <c r="AP84" s="3828">
        <f>SUM(AP81:AP81)</f>
        <v>2</v>
      </c>
      <c r="AQ84" s="3829"/>
      <c r="AR84" s="3827">
        <f>SUM(AR81:AR81)</f>
        <v>2</v>
      </c>
      <c r="AS84" s="3827">
        <f>SUM(AS81:AS83)</f>
        <v>1</v>
      </c>
      <c r="AT84" s="3828">
        <f>SUM(AT81:AT83)</f>
        <v>3</v>
      </c>
      <c r="AU84" s="3829"/>
      <c r="AV84" s="3827">
        <f>SUM(AV81:AV81)</f>
        <v>2</v>
      </c>
      <c r="AW84" s="3827">
        <f>SUM(AW81:AW83)</f>
        <v>1</v>
      </c>
      <c r="AX84" s="3828">
        <f>SUM(AX81:AX83)</f>
        <v>3</v>
      </c>
      <c r="AY84" s="3829"/>
      <c r="AZ84" s="3827">
        <f>SUM(AZ81:AZ81)</f>
        <v>1</v>
      </c>
      <c r="BA84" s="3827">
        <f>SUM(BA81:BA83)</f>
        <v>1</v>
      </c>
      <c r="BB84" s="3828">
        <f>SUM(BB81:BB83)</f>
        <v>2</v>
      </c>
      <c r="BC84" s="3829"/>
      <c r="BD84" s="3827">
        <f>SUM(BD81:BD81)</f>
        <v>3</v>
      </c>
      <c r="BE84" s="3827">
        <f>SUM(BE81:BE83)</f>
        <v>2</v>
      </c>
      <c r="BF84" s="3828">
        <f>SUM(BF81:BF83)</f>
        <v>5</v>
      </c>
      <c r="BG84" s="3829"/>
      <c r="BH84" s="3827">
        <f>SUM(BH81:BH81)</f>
        <v>1</v>
      </c>
      <c r="BI84" s="3827">
        <f>SUM(BI81:BI83)</f>
        <v>2</v>
      </c>
      <c r="BJ84" s="3828">
        <f>SUM(BJ81:BJ83)</f>
        <v>3</v>
      </c>
    </row>
    <row r="85" spans="1:62" ht="15.75" x14ac:dyDescent="0.25">
      <c r="A85" s="1781"/>
      <c r="B85" s="1783"/>
      <c r="C85" s="1783"/>
      <c r="D85" s="1783"/>
      <c r="E85" s="1783"/>
      <c r="F85" s="1783"/>
      <c r="G85" s="1783"/>
      <c r="H85" s="1783"/>
      <c r="I85" s="1783"/>
      <c r="J85" s="1783"/>
      <c r="K85" s="1783"/>
      <c r="L85" s="1783"/>
      <c r="M85" s="1783"/>
      <c r="N85" s="1783"/>
      <c r="O85" s="1783"/>
      <c r="P85" s="1783"/>
      <c r="Q85" s="1783"/>
      <c r="R85" s="1783"/>
      <c r="S85" s="1783"/>
      <c r="T85" s="1783"/>
      <c r="U85" s="1783"/>
      <c r="V85" s="1783"/>
      <c r="W85" s="1783"/>
      <c r="X85" s="1783"/>
      <c r="Y85" s="1783"/>
      <c r="Z85" s="1783"/>
      <c r="AA85" s="1783"/>
      <c r="AB85" s="1783"/>
      <c r="AC85" s="1783"/>
      <c r="AD85" s="1783"/>
      <c r="AE85" s="1783"/>
      <c r="AF85" s="1783"/>
      <c r="AG85" s="1783"/>
      <c r="AH85" s="1783"/>
      <c r="AI85" s="1783"/>
      <c r="AJ85" s="1783"/>
      <c r="AK85" s="1783"/>
      <c r="AL85" s="1783"/>
      <c r="AM85" s="1783"/>
      <c r="AN85" s="1783"/>
      <c r="AO85" s="1783"/>
      <c r="AP85" s="1783"/>
      <c r="AQ85" s="1783"/>
      <c r="AR85" s="1783"/>
      <c r="AS85" s="1783"/>
      <c r="AT85" s="1783"/>
      <c r="AU85" s="1783"/>
      <c r="AV85" s="1783"/>
      <c r="AW85" s="1783"/>
      <c r="AX85" s="1783"/>
      <c r="AY85" s="1783"/>
      <c r="AZ85" s="1783"/>
      <c r="BA85" s="1783"/>
      <c r="BB85" s="1783"/>
      <c r="BC85" s="1783"/>
      <c r="BD85" s="1783"/>
      <c r="BE85" s="1783"/>
      <c r="BF85" s="1783"/>
      <c r="BG85" s="1783"/>
      <c r="BH85" s="1783"/>
      <c r="BI85" s="1783"/>
      <c r="BJ85" s="1783"/>
    </row>
    <row r="86" spans="1:62" x14ac:dyDescent="0.2">
      <c r="A86" s="7129" t="s">
        <v>162</v>
      </c>
      <c r="B86" s="3705" t="s">
        <v>5</v>
      </c>
      <c r="C86" s="3802">
        <v>1</v>
      </c>
      <c r="D86" s="3803">
        <v>1</v>
      </c>
      <c r="E86" s="3803"/>
      <c r="F86" s="3804">
        <v>2</v>
      </c>
      <c r="G86" s="3802">
        <v>1</v>
      </c>
      <c r="H86" s="3803">
        <v>1</v>
      </c>
      <c r="I86" s="3803"/>
      <c r="J86" s="3804">
        <v>2</v>
      </c>
      <c r="K86" s="3802">
        <v>1</v>
      </c>
      <c r="L86" s="3803">
        <v>1</v>
      </c>
      <c r="M86" s="3803"/>
      <c r="N86" s="3805">
        <v>2</v>
      </c>
      <c r="O86" s="3802">
        <v>1</v>
      </c>
      <c r="P86" s="3803">
        <v>1</v>
      </c>
      <c r="Q86" s="3803"/>
      <c r="R86" s="3804">
        <v>2</v>
      </c>
      <c r="S86" s="3803">
        <v>1</v>
      </c>
      <c r="T86" s="3803">
        <v>1</v>
      </c>
      <c r="U86" s="3803"/>
      <c r="V86" s="3804">
        <v>2</v>
      </c>
      <c r="W86" s="3803">
        <v>1</v>
      </c>
      <c r="X86" s="3803">
        <v>1</v>
      </c>
      <c r="Y86" s="3803"/>
      <c r="Z86" s="3804">
        <v>2</v>
      </c>
      <c r="AA86" s="3803">
        <v>1</v>
      </c>
      <c r="AB86" s="3803"/>
      <c r="AC86" s="3803"/>
      <c r="AD86" s="3804">
        <f>SUM(AA86:AC86)</f>
        <v>1</v>
      </c>
      <c r="AE86" s="3803">
        <v>1</v>
      </c>
      <c r="AF86" s="3803"/>
      <c r="AG86" s="3803"/>
      <c r="AH86" s="3804">
        <f>SUM(AE86:AG86)</f>
        <v>1</v>
      </c>
      <c r="AI86" s="3803">
        <v>1</v>
      </c>
      <c r="AJ86" s="3803"/>
      <c r="AK86" s="3803"/>
      <c r="AL86" s="3804">
        <f>SUM(AI86:AK86)</f>
        <v>1</v>
      </c>
      <c r="AM86" s="3803">
        <v>1</v>
      </c>
      <c r="AN86" s="3803"/>
      <c r="AO86" s="3803"/>
      <c r="AP86" s="3804">
        <f>SUM(AM86:AO86)</f>
        <v>1</v>
      </c>
      <c r="AQ86" s="3803">
        <v>1</v>
      </c>
      <c r="AR86" s="3803"/>
      <c r="AS86" s="3803"/>
      <c r="AT86" s="3804">
        <f>SUM(AQ86:AS86)</f>
        <v>1</v>
      </c>
      <c r="AU86" s="3803">
        <v>1</v>
      </c>
      <c r="AV86" s="3803"/>
      <c r="AW86" s="3803"/>
      <c r="AX86" s="3804">
        <f>SUM(AU86:AW86)</f>
        <v>1</v>
      </c>
      <c r="AY86" s="3803">
        <v>1</v>
      </c>
      <c r="AZ86" s="3803">
        <v>0</v>
      </c>
      <c r="BA86" s="3803">
        <v>0</v>
      </c>
      <c r="BB86" s="3804">
        <f>SUM(AY86:BA86)</f>
        <v>1</v>
      </c>
      <c r="BC86" s="3803">
        <v>1</v>
      </c>
      <c r="BD86" s="3803">
        <v>0</v>
      </c>
      <c r="BE86" s="3803">
        <v>0</v>
      </c>
      <c r="BF86" s="3804">
        <f>SUM(BC86:BE86)</f>
        <v>1</v>
      </c>
      <c r="BG86" s="3803">
        <v>1</v>
      </c>
      <c r="BH86" s="3803"/>
      <c r="BI86" s="3803"/>
      <c r="BJ86" s="3804">
        <f>SUM(BG86:BI86)</f>
        <v>1</v>
      </c>
    </row>
    <row r="87" spans="1:62" x14ac:dyDescent="0.2">
      <c r="A87" s="5773"/>
      <c r="B87" s="1784" t="s">
        <v>6</v>
      </c>
      <c r="C87" s="3806"/>
      <c r="D87" s="3807">
        <v>2</v>
      </c>
      <c r="E87" s="3807">
        <v>13</v>
      </c>
      <c r="F87" s="3808">
        <v>15</v>
      </c>
      <c r="G87" s="3806"/>
      <c r="H87" s="3807">
        <v>2</v>
      </c>
      <c r="I87" s="3807">
        <v>14</v>
      </c>
      <c r="J87" s="3808">
        <v>16</v>
      </c>
      <c r="K87" s="3806"/>
      <c r="L87" s="3807">
        <v>3</v>
      </c>
      <c r="M87" s="3807">
        <v>11</v>
      </c>
      <c r="N87" s="3809">
        <v>14</v>
      </c>
      <c r="O87" s="3806"/>
      <c r="P87" s="3807">
        <v>3</v>
      </c>
      <c r="Q87" s="3807">
        <v>12</v>
      </c>
      <c r="R87" s="3808">
        <v>15</v>
      </c>
      <c r="S87" s="3807"/>
      <c r="T87" s="3807">
        <v>2</v>
      </c>
      <c r="U87" s="3807">
        <v>12</v>
      </c>
      <c r="V87" s="3808">
        <v>14</v>
      </c>
      <c r="W87" s="3807"/>
      <c r="X87" s="3807">
        <v>2</v>
      </c>
      <c r="Y87" s="3807">
        <v>9</v>
      </c>
      <c r="Z87" s="3808">
        <v>11</v>
      </c>
      <c r="AA87" s="3807"/>
      <c r="AB87" s="3807">
        <v>1</v>
      </c>
      <c r="AC87" s="3807">
        <v>11</v>
      </c>
      <c r="AD87" s="3808">
        <f>SUM(AA87:AC87)</f>
        <v>12</v>
      </c>
      <c r="AE87" s="3807"/>
      <c r="AF87" s="3807">
        <v>2</v>
      </c>
      <c r="AG87" s="3807">
        <v>12</v>
      </c>
      <c r="AH87" s="3808">
        <f>SUM(AE87:AG87)</f>
        <v>14</v>
      </c>
      <c r="AI87" s="3807"/>
      <c r="AJ87" s="3807">
        <v>2</v>
      </c>
      <c r="AK87" s="3807">
        <v>12</v>
      </c>
      <c r="AL87" s="3808">
        <f>SUM(AI87:AK87)</f>
        <v>14</v>
      </c>
      <c r="AM87" s="3807"/>
      <c r="AN87" s="3807">
        <v>2</v>
      </c>
      <c r="AO87" s="3807">
        <v>12</v>
      </c>
      <c r="AP87" s="3808">
        <f>SUM(AM87:AO87)</f>
        <v>14</v>
      </c>
      <c r="AQ87" s="3807"/>
      <c r="AR87" s="3807">
        <v>3</v>
      </c>
      <c r="AS87" s="3807">
        <v>12</v>
      </c>
      <c r="AT87" s="3808">
        <f>SUM(AQ87:AS87)</f>
        <v>15</v>
      </c>
      <c r="AU87" s="3807"/>
      <c r="AV87" s="3807">
        <v>3</v>
      </c>
      <c r="AW87" s="3807">
        <v>8</v>
      </c>
      <c r="AX87" s="3808">
        <f>SUM(AU87:AW87)</f>
        <v>11</v>
      </c>
      <c r="AY87" s="3807">
        <v>0</v>
      </c>
      <c r="AZ87" s="3807">
        <v>3</v>
      </c>
      <c r="BA87" s="3807">
        <v>7</v>
      </c>
      <c r="BB87" s="3808">
        <f>SUM(AY87:BA87)</f>
        <v>10</v>
      </c>
      <c r="BC87" s="3807">
        <v>0</v>
      </c>
      <c r="BD87" s="3807">
        <v>3</v>
      </c>
      <c r="BE87" s="3807">
        <v>7</v>
      </c>
      <c r="BF87" s="3808">
        <f>SUM(BC87:BE87)</f>
        <v>10</v>
      </c>
      <c r="BG87" s="3807"/>
      <c r="BH87" s="3807">
        <v>2</v>
      </c>
      <c r="BI87" s="3807">
        <v>7</v>
      </c>
      <c r="BJ87" s="3808">
        <f>SUM(BG87:BI87)</f>
        <v>9</v>
      </c>
    </row>
    <row r="88" spans="1:62" x14ac:dyDescent="0.2">
      <c r="A88" s="5773"/>
      <c r="B88" s="1784" t="s">
        <v>11</v>
      </c>
      <c r="C88" s="3806">
        <v>1</v>
      </c>
      <c r="D88" s="3807">
        <v>1</v>
      </c>
      <c r="E88" s="3807">
        <v>4</v>
      </c>
      <c r="F88" s="3808">
        <v>6</v>
      </c>
      <c r="G88" s="3806">
        <v>1</v>
      </c>
      <c r="H88" s="3807">
        <v>1</v>
      </c>
      <c r="I88" s="3807">
        <v>4</v>
      </c>
      <c r="J88" s="3808">
        <v>6</v>
      </c>
      <c r="K88" s="3806">
        <v>1</v>
      </c>
      <c r="L88" s="3807">
        <v>1</v>
      </c>
      <c r="M88" s="3807">
        <v>3</v>
      </c>
      <c r="N88" s="3809">
        <v>5</v>
      </c>
      <c r="O88" s="3806">
        <v>1</v>
      </c>
      <c r="P88" s="3807">
        <v>1</v>
      </c>
      <c r="Q88" s="3807">
        <v>4</v>
      </c>
      <c r="R88" s="3808">
        <v>6</v>
      </c>
      <c r="S88" s="3807">
        <v>1</v>
      </c>
      <c r="T88" s="3807">
        <v>2</v>
      </c>
      <c r="U88" s="3807">
        <v>4</v>
      </c>
      <c r="V88" s="3808">
        <v>7</v>
      </c>
      <c r="W88" s="3807">
        <v>1</v>
      </c>
      <c r="X88" s="3807">
        <v>2</v>
      </c>
      <c r="Y88" s="3807">
        <v>4</v>
      </c>
      <c r="Z88" s="3808">
        <v>7</v>
      </c>
      <c r="AA88" s="3807">
        <v>1</v>
      </c>
      <c r="AB88" s="3807">
        <v>2</v>
      </c>
      <c r="AC88" s="3807">
        <v>6</v>
      </c>
      <c r="AD88" s="3808">
        <f>SUM(AA88:AC88)</f>
        <v>9</v>
      </c>
      <c r="AE88" s="3807"/>
      <c r="AF88" s="3807">
        <v>2</v>
      </c>
      <c r="AG88" s="3807">
        <v>6</v>
      </c>
      <c r="AH88" s="3808">
        <f>SUM(AE88:AG88)</f>
        <v>8</v>
      </c>
      <c r="AI88" s="3807"/>
      <c r="AJ88" s="3807">
        <v>2</v>
      </c>
      <c r="AK88" s="3807">
        <v>6</v>
      </c>
      <c r="AL88" s="3808">
        <f>SUM(AI88:AK88)</f>
        <v>8</v>
      </c>
      <c r="AM88" s="3807"/>
      <c r="AN88" s="3807">
        <v>2</v>
      </c>
      <c r="AO88" s="3807">
        <v>6</v>
      </c>
      <c r="AP88" s="3808">
        <f>SUM(AM88:AO88)</f>
        <v>8</v>
      </c>
      <c r="AQ88" s="3807"/>
      <c r="AR88" s="3807">
        <v>2</v>
      </c>
      <c r="AS88" s="3807">
        <v>5</v>
      </c>
      <c r="AT88" s="3808">
        <f>SUM(AQ88:AS88)</f>
        <v>7</v>
      </c>
      <c r="AU88" s="3807"/>
      <c r="AV88" s="3807">
        <v>1</v>
      </c>
      <c r="AW88" s="3807">
        <v>6</v>
      </c>
      <c r="AX88" s="3808">
        <f>SUM(AU88:AW88)</f>
        <v>7</v>
      </c>
      <c r="AY88" s="3807"/>
      <c r="AZ88" s="3807">
        <v>1</v>
      </c>
      <c r="BA88" s="3807">
        <v>6</v>
      </c>
      <c r="BB88" s="3808">
        <f>SUM(AY88:BA88)</f>
        <v>7</v>
      </c>
      <c r="BC88" s="3807">
        <v>0</v>
      </c>
      <c r="BD88" s="3807">
        <v>1</v>
      </c>
      <c r="BE88" s="3807">
        <v>4</v>
      </c>
      <c r="BF88" s="3808">
        <f>SUM(BC88:BE88)</f>
        <v>5</v>
      </c>
      <c r="BG88" s="3807"/>
      <c r="BH88" s="3807">
        <v>2</v>
      </c>
      <c r="BI88" s="3807">
        <v>4</v>
      </c>
      <c r="BJ88" s="3808">
        <f>SUM(BG88:BI88)</f>
        <v>6</v>
      </c>
    </row>
    <row r="89" spans="1:62" x14ac:dyDescent="0.2">
      <c r="A89" s="5774"/>
      <c r="B89" s="3830" t="s">
        <v>12</v>
      </c>
      <c r="C89" s="3831">
        <v>2</v>
      </c>
      <c r="D89" s="3832">
        <v>4</v>
      </c>
      <c r="E89" s="3832">
        <v>17</v>
      </c>
      <c r="F89" s="3833">
        <v>23</v>
      </c>
      <c r="G89" s="3831">
        <v>2</v>
      </c>
      <c r="H89" s="3832">
        <v>4</v>
      </c>
      <c r="I89" s="3832">
        <v>18</v>
      </c>
      <c r="J89" s="3833">
        <v>24</v>
      </c>
      <c r="K89" s="3831">
        <v>2</v>
      </c>
      <c r="L89" s="3832">
        <v>5</v>
      </c>
      <c r="M89" s="3832">
        <v>14</v>
      </c>
      <c r="N89" s="3832">
        <v>21</v>
      </c>
      <c r="O89" s="3831">
        <v>2</v>
      </c>
      <c r="P89" s="3832">
        <v>5</v>
      </c>
      <c r="Q89" s="3832">
        <v>16</v>
      </c>
      <c r="R89" s="3833">
        <v>23</v>
      </c>
      <c r="S89" s="3832">
        <v>2</v>
      </c>
      <c r="T89" s="3832">
        <v>5</v>
      </c>
      <c r="U89" s="3832">
        <v>16</v>
      </c>
      <c r="V89" s="3833">
        <v>23</v>
      </c>
      <c r="W89" s="3831">
        <v>2</v>
      </c>
      <c r="X89" s="3832">
        <v>5</v>
      </c>
      <c r="Y89" s="3832">
        <v>13</v>
      </c>
      <c r="Z89" s="3833">
        <v>20</v>
      </c>
      <c r="AA89" s="3831">
        <f t="shared" ref="AA89:AX89" si="69">SUM(AA86:AA88)</f>
        <v>2</v>
      </c>
      <c r="AB89" s="3832">
        <f t="shared" si="69"/>
        <v>3</v>
      </c>
      <c r="AC89" s="3832">
        <f t="shared" si="69"/>
        <v>17</v>
      </c>
      <c r="AD89" s="3833">
        <f t="shared" si="69"/>
        <v>22</v>
      </c>
      <c r="AE89" s="3831">
        <f t="shared" si="69"/>
        <v>1</v>
      </c>
      <c r="AF89" s="3832">
        <f t="shared" si="69"/>
        <v>4</v>
      </c>
      <c r="AG89" s="3832">
        <f t="shared" si="69"/>
        <v>18</v>
      </c>
      <c r="AH89" s="3833">
        <f t="shared" si="69"/>
        <v>23</v>
      </c>
      <c r="AI89" s="3831">
        <f t="shared" si="69"/>
        <v>1</v>
      </c>
      <c r="AJ89" s="3832">
        <f t="shared" si="69"/>
        <v>4</v>
      </c>
      <c r="AK89" s="3832">
        <f t="shared" si="69"/>
        <v>18</v>
      </c>
      <c r="AL89" s="3833">
        <f t="shared" si="69"/>
        <v>23</v>
      </c>
      <c r="AM89" s="3831">
        <f t="shared" si="69"/>
        <v>1</v>
      </c>
      <c r="AN89" s="3832">
        <f t="shared" si="69"/>
        <v>4</v>
      </c>
      <c r="AO89" s="3832">
        <f t="shared" si="69"/>
        <v>18</v>
      </c>
      <c r="AP89" s="3833">
        <f t="shared" si="69"/>
        <v>23</v>
      </c>
      <c r="AQ89" s="3831">
        <f t="shared" si="69"/>
        <v>1</v>
      </c>
      <c r="AR89" s="3832">
        <f t="shared" si="69"/>
        <v>5</v>
      </c>
      <c r="AS89" s="3832">
        <f t="shared" si="69"/>
        <v>17</v>
      </c>
      <c r="AT89" s="3833">
        <f t="shared" si="69"/>
        <v>23</v>
      </c>
      <c r="AU89" s="3831">
        <f t="shared" si="69"/>
        <v>1</v>
      </c>
      <c r="AV89" s="3832">
        <f t="shared" si="69"/>
        <v>4</v>
      </c>
      <c r="AW89" s="3832">
        <f t="shared" si="69"/>
        <v>14</v>
      </c>
      <c r="AX89" s="3833">
        <f t="shared" si="69"/>
        <v>19</v>
      </c>
      <c r="AY89" s="3831">
        <f t="shared" ref="AY89:BF89" si="70">SUM(AY86:AY88)</f>
        <v>1</v>
      </c>
      <c r="AZ89" s="3832">
        <f t="shared" si="70"/>
        <v>4</v>
      </c>
      <c r="BA89" s="3832">
        <f t="shared" si="70"/>
        <v>13</v>
      </c>
      <c r="BB89" s="3833">
        <f t="shared" si="70"/>
        <v>18</v>
      </c>
      <c r="BC89" s="3831">
        <f t="shared" si="70"/>
        <v>1</v>
      </c>
      <c r="BD89" s="3832">
        <f t="shared" si="70"/>
        <v>4</v>
      </c>
      <c r="BE89" s="3832">
        <f t="shared" si="70"/>
        <v>11</v>
      </c>
      <c r="BF89" s="3833">
        <f t="shared" si="70"/>
        <v>16</v>
      </c>
      <c r="BG89" s="3831">
        <f t="shared" ref="BG89:BJ89" si="71">SUM(BG86:BG88)</f>
        <v>1</v>
      </c>
      <c r="BH89" s="3832">
        <f t="shared" si="71"/>
        <v>4</v>
      </c>
      <c r="BI89" s="3832">
        <f t="shared" si="71"/>
        <v>11</v>
      </c>
      <c r="BJ89" s="3833">
        <f t="shared" si="71"/>
        <v>16</v>
      </c>
    </row>
    <row r="90" spans="1:62" ht="15" customHeight="1" x14ac:dyDescent="0.2">
      <c r="A90" s="195"/>
      <c r="B90" s="1783"/>
      <c r="C90" s="1783"/>
      <c r="D90" s="1783"/>
      <c r="E90" s="1783"/>
      <c r="F90" s="1783"/>
      <c r="G90" s="1783"/>
      <c r="H90" s="1783"/>
      <c r="I90" s="1783"/>
      <c r="J90" s="1783"/>
      <c r="K90" s="1783"/>
      <c r="L90" s="1783"/>
      <c r="M90" s="1783"/>
      <c r="N90" s="1783"/>
      <c r="O90" s="1783"/>
      <c r="P90" s="1783"/>
      <c r="Q90" s="1783"/>
      <c r="R90" s="1783"/>
      <c r="S90" s="1783"/>
      <c r="T90" s="1783"/>
      <c r="U90" s="1783"/>
      <c r="V90" s="1783"/>
      <c r="W90" s="1783"/>
      <c r="X90" s="1783"/>
      <c r="Y90" s="1783"/>
      <c r="Z90" s="1783"/>
      <c r="AA90" s="1783"/>
      <c r="AB90" s="1783"/>
      <c r="AC90" s="1783"/>
      <c r="AD90" s="1783"/>
      <c r="AE90" s="1783"/>
      <c r="AF90" s="1783"/>
      <c r="AG90" s="1783"/>
      <c r="AH90" s="1783"/>
      <c r="AI90" s="1783"/>
      <c r="AJ90" s="1783"/>
      <c r="AK90" s="1783"/>
      <c r="AL90" s="1783"/>
      <c r="AM90" s="1783"/>
      <c r="AN90" s="1783"/>
      <c r="AO90" s="1783"/>
      <c r="AP90" s="1783"/>
      <c r="AQ90" s="1783"/>
      <c r="AR90" s="1783"/>
      <c r="AS90" s="1783"/>
      <c r="AT90" s="1783"/>
      <c r="AU90" s="1783"/>
      <c r="AV90" s="1783"/>
      <c r="AW90" s="1783"/>
      <c r="AX90" s="1783"/>
      <c r="AY90" s="1783"/>
      <c r="AZ90" s="1783"/>
      <c r="BA90" s="1783"/>
      <c r="BB90" s="1783"/>
      <c r="BC90" s="1783"/>
      <c r="BD90" s="1783"/>
      <c r="BE90" s="1783"/>
      <c r="BF90" s="1783"/>
      <c r="BG90" s="1783"/>
      <c r="BH90" s="1783"/>
      <c r="BI90" s="1783"/>
      <c r="BJ90" s="1783"/>
    </row>
    <row r="91" spans="1:62" ht="15" customHeight="1" x14ac:dyDescent="0.2">
      <c r="A91" s="7130" t="s">
        <v>408</v>
      </c>
      <c r="B91" s="3705" t="s">
        <v>5</v>
      </c>
      <c r="C91" s="3817"/>
      <c r="D91" s="3818"/>
      <c r="E91" s="3818"/>
      <c r="F91" s="3819"/>
      <c r="G91" s="3817"/>
      <c r="H91" s="3818"/>
      <c r="I91" s="3818"/>
      <c r="J91" s="3819"/>
      <c r="K91" s="3817"/>
      <c r="L91" s="3818"/>
      <c r="M91" s="3818"/>
      <c r="N91" s="3869"/>
      <c r="O91" s="3817"/>
      <c r="P91" s="3818"/>
      <c r="Q91" s="3818"/>
      <c r="R91" s="3819"/>
      <c r="S91" s="3818"/>
      <c r="T91" s="3818"/>
      <c r="U91" s="3818"/>
      <c r="V91" s="3819"/>
      <c r="W91" s="3818"/>
      <c r="X91" s="3818"/>
      <c r="Y91" s="3818"/>
      <c r="Z91" s="3819"/>
      <c r="AA91" s="3818"/>
      <c r="AB91" s="3818"/>
      <c r="AC91" s="3818"/>
      <c r="AD91" s="3819"/>
      <c r="AE91" s="3818"/>
      <c r="AF91" s="3818"/>
      <c r="AG91" s="3818"/>
      <c r="AH91" s="3819"/>
      <c r="AI91" s="3818"/>
      <c r="AJ91" s="3803"/>
      <c r="AK91" s="3803"/>
      <c r="AL91" s="3804"/>
      <c r="AM91" s="3871"/>
      <c r="AN91" s="3803"/>
      <c r="AO91" s="3803"/>
      <c r="AP91" s="3804"/>
      <c r="AQ91" s="3871"/>
      <c r="AR91" s="3803"/>
      <c r="AS91" s="3803"/>
      <c r="AT91" s="3804"/>
      <c r="AU91" s="3871"/>
      <c r="AV91" s="3803"/>
      <c r="AW91" s="3803"/>
      <c r="AX91" s="3804"/>
      <c r="AY91" s="3871"/>
      <c r="AZ91" s="3803"/>
      <c r="BA91" s="3803"/>
      <c r="BB91" s="3804"/>
      <c r="BC91" s="3871"/>
      <c r="BD91" s="3803"/>
      <c r="BE91" s="3803"/>
      <c r="BF91" s="3804"/>
      <c r="BG91" s="3871"/>
      <c r="BH91" s="3803"/>
      <c r="BI91" s="3803"/>
      <c r="BJ91" s="3804"/>
    </row>
    <row r="92" spans="1:62" ht="15" customHeight="1" x14ac:dyDescent="0.2">
      <c r="A92" s="5776"/>
      <c r="B92" s="1784" t="s">
        <v>6</v>
      </c>
      <c r="C92" s="3820"/>
      <c r="D92" s="3821"/>
      <c r="E92" s="3821"/>
      <c r="F92" s="3822"/>
      <c r="G92" s="3820"/>
      <c r="H92" s="3821"/>
      <c r="I92" s="3821"/>
      <c r="J92" s="3822"/>
      <c r="K92" s="3820"/>
      <c r="L92" s="3821"/>
      <c r="M92" s="3821"/>
      <c r="N92" s="3870"/>
      <c r="O92" s="3820"/>
      <c r="P92" s="3821"/>
      <c r="Q92" s="3821"/>
      <c r="R92" s="3822"/>
      <c r="S92" s="3821"/>
      <c r="T92" s="3821"/>
      <c r="U92" s="3821"/>
      <c r="V92" s="3822"/>
      <c r="W92" s="3821"/>
      <c r="X92" s="3821"/>
      <c r="Y92" s="3821"/>
      <c r="Z92" s="3822"/>
      <c r="AA92" s="3821"/>
      <c r="AB92" s="3821"/>
      <c r="AC92" s="3821"/>
      <c r="AD92" s="3822"/>
      <c r="AE92" s="3821"/>
      <c r="AF92" s="3821"/>
      <c r="AG92" s="3821"/>
      <c r="AH92" s="3822"/>
      <c r="AI92" s="3821"/>
      <c r="AJ92" s="3807"/>
      <c r="AK92" s="3807"/>
      <c r="AL92" s="3808"/>
      <c r="AM92" s="3872"/>
      <c r="AN92" s="3807"/>
      <c r="AO92" s="3807"/>
      <c r="AP92" s="3808"/>
      <c r="AQ92" s="3872"/>
      <c r="AR92" s="3807"/>
      <c r="AS92" s="3807"/>
      <c r="AT92" s="3808"/>
      <c r="AU92" s="3872"/>
      <c r="AV92" s="3807"/>
      <c r="AW92" s="3807"/>
      <c r="AX92" s="3808"/>
      <c r="AY92" s="3872"/>
      <c r="AZ92" s="3807"/>
      <c r="BA92" s="3807"/>
      <c r="BB92" s="3808"/>
      <c r="BC92" s="3872"/>
      <c r="BD92" s="3807"/>
      <c r="BE92" s="3807"/>
      <c r="BF92" s="3808"/>
      <c r="BG92" s="3872"/>
      <c r="BH92" s="3807"/>
      <c r="BI92" s="3807">
        <v>2</v>
      </c>
      <c r="BJ92" s="3808">
        <f>SUM(BG92:BI92)</f>
        <v>2</v>
      </c>
    </row>
    <row r="93" spans="1:62" ht="15" customHeight="1" x14ac:dyDescent="0.2">
      <c r="A93" s="5776"/>
      <c r="B93" s="1784" t="s">
        <v>11</v>
      </c>
      <c r="C93" s="3820"/>
      <c r="D93" s="3821"/>
      <c r="E93" s="3821"/>
      <c r="F93" s="3822"/>
      <c r="G93" s="3820"/>
      <c r="H93" s="3821"/>
      <c r="I93" s="3821"/>
      <c r="J93" s="3822"/>
      <c r="K93" s="3820"/>
      <c r="L93" s="3821"/>
      <c r="M93" s="3821"/>
      <c r="N93" s="3870"/>
      <c r="O93" s="3820"/>
      <c r="P93" s="3821"/>
      <c r="Q93" s="3821"/>
      <c r="R93" s="3822"/>
      <c r="S93" s="3821"/>
      <c r="T93" s="3821"/>
      <c r="U93" s="3821"/>
      <c r="V93" s="3822"/>
      <c r="W93" s="3821"/>
      <c r="X93" s="3821"/>
      <c r="Y93" s="3821"/>
      <c r="Z93" s="3822"/>
      <c r="AA93" s="3821"/>
      <c r="AB93" s="3821"/>
      <c r="AC93" s="3821"/>
      <c r="AD93" s="3822"/>
      <c r="AE93" s="3821"/>
      <c r="AF93" s="3821"/>
      <c r="AG93" s="3821"/>
      <c r="AH93" s="3822"/>
      <c r="AI93" s="3821"/>
      <c r="AJ93" s="3807"/>
      <c r="AK93" s="3807"/>
      <c r="AL93" s="3808"/>
      <c r="AM93" s="3872"/>
      <c r="AN93" s="3807"/>
      <c r="AO93" s="3807"/>
      <c r="AP93" s="3808"/>
      <c r="AQ93" s="3872"/>
      <c r="AR93" s="3807"/>
      <c r="AS93" s="3807"/>
      <c r="AT93" s="3808"/>
      <c r="AU93" s="3872"/>
      <c r="AV93" s="3807"/>
      <c r="AW93" s="3807"/>
      <c r="AX93" s="3808"/>
      <c r="AY93" s="3872"/>
      <c r="AZ93" s="3807"/>
      <c r="BA93" s="3807"/>
      <c r="BB93" s="3808"/>
      <c r="BC93" s="3872"/>
      <c r="BD93" s="3807"/>
      <c r="BE93" s="3807"/>
      <c r="BF93" s="3808"/>
      <c r="BG93" s="3872"/>
      <c r="BH93" s="3807"/>
      <c r="BI93" s="3807"/>
      <c r="BJ93" s="3808"/>
    </row>
    <row r="94" spans="1:62" ht="15" customHeight="1" x14ac:dyDescent="0.2">
      <c r="A94" s="5777"/>
      <c r="B94" s="3838" t="s">
        <v>12</v>
      </c>
      <c r="C94" s="3839"/>
      <c r="D94" s="3840"/>
      <c r="E94" s="3840"/>
      <c r="F94" s="3841"/>
      <c r="G94" s="3839"/>
      <c r="H94" s="3840"/>
      <c r="I94" s="3840"/>
      <c r="J94" s="3841"/>
      <c r="K94" s="3839"/>
      <c r="L94" s="3840"/>
      <c r="M94" s="3840"/>
      <c r="N94" s="3840"/>
      <c r="O94" s="3839"/>
      <c r="P94" s="3840"/>
      <c r="Q94" s="3840"/>
      <c r="R94" s="3841"/>
      <c r="S94" s="3840"/>
      <c r="T94" s="3840"/>
      <c r="U94" s="3840"/>
      <c r="V94" s="3841"/>
      <c r="W94" s="3839"/>
      <c r="X94" s="3840"/>
      <c r="Y94" s="3840"/>
      <c r="Z94" s="3841"/>
      <c r="AA94" s="3839"/>
      <c r="AB94" s="3840"/>
      <c r="AC94" s="3840"/>
      <c r="AD94" s="3841"/>
      <c r="AE94" s="3839"/>
      <c r="AF94" s="3840"/>
      <c r="AG94" s="3840"/>
      <c r="AH94" s="3841"/>
      <c r="AI94" s="3839"/>
      <c r="AJ94" s="3842"/>
      <c r="AK94" s="3842"/>
      <c r="AL94" s="3843"/>
      <c r="AM94" s="3873"/>
      <c r="AN94" s="3842"/>
      <c r="AO94" s="3842"/>
      <c r="AP94" s="3843"/>
      <c r="AQ94" s="3873"/>
      <c r="AR94" s="3842"/>
      <c r="AS94" s="3842"/>
      <c r="AT94" s="3843"/>
      <c r="AU94" s="3873"/>
      <c r="AV94" s="3842"/>
      <c r="AW94" s="3842"/>
      <c r="AX94" s="3843"/>
      <c r="AY94" s="3873"/>
      <c r="AZ94" s="3842"/>
      <c r="BA94" s="3842"/>
      <c r="BB94" s="3843"/>
      <c r="BC94" s="3873"/>
      <c r="BD94" s="3842"/>
      <c r="BE94" s="3842"/>
      <c r="BF94" s="3843"/>
      <c r="BG94" s="3873"/>
      <c r="BH94" s="3842"/>
      <c r="BI94" s="3842">
        <f>SUM(BI91:BI93)</f>
        <v>2</v>
      </c>
      <c r="BJ94" s="3843">
        <f>SUM(BJ91:BJ93)</f>
        <v>2</v>
      </c>
    </row>
    <row r="95" spans="1:62" ht="15.75" x14ac:dyDescent="0.25">
      <c r="A95" s="1781"/>
      <c r="B95" s="1783"/>
      <c r="C95" s="1783"/>
      <c r="D95" s="1783"/>
      <c r="E95" s="1783"/>
      <c r="F95" s="1783"/>
      <c r="G95" s="1783"/>
      <c r="H95" s="1783"/>
      <c r="I95" s="1783"/>
      <c r="J95" s="1783"/>
      <c r="K95" s="1783"/>
      <c r="L95" s="1783"/>
      <c r="M95" s="1783"/>
      <c r="N95" s="1783"/>
      <c r="O95" s="1783"/>
      <c r="P95" s="1783"/>
      <c r="Q95" s="1783"/>
      <c r="R95" s="1783"/>
      <c r="S95" s="1783"/>
      <c r="T95" s="1783"/>
      <c r="U95" s="1783"/>
      <c r="V95" s="1783"/>
      <c r="W95" s="1783"/>
      <c r="X95" s="1783"/>
      <c r="Y95" s="1783"/>
      <c r="Z95" s="1783"/>
      <c r="AA95" s="1783"/>
      <c r="AB95" s="1783"/>
      <c r="AC95" s="1783"/>
      <c r="AD95" s="1783"/>
      <c r="AE95" s="1783"/>
      <c r="AF95" s="1783"/>
      <c r="AG95" s="1783"/>
      <c r="AH95" s="1783"/>
      <c r="AI95" s="1783"/>
      <c r="AJ95" s="1783"/>
      <c r="AK95" s="1783"/>
      <c r="AL95" s="1783"/>
      <c r="AM95" s="3874"/>
      <c r="AN95" s="1783"/>
      <c r="AO95" s="1783"/>
      <c r="AP95" s="1783"/>
      <c r="AQ95" s="3874"/>
      <c r="AR95" s="1783"/>
      <c r="AS95" s="1783"/>
      <c r="AT95" s="1783"/>
      <c r="AU95" s="3874"/>
      <c r="AV95" s="1783"/>
      <c r="AW95" s="1783"/>
      <c r="AX95" s="1783"/>
      <c r="AY95" s="3874"/>
      <c r="AZ95" s="1783"/>
      <c r="BA95" s="1783"/>
      <c r="BB95" s="1783"/>
      <c r="BC95" s="3874"/>
      <c r="BD95" s="1783"/>
      <c r="BE95" s="1783"/>
      <c r="BF95" s="1783"/>
      <c r="BG95" s="3874"/>
      <c r="BH95" s="1783"/>
      <c r="BI95" s="1783"/>
      <c r="BJ95" s="1783"/>
    </row>
    <row r="96" spans="1:62" x14ac:dyDescent="0.2">
      <c r="A96" s="7131" t="s">
        <v>163</v>
      </c>
      <c r="B96" s="3705" t="s">
        <v>6</v>
      </c>
      <c r="C96" s="3802"/>
      <c r="D96" s="3803">
        <v>16</v>
      </c>
      <c r="E96" s="3803">
        <v>20</v>
      </c>
      <c r="F96" s="3804">
        <v>36</v>
      </c>
      <c r="G96" s="3802"/>
      <c r="H96" s="3803">
        <v>11</v>
      </c>
      <c r="I96" s="3803">
        <v>21</v>
      </c>
      <c r="J96" s="3804">
        <v>32</v>
      </c>
      <c r="K96" s="3802"/>
      <c r="L96" s="3803">
        <v>13</v>
      </c>
      <c r="M96" s="3803">
        <v>21</v>
      </c>
      <c r="N96" s="3805">
        <v>34</v>
      </c>
      <c r="O96" s="3802"/>
      <c r="P96" s="3803">
        <v>19</v>
      </c>
      <c r="Q96" s="3803">
        <v>21</v>
      </c>
      <c r="R96" s="3804">
        <v>40</v>
      </c>
      <c r="S96" s="3803"/>
      <c r="T96" s="3803">
        <v>15</v>
      </c>
      <c r="U96" s="3803">
        <v>22</v>
      </c>
      <c r="V96" s="3804">
        <v>37</v>
      </c>
      <c r="W96" s="3803"/>
      <c r="X96" s="3803">
        <v>14</v>
      </c>
      <c r="Y96" s="3803">
        <v>20</v>
      </c>
      <c r="Z96" s="3804">
        <v>34</v>
      </c>
      <c r="AA96" s="3803"/>
      <c r="AB96" s="3803">
        <v>16</v>
      </c>
      <c r="AC96" s="3803">
        <v>17</v>
      </c>
      <c r="AD96" s="3804">
        <f>SUM(AA96:AC96)</f>
        <v>33</v>
      </c>
      <c r="AE96" s="3803"/>
      <c r="AF96" s="3803">
        <v>17</v>
      </c>
      <c r="AG96" s="3803">
        <v>16</v>
      </c>
      <c r="AH96" s="3804">
        <f>SUM(AE96:AG96)</f>
        <v>33</v>
      </c>
      <c r="AI96" s="3803"/>
      <c r="AJ96" s="3803">
        <v>15</v>
      </c>
      <c r="AK96" s="3803">
        <v>16</v>
      </c>
      <c r="AL96" s="3804">
        <f>SUM(AI96:AK96)</f>
        <v>31</v>
      </c>
      <c r="AM96" s="3803"/>
      <c r="AN96" s="3803">
        <v>11</v>
      </c>
      <c r="AO96" s="3803">
        <v>15</v>
      </c>
      <c r="AP96" s="3804">
        <f>SUM(AM96:AO96)</f>
        <v>26</v>
      </c>
      <c r="AQ96" s="3803"/>
      <c r="AR96" s="3803">
        <v>8</v>
      </c>
      <c r="AS96" s="3803">
        <v>15</v>
      </c>
      <c r="AT96" s="3804">
        <f>SUM(AQ96:AS96)</f>
        <v>23</v>
      </c>
      <c r="AU96" s="3803"/>
      <c r="AV96" s="3803">
        <v>8</v>
      </c>
      <c r="AW96" s="3803">
        <v>15</v>
      </c>
      <c r="AX96" s="3804">
        <f>SUM(AU96:AW96)</f>
        <v>23</v>
      </c>
      <c r="AY96" s="3803">
        <v>0</v>
      </c>
      <c r="AZ96" s="3803">
        <v>9</v>
      </c>
      <c r="BA96" s="3803">
        <v>15</v>
      </c>
      <c r="BB96" s="3804">
        <f>SUM(AY96:BA96)</f>
        <v>24</v>
      </c>
      <c r="BC96" s="3803">
        <v>0</v>
      </c>
      <c r="BD96" s="3803">
        <v>10</v>
      </c>
      <c r="BE96" s="3803">
        <v>16</v>
      </c>
      <c r="BF96" s="3804">
        <f>SUM(BC96:BE96)</f>
        <v>26</v>
      </c>
      <c r="BG96" s="3803"/>
      <c r="BH96" s="3803">
        <v>12</v>
      </c>
      <c r="BI96" s="3803">
        <v>14</v>
      </c>
      <c r="BJ96" s="3804">
        <f>SUM(BG96:BI96)</f>
        <v>26</v>
      </c>
    </row>
    <row r="97" spans="1:62" x14ac:dyDescent="0.2">
      <c r="A97" s="5785"/>
      <c r="B97" s="1784" t="s">
        <v>11</v>
      </c>
      <c r="C97" s="3806">
        <v>1</v>
      </c>
      <c r="D97" s="3807">
        <v>6</v>
      </c>
      <c r="E97" s="3807">
        <v>19</v>
      </c>
      <c r="F97" s="3808">
        <v>26</v>
      </c>
      <c r="G97" s="3806"/>
      <c r="H97" s="3807">
        <v>8</v>
      </c>
      <c r="I97" s="3807">
        <v>19</v>
      </c>
      <c r="J97" s="3808">
        <v>27</v>
      </c>
      <c r="K97" s="3806"/>
      <c r="L97" s="3807">
        <v>10</v>
      </c>
      <c r="M97" s="3807">
        <v>19</v>
      </c>
      <c r="N97" s="3809">
        <v>29</v>
      </c>
      <c r="O97" s="3806"/>
      <c r="P97" s="3807">
        <v>11</v>
      </c>
      <c r="Q97" s="3807">
        <v>19</v>
      </c>
      <c r="R97" s="3808">
        <v>30</v>
      </c>
      <c r="S97" s="3807"/>
      <c r="T97" s="3807">
        <v>10</v>
      </c>
      <c r="U97" s="3807">
        <v>19</v>
      </c>
      <c r="V97" s="3808">
        <v>29</v>
      </c>
      <c r="W97" s="3807"/>
      <c r="X97" s="3807">
        <v>13</v>
      </c>
      <c r="Y97" s="3807">
        <v>19</v>
      </c>
      <c r="Z97" s="3808">
        <v>32</v>
      </c>
      <c r="AA97" s="3807"/>
      <c r="AB97" s="3807">
        <v>14</v>
      </c>
      <c r="AC97" s="3807">
        <v>19</v>
      </c>
      <c r="AD97" s="3808">
        <f>SUM(AA97:AC97)</f>
        <v>33</v>
      </c>
      <c r="AE97" s="3807"/>
      <c r="AF97" s="3807">
        <v>14</v>
      </c>
      <c r="AG97" s="3807">
        <v>18</v>
      </c>
      <c r="AH97" s="3808">
        <f>SUM(AE97:AG97)</f>
        <v>32</v>
      </c>
      <c r="AI97" s="3807"/>
      <c r="AJ97" s="3807">
        <v>14</v>
      </c>
      <c r="AK97" s="3807">
        <v>17</v>
      </c>
      <c r="AL97" s="3808">
        <f>SUM(AI97:AK97)</f>
        <v>31</v>
      </c>
      <c r="AM97" s="3807"/>
      <c r="AN97" s="3807">
        <v>12</v>
      </c>
      <c r="AO97" s="3807">
        <v>16</v>
      </c>
      <c r="AP97" s="3808">
        <f>SUM(AM97:AO97)</f>
        <v>28</v>
      </c>
      <c r="AQ97" s="3807"/>
      <c r="AR97" s="3807">
        <v>17</v>
      </c>
      <c r="AS97" s="3807">
        <v>16</v>
      </c>
      <c r="AT97" s="3808">
        <f>SUM(AQ97:AS97)</f>
        <v>33</v>
      </c>
      <c r="AU97" s="3807"/>
      <c r="AV97" s="3807">
        <v>22</v>
      </c>
      <c r="AW97" s="3807">
        <v>16</v>
      </c>
      <c r="AX97" s="3808">
        <f>SUM(AU97:AW97)</f>
        <v>38</v>
      </c>
      <c r="AY97" s="3807">
        <v>0</v>
      </c>
      <c r="AZ97" s="3807">
        <v>22</v>
      </c>
      <c r="BA97" s="3807">
        <v>15</v>
      </c>
      <c r="BB97" s="3808">
        <f>SUM(AY97:BA97)</f>
        <v>37</v>
      </c>
      <c r="BC97" s="3807">
        <v>0</v>
      </c>
      <c r="BD97" s="3807">
        <v>22</v>
      </c>
      <c r="BE97" s="3807">
        <v>15</v>
      </c>
      <c r="BF97" s="3808">
        <f>SUM(BC97:BE97)</f>
        <v>37</v>
      </c>
      <c r="BG97" s="3807"/>
      <c r="BH97" s="3807">
        <v>19</v>
      </c>
      <c r="BI97" s="3807">
        <v>13</v>
      </c>
      <c r="BJ97" s="3808">
        <f>SUM(BG97:BI97)</f>
        <v>32</v>
      </c>
    </row>
    <row r="98" spans="1:62" x14ac:dyDescent="0.2">
      <c r="A98" s="5785"/>
      <c r="B98" s="1784" t="s">
        <v>7</v>
      </c>
      <c r="C98" s="3806"/>
      <c r="D98" s="3807">
        <v>11</v>
      </c>
      <c r="E98" s="3807">
        <v>15</v>
      </c>
      <c r="F98" s="3808">
        <v>26</v>
      </c>
      <c r="G98" s="3806"/>
      <c r="H98" s="3807">
        <v>7</v>
      </c>
      <c r="I98" s="3807">
        <v>17</v>
      </c>
      <c r="J98" s="3808">
        <v>24</v>
      </c>
      <c r="K98" s="3806"/>
      <c r="L98" s="3807">
        <v>7</v>
      </c>
      <c r="M98" s="3807">
        <v>19</v>
      </c>
      <c r="N98" s="3809">
        <v>26</v>
      </c>
      <c r="O98" s="3806"/>
      <c r="P98" s="3807">
        <v>9</v>
      </c>
      <c r="Q98" s="3807">
        <v>18</v>
      </c>
      <c r="R98" s="3808">
        <v>27</v>
      </c>
      <c r="S98" s="3807"/>
      <c r="T98" s="3807">
        <v>7</v>
      </c>
      <c r="U98" s="3807">
        <v>19</v>
      </c>
      <c r="V98" s="3808">
        <v>26</v>
      </c>
      <c r="W98" s="3807"/>
      <c r="X98" s="3807">
        <v>7</v>
      </c>
      <c r="Y98" s="3807">
        <v>19</v>
      </c>
      <c r="Z98" s="3808">
        <v>26</v>
      </c>
      <c r="AA98" s="3807"/>
      <c r="AB98" s="3807">
        <v>9</v>
      </c>
      <c r="AC98" s="3807">
        <v>22</v>
      </c>
      <c r="AD98" s="3808">
        <f>SUM(AA98:AC98)</f>
        <v>31</v>
      </c>
      <c r="AE98" s="3807"/>
      <c r="AF98" s="3807">
        <v>10</v>
      </c>
      <c r="AG98" s="3807">
        <v>19</v>
      </c>
      <c r="AH98" s="3808">
        <f>SUM(AE98:AG98)</f>
        <v>29</v>
      </c>
      <c r="AI98" s="3807"/>
      <c r="AJ98" s="3807">
        <v>12</v>
      </c>
      <c r="AK98" s="3807">
        <v>20</v>
      </c>
      <c r="AL98" s="3808">
        <f>SUM(AI98:AK98)</f>
        <v>32</v>
      </c>
      <c r="AM98" s="3807"/>
      <c r="AN98" s="3807">
        <v>12</v>
      </c>
      <c r="AO98" s="3807">
        <v>20</v>
      </c>
      <c r="AP98" s="3808">
        <f>SUM(AM98:AO98)</f>
        <v>32</v>
      </c>
      <c r="AQ98" s="3807"/>
      <c r="AR98" s="3807">
        <v>12</v>
      </c>
      <c r="AS98" s="3807">
        <v>19</v>
      </c>
      <c r="AT98" s="3808">
        <f>SUM(AQ98:AS98)</f>
        <v>31</v>
      </c>
      <c r="AU98" s="3807"/>
      <c r="AV98" s="3807">
        <v>14</v>
      </c>
      <c r="AW98" s="3807">
        <v>17</v>
      </c>
      <c r="AX98" s="3808">
        <f>SUM(AU98:AW98)</f>
        <v>31</v>
      </c>
      <c r="AY98" s="3807">
        <v>0</v>
      </c>
      <c r="AZ98" s="3807">
        <v>15</v>
      </c>
      <c r="BA98" s="3807">
        <v>17</v>
      </c>
      <c r="BB98" s="3808">
        <f>SUM(AY98:BA98)</f>
        <v>32</v>
      </c>
      <c r="BC98" s="3807">
        <v>0</v>
      </c>
      <c r="BD98" s="3807">
        <v>11</v>
      </c>
      <c r="BE98" s="3807">
        <v>13</v>
      </c>
      <c r="BF98" s="3808">
        <f>SUM(BC98:BE98)</f>
        <v>24</v>
      </c>
      <c r="BG98" s="3807"/>
      <c r="BH98" s="3807">
        <v>13</v>
      </c>
      <c r="BI98" s="3807">
        <v>14</v>
      </c>
      <c r="BJ98" s="3808">
        <f>SUM(BG98:BI98)</f>
        <v>27</v>
      </c>
    </row>
    <row r="99" spans="1:62" x14ac:dyDescent="0.2">
      <c r="A99" s="5786"/>
      <c r="B99" s="3845" t="s">
        <v>12</v>
      </c>
      <c r="C99" s="3846">
        <v>1</v>
      </c>
      <c r="D99" s="3847">
        <v>33</v>
      </c>
      <c r="E99" s="3847">
        <v>54</v>
      </c>
      <c r="F99" s="3848">
        <v>88</v>
      </c>
      <c r="G99" s="3875"/>
      <c r="H99" s="3847">
        <v>26</v>
      </c>
      <c r="I99" s="3847">
        <v>57</v>
      </c>
      <c r="J99" s="3848">
        <v>83</v>
      </c>
      <c r="K99" s="3875"/>
      <c r="L99" s="3847">
        <v>30</v>
      </c>
      <c r="M99" s="3847">
        <v>59</v>
      </c>
      <c r="N99" s="3847">
        <v>89</v>
      </c>
      <c r="O99" s="3875"/>
      <c r="P99" s="3847">
        <v>39</v>
      </c>
      <c r="Q99" s="3847">
        <v>58</v>
      </c>
      <c r="R99" s="3848">
        <v>97</v>
      </c>
      <c r="S99" s="3847"/>
      <c r="T99" s="3847">
        <v>32</v>
      </c>
      <c r="U99" s="3847">
        <v>60</v>
      </c>
      <c r="V99" s="3848">
        <v>92</v>
      </c>
      <c r="W99" s="3846"/>
      <c r="X99" s="3847">
        <v>34</v>
      </c>
      <c r="Y99" s="3847">
        <v>58</v>
      </c>
      <c r="Z99" s="3848">
        <v>92</v>
      </c>
      <c r="AA99" s="3846"/>
      <c r="AB99" s="3847">
        <f t="shared" ref="AB99:AH99" si="72">SUM(AB96:AB98)</f>
        <v>39</v>
      </c>
      <c r="AC99" s="3847">
        <f t="shared" si="72"/>
        <v>58</v>
      </c>
      <c r="AD99" s="3848">
        <f t="shared" si="72"/>
        <v>97</v>
      </c>
      <c r="AE99" s="3846"/>
      <c r="AF99" s="3847">
        <f t="shared" si="72"/>
        <v>41</v>
      </c>
      <c r="AG99" s="3847">
        <f t="shared" si="72"/>
        <v>53</v>
      </c>
      <c r="AH99" s="3848">
        <f t="shared" si="72"/>
        <v>94</v>
      </c>
      <c r="AI99" s="3846"/>
      <c r="AJ99" s="3847">
        <f>SUM(AJ96:AJ98)</f>
        <v>41</v>
      </c>
      <c r="AK99" s="3847">
        <f>SUM(AK96:AK98)</f>
        <v>53</v>
      </c>
      <c r="AL99" s="3848">
        <f>SUM(AL96:AL98)</f>
        <v>94</v>
      </c>
      <c r="AM99" s="3846"/>
      <c r="AN99" s="3847">
        <f>SUM(AN96:AN98)</f>
        <v>35</v>
      </c>
      <c r="AO99" s="3847">
        <f>SUM(AO96:AO98)</f>
        <v>51</v>
      </c>
      <c r="AP99" s="3848">
        <f>SUM(AP96:AP98)</f>
        <v>86</v>
      </c>
      <c r="AQ99" s="3846"/>
      <c r="AR99" s="3847">
        <f>SUM(AR96:AR98)</f>
        <v>37</v>
      </c>
      <c r="AS99" s="3847">
        <f>SUM(AS96:AS98)</f>
        <v>50</v>
      </c>
      <c r="AT99" s="3848">
        <f>SUM(AT96:AT98)</f>
        <v>87</v>
      </c>
      <c r="AU99" s="3846"/>
      <c r="AV99" s="3847">
        <f>SUM(AV96:AV98)</f>
        <v>44</v>
      </c>
      <c r="AW99" s="3847">
        <f>SUM(AW96:AW98)</f>
        <v>48</v>
      </c>
      <c r="AX99" s="3848">
        <f>SUM(AX96:AX98)</f>
        <v>92</v>
      </c>
      <c r="AY99" s="3846"/>
      <c r="AZ99" s="3847">
        <f>SUM(AZ96:AZ98)</f>
        <v>46</v>
      </c>
      <c r="BA99" s="3847">
        <f>SUM(BA96:BA98)</f>
        <v>47</v>
      </c>
      <c r="BB99" s="3848">
        <f>SUM(BB96:BB98)</f>
        <v>93</v>
      </c>
      <c r="BC99" s="3846"/>
      <c r="BD99" s="3847">
        <f>SUM(BD96:BD98)</f>
        <v>43</v>
      </c>
      <c r="BE99" s="3847">
        <f>SUM(BE96:BE98)</f>
        <v>44</v>
      </c>
      <c r="BF99" s="3848">
        <f>SUM(BF96:BF98)</f>
        <v>87</v>
      </c>
      <c r="BG99" s="3846"/>
      <c r="BH99" s="3847">
        <f>SUM(BH96:BH98)</f>
        <v>44</v>
      </c>
      <c r="BI99" s="3847">
        <f>SUM(BI96:BI98)</f>
        <v>41</v>
      </c>
      <c r="BJ99" s="3848">
        <f>SUM(BJ96:BJ98)</f>
        <v>85</v>
      </c>
    </row>
    <row r="100" spans="1:62" x14ac:dyDescent="0.2">
      <c r="A100" s="1783"/>
      <c r="B100" s="1783"/>
      <c r="C100" s="1783"/>
      <c r="D100" s="1783"/>
      <c r="E100" s="1783"/>
      <c r="F100" s="1783"/>
      <c r="G100" s="1783"/>
      <c r="H100" s="1783"/>
      <c r="I100" s="1783"/>
      <c r="J100" s="1783"/>
      <c r="K100" s="1783"/>
      <c r="L100" s="1783"/>
      <c r="M100" s="1783"/>
      <c r="N100" s="1783"/>
      <c r="O100" s="1783"/>
      <c r="P100" s="1783"/>
      <c r="Q100" s="1783"/>
      <c r="R100" s="1783"/>
      <c r="S100" s="1783"/>
      <c r="T100" s="1783"/>
      <c r="U100" s="1783"/>
      <c r="V100" s="1783"/>
      <c r="W100" s="1783"/>
      <c r="X100" s="1783"/>
      <c r="Y100" s="1783"/>
      <c r="Z100" s="1783"/>
      <c r="AA100" s="1783"/>
      <c r="AB100" s="1783"/>
      <c r="AC100" s="1783"/>
      <c r="AD100" s="1783"/>
      <c r="AE100" s="1783"/>
      <c r="AF100" s="1783"/>
      <c r="AG100" s="1783"/>
      <c r="AH100" s="1783"/>
      <c r="AI100" s="1783"/>
      <c r="AJ100" s="1783"/>
      <c r="AK100" s="1783"/>
      <c r="AL100" s="1783"/>
      <c r="AM100" s="1783"/>
      <c r="AN100" s="1783"/>
      <c r="AO100" s="1783"/>
      <c r="AP100" s="1783"/>
      <c r="AQ100" s="1783"/>
      <c r="AR100" s="1783"/>
      <c r="AS100" s="1783"/>
      <c r="AT100" s="1783"/>
      <c r="AU100" s="1783"/>
      <c r="AV100" s="1783"/>
      <c r="AW100" s="1783"/>
      <c r="AX100" s="1783"/>
      <c r="AY100" s="1783"/>
      <c r="AZ100" s="1783"/>
      <c r="BA100" s="1783"/>
      <c r="BB100" s="1783"/>
      <c r="BC100" s="1783"/>
      <c r="BD100" s="1783"/>
      <c r="BE100" s="1783"/>
      <c r="BF100" s="1783"/>
      <c r="BG100" s="1783"/>
      <c r="BH100" s="1783"/>
      <c r="BI100" s="1783"/>
      <c r="BJ100" s="1783"/>
    </row>
    <row r="101" spans="1:62" ht="24.95" customHeight="1" x14ac:dyDescent="0.2">
      <c r="A101" s="7132" t="s">
        <v>60</v>
      </c>
      <c r="B101" s="7133"/>
      <c r="C101" s="3849">
        <v>12</v>
      </c>
      <c r="D101" s="3850">
        <v>88</v>
      </c>
      <c r="E101" s="3850">
        <v>123</v>
      </c>
      <c r="F101" s="3851">
        <v>223</v>
      </c>
      <c r="G101" s="3849">
        <v>6</v>
      </c>
      <c r="H101" s="3850">
        <v>61</v>
      </c>
      <c r="I101" s="3850">
        <v>146</v>
      </c>
      <c r="J101" s="3851">
        <v>213</v>
      </c>
      <c r="K101" s="3849">
        <v>5</v>
      </c>
      <c r="L101" s="3850">
        <v>67</v>
      </c>
      <c r="M101" s="3850">
        <v>144</v>
      </c>
      <c r="N101" s="3850">
        <v>216</v>
      </c>
      <c r="O101" s="3849">
        <v>6</v>
      </c>
      <c r="P101" s="3850">
        <v>77</v>
      </c>
      <c r="Q101" s="3850">
        <v>149</v>
      </c>
      <c r="R101" s="3851">
        <v>232</v>
      </c>
      <c r="S101" s="3850">
        <v>6</v>
      </c>
      <c r="T101" s="3850">
        <v>71</v>
      </c>
      <c r="U101" s="3850">
        <v>150</v>
      </c>
      <c r="V101" s="3851">
        <v>227</v>
      </c>
      <c r="W101" s="3850">
        <v>6</v>
      </c>
      <c r="X101" s="3850">
        <v>73</v>
      </c>
      <c r="Y101" s="3850">
        <v>142</v>
      </c>
      <c r="Z101" s="3851">
        <v>221</v>
      </c>
      <c r="AA101" s="3850">
        <f t="shared" ref="AA101:AX101" si="73">AA79+AA84+AA89+AA94+AA99</f>
        <v>5</v>
      </c>
      <c r="AB101" s="3850">
        <f t="shared" si="73"/>
        <v>75</v>
      </c>
      <c r="AC101" s="3850">
        <f t="shared" si="73"/>
        <v>145</v>
      </c>
      <c r="AD101" s="3851">
        <f t="shared" si="73"/>
        <v>225</v>
      </c>
      <c r="AE101" s="3850">
        <f t="shared" si="73"/>
        <v>4</v>
      </c>
      <c r="AF101" s="3850">
        <f t="shared" si="73"/>
        <v>78</v>
      </c>
      <c r="AG101" s="3850">
        <f t="shared" si="73"/>
        <v>139</v>
      </c>
      <c r="AH101" s="3851">
        <f t="shared" si="73"/>
        <v>221</v>
      </c>
      <c r="AI101" s="3850">
        <f t="shared" si="73"/>
        <v>4</v>
      </c>
      <c r="AJ101" s="3850">
        <f t="shared" si="73"/>
        <v>73</v>
      </c>
      <c r="AK101" s="3850">
        <f t="shared" si="73"/>
        <v>138</v>
      </c>
      <c r="AL101" s="3851">
        <f t="shared" si="73"/>
        <v>215</v>
      </c>
      <c r="AM101" s="3850">
        <f t="shared" si="73"/>
        <v>4</v>
      </c>
      <c r="AN101" s="3850">
        <f t="shared" si="73"/>
        <v>60</v>
      </c>
      <c r="AO101" s="3850">
        <f t="shared" si="73"/>
        <v>132</v>
      </c>
      <c r="AP101" s="3851">
        <f t="shared" si="73"/>
        <v>196</v>
      </c>
      <c r="AQ101" s="3850">
        <f t="shared" si="73"/>
        <v>4</v>
      </c>
      <c r="AR101" s="3850">
        <f t="shared" si="73"/>
        <v>62</v>
      </c>
      <c r="AS101" s="3850">
        <f t="shared" si="73"/>
        <v>126</v>
      </c>
      <c r="AT101" s="3851">
        <f t="shared" si="73"/>
        <v>192</v>
      </c>
      <c r="AU101" s="3850">
        <f t="shared" si="73"/>
        <v>4</v>
      </c>
      <c r="AV101" s="3850">
        <f t="shared" si="73"/>
        <v>71</v>
      </c>
      <c r="AW101" s="3850">
        <f t="shared" si="73"/>
        <v>119</v>
      </c>
      <c r="AX101" s="3851">
        <f t="shared" si="73"/>
        <v>194</v>
      </c>
      <c r="AY101" s="3850">
        <f t="shared" ref="AY101:BF101" si="74">AY79+AY84+AY89+AY94+AY99</f>
        <v>4</v>
      </c>
      <c r="AZ101" s="3850">
        <f t="shared" si="74"/>
        <v>69</v>
      </c>
      <c r="BA101" s="3850">
        <f t="shared" si="74"/>
        <v>114</v>
      </c>
      <c r="BB101" s="3851">
        <f t="shared" si="74"/>
        <v>187</v>
      </c>
      <c r="BC101" s="3850">
        <f t="shared" si="74"/>
        <v>4</v>
      </c>
      <c r="BD101" s="3850">
        <f t="shared" si="74"/>
        <v>68</v>
      </c>
      <c r="BE101" s="3850">
        <f t="shared" si="74"/>
        <v>104</v>
      </c>
      <c r="BF101" s="3851">
        <f t="shared" si="74"/>
        <v>176</v>
      </c>
      <c r="BG101" s="3850">
        <f t="shared" ref="BG101:BJ101" si="75">BG79+BG84+BG89+BG94+BG99</f>
        <v>4</v>
      </c>
      <c r="BH101" s="3850">
        <f t="shared" si="75"/>
        <v>67</v>
      </c>
      <c r="BI101" s="3850">
        <f t="shared" si="75"/>
        <v>98</v>
      </c>
      <c r="BJ101" s="3851">
        <f t="shared" si="75"/>
        <v>169</v>
      </c>
    </row>
    <row r="102" spans="1:62" x14ac:dyDescent="0.25">
      <c r="A102" s="3852" t="s">
        <v>1289</v>
      </c>
      <c r="B102" s="3853"/>
      <c r="C102" s="3853"/>
      <c r="D102" s="3853"/>
      <c r="E102" s="3853"/>
      <c r="F102" s="3853"/>
      <c r="G102" s="3853"/>
      <c r="H102" s="3853"/>
      <c r="I102" s="3853"/>
      <c r="J102" s="3853"/>
      <c r="K102" s="3853"/>
      <c r="L102" s="3853"/>
      <c r="M102" s="3853"/>
      <c r="N102" s="3853"/>
      <c r="O102" s="3853"/>
      <c r="P102" s="3853"/>
      <c r="Q102" s="3853"/>
      <c r="R102" s="3853"/>
      <c r="S102" s="3853"/>
      <c r="T102" s="3853"/>
      <c r="U102" s="3853"/>
      <c r="V102" s="3853"/>
      <c r="W102" s="1783"/>
      <c r="X102" s="1783"/>
      <c r="Y102" s="1783"/>
      <c r="Z102" s="1783"/>
      <c r="AA102" s="1783"/>
      <c r="AB102" s="1783"/>
      <c r="AC102" s="1783"/>
      <c r="AD102" s="1783"/>
      <c r="AE102" s="1783"/>
      <c r="AF102" s="1783"/>
      <c r="AG102" s="1783"/>
      <c r="AH102" s="1783"/>
      <c r="AI102" s="1783"/>
      <c r="AJ102" s="1783"/>
      <c r="AK102" s="1783"/>
      <c r="AL102" s="1783"/>
      <c r="AM102" s="1783"/>
      <c r="AN102" s="1783"/>
      <c r="AO102" s="1783"/>
      <c r="AP102" s="1783"/>
      <c r="AQ102" s="1783"/>
      <c r="AR102" s="1783"/>
      <c r="AS102" s="1783"/>
      <c r="AT102" s="1783"/>
      <c r="AU102" s="1783"/>
      <c r="AV102" s="1783"/>
      <c r="AW102" s="1783"/>
      <c r="AX102" s="1783"/>
      <c r="AY102" s="1783"/>
      <c r="AZ102" s="1783"/>
      <c r="BA102" s="1783"/>
      <c r="BB102" s="1783"/>
    </row>
    <row r="103" spans="1:62" x14ac:dyDescent="0.25">
      <c r="A103" s="3852" t="s">
        <v>116</v>
      </c>
      <c r="B103" s="3853"/>
      <c r="C103" s="3853"/>
      <c r="D103" s="3853"/>
      <c r="E103" s="3853"/>
      <c r="F103" s="3853"/>
      <c r="G103" s="3853"/>
      <c r="H103" s="3853"/>
      <c r="I103" s="3853"/>
      <c r="J103" s="3853"/>
      <c r="K103" s="3853"/>
      <c r="L103" s="3853"/>
      <c r="M103" s="3853"/>
      <c r="N103" s="3853"/>
      <c r="O103" s="3853"/>
      <c r="P103" s="3853"/>
      <c r="Q103" s="3853"/>
      <c r="R103" s="3853"/>
      <c r="S103" s="3853"/>
      <c r="T103" s="3853"/>
      <c r="U103" s="3853"/>
      <c r="V103" s="3853"/>
      <c r="W103" s="1783"/>
      <c r="X103" s="1783"/>
      <c r="Y103" s="1783"/>
      <c r="Z103" s="1783"/>
      <c r="AA103" s="1783"/>
      <c r="AB103" s="1783"/>
      <c r="AC103" s="1783"/>
      <c r="AD103" s="1783"/>
      <c r="AE103" s="1783"/>
      <c r="AF103" s="1783"/>
      <c r="AG103" s="1783"/>
      <c r="AH103" s="1783"/>
      <c r="AI103" s="1783"/>
      <c r="AJ103" s="1783"/>
      <c r="AK103" s="1783"/>
      <c r="AL103" s="1783"/>
      <c r="AM103" s="1783"/>
      <c r="AN103" s="1783"/>
      <c r="AO103" s="1783"/>
      <c r="AP103" s="1783"/>
      <c r="AQ103" s="1783"/>
      <c r="AR103" s="1783"/>
      <c r="AS103" s="1783"/>
      <c r="AT103" s="1783"/>
      <c r="AU103" s="1783"/>
      <c r="AV103" s="1783"/>
      <c r="AW103" s="1783"/>
      <c r="AX103" s="1783"/>
      <c r="AY103" s="1783"/>
      <c r="AZ103" s="1783"/>
      <c r="BA103" s="1783"/>
      <c r="BB103" s="1783"/>
    </row>
    <row r="104" spans="1:62" x14ac:dyDescent="0.2">
      <c r="A104" s="3853"/>
      <c r="B104" s="3853"/>
      <c r="C104" s="3853"/>
      <c r="D104" s="3853"/>
      <c r="E104" s="3853"/>
      <c r="F104" s="3853"/>
      <c r="G104" s="3853"/>
      <c r="H104" s="3853"/>
      <c r="I104" s="3853"/>
      <c r="J104" s="3853"/>
      <c r="K104" s="3853"/>
      <c r="L104" s="3853"/>
      <c r="M104" s="3853"/>
      <c r="N104" s="3853"/>
      <c r="O104" s="3853"/>
      <c r="P104" s="3853"/>
      <c r="Q104" s="3853"/>
      <c r="R104" s="3853"/>
      <c r="S104" s="3853"/>
      <c r="T104" s="3853"/>
      <c r="U104" s="3853"/>
      <c r="V104" s="3853"/>
      <c r="W104" s="1783"/>
      <c r="X104" s="1783"/>
      <c r="Y104" s="1783"/>
      <c r="Z104" s="1783"/>
      <c r="AA104" s="1783"/>
      <c r="AB104" s="1783"/>
      <c r="AC104" s="1783"/>
      <c r="AD104" s="1783"/>
      <c r="AE104" s="1783"/>
      <c r="AF104" s="1783"/>
      <c r="AG104" s="1783"/>
      <c r="AH104" s="1783"/>
      <c r="AI104" s="1783"/>
      <c r="AJ104" s="1783"/>
      <c r="AK104" s="1783"/>
      <c r="AL104" s="1783"/>
      <c r="AM104" s="1783"/>
      <c r="AN104" s="1783"/>
      <c r="AO104" s="1783"/>
      <c r="AP104" s="1783"/>
      <c r="AQ104" s="1783"/>
      <c r="AR104" s="1783"/>
      <c r="AS104" s="1783"/>
      <c r="AT104" s="1783"/>
      <c r="AU104" s="1783"/>
      <c r="AV104" s="1783"/>
      <c r="AW104" s="1783"/>
      <c r="AX104" s="1783"/>
      <c r="AY104" s="1783"/>
      <c r="AZ104" s="1783"/>
      <c r="BA104" s="1783"/>
      <c r="BB104" s="1783"/>
    </row>
    <row r="105" spans="1:62" x14ac:dyDescent="0.2">
      <c r="A105" s="3854"/>
      <c r="B105" s="3854"/>
      <c r="C105" s="3854"/>
      <c r="D105" s="3854"/>
      <c r="E105" s="3854"/>
      <c r="F105" s="3854"/>
      <c r="G105" s="3854"/>
      <c r="H105" s="3854"/>
      <c r="I105" s="3854"/>
      <c r="J105" s="3854"/>
      <c r="K105" s="3854"/>
      <c r="L105" s="3854"/>
      <c r="M105" s="3854"/>
      <c r="N105" s="3854"/>
      <c r="O105" s="3854"/>
      <c r="P105" s="3854"/>
      <c r="Q105" s="3854"/>
      <c r="R105" s="3854"/>
      <c r="S105" s="3854"/>
      <c r="T105" s="3854"/>
      <c r="U105" s="3854"/>
      <c r="V105" s="3854"/>
      <c r="W105" s="3854"/>
      <c r="X105" s="3854"/>
      <c r="Y105" s="3854"/>
      <c r="Z105" s="3854"/>
      <c r="AA105" s="1783"/>
      <c r="AB105" s="1783"/>
      <c r="AC105" s="1783"/>
      <c r="AD105" s="1783"/>
      <c r="AE105" s="1783"/>
      <c r="AF105" s="1783"/>
      <c r="AG105" s="1783"/>
      <c r="AH105" s="1783"/>
      <c r="AI105" s="1783"/>
      <c r="AJ105" s="1783"/>
      <c r="AK105" s="1783"/>
      <c r="AL105" s="1783"/>
      <c r="AM105" s="1783"/>
      <c r="AN105" s="1783"/>
      <c r="AO105" s="1783"/>
      <c r="AP105" s="1783"/>
      <c r="AQ105" s="1783"/>
      <c r="AR105" s="1783"/>
      <c r="AS105" s="1783"/>
      <c r="AT105" s="1783"/>
      <c r="AU105" s="1783"/>
      <c r="AV105" s="1783"/>
      <c r="AW105" s="1783"/>
      <c r="AX105" s="1783"/>
      <c r="AY105" s="1783"/>
      <c r="AZ105" s="1783"/>
      <c r="BA105" s="1783"/>
      <c r="BB105" s="1783"/>
    </row>
    <row r="106" spans="1:62" ht="62.25" customHeight="1" x14ac:dyDescent="0.3">
      <c r="A106" s="7126" t="s">
        <v>1298</v>
      </c>
      <c r="B106" s="7126"/>
      <c r="D106" s="3855"/>
      <c r="E106" s="3855"/>
      <c r="F106" s="3855"/>
      <c r="G106" s="3855"/>
      <c r="H106" s="3855"/>
      <c r="I106" s="3855"/>
      <c r="J106" s="3855"/>
      <c r="K106" s="3855"/>
      <c r="L106" s="3855"/>
      <c r="M106" s="3855"/>
      <c r="N106" s="3855"/>
      <c r="O106" s="3855"/>
      <c r="P106" s="3855"/>
      <c r="Q106" s="3855"/>
      <c r="R106" s="3855"/>
      <c r="S106" s="3855"/>
      <c r="T106" s="3855"/>
      <c r="U106" s="3855"/>
      <c r="V106" s="3855"/>
      <c r="W106" s="3855"/>
      <c r="X106" s="3855"/>
      <c r="Y106" s="3855"/>
      <c r="Z106" s="3855"/>
      <c r="AB106" s="3855"/>
      <c r="AC106" s="3855"/>
      <c r="AD106" s="3855"/>
      <c r="AE106" s="3855"/>
      <c r="AF106" s="3855"/>
      <c r="AG106" s="3855"/>
      <c r="AH106" s="3855"/>
      <c r="AI106" s="3855"/>
      <c r="AJ106" s="3855"/>
      <c r="AK106" s="3855"/>
      <c r="AL106" s="3855"/>
      <c r="AM106" s="3855"/>
      <c r="AN106" s="3855"/>
      <c r="AO106" s="3855"/>
      <c r="AP106" s="3855"/>
      <c r="AQ106" s="3855"/>
      <c r="AR106" s="3855"/>
      <c r="AS106" s="3855"/>
      <c r="AT106" s="3855"/>
      <c r="AU106" s="3855"/>
      <c r="AV106" s="3855"/>
      <c r="AW106" s="3855"/>
      <c r="AX106" s="3856"/>
      <c r="AY106" s="3855"/>
      <c r="AZ106" s="3855"/>
      <c r="BA106" s="3855"/>
      <c r="BF106" s="4585"/>
      <c r="BJ106" s="5302" t="s">
        <v>1295</v>
      </c>
    </row>
    <row r="107" spans="1:62" x14ac:dyDescent="0.2">
      <c r="A107" s="3853"/>
      <c r="B107" s="3853"/>
      <c r="C107" s="3853"/>
      <c r="D107" s="3853"/>
      <c r="E107" s="3853"/>
      <c r="F107" s="3853"/>
      <c r="G107" s="3853"/>
      <c r="H107" s="3853"/>
      <c r="I107" s="3853"/>
      <c r="J107" s="3853"/>
      <c r="K107" s="3853"/>
      <c r="L107" s="3853"/>
      <c r="M107" s="3853"/>
      <c r="N107" s="3853"/>
      <c r="O107" s="3853"/>
      <c r="P107" s="3853"/>
      <c r="Q107" s="3853"/>
      <c r="R107" s="3853"/>
      <c r="S107" s="3853"/>
      <c r="T107" s="3853"/>
      <c r="U107" s="3853"/>
      <c r="V107" s="3853"/>
      <c r="W107" s="1783"/>
      <c r="X107" s="1783"/>
      <c r="Y107" s="1783"/>
      <c r="Z107" s="1783"/>
      <c r="AA107" s="1783"/>
      <c r="AB107" s="1783"/>
      <c r="AC107" s="1783"/>
      <c r="AD107" s="1783"/>
      <c r="AE107" s="1783"/>
      <c r="AF107" s="1783"/>
      <c r="AG107" s="1783"/>
      <c r="AH107" s="1783"/>
      <c r="AI107" s="1783"/>
      <c r="AJ107" s="1783"/>
      <c r="AK107" s="1783"/>
      <c r="AL107" s="1783"/>
      <c r="AM107" s="1783"/>
      <c r="AN107" s="1783"/>
      <c r="AO107" s="1783"/>
      <c r="AP107" s="1783"/>
      <c r="AQ107" s="1783"/>
      <c r="AR107" s="1783"/>
      <c r="AS107" s="1783"/>
      <c r="AT107" s="1783"/>
      <c r="AU107" s="1783"/>
      <c r="AV107" s="1783"/>
      <c r="AW107" s="1783"/>
      <c r="AX107" s="1783"/>
      <c r="AY107" s="1783"/>
      <c r="AZ107" s="1783"/>
      <c r="BA107" s="1783"/>
      <c r="BB107" s="1783"/>
    </row>
    <row r="108" spans="1:62" x14ac:dyDescent="0.2">
      <c r="A108" s="7134" t="s">
        <v>16</v>
      </c>
      <c r="B108" s="7136" t="s">
        <v>4</v>
      </c>
      <c r="C108" s="7139">
        <v>2003</v>
      </c>
      <c r="D108" s="7140"/>
      <c r="E108" s="7140"/>
      <c r="F108" s="7141"/>
      <c r="G108" s="7139">
        <v>2004</v>
      </c>
      <c r="H108" s="7140"/>
      <c r="I108" s="7140"/>
      <c r="J108" s="7141"/>
      <c r="K108" s="7139">
        <v>2005</v>
      </c>
      <c r="L108" s="7140"/>
      <c r="M108" s="7140"/>
      <c r="N108" s="7141"/>
      <c r="O108" s="7139">
        <v>2006</v>
      </c>
      <c r="P108" s="7140"/>
      <c r="Q108" s="7140"/>
      <c r="R108" s="7141"/>
      <c r="S108" s="7139">
        <v>2007</v>
      </c>
      <c r="T108" s="7140"/>
      <c r="U108" s="7140"/>
      <c r="V108" s="7141"/>
      <c r="W108" s="7139">
        <v>2008</v>
      </c>
      <c r="X108" s="7140"/>
      <c r="Y108" s="7140"/>
      <c r="Z108" s="7141"/>
      <c r="AA108" s="7139">
        <v>2009</v>
      </c>
      <c r="AB108" s="7140"/>
      <c r="AC108" s="7140"/>
      <c r="AD108" s="7141"/>
      <c r="AE108" s="7139">
        <v>2010</v>
      </c>
      <c r="AF108" s="7140"/>
      <c r="AG108" s="7140"/>
      <c r="AH108" s="7141"/>
      <c r="AI108" s="7139">
        <v>2011</v>
      </c>
      <c r="AJ108" s="7140"/>
      <c r="AK108" s="7140"/>
      <c r="AL108" s="7141"/>
      <c r="AM108" s="7139">
        <v>2012</v>
      </c>
      <c r="AN108" s="7140"/>
      <c r="AO108" s="7140"/>
      <c r="AP108" s="7141"/>
      <c r="AQ108" s="7139">
        <v>2013</v>
      </c>
      <c r="AR108" s="7140"/>
      <c r="AS108" s="7140"/>
      <c r="AT108" s="7141"/>
      <c r="AU108" s="7139">
        <v>2014</v>
      </c>
      <c r="AV108" s="7140"/>
      <c r="AW108" s="7140"/>
      <c r="AX108" s="7141"/>
      <c r="AY108" s="7139">
        <v>2015</v>
      </c>
      <c r="AZ108" s="7140"/>
      <c r="BA108" s="7140"/>
      <c r="BB108" s="7141"/>
      <c r="BC108" s="7139">
        <v>2016</v>
      </c>
      <c r="BD108" s="7140"/>
      <c r="BE108" s="7140"/>
      <c r="BF108" s="7141"/>
      <c r="BG108" s="7139">
        <v>2017</v>
      </c>
      <c r="BH108" s="7140"/>
      <c r="BI108" s="7140"/>
      <c r="BJ108" s="7141"/>
    </row>
    <row r="109" spans="1:62" x14ac:dyDescent="0.2">
      <c r="A109" s="7135"/>
      <c r="B109" s="7137"/>
      <c r="C109" s="3798" t="s">
        <v>1286</v>
      </c>
      <c r="D109" s="3799" t="s">
        <v>1287</v>
      </c>
      <c r="E109" s="3800" t="s">
        <v>1288</v>
      </c>
      <c r="F109" s="3801" t="s">
        <v>12</v>
      </c>
      <c r="G109" s="3798" t="s">
        <v>1286</v>
      </c>
      <c r="H109" s="3799" t="s">
        <v>1287</v>
      </c>
      <c r="I109" s="3800" t="s">
        <v>1288</v>
      </c>
      <c r="J109" s="3801" t="s">
        <v>12</v>
      </c>
      <c r="K109" s="3798" t="s">
        <v>1286</v>
      </c>
      <c r="L109" s="3799" t="s">
        <v>1287</v>
      </c>
      <c r="M109" s="3800" t="s">
        <v>1288</v>
      </c>
      <c r="N109" s="3801" t="s">
        <v>12</v>
      </c>
      <c r="O109" s="3798" t="s">
        <v>1286</v>
      </c>
      <c r="P109" s="3799" t="s">
        <v>1287</v>
      </c>
      <c r="Q109" s="3800" t="s">
        <v>1288</v>
      </c>
      <c r="R109" s="3801" t="s">
        <v>12</v>
      </c>
      <c r="S109" s="3798" t="s">
        <v>1286</v>
      </c>
      <c r="T109" s="3799" t="s">
        <v>1287</v>
      </c>
      <c r="U109" s="3800" t="s">
        <v>1288</v>
      </c>
      <c r="V109" s="3801" t="s">
        <v>12</v>
      </c>
      <c r="W109" s="3798" t="s">
        <v>1286</v>
      </c>
      <c r="X109" s="3799" t="s">
        <v>1287</v>
      </c>
      <c r="Y109" s="3800" t="s">
        <v>1288</v>
      </c>
      <c r="Z109" s="3801" t="s">
        <v>12</v>
      </c>
      <c r="AA109" s="3798" t="s">
        <v>1286</v>
      </c>
      <c r="AB109" s="3799" t="s">
        <v>1287</v>
      </c>
      <c r="AC109" s="3800" t="s">
        <v>1288</v>
      </c>
      <c r="AD109" s="3801" t="s">
        <v>12</v>
      </c>
      <c r="AE109" s="3798" t="s">
        <v>1286</v>
      </c>
      <c r="AF109" s="3799" t="s">
        <v>1287</v>
      </c>
      <c r="AG109" s="3800" t="s">
        <v>1288</v>
      </c>
      <c r="AH109" s="3801" t="s">
        <v>12</v>
      </c>
      <c r="AI109" s="3798" t="s">
        <v>1286</v>
      </c>
      <c r="AJ109" s="3799" t="s">
        <v>1287</v>
      </c>
      <c r="AK109" s="3800" t="s">
        <v>1288</v>
      </c>
      <c r="AL109" s="3801" t="s">
        <v>12</v>
      </c>
      <c r="AM109" s="3798" t="s">
        <v>1286</v>
      </c>
      <c r="AN109" s="3799" t="s">
        <v>1287</v>
      </c>
      <c r="AO109" s="3800" t="s">
        <v>1288</v>
      </c>
      <c r="AP109" s="3801" t="s">
        <v>12</v>
      </c>
      <c r="AQ109" s="3798" t="s">
        <v>1286</v>
      </c>
      <c r="AR109" s="3799" t="s">
        <v>1287</v>
      </c>
      <c r="AS109" s="3800" t="s">
        <v>1288</v>
      </c>
      <c r="AT109" s="3801" t="s">
        <v>12</v>
      </c>
      <c r="AU109" s="3798" t="s">
        <v>1286</v>
      </c>
      <c r="AV109" s="3799" t="s">
        <v>1287</v>
      </c>
      <c r="AW109" s="3800" t="s">
        <v>1288</v>
      </c>
      <c r="AX109" s="3801" t="s">
        <v>12</v>
      </c>
      <c r="AY109" s="3798" t="s">
        <v>1286</v>
      </c>
      <c r="AZ109" s="3799" t="s">
        <v>1287</v>
      </c>
      <c r="BA109" s="3800" t="s">
        <v>1288</v>
      </c>
      <c r="BB109" s="3801" t="s">
        <v>12</v>
      </c>
      <c r="BC109" s="3798" t="s">
        <v>1286</v>
      </c>
      <c r="BD109" s="3799" t="s">
        <v>1287</v>
      </c>
      <c r="BE109" s="3800" t="s">
        <v>1288</v>
      </c>
      <c r="BF109" s="3801" t="s">
        <v>12</v>
      </c>
      <c r="BG109" s="3798" t="s">
        <v>1286</v>
      </c>
      <c r="BH109" s="3799" t="s">
        <v>1287</v>
      </c>
      <c r="BI109" s="3800" t="s">
        <v>1288</v>
      </c>
      <c r="BJ109" s="3801" t="s">
        <v>12</v>
      </c>
    </row>
    <row r="110" spans="1:62" x14ac:dyDescent="0.2">
      <c r="A110" s="1783"/>
      <c r="B110" s="1783"/>
      <c r="C110" s="1783"/>
      <c r="D110" s="1783"/>
      <c r="E110" s="1783"/>
      <c r="F110" s="1783"/>
      <c r="G110" s="1783"/>
      <c r="H110" s="1783"/>
      <c r="I110" s="1783"/>
      <c r="J110" s="1783"/>
      <c r="K110" s="1783"/>
      <c r="L110" s="1783"/>
      <c r="M110" s="1783"/>
      <c r="N110" s="1783"/>
      <c r="O110" s="1783"/>
      <c r="P110" s="1783"/>
      <c r="Q110" s="1783"/>
      <c r="R110" s="1783"/>
      <c r="S110" s="1783"/>
      <c r="T110" s="1783"/>
      <c r="U110" s="1783"/>
      <c r="V110" s="1783"/>
      <c r="W110" s="1783"/>
      <c r="X110" s="1783"/>
      <c r="Y110" s="1783"/>
      <c r="Z110" s="1783"/>
      <c r="AA110" s="1783"/>
      <c r="AB110" s="1783"/>
      <c r="AC110" s="1783"/>
      <c r="AD110" s="1783"/>
      <c r="AE110" s="1783"/>
      <c r="AF110" s="1783"/>
      <c r="AG110" s="1783"/>
      <c r="AH110" s="1783"/>
      <c r="AI110" s="1783"/>
      <c r="AJ110" s="1783"/>
      <c r="AK110" s="1783"/>
      <c r="AL110" s="1783"/>
      <c r="AM110" s="1783"/>
      <c r="AN110" s="1783"/>
      <c r="AO110" s="1783"/>
      <c r="AP110" s="1783"/>
      <c r="AQ110" s="1783"/>
      <c r="AR110" s="1783"/>
      <c r="AS110" s="1783"/>
      <c r="AT110" s="1783"/>
      <c r="AU110" s="1783"/>
      <c r="AV110" s="1783"/>
      <c r="AW110" s="1783"/>
      <c r="AX110" s="1783"/>
      <c r="AY110" s="1783"/>
      <c r="AZ110" s="1783"/>
      <c r="BA110" s="1783"/>
      <c r="BB110" s="1783"/>
      <c r="BC110" s="1783"/>
      <c r="BD110" s="1783"/>
      <c r="BE110" s="1783"/>
      <c r="BF110" s="1783"/>
      <c r="BG110" s="1783"/>
      <c r="BH110" s="1783"/>
      <c r="BI110" s="1783"/>
      <c r="BJ110" s="1783"/>
    </row>
    <row r="111" spans="1:62" x14ac:dyDescent="0.2">
      <c r="A111" s="7128" t="s">
        <v>161</v>
      </c>
      <c r="B111" s="3705" t="s">
        <v>5</v>
      </c>
      <c r="C111" s="3802">
        <v>6</v>
      </c>
      <c r="D111" s="3803">
        <v>18</v>
      </c>
      <c r="E111" s="3803">
        <v>20</v>
      </c>
      <c r="F111" s="3804">
        <v>44</v>
      </c>
      <c r="G111" s="3802">
        <v>2</v>
      </c>
      <c r="H111" s="3803">
        <v>17</v>
      </c>
      <c r="I111" s="3803">
        <v>25</v>
      </c>
      <c r="J111" s="3804">
        <v>44</v>
      </c>
      <c r="K111" s="3802">
        <v>5</v>
      </c>
      <c r="L111" s="3803">
        <v>16</v>
      </c>
      <c r="M111" s="3803">
        <v>23</v>
      </c>
      <c r="N111" s="3805">
        <v>44</v>
      </c>
      <c r="O111" s="3802">
        <v>4</v>
      </c>
      <c r="P111" s="3803">
        <v>16</v>
      </c>
      <c r="Q111" s="3803">
        <v>26</v>
      </c>
      <c r="R111" s="3804">
        <v>46</v>
      </c>
      <c r="S111" s="3803">
        <v>5</v>
      </c>
      <c r="T111" s="3803">
        <v>17</v>
      </c>
      <c r="U111" s="3803">
        <v>24</v>
      </c>
      <c r="V111" s="3804">
        <v>46</v>
      </c>
      <c r="W111" s="3803">
        <v>4</v>
      </c>
      <c r="X111" s="3803">
        <v>17</v>
      </c>
      <c r="Y111" s="3803">
        <v>22</v>
      </c>
      <c r="Z111" s="3804">
        <v>43</v>
      </c>
      <c r="AA111" s="3803">
        <v>3</v>
      </c>
      <c r="AB111" s="3803">
        <v>16</v>
      </c>
      <c r="AC111" s="3803">
        <v>23</v>
      </c>
      <c r="AD111" s="3804">
        <v>42</v>
      </c>
      <c r="AE111" s="3803">
        <v>3</v>
      </c>
      <c r="AF111" s="3803">
        <v>15</v>
      </c>
      <c r="AG111" s="3803">
        <v>21</v>
      </c>
      <c r="AH111" s="3804">
        <v>39</v>
      </c>
      <c r="AI111" s="3803">
        <v>3</v>
      </c>
      <c r="AJ111" s="3803">
        <v>15</v>
      </c>
      <c r="AK111" s="3803">
        <v>21</v>
      </c>
      <c r="AL111" s="3804">
        <f>SUM(AI111:AK111)</f>
        <v>39</v>
      </c>
      <c r="AM111" s="3803">
        <v>3</v>
      </c>
      <c r="AN111" s="3803">
        <v>15</v>
      </c>
      <c r="AO111" s="3803">
        <v>20</v>
      </c>
      <c r="AP111" s="3804">
        <f>SUM(AM111:AO111)</f>
        <v>38</v>
      </c>
      <c r="AQ111" s="3803">
        <v>3</v>
      </c>
      <c r="AR111" s="3803">
        <v>15</v>
      </c>
      <c r="AS111" s="3803">
        <v>19</v>
      </c>
      <c r="AT111" s="3804">
        <f>SUM(AQ111:AS111)</f>
        <v>37</v>
      </c>
      <c r="AU111" s="3803">
        <v>3</v>
      </c>
      <c r="AV111" s="3803">
        <v>15</v>
      </c>
      <c r="AW111" s="3803">
        <v>18</v>
      </c>
      <c r="AX111" s="3804">
        <f>SUM(AU111:AW111)</f>
        <v>36</v>
      </c>
      <c r="AY111" s="3803">
        <v>3</v>
      </c>
      <c r="AZ111" s="3803">
        <v>14</v>
      </c>
      <c r="BA111" s="3803">
        <v>17</v>
      </c>
      <c r="BB111" s="3804">
        <f>SUM(AY111:BA111)</f>
        <v>34</v>
      </c>
      <c r="BC111" s="3803">
        <v>3</v>
      </c>
      <c r="BD111" s="3803">
        <v>13</v>
      </c>
      <c r="BE111" s="3803">
        <v>16</v>
      </c>
      <c r="BF111" s="3804">
        <f>SUM(BC111:BE111)</f>
        <v>32</v>
      </c>
      <c r="BG111" s="3803">
        <v>3</v>
      </c>
      <c r="BH111" s="3803">
        <v>11</v>
      </c>
      <c r="BI111" s="3803">
        <v>16</v>
      </c>
      <c r="BJ111" s="3804">
        <f>SUM(BG111:BI111)</f>
        <v>30</v>
      </c>
    </row>
    <row r="112" spans="1:62" x14ac:dyDescent="0.2">
      <c r="A112" s="5779"/>
      <c r="B112" s="1784" t="s">
        <v>6</v>
      </c>
      <c r="C112" s="3806">
        <v>1</v>
      </c>
      <c r="D112" s="3807">
        <v>5</v>
      </c>
      <c r="E112" s="3807"/>
      <c r="F112" s="3808">
        <v>6</v>
      </c>
      <c r="G112" s="3806">
        <v>1</v>
      </c>
      <c r="H112" s="3807">
        <v>4</v>
      </c>
      <c r="I112" s="3807">
        <v>1</v>
      </c>
      <c r="J112" s="3808">
        <v>6</v>
      </c>
      <c r="K112" s="3806">
        <v>1</v>
      </c>
      <c r="L112" s="3807">
        <v>4</v>
      </c>
      <c r="M112" s="3807">
        <v>1</v>
      </c>
      <c r="N112" s="3809">
        <v>6</v>
      </c>
      <c r="O112" s="3806">
        <v>1</v>
      </c>
      <c r="P112" s="3807">
        <v>4</v>
      </c>
      <c r="Q112" s="3807"/>
      <c r="R112" s="3808">
        <v>5</v>
      </c>
      <c r="S112" s="3807">
        <v>1</v>
      </c>
      <c r="T112" s="3807">
        <v>4</v>
      </c>
      <c r="U112" s="3807"/>
      <c r="V112" s="3808">
        <v>5</v>
      </c>
      <c r="W112" s="3807">
        <v>1</v>
      </c>
      <c r="X112" s="3807">
        <v>3</v>
      </c>
      <c r="Y112" s="3807"/>
      <c r="Z112" s="3808">
        <v>4</v>
      </c>
      <c r="AA112" s="3807">
        <v>1</v>
      </c>
      <c r="AB112" s="3807">
        <v>3</v>
      </c>
      <c r="AC112" s="3807"/>
      <c r="AD112" s="3808">
        <v>4</v>
      </c>
      <c r="AE112" s="3807">
        <v>1</v>
      </c>
      <c r="AF112" s="3807">
        <v>5</v>
      </c>
      <c r="AG112" s="3807"/>
      <c r="AH112" s="3808">
        <v>6</v>
      </c>
      <c r="AI112" s="3807">
        <v>1</v>
      </c>
      <c r="AJ112" s="3807">
        <v>9</v>
      </c>
      <c r="AK112" s="3807"/>
      <c r="AL112" s="3808">
        <f>SUM(AI112:AK112)</f>
        <v>10</v>
      </c>
      <c r="AM112" s="3807">
        <v>1</v>
      </c>
      <c r="AN112" s="3807">
        <v>11</v>
      </c>
      <c r="AO112" s="3807"/>
      <c r="AP112" s="3808">
        <f>SUM(AM112:AO112)</f>
        <v>12</v>
      </c>
      <c r="AQ112" s="3807">
        <v>1</v>
      </c>
      <c r="AR112" s="3807">
        <v>10</v>
      </c>
      <c r="AS112" s="3807"/>
      <c r="AT112" s="3808">
        <f>SUM(AQ112:AS112)</f>
        <v>11</v>
      </c>
      <c r="AU112" s="3807">
        <v>1</v>
      </c>
      <c r="AV112" s="3807">
        <v>11</v>
      </c>
      <c r="AW112" s="3807"/>
      <c r="AX112" s="3808">
        <f>SUM(AU112:AW112)</f>
        <v>12</v>
      </c>
      <c r="AY112" s="3807">
        <v>1</v>
      </c>
      <c r="AZ112" s="3807">
        <v>14</v>
      </c>
      <c r="BA112" s="3807">
        <v>0</v>
      </c>
      <c r="BB112" s="3808">
        <f>SUM(AY112:BA112)</f>
        <v>15</v>
      </c>
      <c r="BC112" s="3807">
        <v>1</v>
      </c>
      <c r="BD112" s="3807">
        <v>14</v>
      </c>
      <c r="BE112" s="3807">
        <v>0</v>
      </c>
      <c r="BF112" s="3808">
        <f>SUM(BC112:BE112)</f>
        <v>15</v>
      </c>
      <c r="BG112" s="3807">
        <v>1</v>
      </c>
      <c r="BH112" s="3807">
        <v>14</v>
      </c>
      <c r="BI112" s="3807"/>
      <c r="BJ112" s="3808">
        <f t="shared" ref="BJ112:BJ113" si="76">SUM(BG112:BI112)</f>
        <v>15</v>
      </c>
    </row>
    <row r="113" spans="1:62" x14ac:dyDescent="0.2">
      <c r="A113" s="5779"/>
      <c r="B113" s="1784" t="s">
        <v>7</v>
      </c>
      <c r="C113" s="3806"/>
      <c r="D113" s="3807">
        <v>3</v>
      </c>
      <c r="E113" s="3807">
        <v>4</v>
      </c>
      <c r="F113" s="3808">
        <v>7</v>
      </c>
      <c r="G113" s="3806">
        <v>1</v>
      </c>
      <c r="H113" s="3807"/>
      <c r="I113" s="3807">
        <v>6</v>
      </c>
      <c r="J113" s="3808">
        <v>7</v>
      </c>
      <c r="K113" s="3806"/>
      <c r="L113" s="3807">
        <v>1</v>
      </c>
      <c r="M113" s="3807">
        <v>7</v>
      </c>
      <c r="N113" s="3809">
        <v>8</v>
      </c>
      <c r="O113" s="3806"/>
      <c r="P113" s="3807"/>
      <c r="Q113" s="3807">
        <v>6</v>
      </c>
      <c r="R113" s="3808">
        <v>6</v>
      </c>
      <c r="S113" s="3807"/>
      <c r="T113" s="3807">
        <v>1</v>
      </c>
      <c r="U113" s="3807">
        <v>6</v>
      </c>
      <c r="V113" s="3808">
        <v>7</v>
      </c>
      <c r="W113" s="3807"/>
      <c r="X113" s="3807">
        <v>1</v>
      </c>
      <c r="Y113" s="3807">
        <v>4</v>
      </c>
      <c r="Z113" s="3808">
        <v>5</v>
      </c>
      <c r="AA113" s="3807"/>
      <c r="AB113" s="3807">
        <v>1</v>
      </c>
      <c r="AC113" s="3807">
        <v>4</v>
      </c>
      <c r="AD113" s="3808">
        <v>5</v>
      </c>
      <c r="AE113" s="3807"/>
      <c r="AF113" s="3807">
        <v>1</v>
      </c>
      <c r="AG113" s="3807">
        <v>4</v>
      </c>
      <c r="AH113" s="3808">
        <v>5</v>
      </c>
      <c r="AI113" s="3807"/>
      <c r="AJ113" s="3807">
        <v>2</v>
      </c>
      <c r="AK113" s="3807">
        <v>4</v>
      </c>
      <c r="AL113" s="3808">
        <f>SUM(AI113:AK113)</f>
        <v>6</v>
      </c>
      <c r="AM113" s="3807"/>
      <c r="AN113" s="3807">
        <v>2</v>
      </c>
      <c r="AO113" s="3807">
        <v>4</v>
      </c>
      <c r="AP113" s="3808">
        <f>SUM(AM113:AO113)</f>
        <v>6</v>
      </c>
      <c r="AQ113" s="3807"/>
      <c r="AR113" s="3807">
        <v>2</v>
      </c>
      <c r="AS113" s="3807">
        <v>4</v>
      </c>
      <c r="AT113" s="3808">
        <f>SUM(AQ113:AS113)</f>
        <v>6</v>
      </c>
      <c r="AU113" s="3807"/>
      <c r="AV113" s="3807">
        <v>2</v>
      </c>
      <c r="AW113" s="3807">
        <v>6</v>
      </c>
      <c r="AX113" s="3808">
        <f>SUM(AU113:AW113)</f>
        <v>8</v>
      </c>
      <c r="AY113" s="3807">
        <v>0</v>
      </c>
      <c r="AZ113" s="3807">
        <v>2</v>
      </c>
      <c r="BA113" s="3807">
        <v>6</v>
      </c>
      <c r="BB113" s="3808">
        <f>SUM(AY113:BA113)</f>
        <v>8</v>
      </c>
      <c r="BC113" s="3807">
        <v>0</v>
      </c>
      <c r="BD113" s="3807">
        <v>2</v>
      </c>
      <c r="BE113" s="3807">
        <v>5</v>
      </c>
      <c r="BF113" s="3808">
        <f>SUM(BC113:BE113)</f>
        <v>7</v>
      </c>
      <c r="BG113" s="3807"/>
      <c r="BH113" s="3807">
        <v>2</v>
      </c>
      <c r="BI113" s="3807">
        <v>5</v>
      </c>
      <c r="BJ113" s="3808">
        <f t="shared" si="76"/>
        <v>7</v>
      </c>
    </row>
    <row r="114" spans="1:62" x14ac:dyDescent="0.2">
      <c r="A114" s="5780"/>
      <c r="B114" s="3813" t="s">
        <v>12</v>
      </c>
      <c r="C114" s="3814">
        <v>7</v>
      </c>
      <c r="D114" s="3815">
        <v>26</v>
      </c>
      <c r="E114" s="3815">
        <v>24</v>
      </c>
      <c r="F114" s="3816">
        <v>57</v>
      </c>
      <c r="G114" s="3814">
        <v>4</v>
      </c>
      <c r="H114" s="3815">
        <v>21</v>
      </c>
      <c r="I114" s="3815">
        <v>32</v>
      </c>
      <c r="J114" s="3816">
        <v>57</v>
      </c>
      <c r="K114" s="3814">
        <v>6</v>
      </c>
      <c r="L114" s="3815">
        <v>21</v>
      </c>
      <c r="M114" s="3815">
        <v>31</v>
      </c>
      <c r="N114" s="3815">
        <v>58</v>
      </c>
      <c r="O114" s="3814">
        <v>5</v>
      </c>
      <c r="P114" s="3815">
        <v>20</v>
      </c>
      <c r="Q114" s="3815">
        <v>32</v>
      </c>
      <c r="R114" s="3816">
        <v>57</v>
      </c>
      <c r="S114" s="3815">
        <v>6</v>
      </c>
      <c r="T114" s="3815">
        <v>22</v>
      </c>
      <c r="U114" s="3815">
        <v>30</v>
      </c>
      <c r="V114" s="3816">
        <v>58</v>
      </c>
      <c r="W114" s="3814">
        <v>5</v>
      </c>
      <c r="X114" s="3815">
        <v>21</v>
      </c>
      <c r="Y114" s="3815">
        <v>26</v>
      </c>
      <c r="Z114" s="3816">
        <v>52</v>
      </c>
      <c r="AA114" s="3814">
        <v>4</v>
      </c>
      <c r="AB114" s="3815">
        <v>20</v>
      </c>
      <c r="AC114" s="3815">
        <v>27</v>
      </c>
      <c r="AD114" s="3816">
        <v>51</v>
      </c>
      <c r="AE114" s="3814">
        <v>4</v>
      </c>
      <c r="AF114" s="3815">
        <v>21</v>
      </c>
      <c r="AG114" s="3815">
        <v>25</v>
      </c>
      <c r="AH114" s="3816">
        <v>50</v>
      </c>
      <c r="AI114" s="3814">
        <f t="shared" ref="AI114:AX114" si="77">SUM(AI111:AI113)</f>
        <v>4</v>
      </c>
      <c r="AJ114" s="3815">
        <f t="shared" si="77"/>
        <v>26</v>
      </c>
      <c r="AK114" s="3815">
        <f t="shared" si="77"/>
        <v>25</v>
      </c>
      <c r="AL114" s="3816">
        <f t="shared" si="77"/>
        <v>55</v>
      </c>
      <c r="AM114" s="3814">
        <f t="shared" si="77"/>
        <v>4</v>
      </c>
      <c r="AN114" s="3815">
        <f t="shared" si="77"/>
        <v>28</v>
      </c>
      <c r="AO114" s="3815">
        <f t="shared" si="77"/>
        <v>24</v>
      </c>
      <c r="AP114" s="3816">
        <f t="shared" si="77"/>
        <v>56</v>
      </c>
      <c r="AQ114" s="3814">
        <f t="shared" si="77"/>
        <v>4</v>
      </c>
      <c r="AR114" s="3815">
        <f t="shared" si="77"/>
        <v>27</v>
      </c>
      <c r="AS114" s="3815">
        <f t="shared" si="77"/>
        <v>23</v>
      </c>
      <c r="AT114" s="3816">
        <f t="shared" si="77"/>
        <v>54</v>
      </c>
      <c r="AU114" s="3814">
        <f t="shared" si="77"/>
        <v>4</v>
      </c>
      <c r="AV114" s="3815">
        <f t="shared" si="77"/>
        <v>28</v>
      </c>
      <c r="AW114" s="3815">
        <f t="shared" si="77"/>
        <v>24</v>
      </c>
      <c r="AX114" s="3816">
        <f t="shared" si="77"/>
        <v>56</v>
      </c>
      <c r="AY114" s="3814">
        <f t="shared" ref="AY114:BF114" si="78">SUM(AY111:AY113)</f>
        <v>4</v>
      </c>
      <c r="AZ114" s="3815">
        <f t="shared" si="78"/>
        <v>30</v>
      </c>
      <c r="BA114" s="3815">
        <f t="shared" si="78"/>
        <v>23</v>
      </c>
      <c r="BB114" s="3816">
        <f t="shared" si="78"/>
        <v>57</v>
      </c>
      <c r="BC114" s="3814">
        <f t="shared" si="78"/>
        <v>4</v>
      </c>
      <c r="BD114" s="3815">
        <f t="shared" si="78"/>
        <v>29</v>
      </c>
      <c r="BE114" s="3815">
        <f t="shared" si="78"/>
        <v>21</v>
      </c>
      <c r="BF114" s="3816">
        <f t="shared" si="78"/>
        <v>54</v>
      </c>
      <c r="BG114" s="3814">
        <f t="shared" ref="BG114:BJ114" si="79">SUM(BG111:BG113)</f>
        <v>4</v>
      </c>
      <c r="BH114" s="3815">
        <f t="shared" si="79"/>
        <v>27</v>
      </c>
      <c r="BI114" s="3815">
        <f t="shared" si="79"/>
        <v>21</v>
      </c>
      <c r="BJ114" s="3816">
        <f t="shared" si="79"/>
        <v>52</v>
      </c>
    </row>
    <row r="115" spans="1:62" ht="15.75" x14ac:dyDescent="0.25">
      <c r="A115" s="1781"/>
      <c r="B115" s="1783"/>
      <c r="C115" s="1783"/>
      <c r="D115" s="1783"/>
      <c r="E115" s="1783"/>
      <c r="F115" s="1783"/>
      <c r="G115" s="1783"/>
      <c r="H115" s="1783"/>
      <c r="I115" s="1783"/>
      <c r="J115" s="1783"/>
      <c r="K115" s="1783"/>
      <c r="L115" s="1783"/>
      <c r="M115" s="1783"/>
      <c r="N115" s="1783"/>
      <c r="O115" s="1783"/>
      <c r="P115" s="1783"/>
      <c r="Q115" s="1783"/>
      <c r="R115" s="1783"/>
      <c r="S115" s="1783"/>
      <c r="T115" s="1783"/>
      <c r="U115" s="1783"/>
      <c r="V115" s="1783"/>
      <c r="W115" s="1783"/>
      <c r="X115" s="1783"/>
      <c r="Y115" s="1783"/>
      <c r="Z115" s="1783"/>
      <c r="AA115" s="1783"/>
      <c r="AB115" s="1783"/>
      <c r="AC115" s="1783"/>
      <c r="AD115" s="1783"/>
      <c r="AE115" s="1783"/>
      <c r="AF115" s="1783"/>
      <c r="AG115" s="1783"/>
      <c r="AH115" s="1783"/>
      <c r="AI115" s="1783"/>
      <c r="AJ115" s="1783"/>
      <c r="AK115" s="1783"/>
      <c r="AL115" s="1783"/>
      <c r="AM115" s="1783"/>
      <c r="AN115" s="1783"/>
      <c r="AO115" s="1783"/>
      <c r="AP115" s="1783"/>
      <c r="AQ115" s="1783"/>
      <c r="AR115" s="1783"/>
      <c r="AS115" s="1783"/>
      <c r="AT115" s="1783"/>
      <c r="AU115" s="1783"/>
      <c r="AV115" s="1783"/>
      <c r="AW115" s="1783"/>
      <c r="AX115" s="1783"/>
      <c r="AY115" s="1783"/>
      <c r="AZ115" s="1783"/>
      <c r="BA115" s="1783"/>
      <c r="BB115" s="1783"/>
      <c r="BC115" s="1783"/>
      <c r="BD115" s="1783"/>
      <c r="BE115" s="1783"/>
      <c r="BF115" s="1783"/>
      <c r="BG115" s="1783"/>
      <c r="BH115" s="1783"/>
      <c r="BI115" s="1783"/>
      <c r="BJ115" s="1783"/>
    </row>
    <row r="116" spans="1:62" x14ac:dyDescent="0.2">
      <c r="A116" s="7138" t="s">
        <v>407</v>
      </c>
      <c r="B116" s="3705" t="s">
        <v>6</v>
      </c>
      <c r="C116" s="3817"/>
      <c r="D116" s="3818"/>
      <c r="E116" s="3818"/>
      <c r="F116" s="3819"/>
      <c r="G116" s="3817"/>
      <c r="H116" s="3818"/>
      <c r="I116" s="3818"/>
      <c r="J116" s="3819"/>
      <c r="K116" s="3817"/>
      <c r="L116" s="3818"/>
      <c r="M116" s="3818"/>
      <c r="N116" s="3869"/>
      <c r="O116" s="3817"/>
      <c r="P116" s="3818"/>
      <c r="Q116" s="3818"/>
      <c r="R116" s="3819"/>
      <c r="S116" s="3803"/>
      <c r="T116" s="3803"/>
      <c r="U116" s="3803"/>
      <c r="V116" s="3804"/>
      <c r="W116" s="3803"/>
      <c r="X116" s="3803"/>
      <c r="Y116" s="3803"/>
      <c r="Z116" s="3804"/>
      <c r="AA116" s="3803"/>
      <c r="AB116" s="3803"/>
      <c r="AC116" s="3803"/>
      <c r="AD116" s="3804"/>
      <c r="AE116" s="3803"/>
      <c r="AF116" s="3803"/>
      <c r="AG116" s="3803"/>
      <c r="AH116" s="3804"/>
      <c r="AI116" s="3803"/>
      <c r="AJ116" s="3803">
        <v>1</v>
      </c>
      <c r="AK116" s="3803"/>
      <c r="AL116" s="3804">
        <f>SUM(AI116:AK116)</f>
        <v>1</v>
      </c>
      <c r="AM116" s="3803"/>
      <c r="AN116" s="3803">
        <v>1</v>
      </c>
      <c r="AO116" s="3803"/>
      <c r="AP116" s="3804">
        <f>SUM(AM116:AO116)</f>
        <v>1</v>
      </c>
      <c r="AQ116" s="3803"/>
      <c r="AR116" s="3803">
        <v>1</v>
      </c>
      <c r="AS116" s="3803"/>
      <c r="AT116" s="3804">
        <f>SUM(AQ116:AS116)</f>
        <v>1</v>
      </c>
      <c r="AU116" s="3803"/>
      <c r="AV116" s="3803"/>
      <c r="AW116" s="3803"/>
      <c r="AX116" s="3804"/>
      <c r="AY116" s="3803"/>
      <c r="AZ116" s="3803"/>
      <c r="BA116" s="3803"/>
      <c r="BB116" s="3804"/>
      <c r="BC116" s="3803"/>
      <c r="BD116" s="3803"/>
      <c r="BE116" s="3803"/>
      <c r="BF116" s="3804"/>
      <c r="BG116" s="3803"/>
      <c r="BH116" s="3803"/>
      <c r="BI116" s="3803"/>
      <c r="BJ116" s="3804"/>
    </row>
    <row r="117" spans="1:62" x14ac:dyDescent="0.2">
      <c r="A117" s="5782"/>
      <c r="B117" s="1784" t="s">
        <v>9</v>
      </c>
      <c r="C117" s="3820"/>
      <c r="D117" s="3821"/>
      <c r="E117" s="3821"/>
      <c r="F117" s="3822"/>
      <c r="G117" s="3820"/>
      <c r="H117" s="3821"/>
      <c r="I117" s="3821"/>
      <c r="J117" s="3822"/>
      <c r="K117" s="3820"/>
      <c r="L117" s="3821"/>
      <c r="M117" s="3821"/>
      <c r="N117" s="3870"/>
      <c r="O117" s="3820"/>
      <c r="P117" s="3821"/>
      <c r="Q117" s="3821"/>
      <c r="R117" s="3822"/>
      <c r="S117" s="3807"/>
      <c r="T117" s="3807"/>
      <c r="U117" s="3807"/>
      <c r="V117" s="3808"/>
      <c r="W117" s="3807"/>
      <c r="X117" s="3807"/>
      <c r="Y117" s="3807"/>
      <c r="Z117" s="3808"/>
      <c r="AA117" s="3807"/>
      <c r="AB117" s="3807"/>
      <c r="AC117" s="3807"/>
      <c r="AD117" s="3808"/>
      <c r="AE117" s="3807"/>
      <c r="AF117" s="3807"/>
      <c r="AG117" s="3807"/>
      <c r="AH117" s="3808"/>
      <c r="AI117" s="3807"/>
      <c r="AJ117" s="3807">
        <v>1</v>
      </c>
      <c r="AK117" s="3807"/>
      <c r="AL117" s="3808">
        <f>SUM(AI117:AK117)</f>
        <v>1</v>
      </c>
      <c r="AM117" s="3807"/>
      <c r="AN117" s="3807">
        <v>1</v>
      </c>
      <c r="AO117" s="3807"/>
      <c r="AP117" s="3808">
        <f>SUM(AM117:AO117)</f>
        <v>1</v>
      </c>
      <c r="AQ117" s="3807"/>
      <c r="AR117" s="3807">
        <v>1</v>
      </c>
      <c r="AS117" s="3807">
        <v>1</v>
      </c>
      <c r="AT117" s="3808">
        <f>SUM(AQ117:AS117)</f>
        <v>2</v>
      </c>
      <c r="AU117" s="3807"/>
      <c r="AV117" s="3807">
        <v>1</v>
      </c>
      <c r="AW117" s="3807"/>
      <c r="AX117" s="3808">
        <f>SUM(AU117:AW117)</f>
        <v>1</v>
      </c>
      <c r="AY117" s="3807">
        <v>0</v>
      </c>
      <c r="AZ117" s="3807">
        <v>1</v>
      </c>
      <c r="BA117" s="3807">
        <v>0</v>
      </c>
      <c r="BB117" s="3808">
        <f>SUM(AY117:BA117)</f>
        <v>1</v>
      </c>
      <c r="BC117" s="3807">
        <v>0</v>
      </c>
      <c r="BD117" s="3807">
        <v>1</v>
      </c>
      <c r="BE117" s="3807">
        <v>4</v>
      </c>
      <c r="BF117" s="3808">
        <f>SUM(BC117:BE117)</f>
        <v>5</v>
      </c>
      <c r="BG117" s="3807"/>
      <c r="BH117" s="3807"/>
      <c r="BI117" s="3807"/>
      <c r="BJ117" s="3808">
        <f>SUM(BG117:BI117)</f>
        <v>0</v>
      </c>
    </row>
    <row r="118" spans="1:62" x14ac:dyDescent="0.2">
      <c r="A118" s="5782"/>
      <c r="B118" s="1784" t="s">
        <v>74</v>
      </c>
      <c r="C118" s="3820"/>
      <c r="D118" s="3821"/>
      <c r="E118" s="3821"/>
      <c r="F118" s="3822"/>
      <c r="G118" s="3820"/>
      <c r="H118" s="3821"/>
      <c r="I118" s="3821"/>
      <c r="J118" s="3822"/>
      <c r="K118" s="3820"/>
      <c r="L118" s="3821"/>
      <c r="M118" s="3821"/>
      <c r="N118" s="3870"/>
      <c r="O118" s="3820"/>
      <c r="P118" s="3821"/>
      <c r="Q118" s="3821"/>
      <c r="R118" s="3822"/>
      <c r="S118" s="3807"/>
      <c r="T118" s="3807"/>
      <c r="U118" s="3807"/>
      <c r="V118" s="3808"/>
      <c r="W118" s="3807"/>
      <c r="X118" s="3807"/>
      <c r="Y118" s="3807"/>
      <c r="Z118" s="3808"/>
      <c r="AA118" s="3807"/>
      <c r="AB118" s="3807"/>
      <c r="AC118" s="3807"/>
      <c r="AD118" s="3808"/>
      <c r="AE118" s="3807"/>
      <c r="AF118" s="3807"/>
      <c r="AG118" s="3807"/>
      <c r="AH118" s="3808"/>
      <c r="AI118" s="3807"/>
      <c r="AJ118" s="3807"/>
      <c r="AK118" s="3807"/>
      <c r="AL118" s="3808"/>
      <c r="AM118" s="3807"/>
      <c r="AN118" s="3807">
        <v>1</v>
      </c>
      <c r="AO118" s="3807"/>
      <c r="AP118" s="3808">
        <f>SUM(AM118:AO118)</f>
        <v>1</v>
      </c>
      <c r="AQ118" s="3807"/>
      <c r="AR118" s="3807"/>
      <c r="AS118" s="3807"/>
      <c r="AT118" s="3808"/>
      <c r="AU118" s="3807"/>
      <c r="AV118" s="3807">
        <v>1</v>
      </c>
      <c r="AW118" s="3807">
        <v>2</v>
      </c>
      <c r="AX118" s="3808">
        <f>SUM(AU118:AW118)</f>
        <v>3</v>
      </c>
      <c r="AY118" s="3807">
        <v>0</v>
      </c>
      <c r="AZ118" s="3807">
        <v>1</v>
      </c>
      <c r="BA118" s="3807">
        <v>4</v>
      </c>
      <c r="BB118" s="3808">
        <f>SUM(AY118:BA118)</f>
        <v>5</v>
      </c>
      <c r="BC118" s="3807"/>
      <c r="BD118" s="3807"/>
      <c r="BE118" s="3807"/>
      <c r="BF118" s="3808">
        <f>SUM(BC118:BE118)</f>
        <v>0</v>
      </c>
      <c r="BG118" s="3807"/>
      <c r="BH118" s="3807">
        <v>1</v>
      </c>
      <c r="BI118" s="3807">
        <v>4</v>
      </c>
      <c r="BJ118" s="3808">
        <f>SUM(BG118:BI118)</f>
        <v>5</v>
      </c>
    </row>
    <row r="119" spans="1:62" x14ac:dyDescent="0.2">
      <c r="A119" s="5783"/>
      <c r="B119" s="3823" t="s">
        <v>12</v>
      </c>
      <c r="C119" s="3824"/>
      <c r="D119" s="3825"/>
      <c r="E119" s="3825"/>
      <c r="F119" s="3826"/>
      <c r="G119" s="3824"/>
      <c r="H119" s="3825"/>
      <c r="I119" s="3825"/>
      <c r="J119" s="3826"/>
      <c r="K119" s="3824"/>
      <c r="L119" s="3825"/>
      <c r="M119" s="3825"/>
      <c r="N119" s="3825"/>
      <c r="O119" s="3824"/>
      <c r="P119" s="3825"/>
      <c r="Q119" s="3825"/>
      <c r="R119" s="3826"/>
      <c r="S119" s="3827"/>
      <c r="T119" s="3827"/>
      <c r="U119" s="3827"/>
      <c r="V119" s="3828"/>
      <c r="W119" s="3829"/>
      <c r="X119" s="3827"/>
      <c r="Y119" s="3827"/>
      <c r="Z119" s="3828"/>
      <c r="AA119" s="3829"/>
      <c r="AB119" s="3827"/>
      <c r="AC119" s="3827"/>
      <c r="AD119" s="3828"/>
      <c r="AE119" s="3829"/>
      <c r="AF119" s="3827"/>
      <c r="AG119" s="3827"/>
      <c r="AH119" s="3828"/>
      <c r="AI119" s="3829"/>
      <c r="AJ119" s="3827">
        <f>SUM(AJ116:AJ118)</f>
        <v>2</v>
      </c>
      <c r="AK119" s="3827"/>
      <c r="AL119" s="3828">
        <f>SUM(AL116:AL118)</f>
        <v>2</v>
      </c>
      <c r="AM119" s="3829"/>
      <c r="AN119" s="3827">
        <f>SUM(AN116:AN118)</f>
        <v>3</v>
      </c>
      <c r="AO119" s="3827"/>
      <c r="AP119" s="3828">
        <f>SUM(AP116:AP118)</f>
        <v>3</v>
      </c>
      <c r="AQ119" s="3829"/>
      <c r="AR119" s="3827">
        <f>SUM(AR116:AR118)</f>
        <v>2</v>
      </c>
      <c r="AS119" s="3827">
        <f>SUM(AS116:AS118)</f>
        <v>1</v>
      </c>
      <c r="AT119" s="3828">
        <f>SUM(AT116:AT118)</f>
        <v>3</v>
      </c>
      <c r="AU119" s="3829"/>
      <c r="AV119" s="3827">
        <f>SUM(AV116:AV118)</f>
        <v>2</v>
      </c>
      <c r="AW119" s="3827">
        <f>SUM(AW116:AW118)</f>
        <v>2</v>
      </c>
      <c r="AX119" s="3828">
        <f>SUM(AX116:AX118)</f>
        <v>4</v>
      </c>
      <c r="AY119" s="3829"/>
      <c r="AZ119" s="3827">
        <f>SUM(AZ116:AZ118)</f>
        <v>2</v>
      </c>
      <c r="BA119" s="3827">
        <f>SUM(BA116:BA118)</f>
        <v>4</v>
      </c>
      <c r="BB119" s="3828">
        <f>SUM(BB116:BB118)</f>
        <v>6</v>
      </c>
      <c r="BC119" s="3829"/>
      <c r="BD119" s="3827">
        <f>SUM(BD116:BD118)</f>
        <v>1</v>
      </c>
      <c r="BE119" s="3827">
        <f>SUM(BE116:BE118)</f>
        <v>4</v>
      </c>
      <c r="BF119" s="3828">
        <f>SUM(BF116:BF118)</f>
        <v>5</v>
      </c>
      <c r="BG119" s="3829"/>
      <c r="BH119" s="3827">
        <f>SUM(BH116:BH118)</f>
        <v>1</v>
      </c>
      <c r="BI119" s="3827">
        <f>SUM(BI116:BI118)</f>
        <v>4</v>
      </c>
      <c r="BJ119" s="3828">
        <f>SUM(BJ116:BJ118)</f>
        <v>5</v>
      </c>
    </row>
    <row r="120" spans="1:62" ht="15.75" x14ac:dyDescent="0.25">
      <c r="A120" s="1781"/>
      <c r="B120" s="1783"/>
      <c r="C120" s="1783"/>
      <c r="D120" s="1783"/>
      <c r="E120" s="1783"/>
      <c r="F120" s="1783"/>
      <c r="G120" s="1783"/>
      <c r="H120" s="1783"/>
      <c r="I120" s="1783"/>
      <c r="J120" s="1783"/>
      <c r="K120" s="1783"/>
      <c r="L120" s="1783"/>
      <c r="M120" s="1783"/>
      <c r="N120" s="1783"/>
      <c r="O120" s="1783"/>
      <c r="P120" s="1783"/>
      <c r="Q120" s="1783"/>
      <c r="R120" s="1783"/>
      <c r="S120" s="1783"/>
      <c r="T120" s="1783"/>
      <c r="U120" s="1783"/>
      <c r="V120" s="1783"/>
      <c r="W120" s="1783"/>
      <c r="X120" s="1783"/>
      <c r="Y120" s="1783"/>
      <c r="Z120" s="1783"/>
      <c r="AA120" s="1783"/>
      <c r="AB120" s="1783"/>
      <c r="AC120" s="1783"/>
      <c r="AD120" s="1783"/>
      <c r="AE120" s="1783"/>
      <c r="AF120" s="1783"/>
      <c r="AG120" s="1783"/>
      <c r="AH120" s="1783"/>
      <c r="AI120" s="1783"/>
      <c r="AJ120" s="1783"/>
      <c r="AK120" s="1783"/>
      <c r="AL120" s="1783"/>
      <c r="AM120" s="1783"/>
      <c r="AN120" s="1783"/>
      <c r="AO120" s="1783"/>
      <c r="AP120" s="1783"/>
      <c r="AQ120" s="1783"/>
      <c r="AR120" s="1783"/>
      <c r="AS120" s="1783"/>
      <c r="AT120" s="1783"/>
      <c r="AU120" s="1783"/>
      <c r="AV120" s="1783"/>
      <c r="AW120" s="1783"/>
      <c r="AX120" s="1783"/>
      <c r="AY120" s="1783"/>
      <c r="AZ120" s="1783"/>
      <c r="BA120" s="1783"/>
      <c r="BB120" s="1783"/>
      <c r="BC120" s="1783"/>
      <c r="BD120" s="1783"/>
      <c r="BE120" s="1783"/>
      <c r="BF120" s="1783"/>
      <c r="BG120" s="1783"/>
      <c r="BH120" s="1783"/>
      <c r="BI120" s="1783"/>
      <c r="BJ120" s="1783"/>
    </row>
    <row r="121" spans="1:62" x14ac:dyDescent="0.2">
      <c r="A121" s="7129" t="s">
        <v>162</v>
      </c>
      <c r="B121" s="3705" t="s">
        <v>5</v>
      </c>
      <c r="C121" s="3802">
        <v>1</v>
      </c>
      <c r="D121" s="3803">
        <v>9</v>
      </c>
      <c r="E121" s="3803">
        <v>7</v>
      </c>
      <c r="F121" s="3804">
        <v>17</v>
      </c>
      <c r="G121" s="3802"/>
      <c r="H121" s="3803">
        <v>10</v>
      </c>
      <c r="I121" s="3803">
        <v>8</v>
      </c>
      <c r="J121" s="3804">
        <v>18</v>
      </c>
      <c r="K121" s="3802"/>
      <c r="L121" s="3803">
        <v>12</v>
      </c>
      <c r="M121" s="3803">
        <v>8</v>
      </c>
      <c r="N121" s="3805">
        <v>20</v>
      </c>
      <c r="O121" s="3802"/>
      <c r="P121" s="3803">
        <v>11</v>
      </c>
      <c r="Q121" s="3803">
        <v>8</v>
      </c>
      <c r="R121" s="3804">
        <v>19</v>
      </c>
      <c r="S121" s="3803"/>
      <c r="T121" s="3803">
        <v>11</v>
      </c>
      <c r="U121" s="3803">
        <v>8</v>
      </c>
      <c r="V121" s="3804">
        <v>19</v>
      </c>
      <c r="W121" s="3803"/>
      <c r="X121" s="3803">
        <v>10</v>
      </c>
      <c r="Y121" s="3803">
        <v>7</v>
      </c>
      <c r="Z121" s="3804">
        <v>17</v>
      </c>
      <c r="AA121" s="3803"/>
      <c r="AB121" s="3803">
        <v>10</v>
      </c>
      <c r="AC121" s="3803">
        <v>7</v>
      </c>
      <c r="AD121" s="3804">
        <v>17</v>
      </c>
      <c r="AE121" s="3803"/>
      <c r="AF121" s="3803">
        <v>8</v>
      </c>
      <c r="AG121" s="3803">
        <v>8</v>
      </c>
      <c r="AH121" s="3804">
        <v>16</v>
      </c>
      <c r="AI121" s="3803"/>
      <c r="AJ121" s="3803">
        <v>8</v>
      </c>
      <c r="AK121" s="3803">
        <v>7</v>
      </c>
      <c r="AL121" s="3804">
        <f>SUM(AI121:AK121)</f>
        <v>15</v>
      </c>
      <c r="AM121" s="3803"/>
      <c r="AN121" s="3803">
        <v>8</v>
      </c>
      <c r="AO121" s="3803">
        <v>6</v>
      </c>
      <c r="AP121" s="3804">
        <f>SUM(AM121:AO121)</f>
        <v>14</v>
      </c>
      <c r="AQ121" s="3803"/>
      <c r="AR121" s="3803">
        <v>8</v>
      </c>
      <c r="AS121" s="3803">
        <v>6</v>
      </c>
      <c r="AT121" s="3804">
        <f>SUM(AQ121:AS121)</f>
        <v>14</v>
      </c>
      <c r="AU121" s="3803"/>
      <c r="AV121" s="3803">
        <v>8</v>
      </c>
      <c r="AW121" s="3803">
        <v>6</v>
      </c>
      <c r="AX121" s="3804">
        <f>SUM(AU121:AW121)</f>
        <v>14</v>
      </c>
      <c r="AY121" s="3803">
        <v>0</v>
      </c>
      <c r="AZ121" s="3803">
        <v>9</v>
      </c>
      <c r="BA121" s="3803">
        <v>6</v>
      </c>
      <c r="BB121" s="3804">
        <f>SUM(AY121:BA121)</f>
        <v>15</v>
      </c>
      <c r="BC121" s="3803">
        <v>0</v>
      </c>
      <c r="BD121" s="3803">
        <v>8</v>
      </c>
      <c r="BE121" s="3803">
        <v>6</v>
      </c>
      <c r="BF121" s="3804">
        <f>SUM(BC121:BE121)</f>
        <v>14</v>
      </c>
      <c r="BG121" s="3803"/>
      <c r="BH121" s="3803">
        <v>7</v>
      </c>
      <c r="BI121" s="3803">
        <v>6</v>
      </c>
      <c r="BJ121" s="3804">
        <f>SUM(BG121:BI121)</f>
        <v>13</v>
      </c>
    </row>
    <row r="122" spans="1:62" x14ac:dyDescent="0.2">
      <c r="A122" s="5773"/>
      <c r="B122" s="1784" t="s">
        <v>6</v>
      </c>
      <c r="C122" s="3806">
        <v>1</v>
      </c>
      <c r="D122" s="3807">
        <v>21</v>
      </c>
      <c r="E122" s="3807">
        <v>19</v>
      </c>
      <c r="F122" s="3808">
        <v>41</v>
      </c>
      <c r="G122" s="3806"/>
      <c r="H122" s="3807">
        <v>21</v>
      </c>
      <c r="I122" s="3807">
        <v>24</v>
      </c>
      <c r="J122" s="3808">
        <v>45</v>
      </c>
      <c r="K122" s="3806"/>
      <c r="L122" s="3807">
        <v>19</v>
      </c>
      <c r="M122" s="3807">
        <v>23</v>
      </c>
      <c r="N122" s="3809">
        <v>42</v>
      </c>
      <c r="O122" s="3806"/>
      <c r="P122" s="3807">
        <v>18</v>
      </c>
      <c r="Q122" s="3807">
        <v>23</v>
      </c>
      <c r="R122" s="3808">
        <v>41</v>
      </c>
      <c r="S122" s="3807"/>
      <c r="T122" s="3807">
        <v>18</v>
      </c>
      <c r="U122" s="3807">
        <v>23</v>
      </c>
      <c r="V122" s="3808">
        <v>41</v>
      </c>
      <c r="W122" s="3807"/>
      <c r="X122" s="3807">
        <v>17</v>
      </c>
      <c r="Y122" s="3807">
        <v>23</v>
      </c>
      <c r="Z122" s="3808">
        <v>40</v>
      </c>
      <c r="AA122" s="3807"/>
      <c r="AB122" s="3807">
        <v>14</v>
      </c>
      <c r="AC122" s="3807">
        <v>23</v>
      </c>
      <c r="AD122" s="3808">
        <v>37</v>
      </c>
      <c r="AE122" s="3807"/>
      <c r="AF122" s="3807">
        <v>20</v>
      </c>
      <c r="AG122" s="3807">
        <v>23</v>
      </c>
      <c r="AH122" s="3808">
        <v>43</v>
      </c>
      <c r="AI122" s="3807"/>
      <c r="AJ122" s="3807">
        <v>18</v>
      </c>
      <c r="AK122" s="3807">
        <v>24</v>
      </c>
      <c r="AL122" s="3808">
        <f>SUM(AI122:AK122)</f>
        <v>42</v>
      </c>
      <c r="AM122" s="3807"/>
      <c r="AN122" s="3807">
        <v>22</v>
      </c>
      <c r="AO122" s="3807">
        <v>23</v>
      </c>
      <c r="AP122" s="3808">
        <f>SUM(AM122:AO122)</f>
        <v>45</v>
      </c>
      <c r="AQ122" s="3807"/>
      <c r="AR122" s="3807">
        <v>21</v>
      </c>
      <c r="AS122" s="3807">
        <v>22</v>
      </c>
      <c r="AT122" s="3808">
        <f>SUM(AQ122:AS122)</f>
        <v>43</v>
      </c>
      <c r="AU122" s="3807"/>
      <c r="AV122" s="3807">
        <v>23</v>
      </c>
      <c r="AW122" s="3807">
        <v>25</v>
      </c>
      <c r="AX122" s="3808">
        <f>SUM(AU122:AW122)</f>
        <v>48</v>
      </c>
      <c r="AY122" s="3807">
        <v>0</v>
      </c>
      <c r="AZ122" s="3807">
        <v>16</v>
      </c>
      <c r="BA122" s="3807">
        <v>23</v>
      </c>
      <c r="BB122" s="3808">
        <f>SUM(AY122:BA122)</f>
        <v>39</v>
      </c>
      <c r="BC122" s="3807">
        <v>0</v>
      </c>
      <c r="BD122" s="3807">
        <v>13</v>
      </c>
      <c r="BE122" s="3807">
        <v>24</v>
      </c>
      <c r="BF122" s="3808">
        <f>SUM(BC122:BE122)</f>
        <v>37</v>
      </c>
      <c r="BG122" s="3807"/>
      <c r="BH122" s="3807">
        <v>15</v>
      </c>
      <c r="BI122" s="3807">
        <v>22</v>
      </c>
      <c r="BJ122" s="3808">
        <f t="shared" ref="BJ122:BJ123" si="80">SUM(BG122:BI122)</f>
        <v>37</v>
      </c>
    </row>
    <row r="123" spans="1:62" x14ac:dyDescent="0.2">
      <c r="A123" s="5773"/>
      <c r="B123" s="1784" t="s">
        <v>11</v>
      </c>
      <c r="C123" s="3806">
        <v>5</v>
      </c>
      <c r="D123" s="3807">
        <v>6</v>
      </c>
      <c r="E123" s="3807">
        <v>32</v>
      </c>
      <c r="F123" s="3808">
        <v>43</v>
      </c>
      <c r="G123" s="3806">
        <v>5</v>
      </c>
      <c r="H123" s="3807">
        <v>6</v>
      </c>
      <c r="I123" s="3807">
        <v>32</v>
      </c>
      <c r="J123" s="3808">
        <v>43</v>
      </c>
      <c r="K123" s="3806">
        <v>4</v>
      </c>
      <c r="L123" s="3807">
        <v>4</v>
      </c>
      <c r="M123" s="3807">
        <v>30</v>
      </c>
      <c r="N123" s="3809">
        <v>38</v>
      </c>
      <c r="O123" s="3806">
        <v>3</v>
      </c>
      <c r="P123" s="3807">
        <v>4</v>
      </c>
      <c r="Q123" s="3807">
        <v>29</v>
      </c>
      <c r="R123" s="3808">
        <v>36</v>
      </c>
      <c r="S123" s="3807">
        <v>3</v>
      </c>
      <c r="T123" s="3807">
        <v>2</v>
      </c>
      <c r="U123" s="3807">
        <v>26</v>
      </c>
      <c r="V123" s="3808">
        <v>31</v>
      </c>
      <c r="W123" s="3807">
        <v>2</v>
      </c>
      <c r="X123" s="3807">
        <v>2</v>
      </c>
      <c r="Y123" s="3807">
        <v>24</v>
      </c>
      <c r="Z123" s="3808">
        <v>28</v>
      </c>
      <c r="AA123" s="3807">
        <v>2</v>
      </c>
      <c r="AB123" s="3807">
        <v>2</v>
      </c>
      <c r="AC123" s="3807">
        <v>23</v>
      </c>
      <c r="AD123" s="3808">
        <v>27</v>
      </c>
      <c r="AE123" s="3807">
        <v>2</v>
      </c>
      <c r="AF123" s="3807">
        <v>2</v>
      </c>
      <c r="AG123" s="3807">
        <v>23</v>
      </c>
      <c r="AH123" s="3808">
        <v>27</v>
      </c>
      <c r="AI123" s="3807">
        <v>2</v>
      </c>
      <c r="AJ123" s="3807">
        <v>1</v>
      </c>
      <c r="AK123" s="3807">
        <v>23</v>
      </c>
      <c r="AL123" s="3808">
        <f>SUM(AI123:AK123)</f>
        <v>26</v>
      </c>
      <c r="AM123" s="3807">
        <v>2</v>
      </c>
      <c r="AN123" s="3807">
        <v>1</v>
      </c>
      <c r="AO123" s="3807">
        <v>23</v>
      </c>
      <c r="AP123" s="3808">
        <f>SUM(AM123:AO123)</f>
        <v>26</v>
      </c>
      <c r="AQ123" s="3807">
        <v>2</v>
      </c>
      <c r="AR123" s="3807">
        <v>1</v>
      </c>
      <c r="AS123" s="3807">
        <v>19</v>
      </c>
      <c r="AT123" s="3808">
        <f>SUM(AQ123:AS123)</f>
        <v>22</v>
      </c>
      <c r="AU123" s="3807">
        <v>2</v>
      </c>
      <c r="AV123" s="3807">
        <v>1</v>
      </c>
      <c r="AW123" s="3807">
        <v>16</v>
      </c>
      <c r="AX123" s="3808">
        <f>SUM(AU123:AW123)</f>
        <v>19</v>
      </c>
      <c r="AY123" s="3807">
        <v>2</v>
      </c>
      <c r="AZ123" s="3807">
        <v>1</v>
      </c>
      <c r="BA123" s="3807">
        <v>16</v>
      </c>
      <c r="BB123" s="3808">
        <f>SUM(AY123:BA123)</f>
        <v>19</v>
      </c>
      <c r="BC123" s="3807">
        <v>2</v>
      </c>
      <c r="BD123" s="3807">
        <v>1</v>
      </c>
      <c r="BE123" s="3807">
        <v>16</v>
      </c>
      <c r="BF123" s="3808">
        <f>SUM(BC123:BE123)</f>
        <v>19</v>
      </c>
      <c r="BG123" s="3807">
        <v>2</v>
      </c>
      <c r="BH123" s="3807">
        <v>1</v>
      </c>
      <c r="BI123" s="3807">
        <v>15</v>
      </c>
      <c r="BJ123" s="3808">
        <f t="shared" si="80"/>
        <v>18</v>
      </c>
    </row>
    <row r="124" spans="1:62" x14ac:dyDescent="0.2">
      <c r="A124" s="5774"/>
      <c r="B124" s="3830" t="s">
        <v>12</v>
      </c>
      <c r="C124" s="3831">
        <v>7</v>
      </c>
      <c r="D124" s="3832">
        <v>36</v>
      </c>
      <c r="E124" s="3832">
        <v>58</v>
      </c>
      <c r="F124" s="3833">
        <v>101</v>
      </c>
      <c r="G124" s="3831">
        <v>5</v>
      </c>
      <c r="H124" s="3832">
        <v>37</v>
      </c>
      <c r="I124" s="3832">
        <v>64</v>
      </c>
      <c r="J124" s="3833">
        <v>106</v>
      </c>
      <c r="K124" s="3831">
        <v>4</v>
      </c>
      <c r="L124" s="3832">
        <v>35</v>
      </c>
      <c r="M124" s="3832">
        <v>61</v>
      </c>
      <c r="N124" s="3832">
        <v>100</v>
      </c>
      <c r="O124" s="3831">
        <v>3</v>
      </c>
      <c r="P124" s="3832">
        <v>33</v>
      </c>
      <c r="Q124" s="3832">
        <v>60</v>
      </c>
      <c r="R124" s="3833">
        <v>96</v>
      </c>
      <c r="S124" s="3832">
        <v>3</v>
      </c>
      <c r="T124" s="3832">
        <v>31</v>
      </c>
      <c r="U124" s="3832">
        <v>57</v>
      </c>
      <c r="V124" s="3833">
        <v>91</v>
      </c>
      <c r="W124" s="3831">
        <v>2</v>
      </c>
      <c r="X124" s="3832">
        <v>29</v>
      </c>
      <c r="Y124" s="3832">
        <v>54</v>
      </c>
      <c r="Z124" s="3833">
        <v>85</v>
      </c>
      <c r="AA124" s="3831">
        <v>2</v>
      </c>
      <c r="AB124" s="3832">
        <v>26</v>
      </c>
      <c r="AC124" s="3832">
        <v>53</v>
      </c>
      <c r="AD124" s="3833">
        <v>81</v>
      </c>
      <c r="AE124" s="3831">
        <v>2</v>
      </c>
      <c r="AF124" s="3832">
        <v>30</v>
      </c>
      <c r="AG124" s="3832">
        <v>54</v>
      </c>
      <c r="AH124" s="3833">
        <v>86</v>
      </c>
      <c r="AI124" s="3831">
        <f t="shared" ref="AI124:AX124" si="81">SUM(AI121:AI123)</f>
        <v>2</v>
      </c>
      <c r="AJ124" s="3832">
        <f t="shared" si="81"/>
        <v>27</v>
      </c>
      <c r="AK124" s="3832">
        <f t="shared" si="81"/>
        <v>54</v>
      </c>
      <c r="AL124" s="3833">
        <f t="shared" si="81"/>
        <v>83</v>
      </c>
      <c r="AM124" s="3831">
        <f t="shared" si="81"/>
        <v>2</v>
      </c>
      <c r="AN124" s="3832">
        <f t="shared" si="81"/>
        <v>31</v>
      </c>
      <c r="AO124" s="3832">
        <f t="shared" si="81"/>
        <v>52</v>
      </c>
      <c r="AP124" s="3833">
        <f t="shared" si="81"/>
        <v>85</v>
      </c>
      <c r="AQ124" s="3831">
        <f t="shared" si="81"/>
        <v>2</v>
      </c>
      <c r="AR124" s="3832">
        <f t="shared" si="81"/>
        <v>30</v>
      </c>
      <c r="AS124" s="3832">
        <f t="shared" si="81"/>
        <v>47</v>
      </c>
      <c r="AT124" s="3833">
        <f t="shared" si="81"/>
        <v>79</v>
      </c>
      <c r="AU124" s="3831">
        <f t="shared" si="81"/>
        <v>2</v>
      </c>
      <c r="AV124" s="3832">
        <f t="shared" si="81"/>
        <v>32</v>
      </c>
      <c r="AW124" s="3832">
        <f t="shared" si="81"/>
        <v>47</v>
      </c>
      <c r="AX124" s="3833">
        <f t="shared" si="81"/>
        <v>81</v>
      </c>
      <c r="AY124" s="3831">
        <f t="shared" ref="AY124:BF124" si="82">SUM(AY121:AY123)</f>
        <v>2</v>
      </c>
      <c r="AZ124" s="3832">
        <f t="shared" si="82"/>
        <v>26</v>
      </c>
      <c r="BA124" s="3832">
        <f t="shared" si="82"/>
        <v>45</v>
      </c>
      <c r="BB124" s="3833">
        <f t="shared" si="82"/>
        <v>73</v>
      </c>
      <c r="BC124" s="3831">
        <f t="shared" si="82"/>
        <v>2</v>
      </c>
      <c r="BD124" s="3832">
        <f t="shared" si="82"/>
        <v>22</v>
      </c>
      <c r="BE124" s="3832">
        <f t="shared" si="82"/>
        <v>46</v>
      </c>
      <c r="BF124" s="3833">
        <f t="shared" si="82"/>
        <v>70</v>
      </c>
      <c r="BG124" s="3831">
        <f t="shared" ref="BG124:BJ124" si="83">SUM(BG121:BG123)</f>
        <v>2</v>
      </c>
      <c r="BH124" s="3832">
        <f t="shared" si="83"/>
        <v>23</v>
      </c>
      <c r="BI124" s="3832">
        <f t="shared" si="83"/>
        <v>43</v>
      </c>
      <c r="BJ124" s="3833">
        <f t="shared" si="83"/>
        <v>68</v>
      </c>
    </row>
    <row r="125" spans="1:62" ht="15" hidden="1" customHeight="1" x14ac:dyDescent="0.2">
      <c r="A125" s="195"/>
      <c r="B125" s="1783"/>
      <c r="C125" s="1783"/>
      <c r="D125" s="1783"/>
      <c r="E125" s="1783"/>
      <c r="F125" s="1783"/>
      <c r="G125" s="1783"/>
      <c r="H125" s="1783"/>
      <c r="I125" s="1783"/>
      <c r="J125" s="1783"/>
      <c r="K125" s="1783"/>
      <c r="L125" s="1783"/>
      <c r="M125" s="1783"/>
      <c r="N125" s="1783"/>
      <c r="O125" s="1783"/>
      <c r="P125" s="1783"/>
      <c r="Q125" s="1783"/>
      <c r="R125" s="1783"/>
      <c r="S125" s="1783"/>
      <c r="T125" s="1783"/>
      <c r="U125" s="1783"/>
      <c r="V125" s="1783"/>
      <c r="W125" s="1783"/>
      <c r="X125" s="1783"/>
      <c r="Y125" s="1783"/>
      <c r="Z125" s="1783"/>
      <c r="AA125" s="1783"/>
      <c r="AB125" s="1783"/>
      <c r="AC125" s="1783"/>
      <c r="AD125" s="1783"/>
      <c r="AE125" s="1783"/>
      <c r="AF125" s="1783"/>
      <c r="AG125" s="1783"/>
      <c r="AH125" s="1783"/>
      <c r="AI125" s="1783"/>
      <c r="AJ125" s="1783"/>
      <c r="AK125" s="1783"/>
      <c r="AL125" s="1783"/>
      <c r="AM125" s="1783"/>
      <c r="AN125" s="1783"/>
      <c r="AO125" s="1783"/>
      <c r="AP125" s="1783"/>
      <c r="AQ125" s="1783"/>
      <c r="AR125" s="1783"/>
      <c r="AS125" s="1783"/>
      <c r="AT125" s="1783"/>
      <c r="AU125" s="1783"/>
      <c r="AV125" s="1783"/>
      <c r="AW125" s="1783"/>
      <c r="AX125" s="1783"/>
      <c r="AY125" s="1783"/>
      <c r="AZ125" s="1783"/>
      <c r="BA125" s="1783"/>
      <c r="BB125" s="1783"/>
      <c r="BC125" s="1783"/>
      <c r="BD125" s="1783"/>
      <c r="BE125" s="1783"/>
      <c r="BF125" s="1783"/>
      <c r="BG125" s="1783"/>
      <c r="BH125" s="1783"/>
      <c r="BI125" s="1783"/>
      <c r="BJ125" s="1783"/>
    </row>
    <row r="126" spans="1:62" ht="15" hidden="1" customHeight="1" x14ac:dyDescent="0.2">
      <c r="A126" s="7130" t="s">
        <v>408</v>
      </c>
      <c r="B126" s="3705" t="s">
        <v>5</v>
      </c>
      <c r="C126" s="3817"/>
      <c r="D126" s="3818"/>
      <c r="E126" s="3818"/>
      <c r="F126" s="3819"/>
      <c r="G126" s="3817"/>
      <c r="H126" s="3818"/>
      <c r="I126" s="3818"/>
      <c r="J126" s="3819"/>
      <c r="K126" s="3817"/>
      <c r="L126" s="3818"/>
      <c r="M126" s="3818"/>
      <c r="N126" s="3869"/>
      <c r="O126" s="3817"/>
      <c r="P126" s="3818"/>
      <c r="Q126" s="3818"/>
      <c r="R126" s="3819"/>
      <c r="S126" s="3818"/>
      <c r="T126" s="3818"/>
      <c r="U126" s="3818"/>
      <c r="V126" s="3819"/>
      <c r="W126" s="3818"/>
      <c r="X126" s="3818"/>
      <c r="Y126" s="3818"/>
      <c r="Z126" s="3819"/>
      <c r="AA126" s="3818"/>
      <c r="AB126" s="3818"/>
      <c r="AC126" s="3818"/>
      <c r="AD126" s="3819"/>
      <c r="AE126" s="3818"/>
      <c r="AF126" s="3818"/>
      <c r="AG126" s="3818"/>
      <c r="AH126" s="3819"/>
      <c r="AI126" s="3803"/>
      <c r="AJ126" s="3803"/>
      <c r="AK126" s="3803"/>
      <c r="AL126" s="3804"/>
      <c r="AM126" s="3803"/>
      <c r="AN126" s="3803"/>
      <c r="AO126" s="3803"/>
      <c r="AP126" s="3804"/>
      <c r="AQ126" s="3803"/>
      <c r="AR126" s="3803"/>
      <c r="AS126" s="3803"/>
      <c r="AT126" s="3804"/>
      <c r="AU126" s="3803"/>
      <c r="AV126" s="3803"/>
      <c r="AW126" s="3803"/>
      <c r="AX126" s="3804"/>
      <c r="AY126" s="3803"/>
      <c r="AZ126" s="3803"/>
      <c r="BA126" s="3803"/>
      <c r="BB126" s="3804"/>
      <c r="BC126" s="3803"/>
      <c r="BD126" s="3803"/>
      <c r="BE126" s="3803"/>
      <c r="BF126" s="3804"/>
      <c r="BG126" s="3803"/>
      <c r="BH126" s="3803"/>
      <c r="BI126" s="3803"/>
      <c r="BJ126" s="3804"/>
    </row>
    <row r="127" spans="1:62" ht="15" hidden="1" customHeight="1" x14ac:dyDescent="0.2">
      <c r="A127" s="5776"/>
      <c r="B127" s="1784" t="s">
        <v>6</v>
      </c>
      <c r="C127" s="3820"/>
      <c r="D127" s="3821"/>
      <c r="E127" s="3821"/>
      <c r="F127" s="3822"/>
      <c r="G127" s="3820"/>
      <c r="H127" s="3821"/>
      <c r="I127" s="3821"/>
      <c r="J127" s="3822"/>
      <c r="K127" s="3820"/>
      <c r="L127" s="3821"/>
      <c r="M127" s="3821"/>
      <c r="N127" s="3870"/>
      <c r="O127" s="3820"/>
      <c r="P127" s="3821"/>
      <c r="Q127" s="3821"/>
      <c r="R127" s="3822"/>
      <c r="S127" s="3821"/>
      <c r="T127" s="3821"/>
      <c r="U127" s="3821"/>
      <c r="V127" s="3822"/>
      <c r="W127" s="3821"/>
      <c r="X127" s="3821"/>
      <c r="Y127" s="3821"/>
      <c r="Z127" s="3822"/>
      <c r="AA127" s="3821"/>
      <c r="AB127" s="3821"/>
      <c r="AC127" s="3821"/>
      <c r="AD127" s="3822"/>
      <c r="AE127" s="3821"/>
      <c r="AF127" s="3821"/>
      <c r="AG127" s="3821"/>
      <c r="AH127" s="3822"/>
      <c r="AI127" s="3807"/>
      <c r="AJ127" s="3807"/>
      <c r="AK127" s="3807"/>
      <c r="AL127" s="3808"/>
      <c r="AM127" s="3807"/>
      <c r="AN127" s="3807"/>
      <c r="AO127" s="3807"/>
      <c r="AP127" s="3808"/>
      <c r="AQ127" s="3807"/>
      <c r="AR127" s="3807"/>
      <c r="AS127" s="3807"/>
      <c r="AT127" s="3808"/>
      <c r="AU127" s="3807"/>
      <c r="AV127" s="3807"/>
      <c r="AW127" s="3807"/>
      <c r="AX127" s="3808"/>
      <c r="AY127" s="3807"/>
      <c r="AZ127" s="3807"/>
      <c r="BA127" s="3807"/>
      <c r="BB127" s="3808"/>
      <c r="BC127" s="3807"/>
      <c r="BD127" s="3807"/>
      <c r="BE127" s="3807"/>
      <c r="BF127" s="3808"/>
      <c r="BG127" s="3807"/>
      <c r="BH127" s="3807"/>
      <c r="BI127" s="3807"/>
      <c r="BJ127" s="3808"/>
    </row>
    <row r="128" spans="1:62" ht="15" hidden="1" customHeight="1" x14ac:dyDescent="0.2">
      <c r="A128" s="5776"/>
      <c r="B128" s="1784" t="s">
        <v>11</v>
      </c>
      <c r="C128" s="3820"/>
      <c r="D128" s="3821"/>
      <c r="E128" s="3821"/>
      <c r="F128" s="3822"/>
      <c r="G128" s="3820"/>
      <c r="H128" s="3821"/>
      <c r="I128" s="3821"/>
      <c r="J128" s="3822"/>
      <c r="K128" s="3820"/>
      <c r="L128" s="3821"/>
      <c r="M128" s="3821"/>
      <c r="N128" s="3870"/>
      <c r="O128" s="3820"/>
      <c r="P128" s="3821"/>
      <c r="Q128" s="3821"/>
      <c r="R128" s="3822"/>
      <c r="S128" s="3821"/>
      <c r="T128" s="3821"/>
      <c r="U128" s="3821"/>
      <c r="V128" s="3822"/>
      <c r="W128" s="3821"/>
      <c r="X128" s="3821"/>
      <c r="Y128" s="3821"/>
      <c r="Z128" s="3822"/>
      <c r="AA128" s="3821"/>
      <c r="AB128" s="3821"/>
      <c r="AC128" s="3821"/>
      <c r="AD128" s="3822"/>
      <c r="AE128" s="3821"/>
      <c r="AF128" s="3821"/>
      <c r="AG128" s="3821"/>
      <c r="AH128" s="3822"/>
      <c r="AI128" s="3807"/>
      <c r="AJ128" s="3807"/>
      <c r="AK128" s="3807"/>
      <c r="AL128" s="3808"/>
      <c r="AM128" s="3807"/>
      <c r="AN128" s="3807"/>
      <c r="AO128" s="3807"/>
      <c r="AP128" s="3808"/>
      <c r="AQ128" s="3807"/>
      <c r="AR128" s="3807"/>
      <c r="AS128" s="3807"/>
      <c r="AT128" s="3808"/>
      <c r="AU128" s="3807"/>
      <c r="AV128" s="3807"/>
      <c r="AW128" s="3807"/>
      <c r="AX128" s="3808"/>
      <c r="AY128" s="3807"/>
      <c r="AZ128" s="3807"/>
      <c r="BA128" s="3807"/>
      <c r="BB128" s="3808"/>
      <c r="BC128" s="3807"/>
      <c r="BD128" s="3807"/>
      <c r="BE128" s="3807"/>
      <c r="BF128" s="3808"/>
      <c r="BG128" s="3807"/>
      <c r="BH128" s="3807"/>
      <c r="BI128" s="3807"/>
      <c r="BJ128" s="3808"/>
    </row>
    <row r="129" spans="1:62" ht="15" hidden="1" customHeight="1" x14ac:dyDescent="0.2">
      <c r="A129" s="5777"/>
      <c r="B129" s="3838" t="s">
        <v>12</v>
      </c>
      <c r="C129" s="3839"/>
      <c r="D129" s="3840"/>
      <c r="E129" s="3840"/>
      <c r="F129" s="3841"/>
      <c r="G129" s="3839"/>
      <c r="H129" s="3840"/>
      <c r="I129" s="3840"/>
      <c r="J129" s="3841"/>
      <c r="K129" s="3839"/>
      <c r="L129" s="3840"/>
      <c r="M129" s="3840"/>
      <c r="N129" s="3840"/>
      <c r="O129" s="3839"/>
      <c r="P129" s="3840"/>
      <c r="Q129" s="3840"/>
      <c r="R129" s="3841"/>
      <c r="S129" s="3840"/>
      <c r="T129" s="3840"/>
      <c r="U129" s="3840"/>
      <c r="V129" s="3841"/>
      <c r="W129" s="3839"/>
      <c r="X129" s="3840"/>
      <c r="Y129" s="3840"/>
      <c r="Z129" s="3841"/>
      <c r="AA129" s="3839"/>
      <c r="AB129" s="3840"/>
      <c r="AC129" s="3840"/>
      <c r="AD129" s="3841"/>
      <c r="AE129" s="3839"/>
      <c r="AF129" s="3840"/>
      <c r="AG129" s="3840"/>
      <c r="AH129" s="3841"/>
      <c r="AI129" s="3844"/>
      <c r="AJ129" s="3842"/>
      <c r="AK129" s="3842"/>
      <c r="AL129" s="3843"/>
      <c r="AM129" s="3844"/>
      <c r="AN129" s="3842"/>
      <c r="AO129" s="3842"/>
      <c r="AP129" s="3843"/>
      <c r="AQ129" s="3844"/>
      <c r="AR129" s="3842"/>
      <c r="AS129" s="3842"/>
      <c r="AT129" s="3843"/>
      <c r="AU129" s="3844"/>
      <c r="AV129" s="3842"/>
      <c r="AW129" s="3842"/>
      <c r="AX129" s="3843"/>
      <c r="AY129" s="3844"/>
      <c r="AZ129" s="3842"/>
      <c r="BA129" s="3842"/>
      <c r="BB129" s="3843"/>
      <c r="BC129" s="3844"/>
      <c r="BD129" s="3842"/>
      <c r="BE129" s="3842"/>
      <c r="BF129" s="3843"/>
      <c r="BG129" s="3844"/>
      <c r="BH129" s="3842"/>
      <c r="BI129" s="3842"/>
      <c r="BJ129" s="3843"/>
    </row>
    <row r="130" spans="1:62" ht="15.75" x14ac:dyDescent="0.25">
      <c r="A130" s="1781"/>
      <c r="B130" s="1783"/>
      <c r="C130" s="1783"/>
      <c r="D130" s="1783"/>
      <c r="E130" s="1783"/>
      <c r="F130" s="1783"/>
      <c r="G130" s="1783"/>
      <c r="H130" s="1783"/>
      <c r="I130" s="1783"/>
      <c r="J130" s="1783"/>
      <c r="K130" s="1783"/>
      <c r="L130" s="1783"/>
      <c r="M130" s="1783"/>
      <c r="N130" s="1783"/>
      <c r="O130" s="1783"/>
      <c r="P130" s="1783"/>
      <c r="Q130" s="1783"/>
      <c r="R130" s="1783"/>
      <c r="S130" s="1783"/>
      <c r="T130" s="1783"/>
      <c r="U130" s="1783"/>
      <c r="V130" s="1783"/>
      <c r="W130" s="1783"/>
      <c r="X130" s="1783"/>
      <c r="Y130" s="1783"/>
      <c r="Z130" s="1783"/>
      <c r="AA130" s="1783"/>
      <c r="AB130" s="1783"/>
      <c r="AC130" s="1783"/>
      <c r="AD130" s="1783"/>
      <c r="AE130" s="1783"/>
      <c r="AF130" s="1783"/>
      <c r="AG130" s="1783"/>
      <c r="AH130" s="1783"/>
      <c r="AI130" s="1783"/>
      <c r="AJ130" s="1783"/>
      <c r="AK130" s="1783"/>
      <c r="AL130" s="1783"/>
      <c r="AM130" s="1783"/>
      <c r="AN130" s="1783"/>
      <c r="AO130" s="1783"/>
      <c r="AP130" s="1783"/>
      <c r="AQ130" s="1783"/>
      <c r="AR130" s="1783"/>
      <c r="AS130" s="1783"/>
      <c r="AT130" s="1783"/>
      <c r="AU130" s="1783"/>
      <c r="AV130" s="1783"/>
      <c r="AW130" s="1783"/>
      <c r="AX130" s="1783"/>
      <c r="AY130" s="1783"/>
      <c r="AZ130" s="1783"/>
      <c r="BA130" s="1783"/>
      <c r="BB130" s="1783"/>
      <c r="BC130" s="1783"/>
      <c r="BD130" s="1783"/>
      <c r="BE130" s="1783"/>
      <c r="BF130" s="1783"/>
      <c r="BG130" s="1783"/>
      <c r="BH130" s="1783"/>
      <c r="BI130" s="1783"/>
      <c r="BJ130" s="1783"/>
    </row>
    <row r="131" spans="1:62" x14ac:dyDescent="0.2">
      <c r="A131" s="7131" t="s">
        <v>163</v>
      </c>
      <c r="B131" s="3705" t="s">
        <v>6</v>
      </c>
      <c r="C131" s="3802"/>
      <c r="D131" s="3803">
        <v>4</v>
      </c>
      <c r="E131" s="3803">
        <v>1</v>
      </c>
      <c r="F131" s="3804">
        <v>5</v>
      </c>
      <c r="G131" s="3802"/>
      <c r="H131" s="3803">
        <v>3</v>
      </c>
      <c r="I131" s="3803">
        <v>2</v>
      </c>
      <c r="J131" s="3804">
        <v>5</v>
      </c>
      <c r="K131" s="3802">
        <v>1</v>
      </c>
      <c r="L131" s="3803">
        <v>3</v>
      </c>
      <c r="M131" s="3803">
        <v>2</v>
      </c>
      <c r="N131" s="3805">
        <v>6</v>
      </c>
      <c r="O131" s="3802">
        <v>1</v>
      </c>
      <c r="P131" s="3803">
        <v>3</v>
      </c>
      <c r="Q131" s="3803">
        <v>2</v>
      </c>
      <c r="R131" s="3804">
        <v>6</v>
      </c>
      <c r="S131" s="3803">
        <v>1</v>
      </c>
      <c r="T131" s="3803">
        <v>3</v>
      </c>
      <c r="U131" s="3803">
        <v>1</v>
      </c>
      <c r="V131" s="3804">
        <v>5</v>
      </c>
      <c r="W131" s="3803">
        <v>1</v>
      </c>
      <c r="X131" s="3803">
        <v>4</v>
      </c>
      <c r="Y131" s="3803">
        <v>2</v>
      </c>
      <c r="Z131" s="3804">
        <v>7</v>
      </c>
      <c r="AA131" s="3803">
        <v>1</v>
      </c>
      <c r="AB131" s="3803">
        <v>3</v>
      </c>
      <c r="AC131" s="3803">
        <v>2</v>
      </c>
      <c r="AD131" s="3804">
        <v>6</v>
      </c>
      <c r="AE131" s="3803">
        <v>1</v>
      </c>
      <c r="AF131" s="3803">
        <v>12</v>
      </c>
      <c r="AG131" s="3803">
        <v>2</v>
      </c>
      <c r="AH131" s="3804">
        <v>15</v>
      </c>
      <c r="AI131" s="3803">
        <v>1</v>
      </c>
      <c r="AJ131" s="3803">
        <v>13</v>
      </c>
      <c r="AK131" s="3803">
        <v>2</v>
      </c>
      <c r="AL131" s="3804">
        <f>SUM(AI131:AK131)</f>
        <v>16</v>
      </c>
      <c r="AM131" s="3803">
        <v>1</v>
      </c>
      <c r="AN131" s="3803">
        <v>11</v>
      </c>
      <c r="AO131" s="3803">
        <v>2</v>
      </c>
      <c r="AP131" s="3804">
        <f>SUM(AM131:AO131)</f>
        <v>14</v>
      </c>
      <c r="AQ131" s="3803">
        <v>1</v>
      </c>
      <c r="AR131" s="3803">
        <v>11</v>
      </c>
      <c r="AS131" s="3803">
        <v>1</v>
      </c>
      <c r="AT131" s="3804">
        <f>SUM(AQ131:AS131)</f>
        <v>13</v>
      </c>
      <c r="AU131" s="3803">
        <v>1</v>
      </c>
      <c r="AV131" s="3803">
        <v>12</v>
      </c>
      <c r="AW131" s="3803">
        <v>1</v>
      </c>
      <c r="AX131" s="3804">
        <f>SUM(AU131:AW131)</f>
        <v>14</v>
      </c>
      <c r="AY131" s="3803">
        <v>1</v>
      </c>
      <c r="AZ131" s="3803">
        <v>8</v>
      </c>
      <c r="BA131" s="3803">
        <v>2</v>
      </c>
      <c r="BB131" s="3804">
        <f>SUM(AY131:BA131)</f>
        <v>11</v>
      </c>
      <c r="BC131" s="3803">
        <v>0</v>
      </c>
      <c r="BD131" s="3803">
        <v>7</v>
      </c>
      <c r="BE131" s="3803">
        <v>4</v>
      </c>
      <c r="BF131" s="3804">
        <f>SUM(BC131:BE131)</f>
        <v>11</v>
      </c>
      <c r="BG131" s="3803"/>
      <c r="BH131" s="3803">
        <v>8</v>
      </c>
      <c r="BI131" s="3803">
        <v>4</v>
      </c>
      <c r="BJ131" s="3804">
        <f>SUM(BG131:BI131)</f>
        <v>12</v>
      </c>
    </row>
    <row r="132" spans="1:62" x14ac:dyDescent="0.2">
      <c r="A132" s="5785"/>
      <c r="B132" s="1784" t="s">
        <v>11</v>
      </c>
      <c r="C132" s="3806"/>
      <c r="D132" s="3807">
        <v>2</v>
      </c>
      <c r="E132" s="3807"/>
      <c r="F132" s="3808">
        <v>2</v>
      </c>
      <c r="G132" s="3806"/>
      <c r="H132" s="3807">
        <v>2</v>
      </c>
      <c r="I132" s="3807"/>
      <c r="J132" s="3808">
        <v>2</v>
      </c>
      <c r="K132" s="3806"/>
      <c r="L132" s="3807">
        <v>2</v>
      </c>
      <c r="M132" s="3807"/>
      <c r="N132" s="3809">
        <v>2</v>
      </c>
      <c r="O132" s="3806"/>
      <c r="P132" s="3807">
        <v>2</v>
      </c>
      <c r="Q132" s="3807"/>
      <c r="R132" s="3808">
        <v>2</v>
      </c>
      <c r="S132" s="3807"/>
      <c r="T132" s="3807">
        <v>2</v>
      </c>
      <c r="U132" s="3807"/>
      <c r="V132" s="3808">
        <v>2</v>
      </c>
      <c r="W132" s="3807"/>
      <c r="X132" s="3807">
        <v>2</v>
      </c>
      <c r="Y132" s="3807"/>
      <c r="Z132" s="3808">
        <v>2</v>
      </c>
      <c r="AA132" s="3807"/>
      <c r="AB132" s="3807">
        <v>2</v>
      </c>
      <c r="AC132" s="3807">
        <v>0</v>
      </c>
      <c r="AD132" s="3808">
        <v>2</v>
      </c>
      <c r="AE132" s="3807"/>
      <c r="AF132" s="3807">
        <v>3</v>
      </c>
      <c r="AG132" s="3807"/>
      <c r="AH132" s="3808">
        <v>3</v>
      </c>
      <c r="AI132" s="3807"/>
      <c r="AJ132" s="3807">
        <v>2</v>
      </c>
      <c r="AK132" s="3807"/>
      <c r="AL132" s="3808">
        <f>SUM(AI132:AK132)</f>
        <v>2</v>
      </c>
      <c r="AM132" s="3807"/>
      <c r="AN132" s="3807">
        <v>2</v>
      </c>
      <c r="AO132" s="3807"/>
      <c r="AP132" s="3808">
        <f>SUM(AM132:AO132)</f>
        <v>2</v>
      </c>
      <c r="AQ132" s="3807"/>
      <c r="AR132" s="3807">
        <v>4</v>
      </c>
      <c r="AS132" s="3807"/>
      <c r="AT132" s="3808">
        <f>SUM(AQ132:AS132)</f>
        <v>4</v>
      </c>
      <c r="AU132" s="3807"/>
      <c r="AV132" s="3807">
        <v>9</v>
      </c>
      <c r="AW132" s="3807"/>
      <c r="AX132" s="3808">
        <f>SUM(AU132:AW132)</f>
        <v>9</v>
      </c>
      <c r="AY132" s="3807">
        <v>0</v>
      </c>
      <c r="AZ132" s="3807">
        <v>7</v>
      </c>
      <c r="BA132" s="3807">
        <v>0</v>
      </c>
      <c r="BB132" s="3808">
        <f>SUM(AY132:BA132)</f>
        <v>7</v>
      </c>
      <c r="BC132" s="3807">
        <v>0</v>
      </c>
      <c r="BD132" s="3807">
        <v>8</v>
      </c>
      <c r="BE132" s="3807">
        <v>0</v>
      </c>
      <c r="BF132" s="3808">
        <f>SUM(BC132:BE132)</f>
        <v>8</v>
      </c>
      <c r="BG132" s="3807"/>
      <c r="BH132" s="3807">
        <v>6</v>
      </c>
      <c r="BI132" s="3807">
        <v>1</v>
      </c>
      <c r="BJ132" s="3808">
        <f t="shared" ref="BJ132:BJ133" si="84">SUM(BG132:BI132)</f>
        <v>7</v>
      </c>
    </row>
    <row r="133" spans="1:62" x14ac:dyDescent="0.2">
      <c r="A133" s="5785"/>
      <c r="B133" s="1784" t="s">
        <v>7</v>
      </c>
      <c r="C133" s="3806"/>
      <c r="D133" s="3807">
        <v>1</v>
      </c>
      <c r="E133" s="3807">
        <v>5</v>
      </c>
      <c r="F133" s="3808">
        <v>6</v>
      </c>
      <c r="G133" s="3806"/>
      <c r="H133" s="3807">
        <v>1</v>
      </c>
      <c r="I133" s="3807">
        <v>4</v>
      </c>
      <c r="J133" s="3808">
        <v>5</v>
      </c>
      <c r="K133" s="3806"/>
      <c r="L133" s="3807"/>
      <c r="M133" s="3807">
        <v>4</v>
      </c>
      <c r="N133" s="3809">
        <v>4</v>
      </c>
      <c r="O133" s="3806"/>
      <c r="P133" s="3807"/>
      <c r="Q133" s="3807">
        <v>4</v>
      </c>
      <c r="R133" s="3808">
        <v>4</v>
      </c>
      <c r="S133" s="3807"/>
      <c r="T133" s="3807"/>
      <c r="U133" s="3807">
        <v>4</v>
      </c>
      <c r="V133" s="3808">
        <v>4</v>
      </c>
      <c r="W133" s="3807"/>
      <c r="X133" s="3807"/>
      <c r="Y133" s="3807">
        <v>5</v>
      </c>
      <c r="Z133" s="3808">
        <v>5</v>
      </c>
      <c r="AA133" s="3807"/>
      <c r="AB133" s="3807">
        <v>2</v>
      </c>
      <c r="AC133" s="3807">
        <v>6</v>
      </c>
      <c r="AD133" s="3808">
        <v>8</v>
      </c>
      <c r="AE133" s="3807"/>
      <c r="AF133" s="3807">
        <v>2</v>
      </c>
      <c r="AG133" s="3807">
        <v>6</v>
      </c>
      <c r="AH133" s="3808">
        <v>8</v>
      </c>
      <c r="AI133" s="3807"/>
      <c r="AJ133" s="3807">
        <v>2</v>
      </c>
      <c r="AK133" s="3807">
        <v>6</v>
      </c>
      <c r="AL133" s="3808">
        <f>SUM(AI133:AK133)</f>
        <v>8</v>
      </c>
      <c r="AM133" s="3807"/>
      <c r="AN133" s="3807">
        <v>2</v>
      </c>
      <c r="AO133" s="3807">
        <v>5</v>
      </c>
      <c r="AP133" s="3808">
        <f>SUM(AM133:AO133)</f>
        <v>7</v>
      </c>
      <c r="AQ133" s="3807"/>
      <c r="AR133" s="3807">
        <v>2</v>
      </c>
      <c r="AS133" s="3807">
        <v>5</v>
      </c>
      <c r="AT133" s="3808">
        <f>SUM(AQ133:AS133)</f>
        <v>7</v>
      </c>
      <c r="AU133" s="3807"/>
      <c r="AV133" s="3807">
        <v>2</v>
      </c>
      <c r="AW133" s="3807">
        <v>5</v>
      </c>
      <c r="AX133" s="3808">
        <f>SUM(AU133:AW133)</f>
        <v>7</v>
      </c>
      <c r="AY133" s="3807">
        <v>0</v>
      </c>
      <c r="AZ133" s="3807">
        <v>1</v>
      </c>
      <c r="BA133" s="3807">
        <v>5</v>
      </c>
      <c r="BB133" s="3808">
        <f>SUM(AY133:BA133)</f>
        <v>6</v>
      </c>
      <c r="BC133" s="3807">
        <v>0</v>
      </c>
      <c r="BD133" s="3807">
        <v>1</v>
      </c>
      <c r="BE133" s="3807">
        <v>5</v>
      </c>
      <c r="BF133" s="3808">
        <f>SUM(BC133:BE133)</f>
        <v>6</v>
      </c>
      <c r="BG133" s="3807"/>
      <c r="BH133" s="3807">
        <v>1</v>
      </c>
      <c r="BI133" s="3807">
        <v>4</v>
      </c>
      <c r="BJ133" s="3808">
        <f t="shared" si="84"/>
        <v>5</v>
      </c>
    </row>
    <row r="134" spans="1:62" x14ac:dyDescent="0.2">
      <c r="A134" s="5786"/>
      <c r="B134" s="3845" t="s">
        <v>12</v>
      </c>
      <c r="C134" s="3875"/>
      <c r="D134" s="3847">
        <v>7</v>
      </c>
      <c r="E134" s="3847">
        <v>6</v>
      </c>
      <c r="F134" s="3848">
        <v>13</v>
      </c>
      <c r="G134" s="3875"/>
      <c r="H134" s="3847">
        <v>6</v>
      </c>
      <c r="I134" s="3847">
        <v>6</v>
      </c>
      <c r="J134" s="3848">
        <v>12</v>
      </c>
      <c r="K134" s="3846">
        <v>1</v>
      </c>
      <c r="L134" s="3847">
        <v>5</v>
      </c>
      <c r="M134" s="3847">
        <v>6</v>
      </c>
      <c r="N134" s="3847">
        <v>12</v>
      </c>
      <c r="O134" s="3846">
        <v>1</v>
      </c>
      <c r="P134" s="3847">
        <v>5</v>
      </c>
      <c r="Q134" s="3847">
        <v>6</v>
      </c>
      <c r="R134" s="3848">
        <v>12</v>
      </c>
      <c r="S134" s="3847">
        <v>1</v>
      </c>
      <c r="T134" s="3847">
        <v>5</v>
      </c>
      <c r="U134" s="3847">
        <v>5</v>
      </c>
      <c r="V134" s="3848">
        <v>11</v>
      </c>
      <c r="W134" s="3846">
        <v>1</v>
      </c>
      <c r="X134" s="3847">
        <v>6</v>
      </c>
      <c r="Y134" s="3847">
        <v>7</v>
      </c>
      <c r="Z134" s="3848">
        <v>14</v>
      </c>
      <c r="AA134" s="3846">
        <v>1</v>
      </c>
      <c r="AB134" s="3847">
        <v>7</v>
      </c>
      <c r="AC134" s="3847">
        <v>8</v>
      </c>
      <c r="AD134" s="3848">
        <v>16</v>
      </c>
      <c r="AE134" s="3846">
        <v>1</v>
      </c>
      <c r="AF134" s="3847">
        <v>17</v>
      </c>
      <c r="AG134" s="3847">
        <v>8</v>
      </c>
      <c r="AH134" s="3848">
        <v>26</v>
      </c>
      <c r="AI134" s="3846">
        <f>SUM(AI131:AI133)</f>
        <v>1</v>
      </c>
      <c r="AJ134" s="3847">
        <f>SUM(AJ131:AJ133)</f>
        <v>17</v>
      </c>
      <c r="AK134" s="3847">
        <f>SUM(AK131:AK133)</f>
        <v>8</v>
      </c>
      <c r="AL134" s="3848">
        <f>SUM(AL131:AL133)</f>
        <v>26</v>
      </c>
      <c r="AM134" s="3846">
        <v>1</v>
      </c>
      <c r="AN134" s="3847">
        <v>15</v>
      </c>
      <c r="AO134" s="3847">
        <v>7</v>
      </c>
      <c r="AP134" s="3848">
        <f>SUM(AP131:AP133)</f>
        <v>23</v>
      </c>
      <c r="AQ134" s="3846">
        <v>1</v>
      </c>
      <c r="AR134" s="3847">
        <f>SUM(AR131:AR133)</f>
        <v>17</v>
      </c>
      <c r="AS134" s="3847">
        <f>SUM(AS131:AS133)</f>
        <v>6</v>
      </c>
      <c r="AT134" s="3848">
        <f>SUM(AT131:AT133)</f>
        <v>24</v>
      </c>
      <c r="AU134" s="3846">
        <v>1</v>
      </c>
      <c r="AV134" s="3847">
        <f>SUM(AV131:AV133)</f>
        <v>23</v>
      </c>
      <c r="AW134" s="3847">
        <f>SUM(AW131:AW133)</f>
        <v>6</v>
      </c>
      <c r="AX134" s="3848">
        <f>SUM(AX131:AX133)</f>
        <v>30</v>
      </c>
      <c r="AY134" s="3846">
        <v>1</v>
      </c>
      <c r="AZ134" s="3847">
        <f>SUM(AZ131:AZ133)</f>
        <v>16</v>
      </c>
      <c r="BA134" s="3847">
        <f>SUM(BA131:BA133)</f>
        <v>7</v>
      </c>
      <c r="BB134" s="3848">
        <f>SUM(BB131:BB133)</f>
        <v>24</v>
      </c>
      <c r="BC134" s="3846">
        <v>1</v>
      </c>
      <c r="BD134" s="3847">
        <f>SUM(BD131:BD133)</f>
        <v>16</v>
      </c>
      <c r="BE134" s="3847">
        <f>SUM(BE131:BE133)</f>
        <v>9</v>
      </c>
      <c r="BF134" s="3848">
        <f>SUM(BF131:BF133)</f>
        <v>25</v>
      </c>
      <c r="BG134" s="3846"/>
      <c r="BH134" s="3847">
        <f>SUM(BH131:BH133)</f>
        <v>15</v>
      </c>
      <c r="BI134" s="3847">
        <f>SUM(BI131:BI133)</f>
        <v>9</v>
      </c>
      <c r="BJ134" s="3848">
        <f>SUM(BJ131:BJ133)</f>
        <v>24</v>
      </c>
    </row>
    <row r="135" spans="1:62" x14ac:dyDescent="0.2">
      <c r="A135" s="1783"/>
      <c r="B135" s="1783"/>
      <c r="C135" s="1783"/>
      <c r="D135" s="1783"/>
      <c r="E135" s="1783"/>
      <c r="F135" s="1783"/>
      <c r="G135" s="1783"/>
      <c r="H135" s="1783"/>
      <c r="I135" s="1783"/>
      <c r="J135" s="1783"/>
      <c r="K135" s="1783"/>
      <c r="L135" s="1783"/>
      <c r="M135" s="1783"/>
      <c r="N135" s="1783"/>
      <c r="O135" s="1783"/>
      <c r="P135" s="1783"/>
      <c r="Q135" s="1783"/>
      <c r="R135" s="1783"/>
      <c r="S135" s="1783"/>
      <c r="T135" s="1783"/>
      <c r="U135" s="1783"/>
      <c r="V135" s="1783"/>
      <c r="W135" s="1783"/>
      <c r="X135" s="1783"/>
      <c r="Y135" s="1783"/>
      <c r="Z135" s="1783"/>
      <c r="AA135" s="1783"/>
      <c r="AB135" s="1783"/>
      <c r="AC135" s="1783"/>
      <c r="AD135" s="1783"/>
      <c r="AE135" s="1783"/>
      <c r="AF135" s="1783"/>
      <c r="AG135" s="1783"/>
      <c r="AH135" s="1783"/>
      <c r="AI135" s="1783"/>
      <c r="AJ135" s="1783"/>
      <c r="AK135" s="1783"/>
      <c r="AL135" s="1783"/>
      <c r="AM135" s="1783"/>
      <c r="AN135" s="1783"/>
      <c r="AO135" s="1783"/>
      <c r="AP135" s="1783"/>
      <c r="AQ135" s="1783"/>
      <c r="AR135" s="1783"/>
      <c r="AS135" s="1783"/>
      <c r="AT135" s="1783"/>
      <c r="AU135" s="1783"/>
      <c r="AV135" s="1783"/>
      <c r="AW135" s="1783"/>
      <c r="AX135" s="1783"/>
      <c r="AY135" s="1783"/>
      <c r="AZ135" s="1783"/>
      <c r="BA135" s="1783"/>
      <c r="BB135" s="1783"/>
      <c r="BC135" s="1783"/>
      <c r="BD135" s="1783"/>
      <c r="BE135" s="1783"/>
      <c r="BF135" s="1783"/>
      <c r="BG135" s="1783"/>
      <c r="BH135" s="1783"/>
      <c r="BI135" s="1783"/>
      <c r="BJ135" s="1783"/>
    </row>
    <row r="136" spans="1:62" ht="24.95" customHeight="1" x14ac:dyDescent="0.2">
      <c r="A136" s="7132" t="s">
        <v>60</v>
      </c>
      <c r="B136" s="7133"/>
      <c r="C136" s="3849">
        <v>14</v>
      </c>
      <c r="D136" s="3850">
        <v>69</v>
      </c>
      <c r="E136" s="3850">
        <v>88</v>
      </c>
      <c r="F136" s="3851">
        <v>171</v>
      </c>
      <c r="G136" s="3849">
        <v>9</v>
      </c>
      <c r="H136" s="3850">
        <v>64</v>
      </c>
      <c r="I136" s="3850">
        <v>102</v>
      </c>
      <c r="J136" s="3851">
        <v>175</v>
      </c>
      <c r="K136" s="3849">
        <v>11</v>
      </c>
      <c r="L136" s="3850">
        <v>61</v>
      </c>
      <c r="M136" s="3850">
        <v>98</v>
      </c>
      <c r="N136" s="3850">
        <v>170</v>
      </c>
      <c r="O136" s="3849">
        <v>9</v>
      </c>
      <c r="P136" s="3850">
        <v>58</v>
      </c>
      <c r="Q136" s="3850">
        <v>98</v>
      </c>
      <c r="R136" s="3851">
        <v>165</v>
      </c>
      <c r="S136" s="3850">
        <v>10</v>
      </c>
      <c r="T136" s="3850">
        <v>58</v>
      </c>
      <c r="U136" s="3850">
        <v>92</v>
      </c>
      <c r="V136" s="3851">
        <v>160</v>
      </c>
      <c r="W136" s="3850">
        <v>8</v>
      </c>
      <c r="X136" s="3850">
        <v>56</v>
      </c>
      <c r="Y136" s="3850">
        <v>87</v>
      </c>
      <c r="Z136" s="3851">
        <v>151</v>
      </c>
      <c r="AA136" s="3850">
        <v>7</v>
      </c>
      <c r="AB136" s="3850">
        <v>53</v>
      </c>
      <c r="AC136" s="3850">
        <v>88</v>
      </c>
      <c r="AD136" s="3851">
        <v>148</v>
      </c>
      <c r="AE136" s="3850">
        <v>7</v>
      </c>
      <c r="AF136" s="3850">
        <v>68</v>
      </c>
      <c r="AG136" s="3850">
        <v>87</v>
      </c>
      <c r="AH136" s="3851">
        <v>162</v>
      </c>
      <c r="AI136" s="3849">
        <f t="shared" ref="AI136:AW136" si="85">SUM(AI114,AI119,AI124,AI134)</f>
        <v>7</v>
      </c>
      <c r="AJ136" s="3850">
        <f t="shared" si="85"/>
        <v>72</v>
      </c>
      <c r="AK136" s="3850">
        <f t="shared" si="85"/>
        <v>87</v>
      </c>
      <c r="AL136" s="3851">
        <f t="shared" si="85"/>
        <v>166</v>
      </c>
      <c r="AM136" s="3849">
        <f t="shared" si="85"/>
        <v>7</v>
      </c>
      <c r="AN136" s="3850">
        <f t="shared" si="85"/>
        <v>77</v>
      </c>
      <c r="AO136" s="3850">
        <f t="shared" si="85"/>
        <v>83</v>
      </c>
      <c r="AP136" s="3851">
        <f t="shared" si="85"/>
        <v>167</v>
      </c>
      <c r="AQ136" s="3849">
        <f t="shared" si="85"/>
        <v>7</v>
      </c>
      <c r="AR136" s="3850">
        <f t="shared" si="85"/>
        <v>76</v>
      </c>
      <c r="AS136" s="3850">
        <f t="shared" si="85"/>
        <v>77</v>
      </c>
      <c r="AT136" s="3851">
        <f t="shared" si="85"/>
        <v>160</v>
      </c>
      <c r="AU136" s="3849">
        <f t="shared" si="85"/>
        <v>7</v>
      </c>
      <c r="AV136" s="3850">
        <f t="shared" si="85"/>
        <v>85</v>
      </c>
      <c r="AW136" s="3850">
        <f t="shared" si="85"/>
        <v>79</v>
      </c>
      <c r="AX136" s="3851">
        <f>SUM(AX114,AX119,AX124,AX129,AX134)</f>
        <v>171</v>
      </c>
      <c r="AY136" s="3849">
        <f>SUM(AY114,AY119,AY124,AY134)</f>
        <v>7</v>
      </c>
      <c r="AZ136" s="3850">
        <f>SUM(AZ114,AZ119,AZ124,AZ134)</f>
        <v>74</v>
      </c>
      <c r="BA136" s="3850">
        <f>SUM(BA114,BA119,BA124,BA134)</f>
        <v>79</v>
      </c>
      <c r="BB136" s="3851">
        <f>SUM(BB114,BB119,BB124,BB129,BB134)</f>
        <v>160</v>
      </c>
      <c r="BC136" s="3849">
        <f>SUM(BC114,BC119,BC124,BC134)</f>
        <v>7</v>
      </c>
      <c r="BD136" s="3850">
        <f>SUM(BD114,BD119,BD124,BD134)</f>
        <v>68</v>
      </c>
      <c r="BE136" s="3850">
        <f>SUM(BE114,BE119,BE124,BE134)</f>
        <v>80</v>
      </c>
      <c r="BF136" s="3851">
        <f>SUM(BF114,BF119,BF124,BF129,BF134)</f>
        <v>154</v>
      </c>
      <c r="BG136" s="3849">
        <f>SUM(BG114,BG119,BG124,BG134)</f>
        <v>6</v>
      </c>
      <c r="BH136" s="3850">
        <f t="shared" ref="BH136:BI136" si="86">SUM(BH114,BH119,BH124,BH134)</f>
        <v>66</v>
      </c>
      <c r="BI136" s="3850">
        <f t="shared" si="86"/>
        <v>77</v>
      </c>
      <c r="BJ136" s="3851">
        <f>SUM(BJ114,BJ119,BJ124,BJ134)</f>
        <v>149</v>
      </c>
    </row>
    <row r="137" spans="1:62" x14ac:dyDescent="0.2">
      <c r="A137" s="3876" t="s">
        <v>1289</v>
      </c>
      <c r="B137" s="3877"/>
      <c r="C137" s="3797"/>
      <c r="D137" s="3797"/>
      <c r="E137" s="3797"/>
      <c r="F137" s="3797"/>
      <c r="G137" s="3797"/>
      <c r="H137" s="3797"/>
      <c r="I137" s="3797"/>
      <c r="J137" s="3797"/>
      <c r="K137" s="3797"/>
      <c r="L137" s="3797"/>
      <c r="M137" s="3797"/>
      <c r="N137" s="3797"/>
      <c r="O137" s="3797"/>
      <c r="P137" s="3797"/>
      <c r="Q137" s="3797"/>
      <c r="R137" s="3797"/>
      <c r="S137" s="3797"/>
      <c r="T137" s="3797"/>
      <c r="U137" s="3797"/>
      <c r="V137" s="3797"/>
    </row>
    <row r="138" spans="1:62" x14ac:dyDescent="0.2">
      <c r="A138" s="3878" t="s">
        <v>116</v>
      </c>
      <c r="B138" s="3877"/>
      <c r="C138" s="3797"/>
      <c r="D138" s="3797"/>
      <c r="E138" s="3797"/>
      <c r="F138" s="3797"/>
      <c r="G138" s="3797"/>
      <c r="H138" s="3797"/>
      <c r="I138" s="3797"/>
      <c r="J138" s="3797"/>
      <c r="K138" s="3797"/>
      <c r="L138" s="3797"/>
      <c r="M138" s="3797"/>
      <c r="N138" s="3797"/>
      <c r="O138" s="3797"/>
      <c r="P138" s="3797"/>
      <c r="Q138" s="3797"/>
      <c r="R138" s="3797"/>
      <c r="S138" s="3797"/>
      <c r="T138" s="3797"/>
      <c r="U138" s="3797"/>
      <c r="V138" s="3797"/>
    </row>
    <row r="143" spans="1:62" x14ac:dyDescent="0.2">
      <c r="AB143" s="3912">
        <v>2003</v>
      </c>
    </row>
    <row r="144" spans="1:62" x14ac:dyDescent="0.2">
      <c r="AB144" s="3912">
        <v>2004</v>
      </c>
    </row>
    <row r="145" spans="28:28" x14ac:dyDescent="0.2">
      <c r="AB145" s="3912">
        <v>2005</v>
      </c>
    </row>
    <row r="146" spans="28:28" x14ac:dyDescent="0.2">
      <c r="AB146" s="3912">
        <v>2006</v>
      </c>
    </row>
    <row r="147" spans="28:28" x14ac:dyDescent="0.2">
      <c r="AB147" s="3912">
        <v>2007</v>
      </c>
    </row>
    <row r="148" spans="28:28" x14ac:dyDescent="0.2">
      <c r="AB148" s="3912">
        <v>2008</v>
      </c>
    </row>
    <row r="149" spans="28:28" x14ac:dyDescent="0.2">
      <c r="AB149" s="3912">
        <v>2009</v>
      </c>
    </row>
    <row r="150" spans="28:28" x14ac:dyDescent="0.2">
      <c r="AB150" s="3912">
        <v>2010</v>
      </c>
    </row>
    <row r="151" spans="28:28" x14ac:dyDescent="0.2">
      <c r="AB151" s="3912">
        <v>2011</v>
      </c>
    </row>
    <row r="152" spans="28:28" x14ac:dyDescent="0.2">
      <c r="AB152" s="3912">
        <v>2012</v>
      </c>
    </row>
    <row r="153" spans="28:28" x14ac:dyDescent="0.2">
      <c r="AB153" s="3912">
        <v>2013</v>
      </c>
    </row>
    <row r="154" spans="28:28" x14ac:dyDescent="0.2">
      <c r="AB154" s="3912">
        <v>2014</v>
      </c>
    </row>
    <row r="155" spans="28:28" x14ac:dyDescent="0.2">
      <c r="AB155" s="3912">
        <v>2015</v>
      </c>
    </row>
    <row r="156" spans="28:28" x14ac:dyDescent="0.2">
      <c r="AB156" s="3912">
        <v>2016</v>
      </c>
    </row>
    <row r="157" spans="28:28" x14ac:dyDescent="0.2">
      <c r="AB157" s="3912">
        <v>2017</v>
      </c>
    </row>
    <row r="162" spans="28:30" x14ac:dyDescent="0.2">
      <c r="AB162" s="3912"/>
    </row>
    <row r="163" spans="28:30" x14ac:dyDescent="0.2">
      <c r="AB163" s="3912"/>
    </row>
    <row r="164" spans="28:30" x14ac:dyDescent="0.2">
      <c r="AB164" s="3912" t="s">
        <v>1290</v>
      </c>
    </row>
    <row r="165" spans="28:30" x14ac:dyDescent="0.2">
      <c r="AB165" s="3912" t="s">
        <v>1291</v>
      </c>
    </row>
    <row r="166" spans="28:30" x14ac:dyDescent="0.2">
      <c r="AB166" s="3912" t="s">
        <v>1292</v>
      </c>
    </row>
    <row r="176" spans="28:30" x14ac:dyDescent="0.2">
      <c r="AD176" s="5106" t="s">
        <v>1293</v>
      </c>
    </row>
    <row r="177" spans="30:30" x14ac:dyDescent="0.2">
      <c r="AD177" s="5106" t="s">
        <v>1294</v>
      </c>
    </row>
    <row r="178" spans="30:30" x14ac:dyDescent="0.2">
      <c r="AD178" s="5106" t="s">
        <v>1295</v>
      </c>
    </row>
  </sheetData>
  <sheetProtection algorithmName="SHA-512" hashValue="C0p6x61L6FOpfd6svuIgiweNplm9RfbCpY6eYx0cSp/exx7ELQwc24MvpYB7F2b2gu6nbcgRt8RAY45y9jExkQ==" saltValue="JHvTG/LN+Yv8kYFPgJXWOQ==" spinCount="100000" sheet="1" objects="1" scenarios="1"/>
  <mergeCells count="94">
    <mergeCell ref="BG3:BJ3"/>
    <mergeCell ref="BG38:BJ38"/>
    <mergeCell ref="BG73:BJ73"/>
    <mergeCell ref="BG108:BJ108"/>
    <mergeCell ref="BC3:BF3"/>
    <mergeCell ref="BC38:BF38"/>
    <mergeCell ref="BC73:BF73"/>
    <mergeCell ref="BC108:BF108"/>
    <mergeCell ref="AY3:BB3"/>
    <mergeCell ref="AY38:BB38"/>
    <mergeCell ref="AY73:BB73"/>
    <mergeCell ref="AY108:BB108"/>
    <mergeCell ref="A21:A24"/>
    <mergeCell ref="S3:V3"/>
    <mergeCell ref="W3:Z3"/>
    <mergeCell ref="AA3:AD3"/>
    <mergeCell ref="AE3:AH3"/>
    <mergeCell ref="A3:A4"/>
    <mergeCell ref="B3:B4"/>
    <mergeCell ref="C3:F3"/>
    <mergeCell ref="G3:J3"/>
    <mergeCell ref="K3:N3"/>
    <mergeCell ref="O3:R3"/>
    <mergeCell ref="AQ3:AT3"/>
    <mergeCell ref="AU3:AX3"/>
    <mergeCell ref="A6:A9"/>
    <mergeCell ref="A11:A14"/>
    <mergeCell ref="A16:A19"/>
    <mergeCell ref="AI3:AL3"/>
    <mergeCell ref="AM3:AP3"/>
    <mergeCell ref="AM38:AP38"/>
    <mergeCell ref="AQ38:AT38"/>
    <mergeCell ref="AU38:AX38"/>
    <mergeCell ref="A41:A44"/>
    <mergeCell ref="A46:A49"/>
    <mergeCell ref="O38:R38"/>
    <mergeCell ref="S38:V38"/>
    <mergeCell ref="W38:Z38"/>
    <mergeCell ref="AA38:AD38"/>
    <mergeCell ref="AE38:AH38"/>
    <mergeCell ref="AI38:AL38"/>
    <mergeCell ref="A38:A39"/>
    <mergeCell ref="B38:B39"/>
    <mergeCell ref="C38:F38"/>
    <mergeCell ref="G38:J38"/>
    <mergeCell ref="K38:N38"/>
    <mergeCell ref="AI73:AL73"/>
    <mergeCell ref="AM73:AP73"/>
    <mergeCell ref="AQ73:AT73"/>
    <mergeCell ref="AU73:AX73"/>
    <mergeCell ref="A76:A79"/>
    <mergeCell ref="K73:N73"/>
    <mergeCell ref="O73:R73"/>
    <mergeCell ref="S73:V73"/>
    <mergeCell ref="W73:Z73"/>
    <mergeCell ref="AA73:AD73"/>
    <mergeCell ref="AE73:AH73"/>
    <mergeCell ref="A73:A74"/>
    <mergeCell ref="B73:B74"/>
    <mergeCell ref="C73:F73"/>
    <mergeCell ref="G73:J73"/>
    <mergeCell ref="AU108:AX108"/>
    <mergeCell ref="C108:F108"/>
    <mergeCell ref="G108:J108"/>
    <mergeCell ref="K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116:A119"/>
    <mergeCell ref="A121:A124"/>
    <mergeCell ref="A126:A129"/>
    <mergeCell ref="A131:A134"/>
    <mergeCell ref="A136:B136"/>
    <mergeCell ref="A1:B1"/>
    <mergeCell ref="A36:B36"/>
    <mergeCell ref="A71:B71"/>
    <mergeCell ref="A106:B106"/>
    <mergeCell ref="A111:A114"/>
    <mergeCell ref="A86:A89"/>
    <mergeCell ref="A91:A94"/>
    <mergeCell ref="A96:A99"/>
    <mergeCell ref="A101:B101"/>
    <mergeCell ref="A108:A109"/>
    <mergeCell ref="B108:B109"/>
    <mergeCell ref="A81:A84"/>
    <mergeCell ref="A56:A59"/>
    <mergeCell ref="A61:A64"/>
    <mergeCell ref="A51:A54"/>
    <mergeCell ref="A26:A29"/>
  </mergeCells>
  <printOptions horizontalCentered="1" verticalCentered="1"/>
  <pageMargins left="0" right="0" top="0" bottom="0" header="0.31496062992125984" footer="0.31496062992125984"/>
  <pageSetup scale="59" pageOrder="overThenDown" orientation="landscape" r:id="rId1"/>
  <headerFooter alignWithMargins="0"/>
  <rowBreaks count="5" manualBreakCount="5">
    <brk id="34" max="49" man="1"/>
    <brk id="69" max="49" man="1"/>
    <brk id="104" max="49" man="1"/>
    <brk id="140" max="16383" man="1"/>
    <brk id="179" max="16383" man="1"/>
  </rowBreaks>
  <colBreaks count="2" manualBreakCount="2">
    <brk id="26" max="137" man="1"/>
    <brk id="50" max="1048575" man="1"/>
  </colBreaks>
  <ignoredErrors>
    <ignoredError sqref="Z6:Z28 Z46:Z48 AL41:AL63 AL6:AL28 AL111:AL133" formulaRange="1"/>
    <ignoredError sqref="AX6:AX28 AT6:AT28 AX136 BB11:BB28 BB6:BB8 BF6:BF28" formula="1"/>
  </ignoredErrors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AO146"/>
  <sheetViews>
    <sheetView showGridLines="0" zoomScaleNormal="100" workbookViewId="0">
      <pane xSplit="2" ySplit="5" topLeftCell="V6" activePane="bottomRight" state="frozen"/>
      <selection sqref="A1:E1"/>
      <selection pane="topRight" sqref="A1:E1"/>
      <selection pane="bottomLeft" sqref="A1:E1"/>
      <selection pane="bottomRight" activeCell="AP134" sqref="AP134"/>
    </sheetView>
  </sheetViews>
  <sheetFormatPr baseColWidth="10" defaultRowHeight="15" x14ac:dyDescent="0.25"/>
  <cols>
    <col min="1" max="1" width="16.85546875" style="1519" customWidth="1"/>
    <col min="2" max="2" width="13.140625" style="1519" customWidth="1"/>
    <col min="3" max="50" width="8.7109375" style="1519" customWidth="1"/>
    <col min="51" max="16384" width="11.42578125" style="1519"/>
  </cols>
  <sheetData>
    <row r="1" spans="1:41" ht="64.5" customHeight="1" x14ac:dyDescent="0.3">
      <c r="A1" s="7169" t="s">
        <v>755</v>
      </c>
      <c r="B1" s="7169"/>
      <c r="AO1" s="5256" t="s">
        <v>1293</v>
      </c>
    </row>
    <row r="3" spans="1:41" x14ac:dyDescent="0.25">
      <c r="A3" s="5653" t="s">
        <v>16</v>
      </c>
      <c r="B3" s="5653" t="s">
        <v>4</v>
      </c>
      <c r="C3" s="7148">
        <v>2005</v>
      </c>
      <c r="D3" s="7149"/>
      <c r="E3" s="7150"/>
      <c r="F3" s="7148">
        <v>2006</v>
      </c>
      <c r="G3" s="7149"/>
      <c r="H3" s="7150"/>
      <c r="I3" s="7148">
        <v>2007</v>
      </c>
      <c r="J3" s="7149"/>
      <c r="K3" s="7150"/>
      <c r="L3" s="7148">
        <v>2008</v>
      </c>
      <c r="M3" s="7149"/>
      <c r="N3" s="7150"/>
      <c r="O3" s="7148">
        <v>2009</v>
      </c>
      <c r="P3" s="7149"/>
      <c r="Q3" s="7150"/>
      <c r="R3" s="7148">
        <v>2010</v>
      </c>
      <c r="S3" s="7149"/>
      <c r="T3" s="7150"/>
      <c r="U3" s="7148">
        <v>2011</v>
      </c>
      <c r="V3" s="7149"/>
      <c r="W3" s="7150"/>
      <c r="X3" s="7148">
        <v>2012</v>
      </c>
      <c r="Y3" s="7149"/>
      <c r="Z3" s="7150"/>
      <c r="AA3" s="7148">
        <v>2013</v>
      </c>
      <c r="AB3" s="7149"/>
      <c r="AC3" s="7150"/>
      <c r="AD3" s="7148">
        <v>2014</v>
      </c>
      <c r="AE3" s="7149"/>
      <c r="AF3" s="7150"/>
      <c r="AG3" s="7148">
        <v>2015</v>
      </c>
      <c r="AH3" s="7149"/>
      <c r="AI3" s="7150"/>
      <c r="AJ3" s="7148">
        <v>2016</v>
      </c>
      <c r="AK3" s="7149"/>
      <c r="AL3" s="7150"/>
      <c r="AM3" s="7148">
        <v>2017</v>
      </c>
      <c r="AN3" s="7149"/>
      <c r="AO3" s="7150"/>
    </row>
    <row r="4" spans="1:41" x14ac:dyDescent="0.25">
      <c r="A4" s="5654"/>
      <c r="B4" s="5654"/>
      <c r="C4" s="1617" t="s">
        <v>638</v>
      </c>
      <c r="D4" s="1617" t="s">
        <v>639</v>
      </c>
      <c r="E4" s="1553" t="s">
        <v>12</v>
      </c>
      <c r="F4" s="1617" t="s">
        <v>638</v>
      </c>
      <c r="G4" s="1617" t="s">
        <v>639</v>
      </c>
      <c r="H4" s="1553" t="s">
        <v>12</v>
      </c>
      <c r="I4" s="1617" t="s">
        <v>638</v>
      </c>
      <c r="J4" s="1617" t="s">
        <v>639</v>
      </c>
      <c r="K4" s="1553" t="s">
        <v>12</v>
      </c>
      <c r="L4" s="1617" t="s">
        <v>638</v>
      </c>
      <c r="M4" s="1617" t="s">
        <v>639</v>
      </c>
      <c r="N4" s="1553" t="s">
        <v>12</v>
      </c>
      <c r="O4" s="1617" t="s">
        <v>638</v>
      </c>
      <c r="P4" s="1617" t="s">
        <v>639</v>
      </c>
      <c r="Q4" s="1553" t="s">
        <v>12</v>
      </c>
      <c r="R4" s="1617" t="s">
        <v>638</v>
      </c>
      <c r="S4" s="1617" t="s">
        <v>639</v>
      </c>
      <c r="T4" s="1553" t="s">
        <v>12</v>
      </c>
      <c r="U4" s="1617" t="s">
        <v>638</v>
      </c>
      <c r="V4" s="1617" t="s">
        <v>639</v>
      </c>
      <c r="W4" s="1553" t="s">
        <v>12</v>
      </c>
      <c r="X4" s="1617" t="s">
        <v>638</v>
      </c>
      <c r="Y4" s="1617" t="s">
        <v>639</v>
      </c>
      <c r="Z4" s="1553" t="s">
        <v>12</v>
      </c>
      <c r="AA4" s="1617" t="s">
        <v>638</v>
      </c>
      <c r="AB4" s="1617" t="s">
        <v>639</v>
      </c>
      <c r="AC4" s="1553" t="s">
        <v>12</v>
      </c>
      <c r="AD4" s="1617" t="s">
        <v>638</v>
      </c>
      <c r="AE4" s="1617" t="s">
        <v>639</v>
      </c>
      <c r="AF4" s="1553" t="s">
        <v>12</v>
      </c>
      <c r="AG4" s="1617" t="s">
        <v>638</v>
      </c>
      <c r="AH4" s="1617" t="s">
        <v>639</v>
      </c>
      <c r="AI4" s="1553" t="s">
        <v>12</v>
      </c>
      <c r="AJ4" s="1617" t="s">
        <v>638</v>
      </c>
      <c r="AK4" s="1617" t="s">
        <v>639</v>
      </c>
      <c r="AL4" s="1553" t="s">
        <v>12</v>
      </c>
      <c r="AM4" s="1617" t="s">
        <v>638</v>
      </c>
      <c r="AN4" s="1617" t="s">
        <v>639</v>
      </c>
      <c r="AO4" s="1553" t="s">
        <v>12</v>
      </c>
    </row>
    <row r="5" spans="1:41" x14ac:dyDescent="0.25">
      <c r="A5" s="1554"/>
      <c r="B5" s="1554"/>
      <c r="C5" s="1554"/>
      <c r="D5" s="1554"/>
      <c r="E5" s="1554"/>
      <c r="F5" s="1554"/>
      <c r="G5" s="1554"/>
      <c r="H5" s="1554"/>
      <c r="I5" s="1554"/>
      <c r="J5" s="1554"/>
      <c r="K5" s="1554"/>
      <c r="L5" s="1554"/>
      <c r="M5" s="1554"/>
      <c r="N5" s="1554"/>
      <c r="O5" s="1554"/>
      <c r="P5" s="1554"/>
      <c r="Q5" s="1554"/>
    </row>
    <row r="6" spans="1:41" x14ac:dyDescent="0.25">
      <c r="A6" s="7163" t="s">
        <v>161</v>
      </c>
      <c r="B6" s="1555" t="s">
        <v>5</v>
      </c>
      <c r="C6" s="1556">
        <v>66</v>
      </c>
      <c r="D6" s="1557">
        <v>263</v>
      </c>
      <c r="E6" s="1558">
        <v>329</v>
      </c>
      <c r="F6" s="1557">
        <v>66</v>
      </c>
      <c r="G6" s="1557">
        <v>261</v>
      </c>
      <c r="H6" s="1557">
        <v>327</v>
      </c>
      <c r="I6" s="1556">
        <v>70</v>
      </c>
      <c r="J6" s="1557">
        <v>270</v>
      </c>
      <c r="K6" s="1558">
        <v>340</v>
      </c>
      <c r="L6" s="1559">
        <v>71</v>
      </c>
      <c r="M6" s="1560">
        <v>270</v>
      </c>
      <c r="N6" s="1561">
        <v>341</v>
      </c>
      <c r="O6" s="1559">
        <v>70</v>
      </c>
      <c r="P6" s="1560">
        <v>274</v>
      </c>
      <c r="Q6" s="1561">
        <v>344</v>
      </c>
      <c r="R6" s="1562">
        <v>73</v>
      </c>
      <c r="S6" s="1562">
        <v>269</v>
      </c>
      <c r="T6" s="1563">
        <f t="shared" ref="T6:T19" si="0">SUM(R6:S6)</f>
        <v>342</v>
      </c>
      <c r="U6" s="1562">
        <v>73</v>
      </c>
      <c r="V6" s="1562">
        <v>269</v>
      </c>
      <c r="W6" s="1563">
        <f t="shared" ref="W6:W19" si="1">SUM(U6:V6)</f>
        <v>342</v>
      </c>
      <c r="X6" s="1562">
        <v>76</v>
      </c>
      <c r="Y6" s="1562">
        <v>272</v>
      </c>
      <c r="Z6" s="1563">
        <f>SUM(X6:Y6)</f>
        <v>348</v>
      </c>
      <c r="AA6" s="1562">
        <v>77</v>
      </c>
      <c r="AB6" s="1562">
        <v>272</v>
      </c>
      <c r="AC6" s="1563">
        <f>SUM(AA6:AB6)</f>
        <v>349</v>
      </c>
      <c r="AD6" s="1562">
        <v>83</v>
      </c>
      <c r="AE6" s="1562">
        <v>274</v>
      </c>
      <c r="AF6" s="1563">
        <f>SUM(AD6:AE6)</f>
        <v>357</v>
      </c>
      <c r="AG6" s="1562">
        <v>81</v>
      </c>
      <c r="AH6" s="1562">
        <v>270</v>
      </c>
      <c r="AI6" s="1563">
        <f>SUM(AG6:AH6)</f>
        <v>351</v>
      </c>
      <c r="AJ6" s="1562">
        <v>80</v>
      </c>
      <c r="AK6" s="1562">
        <v>268</v>
      </c>
      <c r="AL6" s="1563">
        <f>SUM(AJ6:AK6)</f>
        <v>348</v>
      </c>
      <c r="AM6" s="1562">
        <v>87</v>
      </c>
      <c r="AN6" s="1562">
        <v>268</v>
      </c>
      <c r="AO6" s="1563">
        <f>SUM(AM6:AN6)</f>
        <v>355</v>
      </c>
    </row>
    <row r="7" spans="1:41" x14ac:dyDescent="0.25">
      <c r="A7" s="7164"/>
      <c r="B7" s="1564" t="s">
        <v>6</v>
      </c>
      <c r="C7" s="1565">
        <v>127</v>
      </c>
      <c r="D7" s="1566">
        <v>178</v>
      </c>
      <c r="E7" s="1567">
        <v>305</v>
      </c>
      <c r="F7" s="1566">
        <v>128</v>
      </c>
      <c r="G7" s="1566">
        <v>182</v>
      </c>
      <c r="H7" s="1566">
        <v>310</v>
      </c>
      <c r="I7" s="1565">
        <v>134</v>
      </c>
      <c r="J7" s="1566">
        <v>180</v>
      </c>
      <c r="K7" s="1567">
        <v>314</v>
      </c>
      <c r="L7" s="1568">
        <v>134</v>
      </c>
      <c r="M7" s="1569">
        <v>180</v>
      </c>
      <c r="N7" s="1570">
        <v>314</v>
      </c>
      <c r="O7" s="1568">
        <v>131</v>
      </c>
      <c r="P7" s="1569">
        <v>181</v>
      </c>
      <c r="Q7" s="1570">
        <v>312</v>
      </c>
      <c r="R7" s="1571">
        <v>129</v>
      </c>
      <c r="S7" s="1571">
        <v>179</v>
      </c>
      <c r="T7" s="1572">
        <f t="shared" si="0"/>
        <v>308</v>
      </c>
      <c r="U7" s="1571">
        <v>130</v>
      </c>
      <c r="V7" s="1571">
        <v>185</v>
      </c>
      <c r="W7" s="1572">
        <f t="shared" si="1"/>
        <v>315</v>
      </c>
      <c r="X7" s="1571">
        <v>132</v>
      </c>
      <c r="Y7" s="1571">
        <v>182</v>
      </c>
      <c r="Z7" s="1572">
        <f>SUM(X7:Y7)</f>
        <v>314</v>
      </c>
      <c r="AA7" s="1571">
        <v>137</v>
      </c>
      <c r="AB7" s="1571">
        <v>189</v>
      </c>
      <c r="AC7" s="1572">
        <f>SUM(AA7:AB7)</f>
        <v>326</v>
      </c>
      <c r="AD7" s="1571">
        <v>137</v>
      </c>
      <c r="AE7" s="1571">
        <v>188</v>
      </c>
      <c r="AF7" s="1572">
        <f>SUM(AD7:AE7)</f>
        <v>325</v>
      </c>
      <c r="AG7" s="1571">
        <v>133</v>
      </c>
      <c r="AH7" s="1571">
        <v>186</v>
      </c>
      <c r="AI7" s="1572">
        <f>SUM(AG7:AH7)</f>
        <v>319</v>
      </c>
      <c r="AJ7" s="1571">
        <v>130</v>
      </c>
      <c r="AK7" s="1571">
        <v>181</v>
      </c>
      <c r="AL7" s="1572">
        <f>SUM(AJ7:AK7)</f>
        <v>311</v>
      </c>
      <c r="AM7" s="1571">
        <v>133</v>
      </c>
      <c r="AN7" s="1571">
        <v>191</v>
      </c>
      <c r="AO7" s="1572">
        <f>SUM(AM7:AN7)</f>
        <v>324</v>
      </c>
    </row>
    <row r="8" spans="1:41" x14ac:dyDescent="0.25">
      <c r="A8" s="7164"/>
      <c r="B8" s="1564" t="s">
        <v>7</v>
      </c>
      <c r="C8" s="1565">
        <v>58</v>
      </c>
      <c r="D8" s="1566">
        <v>131</v>
      </c>
      <c r="E8" s="1567">
        <v>189</v>
      </c>
      <c r="F8" s="1566">
        <v>59</v>
      </c>
      <c r="G8" s="1566">
        <v>129</v>
      </c>
      <c r="H8" s="1566">
        <v>188</v>
      </c>
      <c r="I8" s="1565">
        <v>63</v>
      </c>
      <c r="J8" s="1566">
        <v>119</v>
      </c>
      <c r="K8" s="1567">
        <v>182</v>
      </c>
      <c r="L8" s="1568">
        <v>64</v>
      </c>
      <c r="M8" s="1569">
        <v>119</v>
      </c>
      <c r="N8" s="1570">
        <v>183</v>
      </c>
      <c r="O8" s="1568">
        <v>69</v>
      </c>
      <c r="P8" s="1569">
        <v>121</v>
      </c>
      <c r="Q8" s="1570">
        <v>190</v>
      </c>
      <c r="R8" s="1571">
        <v>74</v>
      </c>
      <c r="S8" s="1571">
        <v>125</v>
      </c>
      <c r="T8" s="1572">
        <f t="shared" si="0"/>
        <v>199</v>
      </c>
      <c r="U8" s="1571">
        <v>72</v>
      </c>
      <c r="V8" s="1571">
        <v>129</v>
      </c>
      <c r="W8" s="1572">
        <f t="shared" si="1"/>
        <v>201</v>
      </c>
      <c r="X8" s="1571">
        <v>76</v>
      </c>
      <c r="Y8" s="1571">
        <v>130</v>
      </c>
      <c r="Z8" s="1572">
        <f>SUM(X8:Y8)</f>
        <v>206</v>
      </c>
      <c r="AA8" s="1571">
        <v>78</v>
      </c>
      <c r="AB8" s="1571">
        <v>133</v>
      </c>
      <c r="AC8" s="1572">
        <f>SUM(AA8:AB8)</f>
        <v>211</v>
      </c>
      <c r="AD8" s="1571">
        <v>82</v>
      </c>
      <c r="AE8" s="1571">
        <v>139</v>
      </c>
      <c r="AF8" s="1572">
        <f>SUM(AD8:AE8)</f>
        <v>221</v>
      </c>
      <c r="AG8" s="1571">
        <v>79</v>
      </c>
      <c r="AH8" s="1571">
        <v>136</v>
      </c>
      <c r="AI8" s="1572">
        <f>SUM(AG8:AH8)</f>
        <v>215</v>
      </c>
      <c r="AJ8" s="1571">
        <v>80</v>
      </c>
      <c r="AK8" s="1571">
        <v>133</v>
      </c>
      <c r="AL8" s="1572">
        <f>SUM(AJ8:AK8)</f>
        <v>213</v>
      </c>
      <c r="AM8" s="1571">
        <v>77</v>
      </c>
      <c r="AN8" s="1571">
        <v>132</v>
      </c>
      <c r="AO8" s="1572">
        <f>SUM(AM8:AN8)</f>
        <v>209</v>
      </c>
    </row>
    <row r="9" spans="1:41" x14ac:dyDescent="0.25">
      <c r="A9" s="7165"/>
      <c r="B9" s="2470" t="s">
        <v>12</v>
      </c>
      <c r="C9" s="2471">
        <v>251</v>
      </c>
      <c r="D9" s="2472">
        <v>572</v>
      </c>
      <c r="E9" s="2473">
        <v>823</v>
      </c>
      <c r="F9" s="2472">
        <v>253</v>
      </c>
      <c r="G9" s="2472">
        <v>572</v>
      </c>
      <c r="H9" s="2472">
        <v>825</v>
      </c>
      <c r="I9" s="2471">
        <v>267</v>
      </c>
      <c r="J9" s="2472">
        <v>569</v>
      </c>
      <c r="K9" s="2473">
        <v>836</v>
      </c>
      <c r="L9" s="2474">
        <v>269</v>
      </c>
      <c r="M9" s="2475">
        <v>569</v>
      </c>
      <c r="N9" s="2476">
        <v>838</v>
      </c>
      <c r="O9" s="2474">
        <v>270</v>
      </c>
      <c r="P9" s="2475">
        <v>576</v>
      </c>
      <c r="Q9" s="2476">
        <v>846</v>
      </c>
      <c r="R9" s="2477">
        <f>SUM(R6:R8)</f>
        <v>276</v>
      </c>
      <c r="S9" s="2477">
        <f>SUM(S6:S8)</f>
        <v>573</v>
      </c>
      <c r="T9" s="2478">
        <f t="shared" si="0"/>
        <v>849</v>
      </c>
      <c r="U9" s="2477">
        <f>SUM(U6:U8)</f>
        <v>275</v>
      </c>
      <c r="V9" s="2477">
        <f>SUM(V6:V8)</f>
        <v>583</v>
      </c>
      <c r="W9" s="2478">
        <f t="shared" si="1"/>
        <v>858</v>
      </c>
      <c r="X9" s="2477">
        <f>SUM(X6:X8)</f>
        <v>284</v>
      </c>
      <c r="Y9" s="2477">
        <f>SUM(Y6:Y8)</f>
        <v>584</v>
      </c>
      <c r="Z9" s="2478">
        <f>SUM(X9:Y9)</f>
        <v>868</v>
      </c>
      <c r="AA9" s="2477">
        <f>SUM(AA6:AA8)</f>
        <v>292</v>
      </c>
      <c r="AB9" s="2477">
        <f>SUM(AB6:AB8)</f>
        <v>594</v>
      </c>
      <c r="AC9" s="2478">
        <f>SUM(AA9:AB9)</f>
        <v>886</v>
      </c>
      <c r="AD9" s="2477">
        <f>SUM(AD6:AD8)</f>
        <v>302</v>
      </c>
      <c r="AE9" s="2477">
        <f>SUM(AE6:AE8)</f>
        <v>601</v>
      </c>
      <c r="AF9" s="2478">
        <f>SUM(AD9:AE9)</f>
        <v>903</v>
      </c>
      <c r="AG9" s="2477">
        <f>SUM(AG6:AG8)</f>
        <v>293</v>
      </c>
      <c r="AH9" s="2477">
        <f>SUM(AH6:AH8)</f>
        <v>592</v>
      </c>
      <c r="AI9" s="2478">
        <f>SUM(AG9:AH9)</f>
        <v>885</v>
      </c>
      <c r="AJ9" s="2477">
        <f>SUM(AJ6:AJ8)</f>
        <v>290</v>
      </c>
      <c r="AK9" s="2477">
        <f>SUM(AK6:AK8)</f>
        <v>582</v>
      </c>
      <c r="AL9" s="2478">
        <f>SUM(AJ9:AK9)</f>
        <v>872</v>
      </c>
      <c r="AM9" s="2477">
        <f>SUM(AM6:AM8)</f>
        <v>297</v>
      </c>
      <c r="AN9" s="2477">
        <f>SUM(AN6:AN8)</f>
        <v>591</v>
      </c>
      <c r="AO9" s="2478">
        <f>SUM(AM9:AN9)</f>
        <v>888</v>
      </c>
    </row>
    <row r="11" spans="1:41" x14ac:dyDescent="0.25">
      <c r="A11" s="7160" t="s">
        <v>407</v>
      </c>
      <c r="B11" s="1555" t="s">
        <v>6</v>
      </c>
      <c r="C11" s="1556">
        <v>2</v>
      </c>
      <c r="D11" s="1557">
        <v>2</v>
      </c>
      <c r="E11" s="1558">
        <v>4</v>
      </c>
      <c r="F11" s="1557">
        <v>2</v>
      </c>
      <c r="G11" s="1557">
        <v>5</v>
      </c>
      <c r="H11" s="1557">
        <v>7</v>
      </c>
      <c r="I11" s="1556">
        <v>7</v>
      </c>
      <c r="J11" s="1557">
        <v>14</v>
      </c>
      <c r="K11" s="1558">
        <v>21</v>
      </c>
      <c r="L11" s="1559">
        <v>7</v>
      </c>
      <c r="M11" s="1560">
        <v>16</v>
      </c>
      <c r="N11" s="1561">
        <v>23</v>
      </c>
      <c r="O11" s="1559">
        <v>9</v>
      </c>
      <c r="P11" s="1560">
        <v>19</v>
      </c>
      <c r="Q11" s="1561">
        <v>28</v>
      </c>
      <c r="R11" s="1562">
        <v>17</v>
      </c>
      <c r="S11" s="1562">
        <v>21</v>
      </c>
      <c r="T11" s="1563">
        <f>SUM(R11:S11)</f>
        <v>38</v>
      </c>
      <c r="U11" s="1562">
        <v>21</v>
      </c>
      <c r="V11" s="1562">
        <v>24</v>
      </c>
      <c r="W11" s="1563">
        <f>SUM(U11:V11)</f>
        <v>45</v>
      </c>
      <c r="X11" s="1562">
        <v>19</v>
      </c>
      <c r="Y11" s="1562">
        <v>23</v>
      </c>
      <c r="Z11" s="1563">
        <f>SUM(X11:Y11)</f>
        <v>42</v>
      </c>
      <c r="AA11" s="1562">
        <v>21</v>
      </c>
      <c r="AB11" s="1562">
        <v>25</v>
      </c>
      <c r="AC11" s="1563">
        <f>SUM(AA11:AB11)</f>
        <v>46</v>
      </c>
      <c r="AD11" s="1562">
        <v>23</v>
      </c>
      <c r="AE11" s="1562">
        <v>26</v>
      </c>
      <c r="AF11" s="1563">
        <f>SUM(AD11:AE11)</f>
        <v>49</v>
      </c>
      <c r="AG11" s="1562">
        <v>22</v>
      </c>
      <c r="AH11" s="1562">
        <v>28</v>
      </c>
      <c r="AI11" s="1563">
        <f>SUM(AG11:AH11)</f>
        <v>50</v>
      </c>
      <c r="AJ11" s="1562">
        <v>24</v>
      </c>
      <c r="AK11" s="1562">
        <v>30</v>
      </c>
      <c r="AL11" s="1563">
        <f>SUM(AJ11:AK11)</f>
        <v>54</v>
      </c>
      <c r="AM11" s="1562">
        <v>27</v>
      </c>
      <c r="AN11" s="1562">
        <v>34</v>
      </c>
      <c r="AO11" s="1563">
        <f>SUM(AM11:AN11)</f>
        <v>61</v>
      </c>
    </row>
    <row r="12" spans="1:41" x14ac:dyDescent="0.25">
      <c r="A12" s="7161"/>
      <c r="B12" s="1564" t="s">
        <v>9</v>
      </c>
      <c r="C12" s="1565">
        <v>1</v>
      </c>
      <c r="D12" s="1566">
        <v>2</v>
      </c>
      <c r="E12" s="1567">
        <v>3</v>
      </c>
      <c r="F12" s="1566">
        <v>2</v>
      </c>
      <c r="G12" s="1566">
        <v>7</v>
      </c>
      <c r="H12" s="1566">
        <v>9</v>
      </c>
      <c r="I12" s="1565">
        <v>4</v>
      </c>
      <c r="J12" s="1566">
        <v>9</v>
      </c>
      <c r="K12" s="1567">
        <v>13</v>
      </c>
      <c r="L12" s="1568">
        <v>7</v>
      </c>
      <c r="M12" s="1569">
        <v>17</v>
      </c>
      <c r="N12" s="1570">
        <v>24</v>
      </c>
      <c r="O12" s="1568">
        <v>8</v>
      </c>
      <c r="P12" s="1569">
        <v>22</v>
      </c>
      <c r="Q12" s="1570">
        <v>30</v>
      </c>
      <c r="R12" s="1571">
        <v>13</v>
      </c>
      <c r="S12" s="1571">
        <v>25</v>
      </c>
      <c r="T12" s="1572">
        <f>SUM(R12:S12)</f>
        <v>38</v>
      </c>
      <c r="U12" s="1571">
        <v>15</v>
      </c>
      <c r="V12" s="1571">
        <v>26</v>
      </c>
      <c r="W12" s="1572">
        <f>SUM(U12:V12)</f>
        <v>41</v>
      </c>
      <c r="X12" s="1571">
        <v>17</v>
      </c>
      <c r="Y12" s="1571">
        <v>35</v>
      </c>
      <c r="Z12" s="1572">
        <f>SUM(X12:Y12)</f>
        <v>52</v>
      </c>
      <c r="AA12" s="1571">
        <v>15</v>
      </c>
      <c r="AB12" s="1571">
        <v>36</v>
      </c>
      <c r="AC12" s="1572">
        <f>SUM(AA12:AB12)</f>
        <v>51</v>
      </c>
      <c r="AD12" s="1571">
        <v>13</v>
      </c>
      <c r="AE12" s="1571">
        <v>39</v>
      </c>
      <c r="AF12" s="1572">
        <f>SUM(AD12:AE12)</f>
        <v>52</v>
      </c>
      <c r="AG12" s="1571">
        <v>13</v>
      </c>
      <c r="AH12" s="1571">
        <v>41</v>
      </c>
      <c r="AI12" s="1572">
        <f>SUM(AG12:AH12)</f>
        <v>54</v>
      </c>
      <c r="AJ12" s="1571">
        <v>14</v>
      </c>
      <c r="AK12" s="1571">
        <v>39</v>
      </c>
      <c r="AL12" s="1572">
        <f>SUM(AJ12:AK12)</f>
        <v>53</v>
      </c>
      <c r="AM12" s="1571">
        <v>15</v>
      </c>
      <c r="AN12" s="1571">
        <v>37</v>
      </c>
      <c r="AO12" s="1572">
        <f>SUM(AM12:AN12)</f>
        <v>52</v>
      </c>
    </row>
    <row r="13" spans="1:41" x14ac:dyDescent="0.25">
      <c r="A13" s="7161"/>
      <c r="B13" s="1564" t="s">
        <v>74</v>
      </c>
      <c r="C13" s="1565">
        <v>1</v>
      </c>
      <c r="D13" s="1566">
        <v>5</v>
      </c>
      <c r="E13" s="1567">
        <v>6</v>
      </c>
      <c r="F13" s="1566">
        <v>1</v>
      </c>
      <c r="G13" s="1566">
        <v>5</v>
      </c>
      <c r="H13" s="1566">
        <v>6</v>
      </c>
      <c r="I13" s="1565">
        <v>5</v>
      </c>
      <c r="J13" s="1566">
        <v>13</v>
      </c>
      <c r="K13" s="1567">
        <v>18</v>
      </c>
      <c r="L13" s="1568">
        <v>8</v>
      </c>
      <c r="M13" s="1569">
        <v>15</v>
      </c>
      <c r="N13" s="1570">
        <v>23</v>
      </c>
      <c r="O13" s="1568">
        <v>8</v>
      </c>
      <c r="P13" s="1569">
        <v>16</v>
      </c>
      <c r="Q13" s="1570">
        <v>24</v>
      </c>
      <c r="R13" s="1571">
        <v>9</v>
      </c>
      <c r="S13" s="1571">
        <v>18</v>
      </c>
      <c r="T13" s="1572">
        <f>SUM(R13:S13)</f>
        <v>27</v>
      </c>
      <c r="U13" s="1571">
        <v>10</v>
      </c>
      <c r="V13" s="1571">
        <v>23</v>
      </c>
      <c r="W13" s="1572">
        <f>SUM(U13:V13)</f>
        <v>33</v>
      </c>
      <c r="X13" s="1571">
        <v>13</v>
      </c>
      <c r="Y13" s="1571">
        <v>23</v>
      </c>
      <c r="Z13" s="1572">
        <f>SUM(X13:Y13)</f>
        <v>36</v>
      </c>
      <c r="AA13" s="1571">
        <v>14</v>
      </c>
      <c r="AB13" s="1571">
        <v>23</v>
      </c>
      <c r="AC13" s="1572">
        <f>SUM(AA13:AB13)</f>
        <v>37</v>
      </c>
      <c r="AD13" s="1571">
        <v>16</v>
      </c>
      <c r="AE13" s="1571">
        <v>26</v>
      </c>
      <c r="AF13" s="1572">
        <f>SUM(AD13:AE13)</f>
        <v>42</v>
      </c>
      <c r="AG13" s="1571">
        <v>17</v>
      </c>
      <c r="AH13" s="1571">
        <v>26</v>
      </c>
      <c r="AI13" s="1572">
        <f>SUM(AG13:AH13)</f>
        <v>43</v>
      </c>
      <c r="AJ13" s="1571">
        <v>17</v>
      </c>
      <c r="AK13" s="1571">
        <v>29</v>
      </c>
      <c r="AL13" s="1572">
        <f>SUM(AJ13:AK13)</f>
        <v>46</v>
      </c>
      <c r="AM13" s="1571">
        <v>17</v>
      </c>
      <c r="AN13" s="1571">
        <v>32</v>
      </c>
      <c r="AO13" s="1572">
        <f>SUM(AM13:AN13)</f>
        <v>49</v>
      </c>
    </row>
    <row r="14" spans="1:41" x14ac:dyDescent="0.25">
      <c r="A14" s="7162"/>
      <c r="B14" s="2479" t="s">
        <v>12</v>
      </c>
      <c r="C14" s="2480">
        <v>4</v>
      </c>
      <c r="D14" s="2481">
        <v>9</v>
      </c>
      <c r="E14" s="2482">
        <v>13</v>
      </c>
      <c r="F14" s="2481">
        <v>5</v>
      </c>
      <c r="G14" s="2481">
        <v>17</v>
      </c>
      <c r="H14" s="2481">
        <v>22</v>
      </c>
      <c r="I14" s="2480">
        <v>16</v>
      </c>
      <c r="J14" s="2481">
        <v>36</v>
      </c>
      <c r="K14" s="2482">
        <v>52</v>
      </c>
      <c r="L14" s="2483">
        <v>22</v>
      </c>
      <c r="M14" s="2484">
        <v>48</v>
      </c>
      <c r="N14" s="2485">
        <v>70</v>
      </c>
      <c r="O14" s="2483">
        <v>25</v>
      </c>
      <c r="P14" s="2484">
        <v>57</v>
      </c>
      <c r="Q14" s="2485">
        <v>82</v>
      </c>
      <c r="R14" s="2486">
        <f>SUM(R11:R13)</f>
        <v>39</v>
      </c>
      <c r="S14" s="2486">
        <f>SUM(S11:S13)</f>
        <v>64</v>
      </c>
      <c r="T14" s="2487">
        <f>SUM(R14:S14)</f>
        <v>103</v>
      </c>
      <c r="U14" s="2486">
        <f>SUM(U11:U13)</f>
        <v>46</v>
      </c>
      <c r="V14" s="2486">
        <f>SUM(V11:V13)</f>
        <v>73</v>
      </c>
      <c r="W14" s="2487">
        <f>SUM(U14:V14)</f>
        <v>119</v>
      </c>
      <c r="X14" s="2486">
        <f>SUM(X11:X13)</f>
        <v>49</v>
      </c>
      <c r="Y14" s="2486">
        <f>SUM(Y11:Y13)</f>
        <v>81</v>
      </c>
      <c r="Z14" s="2487">
        <f>SUM(X14:Y14)</f>
        <v>130</v>
      </c>
      <c r="AA14" s="2486">
        <f>SUM(AA11:AA13)</f>
        <v>50</v>
      </c>
      <c r="AB14" s="2486">
        <f>SUM(AB11:AB13)</f>
        <v>84</v>
      </c>
      <c r="AC14" s="2487">
        <f>SUM(AA14:AB14)</f>
        <v>134</v>
      </c>
      <c r="AD14" s="2486">
        <f>SUM(AD11:AD13)</f>
        <v>52</v>
      </c>
      <c r="AE14" s="2486">
        <f>SUM(AE11:AE13)</f>
        <v>91</v>
      </c>
      <c r="AF14" s="2487">
        <f>SUM(AD14:AE14)</f>
        <v>143</v>
      </c>
      <c r="AG14" s="2486">
        <f>SUM(AG11:AG13)</f>
        <v>52</v>
      </c>
      <c r="AH14" s="2486">
        <f>SUM(AH11:AH13)</f>
        <v>95</v>
      </c>
      <c r="AI14" s="2487">
        <f>SUM(AG14:AH14)</f>
        <v>147</v>
      </c>
      <c r="AJ14" s="2486">
        <f>SUM(AJ11:AJ13)</f>
        <v>55</v>
      </c>
      <c r="AK14" s="2486">
        <f>SUM(AK11:AK13)</f>
        <v>98</v>
      </c>
      <c r="AL14" s="2487">
        <f>SUM(AJ14:AK14)</f>
        <v>153</v>
      </c>
      <c r="AM14" s="2486">
        <f>SUM(AM11:AM13)</f>
        <v>59</v>
      </c>
      <c r="AN14" s="2486">
        <f>SUM(AN11:AN13)</f>
        <v>103</v>
      </c>
      <c r="AO14" s="2487">
        <f>SUM(AM14:AN14)</f>
        <v>162</v>
      </c>
    </row>
    <row r="16" spans="1:41" x14ac:dyDescent="0.25">
      <c r="A16" s="7166" t="s">
        <v>162</v>
      </c>
      <c r="B16" s="1555" t="s">
        <v>5</v>
      </c>
      <c r="C16" s="1556">
        <v>54</v>
      </c>
      <c r="D16" s="1557">
        <v>220</v>
      </c>
      <c r="E16" s="1558">
        <v>274</v>
      </c>
      <c r="F16" s="1557">
        <v>52</v>
      </c>
      <c r="G16" s="1557">
        <v>223</v>
      </c>
      <c r="H16" s="1557">
        <v>275</v>
      </c>
      <c r="I16" s="1556">
        <v>53</v>
      </c>
      <c r="J16" s="1557">
        <v>224</v>
      </c>
      <c r="K16" s="1558">
        <v>277</v>
      </c>
      <c r="L16" s="1559">
        <v>54</v>
      </c>
      <c r="M16" s="1560">
        <v>225</v>
      </c>
      <c r="N16" s="1561">
        <v>279</v>
      </c>
      <c r="O16" s="1559">
        <v>54</v>
      </c>
      <c r="P16" s="1560">
        <v>224</v>
      </c>
      <c r="Q16" s="1561">
        <v>278</v>
      </c>
      <c r="R16" s="1562">
        <v>56</v>
      </c>
      <c r="S16" s="1562">
        <v>220</v>
      </c>
      <c r="T16" s="1563">
        <f t="shared" si="0"/>
        <v>276</v>
      </c>
      <c r="U16" s="1562">
        <v>56</v>
      </c>
      <c r="V16" s="1562">
        <v>222</v>
      </c>
      <c r="W16" s="1563">
        <f t="shared" si="1"/>
        <v>278</v>
      </c>
      <c r="X16" s="1562">
        <v>55</v>
      </c>
      <c r="Y16" s="1562">
        <v>224</v>
      </c>
      <c r="Z16" s="1563">
        <f>SUM(X16:Y16)</f>
        <v>279</v>
      </c>
      <c r="AA16" s="1562">
        <v>56</v>
      </c>
      <c r="AB16" s="1562">
        <v>228</v>
      </c>
      <c r="AC16" s="1563">
        <f>SUM(AA16:AB16)</f>
        <v>284</v>
      </c>
      <c r="AD16" s="1562">
        <v>57</v>
      </c>
      <c r="AE16" s="1562">
        <v>229</v>
      </c>
      <c r="AF16" s="1563">
        <f>SUM(AD16:AE16)</f>
        <v>286</v>
      </c>
      <c r="AG16" s="1562">
        <v>58</v>
      </c>
      <c r="AH16" s="1562">
        <v>225</v>
      </c>
      <c r="AI16" s="1563">
        <f>SUM(AG16:AH16)</f>
        <v>283</v>
      </c>
      <c r="AJ16" s="1562">
        <v>57</v>
      </c>
      <c r="AK16" s="1562">
        <v>224</v>
      </c>
      <c r="AL16" s="1563">
        <f>SUM(AJ16:AK16)</f>
        <v>281</v>
      </c>
      <c r="AM16" s="1562">
        <v>59</v>
      </c>
      <c r="AN16" s="1562">
        <v>217</v>
      </c>
      <c r="AO16" s="1563">
        <f>SUM(AM16:AN16)</f>
        <v>276</v>
      </c>
    </row>
    <row r="17" spans="1:41" x14ac:dyDescent="0.25">
      <c r="A17" s="7167"/>
      <c r="B17" s="1564" t="s">
        <v>6</v>
      </c>
      <c r="C17" s="1565">
        <v>110</v>
      </c>
      <c r="D17" s="1566">
        <v>184</v>
      </c>
      <c r="E17" s="1567">
        <v>294</v>
      </c>
      <c r="F17" s="1566">
        <v>109</v>
      </c>
      <c r="G17" s="1566">
        <v>187</v>
      </c>
      <c r="H17" s="1566">
        <v>296</v>
      </c>
      <c r="I17" s="1565">
        <v>108</v>
      </c>
      <c r="J17" s="1566">
        <v>186</v>
      </c>
      <c r="K17" s="1567">
        <v>294</v>
      </c>
      <c r="L17" s="1568">
        <v>111</v>
      </c>
      <c r="M17" s="1569">
        <v>188</v>
      </c>
      <c r="N17" s="1570">
        <v>299</v>
      </c>
      <c r="O17" s="1568">
        <v>111</v>
      </c>
      <c r="P17" s="1569">
        <v>190</v>
      </c>
      <c r="Q17" s="1570">
        <v>301</v>
      </c>
      <c r="R17" s="1571">
        <v>113</v>
      </c>
      <c r="S17" s="1571">
        <v>194</v>
      </c>
      <c r="T17" s="1572">
        <f t="shared" si="0"/>
        <v>307</v>
      </c>
      <c r="U17" s="1571">
        <v>111</v>
      </c>
      <c r="V17" s="1571">
        <v>191</v>
      </c>
      <c r="W17" s="1572">
        <f t="shared" si="1"/>
        <v>302</v>
      </c>
      <c r="X17" s="1571">
        <v>111</v>
      </c>
      <c r="Y17" s="1571">
        <v>187</v>
      </c>
      <c r="Z17" s="1572">
        <f>SUM(X17:Y17)</f>
        <v>298</v>
      </c>
      <c r="AA17" s="1571">
        <v>114</v>
      </c>
      <c r="AB17" s="1571">
        <v>185</v>
      </c>
      <c r="AC17" s="1572">
        <f>SUM(AA17:AB17)</f>
        <v>299</v>
      </c>
      <c r="AD17" s="1571">
        <v>115</v>
      </c>
      <c r="AE17" s="1571">
        <v>188</v>
      </c>
      <c r="AF17" s="1572">
        <f>SUM(AD17:AE17)</f>
        <v>303</v>
      </c>
      <c r="AG17" s="1571">
        <v>115</v>
      </c>
      <c r="AH17" s="1571">
        <v>186</v>
      </c>
      <c r="AI17" s="1572">
        <f>SUM(AG17:AH17)</f>
        <v>301</v>
      </c>
      <c r="AJ17" s="1571">
        <v>114</v>
      </c>
      <c r="AK17" s="1571">
        <v>184</v>
      </c>
      <c r="AL17" s="1572">
        <f>SUM(AJ17:AK17)</f>
        <v>298</v>
      </c>
      <c r="AM17" s="1571">
        <v>118</v>
      </c>
      <c r="AN17" s="1571">
        <v>185</v>
      </c>
      <c r="AO17" s="1572">
        <f>SUM(AM17:AN17)</f>
        <v>303</v>
      </c>
    </row>
    <row r="18" spans="1:41" x14ac:dyDescent="0.25">
      <c r="A18" s="7167"/>
      <c r="B18" s="1564" t="s">
        <v>11</v>
      </c>
      <c r="C18" s="1565">
        <v>103</v>
      </c>
      <c r="D18" s="1566">
        <v>116</v>
      </c>
      <c r="E18" s="1567">
        <v>219</v>
      </c>
      <c r="F18" s="1566">
        <v>103</v>
      </c>
      <c r="G18" s="1566">
        <v>113</v>
      </c>
      <c r="H18" s="1566">
        <v>216</v>
      </c>
      <c r="I18" s="1565">
        <v>106</v>
      </c>
      <c r="J18" s="1566">
        <v>114</v>
      </c>
      <c r="K18" s="1567">
        <v>220</v>
      </c>
      <c r="L18" s="1568">
        <v>106</v>
      </c>
      <c r="M18" s="1569">
        <v>109</v>
      </c>
      <c r="N18" s="1570">
        <v>215</v>
      </c>
      <c r="O18" s="1568">
        <v>105</v>
      </c>
      <c r="P18" s="1569">
        <v>105</v>
      </c>
      <c r="Q18" s="1570">
        <v>210</v>
      </c>
      <c r="R18" s="1571">
        <v>103</v>
      </c>
      <c r="S18" s="1571">
        <v>103</v>
      </c>
      <c r="T18" s="1572">
        <f t="shared" si="0"/>
        <v>206</v>
      </c>
      <c r="U18" s="1571">
        <v>106</v>
      </c>
      <c r="V18" s="1571">
        <v>108</v>
      </c>
      <c r="W18" s="1572">
        <f t="shared" si="1"/>
        <v>214</v>
      </c>
      <c r="X18" s="1571">
        <v>103</v>
      </c>
      <c r="Y18" s="1571">
        <v>111</v>
      </c>
      <c r="Z18" s="1572">
        <f>SUM(X18:Y18)</f>
        <v>214</v>
      </c>
      <c r="AA18" s="1571">
        <v>109</v>
      </c>
      <c r="AB18" s="1571">
        <v>112</v>
      </c>
      <c r="AC18" s="1572">
        <f>SUM(AA18:AB18)</f>
        <v>221</v>
      </c>
      <c r="AD18" s="1571">
        <v>111</v>
      </c>
      <c r="AE18" s="1571">
        <v>117</v>
      </c>
      <c r="AF18" s="1572">
        <f>SUM(AD18:AE18)</f>
        <v>228</v>
      </c>
      <c r="AG18" s="1571">
        <v>109</v>
      </c>
      <c r="AH18" s="1571">
        <v>120</v>
      </c>
      <c r="AI18" s="1572">
        <f>SUM(AG18:AH18)</f>
        <v>229</v>
      </c>
      <c r="AJ18" s="1571">
        <v>110</v>
      </c>
      <c r="AK18" s="1571">
        <v>121</v>
      </c>
      <c r="AL18" s="1572">
        <f>SUM(AJ18:AK18)</f>
        <v>231</v>
      </c>
      <c r="AM18" s="1571">
        <v>109</v>
      </c>
      <c r="AN18" s="1571">
        <v>119</v>
      </c>
      <c r="AO18" s="1572">
        <f>SUM(AM18:AN18)</f>
        <v>228</v>
      </c>
    </row>
    <row r="19" spans="1:41" x14ac:dyDescent="0.25">
      <c r="A19" s="7168"/>
      <c r="B19" s="2488" t="s">
        <v>12</v>
      </c>
      <c r="C19" s="2489">
        <v>267</v>
      </c>
      <c r="D19" s="2490">
        <v>520</v>
      </c>
      <c r="E19" s="2491">
        <v>787</v>
      </c>
      <c r="F19" s="2490">
        <v>264</v>
      </c>
      <c r="G19" s="2490">
        <v>523</v>
      </c>
      <c r="H19" s="2490">
        <v>787</v>
      </c>
      <c r="I19" s="2489">
        <v>267</v>
      </c>
      <c r="J19" s="2490">
        <v>524</v>
      </c>
      <c r="K19" s="2491">
        <v>791</v>
      </c>
      <c r="L19" s="2492">
        <v>271</v>
      </c>
      <c r="M19" s="2493">
        <v>522</v>
      </c>
      <c r="N19" s="2494">
        <v>793</v>
      </c>
      <c r="O19" s="2492">
        <v>270</v>
      </c>
      <c r="P19" s="2493">
        <v>519</v>
      </c>
      <c r="Q19" s="2494">
        <v>789</v>
      </c>
      <c r="R19" s="2495">
        <f>SUM(R16:R18)</f>
        <v>272</v>
      </c>
      <c r="S19" s="2495">
        <f>SUM(S16:S18)</f>
        <v>517</v>
      </c>
      <c r="T19" s="2496">
        <f t="shared" si="0"/>
        <v>789</v>
      </c>
      <c r="U19" s="2495">
        <f>SUM(U16:U18)</f>
        <v>273</v>
      </c>
      <c r="V19" s="2495">
        <f>SUM(V16:V18)</f>
        <v>521</v>
      </c>
      <c r="W19" s="2496">
        <f t="shared" si="1"/>
        <v>794</v>
      </c>
      <c r="X19" s="2495">
        <f>SUM(X16:X18)</f>
        <v>269</v>
      </c>
      <c r="Y19" s="2495">
        <f>SUM(Y16:Y18)</f>
        <v>522</v>
      </c>
      <c r="Z19" s="2496">
        <f>SUM(X19:Y19)</f>
        <v>791</v>
      </c>
      <c r="AA19" s="2495">
        <f>SUM(AA16:AA18)</f>
        <v>279</v>
      </c>
      <c r="AB19" s="2495">
        <f>SUM(AB16:AB18)</f>
        <v>525</v>
      </c>
      <c r="AC19" s="2496">
        <f>SUM(AA19:AB19)</f>
        <v>804</v>
      </c>
      <c r="AD19" s="2495">
        <f>SUM(AD16:AD18)</f>
        <v>283</v>
      </c>
      <c r="AE19" s="2495">
        <f>SUM(AE16:AE18)</f>
        <v>534</v>
      </c>
      <c r="AF19" s="2496">
        <f>SUM(AD19:AE19)</f>
        <v>817</v>
      </c>
      <c r="AG19" s="2495">
        <f>SUM(AG16:AG18)</f>
        <v>282</v>
      </c>
      <c r="AH19" s="2495">
        <f>SUM(AH16:AH18)</f>
        <v>531</v>
      </c>
      <c r="AI19" s="2496">
        <f>SUM(AG19:AH19)</f>
        <v>813</v>
      </c>
      <c r="AJ19" s="2495">
        <f>SUM(AJ16:AJ18)</f>
        <v>281</v>
      </c>
      <c r="AK19" s="2495">
        <f>SUM(AK16:AK18)</f>
        <v>529</v>
      </c>
      <c r="AL19" s="2496">
        <f>SUM(AJ19:AK19)</f>
        <v>810</v>
      </c>
      <c r="AM19" s="2495">
        <f>SUM(AM16:AM18)</f>
        <v>286</v>
      </c>
      <c r="AN19" s="2495">
        <f>SUM(AN16:AN18)</f>
        <v>521</v>
      </c>
      <c r="AO19" s="2496">
        <f>SUM(AM19:AN19)</f>
        <v>807</v>
      </c>
    </row>
    <row r="21" spans="1:41" x14ac:dyDescent="0.25">
      <c r="A21" s="7157" t="s">
        <v>408</v>
      </c>
      <c r="B21" s="1555" t="s">
        <v>5</v>
      </c>
      <c r="C21" s="1556"/>
      <c r="D21" s="1557"/>
      <c r="E21" s="1558"/>
      <c r="F21" s="1557"/>
      <c r="G21" s="1557"/>
      <c r="H21" s="1557"/>
      <c r="I21" s="1556"/>
      <c r="J21" s="1557"/>
      <c r="K21" s="1558"/>
      <c r="L21" s="1559"/>
      <c r="M21" s="1560"/>
      <c r="N21" s="1561"/>
      <c r="O21" s="1559"/>
      <c r="P21" s="1560"/>
      <c r="Q21" s="1561"/>
      <c r="R21" s="1562"/>
      <c r="S21" s="1562">
        <v>3</v>
      </c>
      <c r="T21" s="1563">
        <f>SUM(R21:S21)</f>
        <v>3</v>
      </c>
      <c r="U21" s="1562"/>
      <c r="V21" s="1562">
        <v>4</v>
      </c>
      <c r="W21" s="1563">
        <f>SUM(U21:V21)</f>
        <v>4</v>
      </c>
      <c r="X21" s="1562">
        <v>1</v>
      </c>
      <c r="Y21" s="1562">
        <v>6</v>
      </c>
      <c r="Z21" s="1563">
        <f>SUM(X21:Y21)</f>
        <v>7</v>
      </c>
      <c r="AA21" s="1562">
        <v>1</v>
      </c>
      <c r="AB21" s="1562">
        <v>7</v>
      </c>
      <c r="AC21" s="1563">
        <f>SUM(AA21:AB21)</f>
        <v>8</v>
      </c>
      <c r="AD21" s="1562">
        <v>1</v>
      </c>
      <c r="AE21" s="1562">
        <v>9</v>
      </c>
      <c r="AF21" s="1563">
        <f>SUM(AD21:AE21)</f>
        <v>10</v>
      </c>
      <c r="AG21" s="1562">
        <v>2</v>
      </c>
      <c r="AH21" s="1562">
        <v>13</v>
      </c>
      <c r="AI21" s="1563">
        <f>SUM(AG21:AH21)</f>
        <v>15</v>
      </c>
      <c r="AJ21" s="1562">
        <v>3</v>
      </c>
      <c r="AK21" s="1562">
        <v>13</v>
      </c>
      <c r="AL21" s="1563">
        <f>SUM(AJ21:AK21)</f>
        <v>16</v>
      </c>
      <c r="AM21" s="1562">
        <v>3</v>
      </c>
      <c r="AN21" s="1562">
        <v>16</v>
      </c>
      <c r="AO21" s="1563">
        <f>SUM(AM21:AN21)</f>
        <v>19</v>
      </c>
    </row>
    <row r="22" spans="1:41" x14ac:dyDescent="0.25">
      <c r="A22" s="7158"/>
      <c r="B22" s="1564" t="s">
        <v>6</v>
      </c>
      <c r="C22" s="1565"/>
      <c r="D22" s="1566"/>
      <c r="E22" s="1567"/>
      <c r="F22" s="1566"/>
      <c r="G22" s="1566"/>
      <c r="H22" s="1566"/>
      <c r="I22" s="1565"/>
      <c r="J22" s="1566"/>
      <c r="K22" s="1567"/>
      <c r="L22" s="1568"/>
      <c r="M22" s="1569"/>
      <c r="N22" s="1570"/>
      <c r="O22" s="1568"/>
      <c r="P22" s="1569"/>
      <c r="Q22" s="1570"/>
      <c r="R22" s="1571">
        <v>1</v>
      </c>
      <c r="S22" s="1571">
        <v>1</v>
      </c>
      <c r="T22" s="1572">
        <f>SUM(R22:S22)</f>
        <v>2</v>
      </c>
      <c r="U22" s="1571">
        <v>1</v>
      </c>
      <c r="V22" s="1571">
        <v>2</v>
      </c>
      <c r="W22" s="1572">
        <f>SUM(U22:V22)</f>
        <v>3</v>
      </c>
      <c r="X22" s="1571">
        <v>3</v>
      </c>
      <c r="Y22" s="1571">
        <v>3</v>
      </c>
      <c r="Z22" s="1572">
        <f>SUM(X22:Y22)</f>
        <v>6</v>
      </c>
      <c r="AA22" s="1571">
        <v>3</v>
      </c>
      <c r="AB22" s="1571">
        <v>4</v>
      </c>
      <c r="AC22" s="1572">
        <f>SUM(AA22:AB22)</f>
        <v>7</v>
      </c>
      <c r="AD22" s="1571">
        <v>4</v>
      </c>
      <c r="AE22" s="1571">
        <v>9</v>
      </c>
      <c r="AF22" s="1572">
        <f>SUM(AD22:AE22)</f>
        <v>13</v>
      </c>
      <c r="AG22" s="1571">
        <v>5</v>
      </c>
      <c r="AH22" s="1571">
        <v>8</v>
      </c>
      <c r="AI22" s="1572">
        <f>SUM(AG22:AH22)</f>
        <v>13</v>
      </c>
      <c r="AJ22" s="1571">
        <v>9</v>
      </c>
      <c r="AK22" s="1571">
        <v>12</v>
      </c>
      <c r="AL22" s="1572">
        <f>SUM(AJ22:AK22)</f>
        <v>21</v>
      </c>
      <c r="AM22" s="1571">
        <v>11</v>
      </c>
      <c r="AN22" s="1571">
        <v>16</v>
      </c>
      <c r="AO22" s="1572">
        <f>SUM(AM22:AN22)</f>
        <v>27</v>
      </c>
    </row>
    <row r="23" spans="1:41" x14ac:dyDescent="0.25">
      <c r="A23" s="7158"/>
      <c r="B23" s="1564" t="s">
        <v>11</v>
      </c>
      <c r="C23" s="1565"/>
      <c r="D23" s="1566"/>
      <c r="E23" s="1567"/>
      <c r="F23" s="1566"/>
      <c r="G23" s="1566"/>
      <c r="H23" s="1566"/>
      <c r="I23" s="1565"/>
      <c r="J23" s="1566"/>
      <c r="K23" s="1567"/>
      <c r="L23" s="1568"/>
      <c r="M23" s="1569"/>
      <c r="N23" s="1570"/>
      <c r="O23" s="1568"/>
      <c r="P23" s="1569">
        <v>1</v>
      </c>
      <c r="Q23" s="1570">
        <v>1</v>
      </c>
      <c r="R23" s="1571">
        <v>1</v>
      </c>
      <c r="S23" s="1571">
        <v>4</v>
      </c>
      <c r="T23" s="1572">
        <f>SUM(R23:S23)</f>
        <v>5</v>
      </c>
      <c r="U23" s="1571">
        <v>1</v>
      </c>
      <c r="V23" s="1571">
        <v>5</v>
      </c>
      <c r="W23" s="1572">
        <f>SUM(U23:V23)</f>
        <v>6</v>
      </c>
      <c r="X23" s="1571">
        <v>2</v>
      </c>
      <c r="Y23" s="1571">
        <v>7</v>
      </c>
      <c r="Z23" s="1572">
        <f>SUM(X23:Y23)</f>
        <v>9</v>
      </c>
      <c r="AA23" s="1571">
        <v>3</v>
      </c>
      <c r="AB23" s="1571">
        <v>10</v>
      </c>
      <c r="AC23" s="1572">
        <f>SUM(AA23:AB23)</f>
        <v>13</v>
      </c>
      <c r="AD23" s="1571">
        <v>3</v>
      </c>
      <c r="AE23" s="1571">
        <v>10</v>
      </c>
      <c r="AF23" s="1572">
        <f>SUM(AD23:AE23)</f>
        <v>13</v>
      </c>
      <c r="AG23" s="1571">
        <v>5</v>
      </c>
      <c r="AH23" s="1571">
        <v>9</v>
      </c>
      <c r="AI23" s="1572">
        <f>SUM(AG23:AH23)</f>
        <v>14</v>
      </c>
      <c r="AJ23" s="1571">
        <v>6</v>
      </c>
      <c r="AK23" s="1571">
        <v>12</v>
      </c>
      <c r="AL23" s="1572">
        <f>SUM(AJ23:AK23)</f>
        <v>18</v>
      </c>
      <c r="AM23" s="1571">
        <v>7</v>
      </c>
      <c r="AN23" s="1571">
        <v>13</v>
      </c>
      <c r="AO23" s="1572">
        <f>SUM(AM23:AN23)</f>
        <v>20</v>
      </c>
    </row>
    <row r="24" spans="1:41" x14ac:dyDescent="0.25">
      <c r="A24" s="7159"/>
      <c r="B24" s="2497" t="s">
        <v>12</v>
      </c>
      <c r="C24" s="2498"/>
      <c r="D24" s="2499"/>
      <c r="E24" s="2500"/>
      <c r="F24" s="2499"/>
      <c r="G24" s="2499"/>
      <c r="H24" s="2499"/>
      <c r="I24" s="2498"/>
      <c r="J24" s="2499"/>
      <c r="K24" s="2500"/>
      <c r="L24" s="2501"/>
      <c r="M24" s="2502"/>
      <c r="N24" s="2503"/>
      <c r="O24" s="2501">
        <v>0</v>
      </c>
      <c r="P24" s="2502">
        <v>1</v>
      </c>
      <c r="Q24" s="2503">
        <v>1</v>
      </c>
      <c r="R24" s="2504">
        <f>SUM(R21:R23)</f>
        <v>2</v>
      </c>
      <c r="S24" s="2504">
        <f>SUM(S21:S23)</f>
        <v>8</v>
      </c>
      <c r="T24" s="2505">
        <f>SUM(R24:S24)</f>
        <v>10</v>
      </c>
      <c r="U24" s="2504">
        <f>SUM(U21:U23)</f>
        <v>2</v>
      </c>
      <c r="V24" s="2504">
        <f>SUM(V21:V23)</f>
        <v>11</v>
      </c>
      <c r="W24" s="2505">
        <f>SUM(U24:V24)</f>
        <v>13</v>
      </c>
      <c r="X24" s="2504">
        <f>SUM(X21:X23)</f>
        <v>6</v>
      </c>
      <c r="Y24" s="2504">
        <f>SUM(Y21:Y23)</f>
        <v>16</v>
      </c>
      <c r="Z24" s="2505">
        <f>SUM(X24:Y24)</f>
        <v>22</v>
      </c>
      <c r="AA24" s="2504">
        <f>SUM(AA21:AA23)</f>
        <v>7</v>
      </c>
      <c r="AB24" s="2504">
        <f>SUM(AB21:AB23)</f>
        <v>21</v>
      </c>
      <c r="AC24" s="2505">
        <f>SUM(AA24:AB24)</f>
        <v>28</v>
      </c>
      <c r="AD24" s="2504">
        <f>SUM(AD21:AD23)</f>
        <v>8</v>
      </c>
      <c r="AE24" s="2504">
        <f>SUM(AE21:AE23)</f>
        <v>28</v>
      </c>
      <c r="AF24" s="2505">
        <f>SUM(AD24:AE24)</f>
        <v>36</v>
      </c>
      <c r="AG24" s="2504">
        <f>SUM(AG21:AG23)</f>
        <v>12</v>
      </c>
      <c r="AH24" s="2504">
        <f>SUM(AH21:AH23)</f>
        <v>30</v>
      </c>
      <c r="AI24" s="2505">
        <f>SUM(AG24:AH24)</f>
        <v>42</v>
      </c>
      <c r="AJ24" s="2504">
        <f>SUM(AJ21:AJ23)</f>
        <v>18</v>
      </c>
      <c r="AK24" s="2504">
        <f>SUM(AK21:AK23)</f>
        <v>37</v>
      </c>
      <c r="AL24" s="2505">
        <f>SUM(AJ24:AK24)</f>
        <v>55</v>
      </c>
      <c r="AM24" s="2504">
        <f>SUM(AM21:AM23)</f>
        <v>21</v>
      </c>
      <c r="AN24" s="2504">
        <f>SUM(AN21:AN23)</f>
        <v>45</v>
      </c>
      <c r="AO24" s="2505">
        <f>SUM(AM24:AN24)</f>
        <v>66</v>
      </c>
    </row>
    <row r="25" spans="1:41" x14ac:dyDescent="0.25">
      <c r="A25" s="1573"/>
      <c r="B25" s="1573"/>
      <c r="C25" s="1573"/>
      <c r="D25" s="1573"/>
      <c r="E25" s="1573"/>
      <c r="F25" s="1573"/>
      <c r="G25" s="1573"/>
      <c r="H25" s="1573"/>
      <c r="I25" s="1573"/>
      <c r="J25" s="1573"/>
      <c r="K25" s="1573"/>
      <c r="L25" s="1573"/>
      <c r="M25" s="1573"/>
      <c r="N25" s="1573"/>
      <c r="O25" s="1573"/>
      <c r="P25" s="1573"/>
      <c r="Q25" s="1573"/>
      <c r="R25" s="1573"/>
      <c r="S25" s="1573"/>
      <c r="T25" s="1573"/>
      <c r="U25" s="1573"/>
      <c r="V25" s="1573"/>
      <c r="W25" s="1573"/>
      <c r="X25" s="1573"/>
      <c r="Y25" s="1573"/>
      <c r="Z25" s="1573"/>
      <c r="AA25" s="1573"/>
      <c r="AB25" s="1573"/>
      <c r="AC25" s="1573"/>
      <c r="AD25" s="1573"/>
      <c r="AE25" s="1573"/>
      <c r="AF25" s="1573"/>
      <c r="AG25" s="1573"/>
      <c r="AH25" s="1573"/>
      <c r="AI25" s="1573"/>
      <c r="AJ25" s="1573"/>
      <c r="AK25" s="1573"/>
      <c r="AL25" s="1573"/>
      <c r="AM25" s="1573"/>
      <c r="AN25" s="1573"/>
      <c r="AO25" s="1573"/>
    </row>
    <row r="26" spans="1:41" x14ac:dyDescent="0.25">
      <c r="A26" s="7151" t="s">
        <v>163</v>
      </c>
      <c r="B26" s="1555" t="s">
        <v>6</v>
      </c>
      <c r="C26" s="1556">
        <v>160</v>
      </c>
      <c r="D26" s="1557">
        <v>187</v>
      </c>
      <c r="E26" s="1558">
        <v>347</v>
      </c>
      <c r="F26" s="1557">
        <v>159</v>
      </c>
      <c r="G26" s="1557">
        <v>181</v>
      </c>
      <c r="H26" s="1557">
        <v>340</v>
      </c>
      <c r="I26" s="1556">
        <v>155</v>
      </c>
      <c r="J26" s="1557">
        <v>171</v>
      </c>
      <c r="K26" s="1558">
        <v>326</v>
      </c>
      <c r="L26" s="1559">
        <v>160</v>
      </c>
      <c r="M26" s="1560">
        <v>175</v>
      </c>
      <c r="N26" s="1561">
        <v>335</v>
      </c>
      <c r="O26" s="1559">
        <v>161</v>
      </c>
      <c r="P26" s="1560">
        <v>183</v>
      </c>
      <c r="Q26" s="1561">
        <v>344</v>
      </c>
      <c r="R26" s="1562">
        <v>160</v>
      </c>
      <c r="S26" s="1562">
        <v>182</v>
      </c>
      <c r="T26" s="1563">
        <f>SUM(R26:S26)</f>
        <v>342</v>
      </c>
      <c r="U26" s="1562">
        <v>168</v>
      </c>
      <c r="V26" s="1562">
        <v>188</v>
      </c>
      <c r="W26" s="1563">
        <f>SUM(U26:V26)</f>
        <v>356</v>
      </c>
      <c r="X26" s="1562">
        <v>172</v>
      </c>
      <c r="Y26" s="1562">
        <v>191</v>
      </c>
      <c r="Z26" s="1563">
        <f>SUM(X26:Y26)</f>
        <v>363</v>
      </c>
      <c r="AA26" s="1562">
        <v>169</v>
      </c>
      <c r="AB26" s="1562">
        <v>194</v>
      </c>
      <c r="AC26" s="1563">
        <f>SUM(AA26:AB26)</f>
        <v>363</v>
      </c>
      <c r="AD26" s="1562">
        <v>170</v>
      </c>
      <c r="AE26" s="1562">
        <v>191</v>
      </c>
      <c r="AF26" s="1563">
        <f>SUM(AD26:AE26)</f>
        <v>361</v>
      </c>
      <c r="AG26" s="1562">
        <v>167</v>
      </c>
      <c r="AH26" s="1562">
        <v>191</v>
      </c>
      <c r="AI26" s="1563">
        <f>SUM(AG26:AH26)</f>
        <v>358</v>
      </c>
      <c r="AJ26" s="1562">
        <v>164</v>
      </c>
      <c r="AK26" s="1562">
        <v>187</v>
      </c>
      <c r="AL26" s="1563">
        <f>SUM(AJ26:AK26)</f>
        <v>351</v>
      </c>
      <c r="AM26" s="1562">
        <v>178</v>
      </c>
      <c r="AN26" s="1562">
        <v>169</v>
      </c>
      <c r="AO26" s="1563">
        <f>SUM(AM26:AN26)</f>
        <v>347</v>
      </c>
    </row>
    <row r="27" spans="1:41" x14ac:dyDescent="0.25">
      <c r="A27" s="7152"/>
      <c r="B27" s="1564" t="s">
        <v>11</v>
      </c>
      <c r="C27" s="1565">
        <v>172</v>
      </c>
      <c r="D27" s="1566">
        <v>186</v>
      </c>
      <c r="E27" s="1567">
        <v>358</v>
      </c>
      <c r="F27" s="1566">
        <v>173</v>
      </c>
      <c r="G27" s="1566">
        <v>182</v>
      </c>
      <c r="H27" s="1566">
        <v>355</v>
      </c>
      <c r="I27" s="1565">
        <v>171</v>
      </c>
      <c r="J27" s="1566">
        <v>180</v>
      </c>
      <c r="K27" s="1567">
        <v>351</v>
      </c>
      <c r="L27" s="1568">
        <v>173</v>
      </c>
      <c r="M27" s="1569">
        <v>173</v>
      </c>
      <c r="N27" s="1570">
        <v>346</v>
      </c>
      <c r="O27" s="1568">
        <v>171</v>
      </c>
      <c r="P27" s="1569">
        <v>165</v>
      </c>
      <c r="Q27" s="1570">
        <v>336</v>
      </c>
      <c r="R27" s="1571">
        <v>175</v>
      </c>
      <c r="S27" s="1571">
        <v>165</v>
      </c>
      <c r="T27" s="1572">
        <f>SUM(R27:S27)</f>
        <v>340</v>
      </c>
      <c r="U27" s="1571">
        <v>174</v>
      </c>
      <c r="V27" s="1571">
        <v>166</v>
      </c>
      <c r="W27" s="1572">
        <f>SUM(U27:V27)</f>
        <v>340</v>
      </c>
      <c r="X27" s="1571">
        <v>180</v>
      </c>
      <c r="Y27" s="1571">
        <v>168</v>
      </c>
      <c r="Z27" s="1572">
        <f>SUM(X27:Y27)</f>
        <v>348</v>
      </c>
      <c r="AA27" s="1571">
        <v>181</v>
      </c>
      <c r="AB27" s="1571">
        <v>168</v>
      </c>
      <c r="AC27" s="1572">
        <f>SUM(AA27:AB27)</f>
        <v>349</v>
      </c>
      <c r="AD27" s="1571">
        <v>182</v>
      </c>
      <c r="AE27" s="1571">
        <v>171</v>
      </c>
      <c r="AF27" s="1572">
        <f>SUM(AD27:AE27)</f>
        <v>353</v>
      </c>
      <c r="AG27" s="1571">
        <v>182</v>
      </c>
      <c r="AH27" s="1571">
        <v>173</v>
      </c>
      <c r="AI27" s="1572">
        <f>SUM(AG27:AH27)</f>
        <v>355</v>
      </c>
      <c r="AJ27" s="1571">
        <v>180</v>
      </c>
      <c r="AK27" s="1571">
        <v>167</v>
      </c>
      <c r="AL27" s="1572">
        <f>SUM(AJ27:AK27)</f>
        <v>347</v>
      </c>
      <c r="AM27" s="1571">
        <v>34</v>
      </c>
      <c r="AN27" s="1571">
        <v>101</v>
      </c>
      <c r="AO27" s="1572">
        <f>SUM(AM27:AN27)</f>
        <v>135</v>
      </c>
    </row>
    <row r="28" spans="1:41" x14ac:dyDescent="0.25">
      <c r="A28" s="7152"/>
      <c r="B28" s="1564" t="s">
        <v>7</v>
      </c>
      <c r="C28" s="1565">
        <v>30</v>
      </c>
      <c r="D28" s="1566">
        <v>109</v>
      </c>
      <c r="E28" s="1567">
        <v>139</v>
      </c>
      <c r="F28" s="1566">
        <v>31</v>
      </c>
      <c r="G28" s="1566">
        <v>108</v>
      </c>
      <c r="H28" s="1566">
        <v>139</v>
      </c>
      <c r="I28" s="1565">
        <v>30</v>
      </c>
      <c r="J28" s="1566">
        <v>109</v>
      </c>
      <c r="K28" s="1567">
        <v>139</v>
      </c>
      <c r="L28" s="1568">
        <v>29</v>
      </c>
      <c r="M28" s="1569">
        <v>109</v>
      </c>
      <c r="N28" s="1570">
        <v>138</v>
      </c>
      <c r="O28" s="1568">
        <v>32</v>
      </c>
      <c r="P28" s="1569">
        <v>108</v>
      </c>
      <c r="Q28" s="1570">
        <v>140</v>
      </c>
      <c r="R28" s="1571">
        <v>33</v>
      </c>
      <c r="S28" s="1571">
        <v>109</v>
      </c>
      <c r="T28" s="1572">
        <f>SUM(R28:S28)</f>
        <v>142</v>
      </c>
      <c r="U28" s="1571">
        <v>32</v>
      </c>
      <c r="V28" s="1571">
        <v>111</v>
      </c>
      <c r="W28" s="1572">
        <f>SUM(U28:V28)</f>
        <v>143</v>
      </c>
      <c r="X28" s="1571">
        <v>31</v>
      </c>
      <c r="Y28" s="1571">
        <v>110</v>
      </c>
      <c r="Z28" s="1572">
        <f>SUM(X28:Y28)</f>
        <v>141</v>
      </c>
      <c r="AA28" s="1571">
        <v>33</v>
      </c>
      <c r="AB28" s="1571">
        <v>108</v>
      </c>
      <c r="AC28" s="1572">
        <f>SUM(AA28:AB28)</f>
        <v>141</v>
      </c>
      <c r="AD28" s="1571">
        <v>35</v>
      </c>
      <c r="AE28" s="1571">
        <v>111</v>
      </c>
      <c r="AF28" s="1572">
        <f>SUM(AD28:AE28)</f>
        <v>146</v>
      </c>
      <c r="AG28" s="1571">
        <v>33</v>
      </c>
      <c r="AH28" s="1571">
        <v>110</v>
      </c>
      <c r="AI28" s="1572">
        <f>SUM(AG28:AH28)</f>
        <v>143</v>
      </c>
      <c r="AJ28" s="1571">
        <v>34</v>
      </c>
      <c r="AK28" s="1571">
        <v>110</v>
      </c>
      <c r="AL28" s="1572">
        <f>SUM(AJ28:AK28)</f>
        <v>144</v>
      </c>
      <c r="AM28" s="1571">
        <v>160</v>
      </c>
      <c r="AN28" s="1571">
        <v>189</v>
      </c>
      <c r="AO28" s="1572">
        <f>SUM(AM28:AN28)</f>
        <v>349</v>
      </c>
    </row>
    <row r="29" spans="1:41" x14ac:dyDescent="0.25">
      <c r="A29" s="7153"/>
      <c r="B29" s="2506" t="s">
        <v>12</v>
      </c>
      <c r="C29" s="2507">
        <v>362</v>
      </c>
      <c r="D29" s="2508">
        <v>482</v>
      </c>
      <c r="E29" s="2509">
        <v>844</v>
      </c>
      <c r="F29" s="2508">
        <v>363</v>
      </c>
      <c r="G29" s="2508">
        <v>471</v>
      </c>
      <c r="H29" s="2508">
        <v>834</v>
      </c>
      <c r="I29" s="2507">
        <v>356</v>
      </c>
      <c r="J29" s="2508">
        <v>460</v>
      </c>
      <c r="K29" s="2509">
        <v>816</v>
      </c>
      <c r="L29" s="2510">
        <v>362</v>
      </c>
      <c r="M29" s="2511">
        <v>457</v>
      </c>
      <c r="N29" s="2512">
        <v>819</v>
      </c>
      <c r="O29" s="2510">
        <v>364</v>
      </c>
      <c r="P29" s="2511">
        <v>456</v>
      </c>
      <c r="Q29" s="2512">
        <v>820</v>
      </c>
      <c r="R29" s="2513">
        <f>SUM(R26:R28)</f>
        <v>368</v>
      </c>
      <c r="S29" s="2513">
        <f>SUM(S26:S28)</f>
        <v>456</v>
      </c>
      <c r="T29" s="2514">
        <f>SUM(R29:S29)</f>
        <v>824</v>
      </c>
      <c r="U29" s="2513">
        <f>SUM(U26:U28)</f>
        <v>374</v>
      </c>
      <c r="V29" s="2513">
        <f>SUM(V26:V28)</f>
        <v>465</v>
      </c>
      <c r="W29" s="2514">
        <f>SUM(U29:V29)</f>
        <v>839</v>
      </c>
      <c r="X29" s="2513">
        <f>SUM(X26:X28)</f>
        <v>383</v>
      </c>
      <c r="Y29" s="2513">
        <f>SUM(Y26:Y28)</f>
        <v>469</v>
      </c>
      <c r="Z29" s="2514">
        <f>SUM(X29:Y29)</f>
        <v>852</v>
      </c>
      <c r="AA29" s="2513">
        <f>SUM(AA26:AA28)</f>
        <v>383</v>
      </c>
      <c r="AB29" s="2513">
        <f>SUM(AB26:AB28)</f>
        <v>470</v>
      </c>
      <c r="AC29" s="2514">
        <f>SUM(AA29:AB29)</f>
        <v>853</v>
      </c>
      <c r="AD29" s="2513">
        <f>SUM(AD26:AD28)</f>
        <v>387</v>
      </c>
      <c r="AE29" s="2513">
        <f>SUM(AE26:AE28)</f>
        <v>473</v>
      </c>
      <c r="AF29" s="2514">
        <f>SUM(AD29:AE29)</f>
        <v>860</v>
      </c>
      <c r="AG29" s="2513">
        <f>SUM(AG26:AG28)</f>
        <v>382</v>
      </c>
      <c r="AH29" s="2513">
        <f>SUM(AH26:AH28)</f>
        <v>474</v>
      </c>
      <c r="AI29" s="2514">
        <f>SUM(AG29:AH29)</f>
        <v>856</v>
      </c>
      <c r="AJ29" s="2513">
        <f>SUM(AJ26:AJ28)</f>
        <v>378</v>
      </c>
      <c r="AK29" s="2513">
        <f>SUM(AK26:AK28)</f>
        <v>464</v>
      </c>
      <c r="AL29" s="2514">
        <f>SUM(AJ29:AK29)</f>
        <v>842</v>
      </c>
      <c r="AM29" s="2513">
        <f>SUM(AM26:AM28)</f>
        <v>372</v>
      </c>
      <c r="AN29" s="2513">
        <f>SUM(AN26:AN28)</f>
        <v>459</v>
      </c>
      <c r="AO29" s="2514">
        <f>SUM(AM29:AN29)</f>
        <v>831</v>
      </c>
    </row>
    <row r="30" spans="1:41" x14ac:dyDescent="0.25">
      <c r="A30" s="1574"/>
      <c r="B30" s="1574"/>
      <c r="C30" s="1575"/>
      <c r="D30" s="1575"/>
      <c r="E30" s="1575"/>
      <c r="F30" s="1575"/>
      <c r="G30" s="1575"/>
      <c r="H30" s="1575"/>
      <c r="I30" s="1575"/>
      <c r="J30" s="1575"/>
      <c r="K30" s="1575"/>
      <c r="L30" s="1575"/>
      <c r="M30" s="1575"/>
      <c r="N30" s="1575"/>
      <c r="O30" s="1575"/>
      <c r="P30" s="1575"/>
      <c r="Q30" s="1575"/>
      <c r="R30" s="1576"/>
      <c r="S30" s="1576"/>
      <c r="T30" s="1576"/>
      <c r="U30" s="1576"/>
      <c r="V30" s="1576"/>
      <c r="W30" s="1576"/>
      <c r="X30" s="1576"/>
      <c r="Y30" s="1576"/>
      <c r="Z30" s="1576"/>
      <c r="AA30" s="1576"/>
      <c r="AB30" s="1576"/>
      <c r="AC30" s="1576"/>
      <c r="AD30" s="1576"/>
      <c r="AE30" s="1576"/>
      <c r="AF30" s="1576"/>
      <c r="AG30" s="1576"/>
      <c r="AH30" s="1576"/>
      <c r="AI30" s="1576"/>
      <c r="AJ30" s="1576"/>
      <c r="AK30" s="1576"/>
      <c r="AL30" s="1576"/>
      <c r="AM30" s="1576"/>
      <c r="AN30" s="1576"/>
      <c r="AO30" s="1576"/>
    </row>
    <row r="31" spans="1:41" x14ac:dyDescent="0.25">
      <c r="A31" s="7154" t="s">
        <v>60</v>
      </c>
      <c r="B31" s="1577" t="s">
        <v>5</v>
      </c>
      <c r="C31" s="1559">
        <v>120</v>
      </c>
      <c r="D31" s="1560">
        <v>483</v>
      </c>
      <c r="E31" s="1560">
        <v>603</v>
      </c>
      <c r="F31" s="1559">
        <v>118</v>
      </c>
      <c r="G31" s="1560">
        <v>484</v>
      </c>
      <c r="H31" s="1561">
        <v>602</v>
      </c>
      <c r="I31" s="1560">
        <v>123</v>
      </c>
      <c r="J31" s="1560">
        <v>494</v>
      </c>
      <c r="K31" s="1560">
        <v>617</v>
      </c>
      <c r="L31" s="1559">
        <v>125</v>
      </c>
      <c r="M31" s="1560">
        <v>495</v>
      </c>
      <c r="N31" s="1561">
        <v>620</v>
      </c>
      <c r="O31" s="1560">
        <v>124</v>
      </c>
      <c r="P31" s="1560">
        <v>498</v>
      </c>
      <c r="Q31" s="1561">
        <v>622</v>
      </c>
      <c r="R31" s="1562">
        <f>SUM(R6,R16,R21)</f>
        <v>129</v>
      </c>
      <c r="S31" s="1562">
        <f>SUM(S6,S16,S21)</f>
        <v>492</v>
      </c>
      <c r="T31" s="1563">
        <f t="shared" ref="T31:T37" si="2">SUM(R31:S31)</f>
        <v>621</v>
      </c>
      <c r="U31" s="1562">
        <f>SUM(U6,U16,U21)</f>
        <v>129</v>
      </c>
      <c r="V31" s="1562">
        <f>SUM(V6,V16,V21)</f>
        <v>495</v>
      </c>
      <c r="W31" s="1563">
        <f t="shared" ref="W31:W37" si="3">SUM(U31:V31)</f>
        <v>624</v>
      </c>
      <c r="X31" s="1562">
        <f>SUM(X6,X16,X21)</f>
        <v>132</v>
      </c>
      <c r="Y31" s="1562">
        <f>SUM(Y6,Y16,Y21)</f>
        <v>502</v>
      </c>
      <c r="Z31" s="1563">
        <f t="shared" ref="Z31:Z37" si="4">SUM(X31:Y31)</f>
        <v>634</v>
      </c>
      <c r="AA31" s="1562">
        <f>SUM(AA6,AA16,AA21)</f>
        <v>134</v>
      </c>
      <c r="AB31" s="1562">
        <f>SUM(AB6,AB16,AB21)</f>
        <v>507</v>
      </c>
      <c r="AC31" s="1563">
        <f t="shared" ref="AC31:AC37" si="5">SUM(AA31:AB31)</f>
        <v>641</v>
      </c>
      <c r="AD31" s="1562">
        <f>SUM(AD6,AD16,AD21)</f>
        <v>141</v>
      </c>
      <c r="AE31" s="1562">
        <f>SUM(AE6,AE16,AE21)</f>
        <v>512</v>
      </c>
      <c r="AF31" s="1563">
        <f t="shared" ref="AF31:AF37" si="6">SUM(AD31:AE31)</f>
        <v>653</v>
      </c>
      <c r="AG31" s="1562">
        <f>SUM(AG6,AG16,AG21)</f>
        <v>141</v>
      </c>
      <c r="AH31" s="1562">
        <f>SUM(AH6,AH16,AH21)</f>
        <v>508</v>
      </c>
      <c r="AI31" s="1563">
        <f t="shared" ref="AI31:AI37" si="7">SUM(AG31:AH31)</f>
        <v>649</v>
      </c>
      <c r="AJ31" s="1562">
        <f>SUM(AJ6,AJ16,AJ21)</f>
        <v>140</v>
      </c>
      <c r="AK31" s="1562">
        <f>SUM(AK6,AK16,AK21)</f>
        <v>505</v>
      </c>
      <c r="AL31" s="1563">
        <f t="shared" ref="AL31:AL37" si="8">SUM(AJ31:AK31)</f>
        <v>645</v>
      </c>
      <c r="AM31" s="1562">
        <f>SUM(AM6,AM16,AM21)</f>
        <v>149</v>
      </c>
      <c r="AN31" s="1562">
        <f>SUM(AN6,AN16,AN21)</f>
        <v>501</v>
      </c>
      <c r="AO31" s="1563">
        <f t="shared" ref="AO31:AO37" si="9">SUM(AM31:AN31)</f>
        <v>650</v>
      </c>
    </row>
    <row r="32" spans="1:41" x14ac:dyDescent="0.25">
      <c r="A32" s="7155"/>
      <c r="B32" s="1578" t="s">
        <v>6</v>
      </c>
      <c r="C32" s="1568">
        <v>399</v>
      </c>
      <c r="D32" s="1569">
        <v>551</v>
      </c>
      <c r="E32" s="1569">
        <v>950</v>
      </c>
      <c r="F32" s="1568">
        <v>398</v>
      </c>
      <c r="G32" s="1569">
        <v>555</v>
      </c>
      <c r="H32" s="1570">
        <v>953</v>
      </c>
      <c r="I32" s="1569">
        <v>404</v>
      </c>
      <c r="J32" s="1569">
        <v>551</v>
      </c>
      <c r="K32" s="1569">
        <v>955</v>
      </c>
      <c r="L32" s="1568">
        <v>412</v>
      </c>
      <c r="M32" s="1569">
        <v>559</v>
      </c>
      <c r="N32" s="1570">
        <v>971</v>
      </c>
      <c r="O32" s="1569">
        <v>412</v>
      </c>
      <c r="P32" s="1569">
        <v>573</v>
      </c>
      <c r="Q32" s="1570">
        <v>985</v>
      </c>
      <c r="R32" s="1571">
        <f>SUM(R7,R11,R17,R22,R26)</f>
        <v>420</v>
      </c>
      <c r="S32" s="1571">
        <f>SUM(S7,S11,S17,S22,S26)</f>
        <v>577</v>
      </c>
      <c r="T32" s="1572">
        <f t="shared" si="2"/>
        <v>997</v>
      </c>
      <c r="U32" s="1571">
        <f>SUM(U7,U11,U17,U22,U26)</f>
        <v>431</v>
      </c>
      <c r="V32" s="1571">
        <f>SUM(V7,V11,V17,V22,V26)</f>
        <v>590</v>
      </c>
      <c r="W32" s="1572">
        <f t="shared" si="3"/>
        <v>1021</v>
      </c>
      <c r="X32" s="1571">
        <f>SUM(X7,X11,X17,X22,X26)</f>
        <v>437</v>
      </c>
      <c r="Y32" s="1571">
        <f>SUM(Y7,Y11,Y17,Y22,Y26)</f>
        <v>586</v>
      </c>
      <c r="Z32" s="1572">
        <f t="shared" si="4"/>
        <v>1023</v>
      </c>
      <c r="AA32" s="1571">
        <f>SUM(AA7,AA11,AA17,AA22,AA26)</f>
        <v>444</v>
      </c>
      <c r="AB32" s="1571">
        <f>SUM(AB7,AB11,AB17,AB22,AB26)</f>
        <v>597</v>
      </c>
      <c r="AC32" s="1572">
        <f t="shared" si="5"/>
        <v>1041</v>
      </c>
      <c r="AD32" s="1571">
        <f>SUM(AD7,AD11,AD17,AD22,AD26)</f>
        <v>449</v>
      </c>
      <c r="AE32" s="1571">
        <f>SUM(AE7,AE11,AE17,AE22,AE26)</f>
        <v>602</v>
      </c>
      <c r="AF32" s="1572">
        <f t="shared" si="6"/>
        <v>1051</v>
      </c>
      <c r="AG32" s="1571">
        <f>SUM(AG7,AG11,AG17,AG22,AG26)</f>
        <v>442</v>
      </c>
      <c r="AH32" s="1571">
        <f>SUM(AH7,AH11,AH17,AH22,AH26)</f>
        <v>599</v>
      </c>
      <c r="AI32" s="1572">
        <f t="shared" si="7"/>
        <v>1041</v>
      </c>
      <c r="AJ32" s="1571">
        <f>SUM(AJ7,AJ11,AJ17,AJ22,AJ26)</f>
        <v>441</v>
      </c>
      <c r="AK32" s="1571">
        <f>SUM(AK7,AK11,AK17,AK22,AK26)</f>
        <v>594</v>
      </c>
      <c r="AL32" s="1572">
        <f t="shared" si="8"/>
        <v>1035</v>
      </c>
      <c r="AM32" s="1571">
        <f>SUM(AM7,AM11,AM17,AM22,AM26)</f>
        <v>467</v>
      </c>
      <c r="AN32" s="1571">
        <f>SUM(AN7,AN11,AN17,AN22,AN26)</f>
        <v>595</v>
      </c>
      <c r="AO32" s="1572">
        <f t="shared" si="9"/>
        <v>1062</v>
      </c>
    </row>
    <row r="33" spans="1:41" x14ac:dyDescent="0.25">
      <c r="A33" s="7155"/>
      <c r="B33" s="1578" t="s">
        <v>11</v>
      </c>
      <c r="C33" s="1568">
        <v>275</v>
      </c>
      <c r="D33" s="1569">
        <v>302</v>
      </c>
      <c r="E33" s="1569">
        <v>577</v>
      </c>
      <c r="F33" s="1568">
        <v>276</v>
      </c>
      <c r="G33" s="1569">
        <v>295</v>
      </c>
      <c r="H33" s="1570">
        <v>571</v>
      </c>
      <c r="I33" s="1569">
        <v>277</v>
      </c>
      <c r="J33" s="1569">
        <v>294</v>
      </c>
      <c r="K33" s="1569">
        <v>571</v>
      </c>
      <c r="L33" s="1568">
        <v>279</v>
      </c>
      <c r="M33" s="1569">
        <v>282</v>
      </c>
      <c r="N33" s="1570">
        <v>561</v>
      </c>
      <c r="O33" s="1569">
        <v>276</v>
      </c>
      <c r="P33" s="1569">
        <v>271</v>
      </c>
      <c r="Q33" s="1570">
        <v>547</v>
      </c>
      <c r="R33" s="1571">
        <f>SUM(R18,R23,R27)</f>
        <v>279</v>
      </c>
      <c r="S33" s="1571">
        <f>SUM(S18,S23,S27)</f>
        <v>272</v>
      </c>
      <c r="T33" s="1572">
        <f t="shared" si="2"/>
        <v>551</v>
      </c>
      <c r="U33" s="1571">
        <f>SUM(U18,U23,U27)</f>
        <v>281</v>
      </c>
      <c r="V33" s="1571">
        <f>SUM(V18,V23,V27)</f>
        <v>279</v>
      </c>
      <c r="W33" s="1572">
        <f t="shared" si="3"/>
        <v>560</v>
      </c>
      <c r="X33" s="1571">
        <f>SUM(X18,X23,X27)</f>
        <v>285</v>
      </c>
      <c r="Y33" s="1571">
        <f>SUM(Y18,Y23,Y27)</f>
        <v>286</v>
      </c>
      <c r="Z33" s="1572">
        <f t="shared" si="4"/>
        <v>571</v>
      </c>
      <c r="AA33" s="1571">
        <f>SUM(AA18,AA23,AA27)</f>
        <v>293</v>
      </c>
      <c r="AB33" s="1571">
        <f>SUM(AB18,AB23,AB27)</f>
        <v>290</v>
      </c>
      <c r="AC33" s="1572">
        <f t="shared" si="5"/>
        <v>583</v>
      </c>
      <c r="AD33" s="1571">
        <f>SUM(AD18,AD23,AD27)</f>
        <v>296</v>
      </c>
      <c r="AE33" s="1571">
        <f>SUM(AE18,AE23,AE27)</f>
        <v>298</v>
      </c>
      <c r="AF33" s="1572">
        <f t="shared" si="6"/>
        <v>594</v>
      </c>
      <c r="AG33" s="1571">
        <f>SUM(AG18,AG23,AG27)</f>
        <v>296</v>
      </c>
      <c r="AH33" s="1571">
        <f>SUM(AH18,AH23,AH27)</f>
        <v>302</v>
      </c>
      <c r="AI33" s="1572">
        <f t="shared" si="7"/>
        <v>598</v>
      </c>
      <c r="AJ33" s="1571">
        <f>SUM(AJ18,AJ23,AJ27)</f>
        <v>296</v>
      </c>
      <c r="AK33" s="1571">
        <f>SUM(AK18,AK23,AK27)</f>
        <v>300</v>
      </c>
      <c r="AL33" s="1572">
        <f t="shared" si="8"/>
        <v>596</v>
      </c>
      <c r="AM33" s="1571">
        <f>SUM(AM18,AM23,AM27)</f>
        <v>150</v>
      </c>
      <c r="AN33" s="1571">
        <f>SUM(AN18,AN23,AN27)</f>
        <v>233</v>
      </c>
      <c r="AO33" s="1572">
        <f t="shared" si="9"/>
        <v>383</v>
      </c>
    </row>
    <row r="34" spans="1:41" x14ac:dyDescent="0.25">
      <c r="A34" s="7155"/>
      <c r="B34" s="1578" t="s">
        <v>7</v>
      </c>
      <c r="C34" s="1568">
        <v>88</v>
      </c>
      <c r="D34" s="1569">
        <v>240</v>
      </c>
      <c r="E34" s="1569">
        <v>328</v>
      </c>
      <c r="F34" s="1568">
        <v>90</v>
      </c>
      <c r="G34" s="1569">
        <v>237</v>
      </c>
      <c r="H34" s="1570">
        <v>327</v>
      </c>
      <c r="I34" s="1569">
        <v>93</v>
      </c>
      <c r="J34" s="1569">
        <v>228</v>
      </c>
      <c r="K34" s="1569">
        <v>321</v>
      </c>
      <c r="L34" s="1568">
        <v>93</v>
      </c>
      <c r="M34" s="1569">
        <v>228</v>
      </c>
      <c r="N34" s="1570">
        <v>321</v>
      </c>
      <c r="O34" s="1569">
        <v>101</v>
      </c>
      <c r="P34" s="1569">
        <v>229</v>
      </c>
      <c r="Q34" s="1570">
        <v>330</v>
      </c>
      <c r="R34" s="1571">
        <f>SUM(R8,R28)</f>
        <v>107</v>
      </c>
      <c r="S34" s="1571">
        <f>SUM(S8,S28)</f>
        <v>234</v>
      </c>
      <c r="T34" s="1572">
        <f t="shared" si="2"/>
        <v>341</v>
      </c>
      <c r="U34" s="1571">
        <f>SUM(U8,U28)</f>
        <v>104</v>
      </c>
      <c r="V34" s="1571">
        <f>SUM(V8,V28)</f>
        <v>240</v>
      </c>
      <c r="W34" s="1572">
        <f t="shared" si="3"/>
        <v>344</v>
      </c>
      <c r="X34" s="1571">
        <f>SUM(X8,X28)</f>
        <v>107</v>
      </c>
      <c r="Y34" s="1571">
        <f>SUM(Y8,Y28)</f>
        <v>240</v>
      </c>
      <c r="Z34" s="1572">
        <f t="shared" si="4"/>
        <v>347</v>
      </c>
      <c r="AA34" s="1571">
        <f>SUM(AA8,AA28)</f>
        <v>111</v>
      </c>
      <c r="AB34" s="1571">
        <f>SUM(AB8,AB28)</f>
        <v>241</v>
      </c>
      <c r="AC34" s="1572">
        <f t="shared" si="5"/>
        <v>352</v>
      </c>
      <c r="AD34" s="1571">
        <f>SUM(AD8,AD28)</f>
        <v>117</v>
      </c>
      <c r="AE34" s="1571">
        <f>SUM(AE8,AE28)</f>
        <v>250</v>
      </c>
      <c r="AF34" s="1572">
        <f t="shared" si="6"/>
        <v>367</v>
      </c>
      <c r="AG34" s="1571">
        <f>SUM(AG8,AG28)</f>
        <v>112</v>
      </c>
      <c r="AH34" s="1571">
        <f>SUM(AH8,AH28)</f>
        <v>246</v>
      </c>
      <c r="AI34" s="1572">
        <f t="shared" si="7"/>
        <v>358</v>
      </c>
      <c r="AJ34" s="1571">
        <f>SUM(AJ8,AJ28)</f>
        <v>114</v>
      </c>
      <c r="AK34" s="1571">
        <f>SUM(AK8,AK28)</f>
        <v>243</v>
      </c>
      <c r="AL34" s="1572">
        <f t="shared" si="8"/>
        <v>357</v>
      </c>
      <c r="AM34" s="1571">
        <f>SUM(AM8,AM28)</f>
        <v>237</v>
      </c>
      <c r="AN34" s="1571">
        <f>SUM(AN8,AN28)</f>
        <v>321</v>
      </c>
      <c r="AO34" s="1572">
        <f t="shared" si="9"/>
        <v>558</v>
      </c>
    </row>
    <row r="35" spans="1:41" x14ac:dyDescent="0.25">
      <c r="A35" s="7155"/>
      <c r="B35" s="1578" t="s">
        <v>9</v>
      </c>
      <c r="C35" s="1568">
        <v>1</v>
      </c>
      <c r="D35" s="1569">
        <v>2</v>
      </c>
      <c r="E35" s="1569">
        <v>3</v>
      </c>
      <c r="F35" s="1568">
        <v>2</v>
      </c>
      <c r="G35" s="1569">
        <v>7</v>
      </c>
      <c r="H35" s="1570">
        <v>9</v>
      </c>
      <c r="I35" s="1569">
        <v>4</v>
      </c>
      <c r="J35" s="1569">
        <v>9</v>
      </c>
      <c r="K35" s="1569">
        <v>13</v>
      </c>
      <c r="L35" s="1568">
        <v>7</v>
      </c>
      <c r="M35" s="1569">
        <v>17</v>
      </c>
      <c r="N35" s="1570">
        <v>24</v>
      </c>
      <c r="O35" s="1569">
        <v>8</v>
      </c>
      <c r="P35" s="1569">
        <v>22</v>
      </c>
      <c r="Q35" s="1570">
        <v>30</v>
      </c>
      <c r="R35" s="1571">
        <f>SUM(R12)</f>
        <v>13</v>
      </c>
      <c r="S35" s="1571">
        <f>SUM(S12)</f>
        <v>25</v>
      </c>
      <c r="T35" s="1572">
        <f t="shared" si="2"/>
        <v>38</v>
      </c>
      <c r="U35" s="1571">
        <f>SUM(U12)</f>
        <v>15</v>
      </c>
      <c r="V35" s="1571">
        <f>SUM(V12)</f>
        <v>26</v>
      </c>
      <c r="W35" s="1572">
        <f t="shared" si="3"/>
        <v>41</v>
      </c>
      <c r="X35" s="1571">
        <f>SUM(X12)</f>
        <v>17</v>
      </c>
      <c r="Y35" s="1571">
        <f>SUM(Y12)</f>
        <v>35</v>
      </c>
      <c r="Z35" s="1572">
        <f t="shared" si="4"/>
        <v>52</v>
      </c>
      <c r="AA35" s="1571">
        <f>SUM(AA12)</f>
        <v>15</v>
      </c>
      <c r="AB35" s="1571">
        <f>SUM(AB12)</f>
        <v>36</v>
      </c>
      <c r="AC35" s="1572">
        <f t="shared" si="5"/>
        <v>51</v>
      </c>
      <c r="AD35" s="1571">
        <f>SUM(AD12)</f>
        <v>13</v>
      </c>
      <c r="AE35" s="1571">
        <f>SUM(AE12)</f>
        <v>39</v>
      </c>
      <c r="AF35" s="1572">
        <f t="shared" si="6"/>
        <v>52</v>
      </c>
      <c r="AG35" s="1571">
        <f>SUM(AG12)</f>
        <v>13</v>
      </c>
      <c r="AH35" s="1571">
        <f>SUM(AH12)</f>
        <v>41</v>
      </c>
      <c r="AI35" s="1572">
        <f t="shared" si="7"/>
        <v>54</v>
      </c>
      <c r="AJ35" s="1571">
        <f>SUM(AJ12)</f>
        <v>14</v>
      </c>
      <c r="AK35" s="1571">
        <f>SUM(AK12)</f>
        <v>39</v>
      </c>
      <c r="AL35" s="1572">
        <f t="shared" si="8"/>
        <v>53</v>
      </c>
      <c r="AM35" s="1571">
        <f>SUM(AM12)</f>
        <v>15</v>
      </c>
      <c r="AN35" s="1571">
        <f>SUM(AN12)</f>
        <v>37</v>
      </c>
      <c r="AO35" s="1572">
        <f t="shared" si="9"/>
        <v>52</v>
      </c>
    </row>
    <row r="36" spans="1:41" x14ac:dyDescent="0.25">
      <c r="A36" s="7155"/>
      <c r="B36" s="1579" t="s">
        <v>74</v>
      </c>
      <c r="C36" s="1580">
        <v>1</v>
      </c>
      <c r="D36" s="1581">
        <v>5</v>
      </c>
      <c r="E36" s="1581">
        <v>6</v>
      </c>
      <c r="F36" s="1580">
        <v>1</v>
      </c>
      <c r="G36" s="1581">
        <v>5</v>
      </c>
      <c r="H36" s="1582">
        <v>6</v>
      </c>
      <c r="I36" s="1581">
        <v>5</v>
      </c>
      <c r="J36" s="1581">
        <v>13</v>
      </c>
      <c r="K36" s="1581">
        <v>18</v>
      </c>
      <c r="L36" s="1580">
        <v>8</v>
      </c>
      <c r="M36" s="1581">
        <v>15</v>
      </c>
      <c r="N36" s="1582">
        <v>23</v>
      </c>
      <c r="O36" s="1581">
        <v>8</v>
      </c>
      <c r="P36" s="1581">
        <v>16</v>
      </c>
      <c r="Q36" s="1582">
        <v>24</v>
      </c>
      <c r="R36" s="1583">
        <f>SUM(R13)</f>
        <v>9</v>
      </c>
      <c r="S36" s="1583">
        <f>SUM(S13)</f>
        <v>18</v>
      </c>
      <c r="T36" s="1584">
        <f t="shared" si="2"/>
        <v>27</v>
      </c>
      <c r="U36" s="1583">
        <f>SUM(U13)</f>
        <v>10</v>
      </c>
      <c r="V36" s="1583">
        <f>SUM(V13)</f>
        <v>23</v>
      </c>
      <c r="W36" s="1584">
        <f t="shared" si="3"/>
        <v>33</v>
      </c>
      <c r="X36" s="1583">
        <f>SUM(X13)</f>
        <v>13</v>
      </c>
      <c r="Y36" s="1583">
        <f>SUM(Y13)</f>
        <v>23</v>
      </c>
      <c r="Z36" s="1584">
        <f t="shared" si="4"/>
        <v>36</v>
      </c>
      <c r="AA36" s="1583">
        <f>SUM(AA13)</f>
        <v>14</v>
      </c>
      <c r="AB36" s="1583">
        <f>SUM(AB13)</f>
        <v>23</v>
      </c>
      <c r="AC36" s="1584">
        <f t="shared" si="5"/>
        <v>37</v>
      </c>
      <c r="AD36" s="1583">
        <f>SUM(AD13)</f>
        <v>16</v>
      </c>
      <c r="AE36" s="1583">
        <f>SUM(AE13)</f>
        <v>26</v>
      </c>
      <c r="AF36" s="1584">
        <f t="shared" si="6"/>
        <v>42</v>
      </c>
      <c r="AG36" s="1583">
        <f>SUM(AG13)</f>
        <v>17</v>
      </c>
      <c r="AH36" s="1583">
        <f>SUM(AH13)</f>
        <v>26</v>
      </c>
      <c r="AI36" s="1584">
        <f t="shared" si="7"/>
        <v>43</v>
      </c>
      <c r="AJ36" s="1583">
        <f>SUM(AJ13)</f>
        <v>17</v>
      </c>
      <c r="AK36" s="1583">
        <f>SUM(AK13)</f>
        <v>29</v>
      </c>
      <c r="AL36" s="1584">
        <f t="shared" si="8"/>
        <v>46</v>
      </c>
      <c r="AM36" s="1583">
        <f>SUM(AM13)</f>
        <v>17</v>
      </c>
      <c r="AN36" s="1583">
        <f>SUM(AN13)</f>
        <v>32</v>
      </c>
      <c r="AO36" s="1584">
        <f t="shared" si="9"/>
        <v>49</v>
      </c>
    </row>
    <row r="37" spans="1:41" x14ac:dyDescent="0.25">
      <c r="A37" s="7156"/>
      <c r="B37" s="1585" t="s">
        <v>12</v>
      </c>
      <c r="C37" s="1586">
        <v>884</v>
      </c>
      <c r="D37" s="1587">
        <v>1583</v>
      </c>
      <c r="E37" s="1588">
        <v>2467</v>
      </c>
      <c r="F37" s="1587">
        <v>885</v>
      </c>
      <c r="G37" s="1587">
        <v>1583</v>
      </c>
      <c r="H37" s="1587">
        <v>2468</v>
      </c>
      <c r="I37" s="1586">
        <v>906</v>
      </c>
      <c r="J37" s="1587">
        <v>1589</v>
      </c>
      <c r="K37" s="1588">
        <v>2495</v>
      </c>
      <c r="L37" s="1589">
        <v>924</v>
      </c>
      <c r="M37" s="1589">
        <v>1596</v>
      </c>
      <c r="N37" s="1589">
        <v>2520</v>
      </c>
      <c r="O37" s="1590">
        <v>929</v>
      </c>
      <c r="P37" s="1589">
        <v>1609</v>
      </c>
      <c r="Q37" s="1591">
        <v>2538</v>
      </c>
      <c r="R37" s="1592">
        <f>SUM(R31:R36)</f>
        <v>957</v>
      </c>
      <c r="S37" s="1592">
        <f>SUM(S31:S36)</f>
        <v>1618</v>
      </c>
      <c r="T37" s="1593">
        <f t="shared" si="2"/>
        <v>2575</v>
      </c>
      <c r="U37" s="1592">
        <f>SUM(U31:U36)</f>
        <v>970</v>
      </c>
      <c r="V37" s="1592">
        <f>SUM(V31:V36)</f>
        <v>1653</v>
      </c>
      <c r="W37" s="1593">
        <f t="shared" si="3"/>
        <v>2623</v>
      </c>
      <c r="X37" s="1592">
        <f>SUM(X31:X36)</f>
        <v>991</v>
      </c>
      <c r="Y37" s="1592">
        <f>SUM(Y31:Y36)</f>
        <v>1672</v>
      </c>
      <c r="Z37" s="1593">
        <f t="shared" si="4"/>
        <v>2663</v>
      </c>
      <c r="AA37" s="1592">
        <f>SUM(AA31:AA36)</f>
        <v>1011</v>
      </c>
      <c r="AB37" s="1592">
        <f>SUM(AB31:AB36)</f>
        <v>1694</v>
      </c>
      <c r="AC37" s="1593">
        <f t="shared" si="5"/>
        <v>2705</v>
      </c>
      <c r="AD37" s="1592">
        <f>SUM(AD31:AD36)</f>
        <v>1032</v>
      </c>
      <c r="AE37" s="1592">
        <f>SUM(AE31:AE36)</f>
        <v>1727</v>
      </c>
      <c r="AF37" s="1593">
        <f t="shared" si="6"/>
        <v>2759</v>
      </c>
      <c r="AG37" s="1592">
        <f>SUM(AG31:AG36)</f>
        <v>1021</v>
      </c>
      <c r="AH37" s="1592">
        <f>SUM(AH31:AH36)</f>
        <v>1722</v>
      </c>
      <c r="AI37" s="1593">
        <f t="shared" si="7"/>
        <v>2743</v>
      </c>
      <c r="AJ37" s="1592">
        <f>SUM(AJ31:AJ36)</f>
        <v>1022</v>
      </c>
      <c r="AK37" s="1592">
        <f>SUM(AK31:AK36)</f>
        <v>1710</v>
      </c>
      <c r="AL37" s="1593">
        <f t="shared" si="8"/>
        <v>2732</v>
      </c>
      <c r="AM37" s="1592">
        <f>SUM(AM31:AM36)</f>
        <v>1035</v>
      </c>
      <c r="AN37" s="1592">
        <f>SUM(AN31:AN36)</f>
        <v>1719</v>
      </c>
      <c r="AO37" s="1593">
        <f t="shared" si="9"/>
        <v>2754</v>
      </c>
    </row>
    <row r="39" spans="1:41" ht="54" customHeight="1" x14ac:dyDescent="0.3">
      <c r="A39" s="7169" t="s">
        <v>756</v>
      </c>
      <c r="B39" s="7169"/>
      <c r="AF39" s="2550"/>
      <c r="AL39" s="4584"/>
      <c r="AO39" s="5256" t="s">
        <v>1294</v>
      </c>
    </row>
    <row r="41" spans="1:41" x14ac:dyDescent="0.25">
      <c r="A41" s="5653" t="s">
        <v>16</v>
      </c>
      <c r="B41" s="5653" t="s">
        <v>4</v>
      </c>
      <c r="C41" s="7148">
        <v>2005</v>
      </c>
      <c r="D41" s="7149"/>
      <c r="E41" s="7150"/>
      <c r="F41" s="7148">
        <v>2006</v>
      </c>
      <c r="G41" s="7149"/>
      <c r="H41" s="7150"/>
      <c r="I41" s="7148">
        <v>2007</v>
      </c>
      <c r="J41" s="7149"/>
      <c r="K41" s="7150"/>
      <c r="L41" s="7148">
        <v>2008</v>
      </c>
      <c r="M41" s="7149"/>
      <c r="N41" s="7150"/>
      <c r="O41" s="7148">
        <v>2009</v>
      </c>
      <c r="P41" s="7149"/>
      <c r="Q41" s="7150"/>
      <c r="R41" s="7148">
        <v>2010</v>
      </c>
      <c r="S41" s="7149"/>
      <c r="T41" s="7150"/>
      <c r="U41" s="7148">
        <v>2011</v>
      </c>
      <c r="V41" s="7149"/>
      <c r="W41" s="7150"/>
      <c r="X41" s="7148">
        <v>2012</v>
      </c>
      <c r="Y41" s="7149"/>
      <c r="Z41" s="7150"/>
      <c r="AA41" s="7148">
        <v>2013</v>
      </c>
      <c r="AB41" s="7149"/>
      <c r="AC41" s="7150"/>
      <c r="AD41" s="7148">
        <v>2014</v>
      </c>
      <c r="AE41" s="7149"/>
      <c r="AF41" s="7150"/>
      <c r="AG41" s="7148">
        <v>2015</v>
      </c>
      <c r="AH41" s="7149"/>
      <c r="AI41" s="7150"/>
      <c r="AJ41" s="7148">
        <v>2016</v>
      </c>
      <c r="AK41" s="7149"/>
      <c r="AL41" s="7150"/>
      <c r="AM41" s="7148">
        <v>2016</v>
      </c>
      <c r="AN41" s="7149"/>
      <c r="AO41" s="7150"/>
    </row>
    <row r="42" spans="1:41" x14ac:dyDescent="0.25">
      <c r="A42" s="5654"/>
      <c r="B42" s="5654"/>
      <c r="C42" s="1617" t="s">
        <v>638</v>
      </c>
      <c r="D42" s="1617" t="s">
        <v>639</v>
      </c>
      <c r="E42" s="1553" t="s">
        <v>12</v>
      </c>
      <c r="F42" s="1617" t="s">
        <v>638</v>
      </c>
      <c r="G42" s="1617" t="s">
        <v>639</v>
      </c>
      <c r="H42" s="1553" t="s">
        <v>12</v>
      </c>
      <c r="I42" s="1617" t="s">
        <v>638</v>
      </c>
      <c r="J42" s="1617" t="s">
        <v>639</v>
      </c>
      <c r="K42" s="1553" t="s">
        <v>12</v>
      </c>
      <c r="L42" s="1617" t="s">
        <v>638</v>
      </c>
      <c r="M42" s="1617" t="s">
        <v>639</v>
      </c>
      <c r="N42" s="1553" t="s">
        <v>12</v>
      </c>
      <c r="O42" s="1617" t="s">
        <v>638</v>
      </c>
      <c r="P42" s="1617" t="s">
        <v>639</v>
      </c>
      <c r="Q42" s="1553" t="s">
        <v>12</v>
      </c>
      <c r="R42" s="1617" t="s">
        <v>638</v>
      </c>
      <c r="S42" s="1617" t="s">
        <v>639</v>
      </c>
      <c r="T42" s="1553" t="s">
        <v>12</v>
      </c>
      <c r="U42" s="1617" t="s">
        <v>638</v>
      </c>
      <c r="V42" s="1617" t="s">
        <v>639</v>
      </c>
      <c r="W42" s="1553" t="s">
        <v>12</v>
      </c>
      <c r="X42" s="1617" t="s">
        <v>638</v>
      </c>
      <c r="Y42" s="1617" t="s">
        <v>639</v>
      </c>
      <c r="Z42" s="1553" t="s">
        <v>12</v>
      </c>
      <c r="AA42" s="1617" t="s">
        <v>638</v>
      </c>
      <c r="AB42" s="1617" t="s">
        <v>639</v>
      </c>
      <c r="AC42" s="1553" t="s">
        <v>12</v>
      </c>
      <c r="AD42" s="1617" t="s">
        <v>638</v>
      </c>
      <c r="AE42" s="1617" t="s">
        <v>639</v>
      </c>
      <c r="AF42" s="1553" t="s">
        <v>12</v>
      </c>
      <c r="AG42" s="1617" t="s">
        <v>638</v>
      </c>
      <c r="AH42" s="1617" t="s">
        <v>639</v>
      </c>
      <c r="AI42" s="1553" t="s">
        <v>12</v>
      </c>
      <c r="AJ42" s="1617" t="s">
        <v>638</v>
      </c>
      <c r="AK42" s="1617" t="s">
        <v>639</v>
      </c>
      <c r="AL42" s="1553" t="s">
        <v>12</v>
      </c>
      <c r="AM42" s="1617" t="s">
        <v>638</v>
      </c>
      <c r="AN42" s="1617" t="s">
        <v>639</v>
      </c>
      <c r="AO42" s="1553" t="s">
        <v>12</v>
      </c>
    </row>
    <row r="44" spans="1:41" x14ac:dyDescent="0.25">
      <c r="A44" s="7163" t="s">
        <v>161</v>
      </c>
      <c r="B44" s="1594" t="s">
        <v>5</v>
      </c>
      <c r="C44" s="1595">
        <v>5</v>
      </c>
      <c r="D44" s="1596">
        <v>26</v>
      </c>
      <c r="E44" s="1596">
        <f>SUM(C44:D44)</f>
        <v>31</v>
      </c>
      <c r="F44" s="1595">
        <v>5</v>
      </c>
      <c r="G44" s="1596">
        <v>29</v>
      </c>
      <c r="H44" s="1597">
        <f>SUM(F44:G44)</f>
        <v>34</v>
      </c>
      <c r="I44" s="1596">
        <v>5</v>
      </c>
      <c r="J44" s="1596">
        <v>28</v>
      </c>
      <c r="K44" s="1596">
        <f>SUM(I44:J44)</f>
        <v>33</v>
      </c>
      <c r="L44" s="1598">
        <v>7</v>
      </c>
      <c r="M44" s="1562">
        <v>23</v>
      </c>
      <c r="N44" s="1563">
        <f t="shared" ref="N44:N67" si="10">SUM(L44:M44)</f>
        <v>30</v>
      </c>
      <c r="O44" s="1562">
        <v>5</v>
      </c>
      <c r="P44" s="1562">
        <v>23</v>
      </c>
      <c r="Q44" s="1563">
        <f t="shared" ref="Q44:Q67" si="11">SUM(O44:P44)</f>
        <v>28</v>
      </c>
      <c r="R44" s="1562">
        <v>5</v>
      </c>
      <c r="S44" s="1562">
        <v>23</v>
      </c>
      <c r="T44" s="1563">
        <f t="shared" ref="T44:T67" si="12">SUM(R44:S44)</f>
        <v>28</v>
      </c>
      <c r="U44" s="1562">
        <v>4</v>
      </c>
      <c r="V44" s="1562">
        <v>20</v>
      </c>
      <c r="W44" s="1563">
        <f t="shared" ref="W44:W67" si="13">SUM(U44:V44)</f>
        <v>24</v>
      </c>
      <c r="X44" s="1562">
        <v>3</v>
      </c>
      <c r="Y44" s="1562">
        <v>19</v>
      </c>
      <c r="Z44" s="1563">
        <f>SUM(X44:Y44)</f>
        <v>22</v>
      </c>
      <c r="AA44" s="1562">
        <v>3</v>
      </c>
      <c r="AB44" s="1562">
        <v>18</v>
      </c>
      <c r="AC44" s="1563">
        <f>SUM(AA44:AB44)</f>
        <v>21</v>
      </c>
      <c r="AD44" s="1562">
        <v>4</v>
      </c>
      <c r="AE44" s="1562">
        <v>17</v>
      </c>
      <c r="AF44" s="1563">
        <f>SUM(AD44:AE44)</f>
        <v>21</v>
      </c>
      <c r="AG44" s="1562">
        <v>4</v>
      </c>
      <c r="AH44" s="1562">
        <v>14</v>
      </c>
      <c r="AI44" s="1563">
        <f>SUM(AG44:AH44)</f>
        <v>18</v>
      </c>
      <c r="AJ44" s="1562">
        <v>4</v>
      </c>
      <c r="AK44" s="1562">
        <v>12</v>
      </c>
      <c r="AL44" s="1563">
        <f>SUM(AJ44:AK44)</f>
        <v>16</v>
      </c>
      <c r="AM44" s="1562">
        <v>2</v>
      </c>
      <c r="AN44" s="1562">
        <v>11</v>
      </c>
      <c r="AO44" s="1563">
        <f>SUM(AM44:AN44)</f>
        <v>13</v>
      </c>
    </row>
    <row r="45" spans="1:41" x14ac:dyDescent="0.25">
      <c r="A45" s="7164"/>
      <c r="B45" s="1599" t="s">
        <v>6</v>
      </c>
      <c r="C45" s="1600">
        <v>6</v>
      </c>
      <c r="D45" s="1601">
        <v>34</v>
      </c>
      <c r="E45" s="1601">
        <f>SUM(C45:D45)</f>
        <v>40</v>
      </c>
      <c r="F45" s="1600">
        <v>9</v>
      </c>
      <c r="G45" s="1601">
        <v>37</v>
      </c>
      <c r="H45" s="1602">
        <f>SUM(F45:G45)</f>
        <v>46</v>
      </c>
      <c r="I45" s="1601">
        <v>9</v>
      </c>
      <c r="J45" s="1601">
        <v>37</v>
      </c>
      <c r="K45" s="1601">
        <f>SUM(I45:J45)</f>
        <v>46</v>
      </c>
      <c r="L45" s="1603">
        <v>11</v>
      </c>
      <c r="M45" s="1571">
        <v>35</v>
      </c>
      <c r="N45" s="1572">
        <f t="shared" si="10"/>
        <v>46</v>
      </c>
      <c r="O45" s="1571">
        <v>11</v>
      </c>
      <c r="P45" s="1571">
        <v>34</v>
      </c>
      <c r="Q45" s="1572">
        <f t="shared" si="11"/>
        <v>45</v>
      </c>
      <c r="R45" s="1571">
        <v>11</v>
      </c>
      <c r="S45" s="1571">
        <v>33</v>
      </c>
      <c r="T45" s="1572">
        <f t="shared" si="12"/>
        <v>44</v>
      </c>
      <c r="U45" s="1571">
        <v>10</v>
      </c>
      <c r="V45" s="1571">
        <v>32</v>
      </c>
      <c r="W45" s="1572">
        <f t="shared" si="13"/>
        <v>42</v>
      </c>
      <c r="X45" s="1571">
        <v>8</v>
      </c>
      <c r="Y45" s="1571">
        <v>31</v>
      </c>
      <c r="Z45" s="1572">
        <f>SUM(X45:Y45)</f>
        <v>39</v>
      </c>
      <c r="AA45" s="1571">
        <v>7</v>
      </c>
      <c r="AB45" s="1571">
        <v>30</v>
      </c>
      <c r="AC45" s="1572">
        <f>SUM(AA45:AB45)</f>
        <v>37</v>
      </c>
      <c r="AD45" s="1571">
        <v>7</v>
      </c>
      <c r="AE45" s="1571">
        <v>30</v>
      </c>
      <c r="AF45" s="1572">
        <f>SUM(AD45:AE45)</f>
        <v>37</v>
      </c>
      <c r="AG45" s="1571">
        <v>6</v>
      </c>
      <c r="AH45" s="1571">
        <v>27</v>
      </c>
      <c r="AI45" s="1572">
        <f>SUM(AG45:AH45)</f>
        <v>33</v>
      </c>
      <c r="AJ45" s="1571">
        <v>6</v>
      </c>
      <c r="AK45" s="1571">
        <v>26</v>
      </c>
      <c r="AL45" s="1572">
        <f>SUM(AJ45:AK45)</f>
        <v>32</v>
      </c>
      <c r="AM45" s="1571">
        <v>3</v>
      </c>
      <c r="AN45" s="1571">
        <v>26</v>
      </c>
      <c r="AO45" s="1572">
        <f>SUM(AM45:AN45)</f>
        <v>29</v>
      </c>
    </row>
    <row r="46" spans="1:41" x14ac:dyDescent="0.25">
      <c r="A46" s="7164"/>
      <c r="B46" s="1599" t="s">
        <v>7</v>
      </c>
      <c r="C46" s="1600">
        <v>15</v>
      </c>
      <c r="D46" s="1601">
        <v>20</v>
      </c>
      <c r="E46" s="1601">
        <f>SUM(C46:D46)</f>
        <v>35</v>
      </c>
      <c r="F46" s="1600">
        <v>13</v>
      </c>
      <c r="G46" s="1601">
        <v>19</v>
      </c>
      <c r="H46" s="1602">
        <f>SUM(F46:G46)</f>
        <v>32</v>
      </c>
      <c r="I46" s="1601">
        <v>14</v>
      </c>
      <c r="J46" s="1601">
        <v>18</v>
      </c>
      <c r="K46" s="1601">
        <f>SUM(I46:J46)</f>
        <v>32</v>
      </c>
      <c r="L46" s="1603">
        <v>15</v>
      </c>
      <c r="M46" s="1571">
        <v>16</v>
      </c>
      <c r="N46" s="1572">
        <f t="shared" si="10"/>
        <v>31</v>
      </c>
      <c r="O46" s="1571">
        <v>15</v>
      </c>
      <c r="P46" s="1571">
        <v>15</v>
      </c>
      <c r="Q46" s="1572">
        <f t="shared" si="11"/>
        <v>30</v>
      </c>
      <c r="R46" s="1571">
        <v>15</v>
      </c>
      <c r="S46" s="1571">
        <v>14</v>
      </c>
      <c r="T46" s="1572">
        <f t="shared" si="12"/>
        <v>29</v>
      </c>
      <c r="U46" s="1571">
        <v>16</v>
      </c>
      <c r="V46" s="1571">
        <v>13</v>
      </c>
      <c r="W46" s="1572">
        <f t="shared" si="13"/>
        <v>29</v>
      </c>
      <c r="X46" s="1571">
        <v>11</v>
      </c>
      <c r="Y46" s="1571">
        <v>13</v>
      </c>
      <c r="Z46" s="1572">
        <f>SUM(X46:Y46)</f>
        <v>24</v>
      </c>
      <c r="AA46" s="1571">
        <v>9</v>
      </c>
      <c r="AB46" s="1571">
        <v>12</v>
      </c>
      <c r="AC46" s="1572">
        <f>SUM(AA46:AB46)</f>
        <v>21</v>
      </c>
      <c r="AD46" s="1571">
        <v>10</v>
      </c>
      <c r="AE46" s="1571">
        <v>12</v>
      </c>
      <c r="AF46" s="1572">
        <f>SUM(AD46:AE46)</f>
        <v>22</v>
      </c>
      <c r="AG46" s="1571">
        <v>11</v>
      </c>
      <c r="AH46" s="1571">
        <v>12</v>
      </c>
      <c r="AI46" s="1572">
        <f>SUM(AG46:AH46)</f>
        <v>23</v>
      </c>
      <c r="AJ46" s="1571">
        <v>10</v>
      </c>
      <c r="AK46" s="1571">
        <v>10</v>
      </c>
      <c r="AL46" s="1572">
        <f>SUM(AJ46:AK46)</f>
        <v>20</v>
      </c>
      <c r="AM46" s="1571">
        <v>11</v>
      </c>
      <c r="AN46" s="1571">
        <v>10</v>
      </c>
      <c r="AO46" s="1572">
        <f>SUM(AM46:AN46)</f>
        <v>21</v>
      </c>
    </row>
    <row r="47" spans="1:41" x14ac:dyDescent="0.25">
      <c r="A47" s="7165"/>
      <c r="B47" s="2531" t="s">
        <v>12</v>
      </c>
      <c r="C47" s="2532">
        <f t="shared" ref="C47:M47" si="14">SUM(C44:C46)</f>
        <v>26</v>
      </c>
      <c r="D47" s="2533">
        <f t="shared" si="14"/>
        <v>80</v>
      </c>
      <c r="E47" s="2533">
        <f t="shared" si="14"/>
        <v>106</v>
      </c>
      <c r="F47" s="2532">
        <f t="shared" si="14"/>
        <v>27</v>
      </c>
      <c r="G47" s="2533">
        <f t="shared" si="14"/>
        <v>85</v>
      </c>
      <c r="H47" s="2534">
        <f t="shared" si="14"/>
        <v>112</v>
      </c>
      <c r="I47" s="2533">
        <f t="shared" si="14"/>
        <v>28</v>
      </c>
      <c r="J47" s="2533">
        <f t="shared" si="14"/>
        <v>83</v>
      </c>
      <c r="K47" s="2533">
        <f t="shared" si="14"/>
        <v>111</v>
      </c>
      <c r="L47" s="2535">
        <f t="shared" si="14"/>
        <v>33</v>
      </c>
      <c r="M47" s="2477">
        <f t="shared" si="14"/>
        <v>74</v>
      </c>
      <c r="N47" s="2478">
        <f t="shared" si="10"/>
        <v>107</v>
      </c>
      <c r="O47" s="2477">
        <f>SUM(O44:O46)</f>
        <v>31</v>
      </c>
      <c r="P47" s="2477">
        <f>SUM(P44:P46)</f>
        <v>72</v>
      </c>
      <c r="Q47" s="2478">
        <f t="shared" si="11"/>
        <v>103</v>
      </c>
      <c r="R47" s="2477">
        <f>SUM(R44:R46)</f>
        <v>31</v>
      </c>
      <c r="S47" s="2477">
        <f>SUM(S44:S46)</f>
        <v>70</v>
      </c>
      <c r="T47" s="2478">
        <f t="shared" si="12"/>
        <v>101</v>
      </c>
      <c r="U47" s="2477">
        <f>SUM(U44:U46)</f>
        <v>30</v>
      </c>
      <c r="V47" s="2477">
        <f>SUM(V44:V46)</f>
        <v>65</v>
      </c>
      <c r="W47" s="2478">
        <f t="shared" si="13"/>
        <v>95</v>
      </c>
      <c r="X47" s="2477">
        <f>SUM(X44:X46)</f>
        <v>22</v>
      </c>
      <c r="Y47" s="2477">
        <f>SUM(Y44:Y46)</f>
        <v>63</v>
      </c>
      <c r="Z47" s="2478">
        <f>SUM(X47:Y47)</f>
        <v>85</v>
      </c>
      <c r="AA47" s="2477">
        <f>SUM(AA44:AA46)</f>
        <v>19</v>
      </c>
      <c r="AB47" s="2477">
        <f>SUM(AB44:AB46)</f>
        <v>60</v>
      </c>
      <c r="AC47" s="2478">
        <f>SUM(AA47:AB47)</f>
        <v>79</v>
      </c>
      <c r="AD47" s="2477">
        <f>SUM(AD44:AD46)</f>
        <v>21</v>
      </c>
      <c r="AE47" s="2477">
        <f>SUM(AE44:AE46)</f>
        <v>59</v>
      </c>
      <c r="AF47" s="2478">
        <f>SUM(AD47:AE47)</f>
        <v>80</v>
      </c>
      <c r="AG47" s="2477">
        <f>SUM(AG44:AG46)</f>
        <v>21</v>
      </c>
      <c r="AH47" s="2477">
        <f>SUM(AH44:AH46)</f>
        <v>53</v>
      </c>
      <c r="AI47" s="2478">
        <f>SUM(AG47:AH47)</f>
        <v>74</v>
      </c>
      <c r="AJ47" s="2477">
        <f>SUM(AJ44:AJ46)</f>
        <v>20</v>
      </c>
      <c r="AK47" s="2477">
        <f>SUM(AK44:AK46)</f>
        <v>48</v>
      </c>
      <c r="AL47" s="2478">
        <f>SUM(AJ47:AK47)</f>
        <v>68</v>
      </c>
      <c r="AM47" s="2477">
        <f>SUM(AM44:AM46)</f>
        <v>16</v>
      </c>
      <c r="AN47" s="2477">
        <f>SUM(AN44:AN46)</f>
        <v>47</v>
      </c>
      <c r="AO47" s="2478">
        <f>SUM(AM47:AN47)</f>
        <v>63</v>
      </c>
    </row>
    <row r="49" spans="1:41" x14ac:dyDescent="0.25">
      <c r="A49" s="7160" t="s">
        <v>407</v>
      </c>
      <c r="B49" s="1594" t="s">
        <v>6</v>
      </c>
      <c r="C49" s="1595"/>
      <c r="D49" s="1596"/>
      <c r="E49" s="1596"/>
      <c r="F49" s="1595"/>
      <c r="G49" s="1596"/>
      <c r="H49" s="1597"/>
      <c r="I49" s="1596">
        <v>1</v>
      </c>
      <c r="J49" s="1596"/>
      <c r="K49" s="1596">
        <f>SUM(I49:J49)</f>
        <v>1</v>
      </c>
      <c r="L49" s="1598">
        <v>1</v>
      </c>
      <c r="M49" s="1562">
        <v>1</v>
      </c>
      <c r="N49" s="1563">
        <f>SUM(L49:M49)</f>
        <v>2</v>
      </c>
      <c r="O49" s="1562">
        <v>2</v>
      </c>
      <c r="P49" s="1562">
        <v>1</v>
      </c>
      <c r="Q49" s="1563">
        <f>SUM(O49:P49)</f>
        <v>3</v>
      </c>
      <c r="R49" s="1562">
        <v>2</v>
      </c>
      <c r="S49" s="1562">
        <v>1</v>
      </c>
      <c r="T49" s="1563">
        <f>SUM(R49:S49)</f>
        <v>3</v>
      </c>
      <c r="U49" s="1562">
        <v>2</v>
      </c>
      <c r="V49" s="1562">
        <v>1</v>
      </c>
      <c r="W49" s="1563">
        <f>SUM(U49:V49)</f>
        <v>3</v>
      </c>
      <c r="X49" s="1562">
        <v>1</v>
      </c>
      <c r="Y49" s="1562">
        <v>1</v>
      </c>
      <c r="Z49" s="1563">
        <f>SUM(X49:Y49)</f>
        <v>2</v>
      </c>
      <c r="AA49" s="1562">
        <v>1</v>
      </c>
      <c r="AB49" s="1562">
        <v>1</v>
      </c>
      <c r="AC49" s="1563">
        <f>SUM(AA49:AB49)</f>
        <v>2</v>
      </c>
      <c r="AD49" s="1562">
        <v>1</v>
      </c>
      <c r="AE49" s="1562">
        <v>1</v>
      </c>
      <c r="AF49" s="1563">
        <f>SUM(AD49:AE49)</f>
        <v>2</v>
      </c>
      <c r="AG49" s="1562">
        <v>1</v>
      </c>
      <c r="AH49" s="1562"/>
      <c r="AI49" s="1563">
        <f>SUM(AG49:AH49)</f>
        <v>1</v>
      </c>
      <c r="AJ49" s="1562">
        <v>2</v>
      </c>
      <c r="AK49" s="1562">
        <v>2</v>
      </c>
      <c r="AL49" s="1563">
        <f>SUM(AJ49:AK49)</f>
        <v>4</v>
      </c>
      <c r="AM49" s="1562"/>
      <c r="AN49" s="1562">
        <v>2</v>
      </c>
      <c r="AO49" s="1563">
        <f>SUM(AM49:AN49)</f>
        <v>2</v>
      </c>
    </row>
    <row r="50" spans="1:41" x14ac:dyDescent="0.25">
      <c r="A50" s="7161"/>
      <c r="B50" s="1599" t="s">
        <v>9</v>
      </c>
      <c r="C50" s="1600"/>
      <c r="D50" s="1601"/>
      <c r="E50" s="1601"/>
      <c r="F50" s="1600"/>
      <c r="G50" s="1601"/>
      <c r="H50" s="1602"/>
      <c r="I50" s="1601"/>
      <c r="J50" s="1601"/>
      <c r="K50" s="1601">
        <f>SUM(I50:J50)</f>
        <v>0</v>
      </c>
      <c r="L50" s="1603"/>
      <c r="M50" s="1571"/>
      <c r="N50" s="1572">
        <f>SUM(L50:M50)</f>
        <v>0</v>
      </c>
      <c r="O50" s="1571"/>
      <c r="P50" s="1571"/>
      <c r="Q50" s="1572">
        <f>SUM(O50:P50)</f>
        <v>0</v>
      </c>
      <c r="R50" s="1571"/>
      <c r="S50" s="1571"/>
      <c r="T50" s="1572">
        <f>SUM(R50:S50)</f>
        <v>0</v>
      </c>
      <c r="U50" s="1571"/>
      <c r="V50" s="1571"/>
      <c r="W50" s="1572">
        <f>SUM(U50:V50)</f>
        <v>0</v>
      </c>
      <c r="X50" s="1571"/>
      <c r="Y50" s="1571"/>
      <c r="Z50" s="1572">
        <f>SUM(X50:Y50)</f>
        <v>0</v>
      </c>
      <c r="AA50" s="1571"/>
      <c r="AB50" s="1571"/>
      <c r="AC50" s="1572">
        <f>SUM(AA50:AB50)</f>
        <v>0</v>
      </c>
      <c r="AD50" s="1571"/>
      <c r="AE50" s="1571"/>
      <c r="AF50" s="1572">
        <f>SUM(AD50:AE50)</f>
        <v>0</v>
      </c>
      <c r="AG50" s="1571"/>
      <c r="AH50" s="1571"/>
      <c r="AI50" s="1572">
        <f>SUM(AG50:AH50)</f>
        <v>0</v>
      </c>
      <c r="AJ50" s="1571"/>
      <c r="AK50" s="1571"/>
      <c r="AL50" s="1572">
        <f>SUM(AJ50:AK50)</f>
        <v>0</v>
      </c>
      <c r="AM50" s="1571"/>
      <c r="AN50" s="1571"/>
      <c r="AO50" s="1572">
        <f>SUM(AM50:AN50)</f>
        <v>0</v>
      </c>
    </row>
    <row r="51" spans="1:41" x14ac:dyDescent="0.25">
      <c r="A51" s="7161"/>
      <c r="B51" s="1599" t="s">
        <v>74</v>
      </c>
      <c r="C51" s="1600"/>
      <c r="D51" s="1601"/>
      <c r="E51" s="1601"/>
      <c r="F51" s="1600"/>
      <c r="G51" s="1601"/>
      <c r="H51" s="1602"/>
      <c r="I51" s="1601"/>
      <c r="J51" s="1601"/>
      <c r="K51" s="1601">
        <f>SUM(I51:J51)</f>
        <v>0</v>
      </c>
      <c r="L51" s="1603"/>
      <c r="M51" s="1571"/>
      <c r="N51" s="1572">
        <f>SUM(L51:M51)</f>
        <v>0</v>
      </c>
      <c r="O51" s="1571"/>
      <c r="P51" s="1571"/>
      <c r="Q51" s="1572">
        <f>SUM(O51:P51)</f>
        <v>0</v>
      </c>
      <c r="R51" s="1571"/>
      <c r="S51" s="1571"/>
      <c r="T51" s="1572">
        <f>SUM(R51:S51)</f>
        <v>0</v>
      </c>
      <c r="U51" s="1571"/>
      <c r="V51" s="1571"/>
      <c r="W51" s="1572">
        <f>SUM(U51:V51)</f>
        <v>0</v>
      </c>
      <c r="X51" s="1571"/>
      <c r="Y51" s="1571"/>
      <c r="Z51" s="1572">
        <f>SUM(X51:Y51)</f>
        <v>0</v>
      </c>
      <c r="AA51" s="1571">
        <v>1</v>
      </c>
      <c r="AB51" s="1571"/>
      <c r="AC51" s="1572">
        <f>SUM(AA51:AB51)</f>
        <v>1</v>
      </c>
      <c r="AD51" s="1571">
        <v>1</v>
      </c>
      <c r="AE51" s="1571"/>
      <c r="AF51" s="1572">
        <f>SUM(AD51:AE51)</f>
        <v>1</v>
      </c>
      <c r="AG51" s="1571">
        <v>1</v>
      </c>
      <c r="AH51" s="1571"/>
      <c r="AI51" s="1572">
        <f>SUM(AG51:AH51)</f>
        <v>1</v>
      </c>
      <c r="AJ51" s="1571">
        <v>1</v>
      </c>
      <c r="AK51" s="1571"/>
      <c r="AL51" s="1572">
        <f>SUM(AJ51:AK51)</f>
        <v>1</v>
      </c>
      <c r="AM51" s="1571">
        <v>1</v>
      </c>
      <c r="AN51" s="1571"/>
      <c r="AO51" s="1572">
        <f>SUM(AM51:AN51)</f>
        <v>1</v>
      </c>
    </row>
    <row r="52" spans="1:41" x14ac:dyDescent="0.25">
      <c r="A52" s="7162"/>
      <c r="B52" s="2526" t="s">
        <v>12</v>
      </c>
      <c r="C52" s="2527"/>
      <c r="D52" s="2528"/>
      <c r="E52" s="2528"/>
      <c r="F52" s="2527"/>
      <c r="G52" s="2528"/>
      <c r="H52" s="2529"/>
      <c r="I52" s="2528">
        <f>SUM(I49:I51)</f>
        <v>1</v>
      </c>
      <c r="J52" s="2528">
        <f>SUM(J49:J51)</f>
        <v>0</v>
      </c>
      <c r="K52" s="2528">
        <f>SUM(K49:K51)</f>
        <v>1</v>
      </c>
      <c r="L52" s="2530">
        <f>SUM(L49:L51)</f>
        <v>1</v>
      </c>
      <c r="M52" s="2486">
        <f>SUM(M49:M51)</f>
        <v>1</v>
      </c>
      <c r="N52" s="2487">
        <f>SUM(L52:M52)</f>
        <v>2</v>
      </c>
      <c r="O52" s="2486">
        <f>SUM(O49:O51)</f>
        <v>2</v>
      </c>
      <c r="P52" s="2486">
        <f>SUM(P49:P51)</f>
        <v>1</v>
      </c>
      <c r="Q52" s="2487">
        <f>SUM(O52:P52)</f>
        <v>3</v>
      </c>
      <c r="R52" s="2486">
        <f>SUM(R49:R51)</f>
        <v>2</v>
      </c>
      <c r="S52" s="2486">
        <f>SUM(S49:S51)</f>
        <v>1</v>
      </c>
      <c r="T52" s="2487">
        <f>SUM(R52:S52)</f>
        <v>3</v>
      </c>
      <c r="U52" s="2486">
        <f>SUM(U49:U51)</f>
        <v>2</v>
      </c>
      <c r="V52" s="2486">
        <f>SUM(V49:V51)</f>
        <v>1</v>
      </c>
      <c r="W52" s="2487">
        <f>SUM(U52:V52)</f>
        <v>3</v>
      </c>
      <c r="X52" s="2486">
        <f>SUM(X49:X51)</f>
        <v>1</v>
      </c>
      <c r="Y52" s="2486">
        <f>SUM(Y49:Y51)</f>
        <v>1</v>
      </c>
      <c r="Z52" s="2487">
        <f>SUM(X52:Y52)</f>
        <v>2</v>
      </c>
      <c r="AA52" s="2486">
        <f>SUM(AA49:AA51)</f>
        <v>2</v>
      </c>
      <c r="AB52" s="2486">
        <f>SUM(AB49:AB51)</f>
        <v>1</v>
      </c>
      <c r="AC52" s="2487">
        <f>SUM(AA52:AB52)</f>
        <v>3</v>
      </c>
      <c r="AD52" s="2486">
        <f>SUM(AD49:AD51)</f>
        <v>2</v>
      </c>
      <c r="AE52" s="2486">
        <f>SUM(AE49:AE51)</f>
        <v>1</v>
      </c>
      <c r="AF52" s="2487">
        <f>SUM(AD52:AE52)</f>
        <v>3</v>
      </c>
      <c r="AG52" s="2486">
        <f>SUM(AG49:AG51)</f>
        <v>2</v>
      </c>
      <c r="AH52" s="2486">
        <f>SUM(AH49:AH51)</f>
        <v>0</v>
      </c>
      <c r="AI52" s="2487">
        <f>SUM(AG52:AH52)</f>
        <v>2</v>
      </c>
      <c r="AJ52" s="2486">
        <f>SUM(AJ49:AJ51)</f>
        <v>3</v>
      </c>
      <c r="AK52" s="2486">
        <f>SUM(AK49:AK51)</f>
        <v>2</v>
      </c>
      <c r="AL52" s="2487">
        <f>SUM(AJ52:AK52)</f>
        <v>5</v>
      </c>
      <c r="AM52" s="2486">
        <f>SUM(AM49:AM51)</f>
        <v>1</v>
      </c>
      <c r="AN52" s="2486">
        <f>SUM(AN49:AN51)</f>
        <v>2</v>
      </c>
      <c r="AO52" s="2487">
        <f>SUM(AM52:AN52)</f>
        <v>3</v>
      </c>
    </row>
    <row r="54" spans="1:41" x14ac:dyDescent="0.25">
      <c r="A54" s="7166" t="s">
        <v>162</v>
      </c>
      <c r="B54" s="1594" t="s">
        <v>5</v>
      </c>
      <c r="C54" s="1595">
        <v>1</v>
      </c>
      <c r="D54" s="1596">
        <v>1</v>
      </c>
      <c r="E54" s="1596">
        <f>SUM(C54:D54)</f>
        <v>2</v>
      </c>
      <c r="F54" s="1595">
        <v>1</v>
      </c>
      <c r="G54" s="1596">
        <v>1</v>
      </c>
      <c r="H54" s="1597">
        <f>SUM(F54:G54)</f>
        <v>2</v>
      </c>
      <c r="I54" s="1596">
        <v>1</v>
      </c>
      <c r="J54" s="1596">
        <v>1</v>
      </c>
      <c r="K54" s="1596">
        <f>SUM(I54:J54)</f>
        <v>2</v>
      </c>
      <c r="L54" s="1598">
        <v>1</v>
      </c>
      <c r="M54" s="1562">
        <v>1</v>
      </c>
      <c r="N54" s="1563">
        <f t="shared" si="10"/>
        <v>2</v>
      </c>
      <c r="O54" s="1562">
        <v>1</v>
      </c>
      <c r="P54" s="1562"/>
      <c r="Q54" s="1563">
        <f t="shared" si="11"/>
        <v>1</v>
      </c>
      <c r="R54" s="1562">
        <v>1</v>
      </c>
      <c r="S54" s="1562"/>
      <c r="T54" s="1563">
        <f t="shared" si="12"/>
        <v>1</v>
      </c>
      <c r="U54" s="1562">
        <v>1</v>
      </c>
      <c r="V54" s="1562"/>
      <c r="W54" s="1563">
        <f t="shared" si="13"/>
        <v>1</v>
      </c>
      <c r="X54" s="1562">
        <v>1</v>
      </c>
      <c r="Y54" s="1562">
        <v>0</v>
      </c>
      <c r="Z54" s="1563">
        <f>SUM(X54:Y54)</f>
        <v>1</v>
      </c>
      <c r="AA54" s="1562">
        <v>1</v>
      </c>
      <c r="AB54" s="1562"/>
      <c r="AC54" s="1563">
        <f>SUM(AA54:AB54)</f>
        <v>1</v>
      </c>
      <c r="AD54" s="1562">
        <v>1</v>
      </c>
      <c r="AE54" s="1562"/>
      <c r="AF54" s="1563">
        <f>SUM(AD54:AE54)</f>
        <v>1</v>
      </c>
      <c r="AG54" s="1562">
        <v>1</v>
      </c>
      <c r="AH54" s="1562">
        <v>0</v>
      </c>
      <c r="AI54" s="1563">
        <f>SUM(AG54:AH54)</f>
        <v>1</v>
      </c>
      <c r="AJ54" s="1562">
        <v>1</v>
      </c>
      <c r="AK54" s="1562"/>
      <c r="AL54" s="1563">
        <f>SUM(AJ54:AK54)</f>
        <v>1</v>
      </c>
      <c r="AM54" s="1562">
        <v>1</v>
      </c>
      <c r="AN54" s="1562"/>
      <c r="AO54" s="1563">
        <f>SUM(AM54:AN54)</f>
        <v>1</v>
      </c>
    </row>
    <row r="55" spans="1:41" x14ac:dyDescent="0.25">
      <c r="A55" s="7167"/>
      <c r="B55" s="1599" t="s">
        <v>6</v>
      </c>
      <c r="C55" s="1600">
        <v>5</v>
      </c>
      <c r="D55" s="1601">
        <v>9</v>
      </c>
      <c r="E55" s="1601">
        <f>SUM(C55:D55)</f>
        <v>14</v>
      </c>
      <c r="F55" s="1600">
        <v>5</v>
      </c>
      <c r="G55" s="1601">
        <v>10</v>
      </c>
      <c r="H55" s="1602">
        <f>SUM(F55:G55)</f>
        <v>15</v>
      </c>
      <c r="I55" s="1601">
        <v>4</v>
      </c>
      <c r="J55" s="1601">
        <v>10</v>
      </c>
      <c r="K55" s="1601">
        <f>SUM(I55:J55)</f>
        <v>14</v>
      </c>
      <c r="L55" s="1603">
        <v>1</v>
      </c>
      <c r="M55" s="1571">
        <v>10</v>
      </c>
      <c r="N55" s="1572">
        <f t="shared" si="10"/>
        <v>11</v>
      </c>
      <c r="O55" s="1571">
        <v>1</v>
      </c>
      <c r="P55" s="1571">
        <v>11</v>
      </c>
      <c r="Q55" s="1572">
        <f t="shared" si="11"/>
        <v>12</v>
      </c>
      <c r="R55" s="1571">
        <v>1</v>
      </c>
      <c r="S55" s="1571">
        <v>13</v>
      </c>
      <c r="T55" s="1572">
        <f t="shared" si="12"/>
        <v>14</v>
      </c>
      <c r="U55" s="1571">
        <v>1</v>
      </c>
      <c r="V55" s="1571">
        <v>7</v>
      </c>
      <c r="W55" s="1572">
        <f t="shared" si="13"/>
        <v>8</v>
      </c>
      <c r="X55" s="1571">
        <v>1</v>
      </c>
      <c r="Y55" s="1571">
        <v>13</v>
      </c>
      <c r="Z55" s="1572">
        <f>SUM(X55:Y55)</f>
        <v>14</v>
      </c>
      <c r="AA55" s="1571">
        <v>2</v>
      </c>
      <c r="AB55" s="1571">
        <v>13</v>
      </c>
      <c r="AC55" s="1572">
        <f>SUM(AA55:AB55)</f>
        <v>15</v>
      </c>
      <c r="AD55" s="1571">
        <v>2</v>
      </c>
      <c r="AE55" s="1571">
        <v>9</v>
      </c>
      <c r="AF55" s="1572">
        <f>SUM(AD55:AE55)</f>
        <v>11</v>
      </c>
      <c r="AG55" s="1571">
        <v>2</v>
      </c>
      <c r="AH55" s="1571">
        <v>8</v>
      </c>
      <c r="AI55" s="1572">
        <f>SUM(AG55:AH55)</f>
        <v>10</v>
      </c>
      <c r="AJ55" s="1571">
        <v>2</v>
      </c>
      <c r="AK55" s="1571">
        <v>8</v>
      </c>
      <c r="AL55" s="1572">
        <f>SUM(AJ55:AK55)</f>
        <v>10</v>
      </c>
      <c r="AM55" s="1571">
        <v>2</v>
      </c>
      <c r="AN55" s="1571">
        <v>7</v>
      </c>
      <c r="AO55" s="1572">
        <f>SUM(AM55:AN55)</f>
        <v>9</v>
      </c>
    </row>
    <row r="56" spans="1:41" x14ac:dyDescent="0.25">
      <c r="A56" s="7167"/>
      <c r="B56" s="1599" t="s">
        <v>11</v>
      </c>
      <c r="C56" s="1600"/>
      <c r="D56" s="1601">
        <v>5</v>
      </c>
      <c r="E56" s="1601">
        <f>SUM(C56:D56)</f>
        <v>5</v>
      </c>
      <c r="F56" s="1600"/>
      <c r="G56" s="1601">
        <v>6</v>
      </c>
      <c r="H56" s="1602">
        <f>SUM(F56:G56)</f>
        <v>6</v>
      </c>
      <c r="I56" s="1601">
        <v>1</v>
      </c>
      <c r="J56" s="1601">
        <v>6</v>
      </c>
      <c r="K56" s="1601">
        <f>SUM(I56:J56)</f>
        <v>7</v>
      </c>
      <c r="L56" s="1603">
        <v>1</v>
      </c>
      <c r="M56" s="1571">
        <v>6</v>
      </c>
      <c r="N56" s="1572">
        <f t="shared" si="10"/>
        <v>7</v>
      </c>
      <c r="O56" s="1571">
        <v>1</v>
      </c>
      <c r="P56" s="1571">
        <v>8</v>
      </c>
      <c r="Q56" s="1572">
        <f t="shared" si="11"/>
        <v>9</v>
      </c>
      <c r="R56" s="1571">
        <v>1</v>
      </c>
      <c r="S56" s="1571">
        <v>7</v>
      </c>
      <c r="T56" s="1572">
        <f t="shared" si="12"/>
        <v>8</v>
      </c>
      <c r="U56" s="1571">
        <v>1</v>
      </c>
      <c r="V56" s="1571">
        <v>13</v>
      </c>
      <c r="W56" s="1572">
        <f t="shared" si="13"/>
        <v>14</v>
      </c>
      <c r="X56" s="1571">
        <v>1</v>
      </c>
      <c r="Y56" s="1571">
        <v>7</v>
      </c>
      <c r="Z56" s="1572">
        <f>SUM(X56:Y56)</f>
        <v>8</v>
      </c>
      <c r="AA56" s="1571">
        <v>1</v>
      </c>
      <c r="AB56" s="1571">
        <v>6</v>
      </c>
      <c r="AC56" s="1572">
        <f>SUM(AA56:AB56)</f>
        <v>7</v>
      </c>
      <c r="AD56" s="1571">
        <v>1</v>
      </c>
      <c r="AE56" s="1571">
        <v>6</v>
      </c>
      <c r="AF56" s="1572">
        <f>SUM(AD56:AE56)</f>
        <v>7</v>
      </c>
      <c r="AG56" s="1571">
        <v>1</v>
      </c>
      <c r="AH56" s="1571">
        <v>6</v>
      </c>
      <c r="AI56" s="1572">
        <f>SUM(AG56:AH56)</f>
        <v>7</v>
      </c>
      <c r="AJ56" s="1571">
        <v>1</v>
      </c>
      <c r="AK56" s="1571">
        <v>4</v>
      </c>
      <c r="AL56" s="1572">
        <f>SUM(AJ56:AK56)</f>
        <v>5</v>
      </c>
      <c r="AM56" s="1571">
        <v>2</v>
      </c>
      <c r="AN56" s="1571">
        <v>4</v>
      </c>
      <c r="AO56" s="1572">
        <f>SUM(AM56:AN56)</f>
        <v>6</v>
      </c>
    </row>
    <row r="57" spans="1:41" x14ac:dyDescent="0.25">
      <c r="A57" s="7168"/>
      <c r="B57" s="2515" t="s">
        <v>12</v>
      </c>
      <c r="C57" s="2516">
        <f t="shared" ref="C57:M57" si="15">SUM(C54:C56)</f>
        <v>6</v>
      </c>
      <c r="D57" s="2517">
        <f t="shared" si="15"/>
        <v>15</v>
      </c>
      <c r="E57" s="2517">
        <f t="shared" si="15"/>
        <v>21</v>
      </c>
      <c r="F57" s="2516">
        <f t="shared" si="15"/>
        <v>6</v>
      </c>
      <c r="G57" s="2517">
        <f t="shared" si="15"/>
        <v>17</v>
      </c>
      <c r="H57" s="2518">
        <f t="shared" si="15"/>
        <v>23</v>
      </c>
      <c r="I57" s="2517">
        <f t="shared" si="15"/>
        <v>6</v>
      </c>
      <c r="J57" s="2517">
        <f t="shared" si="15"/>
        <v>17</v>
      </c>
      <c r="K57" s="2517">
        <f t="shared" si="15"/>
        <v>23</v>
      </c>
      <c r="L57" s="2519">
        <f t="shared" si="15"/>
        <v>3</v>
      </c>
      <c r="M57" s="2495">
        <f t="shared" si="15"/>
        <v>17</v>
      </c>
      <c r="N57" s="2496">
        <f t="shared" si="10"/>
        <v>20</v>
      </c>
      <c r="O57" s="2495">
        <f>SUM(O54:O56)</f>
        <v>3</v>
      </c>
      <c r="P57" s="2495">
        <f>SUM(P54:P56)</f>
        <v>19</v>
      </c>
      <c r="Q57" s="2496">
        <f t="shared" si="11"/>
        <v>22</v>
      </c>
      <c r="R57" s="2495">
        <f>SUM(R54:R56)</f>
        <v>3</v>
      </c>
      <c r="S57" s="2495">
        <f>SUM(S54:S56)</f>
        <v>20</v>
      </c>
      <c r="T57" s="2496">
        <f t="shared" si="12"/>
        <v>23</v>
      </c>
      <c r="U57" s="2495">
        <f>SUM(U54:U56)</f>
        <v>3</v>
      </c>
      <c r="V57" s="2495">
        <f>SUM(V54:V56)</f>
        <v>20</v>
      </c>
      <c r="W57" s="2496">
        <f t="shared" si="13"/>
        <v>23</v>
      </c>
      <c r="X57" s="2495">
        <f>SUM(X54:X56)</f>
        <v>3</v>
      </c>
      <c r="Y57" s="2495">
        <f>SUM(Y54:Y56)</f>
        <v>20</v>
      </c>
      <c r="Z57" s="2496">
        <f>SUM(X57:Y57)</f>
        <v>23</v>
      </c>
      <c r="AA57" s="2495">
        <f>SUM(AA54:AA56)</f>
        <v>4</v>
      </c>
      <c r="AB57" s="2495">
        <f>SUM(AB54:AB56)</f>
        <v>19</v>
      </c>
      <c r="AC57" s="2496">
        <f>SUM(AA57:AB57)</f>
        <v>23</v>
      </c>
      <c r="AD57" s="2495">
        <f>SUM(AD54:AD56)</f>
        <v>4</v>
      </c>
      <c r="AE57" s="2495">
        <f>SUM(AE54:AE56)</f>
        <v>15</v>
      </c>
      <c r="AF57" s="2496">
        <f>SUM(AD57:AE57)</f>
        <v>19</v>
      </c>
      <c r="AG57" s="2495">
        <f>SUM(AG54:AG56)</f>
        <v>4</v>
      </c>
      <c r="AH57" s="2495">
        <f>SUM(AH54:AH56)</f>
        <v>14</v>
      </c>
      <c r="AI57" s="2496">
        <f>SUM(AG57:AH57)</f>
        <v>18</v>
      </c>
      <c r="AJ57" s="2495">
        <f>SUM(AJ54:AJ56)</f>
        <v>4</v>
      </c>
      <c r="AK57" s="2495">
        <f>SUM(AK54:AK56)</f>
        <v>12</v>
      </c>
      <c r="AL57" s="2496">
        <f>SUM(AJ57:AK57)</f>
        <v>16</v>
      </c>
      <c r="AM57" s="2495">
        <f>SUM(AM54:AM56)</f>
        <v>5</v>
      </c>
      <c r="AN57" s="2495">
        <f>SUM(AN54:AN56)</f>
        <v>11</v>
      </c>
      <c r="AO57" s="2496">
        <f>SUM(AM57:AN57)</f>
        <v>16</v>
      </c>
    </row>
    <row r="59" spans="1:41" x14ac:dyDescent="0.25">
      <c r="A59" s="7130" t="s">
        <v>408</v>
      </c>
      <c r="B59" s="5266" t="s">
        <v>5</v>
      </c>
      <c r="C59" s="5259"/>
      <c r="D59" s="5260"/>
      <c r="E59" s="5260"/>
      <c r="F59" s="5260"/>
      <c r="G59" s="5260"/>
      <c r="H59" s="5260"/>
      <c r="I59" s="5260"/>
      <c r="J59" s="5260"/>
      <c r="K59" s="5260"/>
      <c r="L59" s="5261"/>
      <c r="M59" s="5261"/>
      <c r="N59" s="5261"/>
      <c r="O59" s="5261"/>
      <c r="P59" s="5261"/>
      <c r="Q59" s="5261"/>
      <c r="R59" s="5261"/>
      <c r="S59" s="5261"/>
      <c r="T59" s="5261"/>
      <c r="U59" s="5261"/>
      <c r="V59" s="5261"/>
      <c r="W59" s="5261"/>
      <c r="X59" s="5261"/>
      <c r="Y59" s="5261"/>
      <c r="Z59" s="5261"/>
      <c r="AA59" s="5261"/>
      <c r="AB59" s="5261"/>
      <c r="AC59" s="5261"/>
      <c r="AD59" s="5261"/>
      <c r="AE59" s="5261"/>
      <c r="AF59" s="5261"/>
      <c r="AG59" s="5261"/>
      <c r="AH59" s="5261"/>
      <c r="AI59" s="5261"/>
      <c r="AJ59" s="5261"/>
      <c r="AK59" s="5261"/>
      <c r="AL59" s="5261"/>
      <c r="AM59" s="1598"/>
      <c r="AN59" s="1562"/>
      <c r="AO59" s="1563">
        <f>SUM(AM59:AN59)</f>
        <v>0</v>
      </c>
    </row>
    <row r="60" spans="1:41" x14ac:dyDescent="0.25">
      <c r="A60" s="5776"/>
      <c r="B60" s="1784" t="s">
        <v>6</v>
      </c>
      <c r="C60" s="5262"/>
      <c r="D60" s="5257"/>
      <c r="E60" s="5257"/>
      <c r="F60" s="5257"/>
      <c r="G60" s="5257"/>
      <c r="H60" s="5257"/>
      <c r="I60" s="5257"/>
      <c r="J60" s="5257"/>
      <c r="K60" s="5257"/>
      <c r="L60" s="5258"/>
      <c r="M60" s="5258"/>
      <c r="N60" s="5258"/>
      <c r="O60" s="5258"/>
      <c r="P60" s="5258"/>
      <c r="Q60" s="5258"/>
      <c r="R60" s="5258"/>
      <c r="S60" s="5258"/>
      <c r="T60" s="5258"/>
      <c r="U60" s="5258"/>
      <c r="V60" s="5258"/>
      <c r="W60" s="5258"/>
      <c r="X60" s="5258"/>
      <c r="Y60" s="5258"/>
      <c r="Z60" s="5258"/>
      <c r="AA60" s="5258"/>
      <c r="AB60" s="5258"/>
      <c r="AC60" s="5258"/>
      <c r="AD60" s="5258"/>
      <c r="AE60" s="5258"/>
      <c r="AF60" s="5258"/>
      <c r="AG60" s="5258"/>
      <c r="AH60" s="5258"/>
      <c r="AI60" s="5258"/>
      <c r="AJ60" s="5258"/>
      <c r="AK60" s="5258"/>
      <c r="AL60" s="5258"/>
      <c r="AM60" s="1603"/>
      <c r="AN60" s="1571">
        <v>2</v>
      </c>
      <c r="AO60" s="1572">
        <f>SUM(AM60:AN60)</f>
        <v>2</v>
      </c>
    </row>
    <row r="61" spans="1:41" x14ac:dyDescent="0.25">
      <c r="A61" s="5776"/>
      <c r="B61" s="1784" t="s">
        <v>11</v>
      </c>
      <c r="C61" s="5262"/>
      <c r="D61" s="5257"/>
      <c r="E61" s="5257"/>
      <c r="F61" s="5257"/>
      <c r="G61" s="5257"/>
      <c r="H61" s="5257"/>
      <c r="I61" s="5257"/>
      <c r="J61" s="5257"/>
      <c r="K61" s="5257"/>
      <c r="L61" s="5258"/>
      <c r="M61" s="5258"/>
      <c r="N61" s="5258"/>
      <c r="O61" s="5258"/>
      <c r="P61" s="5258"/>
      <c r="Q61" s="5258"/>
      <c r="R61" s="5258"/>
      <c r="S61" s="5258"/>
      <c r="T61" s="5258"/>
      <c r="U61" s="5258"/>
      <c r="V61" s="5258"/>
      <c r="W61" s="5258"/>
      <c r="X61" s="5258"/>
      <c r="Y61" s="5258"/>
      <c r="Z61" s="5258"/>
      <c r="AA61" s="5258"/>
      <c r="AB61" s="5258"/>
      <c r="AC61" s="5258"/>
      <c r="AD61" s="5258"/>
      <c r="AE61" s="5258"/>
      <c r="AF61" s="5258"/>
      <c r="AG61" s="5258"/>
      <c r="AH61" s="5258"/>
      <c r="AI61" s="5258"/>
      <c r="AJ61" s="5258"/>
      <c r="AK61" s="5258"/>
      <c r="AL61" s="5258"/>
      <c r="AM61" s="1603"/>
      <c r="AN61" s="1571"/>
      <c r="AO61" s="1572">
        <f>SUM(AM61:AN61)</f>
        <v>0</v>
      </c>
    </row>
    <row r="62" spans="1:41" x14ac:dyDescent="0.25">
      <c r="A62" s="5777"/>
      <c r="B62" s="5267" t="s">
        <v>12</v>
      </c>
      <c r="C62" s="5263"/>
      <c r="D62" s="5264"/>
      <c r="E62" s="5264"/>
      <c r="F62" s="5264"/>
      <c r="G62" s="5264"/>
      <c r="H62" s="5264"/>
      <c r="I62" s="5264"/>
      <c r="J62" s="5264"/>
      <c r="K62" s="5264"/>
      <c r="L62" s="5265"/>
      <c r="M62" s="5265"/>
      <c r="N62" s="5265"/>
      <c r="O62" s="5265"/>
      <c r="P62" s="5265"/>
      <c r="Q62" s="5265"/>
      <c r="R62" s="5265"/>
      <c r="S62" s="5265"/>
      <c r="T62" s="5265"/>
      <c r="U62" s="5265"/>
      <c r="V62" s="5265"/>
      <c r="W62" s="5265"/>
      <c r="X62" s="5265"/>
      <c r="Y62" s="5265"/>
      <c r="Z62" s="5265"/>
      <c r="AA62" s="5265"/>
      <c r="AB62" s="5265"/>
      <c r="AC62" s="5265"/>
      <c r="AD62" s="5265"/>
      <c r="AE62" s="5265"/>
      <c r="AF62" s="5265"/>
      <c r="AG62" s="5265"/>
      <c r="AH62" s="5265"/>
      <c r="AI62" s="5265"/>
      <c r="AJ62" s="5265"/>
      <c r="AK62" s="5265"/>
      <c r="AL62" s="5265"/>
      <c r="AM62" s="2520">
        <f>SUM(AM59:AM61)</f>
        <v>0</v>
      </c>
      <c r="AN62" s="2504">
        <f>SUM(AN59:AN61)</f>
        <v>2</v>
      </c>
      <c r="AO62" s="2505">
        <f>SUM(AO59:AO61)</f>
        <v>2</v>
      </c>
    </row>
    <row r="63" spans="1:41" x14ac:dyDescent="0.25">
      <c r="A63" s="1604"/>
    </row>
    <row r="64" spans="1:41" x14ac:dyDescent="0.25">
      <c r="A64" s="7151" t="s">
        <v>163</v>
      </c>
      <c r="B64" s="1594" t="s">
        <v>6</v>
      </c>
      <c r="C64" s="1595">
        <v>14</v>
      </c>
      <c r="D64" s="1596">
        <v>20</v>
      </c>
      <c r="E64" s="1596">
        <f>SUM(C64:D64)</f>
        <v>34</v>
      </c>
      <c r="F64" s="1595">
        <v>20</v>
      </c>
      <c r="G64" s="1596">
        <v>20</v>
      </c>
      <c r="H64" s="1597">
        <f>SUM(F64:G64)</f>
        <v>40</v>
      </c>
      <c r="I64" s="1596">
        <v>18</v>
      </c>
      <c r="J64" s="1596">
        <v>19</v>
      </c>
      <c r="K64" s="1596">
        <f>SUM(I64:J64)</f>
        <v>37</v>
      </c>
      <c r="L64" s="1598">
        <v>14</v>
      </c>
      <c r="M64" s="1562">
        <v>20</v>
      </c>
      <c r="N64" s="1563">
        <f t="shared" si="10"/>
        <v>34</v>
      </c>
      <c r="O64" s="1562">
        <v>14</v>
      </c>
      <c r="P64" s="1562">
        <v>19</v>
      </c>
      <c r="Q64" s="1563">
        <f t="shared" si="11"/>
        <v>33</v>
      </c>
      <c r="R64" s="1562">
        <v>13</v>
      </c>
      <c r="S64" s="1562">
        <v>20</v>
      </c>
      <c r="T64" s="1563">
        <f t="shared" si="12"/>
        <v>33</v>
      </c>
      <c r="U64" s="1562">
        <v>10</v>
      </c>
      <c r="V64" s="1562">
        <v>21</v>
      </c>
      <c r="W64" s="1563">
        <f t="shared" si="13"/>
        <v>31</v>
      </c>
      <c r="X64" s="1562">
        <v>9</v>
      </c>
      <c r="Y64" s="1562">
        <v>17</v>
      </c>
      <c r="Z64" s="1563">
        <f>SUM(X64:Y64)</f>
        <v>26</v>
      </c>
      <c r="AA64" s="1562">
        <v>8</v>
      </c>
      <c r="AB64" s="1562">
        <v>15</v>
      </c>
      <c r="AC64" s="1563">
        <f>SUM(AA64:AB64)</f>
        <v>23</v>
      </c>
      <c r="AD64" s="1562">
        <v>8</v>
      </c>
      <c r="AE64" s="1562">
        <v>15</v>
      </c>
      <c r="AF64" s="1563">
        <f>SUM(AD64:AE64)</f>
        <v>23</v>
      </c>
      <c r="AG64" s="1562">
        <v>10</v>
      </c>
      <c r="AH64" s="1562">
        <v>14</v>
      </c>
      <c r="AI64" s="1563">
        <f>SUM(AG64:AH64)</f>
        <v>24</v>
      </c>
      <c r="AJ64" s="1562">
        <v>10</v>
      </c>
      <c r="AK64" s="1562">
        <v>16</v>
      </c>
      <c r="AL64" s="1563">
        <f>SUM(AJ64:AK64)</f>
        <v>26</v>
      </c>
      <c r="AM64" s="1562">
        <v>11</v>
      </c>
      <c r="AN64" s="1562">
        <v>15</v>
      </c>
      <c r="AO64" s="1563">
        <f>SUM(AM64:AN64)</f>
        <v>26</v>
      </c>
    </row>
    <row r="65" spans="1:41" x14ac:dyDescent="0.25">
      <c r="A65" s="7152"/>
      <c r="B65" s="1599" t="s">
        <v>11</v>
      </c>
      <c r="C65" s="1600">
        <v>15</v>
      </c>
      <c r="D65" s="1601">
        <v>14</v>
      </c>
      <c r="E65" s="1601">
        <f>SUM(C65:D65)</f>
        <v>29</v>
      </c>
      <c r="F65" s="1600">
        <v>16</v>
      </c>
      <c r="G65" s="1601">
        <v>14</v>
      </c>
      <c r="H65" s="1602">
        <f>SUM(F65:G65)</f>
        <v>30</v>
      </c>
      <c r="I65" s="1601">
        <v>15</v>
      </c>
      <c r="J65" s="1601">
        <v>14</v>
      </c>
      <c r="K65" s="1601">
        <f>SUM(I65:J65)</f>
        <v>29</v>
      </c>
      <c r="L65" s="1603">
        <v>15</v>
      </c>
      <c r="M65" s="1571">
        <v>17</v>
      </c>
      <c r="N65" s="1572">
        <f t="shared" si="10"/>
        <v>32</v>
      </c>
      <c r="O65" s="1571">
        <v>17</v>
      </c>
      <c r="P65" s="1571">
        <v>16</v>
      </c>
      <c r="Q65" s="1572">
        <f t="shared" si="11"/>
        <v>33</v>
      </c>
      <c r="R65" s="1571">
        <v>16</v>
      </c>
      <c r="S65" s="1571">
        <v>16</v>
      </c>
      <c r="T65" s="1572">
        <f t="shared" si="12"/>
        <v>32</v>
      </c>
      <c r="U65" s="1571">
        <v>15</v>
      </c>
      <c r="V65" s="1571">
        <v>16</v>
      </c>
      <c r="W65" s="1572">
        <f t="shared" si="13"/>
        <v>31</v>
      </c>
      <c r="X65" s="1571">
        <v>13</v>
      </c>
      <c r="Y65" s="1571">
        <v>15</v>
      </c>
      <c r="Z65" s="1572">
        <f>SUM(X65:Y65)</f>
        <v>28</v>
      </c>
      <c r="AA65" s="1571">
        <v>17</v>
      </c>
      <c r="AB65" s="1571">
        <v>16</v>
      </c>
      <c r="AC65" s="1572">
        <f>SUM(AA65:AB65)</f>
        <v>33</v>
      </c>
      <c r="AD65" s="1571">
        <v>17</v>
      </c>
      <c r="AE65" s="1571">
        <v>21</v>
      </c>
      <c r="AF65" s="1572">
        <f>SUM(AD65:AE65)</f>
        <v>38</v>
      </c>
      <c r="AG65" s="1571">
        <v>16</v>
      </c>
      <c r="AH65" s="1571">
        <v>21</v>
      </c>
      <c r="AI65" s="1572">
        <f>SUM(AG65:AH65)</f>
        <v>37</v>
      </c>
      <c r="AJ65" s="1571">
        <v>16</v>
      </c>
      <c r="AK65" s="1571">
        <v>21</v>
      </c>
      <c r="AL65" s="1572">
        <f>SUM(AJ65:AK65)</f>
        <v>37</v>
      </c>
      <c r="AM65" s="1571">
        <v>14</v>
      </c>
      <c r="AN65" s="1571">
        <v>18</v>
      </c>
      <c r="AO65" s="1572">
        <f>SUM(AM65:AN65)</f>
        <v>32</v>
      </c>
    </row>
    <row r="66" spans="1:41" x14ac:dyDescent="0.25">
      <c r="A66" s="7152"/>
      <c r="B66" s="1599" t="s">
        <v>7</v>
      </c>
      <c r="C66" s="1600">
        <v>5</v>
      </c>
      <c r="D66" s="1601">
        <v>21</v>
      </c>
      <c r="E66" s="1601">
        <f>SUM(C66:D66)</f>
        <v>26</v>
      </c>
      <c r="F66" s="1600">
        <v>5</v>
      </c>
      <c r="G66" s="1601">
        <v>22</v>
      </c>
      <c r="H66" s="1602">
        <f>SUM(F66:G66)</f>
        <v>27</v>
      </c>
      <c r="I66" s="1601">
        <v>5</v>
      </c>
      <c r="J66" s="1601">
        <v>21</v>
      </c>
      <c r="K66" s="1601">
        <f>SUM(I66:J66)</f>
        <v>26</v>
      </c>
      <c r="L66" s="1603">
        <v>6</v>
      </c>
      <c r="M66" s="1571">
        <v>20</v>
      </c>
      <c r="N66" s="1572">
        <f t="shared" si="10"/>
        <v>26</v>
      </c>
      <c r="O66" s="1571">
        <v>6</v>
      </c>
      <c r="P66" s="1571">
        <v>25</v>
      </c>
      <c r="Q66" s="1572">
        <f t="shared" si="11"/>
        <v>31</v>
      </c>
      <c r="R66" s="1571">
        <v>7</v>
      </c>
      <c r="S66" s="1571">
        <v>22</v>
      </c>
      <c r="T66" s="1572">
        <f t="shared" si="12"/>
        <v>29</v>
      </c>
      <c r="U66" s="1571">
        <v>8</v>
      </c>
      <c r="V66" s="1571">
        <v>24</v>
      </c>
      <c r="W66" s="1572">
        <f t="shared" si="13"/>
        <v>32</v>
      </c>
      <c r="X66" s="1571">
        <v>7</v>
      </c>
      <c r="Y66" s="1571">
        <v>25</v>
      </c>
      <c r="Z66" s="1572">
        <f>SUM(X66:Y66)</f>
        <v>32</v>
      </c>
      <c r="AA66" s="1571">
        <v>6</v>
      </c>
      <c r="AB66" s="1571">
        <v>25</v>
      </c>
      <c r="AC66" s="1572">
        <f>SUM(AA66:AB66)</f>
        <v>31</v>
      </c>
      <c r="AD66" s="1571">
        <v>7</v>
      </c>
      <c r="AE66" s="1571">
        <v>24</v>
      </c>
      <c r="AF66" s="1572">
        <f>SUM(AD66:AE66)</f>
        <v>31</v>
      </c>
      <c r="AG66" s="1571">
        <v>7</v>
      </c>
      <c r="AH66" s="1571">
        <v>25</v>
      </c>
      <c r="AI66" s="1572">
        <f>SUM(AG66:AH66)</f>
        <v>32</v>
      </c>
      <c r="AJ66" s="1571">
        <v>6</v>
      </c>
      <c r="AK66" s="1571">
        <v>18</v>
      </c>
      <c r="AL66" s="1572">
        <f>SUM(AJ66:AK66)</f>
        <v>24</v>
      </c>
      <c r="AM66" s="1571">
        <v>5</v>
      </c>
      <c r="AN66" s="1571">
        <v>22</v>
      </c>
      <c r="AO66" s="1572">
        <f>SUM(AM66:AN66)</f>
        <v>27</v>
      </c>
    </row>
    <row r="67" spans="1:41" x14ac:dyDescent="0.25">
      <c r="A67" s="7153"/>
      <c r="B67" s="2551" t="s">
        <v>12</v>
      </c>
      <c r="C67" s="2552">
        <f t="shared" ref="C67:M67" si="16">SUM(C64:C66)</f>
        <v>34</v>
      </c>
      <c r="D67" s="2553">
        <f t="shared" si="16"/>
        <v>55</v>
      </c>
      <c r="E67" s="2553">
        <f t="shared" si="16"/>
        <v>89</v>
      </c>
      <c r="F67" s="2552">
        <f t="shared" si="16"/>
        <v>41</v>
      </c>
      <c r="G67" s="2553">
        <f t="shared" si="16"/>
        <v>56</v>
      </c>
      <c r="H67" s="2554">
        <f t="shared" si="16"/>
        <v>97</v>
      </c>
      <c r="I67" s="2553">
        <f t="shared" si="16"/>
        <v>38</v>
      </c>
      <c r="J67" s="2553">
        <f t="shared" si="16"/>
        <v>54</v>
      </c>
      <c r="K67" s="2553">
        <f t="shared" si="16"/>
        <v>92</v>
      </c>
      <c r="L67" s="2555">
        <f t="shared" si="16"/>
        <v>35</v>
      </c>
      <c r="M67" s="2556">
        <f t="shared" si="16"/>
        <v>57</v>
      </c>
      <c r="N67" s="2557">
        <f t="shared" si="10"/>
        <v>92</v>
      </c>
      <c r="O67" s="2556">
        <f>SUM(O64:O66)</f>
        <v>37</v>
      </c>
      <c r="P67" s="2556">
        <f>SUM(P64:P66)</f>
        <v>60</v>
      </c>
      <c r="Q67" s="2557">
        <f t="shared" si="11"/>
        <v>97</v>
      </c>
      <c r="R67" s="2556">
        <f>SUM(R64:R66)</f>
        <v>36</v>
      </c>
      <c r="S67" s="2556">
        <f>SUM(S64:S66)</f>
        <v>58</v>
      </c>
      <c r="T67" s="2557">
        <f t="shared" si="12"/>
        <v>94</v>
      </c>
      <c r="U67" s="2556">
        <f>SUM(U64:U66)</f>
        <v>33</v>
      </c>
      <c r="V67" s="2556">
        <f>SUM(V64:V66)</f>
        <v>61</v>
      </c>
      <c r="W67" s="2557">
        <f t="shared" si="13"/>
        <v>94</v>
      </c>
      <c r="X67" s="2556">
        <f>SUM(X64:X66)</f>
        <v>29</v>
      </c>
      <c r="Y67" s="2556">
        <f>SUM(Y64:Y66)</f>
        <v>57</v>
      </c>
      <c r="Z67" s="2557">
        <f>SUM(X67:Y67)</f>
        <v>86</v>
      </c>
      <c r="AA67" s="2556">
        <f>SUM(AA64:AA66)</f>
        <v>31</v>
      </c>
      <c r="AB67" s="2556">
        <f>SUM(AB64:AB66)</f>
        <v>56</v>
      </c>
      <c r="AC67" s="2557">
        <f>SUM(AA67:AB67)</f>
        <v>87</v>
      </c>
      <c r="AD67" s="2556">
        <f>SUM(AD64:AD66)</f>
        <v>32</v>
      </c>
      <c r="AE67" s="2556">
        <f>SUM(AE64:AE66)</f>
        <v>60</v>
      </c>
      <c r="AF67" s="2557">
        <f>SUM(AD67:AE67)</f>
        <v>92</v>
      </c>
      <c r="AG67" s="2556">
        <f>SUM(AG64:AG66)</f>
        <v>33</v>
      </c>
      <c r="AH67" s="2556">
        <f>SUM(AH64:AH66)</f>
        <v>60</v>
      </c>
      <c r="AI67" s="2557">
        <f>SUM(AG67:AH67)</f>
        <v>93</v>
      </c>
      <c r="AJ67" s="2556">
        <f>SUM(AJ64:AJ66)</f>
        <v>32</v>
      </c>
      <c r="AK67" s="2556">
        <f>SUM(AK64:AK66)</f>
        <v>55</v>
      </c>
      <c r="AL67" s="2557">
        <f>SUM(AJ67:AK67)</f>
        <v>87</v>
      </c>
      <c r="AM67" s="2556">
        <f>SUM(AM64:AM66)</f>
        <v>30</v>
      </c>
      <c r="AN67" s="2556">
        <f>SUM(AN64:AN66)</f>
        <v>55</v>
      </c>
      <c r="AO67" s="2557">
        <f>SUM(AM67:AN67)</f>
        <v>85</v>
      </c>
    </row>
    <row r="69" spans="1:41" x14ac:dyDescent="0.25">
      <c r="A69" s="7154" t="s">
        <v>60</v>
      </c>
      <c r="B69" s="1594" t="s">
        <v>5</v>
      </c>
      <c r="C69" s="1598">
        <f t="shared" ref="C69:M69" si="17">SUM(C44,C54)</f>
        <v>6</v>
      </c>
      <c r="D69" s="1562">
        <f t="shared" si="17"/>
        <v>27</v>
      </c>
      <c r="E69" s="1562">
        <f t="shared" si="17"/>
        <v>33</v>
      </c>
      <c r="F69" s="1598">
        <f t="shared" si="17"/>
        <v>6</v>
      </c>
      <c r="G69" s="1562">
        <f t="shared" si="17"/>
        <v>30</v>
      </c>
      <c r="H69" s="1563">
        <f t="shared" si="17"/>
        <v>36</v>
      </c>
      <c r="I69" s="1562">
        <f t="shared" si="17"/>
        <v>6</v>
      </c>
      <c r="J69" s="1562">
        <f t="shared" si="17"/>
        <v>29</v>
      </c>
      <c r="K69" s="1562">
        <f t="shared" si="17"/>
        <v>35</v>
      </c>
      <c r="L69" s="1598">
        <f t="shared" si="17"/>
        <v>8</v>
      </c>
      <c r="M69" s="1562">
        <f t="shared" si="17"/>
        <v>24</v>
      </c>
      <c r="N69" s="1563">
        <f t="shared" ref="N69:N75" si="18">SUM(L69:M69)</f>
        <v>32</v>
      </c>
      <c r="O69" s="1562">
        <f>SUM(O44,O54)</f>
        <v>6</v>
      </c>
      <c r="P69" s="1562">
        <f>SUM(P44,P54)</f>
        <v>23</v>
      </c>
      <c r="Q69" s="1563">
        <f t="shared" ref="Q69:Q75" si="19">SUM(O69:P69)</f>
        <v>29</v>
      </c>
      <c r="R69" s="1562">
        <f>SUM(R44,R54)</f>
        <v>6</v>
      </c>
      <c r="S69" s="1562">
        <f>SUM(S44,S54)</f>
        <v>23</v>
      </c>
      <c r="T69" s="1563">
        <f t="shared" ref="T69:T75" si="20">SUM(R69:S69)</f>
        <v>29</v>
      </c>
      <c r="U69" s="1562">
        <f>SUM(U44,U54)</f>
        <v>5</v>
      </c>
      <c r="V69" s="1562">
        <f>SUM(V44,V54)</f>
        <v>20</v>
      </c>
      <c r="W69" s="1563">
        <f t="shared" ref="W69:W75" si="21">SUM(U69:V69)</f>
        <v>25</v>
      </c>
      <c r="X69" s="1562">
        <f>SUM(X44,X54)</f>
        <v>4</v>
      </c>
      <c r="Y69" s="1562">
        <f>SUM(Y44,Y54)</f>
        <v>19</v>
      </c>
      <c r="Z69" s="1563">
        <f t="shared" ref="Z69:Z75" si="22">SUM(X69:Y69)</f>
        <v>23</v>
      </c>
      <c r="AA69" s="1562">
        <f>SUM(AA44,AA54)</f>
        <v>4</v>
      </c>
      <c r="AB69" s="1562">
        <f>SUM(AB44,AB54)</f>
        <v>18</v>
      </c>
      <c r="AC69" s="1563">
        <f t="shared" ref="AC69:AC75" si="23">SUM(AA69:AB69)</f>
        <v>22</v>
      </c>
      <c r="AD69" s="1562">
        <f>SUM(AD44,AD54)</f>
        <v>5</v>
      </c>
      <c r="AE69" s="1562">
        <f>SUM(AE44,AE54)</f>
        <v>17</v>
      </c>
      <c r="AF69" s="1563">
        <f t="shared" ref="AF69:AF75" si="24">SUM(AD69:AE69)</f>
        <v>22</v>
      </c>
      <c r="AG69" s="1562">
        <f>SUM(AG44,AG54)</f>
        <v>5</v>
      </c>
      <c r="AH69" s="1562">
        <f>SUM(AH44,AH54)</f>
        <v>14</v>
      </c>
      <c r="AI69" s="1563">
        <f t="shared" ref="AI69:AI75" si="25">SUM(AG69:AH69)</f>
        <v>19</v>
      </c>
      <c r="AJ69" s="1562">
        <f>SUM(AJ44,AJ54)</f>
        <v>5</v>
      </c>
      <c r="AK69" s="1562">
        <f>SUM(AK44,AK54)</f>
        <v>12</v>
      </c>
      <c r="AL69" s="1563">
        <f t="shared" ref="AL69:AL75" si="26">SUM(AJ69:AK69)</f>
        <v>17</v>
      </c>
      <c r="AM69" s="1562">
        <f>SUM(AM44,AM54)</f>
        <v>3</v>
      </c>
      <c r="AN69" s="1562">
        <f>SUM(AN44,AN54)</f>
        <v>11</v>
      </c>
      <c r="AO69" s="1563">
        <f t="shared" ref="AO69:AO75" si="27">SUM(AM69:AN69)</f>
        <v>14</v>
      </c>
    </row>
    <row r="70" spans="1:41" x14ac:dyDescent="0.25">
      <c r="A70" s="7155"/>
      <c r="B70" s="1599" t="s">
        <v>6</v>
      </c>
      <c r="C70" s="1603">
        <f t="shared" ref="C70:M70" si="28">SUM(C45,C49,C55,C64)</f>
        <v>25</v>
      </c>
      <c r="D70" s="1571">
        <f t="shared" si="28"/>
        <v>63</v>
      </c>
      <c r="E70" s="1571">
        <f t="shared" si="28"/>
        <v>88</v>
      </c>
      <c r="F70" s="1603">
        <f t="shared" si="28"/>
        <v>34</v>
      </c>
      <c r="G70" s="1571">
        <f t="shared" si="28"/>
        <v>67</v>
      </c>
      <c r="H70" s="1572">
        <f t="shared" si="28"/>
        <v>101</v>
      </c>
      <c r="I70" s="1571">
        <f t="shared" si="28"/>
        <v>32</v>
      </c>
      <c r="J70" s="1571">
        <f t="shared" si="28"/>
        <v>66</v>
      </c>
      <c r="K70" s="1571">
        <f t="shared" si="28"/>
        <v>98</v>
      </c>
      <c r="L70" s="1603">
        <f t="shared" si="28"/>
        <v>27</v>
      </c>
      <c r="M70" s="1571">
        <f t="shared" si="28"/>
        <v>66</v>
      </c>
      <c r="N70" s="1572">
        <f t="shared" si="18"/>
        <v>93</v>
      </c>
      <c r="O70" s="1571">
        <f>SUM(O45,O49,O55,O64)</f>
        <v>28</v>
      </c>
      <c r="P70" s="1571">
        <f>SUM(P45,P49,P55,P64)</f>
        <v>65</v>
      </c>
      <c r="Q70" s="1572">
        <f t="shared" si="19"/>
        <v>93</v>
      </c>
      <c r="R70" s="1571">
        <f>SUM(R45,R49,R55,R64)</f>
        <v>27</v>
      </c>
      <c r="S70" s="1571">
        <f>SUM(S45,S49,S55,S64)</f>
        <v>67</v>
      </c>
      <c r="T70" s="1572">
        <f t="shared" si="20"/>
        <v>94</v>
      </c>
      <c r="U70" s="1571">
        <f>SUM(U45,U49,U55,U64)</f>
        <v>23</v>
      </c>
      <c r="V70" s="1571">
        <f>SUM(V45,V49,V55,V64)</f>
        <v>61</v>
      </c>
      <c r="W70" s="1572">
        <f t="shared" si="21"/>
        <v>84</v>
      </c>
      <c r="X70" s="1571">
        <f>SUM(X45,X49,X55,X64)</f>
        <v>19</v>
      </c>
      <c r="Y70" s="1571">
        <f>SUM(Y45,Y49,Y55,Y64)</f>
        <v>62</v>
      </c>
      <c r="Z70" s="1572">
        <f t="shared" si="22"/>
        <v>81</v>
      </c>
      <c r="AA70" s="1571">
        <f>SUM(AA45,AA49,AA55,AA64)</f>
        <v>18</v>
      </c>
      <c r="AB70" s="1571">
        <f>SUM(AB45,AB49,AB55,AB64)</f>
        <v>59</v>
      </c>
      <c r="AC70" s="1572">
        <f t="shared" si="23"/>
        <v>77</v>
      </c>
      <c r="AD70" s="1571">
        <f>SUM(AD45,AD49,AD55,AD64)</f>
        <v>18</v>
      </c>
      <c r="AE70" s="1571">
        <f>SUM(AE45,AE49,AE55,AE64)</f>
        <v>55</v>
      </c>
      <c r="AF70" s="1572">
        <f t="shared" si="24"/>
        <v>73</v>
      </c>
      <c r="AG70" s="1571">
        <f>SUM(AG45,AG49,AG55,AG64)</f>
        <v>19</v>
      </c>
      <c r="AH70" s="1571">
        <f>SUM(AH45,AH49,AH55,AH64)</f>
        <v>49</v>
      </c>
      <c r="AI70" s="1572">
        <f t="shared" si="25"/>
        <v>68</v>
      </c>
      <c r="AJ70" s="1571">
        <f>SUM(AJ45,AJ49,AJ55,AJ64)</f>
        <v>20</v>
      </c>
      <c r="AK70" s="1571">
        <f>SUM(AK45,AK49,AK55,AK64)</f>
        <v>52</v>
      </c>
      <c r="AL70" s="1572">
        <f t="shared" si="26"/>
        <v>72</v>
      </c>
      <c r="AM70" s="1571">
        <f>SUM(AM45,AM49,AM55,AM60,AM64)</f>
        <v>16</v>
      </c>
      <c r="AN70" s="1571">
        <f>SUM(AN45,AN49,AN55,AN60,AN64)</f>
        <v>52</v>
      </c>
      <c r="AO70" s="1572">
        <f t="shared" si="27"/>
        <v>68</v>
      </c>
    </row>
    <row r="71" spans="1:41" x14ac:dyDescent="0.25">
      <c r="A71" s="7155"/>
      <c r="B71" s="1599" t="s">
        <v>11</v>
      </c>
      <c r="C71" s="1603">
        <f t="shared" ref="C71:M71" si="29">SUM(C56,C65)</f>
        <v>15</v>
      </c>
      <c r="D71" s="1571">
        <f t="shared" si="29"/>
        <v>19</v>
      </c>
      <c r="E71" s="1571">
        <f t="shared" si="29"/>
        <v>34</v>
      </c>
      <c r="F71" s="1603">
        <f t="shared" si="29"/>
        <v>16</v>
      </c>
      <c r="G71" s="1571">
        <f t="shared" si="29"/>
        <v>20</v>
      </c>
      <c r="H71" s="1572">
        <f t="shared" si="29"/>
        <v>36</v>
      </c>
      <c r="I71" s="1571">
        <f t="shared" si="29"/>
        <v>16</v>
      </c>
      <c r="J71" s="1571">
        <f t="shared" si="29"/>
        <v>20</v>
      </c>
      <c r="K71" s="1571">
        <f t="shared" si="29"/>
        <v>36</v>
      </c>
      <c r="L71" s="1603">
        <f t="shared" si="29"/>
        <v>16</v>
      </c>
      <c r="M71" s="1571">
        <f t="shared" si="29"/>
        <v>23</v>
      </c>
      <c r="N71" s="1572">
        <f t="shared" si="18"/>
        <v>39</v>
      </c>
      <c r="O71" s="1571">
        <f>SUM(O56,O65)</f>
        <v>18</v>
      </c>
      <c r="P71" s="1571">
        <f>SUM(P56,P65)</f>
        <v>24</v>
      </c>
      <c r="Q71" s="1572">
        <f t="shared" si="19"/>
        <v>42</v>
      </c>
      <c r="R71" s="1571">
        <f>SUM(R56,R65)</f>
        <v>17</v>
      </c>
      <c r="S71" s="1571">
        <f>SUM(S56,S65)</f>
        <v>23</v>
      </c>
      <c r="T71" s="1572">
        <f t="shared" si="20"/>
        <v>40</v>
      </c>
      <c r="U71" s="1571">
        <f>SUM(U56,U65)</f>
        <v>16</v>
      </c>
      <c r="V71" s="1571">
        <f>SUM(V56,V65)</f>
        <v>29</v>
      </c>
      <c r="W71" s="1572">
        <f t="shared" si="21"/>
        <v>45</v>
      </c>
      <c r="X71" s="1571">
        <f>SUM(X56,X65)</f>
        <v>14</v>
      </c>
      <c r="Y71" s="1571">
        <f>SUM(Y56,Y65)</f>
        <v>22</v>
      </c>
      <c r="Z71" s="1572">
        <f t="shared" si="22"/>
        <v>36</v>
      </c>
      <c r="AA71" s="1571">
        <f>SUM(AA56,AA65)</f>
        <v>18</v>
      </c>
      <c r="AB71" s="1571">
        <f>SUM(AB56,AB65)</f>
        <v>22</v>
      </c>
      <c r="AC71" s="1572">
        <f t="shared" si="23"/>
        <v>40</v>
      </c>
      <c r="AD71" s="1571">
        <f>SUM(AD56,AD65)</f>
        <v>18</v>
      </c>
      <c r="AE71" s="1571">
        <f>SUM(AE56,AE65)</f>
        <v>27</v>
      </c>
      <c r="AF71" s="1572">
        <f t="shared" si="24"/>
        <v>45</v>
      </c>
      <c r="AG71" s="1571">
        <f>SUM(AG56,AG65)</f>
        <v>17</v>
      </c>
      <c r="AH71" s="1571">
        <f>SUM(AH56,AH65)</f>
        <v>27</v>
      </c>
      <c r="AI71" s="1572">
        <f t="shared" si="25"/>
        <v>44</v>
      </c>
      <c r="AJ71" s="1571">
        <f>SUM(AJ56,AJ65)</f>
        <v>17</v>
      </c>
      <c r="AK71" s="1571">
        <f>SUM(AK56,AK65)</f>
        <v>25</v>
      </c>
      <c r="AL71" s="1572">
        <f t="shared" si="26"/>
        <v>42</v>
      </c>
      <c r="AM71" s="1571">
        <f>SUM(AM56,AM65)</f>
        <v>16</v>
      </c>
      <c r="AN71" s="1571">
        <f>SUM(AN56,AN65)</f>
        <v>22</v>
      </c>
      <c r="AO71" s="1572">
        <f t="shared" si="27"/>
        <v>38</v>
      </c>
    </row>
    <row r="72" spans="1:41" x14ac:dyDescent="0.25">
      <c r="A72" s="7155"/>
      <c r="B72" s="1599" t="s">
        <v>7</v>
      </c>
      <c r="C72" s="1603">
        <f t="shared" ref="C72:M72" si="30">SUM(C46,C66)</f>
        <v>20</v>
      </c>
      <c r="D72" s="1571">
        <f t="shared" si="30"/>
        <v>41</v>
      </c>
      <c r="E72" s="1571">
        <f t="shared" si="30"/>
        <v>61</v>
      </c>
      <c r="F72" s="1603">
        <f t="shared" si="30"/>
        <v>18</v>
      </c>
      <c r="G72" s="1571">
        <f t="shared" si="30"/>
        <v>41</v>
      </c>
      <c r="H72" s="1572">
        <f t="shared" si="30"/>
        <v>59</v>
      </c>
      <c r="I72" s="1571">
        <f t="shared" si="30"/>
        <v>19</v>
      </c>
      <c r="J72" s="1571">
        <f t="shared" si="30"/>
        <v>39</v>
      </c>
      <c r="K72" s="1571">
        <f t="shared" si="30"/>
        <v>58</v>
      </c>
      <c r="L72" s="1603">
        <f t="shared" si="30"/>
        <v>21</v>
      </c>
      <c r="M72" s="1571">
        <f t="shared" si="30"/>
        <v>36</v>
      </c>
      <c r="N72" s="1572">
        <f t="shared" si="18"/>
        <v>57</v>
      </c>
      <c r="O72" s="1571">
        <f>SUM(O46,O66)</f>
        <v>21</v>
      </c>
      <c r="P72" s="1571">
        <f>SUM(P46,P66)</f>
        <v>40</v>
      </c>
      <c r="Q72" s="1572">
        <f t="shared" si="19"/>
        <v>61</v>
      </c>
      <c r="R72" s="1571">
        <f>SUM(R46,R66)</f>
        <v>22</v>
      </c>
      <c r="S72" s="1571">
        <f>SUM(S46,S66)</f>
        <v>36</v>
      </c>
      <c r="T72" s="1572">
        <f t="shared" si="20"/>
        <v>58</v>
      </c>
      <c r="U72" s="1571">
        <f>SUM(U46,U66)</f>
        <v>24</v>
      </c>
      <c r="V72" s="1571">
        <f>SUM(V46,V66)</f>
        <v>37</v>
      </c>
      <c r="W72" s="1572">
        <f t="shared" si="21"/>
        <v>61</v>
      </c>
      <c r="X72" s="1571">
        <f>SUM(X46,X66)</f>
        <v>18</v>
      </c>
      <c r="Y72" s="1571">
        <f>SUM(Y46,Y66)</f>
        <v>38</v>
      </c>
      <c r="Z72" s="1572">
        <f t="shared" si="22"/>
        <v>56</v>
      </c>
      <c r="AA72" s="1571">
        <f>SUM(AA46,AA66)</f>
        <v>15</v>
      </c>
      <c r="AB72" s="1571">
        <f>SUM(AB46,AB66)</f>
        <v>37</v>
      </c>
      <c r="AC72" s="1572">
        <f t="shared" si="23"/>
        <v>52</v>
      </c>
      <c r="AD72" s="1571">
        <f>SUM(AD46,AD66)</f>
        <v>17</v>
      </c>
      <c r="AE72" s="1571">
        <f>SUM(AE46,AE66)</f>
        <v>36</v>
      </c>
      <c r="AF72" s="1572">
        <f t="shared" si="24"/>
        <v>53</v>
      </c>
      <c r="AG72" s="1571">
        <f>SUM(AG46,AG66)</f>
        <v>18</v>
      </c>
      <c r="AH72" s="1571">
        <f>SUM(AH46,AH66)</f>
        <v>37</v>
      </c>
      <c r="AI72" s="1572">
        <f t="shared" si="25"/>
        <v>55</v>
      </c>
      <c r="AJ72" s="1571">
        <f>SUM(AJ46,AJ66)</f>
        <v>16</v>
      </c>
      <c r="AK72" s="1571">
        <f>SUM(AK46,AK66)</f>
        <v>28</v>
      </c>
      <c r="AL72" s="1572">
        <f t="shared" si="26"/>
        <v>44</v>
      </c>
      <c r="AM72" s="1571">
        <f>SUM(AM46,AM66)</f>
        <v>16</v>
      </c>
      <c r="AN72" s="1571">
        <f>SUM(AN46,AN66)</f>
        <v>32</v>
      </c>
      <c r="AO72" s="1572">
        <f t="shared" si="27"/>
        <v>48</v>
      </c>
    </row>
    <row r="73" spans="1:41" x14ac:dyDescent="0.25">
      <c r="A73" s="7155"/>
      <c r="B73" s="1599" t="s">
        <v>9</v>
      </c>
      <c r="C73" s="1603">
        <f t="shared" ref="C73:M73" si="31">SUM(C50)</f>
        <v>0</v>
      </c>
      <c r="D73" s="1571">
        <f t="shared" si="31"/>
        <v>0</v>
      </c>
      <c r="E73" s="1571">
        <f t="shared" si="31"/>
        <v>0</v>
      </c>
      <c r="F73" s="1603">
        <f t="shared" si="31"/>
        <v>0</v>
      </c>
      <c r="G73" s="1571">
        <f t="shared" si="31"/>
        <v>0</v>
      </c>
      <c r="H73" s="1572">
        <f t="shared" si="31"/>
        <v>0</v>
      </c>
      <c r="I73" s="1571">
        <f t="shared" si="31"/>
        <v>0</v>
      </c>
      <c r="J73" s="1571">
        <f t="shared" si="31"/>
        <v>0</v>
      </c>
      <c r="K73" s="1571">
        <f t="shared" si="31"/>
        <v>0</v>
      </c>
      <c r="L73" s="1603">
        <f t="shared" si="31"/>
        <v>0</v>
      </c>
      <c r="M73" s="1571">
        <f t="shared" si="31"/>
        <v>0</v>
      </c>
      <c r="N73" s="1572">
        <f t="shared" si="18"/>
        <v>0</v>
      </c>
      <c r="O73" s="1571">
        <f>SUM(O50)</f>
        <v>0</v>
      </c>
      <c r="P73" s="1571">
        <f>SUM(P50)</f>
        <v>0</v>
      </c>
      <c r="Q73" s="1572">
        <f t="shared" si="19"/>
        <v>0</v>
      </c>
      <c r="R73" s="1571">
        <f>SUM(R50)</f>
        <v>0</v>
      </c>
      <c r="S73" s="1571">
        <f>SUM(S50)</f>
        <v>0</v>
      </c>
      <c r="T73" s="1572">
        <f t="shared" si="20"/>
        <v>0</v>
      </c>
      <c r="U73" s="1571">
        <f>SUM(U50)</f>
        <v>0</v>
      </c>
      <c r="V73" s="1571">
        <f>SUM(V50)</f>
        <v>0</v>
      </c>
      <c r="W73" s="1572">
        <f t="shared" si="21"/>
        <v>0</v>
      </c>
      <c r="X73" s="1571">
        <f>SUM(X50)</f>
        <v>0</v>
      </c>
      <c r="Y73" s="1571">
        <f>SUM(Y50)</f>
        <v>0</v>
      </c>
      <c r="Z73" s="1572">
        <f t="shared" si="22"/>
        <v>0</v>
      </c>
      <c r="AA73" s="1571">
        <f>SUM(AA50)</f>
        <v>0</v>
      </c>
      <c r="AB73" s="1571">
        <f>SUM(AB50)</f>
        <v>0</v>
      </c>
      <c r="AC73" s="1572">
        <f t="shared" si="23"/>
        <v>0</v>
      </c>
      <c r="AD73" s="1571">
        <f>SUM(AD50)</f>
        <v>0</v>
      </c>
      <c r="AE73" s="1571">
        <f>SUM(AE50)</f>
        <v>0</v>
      </c>
      <c r="AF73" s="1572">
        <f t="shared" si="24"/>
        <v>0</v>
      </c>
      <c r="AG73" s="1571">
        <f>SUM(AG50)</f>
        <v>0</v>
      </c>
      <c r="AH73" s="1571">
        <f>SUM(AH50)</f>
        <v>0</v>
      </c>
      <c r="AI73" s="1572">
        <f t="shared" si="25"/>
        <v>0</v>
      </c>
      <c r="AJ73" s="1571">
        <f>SUM(AJ50)</f>
        <v>0</v>
      </c>
      <c r="AK73" s="1571">
        <f>SUM(AK50)</f>
        <v>0</v>
      </c>
      <c r="AL73" s="1572">
        <f t="shared" si="26"/>
        <v>0</v>
      </c>
      <c r="AM73" s="1571">
        <f>SUM(AM50)</f>
        <v>0</v>
      </c>
      <c r="AN73" s="1571">
        <f>SUM(AN50)</f>
        <v>0</v>
      </c>
      <c r="AO73" s="1572">
        <f t="shared" si="27"/>
        <v>0</v>
      </c>
    </row>
    <row r="74" spans="1:41" x14ac:dyDescent="0.25">
      <c r="A74" s="7155"/>
      <c r="B74" s="1605" t="s">
        <v>74</v>
      </c>
      <c r="C74" s="1606">
        <f t="shared" ref="C74:M74" si="32">SUM(C51)</f>
        <v>0</v>
      </c>
      <c r="D74" s="1583">
        <f t="shared" si="32"/>
        <v>0</v>
      </c>
      <c r="E74" s="1583">
        <f t="shared" si="32"/>
        <v>0</v>
      </c>
      <c r="F74" s="1606">
        <f t="shared" si="32"/>
        <v>0</v>
      </c>
      <c r="G74" s="1583">
        <f t="shared" si="32"/>
        <v>0</v>
      </c>
      <c r="H74" s="1584">
        <f t="shared" si="32"/>
        <v>0</v>
      </c>
      <c r="I74" s="1583">
        <f t="shared" si="32"/>
        <v>0</v>
      </c>
      <c r="J74" s="1583">
        <f t="shared" si="32"/>
        <v>0</v>
      </c>
      <c r="K74" s="1583">
        <f t="shared" si="32"/>
        <v>0</v>
      </c>
      <c r="L74" s="1606">
        <f t="shared" si="32"/>
        <v>0</v>
      </c>
      <c r="M74" s="1583">
        <f t="shared" si="32"/>
        <v>0</v>
      </c>
      <c r="N74" s="1584">
        <f t="shared" si="18"/>
        <v>0</v>
      </c>
      <c r="O74" s="1583">
        <f>SUM(O51)</f>
        <v>0</v>
      </c>
      <c r="P74" s="1583">
        <f>SUM(P51)</f>
        <v>0</v>
      </c>
      <c r="Q74" s="1584">
        <f t="shared" si="19"/>
        <v>0</v>
      </c>
      <c r="R74" s="1583">
        <f>SUM(R51)</f>
        <v>0</v>
      </c>
      <c r="S74" s="1583">
        <f>SUM(S51)</f>
        <v>0</v>
      </c>
      <c r="T74" s="1584">
        <f t="shared" si="20"/>
        <v>0</v>
      </c>
      <c r="U74" s="1583">
        <f>SUM(U51)</f>
        <v>0</v>
      </c>
      <c r="V74" s="1583">
        <f>SUM(V51)</f>
        <v>0</v>
      </c>
      <c r="W74" s="1584">
        <f t="shared" si="21"/>
        <v>0</v>
      </c>
      <c r="X74" s="1583">
        <f>SUM(X51)</f>
        <v>0</v>
      </c>
      <c r="Y74" s="1583">
        <f>SUM(Y51)</f>
        <v>0</v>
      </c>
      <c r="Z74" s="1584">
        <f t="shared" si="22"/>
        <v>0</v>
      </c>
      <c r="AA74" s="1583">
        <f>SUM(AA51)</f>
        <v>1</v>
      </c>
      <c r="AB74" s="1583">
        <f>SUM(AB51)</f>
        <v>0</v>
      </c>
      <c r="AC74" s="1584">
        <f t="shared" si="23"/>
        <v>1</v>
      </c>
      <c r="AD74" s="1583">
        <f>SUM(AD51)</f>
        <v>1</v>
      </c>
      <c r="AE74" s="1583">
        <f>SUM(AE51)</f>
        <v>0</v>
      </c>
      <c r="AF74" s="1584">
        <f t="shared" si="24"/>
        <v>1</v>
      </c>
      <c r="AG74" s="1583">
        <f>SUM(AG51)</f>
        <v>1</v>
      </c>
      <c r="AH74" s="1583">
        <f>SUM(AH51)</f>
        <v>0</v>
      </c>
      <c r="AI74" s="1584">
        <f t="shared" si="25"/>
        <v>1</v>
      </c>
      <c r="AJ74" s="1583">
        <f>SUM(AJ51)</f>
        <v>1</v>
      </c>
      <c r="AK74" s="1583">
        <f>SUM(AK51)</f>
        <v>0</v>
      </c>
      <c r="AL74" s="1584">
        <f t="shared" si="26"/>
        <v>1</v>
      </c>
      <c r="AM74" s="1583">
        <f>SUM(AM51)</f>
        <v>1</v>
      </c>
      <c r="AN74" s="1583">
        <f>SUM(AN51)</f>
        <v>0</v>
      </c>
      <c r="AO74" s="1584">
        <f t="shared" si="27"/>
        <v>1</v>
      </c>
    </row>
    <row r="75" spans="1:41" x14ac:dyDescent="0.25">
      <c r="A75" s="7156"/>
      <c r="B75" s="1607" t="s">
        <v>12</v>
      </c>
      <c r="C75" s="1608">
        <f t="shared" ref="C75:M75" si="33">SUM(C69:C74)</f>
        <v>66</v>
      </c>
      <c r="D75" s="1609">
        <f t="shared" si="33"/>
        <v>150</v>
      </c>
      <c r="E75" s="1609">
        <f t="shared" si="33"/>
        <v>216</v>
      </c>
      <c r="F75" s="1608">
        <f t="shared" si="33"/>
        <v>74</v>
      </c>
      <c r="G75" s="1609">
        <f t="shared" si="33"/>
        <v>158</v>
      </c>
      <c r="H75" s="1610">
        <f t="shared" si="33"/>
        <v>232</v>
      </c>
      <c r="I75" s="1609">
        <f t="shared" si="33"/>
        <v>73</v>
      </c>
      <c r="J75" s="1609">
        <f t="shared" si="33"/>
        <v>154</v>
      </c>
      <c r="K75" s="1609">
        <f t="shared" si="33"/>
        <v>227</v>
      </c>
      <c r="L75" s="1611">
        <f t="shared" si="33"/>
        <v>72</v>
      </c>
      <c r="M75" s="1592">
        <f t="shared" si="33"/>
        <v>149</v>
      </c>
      <c r="N75" s="1593">
        <f t="shared" si="18"/>
        <v>221</v>
      </c>
      <c r="O75" s="1592">
        <f>SUM(O69:O74)</f>
        <v>73</v>
      </c>
      <c r="P75" s="1592">
        <f>SUM(P69:P74)</f>
        <v>152</v>
      </c>
      <c r="Q75" s="1593">
        <f t="shared" si="19"/>
        <v>225</v>
      </c>
      <c r="R75" s="1592">
        <f>SUM(R69:R74)</f>
        <v>72</v>
      </c>
      <c r="S75" s="1592">
        <f>SUM(S69:S74)</f>
        <v>149</v>
      </c>
      <c r="T75" s="1593">
        <f t="shared" si="20"/>
        <v>221</v>
      </c>
      <c r="U75" s="1592">
        <f>SUM(U69:U74)</f>
        <v>68</v>
      </c>
      <c r="V75" s="1592">
        <f>SUM(V69:V74)</f>
        <v>147</v>
      </c>
      <c r="W75" s="1593">
        <f t="shared" si="21"/>
        <v>215</v>
      </c>
      <c r="X75" s="1592">
        <f>SUM(X69:X74)</f>
        <v>55</v>
      </c>
      <c r="Y75" s="1592">
        <f>SUM(Y69:Y74)</f>
        <v>141</v>
      </c>
      <c r="Z75" s="1593">
        <f t="shared" si="22"/>
        <v>196</v>
      </c>
      <c r="AA75" s="1592">
        <f>SUM(AA69:AA74)</f>
        <v>56</v>
      </c>
      <c r="AB75" s="1592">
        <f>SUM(AB69:AB74)</f>
        <v>136</v>
      </c>
      <c r="AC75" s="1593">
        <f t="shared" si="23"/>
        <v>192</v>
      </c>
      <c r="AD75" s="1592">
        <f>SUM(AD69:AD74)</f>
        <v>59</v>
      </c>
      <c r="AE75" s="1592">
        <f>SUM(AE69:AE74)</f>
        <v>135</v>
      </c>
      <c r="AF75" s="1593">
        <f t="shared" si="24"/>
        <v>194</v>
      </c>
      <c r="AG75" s="1592">
        <f>SUM(AG69:AG74)</f>
        <v>60</v>
      </c>
      <c r="AH75" s="1592">
        <f>SUM(AH69:AH74)</f>
        <v>127</v>
      </c>
      <c r="AI75" s="1593">
        <f t="shared" si="25"/>
        <v>187</v>
      </c>
      <c r="AJ75" s="1592">
        <f>SUM(AJ69:AJ74)</f>
        <v>59</v>
      </c>
      <c r="AK75" s="1592">
        <f>SUM(AK69:AK74)</f>
        <v>117</v>
      </c>
      <c r="AL75" s="1593">
        <f t="shared" si="26"/>
        <v>176</v>
      </c>
      <c r="AM75" s="1592">
        <f>SUM(AM69:AM74)</f>
        <v>52</v>
      </c>
      <c r="AN75" s="1592">
        <f>SUM(AN69:AN74)</f>
        <v>117</v>
      </c>
      <c r="AO75" s="1593">
        <f t="shared" si="27"/>
        <v>169</v>
      </c>
    </row>
    <row r="77" spans="1:41" ht="54.75" customHeight="1" x14ac:dyDescent="0.3">
      <c r="A77" s="7170" t="s">
        <v>757</v>
      </c>
      <c r="B77" s="7170"/>
      <c r="AF77" s="2550"/>
      <c r="AL77" s="4584"/>
      <c r="AO77" s="5256" t="s">
        <v>1295</v>
      </c>
    </row>
    <row r="78" spans="1:41" x14ac:dyDescent="0.25">
      <c r="C78" s="1612"/>
      <c r="D78" s="1612"/>
      <c r="E78" s="1612"/>
      <c r="F78" s="1612"/>
      <c r="G78" s="1612"/>
      <c r="H78" s="1612"/>
      <c r="I78" s="1612"/>
      <c r="J78" s="1612"/>
      <c r="K78" s="1612"/>
      <c r="L78" s="1612"/>
      <c r="M78" s="1612"/>
      <c r="N78" s="1612"/>
      <c r="O78" s="1612"/>
      <c r="P78" s="1612"/>
      <c r="Q78" s="1612"/>
      <c r="R78" s="1612"/>
      <c r="S78" s="1612"/>
      <c r="T78" s="1612"/>
    </row>
    <row r="79" spans="1:41" x14ac:dyDescent="0.25">
      <c r="A79" s="5653" t="s">
        <v>16</v>
      </c>
      <c r="B79" s="5653" t="s">
        <v>4</v>
      </c>
      <c r="C79" s="7148">
        <v>2005</v>
      </c>
      <c r="D79" s="7149"/>
      <c r="E79" s="7150"/>
      <c r="F79" s="7148">
        <v>2006</v>
      </c>
      <c r="G79" s="7149"/>
      <c r="H79" s="7150"/>
      <c r="I79" s="7148">
        <v>2007</v>
      </c>
      <c r="J79" s="7149"/>
      <c r="K79" s="7150"/>
      <c r="L79" s="7148">
        <v>2008</v>
      </c>
      <c r="M79" s="7149"/>
      <c r="N79" s="7150"/>
      <c r="O79" s="7148">
        <v>2009</v>
      </c>
      <c r="P79" s="7149"/>
      <c r="Q79" s="7150"/>
      <c r="R79" s="7148">
        <v>2010</v>
      </c>
      <c r="S79" s="7149"/>
      <c r="T79" s="7150"/>
      <c r="U79" s="7148">
        <v>2011</v>
      </c>
      <c r="V79" s="7149"/>
      <c r="W79" s="7150"/>
      <c r="X79" s="7148">
        <v>2012</v>
      </c>
      <c r="Y79" s="7149"/>
      <c r="Z79" s="7150"/>
      <c r="AA79" s="7148">
        <v>2013</v>
      </c>
      <c r="AB79" s="7149"/>
      <c r="AC79" s="7150"/>
      <c r="AD79" s="7148">
        <v>2014</v>
      </c>
      <c r="AE79" s="7149"/>
      <c r="AF79" s="7150"/>
      <c r="AG79" s="7148">
        <v>2015</v>
      </c>
      <c r="AH79" s="7149"/>
      <c r="AI79" s="7150"/>
      <c r="AJ79" s="7148">
        <v>2016</v>
      </c>
      <c r="AK79" s="7149"/>
      <c r="AL79" s="7150"/>
      <c r="AM79" s="7148">
        <v>2016</v>
      </c>
      <c r="AN79" s="7149"/>
      <c r="AO79" s="7150"/>
    </row>
    <row r="80" spans="1:41" x14ac:dyDescent="0.25">
      <c r="A80" s="5654"/>
      <c r="B80" s="5654"/>
      <c r="C80" s="1617" t="s">
        <v>638</v>
      </c>
      <c r="D80" s="1617" t="s">
        <v>639</v>
      </c>
      <c r="E80" s="1553" t="s">
        <v>12</v>
      </c>
      <c r="F80" s="1617" t="s">
        <v>638</v>
      </c>
      <c r="G80" s="1617" t="s">
        <v>639</v>
      </c>
      <c r="H80" s="1553" t="s">
        <v>12</v>
      </c>
      <c r="I80" s="1617" t="s">
        <v>638</v>
      </c>
      <c r="J80" s="1617" t="s">
        <v>639</v>
      </c>
      <c r="K80" s="1553" t="s">
        <v>12</v>
      </c>
      <c r="L80" s="1617" t="s">
        <v>638</v>
      </c>
      <c r="M80" s="1617" t="s">
        <v>639</v>
      </c>
      <c r="N80" s="1553" t="s">
        <v>12</v>
      </c>
      <c r="O80" s="1617" t="s">
        <v>638</v>
      </c>
      <c r="P80" s="1617" t="s">
        <v>639</v>
      </c>
      <c r="Q80" s="1553" t="s">
        <v>12</v>
      </c>
      <c r="R80" s="1617" t="s">
        <v>638</v>
      </c>
      <c r="S80" s="1617" t="s">
        <v>639</v>
      </c>
      <c r="T80" s="1553" t="s">
        <v>12</v>
      </c>
      <c r="U80" s="1617" t="s">
        <v>638</v>
      </c>
      <c r="V80" s="1617" t="s">
        <v>639</v>
      </c>
      <c r="W80" s="1553" t="s">
        <v>12</v>
      </c>
      <c r="X80" s="1617" t="s">
        <v>638</v>
      </c>
      <c r="Y80" s="1617" t="s">
        <v>639</v>
      </c>
      <c r="Z80" s="1553" t="s">
        <v>12</v>
      </c>
      <c r="AA80" s="1617" t="s">
        <v>638</v>
      </c>
      <c r="AB80" s="1617" t="s">
        <v>639</v>
      </c>
      <c r="AC80" s="1553" t="s">
        <v>12</v>
      </c>
      <c r="AD80" s="1617" t="s">
        <v>638</v>
      </c>
      <c r="AE80" s="1617" t="s">
        <v>639</v>
      </c>
      <c r="AF80" s="1553" t="s">
        <v>12</v>
      </c>
      <c r="AG80" s="1617" t="s">
        <v>638</v>
      </c>
      <c r="AH80" s="1617" t="s">
        <v>639</v>
      </c>
      <c r="AI80" s="1553" t="s">
        <v>12</v>
      </c>
      <c r="AJ80" s="1617" t="s">
        <v>638</v>
      </c>
      <c r="AK80" s="1617" t="s">
        <v>639</v>
      </c>
      <c r="AL80" s="1553" t="s">
        <v>12</v>
      </c>
      <c r="AM80" s="1617" t="s">
        <v>638</v>
      </c>
      <c r="AN80" s="1617" t="s">
        <v>639</v>
      </c>
      <c r="AO80" s="1553" t="s">
        <v>12</v>
      </c>
    </row>
    <row r="81" spans="1:41" x14ac:dyDescent="0.25">
      <c r="A81" s="1613"/>
      <c r="B81" s="1613"/>
    </row>
    <row r="82" spans="1:41" x14ac:dyDescent="0.25">
      <c r="A82" s="7163" t="s">
        <v>161</v>
      </c>
      <c r="B82" s="1594" t="s">
        <v>5</v>
      </c>
      <c r="C82" s="1595">
        <v>8</v>
      </c>
      <c r="D82" s="1596">
        <v>36</v>
      </c>
      <c r="E82" s="1596">
        <f>SUM(C82:D82)</f>
        <v>44</v>
      </c>
      <c r="F82" s="1595">
        <v>10</v>
      </c>
      <c r="G82" s="1596">
        <v>36</v>
      </c>
      <c r="H82" s="1597">
        <f>SUM(F82:G82)</f>
        <v>46</v>
      </c>
      <c r="I82" s="1596">
        <v>10</v>
      </c>
      <c r="J82" s="1596">
        <v>36</v>
      </c>
      <c r="K82" s="1596">
        <f>SUM(I82:J82)</f>
        <v>46</v>
      </c>
      <c r="L82" s="1598">
        <v>9</v>
      </c>
      <c r="M82" s="1562">
        <v>34</v>
      </c>
      <c r="N82" s="1563">
        <f t="shared" ref="N82:N100" si="34">SUM(L82:M82)</f>
        <v>43</v>
      </c>
      <c r="O82" s="1562">
        <v>9</v>
      </c>
      <c r="P82" s="1562">
        <v>33</v>
      </c>
      <c r="Q82" s="1563">
        <f t="shared" ref="Q82:Q100" si="35">SUM(O82:P82)</f>
        <v>42</v>
      </c>
      <c r="R82" s="1562">
        <v>9</v>
      </c>
      <c r="S82" s="1562">
        <v>30</v>
      </c>
      <c r="T82" s="1563">
        <f t="shared" ref="T82:T100" si="36">SUM(R82:S82)</f>
        <v>39</v>
      </c>
      <c r="U82" s="1562">
        <v>9</v>
      </c>
      <c r="V82" s="1562">
        <v>30</v>
      </c>
      <c r="W82" s="1563">
        <f t="shared" ref="W82:W100" si="37">SUM(U82:V82)</f>
        <v>39</v>
      </c>
      <c r="X82" s="1562">
        <v>8</v>
      </c>
      <c r="Y82" s="1562">
        <v>30</v>
      </c>
      <c r="Z82" s="1563">
        <f>SUM(X82:Y82)</f>
        <v>38</v>
      </c>
      <c r="AA82" s="1562">
        <v>7</v>
      </c>
      <c r="AB82" s="1562">
        <v>30</v>
      </c>
      <c r="AC82" s="1563">
        <f>SUM(AA82:AB82)</f>
        <v>37</v>
      </c>
      <c r="AD82" s="1562">
        <v>7</v>
      </c>
      <c r="AE82" s="1562">
        <v>29</v>
      </c>
      <c r="AF82" s="1563">
        <f>SUM(AD82:AE82)</f>
        <v>36</v>
      </c>
      <c r="AG82" s="1562">
        <v>7</v>
      </c>
      <c r="AH82" s="1562">
        <v>27</v>
      </c>
      <c r="AI82" s="1563">
        <f>SUM(AG82:AH82)</f>
        <v>34</v>
      </c>
      <c r="AJ82" s="1562">
        <v>7</v>
      </c>
      <c r="AK82" s="1562">
        <v>25</v>
      </c>
      <c r="AL82" s="1563">
        <f>SUM(AJ82:AK82)</f>
        <v>32</v>
      </c>
      <c r="AM82" s="1562">
        <v>6</v>
      </c>
      <c r="AN82" s="1562">
        <v>24</v>
      </c>
      <c r="AO82" s="1563">
        <f>SUM(AM82:AN82)</f>
        <v>30</v>
      </c>
    </row>
    <row r="83" spans="1:41" x14ac:dyDescent="0.25">
      <c r="A83" s="7164"/>
      <c r="B83" s="1599" t="s">
        <v>6</v>
      </c>
      <c r="C83" s="1600">
        <v>2</v>
      </c>
      <c r="D83" s="1601">
        <v>4</v>
      </c>
      <c r="E83" s="1601">
        <f>SUM(C83:D83)</f>
        <v>6</v>
      </c>
      <c r="F83" s="1600">
        <v>1</v>
      </c>
      <c r="G83" s="1601">
        <v>4</v>
      </c>
      <c r="H83" s="1602">
        <f>SUM(F83:G83)</f>
        <v>5</v>
      </c>
      <c r="I83" s="1601">
        <v>1</v>
      </c>
      <c r="J83" s="1601">
        <v>4</v>
      </c>
      <c r="K83" s="1601">
        <f>SUM(I83:J83)</f>
        <v>5</v>
      </c>
      <c r="L83" s="1603"/>
      <c r="M83" s="1571">
        <v>4</v>
      </c>
      <c r="N83" s="1572">
        <f t="shared" si="34"/>
        <v>4</v>
      </c>
      <c r="O83" s="1571"/>
      <c r="P83" s="1571">
        <v>4</v>
      </c>
      <c r="Q83" s="1572">
        <f t="shared" si="35"/>
        <v>4</v>
      </c>
      <c r="R83" s="1571">
        <v>2</v>
      </c>
      <c r="S83" s="1571">
        <v>4</v>
      </c>
      <c r="T83" s="1572">
        <f t="shared" si="36"/>
        <v>6</v>
      </c>
      <c r="U83" s="1571">
        <v>4</v>
      </c>
      <c r="V83" s="1571">
        <v>6</v>
      </c>
      <c r="W83" s="1572">
        <f t="shared" si="37"/>
        <v>10</v>
      </c>
      <c r="X83" s="1571">
        <v>5</v>
      </c>
      <c r="Y83" s="1571">
        <v>7</v>
      </c>
      <c r="Z83" s="1572">
        <f>SUM(X83:Y83)</f>
        <v>12</v>
      </c>
      <c r="AA83" s="1571">
        <v>5</v>
      </c>
      <c r="AB83" s="1571">
        <v>6</v>
      </c>
      <c r="AC83" s="1572">
        <f>SUM(AA83:AB83)</f>
        <v>11</v>
      </c>
      <c r="AD83" s="1571">
        <v>6</v>
      </c>
      <c r="AE83" s="1571">
        <v>6</v>
      </c>
      <c r="AF83" s="1572">
        <f>SUM(AD83:AE83)</f>
        <v>12</v>
      </c>
      <c r="AG83" s="1571">
        <v>7</v>
      </c>
      <c r="AH83" s="1571">
        <v>8</v>
      </c>
      <c r="AI83" s="1572">
        <f>SUM(AG83:AH83)</f>
        <v>15</v>
      </c>
      <c r="AJ83" s="1571">
        <v>7</v>
      </c>
      <c r="AK83" s="1571">
        <v>8</v>
      </c>
      <c r="AL83" s="1572">
        <f>SUM(AJ83:AK83)</f>
        <v>15</v>
      </c>
      <c r="AM83" s="1571">
        <v>7</v>
      </c>
      <c r="AN83" s="1571">
        <v>8</v>
      </c>
      <c r="AO83" s="1572">
        <f>SUM(AM83:AN83)</f>
        <v>15</v>
      </c>
    </row>
    <row r="84" spans="1:41" x14ac:dyDescent="0.25">
      <c r="A84" s="7164"/>
      <c r="B84" s="1599" t="s">
        <v>7</v>
      </c>
      <c r="C84" s="1600">
        <v>3</v>
      </c>
      <c r="D84" s="1601">
        <v>5</v>
      </c>
      <c r="E84" s="1601">
        <f>SUM(C84:D84)</f>
        <v>8</v>
      </c>
      <c r="F84" s="1600">
        <v>1</v>
      </c>
      <c r="G84" s="1601">
        <v>5</v>
      </c>
      <c r="H84" s="1602">
        <f>SUM(F84:G84)</f>
        <v>6</v>
      </c>
      <c r="I84" s="1601">
        <v>2</v>
      </c>
      <c r="J84" s="1601">
        <v>5</v>
      </c>
      <c r="K84" s="1601">
        <f>SUM(I84:J84)</f>
        <v>7</v>
      </c>
      <c r="L84" s="1603">
        <v>2</v>
      </c>
      <c r="M84" s="1571">
        <v>3</v>
      </c>
      <c r="N84" s="1572">
        <f t="shared" si="34"/>
        <v>5</v>
      </c>
      <c r="O84" s="1571">
        <v>1</v>
      </c>
      <c r="P84" s="1571">
        <v>4</v>
      </c>
      <c r="Q84" s="1572">
        <f t="shared" si="35"/>
        <v>5</v>
      </c>
      <c r="R84" s="1571">
        <v>1</v>
      </c>
      <c r="S84" s="1571">
        <v>4</v>
      </c>
      <c r="T84" s="1572">
        <f t="shared" si="36"/>
        <v>5</v>
      </c>
      <c r="U84" s="1571">
        <v>1</v>
      </c>
      <c r="V84" s="1571">
        <v>5</v>
      </c>
      <c r="W84" s="1572">
        <f t="shared" si="37"/>
        <v>6</v>
      </c>
      <c r="X84" s="1571">
        <v>1</v>
      </c>
      <c r="Y84" s="1571">
        <v>5</v>
      </c>
      <c r="Z84" s="1572">
        <f>SUM(X84:Y84)</f>
        <v>6</v>
      </c>
      <c r="AA84" s="1571">
        <v>2</v>
      </c>
      <c r="AB84" s="1571">
        <v>4</v>
      </c>
      <c r="AC84" s="1572">
        <f>SUM(AA84:AB84)</f>
        <v>6</v>
      </c>
      <c r="AD84" s="1571">
        <v>3</v>
      </c>
      <c r="AE84" s="1571">
        <v>5</v>
      </c>
      <c r="AF84" s="1572">
        <f>SUM(AD84:AE84)</f>
        <v>8</v>
      </c>
      <c r="AG84" s="1571">
        <v>3</v>
      </c>
      <c r="AH84" s="1571">
        <v>5</v>
      </c>
      <c r="AI84" s="1572">
        <f>SUM(AG84:AH84)</f>
        <v>8</v>
      </c>
      <c r="AJ84" s="1571">
        <v>2</v>
      </c>
      <c r="AK84" s="1571">
        <v>5</v>
      </c>
      <c r="AL84" s="1572">
        <f>SUM(AJ84:AK84)</f>
        <v>7</v>
      </c>
      <c r="AM84" s="1571">
        <v>2</v>
      </c>
      <c r="AN84" s="1571">
        <v>5</v>
      </c>
      <c r="AO84" s="1572">
        <f>SUM(AM84:AN84)</f>
        <v>7</v>
      </c>
    </row>
    <row r="85" spans="1:41" x14ac:dyDescent="0.25">
      <c r="A85" s="7165"/>
      <c r="B85" s="2531" t="s">
        <v>12</v>
      </c>
      <c r="C85" s="2532">
        <f t="shared" ref="C85:M85" si="38">SUM(C82:C84)</f>
        <v>13</v>
      </c>
      <c r="D85" s="2533">
        <f t="shared" si="38"/>
        <v>45</v>
      </c>
      <c r="E85" s="2533">
        <f t="shared" si="38"/>
        <v>58</v>
      </c>
      <c r="F85" s="2532">
        <f t="shared" si="38"/>
        <v>12</v>
      </c>
      <c r="G85" s="2533">
        <f t="shared" si="38"/>
        <v>45</v>
      </c>
      <c r="H85" s="2534">
        <f t="shared" si="38"/>
        <v>57</v>
      </c>
      <c r="I85" s="2533">
        <f t="shared" si="38"/>
        <v>13</v>
      </c>
      <c r="J85" s="2533">
        <f t="shared" si="38"/>
        <v>45</v>
      </c>
      <c r="K85" s="2533">
        <f t="shared" si="38"/>
        <v>58</v>
      </c>
      <c r="L85" s="2535">
        <f t="shared" si="38"/>
        <v>11</v>
      </c>
      <c r="M85" s="2477">
        <f t="shared" si="38"/>
        <v>41</v>
      </c>
      <c r="N85" s="2478">
        <f t="shared" si="34"/>
        <v>52</v>
      </c>
      <c r="O85" s="2477">
        <f>SUM(O82:O84)</f>
        <v>10</v>
      </c>
      <c r="P85" s="2477">
        <f>SUM(P82:P84)</f>
        <v>41</v>
      </c>
      <c r="Q85" s="2478">
        <f t="shared" si="35"/>
        <v>51</v>
      </c>
      <c r="R85" s="2477">
        <f>SUM(R82:R84)</f>
        <v>12</v>
      </c>
      <c r="S85" s="2477">
        <f>SUM(S82:S84)</f>
        <v>38</v>
      </c>
      <c r="T85" s="2478">
        <f t="shared" si="36"/>
        <v>50</v>
      </c>
      <c r="U85" s="2477">
        <f>SUM(U82:U84)</f>
        <v>14</v>
      </c>
      <c r="V85" s="2477">
        <f>SUM(V82:V84)</f>
        <v>41</v>
      </c>
      <c r="W85" s="2478">
        <f t="shared" si="37"/>
        <v>55</v>
      </c>
      <c r="X85" s="2477">
        <f>SUM(X82:X84)</f>
        <v>14</v>
      </c>
      <c r="Y85" s="2477">
        <f>SUM(Y82:Y84)</f>
        <v>42</v>
      </c>
      <c r="Z85" s="2478">
        <f>SUM(X85:Y85)</f>
        <v>56</v>
      </c>
      <c r="AA85" s="2477">
        <f>SUM(AA82:AA84)</f>
        <v>14</v>
      </c>
      <c r="AB85" s="2477">
        <f>SUM(AB82:AB84)</f>
        <v>40</v>
      </c>
      <c r="AC85" s="2478">
        <f>SUM(AA85:AB85)</f>
        <v>54</v>
      </c>
      <c r="AD85" s="2477">
        <f>SUM(AD82:AD84)</f>
        <v>16</v>
      </c>
      <c r="AE85" s="2477">
        <f>SUM(AE82:AE84)</f>
        <v>40</v>
      </c>
      <c r="AF85" s="2478">
        <f>SUM(AD85:AE85)</f>
        <v>56</v>
      </c>
      <c r="AG85" s="2477">
        <f>SUM(AG82:AG84)</f>
        <v>17</v>
      </c>
      <c r="AH85" s="2477">
        <f>SUM(AH82:AH84)</f>
        <v>40</v>
      </c>
      <c r="AI85" s="2478">
        <f>SUM(AG85:AH85)</f>
        <v>57</v>
      </c>
      <c r="AJ85" s="2477">
        <f>SUM(AJ82:AJ84)</f>
        <v>16</v>
      </c>
      <c r="AK85" s="2477">
        <f>SUM(AK82:AK84)</f>
        <v>38</v>
      </c>
      <c r="AL85" s="2478">
        <f>SUM(AJ85:AK85)</f>
        <v>54</v>
      </c>
      <c r="AM85" s="2477">
        <f>SUM(AM82:AM84)</f>
        <v>15</v>
      </c>
      <c r="AN85" s="2477">
        <f>SUM(AN82:AN84)</f>
        <v>37</v>
      </c>
      <c r="AO85" s="2478">
        <f>SUM(AM85:AN85)</f>
        <v>52</v>
      </c>
    </row>
    <row r="87" spans="1:41" x14ac:dyDescent="0.25">
      <c r="A87" s="7160" t="s">
        <v>407</v>
      </c>
      <c r="B87" s="1594" t="s">
        <v>6</v>
      </c>
      <c r="C87" s="1595"/>
      <c r="D87" s="1596"/>
      <c r="E87" s="1596"/>
      <c r="F87" s="1595"/>
      <c r="G87" s="1596"/>
      <c r="H87" s="1597"/>
      <c r="I87" s="1596"/>
      <c r="J87" s="1596"/>
      <c r="K87" s="1596"/>
      <c r="L87" s="1598"/>
      <c r="M87" s="1562"/>
      <c r="N87" s="1563"/>
      <c r="O87" s="1562"/>
      <c r="P87" s="1562"/>
      <c r="Q87" s="1563"/>
      <c r="R87" s="1562"/>
      <c r="S87" s="1562"/>
      <c r="T87" s="1563"/>
      <c r="U87" s="1562">
        <v>1</v>
      </c>
      <c r="V87" s="1562"/>
      <c r="W87" s="1563">
        <f>SUM(U87:V87)</f>
        <v>1</v>
      </c>
      <c r="X87" s="1562">
        <v>1</v>
      </c>
      <c r="Y87" s="1562"/>
      <c r="Z87" s="1563">
        <f>SUM(X87:Y87)</f>
        <v>1</v>
      </c>
      <c r="AA87" s="1562">
        <v>1</v>
      </c>
      <c r="AB87" s="1562"/>
      <c r="AC87" s="1563">
        <f>SUM(AA87:AB87)</f>
        <v>1</v>
      </c>
      <c r="AD87" s="1562"/>
      <c r="AE87" s="1562"/>
      <c r="AF87" s="1563">
        <f>SUM(AD87:AE87)</f>
        <v>0</v>
      </c>
      <c r="AG87" s="1562"/>
      <c r="AH87" s="1562"/>
      <c r="AI87" s="1563">
        <f>SUM(AG87:AH87)</f>
        <v>0</v>
      </c>
      <c r="AJ87" s="1562"/>
      <c r="AK87" s="1562"/>
      <c r="AL87" s="1563">
        <f>SUM(AJ87:AK87)</f>
        <v>0</v>
      </c>
      <c r="AM87" s="1562"/>
      <c r="AN87" s="1562"/>
      <c r="AO87" s="1563">
        <f>SUM(AM87:AN87)</f>
        <v>0</v>
      </c>
    </row>
    <row r="88" spans="1:41" x14ac:dyDescent="0.25">
      <c r="A88" s="7161"/>
      <c r="B88" s="1599" t="s">
        <v>9</v>
      </c>
      <c r="C88" s="1600"/>
      <c r="D88" s="1601"/>
      <c r="E88" s="1601"/>
      <c r="F88" s="1600"/>
      <c r="G88" s="1601"/>
      <c r="H88" s="1602"/>
      <c r="I88" s="1601"/>
      <c r="J88" s="1601"/>
      <c r="K88" s="1601"/>
      <c r="L88" s="1603"/>
      <c r="M88" s="1571"/>
      <c r="N88" s="1572"/>
      <c r="O88" s="1571"/>
      <c r="P88" s="1571"/>
      <c r="Q88" s="1572"/>
      <c r="R88" s="1571"/>
      <c r="S88" s="1571"/>
      <c r="T88" s="1572"/>
      <c r="U88" s="1571">
        <v>1</v>
      </c>
      <c r="V88" s="1571"/>
      <c r="W88" s="1572">
        <f>SUM(U88:V88)</f>
        <v>1</v>
      </c>
      <c r="X88" s="1571">
        <v>1</v>
      </c>
      <c r="Y88" s="1571"/>
      <c r="Z88" s="1572">
        <f>SUM(X88:Y88)</f>
        <v>1</v>
      </c>
      <c r="AA88" s="1571">
        <v>2</v>
      </c>
      <c r="AB88" s="1571"/>
      <c r="AC88" s="1572">
        <f>SUM(AA88:AB88)</f>
        <v>2</v>
      </c>
      <c r="AD88" s="1571">
        <v>1</v>
      </c>
      <c r="AE88" s="1571"/>
      <c r="AF88" s="1572">
        <f>SUM(AD88:AE88)</f>
        <v>1</v>
      </c>
      <c r="AG88" s="1571">
        <v>1</v>
      </c>
      <c r="AH88" s="1571"/>
      <c r="AI88" s="1572">
        <f>SUM(AG88:AH88)</f>
        <v>1</v>
      </c>
      <c r="AJ88" s="1571"/>
      <c r="AK88" s="1571"/>
      <c r="AL88" s="1572">
        <f>SUM(AJ88:AK88)</f>
        <v>0</v>
      </c>
      <c r="AM88" s="1571"/>
      <c r="AN88" s="1571"/>
      <c r="AO88" s="1572">
        <f>SUM(AM88:AN88)</f>
        <v>0</v>
      </c>
    </row>
    <row r="89" spans="1:41" x14ac:dyDescent="0.25">
      <c r="A89" s="7161"/>
      <c r="B89" s="1599" t="s">
        <v>74</v>
      </c>
      <c r="C89" s="1600"/>
      <c r="D89" s="1601"/>
      <c r="E89" s="1601"/>
      <c r="F89" s="1600"/>
      <c r="G89" s="1601"/>
      <c r="H89" s="1602"/>
      <c r="I89" s="1601"/>
      <c r="J89" s="1601"/>
      <c r="K89" s="1601"/>
      <c r="L89" s="1603"/>
      <c r="M89" s="1571"/>
      <c r="N89" s="1572"/>
      <c r="O89" s="1571"/>
      <c r="P89" s="1571"/>
      <c r="Q89" s="1572"/>
      <c r="R89" s="1571"/>
      <c r="S89" s="1571"/>
      <c r="T89" s="1572"/>
      <c r="U89" s="1571"/>
      <c r="V89" s="1571"/>
      <c r="W89" s="1572"/>
      <c r="X89" s="1571">
        <v>1</v>
      </c>
      <c r="Y89" s="1571"/>
      <c r="Z89" s="1572">
        <f>SUM(X89:Y89)</f>
        <v>1</v>
      </c>
      <c r="AA89" s="1571"/>
      <c r="AB89" s="1571"/>
      <c r="AC89" s="1572">
        <f>SUM(AA89:AB89)</f>
        <v>0</v>
      </c>
      <c r="AD89" s="1571">
        <v>2</v>
      </c>
      <c r="AE89" s="1571">
        <v>1</v>
      </c>
      <c r="AF89" s="1572">
        <f>SUM(AD89:AE89)</f>
        <v>3</v>
      </c>
      <c r="AG89" s="1571">
        <v>2</v>
      </c>
      <c r="AH89" s="1571">
        <v>3</v>
      </c>
      <c r="AI89" s="1572">
        <f>SUM(AG89:AH89)</f>
        <v>5</v>
      </c>
      <c r="AJ89" s="1571">
        <v>2</v>
      </c>
      <c r="AK89" s="1571">
        <v>3</v>
      </c>
      <c r="AL89" s="1572">
        <f>SUM(AJ89:AK89)</f>
        <v>5</v>
      </c>
      <c r="AM89" s="1571">
        <v>2</v>
      </c>
      <c r="AN89" s="1571">
        <v>3</v>
      </c>
      <c r="AO89" s="1572">
        <f>SUM(AM89:AN89)</f>
        <v>5</v>
      </c>
    </row>
    <row r="90" spans="1:41" x14ac:dyDescent="0.25">
      <c r="A90" s="7162"/>
      <c r="B90" s="2526" t="s">
        <v>12</v>
      </c>
      <c r="C90" s="2527"/>
      <c r="D90" s="2528"/>
      <c r="E90" s="2528"/>
      <c r="F90" s="2527"/>
      <c r="G90" s="2528"/>
      <c r="H90" s="2529"/>
      <c r="I90" s="2528"/>
      <c r="J90" s="2528"/>
      <c r="K90" s="2528"/>
      <c r="L90" s="2530"/>
      <c r="M90" s="2486"/>
      <c r="N90" s="2487"/>
      <c r="O90" s="2486"/>
      <c r="P90" s="2486"/>
      <c r="Q90" s="2487"/>
      <c r="R90" s="2486"/>
      <c r="S90" s="2486"/>
      <c r="T90" s="2487"/>
      <c r="U90" s="2486">
        <f>SUM(U87:U89)</f>
        <v>2</v>
      </c>
      <c r="V90" s="2486">
        <f>SUM(V87:V89)</f>
        <v>0</v>
      </c>
      <c r="W90" s="2487">
        <f>SUM(U90:V90)</f>
        <v>2</v>
      </c>
      <c r="X90" s="2486">
        <f>SUM(X87:X89)</f>
        <v>3</v>
      </c>
      <c r="Y90" s="2486">
        <f>SUM(Y87:Y89)</f>
        <v>0</v>
      </c>
      <c r="Z90" s="2487">
        <f>SUM(X90:Y90)</f>
        <v>3</v>
      </c>
      <c r="AA90" s="2486">
        <f>SUM(AA87:AA89)</f>
        <v>3</v>
      </c>
      <c r="AB90" s="2486">
        <f>SUM(AB87:AB89)</f>
        <v>0</v>
      </c>
      <c r="AC90" s="2487">
        <f>SUM(AA90:AB90)</f>
        <v>3</v>
      </c>
      <c r="AD90" s="2486">
        <f>SUM(AD87:AD89)</f>
        <v>3</v>
      </c>
      <c r="AE90" s="2486">
        <f>SUM(AE87:AE89)</f>
        <v>1</v>
      </c>
      <c r="AF90" s="2487">
        <f>SUM(AD90:AE90)</f>
        <v>4</v>
      </c>
      <c r="AG90" s="2486">
        <f>SUM(AG87:AG89)</f>
        <v>3</v>
      </c>
      <c r="AH90" s="2486">
        <f>SUM(AH87:AH89)</f>
        <v>3</v>
      </c>
      <c r="AI90" s="2487">
        <f>SUM(AG90:AH90)</f>
        <v>6</v>
      </c>
      <c r="AJ90" s="2486">
        <f>SUM(AJ87:AJ89)</f>
        <v>2</v>
      </c>
      <c r="AK90" s="2486">
        <f>SUM(AK87:AK89)</f>
        <v>3</v>
      </c>
      <c r="AL90" s="2487">
        <f>SUM(AJ90:AK90)</f>
        <v>5</v>
      </c>
      <c r="AM90" s="2486">
        <f>SUM(AM87:AM89)</f>
        <v>2</v>
      </c>
      <c r="AN90" s="2486">
        <f>SUM(AN87:AN89)</f>
        <v>3</v>
      </c>
      <c r="AO90" s="2487">
        <f>SUM(AM90:AN90)</f>
        <v>5</v>
      </c>
    </row>
    <row r="92" spans="1:41" x14ac:dyDescent="0.25">
      <c r="A92" s="7166" t="s">
        <v>162</v>
      </c>
      <c r="B92" s="1594" t="s">
        <v>5</v>
      </c>
      <c r="C92" s="1595">
        <v>6</v>
      </c>
      <c r="D92" s="1596">
        <v>14</v>
      </c>
      <c r="E92" s="1596">
        <f>SUM(C92:D92)</f>
        <v>20</v>
      </c>
      <c r="F92" s="1595">
        <v>6</v>
      </c>
      <c r="G92" s="1596">
        <v>13</v>
      </c>
      <c r="H92" s="1597">
        <f>SUM(F92:G92)</f>
        <v>19</v>
      </c>
      <c r="I92" s="1596">
        <v>6</v>
      </c>
      <c r="J92" s="1596">
        <v>13</v>
      </c>
      <c r="K92" s="1596">
        <f>SUM(I92:J92)</f>
        <v>19</v>
      </c>
      <c r="L92" s="1598">
        <v>5</v>
      </c>
      <c r="M92" s="1562">
        <v>12</v>
      </c>
      <c r="N92" s="1563">
        <f t="shared" si="34"/>
        <v>17</v>
      </c>
      <c r="O92" s="1562">
        <v>5</v>
      </c>
      <c r="P92" s="1562">
        <v>12</v>
      </c>
      <c r="Q92" s="1563">
        <f t="shared" si="35"/>
        <v>17</v>
      </c>
      <c r="R92" s="1562">
        <v>5</v>
      </c>
      <c r="S92" s="1562">
        <v>11</v>
      </c>
      <c r="T92" s="1563">
        <f t="shared" si="36"/>
        <v>16</v>
      </c>
      <c r="U92" s="1562">
        <v>5</v>
      </c>
      <c r="V92" s="1562">
        <v>10</v>
      </c>
      <c r="W92" s="1563">
        <f t="shared" si="37"/>
        <v>15</v>
      </c>
      <c r="X92" s="1562">
        <v>5</v>
      </c>
      <c r="Y92" s="1562">
        <v>9</v>
      </c>
      <c r="Z92" s="1563">
        <f>SUM(X92:Y92)</f>
        <v>14</v>
      </c>
      <c r="AA92" s="1562">
        <v>5</v>
      </c>
      <c r="AB92" s="1562">
        <v>9</v>
      </c>
      <c r="AC92" s="1563">
        <f>SUM(AA92:AB92)</f>
        <v>14</v>
      </c>
      <c r="AD92" s="1562">
        <v>5</v>
      </c>
      <c r="AE92" s="1562">
        <v>9</v>
      </c>
      <c r="AF92" s="1563">
        <f>SUM(AD92:AE92)</f>
        <v>14</v>
      </c>
      <c r="AG92" s="1562">
        <v>6</v>
      </c>
      <c r="AH92" s="1562">
        <v>9</v>
      </c>
      <c r="AI92" s="1563">
        <f>SUM(AG92:AH92)</f>
        <v>15</v>
      </c>
      <c r="AJ92" s="1562">
        <v>6</v>
      </c>
      <c r="AK92" s="1562">
        <v>8</v>
      </c>
      <c r="AL92" s="1563">
        <f>SUM(AJ92:AK92)</f>
        <v>14</v>
      </c>
      <c r="AM92" s="1562">
        <v>6</v>
      </c>
      <c r="AN92" s="1562">
        <v>7</v>
      </c>
      <c r="AO92" s="1563">
        <f>SUM(AM92:AN92)</f>
        <v>13</v>
      </c>
    </row>
    <row r="93" spans="1:41" x14ac:dyDescent="0.25">
      <c r="A93" s="7167"/>
      <c r="B93" s="1599" t="s">
        <v>6</v>
      </c>
      <c r="C93" s="1600">
        <v>13</v>
      </c>
      <c r="D93" s="1601">
        <v>29</v>
      </c>
      <c r="E93" s="1601">
        <f>SUM(C93:D93)</f>
        <v>42</v>
      </c>
      <c r="F93" s="1600">
        <v>14</v>
      </c>
      <c r="G93" s="1601">
        <v>27</v>
      </c>
      <c r="H93" s="1602">
        <f>SUM(F93:G93)</f>
        <v>41</v>
      </c>
      <c r="I93" s="1601">
        <v>15</v>
      </c>
      <c r="J93" s="1601">
        <v>26</v>
      </c>
      <c r="K93" s="1601">
        <f>SUM(I93:J93)</f>
        <v>41</v>
      </c>
      <c r="L93" s="1603">
        <v>13</v>
      </c>
      <c r="M93" s="1571">
        <v>27</v>
      </c>
      <c r="N93" s="1572">
        <f t="shared" si="34"/>
        <v>40</v>
      </c>
      <c r="O93" s="1571">
        <v>11</v>
      </c>
      <c r="P93" s="1571">
        <v>26</v>
      </c>
      <c r="Q93" s="1572">
        <f t="shared" si="35"/>
        <v>37</v>
      </c>
      <c r="R93" s="1571">
        <v>15</v>
      </c>
      <c r="S93" s="1571">
        <v>28</v>
      </c>
      <c r="T93" s="1572">
        <f t="shared" si="36"/>
        <v>43</v>
      </c>
      <c r="U93" s="1571">
        <v>15</v>
      </c>
      <c r="V93" s="1571">
        <v>27</v>
      </c>
      <c r="W93" s="1572">
        <f t="shared" si="37"/>
        <v>42</v>
      </c>
      <c r="X93" s="1571">
        <v>16</v>
      </c>
      <c r="Y93" s="1571">
        <v>29</v>
      </c>
      <c r="Z93" s="1572">
        <f>SUM(X93:Y93)</f>
        <v>45</v>
      </c>
      <c r="AA93" s="1571">
        <v>15</v>
      </c>
      <c r="AB93" s="1571">
        <v>28</v>
      </c>
      <c r="AC93" s="1572">
        <f>SUM(AA93:AB93)</f>
        <v>43</v>
      </c>
      <c r="AD93" s="1571">
        <v>17</v>
      </c>
      <c r="AE93" s="1571">
        <v>31</v>
      </c>
      <c r="AF93" s="1572">
        <f>SUM(AD93:AE93)</f>
        <v>48</v>
      </c>
      <c r="AG93" s="1571">
        <v>15</v>
      </c>
      <c r="AH93" s="1571">
        <v>24</v>
      </c>
      <c r="AI93" s="1572">
        <f>SUM(AG93:AH93)</f>
        <v>39</v>
      </c>
      <c r="AJ93" s="1571">
        <v>15</v>
      </c>
      <c r="AK93" s="1571">
        <v>22</v>
      </c>
      <c r="AL93" s="1572">
        <f>SUM(AJ93:AK93)</f>
        <v>37</v>
      </c>
      <c r="AM93" s="1571">
        <v>16</v>
      </c>
      <c r="AN93" s="1571">
        <v>21</v>
      </c>
      <c r="AO93" s="1572">
        <f>SUM(AM93:AN93)</f>
        <v>37</v>
      </c>
    </row>
    <row r="94" spans="1:41" x14ac:dyDescent="0.25">
      <c r="A94" s="7167"/>
      <c r="B94" s="1599" t="s">
        <v>11</v>
      </c>
      <c r="C94" s="1600">
        <v>18</v>
      </c>
      <c r="D94" s="1601">
        <v>20</v>
      </c>
      <c r="E94" s="1601">
        <f>SUM(C94:D94)</f>
        <v>38</v>
      </c>
      <c r="F94" s="1600">
        <v>18</v>
      </c>
      <c r="G94" s="1601">
        <v>18</v>
      </c>
      <c r="H94" s="1602">
        <f>SUM(F94:G94)</f>
        <v>36</v>
      </c>
      <c r="I94" s="1601">
        <v>15</v>
      </c>
      <c r="J94" s="1601">
        <v>16</v>
      </c>
      <c r="K94" s="1601">
        <f>SUM(I94:J94)</f>
        <v>31</v>
      </c>
      <c r="L94" s="1603">
        <v>14</v>
      </c>
      <c r="M94" s="1571">
        <v>14</v>
      </c>
      <c r="N94" s="1572">
        <f t="shared" si="34"/>
        <v>28</v>
      </c>
      <c r="O94" s="1571">
        <v>13</v>
      </c>
      <c r="P94" s="1571">
        <v>14</v>
      </c>
      <c r="Q94" s="1572">
        <f t="shared" si="35"/>
        <v>27</v>
      </c>
      <c r="R94" s="1571">
        <v>13</v>
      </c>
      <c r="S94" s="1571">
        <v>14</v>
      </c>
      <c r="T94" s="1572">
        <f t="shared" si="36"/>
        <v>27</v>
      </c>
      <c r="U94" s="1571">
        <v>13</v>
      </c>
      <c r="V94" s="1571">
        <v>13</v>
      </c>
      <c r="W94" s="1572">
        <f t="shared" si="37"/>
        <v>26</v>
      </c>
      <c r="X94" s="1571">
        <v>13</v>
      </c>
      <c r="Y94" s="1571">
        <v>13</v>
      </c>
      <c r="Z94" s="1572">
        <f>SUM(X94:Y94)</f>
        <v>26</v>
      </c>
      <c r="AA94" s="1571">
        <v>12</v>
      </c>
      <c r="AB94" s="1571">
        <v>10</v>
      </c>
      <c r="AC94" s="1572">
        <f>SUM(AA94:AB94)</f>
        <v>22</v>
      </c>
      <c r="AD94" s="1571">
        <v>10</v>
      </c>
      <c r="AE94" s="1571">
        <v>9</v>
      </c>
      <c r="AF94" s="1572">
        <f>SUM(AD94:AE94)</f>
        <v>19</v>
      </c>
      <c r="AG94" s="1571">
        <v>10</v>
      </c>
      <c r="AH94" s="1571">
        <v>9</v>
      </c>
      <c r="AI94" s="1572">
        <f>SUM(AG94:AH94)</f>
        <v>19</v>
      </c>
      <c r="AJ94" s="1571">
        <v>10</v>
      </c>
      <c r="AK94" s="1571">
        <v>9</v>
      </c>
      <c r="AL94" s="1572">
        <f>SUM(AJ94:AK94)</f>
        <v>19</v>
      </c>
      <c r="AM94" s="1571">
        <v>9</v>
      </c>
      <c r="AN94" s="1571">
        <v>9</v>
      </c>
      <c r="AO94" s="1572">
        <f>SUM(AM94:AN94)</f>
        <v>18</v>
      </c>
    </row>
    <row r="95" spans="1:41" x14ac:dyDescent="0.25">
      <c r="A95" s="7168"/>
      <c r="B95" s="2515" t="s">
        <v>12</v>
      </c>
      <c r="C95" s="2516">
        <f t="shared" ref="C95:M95" si="39">SUM(C92:C94)</f>
        <v>37</v>
      </c>
      <c r="D95" s="2517">
        <f t="shared" si="39"/>
        <v>63</v>
      </c>
      <c r="E95" s="2517">
        <f t="shared" si="39"/>
        <v>100</v>
      </c>
      <c r="F95" s="2516">
        <f t="shared" si="39"/>
        <v>38</v>
      </c>
      <c r="G95" s="2517">
        <f t="shared" si="39"/>
        <v>58</v>
      </c>
      <c r="H95" s="2518">
        <f t="shared" si="39"/>
        <v>96</v>
      </c>
      <c r="I95" s="2517">
        <f t="shared" si="39"/>
        <v>36</v>
      </c>
      <c r="J95" s="2517">
        <f t="shared" si="39"/>
        <v>55</v>
      </c>
      <c r="K95" s="2517">
        <f t="shared" si="39"/>
        <v>91</v>
      </c>
      <c r="L95" s="2519">
        <f t="shared" si="39"/>
        <v>32</v>
      </c>
      <c r="M95" s="2495">
        <f t="shared" si="39"/>
        <v>53</v>
      </c>
      <c r="N95" s="2496">
        <f t="shared" si="34"/>
        <v>85</v>
      </c>
      <c r="O95" s="2495">
        <f>SUM(O92:O94)</f>
        <v>29</v>
      </c>
      <c r="P95" s="2495">
        <f>SUM(P92:P94)</f>
        <v>52</v>
      </c>
      <c r="Q95" s="2496">
        <f t="shared" si="35"/>
        <v>81</v>
      </c>
      <c r="R95" s="2495">
        <f>SUM(R92:R94)</f>
        <v>33</v>
      </c>
      <c r="S95" s="2495">
        <f>SUM(S92:S94)</f>
        <v>53</v>
      </c>
      <c r="T95" s="2496">
        <f t="shared" si="36"/>
        <v>86</v>
      </c>
      <c r="U95" s="2495">
        <f>SUM(U92:U94)</f>
        <v>33</v>
      </c>
      <c r="V95" s="2495">
        <f>SUM(V92:V94)</f>
        <v>50</v>
      </c>
      <c r="W95" s="2496">
        <f t="shared" si="37"/>
        <v>83</v>
      </c>
      <c r="X95" s="2495">
        <f>SUM(X92:X94)</f>
        <v>34</v>
      </c>
      <c r="Y95" s="2495">
        <f>SUM(Y92:Y94)</f>
        <v>51</v>
      </c>
      <c r="Z95" s="2496">
        <f>SUM(X95:Y95)</f>
        <v>85</v>
      </c>
      <c r="AA95" s="2495">
        <f>SUM(AA92:AA94)</f>
        <v>32</v>
      </c>
      <c r="AB95" s="2495">
        <f>SUM(AB92:AB94)</f>
        <v>47</v>
      </c>
      <c r="AC95" s="2496">
        <f>SUM(AA95:AB95)</f>
        <v>79</v>
      </c>
      <c r="AD95" s="2495">
        <f>SUM(AD92:AD94)</f>
        <v>32</v>
      </c>
      <c r="AE95" s="2495">
        <f>SUM(AE92:AE94)</f>
        <v>49</v>
      </c>
      <c r="AF95" s="2496">
        <f>SUM(AD95:AE95)</f>
        <v>81</v>
      </c>
      <c r="AG95" s="2495">
        <f>SUM(AG92:AG94)</f>
        <v>31</v>
      </c>
      <c r="AH95" s="2495">
        <f>SUM(AH92:AH94)</f>
        <v>42</v>
      </c>
      <c r="AI95" s="2496">
        <f>SUM(AG95:AH95)</f>
        <v>73</v>
      </c>
      <c r="AJ95" s="2495">
        <f>SUM(AJ92:AJ94)</f>
        <v>31</v>
      </c>
      <c r="AK95" s="2495">
        <f>SUM(AK92:AK94)</f>
        <v>39</v>
      </c>
      <c r="AL95" s="2496">
        <f>SUM(AJ95:AK95)</f>
        <v>70</v>
      </c>
      <c r="AM95" s="2495">
        <f>SUM(AM92:AM94)</f>
        <v>31</v>
      </c>
      <c r="AN95" s="2495">
        <f>SUM(AN92:AN94)</f>
        <v>37</v>
      </c>
      <c r="AO95" s="2496">
        <f>SUM(AM95:AN95)</f>
        <v>68</v>
      </c>
    </row>
    <row r="97" spans="1:41" x14ac:dyDescent="0.25">
      <c r="A97" s="7151" t="s">
        <v>163</v>
      </c>
      <c r="B97" s="1594" t="s">
        <v>6</v>
      </c>
      <c r="C97" s="1595">
        <v>2</v>
      </c>
      <c r="D97" s="1596">
        <v>4</v>
      </c>
      <c r="E97" s="1596">
        <f>SUM(C97:D97)</f>
        <v>6</v>
      </c>
      <c r="F97" s="1595">
        <v>2</v>
      </c>
      <c r="G97" s="1596">
        <v>4</v>
      </c>
      <c r="H97" s="1597">
        <f>SUM(F97:G97)</f>
        <v>6</v>
      </c>
      <c r="I97" s="1595">
        <v>2</v>
      </c>
      <c r="J97" s="1596">
        <v>3</v>
      </c>
      <c r="K97" s="1597">
        <f>SUM(I97:J97)</f>
        <v>5</v>
      </c>
      <c r="L97" s="1598">
        <v>4</v>
      </c>
      <c r="M97" s="1562">
        <v>3</v>
      </c>
      <c r="N97" s="1563">
        <f t="shared" si="34"/>
        <v>7</v>
      </c>
      <c r="O97" s="1562">
        <v>4</v>
      </c>
      <c r="P97" s="1562">
        <v>2</v>
      </c>
      <c r="Q97" s="1563">
        <f t="shared" si="35"/>
        <v>6</v>
      </c>
      <c r="R97" s="1562">
        <v>9</v>
      </c>
      <c r="S97" s="1562">
        <v>6</v>
      </c>
      <c r="T97" s="1563">
        <f t="shared" si="36"/>
        <v>15</v>
      </c>
      <c r="U97" s="1562">
        <v>11</v>
      </c>
      <c r="V97" s="1562">
        <v>5</v>
      </c>
      <c r="W97" s="1563">
        <f t="shared" si="37"/>
        <v>16</v>
      </c>
      <c r="X97" s="1562">
        <v>10</v>
      </c>
      <c r="Y97" s="1562">
        <v>4</v>
      </c>
      <c r="Z97" s="1563">
        <f>SUM(X97:Y97)</f>
        <v>14</v>
      </c>
      <c r="AA97" s="1562">
        <v>9</v>
      </c>
      <c r="AB97" s="1562">
        <v>4</v>
      </c>
      <c r="AC97" s="1563">
        <f>SUM(AA97:AB97)</f>
        <v>13</v>
      </c>
      <c r="AD97" s="1562">
        <v>10</v>
      </c>
      <c r="AE97" s="1562">
        <v>4</v>
      </c>
      <c r="AF97" s="1563">
        <f>SUM(AD97:AE97)</f>
        <v>14</v>
      </c>
      <c r="AG97" s="1562">
        <v>8</v>
      </c>
      <c r="AH97" s="1562">
        <v>3</v>
      </c>
      <c r="AI97" s="1563">
        <f>SUM(AG97:AH97)</f>
        <v>11</v>
      </c>
      <c r="AJ97" s="1562">
        <v>8</v>
      </c>
      <c r="AK97" s="1562">
        <v>3</v>
      </c>
      <c r="AL97" s="1563">
        <f>SUM(AJ97:AK97)</f>
        <v>11</v>
      </c>
      <c r="AM97" s="1562">
        <v>9</v>
      </c>
      <c r="AN97" s="1562">
        <v>3</v>
      </c>
      <c r="AO97" s="1563">
        <f>SUM(AM97:AN97)</f>
        <v>12</v>
      </c>
    </row>
    <row r="98" spans="1:41" x14ac:dyDescent="0.25">
      <c r="A98" s="7152"/>
      <c r="B98" s="1599" t="s">
        <v>11</v>
      </c>
      <c r="C98" s="1600"/>
      <c r="D98" s="1601">
        <v>2</v>
      </c>
      <c r="E98" s="1601">
        <f>SUM(C98:D98)</f>
        <v>2</v>
      </c>
      <c r="F98" s="1600"/>
      <c r="G98" s="1601">
        <v>2</v>
      </c>
      <c r="H98" s="1602">
        <f>SUM(F98:G98)</f>
        <v>2</v>
      </c>
      <c r="I98" s="1600"/>
      <c r="J98" s="1601">
        <v>2</v>
      </c>
      <c r="K98" s="1602">
        <f>SUM(I98:J98)</f>
        <v>2</v>
      </c>
      <c r="L98" s="1603"/>
      <c r="M98" s="1571">
        <v>2</v>
      </c>
      <c r="N98" s="1572">
        <f t="shared" si="34"/>
        <v>2</v>
      </c>
      <c r="O98" s="1571"/>
      <c r="P98" s="1571">
        <v>2</v>
      </c>
      <c r="Q98" s="1572">
        <f t="shared" si="35"/>
        <v>2</v>
      </c>
      <c r="R98" s="1571"/>
      <c r="S98" s="1571">
        <v>3</v>
      </c>
      <c r="T98" s="1572">
        <f t="shared" si="36"/>
        <v>3</v>
      </c>
      <c r="U98" s="1571"/>
      <c r="V98" s="1571">
        <v>2</v>
      </c>
      <c r="W98" s="1572">
        <f t="shared" si="37"/>
        <v>2</v>
      </c>
      <c r="X98" s="1571"/>
      <c r="Y98" s="1571">
        <v>2</v>
      </c>
      <c r="Z98" s="1572">
        <f>SUM(X98:Y98)</f>
        <v>2</v>
      </c>
      <c r="AA98" s="1571">
        <v>1</v>
      </c>
      <c r="AB98" s="1571">
        <v>3</v>
      </c>
      <c r="AC98" s="1572">
        <f>SUM(AA98:AB98)</f>
        <v>4</v>
      </c>
      <c r="AD98" s="1571">
        <v>4</v>
      </c>
      <c r="AE98" s="1571">
        <v>5</v>
      </c>
      <c r="AF98" s="1572">
        <f>SUM(AD98:AE98)</f>
        <v>9</v>
      </c>
      <c r="AG98" s="1571">
        <v>3</v>
      </c>
      <c r="AH98" s="1571">
        <v>4</v>
      </c>
      <c r="AI98" s="1572">
        <f>SUM(AG98:AH98)</f>
        <v>7</v>
      </c>
      <c r="AJ98" s="1571">
        <v>3</v>
      </c>
      <c r="AK98" s="1571">
        <v>5</v>
      </c>
      <c r="AL98" s="1572">
        <f>SUM(AJ98:AK98)</f>
        <v>8</v>
      </c>
      <c r="AM98" s="1571">
        <v>2</v>
      </c>
      <c r="AN98" s="1571">
        <v>5</v>
      </c>
      <c r="AO98" s="1572">
        <f>SUM(AM98:AN98)</f>
        <v>7</v>
      </c>
    </row>
    <row r="99" spans="1:41" x14ac:dyDescent="0.25">
      <c r="A99" s="7152"/>
      <c r="B99" s="1599" t="s">
        <v>7</v>
      </c>
      <c r="C99" s="1600">
        <v>1</v>
      </c>
      <c r="D99" s="1601">
        <v>3</v>
      </c>
      <c r="E99" s="1601">
        <f>SUM(C99:D99)</f>
        <v>4</v>
      </c>
      <c r="F99" s="1600">
        <v>1</v>
      </c>
      <c r="G99" s="1601">
        <v>3</v>
      </c>
      <c r="H99" s="1602">
        <f>SUM(F99:G99)</f>
        <v>4</v>
      </c>
      <c r="I99" s="1600">
        <v>1</v>
      </c>
      <c r="J99" s="1601">
        <v>3</v>
      </c>
      <c r="K99" s="1602">
        <f>SUM(I99:J99)</f>
        <v>4</v>
      </c>
      <c r="L99" s="1603">
        <v>1</v>
      </c>
      <c r="M99" s="1571">
        <v>4</v>
      </c>
      <c r="N99" s="1572">
        <f t="shared" si="34"/>
        <v>5</v>
      </c>
      <c r="O99" s="1571">
        <v>1</v>
      </c>
      <c r="P99" s="1571">
        <v>7</v>
      </c>
      <c r="Q99" s="1572">
        <f t="shared" si="35"/>
        <v>8</v>
      </c>
      <c r="R99" s="1571">
        <v>1</v>
      </c>
      <c r="S99" s="1571">
        <v>7</v>
      </c>
      <c r="T99" s="1572">
        <f t="shared" si="36"/>
        <v>8</v>
      </c>
      <c r="U99" s="1571">
        <v>1</v>
      </c>
      <c r="V99" s="1571">
        <v>7</v>
      </c>
      <c r="W99" s="1572">
        <f t="shared" si="37"/>
        <v>8</v>
      </c>
      <c r="X99" s="1571">
        <v>1</v>
      </c>
      <c r="Y99" s="1571">
        <v>6</v>
      </c>
      <c r="Z99" s="1572">
        <f>SUM(X99:Y99)</f>
        <v>7</v>
      </c>
      <c r="AA99" s="1571">
        <v>1</v>
      </c>
      <c r="AB99" s="1571">
        <v>6</v>
      </c>
      <c r="AC99" s="1572">
        <f>SUM(AA99:AB99)</f>
        <v>7</v>
      </c>
      <c r="AD99" s="1571">
        <v>1</v>
      </c>
      <c r="AE99" s="1571">
        <v>6</v>
      </c>
      <c r="AF99" s="1572">
        <f>SUM(AD99:AE99)</f>
        <v>7</v>
      </c>
      <c r="AG99" s="1571">
        <v>1</v>
      </c>
      <c r="AH99" s="1571">
        <v>5</v>
      </c>
      <c r="AI99" s="1572">
        <f>SUM(AG99:AH99)</f>
        <v>6</v>
      </c>
      <c r="AJ99" s="1571">
        <v>1</v>
      </c>
      <c r="AK99" s="1571">
        <v>5</v>
      </c>
      <c r="AL99" s="1572">
        <f>SUM(AJ99:AK99)</f>
        <v>6</v>
      </c>
      <c r="AM99" s="1571">
        <v>1</v>
      </c>
      <c r="AN99" s="1571">
        <v>4</v>
      </c>
      <c r="AO99" s="1572">
        <f>SUM(AM99:AN99)</f>
        <v>5</v>
      </c>
    </row>
    <row r="100" spans="1:41" x14ac:dyDescent="0.25">
      <c r="A100" s="7153"/>
      <c r="B100" s="2521" t="s">
        <v>12</v>
      </c>
      <c r="C100" s="2522">
        <f t="shared" ref="C100:M100" si="40">SUM(C97:C99)</f>
        <v>3</v>
      </c>
      <c r="D100" s="2523">
        <f t="shared" si="40"/>
        <v>9</v>
      </c>
      <c r="E100" s="2523">
        <f t="shared" si="40"/>
        <v>12</v>
      </c>
      <c r="F100" s="2522">
        <f t="shared" si="40"/>
        <v>3</v>
      </c>
      <c r="G100" s="2523">
        <f t="shared" si="40"/>
        <v>9</v>
      </c>
      <c r="H100" s="2524">
        <f t="shared" si="40"/>
        <v>12</v>
      </c>
      <c r="I100" s="2522">
        <f t="shared" si="40"/>
        <v>3</v>
      </c>
      <c r="J100" s="2523">
        <f t="shared" si="40"/>
        <v>8</v>
      </c>
      <c r="K100" s="2524">
        <f t="shared" si="40"/>
        <v>11</v>
      </c>
      <c r="L100" s="2525">
        <f t="shared" si="40"/>
        <v>5</v>
      </c>
      <c r="M100" s="2513">
        <f t="shared" si="40"/>
        <v>9</v>
      </c>
      <c r="N100" s="2514">
        <f t="shared" si="34"/>
        <v>14</v>
      </c>
      <c r="O100" s="2513">
        <f>SUM(O97:O99)</f>
        <v>5</v>
      </c>
      <c r="P100" s="2513">
        <f>SUM(P97:P99)</f>
        <v>11</v>
      </c>
      <c r="Q100" s="2514">
        <f t="shared" si="35"/>
        <v>16</v>
      </c>
      <c r="R100" s="2513">
        <f>SUM(R97:R99)</f>
        <v>10</v>
      </c>
      <c r="S100" s="2513">
        <f>SUM(S97:S99)</f>
        <v>16</v>
      </c>
      <c r="T100" s="2514">
        <f t="shared" si="36"/>
        <v>26</v>
      </c>
      <c r="U100" s="2513">
        <f>SUM(U97:U99)</f>
        <v>12</v>
      </c>
      <c r="V100" s="2513">
        <f>SUM(V97:V99)</f>
        <v>14</v>
      </c>
      <c r="W100" s="2514">
        <f t="shared" si="37"/>
        <v>26</v>
      </c>
      <c r="X100" s="2513">
        <f>SUM(X97:X99)</f>
        <v>11</v>
      </c>
      <c r="Y100" s="2513">
        <f>SUM(Y97:Y99)</f>
        <v>12</v>
      </c>
      <c r="Z100" s="2514">
        <f>SUM(X100:Y100)</f>
        <v>23</v>
      </c>
      <c r="AA100" s="2513">
        <f>SUM(AA97:AA99)</f>
        <v>11</v>
      </c>
      <c r="AB100" s="2513">
        <f>SUM(AB97:AB99)</f>
        <v>13</v>
      </c>
      <c r="AC100" s="2514">
        <f>SUM(AA100:AB100)</f>
        <v>24</v>
      </c>
      <c r="AD100" s="2513">
        <f>SUM(AD97:AD99)</f>
        <v>15</v>
      </c>
      <c r="AE100" s="2513">
        <f>SUM(AE97:AE99)</f>
        <v>15</v>
      </c>
      <c r="AF100" s="2514">
        <f>SUM(AD100:AE100)</f>
        <v>30</v>
      </c>
      <c r="AG100" s="2513">
        <f>SUM(AG97:AG99)</f>
        <v>12</v>
      </c>
      <c r="AH100" s="2513">
        <f>SUM(AH97:AH99)</f>
        <v>12</v>
      </c>
      <c r="AI100" s="2514">
        <f>SUM(AG100:AH100)</f>
        <v>24</v>
      </c>
      <c r="AJ100" s="2513">
        <f>SUM(AJ97:AJ99)</f>
        <v>12</v>
      </c>
      <c r="AK100" s="2513">
        <f>SUM(AK97:AK99)</f>
        <v>13</v>
      </c>
      <c r="AL100" s="2514">
        <f>SUM(AJ100:AK100)</f>
        <v>25</v>
      </c>
      <c r="AM100" s="2513">
        <f>SUM(AM97:AM99)</f>
        <v>12</v>
      </c>
      <c r="AN100" s="2513">
        <f>SUM(AN97:AN99)</f>
        <v>12</v>
      </c>
      <c r="AO100" s="2514">
        <f>SUM(AM100:AN100)</f>
        <v>24</v>
      </c>
    </row>
    <row r="101" spans="1:41" x14ac:dyDescent="0.25">
      <c r="A101" s="1613"/>
      <c r="C101" s="1576"/>
      <c r="D101" s="1576"/>
      <c r="E101" s="1576"/>
      <c r="F101" s="1576"/>
      <c r="G101" s="1576"/>
      <c r="H101" s="1576"/>
      <c r="I101" s="1576"/>
      <c r="J101" s="1576"/>
      <c r="K101" s="1576"/>
      <c r="L101" s="1576"/>
      <c r="M101" s="1576"/>
      <c r="N101" s="1576"/>
      <c r="O101" s="1576"/>
      <c r="P101" s="1576"/>
      <c r="Q101" s="1576"/>
      <c r="R101" s="1576"/>
      <c r="S101" s="1576"/>
      <c r="T101" s="1576"/>
      <c r="U101" s="1576"/>
      <c r="V101" s="1576"/>
      <c r="W101" s="1576"/>
      <c r="X101" s="1576"/>
      <c r="Y101" s="1576"/>
      <c r="Z101" s="1576"/>
      <c r="AA101" s="1576"/>
      <c r="AB101" s="1576"/>
      <c r="AC101" s="1576"/>
      <c r="AD101" s="1576"/>
      <c r="AE101" s="1576"/>
      <c r="AF101" s="1576"/>
      <c r="AG101" s="1576"/>
      <c r="AH101" s="1576"/>
      <c r="AI101" s="1576"/>
      <c r="AJ101" s="1576"/>
      <c r="AK101" s="1576"/>
      <c r="AL101" s="1576"/>
      <c r="AM101" s="1576"/>
      <c r="AN101" s="1576"/>
      <c r="AO101" s="1576"/>
    </row>
    <row r="102" spans="1:41" x14ac:dyDescent="0.25">
      <c r="A102" s="7154" t="s">
        <v>60</v>
      </c>
      <c r="B102" s="1594" t="s">
        <v>5</v>
      </c>
      <c r="C102" s="1598">
        <f t="shared" ref="C102:AC102" si="41">SUM(C82,C92)</f>
        <v>14</v>
      </c>
      <c r="D102" s="1562">
        <f t="shared" si="41"/>
        <v>50</v>
      </c>
      <c r="E102" s="1562">
        <f t="shared" si="41"/>
        <v>64</v>
      </c>
      <c r="F102" s="1598">
        <f t="shared" si="41"/>
        <v>16</v>
      </c>
      <c r="G102" s="1562">
        <f t="shared" si="41"/>
        <v>49</v>
      </c>
      <c r="H102" s="1562">
        <f t="shared" si="41"/>
        <v>65</v>
      </c>
      <c r="I102" s="1598">
        <f t="shared" si="41"/>
        <v>16</v>
      </c>
      <c r="J102" s="1562">
        <f t="shared" si="41"/>
        <v>49</v>
      </c>
      <c r="K102" s="1563">
        <f t="shared" si="41"/>
        <v>65</v>
      </c>
      <c r="L102" s="1562">
        <f t="shared" si="41"/>
        <v>14</v>
      </c>
      <c r="M102" s="1562">
        <f t="shared" si="41"/>
        <v>46</v>
      </c>
      <c r="N102" s="1562">
        <f t="shared" si="41"/>
        <v>60</v>
      </c>
      <c r="O102" s="1598">
        <f t="shared" si="41"/>
        <v>14</v>
      </c>
      <c r="P102" s="1562">
        <f t="shared" si="41"/>
        <v>45</v>
      </c>
      <c r="Q102" s="1563">
        <f t="shared" si="41"/>
        <v>59</v>
      </c>
      <c r="R102" s="1562">
        <f t="shared" si="41"/>
        <v>14</v>
      </c>
      <c r="S102" s="1562">
        <f t="shared" si="41"/>
        <v>41</v>
      </c>
      <c r="T102" s="1563">
        <f t="shared" si="41"/>
        <v>55</v>
      </c>
      <c r="U102" s="1598">
        <f t="shared" si="41"/>
        <v>14</v>
      </c>
      <c r="V102" s="1562">
        <f t="shared" si="41"/>
        <v>40</v>
      </c>
      <c r="W102" s="1563">
        <f t="shared" si="41"/>
        <v>54</v>
      </c>
      <c r="X102" s="1598">
        <f t="shared" si="41"/>
        <v>13</v>
      </c>
      <c r="Y102" s="1562">
        <f t="shared" si="41"/>
        <v>39</v>
      </c>
      <c r="Z102" s="1563">
        <f t="shared" si="41"/>
        <v>52</v>
      </c>
      <c r="AA102" s="1598">
        <f t="shared" si="41"/>
        <v>12</v>
      </c>
      <c r="AB102" s="1562">
        <f t="shared" si="41"/>
        <v>39</v>
      </c>
      <c r="AC102" s="1563">
        <f t="shared" si="41"/>
        <v>51</v>
      </c>
      <c r="AD102" s="1598">
        <f t="shared" ref="AD102:AI102" si="42">SUM(AD82,AD92)</f>
        <v>12</v>
      </c>
      <c r="AE102" s="1562">
        <f t="shared" si="42"/>
        <v>38</v>
      </c>
      <c r="AF102" s="1563">
        <f t="shared" si="42"/>
        <v>50</v>
      </c>
      <c r="AG102" s="1598">
        <f t="shared" si="42"/>
        <v>13</v>
      </c>
      <c r="AH102" s="1562">
        <f t="shared" si="42"/>
        <v>36</v>
      </c>
      <c r="AI102" s="1563">
        <f t="shared" si="42"/>
        <v>49</v>
      </c>
      <c r="AJ102" s="1598">
        <f t="shared" ref="AJ102:AO102" si="43">SUM(AJ82,AJ92)</f>
        <v>13</v>
      </c>
      <c r="AK102" s="1562">
        <f t="shared" si="43"/>
        <v>33</v>
      </c>
      <c r="AL102" s="1563">
        <f t="shared" si="43"/>
        <v>46</v>
      </c>
      <c r="AM102" s="1598">
        <f t="shared" si="43"/>
        <v>12</v>
      </c>
      <c r="AN102" s="1562">
        <f t="shared" si="43"/>
        <v>31</v>
      </c>
      <c r="AO102" s="1563">
        <f t="shared" si="43"/>
        <v>43</v>
      </c>
    </row>
    <row r="103" spans="1:41" x14ac:dyDescent="0.25">
      <c r="A103" s="7155"/>
      <c r="B103" s="1599" t="s">
        <v>6</v>
      </c>
      <c r="C103" s="1603">
        <f t="shared" ref="C103:T103" si="44">SUM(C83,C93,C97)</f>
        <v>17</v>
      </c>
      <c r="D103" s="1571">
        <f t="shared" si="44"/>
        <v>37</v>
      </c>
      <c r="E103" s="1571">
        <f t="shared" si="44"/>
        <v>54</v>
      </c>
      <c r="F103" s="1603">
        <f t="shared" si="44"/>
        <v>17</v>
      </c>
      <c r="G103" s="1571">
        <f t="shared" si="44"/>
        <v>35</v>
      </c>
      <c r="H103" s="1571">
        <f t="shared" si="44"/>
        <v>52</v>
      </c>
      <c r="I103" s="1603">
        <f t="shared" si="44"/>
        <v>18</v>
      </c>
      <c r="J103" s="1571">
        <f t="shared" si="44"/>
        <v>33</v>
      </c>
      <c r="K103" s="1572">
        <f t="shared" si="44"/>
        <v>51</v>
      </c>
      <c r="L103" s="1571">
        <f t="shared" si="44"/>
        <v>17</v>
      </c>
      <c r="M103" s="1571">
        <f t="shared" si="44"/>
        <v>34</v>
      </c>
      <c r="N103" s="1571">
        <f t="shared" si="44"/>
        <v>51</v>
      </c>
      <c r="O103" s="1603">
        <f t="shared" si="44"/>
        <v>15</v>
      </c>
      <c r="P103" s="1571">
        <f t="shared" si="44"/>
        <v>32</v>
      </c>
      <c r="Q103" s="1572">
        <f t="shared" si="44"/>
        <v>47</v>
      </c>
      <c r="R103" s="1571">
        <f t="shared" si="44"/>
        <v>26</v>
      </c>
      <c r="S103" s="1571">
        <f t="shared" si="44"/>
        <v>38</v>
      </c>
      <c r="T103" s="1572">
        <f t="shared" si="44"/>
        <v>64</v>
      </c>
      <c r="U103" s="1603">
        <f t="shared" ref="U103:AF103" si="45">SUM(U83,U87,U93,U97)</f>
        <v>31</v>
      </c>
      <c r="V103" s="1571">
        <f t="shared" si="45"/>
        <v>38</v>
      </c>
      <c r="W103" s="1572">
        <f t="shared" si="45"/>
        <v>69</v>
      </c>
      <c r="X103" s="1603">
        <f t="shared" si="45"/>
        <v>32</v>
      </c>
      <c r="Y103" s="1571">
        <f t="shared" si="45"/>
        <v>40</v>
      </c>
      <c r="Z103" s="1572">
        <f t="shared" si="45"/>
        <v>72</v>
      </c>
      <c r="AA103" s="1603">
        <f t="shared" si="45"/>
        <v>30</v>
      </c>
      <c r="AB103" s="1571">
        <f t="shared" si="45"/>
        <v>38</v>
      </c>
      <c r="AC103" s="1572">
        <f t="shared" si="45"/>
        <v>68</v>
      </c>
      <c r="AD103" s="1603">
        <f t="shared" si="45"/>
        <v>33</v>
      </c>
      <c r="AE103" s="1571">
        <f t="shared" si="45"/>
        <v>41</v>
      </c>
      <c r="AF103" s="1572">
        <f t="shared" si="45"/>
        <v>74</v>
      </c>
      <c r="AG103" s="1603">
        <f t="shared" ref="AG103:AL103" si="46">SUM(AG83,AG87,AG93,AG97)</f>
        <v>30</v>
      </c>
      <c r="AH103" s="1571">
        <f t="shared" si="46"/>
        <v>35</v>
      </c>
      <c r="AI103" s="1572">
        <f t="shared" si="46"/>
        <v>65</v>
      </c>
      <c r="AJ103" s="1603">
        <f t="shared" si="46"/>
        <v>30</v>
      </c>
      <c r="AK103" s="1571">
        <f t="shared" si="46"/>
        <v>33</v>
      </c>
      <c r="AL103" s="1572">
        <f t="shared" si="46"/>
        <v>63</v>
      </c>
      <c r="AM103" s="1603">
        <f t="shared" ref="AM103:AO103" si="47">SUM(AM83,AM87,AM93,AM97)</f>
        <v>32</v>
      </c>
      <c r="AN103" s="1571">
        <f t="shared" si="47"/>
        <v>32</v>
      </c>
      <c r="AO103" s="1572">
        <f t="shared" si="47"/>
        <v>64</v>
      </c>
    </row>
    <row r="104" spans="1:41" x14ac:dyDescent="0.25">
      <c r="A104" s="7155"/>
      <c r="B104" s="1599" t="s">
        <v>11</v>
      </c>
      <c r="C104" s="1603">
        <f t="shared" ref="C104:AC104" si="48">SUM(C94,C98)</f>
        <v>18</v>
      </c>
      <c r="D104" s="1571">
        <f t="shared" si="48"/>
        <v>22</v>
      </c>
      <c r="E104" s="1571">
        <f t="shared" si="48"/>
        <v>40</v>
      </c>
      <c r="F104" s="1603">
        <f t="shared" si="48"/>
        <v>18</v>
      </c>
      <c r="G104" s="1571">
        <f t="shared" si="48"/>
        <v>20</v>
      </c>
      <c r="H104" s="1571">
        <f t="shared" si="48"/>
        <v>38</v>
      </c>
      <c r="I104" s="1603">
        <f t="shared" si="48"/>
        <v>15</v>
      </c>
      <c r="J104" s="1571">
        <f t="shared" si="48"/>
        <v>18</v>
      </c>
      <c r="K104" s="1572">
        <f t="shared" si="48"/>
        <v>33</v>
      </c>
      <c r="L104" s="1571">
        <f t="shared" si="48"/>
        <v>14</v>
      </c>
      <c r="M104" s="1571">
        <f t="shared" si="48"/>
        <v>16</v>
      </c>
      <c r="N104" s="1571">
        <f t="shared" si="48"/>
        <v>30</v>
      </c>
      <c r="O104" s="1603">
        <f t="shared" si="48"/>
        <v>13</v>
      </c>
      <c r="P104" s="1571">
        <f t="shared" si="48"/>
        <v>16</v>
      </c>
      <c r="Q104" s="1572">
        <f t="shared" si="48"/>
        <v>29</v>
      </c>
      <c r="R104" s="1571">
        <f t="shared" si="48"/>
        <v>13</v>
      </c>
      <c r="S104" s="1571">
        <f t="shared" si="48"/>
        <v>17</v>
      </c>
      <c r="T104" s="1572">
        <f t="shared" si="48"/>
        <v>30</v>
      </c>
      <c r="U104" s="1603">
        <f t="shared" si="48"/>
        <v>13</v>
      </c>
      <c r="V104" s="1571">
        <f t="shared" si="48"/>
        <v>15</v>
      </c>
      <c r="W104" s="1572">
        <f t="shared" si="48"/>
        <v>28</v>
      </c>
      <c r="X104" s="1603">
        <f t="shared" si="48"/>
        <v>13</v>
      </c>
      <c r="Y104" s="1571">
        <f t="shared" si="48"/>
        <v>15</v>
      </c>
      <c r="Z104" s="1572">
        <f t="shared" si="48"/>
        <v>28</v>
      </c>
      <c r="AA104" s="1603">
        <f t="shared" si="48"/>
        <v>13</v>
      </c>
      <c r="AB104" s="1571">
        <f t="shared" si="48"/>
        <v>13</v>
      </c>
      <c r="AC104" s="1572">
        <f t="shared" si="48"/>
        <v>26</v>
      </c>
      <c r="AD104" s="1603">
        <f t="shared" ref="AD104:AI104" si="49">SUM(AD94,AD98)</f>
        <v>14</v>
      </c>
      <c r="AE104" s="1571">
        <f t="shared" si="49"/>
        <v>14</v>
      </c>
      <c r="AF104" s="1572">
        <f t="shared" si="49"/>
        <v>28</v>
      </c>
      <c r="AG104" s="1603">
        <f t="shared" si="49"/>
        <v>13</v>
      </c>
      <c r="AH104" s="1571">
        <f t="shared" si="49"/>
        <v>13</v>
      </c>
      <c r="AI104" s="1572">
        <f t="shared" si="49"/>
        <v>26</v>
      </c>
      <c r="AJ104" s="1603">
        <f t="shared" ref="AJ104:AO104" si="50">SUM(AJ94,AJ98)</f>
        <v>13</v>
      </c>
      <c r="AK104" s="1571">
        <f t="shared" si="50"/>
        <v>14</v>
      </c>
      <c r="AL104" s="1572">
        <f t="shared" si="50"/>
        <v>27</v>
      </c>
      <c r="AM104" s="1603">
        <f t="shared" si="50"/>
        <v>11</v>
      </c>
      <c r="AN104" s="1571">
        <f t="shared" si="50"/>
        <v>14</v>
      </c>
      <c r="AO104" s="1572">
        <f t="shared" si="50"/>
        <v>25</v>
      </c>
    </row>
    <row r="105" spans="1:41" x14ac:dyDescent="0.25">
      <c r="A105" s="7155"/>
      <c r="B105" s="1599" t="s">
        <v>7</v>
      </c>
      <c r="C105" s="1603">
        <f t="shared" ref="C105:AC105" si="51">SUM(C84,C99)</f>
        <v>4</v>
      </c>
      <c r="D105" s="1571">
        <f t="shared" si="51"/>
        <v>8</v>
      </c>
      <c r="E105" s="1571">
        <f t="shared" si="51"/>
        <v>12</v>
      </c>
      <c r="F105" s="1603">
        <f t="shared" si="51"/>
        <v>2</v>
      </c>
      <c r="G105" s="1571">
        <f t="shared" si="51"/>
        <v>8</v>
      </c>
      <c r="H105" s="1571">
        <f t="shared" si="51"/>
        <v>10</v>
      </c>
      <c r="I105" s="1603">
        <f t="shared" si="51"/>
        <v>3</v>
      </c>
      <c r="J105" s="1571">
        <f t="shared" si="51"/>
        <v>8</v>
      </c>
      <c r="K105" s="1572">
        <f t="shared" si="51"/>
        <v>11</v>
      </c>
      <c r="L105" s="1571">
        <f t="shared" si="51"/>
        <v>3</v>
      </c>
      <c r="M105" s="1571">
        <f t="shared" si="51"/>
        <v>7</v>
      </c>
      <c r="N105" s="1571">
        <f t="shared" si="51"/>
        <v>10</v>
      </c>
      <c r="O105" s="1603">
        <f t="shared" si="51"/>
        <v>2</v>
      </c>
      <c r="P105" s="1571">
        <f t="shared" si="51"/>
        <v>11</v>
      </c>
      <c r="Q105" s="1572">
        <f t="shared" si="51"/>
        <v>13</v>
      </c>
      <c r="R105" s="1571">
        <f t="shared" si="51"/>
        <v>2</v>
      </c>
      <c r="S105" s="1571">
        <f t="shared" si="51"/>
        <v>11</v>
      </c>
      <c r="T105" s="1572">
        <f t="shared" si="51"/>
        <v>13</v>
      </c>
      <c r="U105" s="1603">
        <f t="shared" si="51"/>
        <v>2</v>
      </c>
      <c r="V105" s="1571">
        <f t="shared" si="51"/>
        <v>12</v>
      </c>
      <c r="W105" s="1572">
        <f t="shared" si="51"/>
        <v>14</v>
      </c>
      <c r="X105" s="1603">
        <f t="shared" si="51"/>
        <v>2</v>
      </c>
      <c r="Y105" s="1571">
        <f t="shared" si="51"/>
        <v>11</v>
      </c>
      <c r="Z105" s="1572">
        <f t="shared" si="51"/>
        <v>13</v>
      </c>
      <c r="AA105" s="1603">
        <f t="shared" si="51"/>
        <v>3</v>
      </c>
      <c r="AB105" s="1571">
        <f t="shared" si="51"/>
        <v>10</v>
      </c>
      <c r="AC105" s="1572">
        <f t="shared" si="51"/>
        <v>13</v>
      </c>
      <c r="AD105" s="1603">
        <f t="shared" ref="AD105:AI105" si="52">SUM(AD84,AD99)</f>
        <v>4</v>
      </c>
      <c r="AE105" s="1571">
        <f t="shared" si="52"/>
        <v>11</v>
      </c>
      <c r="AF105" s="1572">
        <f t="shared" si="52"/>
        <v>15</v>
      </c>
      <c r="AG105" s="1603">
        <f t="shared" si="52"/>
        <v>4</v>
      </c>
      <c r="AH105" s="1571">
        <f t="shared" si="52"/>
        <v>10</v>
      </c>
      <c r="AI105" s="1572">
        <f t="shared" si="52"/>
        <v>14</v>
      </c>
      <c r="AJ105" s="1603">
        <f t="shared" ref="AJ105:AO105" si="53">SUM(AJ84,AJ99)</f>
        <v>3</v>
      </c>
      <c r="AK105" s="1571">
        <f t="shared" si="53"/>
        <v>10</v>
      </c>
      <c r="AL105" s="1572">
        <f t="shared" si="53"/>
        <v>13</v>
      </c>
      <c r="AM105" s="1603">
        <f t="shared" si="53"/>
        <v>3</v>
      </c>
      <c r="AN105" s="1571">
        <f t="shared" si="53"/>
        <v>9</v>
      </c>
      <c r="AO105" s="1572">
        <f t="shared" si="53"/>
        <v>12</v>
      </c>
    </row>
    <row r="106" spans="1:41" x14ac:dyDescent="0.25">
      <c r="A106" s="7155"/>
      <c r="B106" s="1599" t="s">
        <v>9</v>
      </c>
      <c r="C106" s="1606"/>
      <c r="D106" s="1583"/>
      <c r="E106" s="1583"/>
      <c r="F106" s="1606"/>
      <c r="G106" s="1583"/>
      <c r="H106" s="1583"/>
      <c r="I106" s="1603"/>
      <c r="J106" s="1571"/>
      <c r="K106" s="1572"/>
      <c r="L106" s="1571"/>
      <c r="M106" s="1571"/>
      <c r="N106" s="1571"/>
      <c r="O106" s="1603"/>
      <c r="P106" s="1571"/>
      <c r="Q106" s="1572"/>
      <c r="R106" s="1571"/>
      <c r="S106" s="1571"/>
      <c r="T106" s="1572"/>
      <c r="U106" s="1603">
        <f t="shared" ref="U106:AF106" si="54">SUM(U88)</f>
        <v>1</v>
      </c>
      <c r="V106" s="1571">
        <f t="shared" si="54"/>
        <v>0</v>
      </c>
      <c r="W106" s="1572">
        <f t="shared" si="54"/>
        <v>1</v>
      </c>
      <c r="X106" s="1603">
        <f t="shared" si="54"/>
        <v>1</v>
      </c>
      <c r="Y106" s="1571">
        <f t="shared" si="54"/>
        <v>0</v>
      </c>
      <c r="Z106" s="1572">
        <f t="shared" si="54"/>
        <v>1</v>
      </c>
      <c r="AA106" s="1603">
        <f t="shared" si="54"/>
        <v>2</v>
      </c>
      <c r="AB106" s="1571">
        <f t="shared" si="54"/>
        <v>0</v>
      </c>
      <c r="AC106" s="1572">
        <f t="shared" si="54"/>
        <v>2</v>
      </c>
      <c r="AD106" s="1603">
        <f t="shared" si="54"/>
        <v>1</v>
      </c>
      <c r="AE106" s="1571">
        <f t="shared" si="54"/>
        <v>0</v>
      </c>
      <c r="AF106" s="1572">
        <f t="shared" si="54"/>
        <v>1</v>
      </c>
      <c r="AG106" s="1603">
        <f t="shared" ref="AG106:AL107" si="55">SUM(AG88)</f>
        <v>1</v>
      </c>
      <c r="AH106" s="1571">
        <f t="shared" si="55"/>
        <v>0</v>
      </c>
      <c r="AI106" s="1572">
        <f t="shared" si="55"/>
        <v>1</v>
      </c>
      <c r="AJ106" s="1603">
        <f t="shared" si="55"/>
        <v>0</v>
      </c>
      <c r="AK106" s="1571">
        <f t="shared" si="55"/>
        <v>0</v>
      </c>
      <c r="AL106" s="1572">
        <f t="shared" si="55"/>
        <v>0</v>
      </c>
      <c r="AM106" s="1603">
        <f t="shared" ref="AM106:AO106" si="56">SUM(AM88)</f>
        <v>0</v>
      </c>
      <c r="AN106" s="1571">
        <f t="shared" si="56"/>
        <v>0</v>
      </c>
      <c r="AO106" s="1572">
        <f t="shared" si="56"/>
        <v>0</v>
      </c>
    </row>
    <row r="107" spans="1:41" x14ac:dyDescent="0.25">
      <c r="A107" s="7155"/>
      <c r="B107" s="1614" t="s">
        <v>74</v>
      </c>
      <c r="C107" s="1615"/>
      <c r="D107" s="1616"/>
      <c r="E107" s="1616"/>
      <c r="F107" s="1615"/>
      <c r="G107" s="1616"/>
      <c r="H107" s="1616"/>
      <c r="I107" s="1603"/>
      <c r="J107" s="1571"/>
      <c r="K107" s="1572"/>
      <c r="L107" s="1571"/>
      <c r="M107" s="1571"/>
      <c r="N107" s="1571"/>
      <c r="O107" s="1603"/>
      <c r="P107" s="1571"/>
      <c r="Q107" s="1572"/>
      <c r="R107" s="1571"/>
      <c r="S107" s="1571"/>
      <c r="T107" s="1572"/>
      <c r="U107" s="1603"/>
      <c r="V107" s="1571"/>
      <c r="W107" s="1572"/>
      <c r="X107" s="1603">
        <f t="shared" ref="X107:AF107" si="57">SUM(X89)</f>
        <v>1</v>
      </c>
      <c r="Y107" s="1571">
        <f t="shared" si="57"/>
        <v>0</v>
      </c>
      <c r="Z107" s="1572">
        <f t="shared" si="57"/>
        <v>1</v>
      </c>
      <c r="AA107" s="1603">
        <f t="shared" si="57"/>
        <v>0</v>
      </c>
      <c r="AB107" s="1571">
        <f t="shared" si="57"/>
        <v>0</v>
      </c>
      <c r="AC107" s="1572">
        <f t="shared" si="57"/>
        <v>0</v>
      </c>
      <c r="AD107" s="1603">
        <f t="shared" si="57"/>
        <v>2</v>
      </c>
      <c r="AE107" s="1571">
        <f t="shared" si="57"/>
        <v>1</v>
      </c>
      <c r="AF107" s="1572">
        <f t="shared" si="57"/>
        <v>3</v>
      </c>
      <c r="AG107" s="1603">
        <f t="shared" si="55"/>
        <v>2</v>
      </c>
      <c r="AH107" s="1571">
        <f t="shared" si="55"/>
        <v>3</v>
      </c>
      <c r="AI107" s="1572">
        <f t="shared" si="55"/>
        <v>5</v>
      </c>
      <c r="AJ107" s="1603">
        <f t="shared" si="55"/>
        <v>2</v>
      </c>
      <c r="AK107" s="1571">
        <f t="shared" si="55"/>
        <v>3</v>
      </c>
      <c r="AL107" s="1572">
        <f t="shared" si="55"/>
        <v>5</v>
      </c>
      <c r="AM107" s="1603">
        <f t="shared" ref="AM107:AO107" si="58">SUM(AM89)</f>
        <v>2</v>
      </c>
      <c r="AN107" s="1571">
        <f t="shared" si="58"/>
        <v>3</v>
      </c>
      <c r="AO107" s="1572">
        <f t="shared" si="58"/>
        <v>5</v>
      </c>
    </row>
    <row r="108" spans="1:41" x14ac:dyDescent="0.25">
      <c r="A108" s="7156"/>
      <c r="B108" s="1607" t="s">
        <v>12</v>
      </c>
      <c r="C108" s="1608">
        <f t="shared" ref="C108:M108" si="59">SUM(C102:C105)</f>
        <v>53</v>
      </c>
      <c r="D108" s="1609">
        <f t="shared" si="59"/>
        <v>117</v>
      </c>
      <c r="E108" s="1609">
        <f t="shared" si="59"/>
        <v>170</v>
      </c>
      <c r="F108" s="1608">
        <f t="shared" si="59"/>
        <v>53</v>
      </c>
      <c r="G108" s="1609">
        <f t="shared" si="59"/>
        <v>112</v>
      </c>
      <c r="H108" s="1610">
        <f t="shared" si="59"/>
        <v>165</v>
      </c>
      <c r="I108" s="1609">
        <f t="shared" si="59"/>
        <v>52</v>
      </c>
      <c r="J108" s="1609">
        <f t="shared" si="59"/>
        <v>108</v>
      </c>
      <c r="K108" s="1609">
        <f t="shared" si="59"/>
        <v>160</v>
      </c>
      <c r="L108" s="1611">
        <f t="shared" si="59"/>
        <v>48</v>
      </c>
      <c r="M108" s="1592">
        <f t="shared" si="59"/>
        <v>103</v>
      </c>
      <c r="N108" s="1593">
        <f>SUM(L108:M108)</f>
        <v>151</v>
      </c>
      <c r="O108" s="1592">
        <f>SUM(O102:O105)</f>
        <v>44</v>
      </c>
      <c r="P108" s="1592">
        <f>SUM(P102:P105)</f>
        <v>104</v>
      </c>
      <c r="Q108" s="1593">
        <f>SUM(O108:P108)</f>
        <v>148</v>
      </c>
      <c r="R108" s="1592">
        <f>SUM(R102:R105)</f>
        <v>55</v>
      </c>
      <c r="S108" s="1592">
        <f>SUM(S102:S105)</f>
        <v>107</v>
      </c>
      <c r="T108" s="1593">
        <f>SUM(R108:S108)</f>
        <v>162</v>
      </c>
      <c r="U108" s="1611">
        <f>SUM(U102:U106)</f>
        <v>61</v>
      </c>
      <c r="V108" s="1592">
        <f>SUM(V102:V106)</f>
        <v>105</v>
      </c>
      <c r="W108" s="1593">
        <f>SUM(U108:V108)</f>
        <v>166</v>
      </c>
      <c r="X108" s="1611">
        <f>SUM(X102:X107)</f>
        <v>62</v>
      </c>
      <c r="Y108" s="1592">
        <f>SUM(Y102:Y106)</f>
        <v>105</v>
      </c>
      <c r="Z108" s="1593">
        <f>SUM(X108:Y108)</f>
        <v>167</v>
      </c>
      <c r="AA108" s="1611">
        <f>SUM(AA102:AA107)</f>
        <v>60</v>
      </c>
      <c r="AB108" s="1592">
        <f>SUM(AB102:AB106)</f>
        <v>100</v>
      </c>
      <c r="AC108" s="1593">
        <f>SUM(AA108:AB108)</f>
        <v>160</v>
      </c>
      <c r="AD108" s="1611">
        <f t="shared" ref="AD108:AI108" si="60">SUM(AD102:AD107)</f>
        <v>66</v>
      </c>
      <c r="AE108" s="1592">
        <f t="shared" si="60"/>
        <v>105</v>
      </c>
      <c r="AF108" s="1593">
        <f t="shared" si="60"/>
        <v>171</v>
      </c>
      <c r="AG108" s="1611">
        <f t="shared" si="60"/>
        <v>63</v>
      </c>
      <c r="AH108" s="1592">
        <f t="shared" si="60"/>
        <v>97</v>
      </c>
      <c r="AI108" s="1593">
        <f t="shared" si="60"/>
        <v>160</v>
      </c>
      <c r="AJ108" s="1611">
        <f t="shared" ref="AJ108:AO108" si="61">SUM(AJ102:AJ107)</f>
        <v>61</v>
      </c>
      <c r="AK108" s="1592">
        <f t="shared" si="61"/>
        <v>93</v>
      </c>
      <c r="AL108" s="1593">
        <f t="shared" si="61"/>
        <v>154</v>
      </c>
      <c r="AM108" s="1611">
        <f t="shared" si="61"/>
        <v>60</v>
      </c>
      <c r="AN108" s="1592">
        <f t="shared" si="61"/>
        <v>89</v>
      </c>
      <c r="AO108" s="1593">
        <f t="shared" si="61"/>
        <v>149</v>
      </c>
    </row>
    <row r="110" spans="1:41" ht="36.75" customHeight="1" x14ac:dyDescent="0.3">
      <c r="A110" s="7171" t="s">
        <v>758</v>
      </c>
      <c r="B110" s="7171"/>
      <c r="AF110" s="2550"/>
      <c r="AL110" s="4584"/>
      <c r="AO110" s="5256" t="s">
        <v>76</v>
      </c>
    </row>
    <row r="111" spans="1:41" x14ac:dyDescent="0.25">
      <c r="C111" s="1612"/>
      <c r="D111" s="1612"/>
      <c r="E111" s="1612"/>
      <c r="F111" s="1612"/>
      <c r="G111" s="1612"/>
      <c r="H111" s="1612"/>
      <c r="I111" s="1612"/>
      <c r="J111" s="1612"/>
      <c r="K111" s="1612"/>
      <c r="L111" s="1612"/>
      <c r="M111" s="1612"/>
      <c r="N111" s="1612"/>
      <c r="O111" s="1612"/>
      <c r="P111" s="1612"/>
      <c r="Q111" s="1612"/>
      <c r="R111" s="1612"/>
      <c r="S111" s="1612"/>
      <c r="T111" s="1612"/>
    </row>
    <row r="112" spans="1:41" x14ac:dyDescent="0.25">
      <c r="A112" s="5653" t="s">
        <v>16</v>
      </c>
      <c r="B112" s="5653" t="s">
        <v>4</v>
      </c>
      <c r="C112" s="7148">
        <v>2005</v>
      </c>
      <c r="D112" s="7149"/>
      <c r="E112" s="7150"/>
      <c r="F112" s="7148">
        <v>2006</v>
      </c>
      <c r="G112" s="7149"/>
      <c r="H112" s="7150"/>
      <c r="I112" s="7148">
        <v>2007</v>
      </c>
      <c r="J112" s="7149"/>
      <c r="K112" s="7150"/>
      <c r="L112" s="7148">
        <v>2008</v>
      </c>
      <c r="M112" s="7149"/>
      <c r="N112" s="7150"/>
      <c r="O112" s="7148">
        <v>2009</v>
      </c>
      <c r="P112" s="7149"/>
      <c r="Q112" s="7150"/>
      <c r="R112" s="7148">
        <v>2010</v>
      </c>
      <c r="S112" s="7149"/>
      <c r="T112" s="7150"/>
      <c r="U112" s="7148">
        <v>2011</v>
      </c>
      <c r="V112" s="7149"/>
      <c r="W112" s="7150"/>
      <c r="X112" s="7148">
        <v>2012</v>
      </c>
      <c r="Y112" s="7149"/>
      <c r="Z112" s="7150"/>
      <c r="AA112" s="7148">
        <v>2013</v>
      </c>
      <c r="AB112" s="7149"/>
      <c r="AC112" s="7150"/>
      <c r="AD112" s="7148">
        <v>2014</v>
      </c>
      <c r="AE112" s="7149"/>
      <c r="AF112" s="7150"/>
      <c r="AG112" s="7148">
        <v>2015</v>
      </c>
      <c r="AH112" s="7149"/>
      <c r="AI112" s="7150"/>
      <c r="AJ112" s="7148">
        <v>2016</v>
      </c>
      <c r="AK112" s="7149"/>
      <c r="AL112" s="7150"/>
      <c r="AM112" s="7148">
        <v>2016</v>
      </c>
      <c r="AN112" s="7149"/>
      <c r="AO112" s="7150"/>
    </row>
    <row r="113" spans="1:41" x14ac:dyDescent="0.25">
      <c r="A113" s="5654"/>
      <c r="B113" s="5654"/>
      <c r="C113" s="1617" t="s">
        <v>638</v>
      </c>
      <c r="D113" s="1617" t="s">
        <v>639</v>
      </c>
      <c r="E113" s="1553" t="s">
        <v>12</v>
      </c>
      <c r="F113" s="1617" t="s">
        <v>638</v>
      </c>
      <c r="G113" s="1617" t="s">
        <v>639</v>
      </c>
      <c r="H113" s="1553" t="s">
        <v>12</v>
      </c>
      <c r="I113" s="1617" t="s">
        <v>638</v>
      </c>
      <c r="J113" s="1617" t="s">
        <v>639</v>
      </c>
      <c r="K113" s="1553" t="s">
        <v>12</v>
      </c>
      <c r="L113" s="1617" t="s">
        <v>638</v>
      </c>
      <c r="M113" s="1617" t="s">
        <v>639</v>
      </c>
      <c r="N113" s="1553" t="s">
        <v>12</v>
      </c>
      <c r="O113" s="1617" t="s">
        <v>638</v>
      </c>
      <c r="P113" s="1617" t="s">
        <v>639</v>
      </c>
      <c r="Q113" s="1553" t="s">
        <v>12</v>
      </c>
      <c r="R113" s="1617" t="s">
        <v>638</v>
      </c>
      <c r="S113" s="1617" t="s">
        <v>639</v>
      </c>
      <c r="T113" s="1553" t="s">
        <v>12</v>
      </c>
      <c r="U113" s="1617" t="s">
        <v>638</v>
      </c>
      <c r="V113" s="1617" t="s">
        <v>639</v>
      </c>
      <c r="W113" s="1553" t="s">
        <v>12</v>
      </c>
      <c r="X113" s="1617" t="s">
        <v>638</v>
      </c>
      <c r="Y113" s="1617" t="s">
        <v>639</v>
      </c>
      <c r="Z113" s="1553" t="s">
        <v>12</v>
      </c>
      <c r="AA113" s="1617" t="s">
        <v>638</v>
      </c>
      <c r="AB113" s="1617" t="s">
        <v>639</v>
      </c>
      <c r="AC113" s="1553" t="s">
        <v>12</v>
      </c>
      <c r="AD113" s="1617" t="s">
        <v>638</v>
      </c>
      <c r="AE113" s="1617" t="s">
        <v>639</v>
      </c>
      <c r="AF113" s="1553" t="s">
        <v>12</v>
      </c>
      <c r="AG113" s="1617" t="s">
        <v>638</v>
      </c>
      <c r="AH113" s="1617" t="s">
        <v>639</v>
      </c>
      <c r="AI113" s="1553" t="s">
        <v>12</v>
      </c>
      <c r="AJ113" s="1617" t="s">
        <v>638</v>
      </c>
      <c r="AK113" s="1617" t="s">
        <v>639</v>
      </c>
      <c r="AL113" s="1553" t="s">
        <v>12</v>
      </c>
      <c r="AM113" s="1617" t="s">
        <v>638</v>
      </c>
      <c r="AN113" s="1617" t="s">
        <v>639</v>
      </c>
      <c r="AO113" s="1553" t="s">
        <v>12</v>
      </c>
    </row>
    <row r="114" spans="1:41" x14ac:dyDescent="0.25">
      <c r="A114" s="1613"/>
      <c r="B114" s="1613"/>
    </row>
    <row r="115" spans="1:41" x14ac:dyDescent="0.25">
      <c r="A115" s="7163" t="s">
        <v>161</v>
      </c>
      <c r="B115" s="1594" t="s">
        <v>5</v>
      </c>
      <c r="C115" s="1595">
        <f t="shared" ref="C115:AE115" si="62">SUM(C6,C44,C82)</f>
        <v>79</v>
      </c>
      <c r="D115" s="1596">
        <f t="shared" si="62"/>
        <v>325</v>
      </c>
      <c r="E115" s="1596">
        <f t="shared" si="62"/>
        <v>404</v>
      </c>
      <c r="F115" s="1595">
        <f t="shared" si="62"/>
        <v>81</v>
      </c>
      <c r="G115" s="1596">
        <f t="shared" si="62"/>
        <v>326</v>
      </c>
      <c r="H115" s="1597">
        <f t="shared" si="62"/>
        <v>407</v>
      </c>
      <c r="I115" s="1595">
        <f t="shared" si="62"/>
        <v>85</v>
      </c>
      <c r="J115" s="1596">
        <f t="shared" si="62"/>
        <v>334</v>
      </c>
      <c r="K115" s="1597">
        <f t="shared" si="62"/>
        <v>419</v>
      </c>
      <c r="L115" s="1598">
        <f t="shared" si="62"/>
        <v>87</v>
      </c>
      <c r="M115" s="1562">
        <f t="shared" si="62"/>
        <v>327</v>
      </c>
      <c r="N115" s="1563">
        <f t="shared" si="62"/>
        <v>414</v>
      </c>
      <c r="O115" s="1562">
        <f t="shared" si="62"/>
        <v>84</v>
      </c>
      <c r="P115" s="1562">
        <f t="shared" si="62"/>
        <v>330</v>
      </c>
      <c r="Q115" s="1563">
        <f t="shared" si="62"/>
        <v>414</v>
      </c>
      <c r="R115" s="1598">
        <f t="shared" si="62"/>
        <v>87</v>
      </c>
      <c r="S115" s="1562">
        <f t="shared" si="62"/>
        <v>322</v>
      </c>
      <c r="T115" s="1563">
        <f t="shared" si="62"/>
        <v>409</v>
      </c>
      <c r="U115" s="1598">
        <f t="shared" si="62"/>
        <v>86</v>
      </c>
      <c r="V115" s="1562">
        <f t="shared" si="62"/>
        <v>319</v>
      </c>
      <c r="W115" s="1563">
        <f t="shared" si="62"/>
        <v>405</v>
      </c>
      <c r="X115" s="1598">
        <f t="shared" si="62"/>
        <v>87</v>
      </c>
      <c r="Y115" s="1562">
        <f t="shared" si="62"/>
        <v>321</v>
      </c>
      <c r="Z115" s="1563">
        <f t="shared" si="62"/>
        <v>408</v>
      </c>
      <c r="AA115" s="1598">
        <f t="shared" si="62"/>
        <v>87</v>
      </c>
      <c r="AB115" s="1562">
        <f t="shared" si="62"/>
        <v>320</v>
      </c>
      <c r="AC115" s="1563">
        <f t="shared" si="62"/>
        <v>407</v>
      </c>
      <c r="AD115" s="1598">
        <f t="shared" si="62"/>
        <v>94</v>
      </c>
      <c r="AE115" s="1562">
        <f t="shared" si="62"/>
        <v>320</v>
      </c>
      <c r="AF115" s="1563">
        <f>SUM(AD115:AE115)</f>
        <v>414</v>
      </c>
      <c r="AG115" s="1598">
        <f t="shared" ref="AG115:AH117" si="63">SUM(AG6,AG44,AG82)</f>
        <v>92</v>
      </c>
      <c r="AH115" s="1562">
        <f t="shared" si="63"/>
        <v>311</v>
      </c>
      <c r="AI115" s="1563">
        <f>SUM(AG115:AH115)</f>
        <v>403</v>
      </c>
      <c r="AJ115" s="1598">
        <f t="shared" ref="AJ115:AK117" si="64">SUM(AJ6,AJ44,AJ82)</f>
        <v>91</v>
      </c>
      <c r="AK115" s="1562">
        <f t="shared" si="64"/>
        <v>305</v>
      </c>
      <c r="AL115" s="1563">
        <f>SUM(AJ115:AK115)</f>
        <v>396</v>
      </c>
      <c r="AM115" s="1598">
        <f t="shared" ref="AM115:AN117" si="65">SUM(AM6,AM44,AM82)</f>
        <v>95</v>
      </c>
      <c r="AN115" s="1562">
        <f t="shared" si="65"/>
        <v>303</v>
      </c>
      <c r="AO115" s="1563">
        <f>SUM(AM115:AN115)</f>
        <v>398</v>
      </c>
    </row>
    <row r="116" spans="1:41" x14ac:dyDescent="0.25">
      <c r="A116" s="7164"/>
      <c r="B116" s="1599" t="s">
        <v>6</v>
      </c>
      <c r="C116" s="1600">
        <f t="shared" ref="C116:AE116" si="66">SUM(C7,C45,C83)</f>
        <v>135</v>
      </c>
      <c r="D116" s="1601">
        <f t="shared" si="66"/>
        <v>216</v>
      </c>
      <c r="E116" s="1601">
        <f t="shared" si="66"/>
        <v>351</v>
      </c>
      <c r="F116" s="1600">
        <f t="shared" si="66"/>
        <v>138</v>
      </c>
      <c r="G116" s="1601">
        <f t="shared" si="66"/>
        <v>223</v>
      </c>
      <c r="H116" s="1602">
        <f t="shared" si="66"/>
        <v>361</v>
      </c>
      <c r="I116" s="1600">
        <f t="shared" si="66"/>
        <v>144</v>
      </c>
      <c r="J116" s="1601">
        <f t="shared" si="66"/>
        <v>221</v>
      </c>
      <c r="K116" s="1602">
        <f t="shared" si="66"/>
        <v>365</v>
      </c>
      <c r="L116" s="1603">
        <f t="shared" si="66"/>
        <v>145</v>
      </c>
      <c r="M116" s="1571">
        <f t="shared" si="66"/>
        <v>219</v>
      </c>
      <c r="N116" s="1572">
        <f t="shared" si="66"/>
        <v>364</v>
      </c>
      <c r="O116" s="1571">
        <f t="shared" si="66"/>
        <v>142</v>
      </c>
      <c r="P116" s="1571">
        <f t="shared" si="66"/>
        <v>219</v>
      </c>
      <c r="Q116" s="1572">
        <f t="shared" si="66"/>
        <v>361</v>
      </c>
      <c r="R116" s="1603">
        <f t="shared" si="66"/>
        <v>142</v>
      </c>
      <c r="S116" s="1571">
        <f t="shared" si="66"/>
        <v>216</v>
      </c>
      <c r="T116" s="1572">
        <f t="shared" si="66"/>
        <v>358</v>
      </c>
      <c r="U116" s="1603">
        <f t="shared" si="66"/>
        <v>144</v>
      </c>
      <c r="V116" s="1571">
        <f t="shared" si="66"/>
        <v>223</v>
      </c>
      <c r="W116" s="1572">
        <f t="shared" si="66"/>
        <v>367</v>
      </c>
      <c r="X116" s="1603">
        <f t="shared" si="66"/>
        <v>145</v>
      </c>
      <c r="Y116" s="1571">
        <f t="shared" si="66"/>
        <v>220</v>
      </c>
      <c r="Z116" s="1572">
        <f t="shared" si="66"/>
        <v>365</v>
      </c>
      <c r="AA116" s="1603">
        <f t="shared" si="66"/>
        <v>149</v>
      </c>
      <c r="AB116" s="1571">
        <f t="shared" si="66"/>
        <v>225</v>
      </c>
      <c r="AC116" s="1572">
        <f t="shared" si="66"/>
        <v>374</v>
      </c>
      <c r="AD116" s="1603">
        <f t="shared" si="66"/>
        <v>150</v>
      </c>
      <c r="AE116" s="1571">
        <f t="shared" si="66"/>
        <v>224</v>
      </c>
      <c r="AF116" s="1572">
        <f>SUM(AD116:AE116)</f>
        <v>374</v>
      </c>
      <c r="AG116" s="1603">
        <f t="shared" si="63"/>
        <v>146</v>
      </c>
      <c r="AH116" s="1571">
        <f t="shared" si="63"/>
        <v>221</v>
      </c>
      <c r="AI116" s="1572">
        <f>SUM(AG116:AH116)</f>
        <v>367</v>
      </c>
      <c r="AJ116" s="1603">
        <f t="shared" si="64"/>
        <v>143</v>
      </c>
      <c r="AK116" s="1571">
        <f t="shared" si="64"/>
        <v>215</v>
      </c>
      <c r="AL116" s="1572">
        <f>SUM(AJ116:AK116)</f>
        <v>358</v>
      </c>
      <c r="AM116" s="1603">
        <f t="shared" si="65"/>
        <v>143</v>
      </c>
      <c r="AN116" s="1571">
        <f t="shared" si="65"/>
        <v>225</v>
      </c>
      <c r="AO116" s="1572">
        <f>SUM(AM116:AN116)</f>
        <v>368</v>
      </c>
    </row>
    <row r="117" spans="1:41" x14ac:dyDescent="0.25">
      <c r="A117" s="7164"/>
      <c r="B117" s="1599" t="s">
        <v>7</v>
      </c>
      <c r="C117" s="1600">
        <f t="shared" ref="C117:AE117" si="67">SUM(C8,C46,C84)</f>
        <v>76</v>
      </c>
      <c r="D117" s="1601">
        <f t="shared" si="67"/>
        <v>156</v>
      </c>
      <c r="E117" s="1601">
        <f t="shared" si="67"/>
        <v>232</v>
      </c>
      <c r="F117" s="1600">
        <f t="shared" si="67"/>
        <v>73</v>
      </c>
      <c r="G117" s="1601">
        <f t="shared" si="67"/>
        <v>153</v>
      </c>
      <c r="H117" s="1602">
        <f t="shared" si="67"/>
        <v>226</v>
      </c>
      <c r="I117" s="1600">
        <f t="shared" si="67"/>
        <v>79</v>
      </c>
      <c r="J117" s="1601">
        <f t="shared" si="67"/>
        <v>142</v>
      </c>
      <c r="K117" s="1602">
        <f t="shared" si="67"/>
        <v>221</v>
      </c>
      <c r="L117" s="1603">
        <f t="shared" si="67"/>
        <v>81</v>
      </c>
      <c r="M117" s="1571">
        <f t="shared" si="67"/>
        <v>138</v>
      </c>
      <c r="N117" s="1572">
        <f t="shared" si="67"/>
        <v>219</v>
      </c>
      <c r="O117" s="1571">
        <f t="shared" si="67"/>
        <v>85</v>
      </c>
      <c r="P117" s="1571">
        <f t="shared" si="67"/>
        <v>140</v>
      </c>
      <c r="Q117" s="1572">
        <f t="shared" si="67"/>
        <v>225</v>
      </c>
      <c r="R117" s="1603">
        <f t="shared" si="67"/>
        <v>90</v>
      </c>
      <c r="S117" s="1571">
        <f t="shared" si="67"/>
        <v>143</v>
      </c>
      <c r="T117" s="1572">
        <f t="shared" si="67"/>
        <v>233</v>
      </c>
      <c r="U117" s="1603">
        <f t="shared" si="67"/>
        <v>89</v>
      </c>
      <c r="V117" s="1571">
        <f t="shared" si="67"/>
        <v>147</v>
      </c>
      <c r="W117" s="1572">
        <f t="shared" si="67"/>
        <v>236</v>
      </c>
      <c r="X117" s="1603">
        <f t="shared" si="67"/>
        <v>88</v>
      </c>
      <c r="Y117" s="1571">
        <f t="shared" si="67"/>
        <v>148</v>
      </c>
      <c r="Z117" s="1572">
        <f t="shared" si="67"/>
        <v>236</v>
      </c>
      <c r="AA117" s="1603">
        <f t="shared" si="67"/>
        <v>89</v>
      </c>
      <c r="AB117" s="1571">
        <f t="shared" si="67"/>
        <v>149</v>
      </c>
      <c r="AC117" s="1572">
        <f t="shared" si="67"/>
        <v>238</v>
      </c>
      <c r="AD117" s="1603">
        <f t="shared" si="67"/>
        <v>95</v>
      </c>
      <c r="AE117" s="1571">
        <f t="shared" si="67"/>
        <v>156</v>
      </c>
      <c r="AF117" s="1572">
        <f>SUM(AD117:AE117)</f>
        <v>251</v>
      </c>
      <c r="AG117" s="1603">
        <f t="shared" si="63"/>
        <v>93</v>
      </c>
      <c r="AH117" s="1571">
        <f t="shared" si="63"/>
        <v>153</v>
      </c>
      <c r="AI117" s="1572">
        <f>SUM(AG117:AH117)</f>
        <v>246</v>
      </c>
      <c r="AJ117" s="1603">
        <f t="shared" si="64"/>
        <v>92</v>
      </c>
      <c r="AK117" s="1571">
        <f t="shared" si="64"/>
        <v>148</v>
      </c>
      <c r="AL117" s="1572">
        <f>SUM(AJ117:AK117)</f>
        <v>240</v>
      </c>
      <c r="AM117" s="1603">
        <f t="shared" si="65"/>
        <v>90</v>
      </c>
      <c r="AN117" s="1571">
        <f t="shared" si="65"/>
        <v>147</v>
      </c>
      <c r="AO117" s="1572">
        <f>SUM(AM117:AN117)</f>
        <v>237</v>
      </c>
    </row>
    <row r="118" spans="1:41" x14ac:dyDescent="0.25">
      <c r="A118" s="7165"/>
      <c r="B118" s="2531" t="s">
        <v>12</v>
      </c>
      <c r="C118" s="2532">
        <f>SUM(C115:C117)</f>
        <v>290</v>
      </c>
      <c r="D118" s="2533">
        <f t="shared" ref="D118:Q118" si="68">SUM(D115:D117)</f>
        <v>697</v>
      </c>
      <c r="E118" s="2533">
        <f t="shared" si="68"/>
        <v>987</v>
      </c>
      <c r="F118" s="2532">
        <f t="shared" si="68"/>
        <v>292</v>
      </c>
      <c r="G118" s="2533">
        <f t="shared" si="68"/>
        <v>702</v>
      </c>
      <c r="H118" s="2534">
        <f t="shared" si="68"/>
        <v>994</v>
      </c>
      <c r="I118" s="2532">
        <f t="shared" si="68"/>
        <v>308</v>
      </c>
      <c r="J118" s="2533">
        <f t="shared" si="68"/>
        <v>697</v>
      </c>
      <c r="K118" s="2534">
        <f t="shared" si="68"/>
        <v>1005</v>
      </c>
      <c r="L118" s="2535">
        <f t="shared" si="68"/>
        <v>313</v>
      </c>
      <c r="M118" s="2477">
        <f t="shared" si="68"/>
        <v>684</v>
      </c>
      <c r="N118" s="2478">
        <f t="shared" si="68"/>
        <v>997</v>
      </c>
      <c r="O118" s="2477">
        <f t="shared" si="68"/>
        <v>311</v>
      </c>
      <c r="P118" s="2477">
        <f t="shared" si="68"/>
        <v>689</v>
      </c>
      <c r="Q118" s="2478">
        <f t="shared" si="68"/>
        <v>1000</v>
      </c>
      <c r="R118" s="2535">
        <f>SUM(R115:R117)</f>
        <v>319</v>
      </c>
      <c r="S118" s="2477">
        <f>SUM(S115:S117)</f>
        <v>681</v>
      </c>
      <c r="T118" s="2478">
        <f>SUM(R118:S118)</f>
        <v>1000</v>
      </c>
      <c r="U118" s="2535">
        <f>SUM(U115:U117)</f>
        <v>319</v>
      </c>
      <c r="V118" s="2477">
        <f>SUM(V115:V117)</f>
        <v>689</v>
      </c>
      <c r="W118" s="2478">
        <f>SUM(U118:V118)</f>
        <v>1008</v>
      </c>
      <c r="X118" s="2535">
        <f>SUM(X115:X117)</f>
        <v>320</v>
      </c>
      <c r="Y118" s="2477">
        <f>SUM(Y115:Y117)</f>
        <v>689</v>
      </c>
      <c r="Z118" s="2478">
        <f>SUM(X118:Y118)</f>
        <v>1009</v>
      </c>
      <c r="AA118" s="2535">
        <f>SUM(AA115:AA117)</f>
        <v>325</v>
      </c>
      <c r="AB118" s="2477">
        <f>SUM(AB115:AB117)</f>
        <v>694</v>
      </c>
      <c r="AC118" s="2478">
        <f>SUM(AA118:AB118)</f>
        <v>1019</v>
      </c>
      <c r="AD118" s="2477">
        <f>SUM(AD115:AD117)</f>
        <v>339</v>
      </c>
      <c r="AE118" s="2477">
        <f>SUM(AE115:AE117)</f>
        <v>700</v>
      </c>
      <c r="AF118" s="2478">
        <f>SUM(AD118:AE118)</f>
        <v>1039</v>
      </c>
      <c r="AG118" s="2477">
        <f>SUM(AG115:AG117)</f>
        <v>331</v>
      </c>
      <c r="AH118" s="2477">
        <f>SUM(AH115:AH117)</f>
        <v>685</v>
      </c>
      <c r="AI118" s="2478">
        <f>SUM(AG118:AH118)</f>
        <v>1016</v>
      </c>
      <c r="AJ118" s="2477">
        <f>SUM(AJ115:AJ117)</f>
        <v>326</v>
      </c>
      <c r="AK118" s="2477">
        <f>SUM(AK115:AK117)</f>
        <v>668</v>
      </c>
      <c r="AL118" s="2478">
        <f>SUM(AJ118:AK118)</f>
        <v>994</v>
      </c>
      <c r="AM118" s="2477">
        <f>SUM(AM115:AM117)</f>
        <v>328</v>
      </c>
      <c r="AN118" s="2477">
        <f>SUM(AN115:AN117)</f>
        <v>675</v>
      </c>
      <c r="AO118" s="2478">
        <f>SUM(AM118:AN118)</f>
        <v>1003</v>
      </c>
    </row>
    <row r="120" spans="1:41" x14ac:dyDescent="0.25">
      <c r="A120" s="7160" t="s">
        <v>407</v>
      </c>
      <c r="B120" s="1594" t="s">
        <v>6</v>
      </c>
      <c r="C120" s="1595">
        <f t="shared" ref="C120:AE120" si="69">SUM(C11,C49,C87)</f>
        <v>2</v>
      </c>
      <c r="D120" s="1596">
        <f t="shared" si="69"/>
        <v>2</v>
      </c>
      <c r="E120" s="1596">
        <f t="shared" si="69"/>
        <v>4</v>
      </c>
      <c r="F120" s="1595">
        <f t="shared" si="69"/>
        <v>2</v>
      </c>
      <c r="G120" s="1596">
        <f t="shared" si="69"/>
        <v>5</v>
      </c>
      <c r="H120" s="1597">
        <f t="shared" si="69"/>
        <v>7</v>
      </c>
      <c r="I120" s="1595">
        <f t="shared" si="69"/>
        <v>8</v>
      </c>
      <c r="J120" s="1596">
        <f t="shared" si="69"/>
        <v>14</v>
      </c>
      <c r="K120" s="1597">
        <f t="shared" si="69"/>
        <v>22</v>
      </c>
      <c r="L120" s="1598">
        <f t="shared" si="69"/>
        <v>8</v>
      </c>
      <c r="M120" s="1562">
        <f t="shared" si="69"/>
        <v>17</v>
      </c>
      <c r="N120" s="1563">
        <f t="shared" si="69"/>
        <v>25</v>
      </c>
      <c r="O120" s="1562">
        <f t="shared" si="69"/>
        <v>11</v>
      </c>
      <c r="P120" s="1562">
        <f t="shared" si="69"/>
        <v>20</v>
      </c>
      <c r="Q120" s="1563">
        <f t="shared" si="69"/>
        <v>31</v>
      </c>
      <c r="R120" s="1598">
        <f t="shared" si="69"/>
        <v>19</v>
      </c>
      <c r="S120" s="1562">
        <f t="shared" si="69"/>
        <v>22</v>
      </c>
      <c r="T120" s="1563">
        <f t="shared" si="69"/>
        <v>41</v>
      </c>
      <c r="U120" s="1598">
        <f t="shared" si="69"/>
        <v>24</v>
      </c>
      <c r="V120" s="1562">
        <f t="shared" si="69"/>
        <v>25</v>
      </c>
      <c r="W120" s="1563">
        <f t="shared" si="69"/>
        <v>49</v>
      </c>
      <c r="X120" s="1598">
        <f t="shared" si="69"/>
        <v>21</v>
      </c>
      <c r="Y120" s="1562">
        <f t="shared" si="69"/>
        <v>24</v>
      </c>
      <c r="Z120" s="1563">
        <f t="shared" si="69"/>
        <v>45</v>
      </c>
      <c r="AA120" s="1598">
        <f t="shared" si="69"/>
        <v>23</v>
      </c>
      <c r="AB120" s="1562">
        <f t="shared" si="69"/>
        <v>26</v>
      </c>
      <c r="AC120" s="1563">
        <f t="shared" si="69"/>
        <v>49</v>
      </c>
      <c r="AD120" s="1598">
        <f t="shared" si="69"/>
        <v>24</v>
      </c>
      <c r="AE120" s="1562">
        <f t="shared" si="69"/>
        <v>27</v>
      </c>
      <c r="AF120" s="1563">
        <f>SUM(AD120:AE120)</f>
        <v>51</v>
      </c>
      <c r="AG120" s="1598">
        <f t="shared" ref="AG120:AH122" si="70">SUM(AG11,AG49,AG87)</f>
        <v>23</v>
      </c>
      <c r="AH120" s="1562">
        <f t="shared" si="70"/>
        <v>28</v>
      </c>
      <c r="AI120" s="1563">
        <f>SUM(AG120:AH120)</f>
        <v>51</v>
      </c>
      <c r="AJ120" s="1598">
        <f t="shared" ref="AJ120:AK122" si="71">SUM(AJ11,AJ49,AJ87)</f>
        <v>26</v>
      </c>
      <c r="AK120" s="1562">
        <f t="shared" si="71"/>
        <v>32</v>
      </c>
      <c r="AL120" s="1563">
        <f>SUM(AJ120:AK120)</f>
        <v>58</v>
      </c>
      <c r="AM120" s="1598">
        <f t="shared" ref="AM120:AN122" si="72">SUM(AM11,AM49,AM87)</f>
        <v>27</v>
      </c>
      <c r="AN120" s="1562">
        <f t="shared" si="72"/>
        <v>36</v>
      </c>
      <c r="AO120" s="1563">
        <f>SUM(AM120:AN120)</f>
        <v>63</v>
      </c>
    </row>
    <row r="121" spans="1:41" x14ac:dyDescent="0.25">
      <c r="A121" s="7161"/>
      <c r="B121" s="1599" t="s">
        <v>9</v>
      </c>
      <c r="C121" s="1600">
        <f t="shared" ref="C121:AE121" si="73">SUM(C12,C50,C88)</f>
        <v>1</v>
      </c>
      <c r="D121" s="1601">
        <f t="shared" si="73"/>
        <v>2</v>
      </c>
      <c r="E121" s="1601">
        <f t="shared" si="73"/>
        <v>3</v>
      </c>
      <c r="F121" s="1600">
        <f t="shared" si="73"/>
        <v>2</v>
      </c>
      <c r="G121" s="1601">
        <f t="shared" si="73"/>
        <v>7</v>
      </c>
      <c r="H121" s="1602">
        <f t="shared" si="73"/>
        <v>9</v>
      </c>
      <c r="I121" s="1600">
        <f t="shared" si="73"/>
        <v>4</v>
      </c>
      <c r="J121" s="1601">
        <f t="shared" si="73"/>
        <v>9</v>
      </c>
      <c r="K121" s="1602">
        <f t="shared" si="73"/>
        <v>13</v>
      </c>
      <c r="L121" s="1603">
        <f t="shared" si="73"/>
        <v>7</v>
      </c>
      <c r="M121" s="1571">
        <f t="shared" si="73"/>
        <v>17</v>
      </c>
      <c r="N121" s="1572">
        <f t="shared" si="73"/>
        <v>24</v>
      </c>
      <c r="O121" s="1571">
        <f t="shared" si="73"/>
        <v>8</v>
      </c>
      <c r="P121" s="1571">
        <f t="shared" si="73"/>
        <v>22</v>
      </c>
      <c r="Q121" s="1572">
        <f t="shared" si="73"/>
        <v>30</v>
      </c>
      <c r="R121" s="1603">
        <f t="shared" si="73"/>
        <v>13</v>
      </c>
      <c r="S121" s="1571">
        <f t="shared" si="73"/>
        <v>25</v>
      </c>
      <c r="T121" s="1572">
        <f t="shared" si="73"/>
        <v>38</v>
      </c>
      <c r="U121" s="1603">
        <f t="shared" si="73"/>
        <v>16</v>
      </c>
      <c r="V121" s="1571">
        <f t="shared" si="73"/>
        <v>26</v>
      </c>
      <c r="W121" s="1572">
        <f t="shared" si="73"/>
        <v>42</v>
      </c>
      <c r="X121" s="1603">
        <f t="shared" si="73"/>
        <v>18</v>
      </c>
      <c r="Y121" s="1571">
        <f t="shared" si="73"/>
        <v>35</v>
      </c>
      <c r="Z121" s="1572">
        <f t="shared" si="73"/>
        <v>53</v>
      </c>
      <c r="AA121" s="1603">
        <f t="shared" si="73"/>
        <v>17</v>
      </c>
      <c r="AB121" s="1571">
        <f t="shared" si="73"/>
        <v>36</v>
      </c>
      <c r="AC121" s="1572">
        <f t="shared" si="73"/>
        <v>53</v>
      </c>
      <c r="AD121" s="1603">
        <f t="shared" si="73"/>
        <v>14</v>
      </c>
      <c r="AE121" s="1571">
        <f t="shared" si="73"/>
        <v>39</v>
      </c>
      <c r="AF121" s="1572">
        <f>SUM(AD121:AE121)</f>
        <v>53</v>
      </c>
      <c r="AG121" s="1603">
        <f t="shared" si="70"/>
        <v>14</v>
      </c>
      <c r="AH121" s="1571">
        <f t="shared" si="70"/>
        <v>41</v>
      </c>
      <c r="AI121" s="1572">
        <f>SUM(AG121:AH121)</f>
        <v>55</v>
      </c>
      <c r="AJ121" s="1603">
        <f t="shared" si="71"/>
        <v>14</v>
      </c>
      <c r="AK121" s="1571">
        <f t="shared" si="71"/>
        <v>39</v>
      </c>
      <c r="AL121" s="1572">
        <f>SUM(AJ121:AK121)</f>
        <v>53</v>
      </c>
      <c r="AM121" s="1603">
        <f t="shared" si="72"/>
        <v>15</v>
      </c>
      <c r="AN121" s="1571">
        <f t="shared" si="72"/>
        <v>37</v>
      </c>
      <c r="AO121" s="1572">
        <f>SUM(AM121:AN121)</f>
        <v>52</v>
      </c>
    </row>
    <row r="122" spans="1:41" x14ac:dyDescent="0.25">
      <c r="A122" s="7161"/>
      <c r="B122" s="1599" t="s">
        <v>74</v>
      </c>
      <c r="C122" s="1600">
        <f t="shared" ref="C122:AE122" si="74">SUM(C13,C51,C89)</f>
        <v>1</v>
      </c>
      <c r="D122" s="1601">
        <f t="shared" si="74"/>
        <v>5</v>
      </c>
      <c r="E122" s="1601">
        <f t="shared" si="74"/>
        <v>6</v>
      </c>
      <c r="F122" s="1600">
        <f t="shared" si="74"/>
        <v>1</v>
      </c>
      <c r="G122" s="1601">
        <f t="shared" si="74"/>
        <v>5</v>
      </c>
      <c r="H122" s="1602">
        <f t="shared" si="74"/>
        <v>6</v>
      </c>
      <c r="I122" s="1600">
        <f t="shared" si="74"/>
        <v>5</v>
      </c>
      <c r="J122" s="1601">
        <f t="shared" si="74"/>
        <v>13</v>
      </c>
      <c r="K122" s="1602">
        <f t="shared" si="74"/>
        <v>18</v>
      </c>
      <c r="L122" s="1603">
        <f t="shared" si="74"/>
        <v>8</v>
      </c>
      <c r="M122" s="1571">
        <f t="shared" si="74"/>
        <v>15</v>
      </c>
      <c r="N122" s="1572">
        <f t="shared" si="74"/>
        <v>23</v>
      </c>
      <c r="O122" s="1571">
        <f t="shared" si="74"/>
        <v>8</v>
      </c>
      <c r="P122" s="1571">
        <f t="shared" si="74"/>
        <v>16</v>
      </c>
      <c r="Q122" s="1572">
        <f t="shared" si="74"/>
        <v>24</v>
      </c>
      <c r="R122" s="1603">
        <f t="shared" si="74"/>
        <v>9</v>
      </c>
      <c r="S122" s="1571">
        <f t="shared" si="74"/>
        <v>18</v>
      </c>
      <c r="T122" s="1572">
        <f t="shared" si="74"/>
        <v>27</v>
      </c>
      <c r="U122" s="1603">
        <f t="shared" si="74"/>
        <v>10</v>
      </c>
      <c r="V122" s="1571">
        <f t="shared" si="74"/>
        <v>23</v>
      </c>
      <c r="W122" s="1572">
        <f t="shared" si="74"/>
        <v>33</v>
      </c>
      <c r="X122" s="1603">
        <f t="shared" si="74"/>
        <v>14</v>
      </c>
      <c r="Y122" s="1571">
        <f t="shared" si="74"/>
        <v>23</v>
      </c>
      <c r="Z122" s="1572">
        <f t="shared" si="74"/>
        <v>37</v>
      </c>
      <c r="AA122" s="1603">
        <f t="shared" si="74"/>
        <v>15</v>
      </c>
      <c r="AB122" s="1571">
        <f t="shared" si="74"/>
        <v>23</v>
      </c>
      <c r="AC122" s="1572">
        <f t="shared" si="74"/>
        <v>38</v>
      </c>
      <c r="AD122" s="1603">
        <f t="shared" si="74"/>
        <v>19</v>
      </c>
      <c r="AE122" s="1571">
        <f t="shared" si="74"/>
        <v>27</v>
      </c>
      <c r="AF122" s="1572">
        <f>SUM(AD122:AE122)</f>
        <v>46</v>
      </c>
      <c r="AG122" s="1603">
        <f t="shared" si="70"/>
        <v>20</v>
      </c>
      <c r="AH122" s="1571">
        <f t="shared" si="70"/>
        <v>29</v>
      </c>
      <c r="AI122" s="1572">
        <f>SUM(AG122:AH122)</f>
        <v>49</v>
      </c>
      <c r="AJ122" s="1603">
        <f t="shared" si="71"/>
        <v>20</v>
      </c>
      <c r="AK122" s="1571">
        <f t="shared" si="71"/>
        <v>32</v>
      </c>
      <c r="AL122" s="1572">
        <f>SUM(AJ122:AK122)</f>
        <v>52</v>
      </c>
      <c r="AM122" s="1603">
        <f t="shared" si="72"/>
        <v>20</v>
      </c>
      <c r="AN122" s="1571">
        <f t="shared" si="72"/>
        <v>35</v>
      </c>
      <c r="AO122" s="1572">
        <f>SUM(AM122:AN122)</f>
        <v>55</v>
      </c>
    </row>
    <row r="123" spans="1:41" x14ac:dyDescent="0.25">
      <c r="A123" s="7162"/>
      <c r="B123" s="2526" t="s">
        <v>12</v>
      </c>
      <c r="C123" s="2527">
        <f t="shared" ref="C123:V123" si="75">SUM(C120:C122)</f>
        <v>4</v>
      </c>
      <c r="D123" s="2528">
        <f t="shared" si="75"/>
        <v>9</v>
      </c>
      <c r="E123" s="2528">
        <f t="shared" si="75"/>
        <v>13</v>
      </c>
      <c r="F123" s="2527">
        <f t="shared" si="75"/>
        <v>5</v>
      </c>
      <c r="G123" s="2528">
        <f t="shared" si="75"/>
        <v>17</v>
      </c>
      <c r="H123" s="2529">
        <f t="shared" si="75"/>
        <v>22</v>
      </c>
      <c r="I123" s="2527">
        <f t="shared" si="75"/>
        <v>17</v>
      </c>
      <c r="J123" s="2528">
        <f t="shared" si="75"/>
        <v>36</v>
      </c>
      <c r="K123" s="2529">
        <f t="shared" si="75"/>
        <v>53</v>
      </c>
      <c r="L123" s="2530">
        <f t="shared" si="75"/>
        <v>23</v>
      </c>
      <c r="M123" s="2486">
        <f t="shared" si="75"/>
        <v>49</v>
      </c>
      <c r="N123" s="2487">
        <f t="shared" si="75"/>
        <v>72</v>
      </c>
      <c r="O123" s="2486">
        <f t="shared" si="75"/>
        <v>27</v>
      </c>
      <c r="P123" s="2486">
        <f t="shared" si="75"/>
        <v>58</v>
      </c>
      <c r="Q123" s="2487">
        <f t="shared" si="75"/>
        <v>85</v>
      </c>
      <c r="R123" s="2530">
        <f t="shared" si="75"/>
        <v>41</v>
      </c>
      <c r="S123" s="2486">
        <f t="shared" si="75"/>
        <v>65</v>
      </c>
      <c r="T123" s="2487">
        <f t="shared" si="75"/>
        <v>106</v>
      </c>
      <c r="U123" s="2530">
        <f t="shared" si="75"/>
        <v>50</v>
      </c>
      <c r="V123" s="2486">
        <f t="shared" si="75"/>
        <v>74</v>
      </c>
      <c r="W123" s="2487">
        <f>SUM(U123:V123)</f>
        <v>124</v>
      </c>
      <c r="X123" s="2530">
        <f>SUM(X120:X122)</f>
        <v>53</v>
      </c>
      <c r="Y123" s="2486">
        <f>SUM(Y120:Y122)</f>
        <v>82</v>
      </c>
      <c r="Z123" s="2487">
        <f>SUM(X123:Y123)</f>
        <v>135</v>
      </c>
      <c r="AA123" s="2530">
        <f>SUM(AA120:AA122)</f>
        <v>55</v>
      </c>
      <c r="AB123" s="2486">
        <f>SUM(AB120:AB122)</f>
        <v>85</v>
      </c>
      <c r="AC123" s="2487">
        <f>SUM(AA123:AB123)</f>
        <v>140</v>
      </c>
      <c r="AD123" s="2486">
        <f>SUM(AD120:AD122)</f>
        <v>57</v>
      </c>
      <c r="AE123" s="2486">
        <f>SUM(AE120:AE122)</f>
        <v>93</v>
      </c>
      <c r="AF123" s="2487">
        <f>SUM(AD123:AE123)</f>
        <v>150</v>
      </c>
      <c r="AG123" s="2486">
        <f>SUM(AG120:AG122)</f>
        <v>57</v>
      </c>
      <c r="AH123" s="2486">
        <f>SUM(AH120:AH122)</f>
        <v>98</v>
      </c>
      <c r="AI123" s="2487">
        <f>SUM(AG123:AH123)</f>
        <v>155</v>
      </c>
      <c r="AJ123" s="2486">
        <f>SUM(AJ120:AJ122)</f>
        <v>60</v>
      </c>
      <c r="AK123" s="2486">
        <f>SUM(AK120:AK122)</f>
        <v>103</v>
      </c>
      <c r="AL123" s="2487">
        <f>SUM(AJ123:AK123)</f>
        <v>163</v>
      </c>
      <c r="AM123" s="2486">
        <f>SUM(AM120:AM122)</f>
        <v>62</v>
      </c>
      <c r="AN123" s="2486">
        <f>SUM(AN120:AN122)</f>
        <v>108</v>
      </c>
      <c r="AO123" s="2487">
        <f>SUM(AM123:AN123)</f>
        <v>170</v>
      </c>
    </row>
    <row r="125" spans="1:41" x14ac:dyDescent="0.25">
      <c r="A125" s="7166" t="s">
        <v>162</v>
      </c>
      <c r="B125" s="1555" t="s">
        <v>5</v>
      </c>
      <c r="C125" s="1595">
        <f t="shared" ref="C125:AE125" si="76">SUM(C16,C54,C92)</f>
        <v>61</v>
      </c>
      <c r="D125" s="1596">
        <f t="shared" si="76"/>
        <v>235</v>
      </c>
      <c r="E125" s="1596">
        <f t="shared" si="76"/>
        <v>296</v>
      </c>
      <c r="F125" s="1595">
        <f t="shared" si="76"/>
        <v>59</v>
      </c>
      <c r="G125" s="1596">
        <f t="shared" si="76"/>
        <v>237</v>
      </c>
      <c r="H125" s="1597">
        <f t="shared" si="76"/>
        <v>296</v>
      </c>
      <c r="I125" s="1595">
        <f t="shared" si="76"/>
        <v>60</v>
      </c>
      <c r="J125" s="1596">
        <f t="shared" si="76"/>
        <v>238</v>
      </c>
      <c r="K125" s="1597">
        <f t="shared" si="76"/>
        <v>298</v>
      </c>
      <c r="L125" s="1598">
        <f t="shared" si="76"/>
        <v>60</v>
      </c>
      <c r="M125" s="1562">
        <f t="shared" si="76"/>
        <v>238</v>
      </c>
      <c r="N125" s="1563">
        <f t="shared" si="76"/>
        <v>298</v>
      </c>
      <c r="O125" s="1562">
        <f t="shared" si="76"/>
        <v>60</v>
      </c>
      <c r="P125" s="1562">
        <f t="shared" si="76"/>
        <v>236</v>
      </c>
      <c r="Q125" s="1563">
        <f t="shared" si="76"/>
        <v>296</v>
      </c>
      <c r="R125" s="1598">
        <f t="shared" si="76"/>
        <v>62</v>
      </c>
      <c r="S125" s="1562">
        <f t="shared" si="76"/>
        <v>231</v>
      </c>
      <c r="T125" s="1563">
        <f t="shared" si="76"/>
        <v>293</v>
      </c>
      <c r="U125" s="1598">
        <f t="shared" si="76"/>
        <v>62</v>
      </c>
      <c r="V125" s="1562">
        <f t="shared" si="76"/>
        <v>232</v>
      </c>
      <c r="W125" s="1563">
        <f t="shared" si="76"/>
        <v>294</v>
      </c>
      <c r="X125" s="1598">
        <f t="shared" si="76"/>
        <v>61</v>
      </c>
      <c r="Y125" s="1562">
        <f t="shared" si="76"/>
        <v>233</v>
      </c>
      <c r="Z125" s="1563">
        <f t="shared" si="76"/>
        <v>294</v>
      </c>
      <c r="AA125" s="1598">
        <f t="shared" si="76"/>
        <v>62</v>
      </c>
      <c r="AB125" s="1562">
        <f t="shared" si="76"/>
        <v>237</v>
      </c>
      <c r="AC125" s="1563">
        <f t="shared" si="76"/>
        <v>299</v>
      </c>
      <c r="AD125" s="1598">
        <f t="shared" si="76"/>
        <v>63</v>
      </c>
      <c r="AE125" s="1562">
        <f t="shared" si="76"/>
        <v>238</v>
      </c>
      <c r="AF125" s="1563">
        <f>SUM(AD125:AE125)</f>
        <v>301</v>
      </c>
      <c r="AG125" s="1598">
        <f t="shared" ref="AG125:AH127" si="77">SUM(AG16,AG54,AG92)</f>
        <v>65</v>
      </c>
      <c r="AH125" s="1562">
        <f t="shared" si="77"/>
        <v>234</v>
      </c>
      <c r="AI125" s="1563">
        <f>SUM(AG125:AH125)</f>
        <v>299</v>
      </c>
      <c r="AJ125" s="1598">
        <f t="shared" ref="AJ125:AK127" si="78">SUM(AJ16,AJ54,AJ92)</f>
        <v>64</v>
      </c>
      <c r="AK125" s="1562">
        <f t="shared" si="78"/>
        <v>232</v>
      </c>
      <c r="AL125" s="1563">
        <f>SUM(AJ125:AK125)</f>
        <v>296</v>
      </c>
      <c r="AM125" s="1598">
        <f t="shared" ref="AM125:AN127" si="79">SUM(AM16,AM54,AM92)</f>
        <v>66</v>
      </c>
      <c r="AN125" s="1562">
        <f t="shared" si="79"/>
        <v>224</v>
      </c>
      <c r="AO125" s="1563">
        <f>SUM(AM125:AN125)</f>
        <v>290</v>
      </c>
    </row>
    <row r="126" spans="1:41" x14ac:dyDescent="0.25">
      <c r="A126" s="7167"/>
      <c r="B126" s="1564" t="s">
        <v>6</v>
      </c>
      <c r="C126" s="1600">
        <f t="shared" ref="C126:AE126" si="80">SUM(C17,C55,C93)</f>
        <v>128</v>
      </c>
      <c r="D126" s="1601">
        <f t="shared" si="80"/>
        <v>222</v>
      </c>
      <c r="E126" s="1601">
        <f t="shared" si="80"/>
        <v>350</v>
      </c>
      <c r="F126" s="1600">
        <f t="shared" si="80"/>
        <v>128</v>
      </c>
      <c r="G126" s="1601">
        <f t="shared" si="80"/>
        <v>224</v>
      </c>
      <c r="H126" s="1602">
        <f t="shared" si="80"/>
        <v>352</v>
      </c>
      <c r="I126" s="1600">
        <f t="shared" si="80"/>
        <v>127</v>
      </c>
      <c r="J126" s="1601">
        <f t="shared" si="80"/>
        <v>222</v>
      </c>
      <c r="K126" s="1602">
        <f t="shared" si="80"/>
        <v>349</v>
      </c>
      <c r="L126" s="1603">
        <f t="shared" si="80"/>
        <v>125</v>
      </c>
      <c r="M126" s="1571">
        <f t="shared" si="80"/>
        <v>225</v>
      </c>
      <c r="N126" s="1572">
        <f t="shared" si="80"/>
        <v>350</v>
      </c>
      <c r="O126" s="1571">
        <f t="shared" si="80"/>
        <v>123</v>
      </c>
      <c r="P126" s="1571">
        <f t="shared" si="80"/>
        <v>227</v>
      </c>
      <c r="Q126" s="1572">
        <f t="shared" si="80"/>
        <v>350</v>
      </c>
      <c r="R126" s="1603">
        <f t="shared" si="80"/>
        <v>129</v>
      </c>
      <c r="S126" s="1571">
        <f t="shared" si="80"/>
        <v>235</v>
      </c>
      <c r="T126" s="1572">
        <f t="shared" si="80"/>
        <v>364</v>
      </c>
      <c r="U126" s="1603">
        <f t="shared" si="80"/>
        <v>127</v>
      </c>
      <c r="V126" s="1571">
        <f t="shared" si="80"/>
        <v>225</v>
      </c>
      <c r="W126" s="1572">
        <f t="shared" si="80"/>
        <v>352</v>
      </c>
      <c r="X126" s="1603">
        <f t="shared" si="80"/>
        <v>128</v>
      </c>
      <c r="Y126" s="1571">
        <f t="shared" si="80"/>
        <v>229</v>
      </c>
      <c r="Z126" s="1572">
        <f t="shared" si="80"/>
        <v>357</v>
      </c>
      <c r="AA126" s="1603">
        <f t="shared" si="80"/>
        <v>131</v>
      </c>
      <c r="AB126" s="1571">
        <f t="shared" si="80"/>
        <v>226</v>
      </c>
      <c r="AC126" s="1572">
        <f t="shared" si="80"/>
        <v>357</v>
      </c>
      <c r="AD126" s="1603">
        <f t="shared" si="80"/>
        <v>134</v>
      </c>
      <c r="AE126" s="1571">
        <f t="shared" si="80"/>
        <v>228</v>
      </c>
      <c r="AF126" s="1572">
        <f>SUM(AD126:AE126)</f>
        <v>362</v>
      </c>
      <c r="AG126" s="1603">
        <f t="shared" si="77"/>
        <v>132</v>
      </c>
      <c r="AH126" s="1571">
        <f t="shared" si="77"/>
        <v>218</v>
      </c>
      <c r="AI126" s="1572">
        <f>SUM(AG126:AH126)</f>
        <v>350</v>
      </c>
      <c r="AJ126" s="1603">
        <f t="shared" si="78"/>
        <v>131</v>
      </c>
      <c r="AK126" s="1571">
        <f t="shared" si="78"/>
        <v>214</v>
      </c>
      <c r="AL126" s="1572">
        <f>SUM(AJ126:AK126)</f>
        <v>345</v>
      </c>
      <c r="AM126" s="1603">
        <f t="shared" si="79"/>
        <v>136</v>
      </c>
      <c r="AN126" s="1571">
        <f t="shared" si="79"/>
        <v>213</v>
      </c>
      <c r="AO126" s="1572">
        <f>SUM(AM126:AN126)</f>
        <v>349</v>
      </c>
    </row>
    <row r="127" spans="1:41" x14ac:dyDescent="0.25">
      <c r="A127" s="7167"/>
      <c r="B127" s="1564" t="s">
        <v>11</v>
      </c>
      <c r="C127" s="1600">
        <f t="shared" ref="C127:AE127" si="81">SUM(C18,C56,C94)</f>
        <v>121</v>
      </c>
      <c r="D127" s="1601">
        <f t="shared" si="81"/>
        <v>141</v>
      </c>
      <c r="E127" s="1601">
        <f t="shared" si="81"/>
        <v>262</v>
      </c>
      <c r="F127" s="1600">
        <f t="shared" si="81"/>
        <v>121</v>
      </c>
      <c r="G127" s="1601">
        <f t="shared" si="81"/>
        <v>137</v>
      </c>
      <c r="H127" s="1602">
        <f t="shared" si="81"/>
        <v>258</v>
      </c>
      <c r="I127" s="1600">
        <f t="shared" si="81"/>
        <v>122</v>
      </c>
      <c r="J127" s="1601">
        <f t="shared" si="81"/>
        <v>136</v>
      </c>
      <c r="K127" s="1602">
        <f t="shared" si="81"/>
        <v>258</v>
      </c>
      <c r="L127" s="1603">
        <f t="shared" si="81"/>
        <v>121</v>
      </c>
      <c r="M127" s="1571">
        <f t="shared" si="81"/>
        <v>129</v>
      </c>
      <c r="N127" s="1572">
        <f t="shared" si="81"/>
        <v>250</v>
      </c>
      <c r="O127" s="1571">
        <f t="shared" si="81"/>
        <v>119</v>
      </c>
      <c r="P127" s="1571">
        <f t="shared" si="81"/>
        <v>127</v>
      </c>
      <c r="Q127" s="1572">
        <f t="shared" si="81"/>
        <v>246</v>
      </c>
      <c r="R127" s="1603">
        <f t="shared" si="81"/>
        <v>117</v>
      </c>
      <c r="S127" s="1571">
        <f t="shared" si="81"/>
        <v>124</v>
      </c>
      <c r="T127" s="1572">
        <f t="shared" si="81"/>
        <v>241</v>
      </c>
      <c r="U127" s="1603">
        <f t="shared" si="81"/>
        <v>120</v>
      </c>
      <c r="V127" s="1571">
        <f t="shared" si="81"/>
        <v>134</v>
      </c>
      <c r="W127" s="1572">
        <f t="shared" si="81"/>
        <v>254</v>
      </c>
      <c r="X127" s="1603">
        <f t="shared" si="81"/>
        <v>117</v>
      </c>
      <c r="Y127" s="1571">
        <f t="shared" si="81"/>
        <v>131</v>
      </c>
      <c r="Z127" s="1572">
        <f t="shared" si="81"/>
        <v>248</v>
      </c>
      <c r="AA127" s="1603">
        <f t="shared" si="81"/>
        <v>122</v>
      </c>
      <c r="AB127" s="1571">
        <f t="shared" si="81"/>
        <v>128</v>
      </c>
      <c r="AC127" s="1572">
        <f t="shared" si="81"/>
        <v>250</v>
      </c>
      <c r="AD127" s="1603">
        <f t="shared" si="81"/>
        <v>122</v>
      </c>
      <c r="AE127" s="1571">
        <f t="shared" si="81"/>
        <v>132</v>
      </c>
      <c r="AF127" s="1572">
        <f>SUM(AD127:AE127)</f>
        <v>254</v>
      </c>
      <c r="AG127" s="1603">
        <f t="shared" si="77"/>
        <v>120</v>
      </c>
      <c r="AH127" s="1571">
        <f t="shared" si="77"/>
        <v>135</v>
      </c>
      <c r="AI127" s="1572">
        <f>SUM(AG127:AH127)</f>
        <v>255</v>
      </c>
      <c r="AJ127" s="1603">
        <f t="shared" si="78"/>
        <v>121</v>
      </c>
      <c r="AK127" s="1571">
        <f t="shared" si="78"/>
        <v>134</v>
      </c>
      <c r="AL127" s="1572">
        <f>SUM(AJ127:AK127)</f>
        <v>255</v>
      </c>
      <c r="AM127" s="1603">
        <f t="shared" si="79"/>
        <v>120</v>
      </c>
      <c r="AN127" s="1571">
        <f t="shared" si="79"/>
        <v>132</v>
      </c>
      <c r="AO127" s="1572">
        <f>SUM(AM127:AN127)</f>
        <v>252</v>
      </c>
    </row>
    <row r="128" spans="1:41" x14ac:dyDescent="0.25">
      <c r="A128" s="7168"/>
      <c r="B128" s="2488" t="s">
        <v>12</v>
      </c>
      <c r="C128" s="2516">
        <f t="shared" ref="C128:AB128" si="82">SUM(C125:C127)</f>
        <v>310</v>
      </c>
      <c r="D128" s="2517">
        <f t="shared" si="82"/>
        <v>598</v>
      </c>
      <c r="E128" s="2517">
        <f t="shared" si="82"/>
        <v>908</v>
      </c>
      <c r="F128" s="2516">
        <f t="shared" si="82"/>
        <v>308</v>
      </c>
      <c r="G128" s="2517">
        <f t="shared" si="82"/>
        <v>598</v>
      </c>
      <c r="H128" s="2518">
        <f t="shared" si="82"/>
        <v>906</v>
      </c>
      <c r="I128" s="2516">
        <f t="shared" si="82"/>
        <v>309</v>
      </c>
      <c r="J128" s="2517">
        <f t="shared" si="82"/>
        <v>596</v>
      </c>
      <c r="K128" s="2518">
        <f t="shared" si="82"/>
        <v>905</v>
      </c>
      <c r="L128" s="2519">
        <f t="shared" si="82"/>
        <v>306</v>
      </c>
      <c r="M128" s="2495">
        <f t="shared" si="82"/>
        <v>592</v>
      </c>
      <c r="N128" s="2496">
        <f t="shared" si="82"/>
        <v>898</v>
      </c>
      <c r="O128" s="2495">
        <f t="shared" si="82"/>
        <v>302</v>
      </c>
      <c r="P128" s="2495">
        <f t="shared" si="82"/>
        <v>590</v>
      </c>
      <c r="Q128" s="2496">
        <f t="shared" si="82"/>
        <v>892</v>
      </c>
      <c r="R128" s="2519">
        <f t="shared" si="82"/>
        <v>308</v>
      </c>
      <c r="S128" s="2495">
        <f t="shared" si="82"/>
        <v>590</v>
      </c>
      <c r="T128" s="2496">
        <f t="shared" si="82"/>
        <v>898</v>
      </c>
      <c r="U128" s="2519">
        <f t="shared" si="82"/>
        <v>309</v>
      </c>
      <c r="V128" s="2495">
        <f t="shared" si="82"/>
        <v>591</v>
      </c>
      <c r="W128" s="2496">
        <f t="shared" si="82"/>
        <v>900</v>
      </c>
      <c r="X128" s="2519">
        <f t="shared" si="82"/>
        <v>306</v>
      </c>
      <c r="Y128" s="2495">
        <f t="shared" si="82"/>
        <v>593</v>
      </c>
      <c r="Z128" s="2496">
        <f t="shared" si="82"/>
        <v>899</v>
      </c>
      <c r="AA128" s="2519">
        <f t="shared" si="82"/>
        <v>315</v>
      </c>
      <c r="AB128" s="2495">
        <f t="shared" si="82"/>
        <v>591</v>
      </c>
      <c r="AC128" s="2496">
        <f>SUM(AA128:AB128)</f>
        <v>906</v>
      </c>
      <c r="AD128" s="2495">
        <f>SUM(AD125:AD127)</f>
        <v>319</v>
      </c>
      <c r="AE128" s="2495">
        <f>SUM(AE125:AE127)</f>
        <v>598</v>
      </c>
      <c r="AF128" s="2496">
        <f>SUM(AD128:AE128)</f>
        <v>917</v>
      </c>
      <c r="AG128" s="2495">
        <f>SUM(AG125:AG127)</f>
        <v>317</v>
      </c>
      <c r="AH128" s="2495">
        <f>SUM(AH125:AH127)</f>
        <v>587</v>
      </c>
      <c r="AI128" s="2496">
        <f>SUM(AG128:AH128)</f>
        <v>904</v>
      </c>
      <c r="AJ128" s="2495">
        <f>SUM(AJ125:AJ127)</f>
        <v>316</v>
      </c>
      <c r="AK128" s="2495">
        <f>SUM(AK125:AK127)</f>
        <v>580</v>
      </c>
      <c r="AL128" s="2496">
        <f>SUM(AJ128:AK128)</f>
        <v>896</v>
      </c>
      <c r="AM128" s="2495">
        <f>SUM(AM125:AM127)</f>
        <v>322</v>
      </c>
      <c r="AN128" s="2495">
        <f>SUM(AN125:AN127)</f>
        <v>569</v>
      </c>
      <c r="AO128" s="2496">
        <f>SUM(AM128:AN128)</f>
        <v>891</v>
      </c>
    </row>
    <row r="130" spans="1:41" x14ac:dyDescent="0.25">
      <c r="A130" s="7157" t="s">
        <v>408</v>
      </c>
      <c r="B130" s="1555" t="s">
        <v>5</v>
      </c>
      <c r="C130" s="1598"/>
      <c r="D130" s="1562"/>
      <c r="E130" s="1563"/>
      <c r="F130" s="1598"/>
      <c r="G130" s="1562"/>
      <c r="H130" s="1563"/>
      <c r="I130" s="1598"/>
      <c r="J130" s="1562"/>
      <c r="K130" s="1563"/>
      <c r="L130" s="1598"/>
      <c r="M130" s="1562"/>
      <c r="N130" s="1563"/>
      <c r="O130" s="1598">
        <f t="shared" ref="O130:AE130" si="83">SUM(O21)</f>
        <v>0</v>
      </c>
      <c r="P130" s="1562">
        <f t="shared" si="83"/>
        <v>0</v>
      </c>
      <c r="Q130" s="1563">
        <f t="shared" si="83"/>
        <v>0</v>
      </c>
      <c r="R130" s="1598">
        <f t="shared" si="83"/>
        <v>0</v>
      </c>
      <c r="S130" s="1562">
        <f t="shared" si="83"/>
        <v>3</v>
      </c>
      <c r="T130" s="1563">
        <f t="shared" si="83"/>
        <v>3</v>
      </c>
      <c r="U130" s="1598">
        <f t="shared" si="83"/>
        <v>0</v>
      </c>
      <c r="V130" s="1562">
        <f t="shared" si="83"/>
        <v>4</v>
      </c>
      <c r="W130" s="1563">
        <f t="shared" si="83"/>
        <v>4</v>
      </c>
      <c r="X130" s="1598">
        <f t="shared" si="83"/>
        <v>1</v>
      </c>
      <c r="Y130" s="1562">
        <f t="shared" si="83"/>
        <v>6</v>
      </c>
      <c r="Z130" s="1563">
        <f t="shared" si="83"/>
        <v>7</v>
      </c>
      <c r="AA130" s="1598">
        <f t="shared" si="83"/>
        <v>1</v>
      </c>
      <c r="AB130" s="1562">
        <f t="shared" si="83"/>
        <v>7</v>
      </c>
      <c r="AC130" s="1563">
        <f t="shared" si="83"/>
        <v>8</v>
      </c>
      <c r="AD130" s="1598">
        <f t="shared" si="83"/>
        <v>1</v>
      </c>
      <c r="AE130" s="1562">
        <f t="shared" si="83"/>
        <v>9</v>
      </c>
      <c r="AF130" s="1563">
        <f>SUM(AD130:AE130)</f>
        <v>10</v>
      </c>
      <c r="AG130" s="1598">
        <f t="shared" ref="AG130:AH132" si="84">SUM(AG21)</f>
        <v>2</v>
      </c>
      <c r="AH130" s="1562">
        <f t="shared" si="84"/>
        <v>13</v>
      </c>
      <c r="AI130" s="1563">
        <f>SUM(AG130:AH130)</f>
        <v>15</v>
      </c>
      <c r="AJ130" s="1598">
        <f t="shared" ref="AJ130:AK132" si="85">SUM(AJ21)</f>
        <v>3</v>
      </c>
      <c r="AK130" s="1562">
        <f t="shared" si="85"/>
        <v>13</v>
      </c>
      <c r="AL130" s="1563">
        <f>SUM(AJ130:AK130)</f>
        <v>16</v>
      </c>
      <c r="AM130" s="1598">
        <f>SUM(AM21)</f>
        <v>3</v>
      </c>
      <c r="AN130" s="1562">
        <f>SUM(AN21)</f>
        <v>16</v>
      </c>
      <c r="AO130" s="1563">
        <f>SUM(AM130:AN130)</f>
        <v>19</v>
      </c>
    </row>
    <row r="131" spans="1:41" x14ac:dyDescent="0.25">
      <c r="A131" s="7158"/>
      <c r="B131" s="1564" t="s">
        <v>6</v>
      </c>
      <c r="C131" s="1603"/>
      <c r="D131" s="1571"/>
      <c r="E131" s="1572"/>
      <c r="F131" s="1603"/>
      <c r="G131" s="1571"/>
      <c r="H131" s="1572"/>
      <c r="I131" s="1603"/>
      <c r="J131" s="1571"/>
      <c r="K131" s="1572"/>
      <c r="L131" s="1603"/>
      <c r="M131" s="1571"/>
      <c r="N131" s="1572"/>
      <c r="O131" s="1603">
        <f t="shared" ref="O131:AE131" si="86">SUM(O22)</f>
        <v>0</v>
      </c>
      <c r="P131" s="1571">
        <f t="shared" si="86"/>
        <v>0</v>
      </c>
      <c r="Q131" s="1572">
        <f t="shared" si="86"/>
        <v>0</v>
      </c>
      <c r="R131" s="1603">
        <f t="shared" si="86"/>
        <v>1</v>
      </c>
      <c r="S131" s="1571">
        <f t="shared" si="86"/>
        <v>1</v>
      </c>
      <c r="T131" s="1572">
        <f t="shared" si="86"/>
        <v>2</v>
      </c>
      <c r="U131" s="1603">
        <f t="shared" si="86"/>
        <v>1</v>
      </c>
      <c r="V131" s="1571">
        <f t="shared" si="86"/>
        <v>2</v>
      </c>
      <c r="W131" s="1572">
        <f t="shared" si="86"/>
        <v>3</v>
      </c>
      <c r="X131" s="1603">
        <f t="shared" si="86"/>
        <v>3</v>
      </c>
      <c r="Y131" s="1571">
        <f t="shared" si="86"/>
        <v>3</v>
      </c>
      <c r="Z131" s="1572">
        <f t="shared" si="86"/>
        <v>6</v>
      </c>
      <c r="AA131" s="1603">
        <f t="shared" si="86"/>
        <v>3</v>
      </c>
      <c r="AB131" s="1571">
        <f t="shared" si="86"/>
        <v>4</v>
      </c>
      <c r="AC131" s="1572">
        <f t="shared" si="86"/>
        <v>7</v>
      </c>
      <c r="AD131" s="1603">
        <f t="shared" si="86"/>
        <v>4</v>
      </c>
      <c r="AE131" s="1571">
        <f t="shared" si="86"/>
        <v>9</v>
      </c>
      <c r="AF131" s="1572">
        <f>SUM(AD131:AE131)</f>
        <v>13</v>
      </c>
      <c r="AG131" s="1603">
        <f t="shared" si="84"/>
        <v>5</v>
      </c>
      <c r="AH131" s="1571">
        <f t="shared" si="84"/>
        <v>8</v>
      </c>
      <c r="AI131" s="1572">
        <f>SUM(AG131:AH131)</f>
        <v>13</v>
      </c>
      <c r="AJ131" s="1603">
        <f t="shared" si="85"/>
        <v>9</v>
      </c>
      <c r="AK131" s="1571">
        <f t="shared" si="85"/>
        <v>12</v>
      </c>
      <c r="AL131" s="1572">
        <f>SUM(AJ131:AK131)</f>
        <v>21</v>
      </c>
      <c r="AM131" s="1603">
        <f>SUM(AM22,AM60)</f>
        <v>11</v>
      </c>
      <c r="AN131" s="1571">
        <f>SUM(AN22,AN60)</f>
        <v>18</v>
      </c>
      <c r="AO131" s="1572">
        <f>SUM(AM131:AN131)</f>
        <v>29</v>
      </c>
    </row>
    <row r="132" spans="1:41" x14ac:dyDescent="0.25">
      <c r="A132" s="7158"/>
      <c r="B132" s="1564" t="s">
        <v>11</v>
      </c>
      <c r="C132" s="1603"/>
      <c r="D132" s="1571"/>
      <c r="E132" s="1572"/>
      <c r="F132" s="1603"/>
      <c r="G132" s="1571"/>
      <c r="H132" s="1572"/>
      <c r="I132" s="1603"/>
      <c r="J132" s="1571"/>
      <c r="K132" s="1572"/>
      <c r="L132" s="1603"/>
      <c r="M132" s="1571"/>
      <c r="N132" s="1572"/>
      <c r="O132" s="1603">
        <f t="shared" ref="O132:AE132" si="87">SUM(O23)</f>
        <v>0</v>
      </c>
      <c r="P132" s="1571">
        <f t="shared" si="87"/>
        <v>1</v>
      </c>
      <c r="Q132" s="1572">
        <f t="shared" si="87"/>
        <v>1</v>
      </c>
      <c r="R132" s="1603">
        <f t="shared" si="87"/>
        <v>1</v>
      </c>
      <c r="S132" s="1571">
        <f t="shared" si="87"/>
        <v>4</v>
      </c>
      <c r="T132" s="1572">
        <f t="shared" si="87"/>
        <v>5</v>
      </c>
      <c r="U132" s="1603">
        <f t="shared" si="87"/>
        <v>1</v>
      </c>
      <c r="V132" s="1571">
        <f t="shared" si="87"/>
        <v>5</v>
      </c>
      <c r="W132" s="1572">
        <f t="shared" si="87"/>
        <v>6</v>
      </c>
      <c r="X132" s="1603">
        <f t="shared" si="87"/>
        <v>2</v>
      </c>
      <c r="Y132" s="1571">
        <f t="shared" si="87"/>
        <v>7</v>
      </c>
      <c r="Z132" s="1572">
        <f t="shared" si="87"/>
        <v>9</v>
      </c>
      <c r="AA132" s="1603">
        <f t="shared" si="87"/>
        <v>3</v>
      </c>
      <c r="AB132" s="1571">
        <f t="shared" si="87"/>
        <v>10</v>
      </c>
      <c r="AC132" s="1572">
        <f t="shared" si="87"/>
        <v>13</v>
      </c>
      <c r="AD132" s="1603">
        <f t="shared" si="87"/>
        <v>3</v>
      </c>
      <c r="AE132" s="1571">
        <f t="shared" si="87"/>
        <v>10</v>
      </c>
      <c r="AF132" s="1572">
        <f>SUM(AD132:AE132)</f>
        <v>13</v>
      </c>
      <c r="AG132" s="1603">
        <f t="shared" si="84"/>
        <v>5</v>
      </c>
      <c r="AH132" s="1571">
        <f t="shared" si="84"/>
        <v>9</v>
      </c>
      <c r="AI132" s="1572">
        <f>SUM(AG132:AH132)</f>
        <v>14</v>
      </c>
      <c r="AJ132" s="1603">
        <f t="shared" si="85"/>
        <v>6</v>
      </c>
      <c r="AK132" s="1571">
        <f t="shared" si="85"/>
        <v>12</v>
      </c>
      <c r="AL132" s="1572">
        <f>SUM(AJ132:AK132)</f>
        <v>18</v>
      </c>
      <c r="AM132" s="1603">
        <f>SUM(AM23)</f>
        <v>7</v>
      </c>
      <c r="AN132" s="1571">
        <f>SUM(AN23)</f>
        <v>13</v>
      </c>
      <c r="AO132" s="1572">
        <f>SUM(AM132:AN132)</f>
        <v>20</v>
      </c>
    </row>
    <row r="133" spans="1:41" x14ac:dyDescent="0.25">
      <c r="A133" s="7159"/>
      <c r="B133" s="2497" t="s">
        <v>12</v>
      </c>
      <c r="C133" s="2520"/>
      <c r="D133" s="2504"/>
      <c r="E133" s="2505"/>
      <c r="F133" s="2520"/>
      <c r="G133" s="2504"/>
      <c r="H133" s="2505"/>
      <c r="I133" s="2520"/>
      <c r="J133" s="2504"/>
      <c r="K133" s="2505"/>
      <c r="L133" s="2520"/>
      <c r="M133" s="2504"/>
      <c r="N133" s="2505"/>
      <c r="O133" s="2520">
        <f t="shared" ref="O133:Z133" si="88">SUM(O130:O132)</f>
        <v>0</v>
      </c>
      <c r="P133" s="2504">
        <f t="shared" si="88"/>
        <v>1</v>
      </c>
      <c r="Q133" s="2505">
        <f t="shared" si="88"/>
        <v>1</v>
      </c>
      <c r="R133" s="2520">
        <f t="shared" si="88"/>
        <v>2</v>
      </c>
      <c r="S133" s="2504">
        <f t="shared" si="88"/>
        <v>8</v>
      </c>
      <c r="T133" s="2505">
        <f t="shared" si="88"/>
        <v>10</v>
      </c>
      <c r="U133" s="2520">
        <f t="shared" si="88"/>
        <v>2</v>
      </c>
      <c r="V133" s="2504">
        <f t="shared" si="88"/>
        <v>11</v>
      </c>
      <c r="W133" s="2505">
        <f t="shared" si="88"/>
        <v>13</v>
      </c>
      <c r="X133" s="2520">
        <f t="shared" si="88"/>
        <v>6</v>
      </c>
      <c r="Y133" s="2504">
        <f t="shared" si="88"/>
        <v>16</v>
      </c>
      <c r="Z133" s="2505">
        <f t="shared" si="88"/>
        <v>22</v>
      </c>
      <c r="AA133" s="2520">
        <f>SUM(AA130:AA132)</f>
        <v>7</v>
      </c>
      <c r="AB133" s="2504">
        <f>SUM(AB130:AB132)</f>
        <v>21</v>
      </c>
      <c r="AC133" s="2505">
        <f>SUM(AA133:AB133)</f>
        <v>28</v>
      </c>
      <c r="AD133" s="2504">
        <f>SUM(AD130:AD132)</f>
        <v>8</v>
      </c>
      <c r="AE133" s="2504">
        <f>SUM(AE130:AE132)</f>
        <v>28</v>
      </c>
      <c r="AF133" s="2505">
        <f>SUM(AD133:AE133)</f>
        <v>36</v>
      </c>
      <c r="AG133" s="2504">
        <f>SUM(AG130:AG132)</f>
        <v>12</v>
      </c>
      <c r="AH133" s="2504">
        <f>SUM(AH130:AH132)</f>
        <v>30</v>
      </c>
      <c r="AI133" s="2505">
        <f>SUM(AG133:AH133)</f>
        <v>42</v>
      </c>
      <c r="AJ133" s="2504">
        <f>SUM(AJ130:AJ132)</f>
        <v>18</v>
      </c>
      <c r="AK133" s="2504">
        <f>SUM(AK130:AK132)</f>
        <v>37</v>
      </c>
      <c r="AL133" s="2505">
        <f>SUM(AJ133:AK133)</f>
        <v>55</v>
      </c>
      <c r="AM133" s="2504">
        <f>SUM(AM130:AM132)</f>
        <v>21</v>
      </c>
      <c r="AN133" s="2504">
        <f>SUM(AN130:AN132)</f>
        <v>47</v>
      </c>
      <c r="AO133" s="2505">
        <f>SUM(AM133:AN133)</f>
        <v>68</v>
      </c>
    </row>
    <row r="134" spans="1:41" x14ac:dyDescent="0.25">
      <c r="A134" s="1573"/>
      <c r="B134" s="1573"/>
      <c r="C134" s="1573"/>
      <c r="D134" s="1573"/>
      <c r="E134" s="1573"/>
      <c r="F134" s="1573"/>
      <c r="G134" s="1573"/>
      <c r="H134" s="1573"/>
      <c r="I134" s="1573"/>
      <c r="J134" s="1573"/>
      <c r="K134" s="1573"/>
      <c r="L134" s="1573"/>
      <c r="M134" s="1573"/>
      <c r="N134" s="1573"/>
      <c r="O134" s="1573"/>
      <c r="P134" s="1573"/>
      <c r="Q134" s="1573"/>
      <c r="R134" s="1573"/>
      <c r="S134" s="1573"/>
      <c r="T134" s="1573"/>
      <c r="U134" s="1573"/>
      <c r="V134" s="1573"/>
      <c r="W134" s="1573"/>
      <c r="X134" s="1573"/>
      <c r="Y134" s="1573"/>
      <c r="Z134" s="1573"/>
      <c r="AA134" s="1573"/>
      <c r="AB134" s="1573"/>
      <c r="AC134" s="1573"/>
      <c r="AD134" s="1573"/>
      <c r="AE134" s="1573"/>
      <c r="AF134" s="1573"/>
      <c r="AG134" s="1573"/>
      <c r="AH134" s="1573"/>
      <c r="AI134" s="1573"/>
      <c r="AJ134" s="1573"/>
      <c r="AK134" s="1573"/>
      <c r="AL134" s="1573"/>
      <c r="AM134" s="1573"/>
      <c r="AN134" s="1573"/>
      <c r="AO134" s="1573"/>
    </row>
    <row r="135" spans="1:41" x14ac:dyDescent="0.25">
      <c r="A135" s="7151" t="s">
        <v>163</v>
      </c>
      <c r="B135" s="1555" t="s">
        <v>6</v>
      </c>
      <c r="C135" s="1595">
        <f t="shared" ref="C135:AE135" si="89">SUM(C26,C64,C97)</f>
        <v>176</v>
      </c>
      <c r="D135" s="1596">
        <f t="shared" si="89"/>
        <v>211</v>
      </c>
      <c r="E135" s="1596">
        <f t="shared" si="89"/>
        <v>387</v>
      </c>
      <c r="F135" s="1595">
        <f t="shared" si="89"/>
        <v>181</v>
      </c>
      <c r="G135" s="1596">
        <f t="shared" si="89"/>
        <v>205</v>
      </c>
      <c r="H135" s="1597">
        <f t="shared" si="89"/>
        <v>386</v>
      </c>
      <c r="I135" s="1595">
        <f t="shared" si="89"/>
        <v>175</v>
      </c>
      <c r="J135" s="1596">
        <f t="shared" si="89"/>
        <v>193</v>
      </c>
      <c r="K135" s="1597">
        <f t="shared" si="89"/>
        <v>368</v>
      </c>
      <c r="L135" s="1598">
        <f t="shared" si="89"/>
        <v>178</v>
      </c>
      <c r="M135" s="1562">
        <f t="shared" si="89"/>
        <v>198</v>
      </c>
      <c r="N135" s="1563">
        <f t="shared" si="89"/>
        <v>376</v>
      </c>
      <c r="O135" s="1562">
        <f t="shared" si="89"/>
        <v>179</v>
      </c>
      <c r="P135" s="1562">
        <f t="shared" si="89"/>
        <v>204</v>
      </c>
      <c r="Q135" s="1563">
        <f t="shared" si="89"/>
        <v>383</v>
      </c>
      <c r="R135" s="1598">
        <f t="shared" si="89"/>
        <v>182</v>
      </c>
      <c r="S135" s="1562">
        <f t="shared" si="89"/>
        <v>208</v>
      </c>
      <c r="T135" s="1563">
        <f t="shared" si="89"/>
        <v>390</v>
      </c>
      <c r="U135" s="1598">
        <f t="shared" si="89"/>
        <v>189</v>
      </c>
      <c r="V135" s="1562">
        <f t="shared" si="89"/>
        <v>214</v>
      </c>
      <c r="W135" s="1563">
        <f t="shared" si="89"/>
        <v>403</v>
      </c>
      <c r="X135" s="1598">
        <f t="shared" si="89"/>
        <v>191</v>
      </c>
      <c r="Y135" s="1562">
        <f t="shared" si="89"/>
        <v>212</v>
      </c>
      <c r="Z135" s="1563">
        <f t="shared" si="89"/>
        <v>403</v>
      </c>
      <c r="AA135" s="1598">
        <f t="shared" si="89"/>
        <v>186</v>
      </c>
      <c r="AB135" s="1562">
        <f t="shared" si="89"/>
        <v>213</v>
      </c>
      <c r="AC135" s="1563">
        <f t="shared" si="89"/>
        <v>399</v>
      </c>
      <c r="AD135" s="1598">
        <f t="shared" si="89"/>
        <v>188</v>
      </c>
      <c r="AE135" s="1562">
        <f t="shared" si="89"/>
        <v>210</v>
      </c>
      <c r="AF135" s="1563">
        <f>SUM(AD135:AE135)</f>
        <v>398</v>
      </c>
      <c r="AG135" s="1598">
        <f t="shared" ref="AG135:AH137" si="90">SUM(AG26,AG64,AG97)</f>
        <v>185</v>
      </c>
      <c r="AH135" s="1562">
        <f t="shared" si="90"/>
        <v>208</v>
      </c>
      <c r="AI135" s="1563">
        <f>SUM(AG135:AH135)</f>
        <v>393</v>
      </c>
      <c r="AJ135" s="1598">
        <f t="shared" ref="AJ135:AK137" si="91">SUM(AJ26,AJ64,AJ97)</f>
        <v>182</v>
      </c>
      <c r="AK135" s="1562">
        <f t="shared" si="91"/>
        <v>206</v>
      </c>
      <c r="AL135" s="1563">
        <f>SUM(AJ135:AK135)</f>
        <v>388</v>
      </c>
      <c r="AM135" s="1598">
        <f t="shared" ref="AM135:AN137" si="92">SUM(AM26,AM64,AM97)</f>
        <v>198</v>
      </c>
      <c r="AN135" s="1562">
        <f t="shared" si="92"/>
        <v>187</v>
      </c>
      <c r="AO135" s="1563">
        <f>SUM(AM135:AN135)</f>
        <v>385</v>
      </c>
    </row>
    <row r="136" spans="1:41" x14ac:dyDescent="0.25">
      <c r="A136" s="7152"/>
      <c r="B136" s="1564" t="s">
        <v>11</v>
      </c>
      <c r="C136" s="1600">
        <f t="shared" ref="C136:AE136" si="93">SUM(C27,C65,C98)</f>
        <v>187</v>
      </c>
      <c r="D136" s="1601">
        <f t="shared" si="93"/>
        <v>202</v>
      </c>
      <c r="E136" s="1601">
        <f t="shared" si="93"/>
        <v>389</v>
      </c>
      <c r="F136" s="1600">
        <f t="shared" si="93"/>
        <v>189</v>
      </c>
      <c r="G136" s="1601">
        <f t="shared" si="93"/>
        <v>198</v>
      </c>
      <c r="H136" s="1602">
        <f t="shared" si="93"/>
        <v>387</v>
      </c>
      <c r="I136" s="1600">
        <f t="shared" si="93"/>
        <v>186</v>
      </c>
      <c r="J136" s="1601">
        <f t="shared" si="93"/>
        <v>196</v>
      </c>
      <c r="K136" s="1602">
        <f t="shared" si="93"/>
        <v>382</v>
      </c>
      <c r="L136" s="1603">
        <f t="shared" si="93"/>
        <v>188</v>
      </c>
      <c r="M136" s="1571">
        <f t="shared" si="93"/>
        <v>192</v>
      </c>
      <c r="N136" s="1572">
        <f t="shared" si="93"/>
        <v>380</v>
      </c>
      <c r="O136" s="1571">
        <f t="shared" si="93"/>
        <v>188</v>
      </c>
      <c r="P136" s="1571">
        <f t="shared" si="93"/>
        <v>183</v>
      </c>
      <c r="Q136" s="1572">
        <f t="shared" si="93"/>
        <v>371</v>
      </c>
      <c r="R136" s="1603">
        <f t="shared" si="93"/>
        <v>191</v>
      </c>
      <c r="S136" s="1571">
        <f t="shared" si="93"/>
        <v>184</v>
      </c>
      <c r="T136" s="1572">
        <f t="shared" si="93"/>
        <v>375</v>
      </c>
      <c r="U136" s="1603">
        <f t="shared" si="93"/>
        <v>189</v>
      </c>
      <c r="V136" s="1571">
        <f t="shared" si="93"/>
        <v>184</v>
      </c>
      <c r="W136" s="1572">
        <f t="shared" si="93"/>
        <v>373</v>
      </c>
      <c r="X136" s="1603">
        <f t="shared" si="93"/>
        <v>193</v>
      </c>
      <c r="Y136" s="1571">
        <f t="shared" si="93"/>
        <v>185</v>
      </c>
      <c r="Z136" s="1572">
        <f t="shared" si="93"/>
        <v>378</v>
      </c>
      <c r="AA136" s="1603">
        <f t="shared" si="93"/>
        <v>199</v>
      </c>
      <c r="AB136" s="1571">
        <f t="shared" si="93"/>
        <v>187</v>
      </c>
      <c r="AC136" s="1572">
        <f t="shared" si="93"/>
        <v>386</v>
      </c>
      <c r="AD136" s="1603">
        <f t="shared" si="93"/>
        <v>203</v>
      </c>
      <c r="AE136" s="1571">
        <f t="shared" si="93"/>
        <v>197</v>
      </c>
      <c r="AF136" s="1572">
        <f>SUM(AD136:AE136)</f>
        <v>400</v>
      </c>
      <c r="AG136" s="1603">
        <f t="shared" si="90"/>
        <v>201</v>
      </c>
      <c r="AH136" s="1571">
        <f t="shared" si="90"/>
        <v>198</v>
      </c>
      <c r="AI136" s="1572">
        <f>SUM(AG136:AH136)</f>
        <v>399</v>
      </c>
      <c r="AJ136" s="1603">
        <f t="shared" si="91"/>
        <v>199</v>
      </c>
      <c r="AK136" s="1571">
        <f t="shared" si="91"/>
        <v>193</v>
      </c>
      <c r="AL136" s="1572">
        <f>SUM(AJ136:AK136)</f>
        <v>392</v>
      </c>
      <c r="AM136" s="1603">
        <f t="shared" si="92"/>
        <v>50</v>
      </c>
      <c r="AN136" s="1571">
        <f t="shared" si="92"/>
        <v>124</v>
      </c>
      <c r="AO136" s="1572">
        <f>SUM(AM136:AN136)</f>
        <v>174</v>
      </c>
    </row>
    <row r="137" spans="1:41" x14ac:dyDescent="0.25">
      <c r="A137" s="7152"/>
      <c r="B137" s="1564" t="s">
        <v>7</v>
      </c>
      <c r="C137" s="1600">
        <f t="shared" ref="C137:AE137" si="94">SUM(C28,C66,C99)</f>
        <v>36</v>
      </c>
      <c r="D137" s="1601">
        <f t="shared" si="94"/>
        <v>133</v>
      </c>
      <c r="E137" s="1601">
        <f t="shared" si="94"/>
        <v>169</v>
      </c>
      <c r="F137" s="1600">
        <f t="shared" si="94"/>
        <v>37</v>
      </c>
      <c r="G137" s="1601">
        <f t="shared" si="94"/>
        <v>133</v>
      </c>
      <c r="H137" s="1602">
        <f t="shared" si="94"/>
        <v>170</v>
      </c>
      <c r="I137" s="1600">
        <f t="shared" si="94"/>
        <v>36</v>
      </c>
      <c r="J137" s="1601">
        <f t="shared" si="94"/>
        <v>133</v>
      </c>
      <c r="K137" s="1602">
        <f t="shared" si="94"/>
        <v>169</v>
      </c>
      <c r="L137" s="1603">
        <f t="shared" si="94"/>
        <v>36</v>
      </c>
      <c r="M137" s="1571">
        <f t="shared" si="94"/>
        <v>133</v>
      </c>
      <c r="N137" s="1572">
        <f t="shared" si="94"/>
        <v>169</v>
      </c>
      <c r="O137" s="1571">
        <f t="shared" si="94"/>
        <v>39</v>
      </c>
      <c r="P137" s="1571">
        <f t="shared" si="94"/>
        <v>140</v>
      </c>
      <c r="Q137" s="1572">
        <f t="shared" si="94"/>
        <v>179</v>
      </c>
      <c r="R137" s="1603">
        <f t="shared" si="94"/>
        <v>41</v>
      </c>
      <c r="S137" s="1571">
        <f t="shared" si="94"/>
        <v>138</v>
      </c>
      <c r="T137" s="1572">
        <f t="shared" si="94"/>
        <v>179</v>
      </c>
      <c r="U137" s="1603">
        <f t="shared" si="94"/>
        <v>41</v>
      </c>
      <c r="V137" s="1571">
        <f t="shared" si="94"/>
        <v>142</v>
      </c>
      <c r="W137" s="1572">
        <f t="shared" si="94"/>
        <v>183</v>
      </c>
      <c r="X137" s="1603">
        <f t="shared" si="94"/>
        <v>39</v>
      </c>
      <c r="Y137" s="1571">
        <f t="shared" si="94"/>
        <v>141</v>
      </c>
      <c r="Z137" s="1572">
        <f t="shared" si="94"/>
        <v>180</v>
      </c>
      <c r="AA137" s="1603">
        <f t="shared" si="94"/>
        <v>40</v>
      </c>
      <c r="AB137" s="1571">
        <f t="shared" si="94"/>
        <v>139</v>
      </c>
      <c r="AC137" s="1572">
        <f t="shared" si="94"/>
        <v>179</v>
      </c>
      <c r="AD137" s="1603">
        <f t="shared" si="94"/>
        <v>43</v>
      </c>
      <c r="AE137" s="1571">
        <f t="shared" si="94"/>
        <v>141</v>
      </c>
      <c r="AF137" s="1572">
        <f>SUM(AD137:AE137)</f>
        <v>184</v>
      </c>
      <c r="AG137" s="1603">
        <f t="shared" si="90"/>
        <v>41</v>
      </c>
      <c r="AH137" s="1571">
        <f t="shared" si="90"/>
        <v>140</v>
      </c>
      <c r="AI137" s="1572">
        <f>SUM(AG137:AH137)</f>
        <v>181</v>
      </c>
      <c r="AJ137" s="1603">
        <f t="shared" si="91"/>
        <v>41</v>
      </c>
      <c r="AK137" s="1571">
        <f t="shared" si="91"/>
        <v>133</v>
      </c>
      <c r="AL137" s="1572">
        <f>SUM(AJ137:AK137)</f>
        <v>174</v>
      </c>
      <c r="AM137" s="1603">
        <f t="shared" si="92"/>
        <v>166</v>
      </c>
      <c r="AN137" s="1571">
        <f t="shared" si="92"/>
        <v>215</v>
      </c>
      <c r="AO137" s="1572">
        <f>SUM(AM137:AN137)</f>
        <v>381</v>
      </c>
    </row>
    <row r="138" spans="1:41" x14ac:dyDescent="0.25">
      <c r="A138" s="7153"/>
      <c r="B138" s="2506" t="s">
        <v>12</v>
      </c>
      <c r="C138" s="2522">
        <f t="shared" ref="C138:Q138" si="95">SUM(C29,C67,C100)</f>
        <v>399</v>
      </c>
      <c r="D138" s="2523">
        <f t="shared" si="95"/>
        <v>546</v>
      </c>
      <c r="E138" s="2523">
        <f t="shared" si="95"/>
        <v>945</v>
      </c>
      <c r="F138" s="2522">
        <f t="shared" si="95"/>
        <v>407</v>
      </c>
      <c r="G138" s="2523">
        <f t="shared" si="95"/>
        <v>536</v>
      </c>
      <c r="H138" s="2524">
        <f t="shared" si="95"/>
        <v>943</v>
      </c>
      <c r="I138" s="2522">
        <f t="shared" si="95"/>
        <v>397</v>
      </c>
      <c r="J138" s="2523">
        <f t="shared" si="95"/>
        <v>522</v>
      </c>
      <c r="K138" s="2524">
        <f t="shared" si="95"/>
        <v>919</v>
      </c>
      <c r="L138" s="2525">
        <f t="shared" si="95"/>
        <v>402</v>
      </c>
      <c r="M138" s="2513">
        <f t="shared" si="95"/>
        <v>523</v>
      </c>
      <c r="N138" s="2514">
        <f t="shared" si="95"/>
        <v>925</v>
      </c>
      <c r="O138" s="2513">
        <f t="shared" si="95"/>
        <v>406</v>
      </c>
      <c r="P138" s="2513">
        <f t="shared" si="95"/>
        <v>527</v>
      </c>
      <c r="Q138" s="2514">
        <f t="shared" si="95"/>
        <v>933</v>
      </c>
      <c r="R138" s="2525">
        <f t="shared" ref="R138:Z138" si="96">SUM(R135:R137)</f>
        <v>414</v>
      </c>
      <c r="S138" s="2513">
        <f t="shared" si="96"/>
        <v>530</v>
      </c>
      <c r="T138" s="2514">
        <f t="shared" si="96"/>
        <v>944</v>
      </c>
      <c r="U138" s="2525">
        <f t="shared" si="96"/>
        <v>419</v>
      </c>
      <c r="V138" s="2513">
        <f t="shared" si="96"/>
        <v>540</v>
      </c>
      <c r="W138" s="2514">
        <f t="shared" si="96"/>
        <v>959</v>
      </c>
      <c r="X138" s="2525">
        <f t="shared" si="96"/>
        <v>423</v>
      </c>
      <c r="Y138" s="2513">
        <f t="shared" si="96"/>
        <v>538</v>
      </c>
      <c r="Z138" s="2514">
        <f t="shared" si="96"/>
        <v>961</v>
      </c>
      <c r="AA138" s="2525">
        <f>SUM(AA135:AA137)</f>
        <v>425</v>
      </c>
      <c r="AB138" s="2513">
        <f>SUM(AB135:AB137)</f>
        <v>539</v>
      </c>
      <c r="AC138" s="2514">
        <f>SUM(AA138:AB138)</f>
        <v>964</v>
      </c>
      <c r="AD138" s="2513">
        <f>SUM(AD135:AD137)</f>
        <v>434</v>
      </c>
      <c r="AE138" s="2513">
        <f>SUM(AE135:AE137)</f>
        <v>548</v>
      </c>
      <c r="AF138" s="2514">
        <f>SUM(AD138:AE138)</f>
        <v>982</v>
      </c>
      <c r="AG138" s="2513">
        <f>SUM(AG135:AG137)</f>
        <v>427</v>
      </c>
      <c r="AH138" s="2513">
        <f>SUM(AH135:AH137)</f>
        <v>546</v>
      </c>
      <c r="AI138" s="2514">
        <f>SUM(AG138:AH138)</f>
        <v>973</v>
      </c>
      <c r="AJ138" s="2513">
        <f>SUM(AJ135:AJ137)</f>
        <v>422</v>
      </c>
      <c r="AK138" s="2513">
        <f>SUM(AK135:AK137)</f>
        <v>532</v>
      </c>
      <c r="AL138" s="2514">
        <f>SUM(AJ138:AK138)</f>
        <v>954</v>
      </c>
      <c r="AM138" s="2513">
        <f>SUM(AM135:AM137)</f>
        <v>414</v>
      </c>
      <c r="AN138" s="2513">
        <f>SUM(AN135:AN137)</f>
        <v>526</v>
      </c>
      <c r="AO138" s="2514">
        <f>SUM(AM138:AN138)</f>
        <v>940</v>
      </c>
    </row>
    <row r="139" spans="1:41" x14ac:dyDescent="0.25">
      <c r="A139" s="1574"/>
      <c r="B139" s="1574"/>
      <c r="C139" s="1576"/>
      <c r="D139" s="1576"/>
      <c r="E139" s="1576"/>
      <c r="F139" s="1576"/>
      <c r="G139" s="1576"/>
      <c r="H139" s="1576"/>
      <c r="I139" s="1576"/>
      <c r="J139" s="1576"/>
      <c r="K139" s="1576"/>
      <c r="L139" s="1576"/>
      <c r="M139" s="1576"/>
      <c r="N139" s="1576"/>
      <c r="O139" s="1576"/>
      <c r="P139" s="1576"/>
      <c r="Q139" s="1576"/>
      <c r="R139" s="1576"/>
      <c r="S139" s="1576"/>
      <c r="T139" s="1576"/>
      <c r="U139" s="1576"/>
      <c r="V139" s="1576"/>
      <c r="W139" s="1576"/>
      <c r="X139" s="1576"/>
      <c r="Y139" s="1576"/>
      <c r="Z139" s="1576"/>
      <c r="AA139" s="1576"/>
      <c r="AB139" s="1576"/>
      <c r="AC139" s="1576"/>
      <c r="AD139" s="1576"/>
      <c r="AE139" s="1576"/>
      <c r="AF139" s="1576"/>
      <c r="AG139" s="1576"/>
      <c r="AH139" s="1576"/>
      <c r="AI139" s="1576"/>
      <c r="AJ139" s="1576"/>
      <c r="AK139" s="1576"/>
      <c r="AL139" s="1576"/>
      <c r="AM139" s="1576"/>
      <c r="AN139" s="1576"/>
      <c r="AO139" s="1576"/>
    </row>
    <row r="140" spans="1:41" x14ac:dyDescent="0.25">
      <c r="A140" s="7154" t="s">
        <v>60</v>
      </c>
      <c r="B140" s="1577" t="s">
        <v>5</v>
      </c>
      <c r="C140" s="1598">
        <f t="shared" ref="C140:Q140" si="97">SUM(C115,C125,C130)</f>
        <v>140</v>
      </c>
      <c r="D140" s="1562">
        <f t="shared" si="97"/>
        <v>560</v>
      </c>
      <c r="E140" s="1563">
        <f t="shared" si="97"/>
        <v>700</v>
      </c>
      <c r="F140" s="1562">
        <f t="shared" si="97"/>
        <v>140</v>
      </c>
      <c r="G140" s="1562">
        <f t="shared" si="97"/>
        <v>563</v>
      </c>
      <c r="H140" s="1562">
        <f t="shared" si="97"/>
        <v>703</v>
      </c>
      <c r="I140" s="1598">
        <f t="shared" si="97"/>
        <v>145</v>
      </c>
      <c r="J140" s="1562">
        <f t="shared" si="97"/>
        <v>572</v>
      </c>
      <c r="K140" s="1563">
        <f t="shared" si="97"/>
        <v>717</v>
      </c>
      <c r="L140" s="1562">
        <f t="shared" si="97"/>
        <v>147</v>
      </c>
      <c r="M140" s="1562">
        <f t="shared" si="97"/>
        <v>565</v>
      </c>
      <c r="N140" s="1562">
        <f t="shared" si="97"/>
        <v>712</v>
      </c>
      <c r="O140" s="1598">
        <f t="shared" si="97"/>
        <v>144</v>
      </c>
      <c r="P140" s="1562">
        <f t="shared" si="97"/>
        <v>566</v>
      </c>
      <c r="Q140" s="1563">
        <f t="shared" si="97"/>
        <v>710</v>
      </c>
      <c r="R140" s="1598">
        <f>SUM(R115,R125,R130)</f>
        <v>149</v>
      </c>
      <c r="S140" s="1562">
        <f>SUM(S115,S125,S130)</f>
        <v>556</v>
      </c>
      <c r="T140" s="1563">
        <f t="shared" ref="T140:T146" si="98">SUM(R140:S140)</f>
        <v>705</v>
      </c>
      <c r="U140" s="1562">
        <f>SUM(U115,U125,U130)</f>
        <v>148</v>
      </c>
      <c r="V140" s="1562">
        <f>SUM(V115,V125,V130)</f>
        <v>555</v>
      </c>
      <c r="W140" s="1563">
        <f t="shared" ref="W140:W146" si="99">SUM(U140:V140)</f>
        <v>703</v>
      </c>
      <c r="X140" s="1562">
        <f>SUM(X115,X125,X130)</f>
        <v>149</v>
      </c>
      <c r="Y140" s="1562">
        <f>SUM(Y115,Y125,Y130)</f>
        <v>560</v>
      </c>
      <c r="Z140" s="1563">
        <f t="shared" ref="Z140:Z146" si="100">SUM(X140:Y140)</f>
        <v>709</v>
      </c>
      <c r="AA140" s="1562">
        <f>SUM(AA115,AA125,AA130)</f>
        <v>150</v>
      </c>
      <c r="AB140" s="1562">
        <f>SUM(AB115,AB125,AB130)</f>
        <v>564</v>
      </c>
      <c r="AC140" s="1563">
        <f t="shared" ref="AC140:AC146" si="101">SUM(AA140:AB140)</f>
        <v>714</v>
      </c>
      <c r="AD140" s="1562">
        <f>SUM(AD115,AD125,AD130)</f>
        <v>158</v>
      </c>
      <c r="AE140" s="1562">
        <f>SUM(AE115,AE125,AE130)</f>
        <v>567</v>
      </c>
      <c r="AF140" s="1563">
        <f t="shared" ref="AF140:AF146" si="102">SUM(AD140:AE140)</f>
        <v>725</v>
      </c>
      <c r="AG140" s="1562">
        <f>SUM(AG115,AG125,AG130)</f>
        <v>159</v>
      </c>
      <c r="AH140" s="1562">
        <f>SUM(AH115,AH125,AH130)</f>
        <v>558</v>
      </c>
      <c r="AI140" s="1563">
        <f t="shared" ref="AI140:AI146" si="103">SUM(AG140:AH140)</f>
        <v>717</v>
      </c>
      <c r="AJ140" s="1562">
        <f>SUM(AJ115,AJ125,AJ130)</f>
        <v>158</v>
      </c>
      <c r="AK140" s="1562">
        <f>SUM(AK115,AK125,AK130)</f>
        <v>550</v>
      </c>
      <c r="AL140" s="1563">
        <f t="shared" ref="AL140:AL146" si="104">SUM(AJ140:AK140)</f>
        <v>708</v>
      </c>
      <c r="AM140" s="1562">
        <f>SUM(AM115,AM125,AM130)</f>
        <v>164</v>
      </c>
      <c r="AN140" s="1562">
        <f>SUM(AN115,AN125,AN130)</f>
        <v>543</v>
      </c>
      <c r="AO140" s="1563">
        <f t="shared" ref="AO140:AO146" si="105">SUM(AM140:AN140)</f>
        <v>707</v>
      </c>
    </row>
    <row r="141" spans="1:41" x14ac:dyDescent="0.25">
      <c r="A141" s="7155"/>
      <c r="B141" s="1578" t="s">
        <v>6</v>
      </c>
      <c r="C141" s="1603">
        <f t="shared" ref="C141:Q141" si="106">SUM(C116,C120,C126,C131,C135)</f>
        <v>441</v>
      </c>
      <c r="D141" s="1571">
        <f t="shared" si="106"/>
        <v>651</v>
      </c>
      <c r="E141" s="1572">
        <f t="shared" si="106"/>
        <v>1092</v>
      </c>
      <c r="F141" s="1571">
        <f t="shared" si="106"/>
        <v>449</v>
      </c>
      <c r="G141" s="1571">
        <f t="shared" si="106"/>
        <v>657</v>
      </c>
      <c r="H141" s="1571">
        <f t="shared" si="106"/>
        <v>1106</v>
      </c>
      <c r="I141" s="1603">
        <f t="shared" si="106"/>
        <v>454</v>
      </c>
      <c r="J141" s="1571">
        <f t="shared" si="106"/>
        <v>650</v>
      </c>
      <c r="K141" s="1572">
        <f t="shared" si="106"/>
        <v>1104</v>
      </c>
      <c r="L141" s="1571">
        <f t="shared" si="106"/>
        <v>456</v>
      </c>
      <c r="M141" s="1571">
        <f t="shared" si="106"/>
        <v>659</v>
      </c>
      <c r="N141" s="1571">
        <f t="shared" si="106"/>
        <v>1115</v>
      </c>
      <c r="O141" s="1603">
        <f t="shared" si="106"/>
        <v>455</v>
      </c>
      <c r="P141" s="1571">
        <f t="shared" si="106"/>
        <v>670</v>
      </c>
      <c r="Q141" s="1572">
        <f t="shared" si="106"/>
        <v>1125</v>
      </c>
      <c r="R141" s="1603">
        <f>SUM(R116,R120,R126,R131,R135)</f>
        <v>473</v>
      </c>
      <c r="S141" s="1571">
        <f>SUM(S116,S120,S126,S131,S135)</f>
        <v>682</v>
      </c>
      <c r="T141" s="1572">
        <f t="shared" si="98"/>
        <v>1155</v>
      </c>
      <c r="U141" s="1571">
        <f>SUM(U116,U120,U126,U131,U135)</f>
        <v>485</v>
      </c>
      <c r="V141" s="1571">
        <f>SUM(V116,V120,V126,V131,V135)</f>
        <v>689</v>
      </c>
      <c r="W141" s="1572">
        <f t="shared" si="99"/>
        <v>1174</v>
      </c>
      <c r="X141" s="1571">
        <f>SUM(X116,X120,X126,X131,X135)</f>
        <v>488</v>
      </c>
      <c r="Y141" s="1571">
        <f>SUM(Y116,Y120,Y126,Y131,Y135)</f>
        <v>688</v>
      </c>
      <c r="Z141" s="1572">
        <f t="shared" si="100"/>
        <v>1176</v>
      </c>
      <c r="AA141" s="1571">
        <f>SUM(AA116,AA120,AA126,AA131,AA135)</f>
        <v>492</v>
      </c>
      <c r="AB141" s="1571">
        <f>SUM(AB116,AB120,AB126,AB131,AB135)</f>
        <v>694</v>
      </c>
      <c r="AC141" s="1572">
        <f t="shared" si="101"/>
        <v>1186</v>
      </c>
      <c r="AD141" s="1571">
        <f>SUM(AD116,AD120,AD126,AD131,AD135)</f>
        <v>500</v>
      </c>
      <c r="AE141" s="1571">
        <f>SUM(AE116,AE120,AE126,AE131,AE135)</f>
        <v>698</v>
      </c>
      <c r="AF141" s="1572">
        <f t="shared" si="102"/>
        <v>1198</v>
      </c>
      <c r="AG141" s="1571">
        <f>SUM(AG116,AG120,AG126,AG131,AG135)</f>
        <v>491</v>
      </c>
      <c r="AH141" s="1571">
        <f>SUM(AH116,AH120,AH126,AH131,AH135)</f>
        <v>683</v>
      </c>
      <c r="AI141" s="1572">
        <f t="shared" si="103"/>
        <v>1174</v>
      </c>
      <c r="AJ141" s="1571">
        <f>SUM(AJ116,AJ120,AJ126,AJ131,AJ135)</f>
        <v>491</v>
      </c>
      <c r="AK141" s="1571">
        <f>SUM(AK116,AK120,AK126,AK131,AK135)</f>
        <v>679</v>
      </c>
      <c r="AL141" s="1572">
        <f t="shared" si="104"/>
        <v>1170</v>
      </c>
      <c r="AM141" s="1571">
        <f>SUM(AM116,AM120,AM126,AM131,AM135)</f>
        <v>515</v>
      </c>
      <c r="AN141" s="1571">
        <f>SUM(AN116,AN120,AN126,AN131,AN135)</f>
        <v>679</v>
      </c>
      <c r="AO141" s="1572">
        <f t="shared" si="105"/>
        <v>1194</v>
      </c>
    </row>
    <row r="142" spans="1:41" x14ac:dyDescent="0.25">
      <c r="A142" s="7155"/>
      <c r="B142" s="1578" t="s">
        <v>11</v>
      </c>
      <c r="C142" s="1603">
        <f t="shared" ref="C142:Q142" si="107">SUM(C127,C132,C136)</f>
        <v>308</v>
      </c>
      <c r="D142" s="1571">
        <f t="shared" si="107"/>
        <v>343</v>
      </c>
      <c r="E142" s="1572">
        <f t="shared" si="107"/>
        <v>651</v>
      </c>
      <c r="F142" s="1571">
        <f t="shared" si="107"/>
        <v>310</v>
      </c>
      <c r="G142" s="1571">
        <f t="shared" si="107"/>
        <v>335</v>
      </c>
      <c r="H142" s="1571">
        <f t="shared" si="107"/>
        <v>645</v>
      </c>
      <c r="I142" s="1603">
        <f t="shared" si="107"/>
        <v>308</v>
      </c>
      <c r="J142" s="1571">
        <f t="shared" si="107"/>
        <v>332</v>
      </c>
      <c r="K142" s="1572">
        <f t="shared" si="107"/>
        <v>640</v>
      </c>
      <c r="L142" s="1571">
        <f t="shared" si="107"/>
        <v>309</v>
      </c>
      <c r="M142" s="1571">
        <f t="shared" si="107"/>
        <v>321</v>
      </c>
      <c r="N142" s="1571">
        <f t="shared" si="107"/>
        <v>630</v>
      </c>
      <c r="O142" s="1603">
        <f t="shared" si="107"/>
        <v>307</v>
      </c>
      <c r="P142" s="1571">
        <f t="shared" si="107"/>
        <v>311</v>
      </c>
      <c r="Q142" s="1572">
        <f t="shared" si="107"/>
        <v>618</v>
      </c>
      <c r="R142" s="1603">
        <f>SUM(R127,R132,R136)</f>
        <v>309</v>
      </c>
      <c r="S142" s="1571">
        <f>SUM(S127,S132,S136)</f>
        <v>312</v>
      </c>
      <c r="T142" s="1572">
        <f t="shared" si="98"/>
        <v>621</v>
      </c>
      <c r="U142" s="1571">
        <f>SUM(U127,U132,U136)</f>
        <v>310</v>
      </c>
      <c r="V142" s="1571">
        <f>SUM(V127,V132,V136)</f>
        <v>323</v>
      </c>
      <c r="W142" s="1572">
        <f t="shared" si="99"/>
        <v>633</v>
      </c>
      <c r="X142" s="1571">
        <f>SUM(X127,X132,X136)</f>
        <v>312</v>
      </c>
      <c r="Y142" s="1571">
        <f>SUM(Y127,Y132,Y136)</f>
        <v>323</v>
      </c>
      <c r="Z142" s="1572">
        <f t="shared" si="100"/>
        <v>635</v>
      </c>
      <c r="AA142" s="1571">
        <f>SUM(AA127,AA132,AA136)</f>
        <v>324</v>
      </c>
      <c r="AB142" s="1571">
        <f>SUM(AB127,AB132,AB136)</f>
        <v>325</v>
      </c>
      <c r="AC142" s="1572">
        <f t="shared" si="101"/>
        <v>649</v>
      </c>
      <c r="AD142" s="1571">
        <f>SUM(AD127,AD132,AD136)</f>
        <v>328</v>
      </c>
      <c r="AE142" s="1571">
        <f>SUM(AE127,AE132,AE136)</f>
        <v>339</v>
      </c>
      <c r="AF142" s="1572">
        <f t="shared" si="102"/>
        <v>667</v>
      </c>
      <c r="AG142" s="1571">
        <f>SUM(AG127,AG132,AG136)</f>
        <v>326</v>
      </c>
      <c r="AH142" s="1571">
        <f>SUM(AH127,AH132,AH136)</f>
        <v>342</v>
      </c>
      <c r="AI142" s="1572">
        <f t="shared" si="103"/>
        <v>668</v>
      </c>
      <c r="AJ142" s="1571">
        <f>SUM(AJ127,AJ132,AJ136)</f>
        <v>326</v>
      </c>
      <c r="AK142" s="1571">
        <f>SUM(AK127,AK132,AK136)</f>
        <v>339</v>
      </c>
      <c r="AL142" s="1572">
        <f t="shared" si="104"/>
        <v>665</v>
      </c>
      <c r="AM142" s="1571">
        <f>SUM(AM127,AM132,AM136)</f>
        <v>177</v>
      </c>
      <c r="AN142" s="1571">
        <f>SUM(AN127,AN132,AN136)</f>
        <v>269</v>
      </c>
      <c r="AO142" s="1572">
        <f t="shared" si="105"/>
        <v>446</v>
      </c>
    </row>
    <row r="143" spans="1:41" x14ac:dyDescent="0.25">
      <c r="A143" s="7155"/>
      <c r="B143" s="1578" t="s">
        <v>7</v>
      </c>
      <c r="C143" s="1603">
        <f t="shared" ref="C143:Q143" si="108">SUM(C117,C137)</f>
        <v>112</v>
      </c>
      <c r="D143" s="1571">
        <f t="shared" si="108"/>
        <v>289</v>
      </c>
      <c r="E143" s="1572">
        <f t="shared" si="108"/>
        <v>401</v>
      </c>
      <c r="F143" s="1571">
        <f t="shared" si="108"/>
        <v>110</v>
      </c>
      <c r="G143" s="1571">
        <f t="shared" si="108"/>
        <v>286</v>
      </c>
      <c r="H143" s="1571">
        <f t="shared" si="108"/>
        <v>396</v>
      </c>
      <c r="I143" s="1603">
        <f t="shared" si="108"/>
        <v>115</v>
      </c>
      <c r="J143" s="1571">
        <f t="shared" si="108"/>
        <v>275</v>
      </c>
      <c r="K143" s="1572">
        <f t="shared" si="108"/>
        <v>390</v>
      </c>
      <c r="L143" s="1571">
        <f t="shared" si="108"/>
        <v>117</v>
      </c>
      <c r="M143" s="1571">
        <f t="shared" si="108"/>
        <v>271</v>
      </c>
      <c r="N143" s="1571">
        <f t="shared" si="108"/>
        <v>388</v>
      </c>
      <c r="O143" s="1603">
        <f t="shared" si="108"/>
        <v>124</v>
      </c>
      <c r="P143" s="1571">
        <f t="shared" si="108"/>
        <v>280</v>
      </c>
      <c r="Q143" s="1572">
        <f t="shared" si="108"/>
        <v>404</v>
      </c>
      <c r="R143" s="1603">
        <f>SUM(R117,R137)</f>
        <v>131</v>
      </c>
      <c r="S143" s="1571">
        <f>SUM(S117,S137)</f>
        <v>281</v>
      </c>
      <c r="T143" s="1572">
        <f t="shared" si="98"/>
        <v>412</v>
      </c>
      <c r="U143" s="1571">
        <f>SUM(U117,U137)</f>
        <v>130</v>
      </c>
      <c r="V143" s="1571">
        <f>SUM(V117,V137)</f>
        <v>289</v>
      </c>
      <c r="W143" s="1572">
        <f t="shared" si="99"/>
        <v>419</v>
      </c>
      <c r="X143" s="1571">
        <f>SUM(X117,X137)</f>
        <v>127</v>
      </c>
      <c r="Y143" s="1571">
        <f>SUM(Y117,Y137)</f>
        <v>289</v>
      </c>
      <c r="Z143" s="1572">
        <f t="shared" si="100"/>
        <v>416</v>
      </c>
      <c r="AA143" s="1571">
        <f>SUM(AA117,AA137)</f>
        <v>129</v>
      </c>
      <c r="AB143" s="1571">
        <f>SUM(AB117,AB137)</f>
        <v>288</v>
      </c>
      <c r="AC143" s="1572">
        <f t="shared" si="101"/>
        <v>417</v>
      </c>
      <c r="AD143" s="1571">
        <f>SUM(AD117,AD137)</f>
        <v>138</v>
      </c>
      <c r="AE143" s="1571">
        <f>SUM(AE117,AE137)</f>
        <v>297</v>
      </c>
      <c r="AF143" s="1572">
        <f t="shared" si="102"/>
        <v>435</v>
      </c>
      <c r="AG143" s="1571">
        <f>SUM(AG117,AG137)</f>
        <v>134</v>
      </c>
      <c r="AH143" s="1571">
        <f>SUM(AH117,AH137)</f>
        <v>293</v>
      </c>
      <c r="AI143" s="1572">
        <f t="shared" si="103"/>
        <v>427</v>
      </c>
      <c r="AJ143" s="1571">
        <f>SUM(AJ117,AJ137)</f>
        <v>133</v>
      </c>
      <c r="AK143" s="1571">
        <f>SUM(AK117,AK137)</f>
        <v>281</v>
      </c>
      <c r="AL143" s="1572">
        <f t="shared" si="104"/>
        <v>414</v>
      </c>
      <c r="AM143" s="1571">
        <f>SUM(AM117,AM137)</f>
        <v>256</v>
      </c>
      <c r="AN143" s="1571">
        <f>SUM(AN117,AN137)</f>
        <v>362</v>
      </c>
      <c r="AO143" s="1572">
        <f t="shared" si="105"/>
        <v>618</v>
      </c>
    </row>
    <row r="144" spans="1:41" x14ac:dyDescent="0.25">
      <c r="A144" s="7155"/>
      <c r="B144" s="1578" t="s">
        <v>9</v>
      </c>
      <c r="C144" s="1603">
        <f t="shared" ref="C144:Q144" si="109">SUM(C121)</f>
        <v>1</v>
      </c>
      <c r="D144" s="1571">
        <f t="shared" si="109"/>
        <v>2</v>
      </c>
      <c r="E144" s="1572">
        <f t="shared" si="109"/>
        <v>3</v>
      </c>
      <c r="F144" s="1571">
        <f t="shared" si="109"/>
        <v>2</v>
      </c>
      <c r="G144" s="1571">
        <f t="shared" si="109"/>
        <v>7</v>
      </c>
      <c r="H144" s="1571">
        <f t="shared" si="109"/>
        <v>9</v>
      </c>
      <c r="I144" s="1603">
        <f t="shared" si="109"/>
        <v>4</v>
      </c>
      <c r="J144" s="1571">
        <f t="shared" si="109"/>
        <v>9</v>
      </c>
      <c r="K144" s="1572">
        <f t="shared" si="109"/>
        <v>13</v>
      </c>
      <c r="L144" s="1571">
        <f t="shared" si="109"/>
        <v>7</v>
      </c>
      <c r="M144" s="1571">
        <f t="shared" si="109"/>
        <v>17</v>
      </c>
      <c r="N144" s="1571">
        <f t="shared" si="109"/>
        <v>24</v>
      </c>
      <c r="O144" s="1603">
        <f t="shared" si="109"/>
        <v>8</v>
      </c>
      <c r="P144" s="1571">
        <f t="shared" si="109"/>
        <v>22</v>
      </c>
      <c r="Q144" s="1572">
        <f t="shared" si="109"/>
        <v>30</v>
      </c>
      <c r="R144" s="1603">
        <f>SUM(R121)</f>
        <v>13</v>
      </c>
      <c r="S144" s="1571">
        <f>SUM(S121)</f>
        <v>25</v>
      </c>
      <c r="T144" s="1572">
        <f t="shared" si="98"/>
        <v>38</v>
      </c>
      <c r="U144" s="1571">
        <f>SUM(U121)</f>
        <v>16</v>
      </c>
      <c r="V144" s="1571">
        <f>SUM(V121)</f>
        <v>26</v>
      </c>
      <c r="W144" s="1572">
        <f t="shared" si="99"/>
        <v>42</v>
      </c>
      <c r="X144" s="1571">
        <f>SUM(X121)</f>
        <v>18</v>
      </c>
      <c r="Y144" s="1571">
        <f>SUM(Y121)</f>
        <v>35</v>
      </c>
      <c r="Z144" s="1572">
        <f t="shared" si="100"/>
        <v>53</v>
      </c>
      <c r="AA144" s="1571">
        <f>SUM(AA121)</f>
        <v>17</v>
      </c>
      <c r="AB144" s="1571">
        <f>SUM(AB121)</f>
        <v>36</v>
      </c>
      <c r="AC144" s="1572">
        <f t="shared" si="101"/>
        <v>53</v>
      </c>
      <c r="AD144" s="1571">
        <f>SUM(AD121)</f>
        <v>14</v>
      </c>
      <c r="AE144" s="1571">
        <f>SUM(AE121)</f>
        <v>39</v>
      </c>
      <c r="AF144" s="1572">
        <f t="shared" si="102"/>
        <v>53</v>
      </c>
      <c r="AG144" s="1571">
        <f>SUM(AG121)</f>
        <v>14</v>
      </c>
      <c r="AH144" s="1571">
        <f>SUM(AH121)</f>
        <v>41</v>
      </c>
      <c r="AI144" s="1572">
        <f t="shared" si="103"/>
        <v>55</v>
      </c>
      <c r="AJ144" s="1571">
        <f>SUM(AJ121)</f>
        <v>14</v>
      </c>
      <c r="AK144" s="1571">
        <f>SUM(AK121)</f>
        <v>39</v>
      </c>
      <c r="AL144" s="1572">
        <f t="shared" si="104"/>
        <v>53</v>
      </c>
      <c r="AM144" s="1571">
        <f>SUM(AM121)</f>
        <v>15</v>
      </c>
      <c r="AN144" s="1571">
        <f>SUM(AN121)</f>
        <v>37</v>
      </c>
      <c r="AO144" s="1572">
        <f t="shared" si="105"/>
        <v>52</v>
      </c>
    </row>
    <row r="145" spans="1:41" x14ac:dyDescent="0.25">
      <c r="A145" s="7155"/>
      <c r="B145" s="1579" t="s">
        <v>74</v>
      </c>
      <c r="C145" s="1606">
        <f t="shared" ref="C145:Q145" si="110">SUM(C122)</f>
        <v>1</v>
      </c>
      <c r="D145" s="1583">
        <f t="shared" si="110"/>
        <v>5</v>
      </c>
      <c r="E145" s="1584">
        <f t="shared" si="110"/>
        <v>6</v>
      </c>
      <c r="F145" s="1583">
        <f t="shared" si="110"/>
        <v>1</v>
      </c>
      <c r="G145" s="1583">
        <f t="shared" si="110"/>
        <v>5</v>
      </c>
      <c r="H145" s="1583">
        <f t="shared" si="110"/>
        <v>6</v>
      </c>
      <c r="I145" s="1606">
        <f t="shared" si="110"/>
        <v>5</v>
      </c>
      <c r="J145" s="1583">
        <f t="shared" si="110"/>
        <v>13</v>
      </c>
      <c r="K145" s="1584">
        <f t="shared" si="110"/>
        <v>18</v>
      </c>
      <c r="L145" s="1583">
        <f t="shared" si="110"/>
        <v>8</v>
      </c>
      <c r="M145" s="1583">
        <f t="shared" si="110"/>
        <v>15</v>
      </c>
      <c r="N145" s="1583">
        <f t="shared" si="110"/>
        <v>23</v>
      </c>
      <c r="O145" s="1606">
        <f t="shared" si="110"/>
        <v>8</v>
      </c>
      <c r="P145" s="1583">
        <f t="shared" si="110"/>
        <v>16</v>
      </c>
      <c r="Q145" s="1584">
        <f t="shared" si="110"/>
        <v>24</v>
      </c>
      <c r="R145" s="1606">
        <f>SUM(R122)</f>
        <v>9</v>
      </c>
      <c r="S145" s="1583">
        <f>SUM(S122)</f>
        <v>18</v>
      </c>
      <c r="T145" s="1584">
        <f t="shared" si="98"/>
        <v>27</v>
      </c>
      <c r="U145" s="1583">
        <f>SUM(U122)</f>
        <v>10</v>
      </c>
      <c r="V145" s="1583">
        <f>SUM(V122)</f>
        <v>23</v>
      </c>
      <c r="W145" s="1584">
        <f t="shared" si="99"/>
        <v>33</v>
      </c>
      <c r="X145" s="1583">
        <f>SUM(X122)</f>
        <v>14</v>
      </c>
      <c r="Y145" s="1583">
        <f>SUM(Y122)</f>
        <v>23</v>
      </c>
      <c r="Z145" s="1584">
        <f t="shared" si="100"/>
        <v>37</v>
      </c>
      <c r="AA145" s="1583">
        <f>SUM(AA122)</f>
        <v>15</v>
      </c>
      <c r="AB145" s="1583">
        <f>SUM(AB122)</f>
        <v>23</v>
      </c>
      <c r="AC145" s="1584">
        <f t="shared" si="101"/>
        <v>38</v>
      </c>
      <c r="AD145" s="1583">
        <f>SUM(AD122)</f>
        <v>19</v>
      </c>
      <c r="AE145" s="1583">
        <f>SUM(AE122)</f>
        <v>27</v>
      </c>
      <c r="AF145" s="1584">
        <f t="shared" si="102"/>
        <v>46</v>
      </c>
      <c r="AG145" s="1583">
        <f>SUM(AG122)</f>
        <v>20</v>
      </c>
      <c r="AH145" s="1583">
        <f>SUM(AH122)</f>
        <v>29</v>
      </c>
      <c r="AI145" s="1584">
        <f t="shared" si="103"/>
        <v>49</v>
      </c>
      <c r="AJ145" s="1583">
        <f>SUM(AJ122)</f>
        <v>20</v>
      </c>
      <c r="AK145" s="1583">
        <f>SUM(AK122)</f>
        <v>32</v>
      </c>
      <c r="AL145" s="1584">
        <f t="shared" si="104"/>
        <v>52</v>
      </c>
      <c r="AM145" s="1583">
        <f>SUM(AM122)</f>
        <v>20</v>
      </c>
      <c r="AN145" s="1583">
        <f>SUM(AN122)</f>
        <v>35</v>
      </c>
      <c r="AO145" s="1584">
        <f t="shared" si="105"/>
        <v>55</v>
      </c>
    </row>
    <row r="146" spans="1:41" x14ac:dyDescent="0.25">
      <c r="A146" s="7156"/>
      <c r="B146" s="1585" t="s">
        <v>12</v>
      </c>
      <c r="C146" s="1611">
        <f t="shared" ref="C146:Q146" si="111">SUM(C140:C145)</f>
        <v>1003</v>
      </c>
      <c r="D146" s="1592">
        <f t="shared" si="111"/>
        <v>1850</v>
      </c>
      <c r="E146" s="1593">
        <f t="shared" si="111"/>
        <v>2853</v>
      </c>
      <c r="F146" s="1592">
        <f t="shared" si="111"/>
        <v>1012</v>
      </c>
      <c r="G146" s="1592">
        <f t="shared" si="111"/>
        <v>1853</v>
      </c>
      <c r="H146" s="1592">
        <f t="shared" si="111"/>
        <v>2865</v>
      </c>
      <c r="I146" s="1611">
        <f t="shared" si="111"/>
        <v>1031</v>
      </c>
      <c r="J146" s="1592">
        <f t="shared" si="111"/>
        <v>1851</v>
      </c>
      <c r="K146" s="1593">
        <f t="shared" si="111"/>
        <v>2882</v>
      </c>
      <c r="L146" s="1592">
        <f t="shared" si="111"/>
        <v>1044</v>
      </c>
      <c r="M146" s="1592">
        <f t="shared" si="111"/>
        <v>1848</v>
      </c>
      <c r="N146" s="1592">
        <f t="shared" si="111"/>
        <v>2892</v>
      </c>
      <c r="O146" s="1611">
        <f t="shared" si="111"/>
        <v>1046</v>
      </c>
      <c r="P146" s="1592">
        <f t="shared" si="111"/>
        <v>1865</v>
      </c>
      <c r="Q146" s="1593">
        <f t="shared" si="111"/>
        <v>2911</v>
      </c>
      <c r="R146" s="1611">
        <f>SUM(R140:R145)</f>
        <v>1084</v>
      </c>
      <c r="S146" s="1592">
        <f>SUM(S140:S145)</f>
        <v>1874</v>
      </c>
      <c r="T146" s="1593">
        <f t="shared" si="98"/>
        <v>2958</v>
      </c>
      <c r="U146" s="1592">
        <f>SUM(U140:U145)</f>
        <v>1099</v>
      </c>
      <c r="V146" s="1592">
        <f>SUM(V140:V145)</f>
        <v>1905</v>
      </c>
      <c r="W146" s="1593">
        <f t="shared" si="99"/>
        <v>3004</v>
      </c>
      <c r="X146" s="1592">
        <f>SUM(X140:X145)</f>
        <v>1108</v>
      </c>
      <c r="Y146" s="1592">
        <f>SUM(Y140:Y145)</f>
        <v>1918</v>
      </c>
      <c r="Z146" s="1593">
        <f t="shared" si="100"/>
        <v>3026</v>
      </c>
      <c r="AA146" s="1592">
        <f>SUM(AA140:AA145)</f>
        <v>1127</v>
      </c>
      <c r="AB146" s="1592">
        <f>SUM(AB140:AB145)</f>
        <v>1930</v>
      </c>
      <c r="AC146" s="1593">
        <f t="shared" si="101"/>
        <v>3057</v>
      </c>
      <c r="AD146" s="1592">
        <f>SUM(AD140:AD145)</f>
        <v>1157</v>
      </c>
      <c r="AE146" s="1592">
        <f>SUM(AE140:AE145)</f>
        <v>1967</v>
      </c>
      <c r="AF146" s="1593">
        <f t="shared" si="102"/>
        <v>3124</v>
      </c>
      <c r="AG146" s="1592">
        <f>SUM(AG140:AG145)</f>
        <v>1144</v>
      </c>
      <c r="AH146" s="1592">
        <f>SUM(AH140:AH145)</f>
        <v>1946</v>
      </c>
      <c r="AI146" s="1593">
        <f t="shared" si="103"/>
        <v>3090</v>
      </c>
      <c r="AJ146" s="1592">
        <f>SUM(AJ140:AJ145)</f>
        <v>1142</v>
      </c>
      <c r="AK146" s="1592">
        <f>SUM(AK140:AK145)</f>
        <v>1920</v>
      </c>
      <c r="AL146" s="1593">
        <f t="shared" si="104"/>
        <v>3062</v>
      </c>
      <c r="AM146" s="1592">
        <f>SUM(AM140:AM145)</f>
        <v>1147</v>
      </c>
      <c r="AN146" s="1592">
        <f>SUM(AN140:AN145)</f>
        <v>1925</v>
      </c>
      <c r="AO146" s="1593">
        <f t="shared" si="105"/>
        <v>3072</v>
      </c>
    </row>
  </sheetData>
  <sheetProtection algorithmName="SHA-512" hashValue="GCTMWcvbEbJiXKiHVCiyIulrIqr9cy5eYFjMNqvZsIHkp8NUXFePWuZKmiVP4wLnmsA9eI3CSD+/0WZBmKqHQQ==" saltValue="OaXmdbOBTUX93ze3Ozhm+w==" spinCount="100000" sheet="1" objects="1" scenarios="1"/>
  <mergeCells count="87">
    <mergeCell ref="AJ112:AL112"/>
    <mergeCell ref="AG3:AI3"/>
    <mergeCell ref="AG41:AI41"/>
    <mergeCell ref="AG79:AI79"/>
    <mergeCell ref="AG112:AI112"/>
    <mergeCell ref="B3:B4"/>
    <mergeCell ref="A87:A90"/>
    <mergeCell ref="AJ3:AL3"/>
    <mergeCell ref="AJ41:AL41"/>
    <mergeCell ref="AJ79:AL79"/>
    <mergeCell ref="AD3:AF3"/>
    <mergeCell ref="AD41:AF41"/>
    <mergeCell ref="AD79:AF79"/>
    <mergeCell ref="I3:K3"/>
    <mergeCell ref="L3:N3"/>
    <mergeCell ref="O3:Q3"/>
    <mergeCell ref="AA3:AC3"/>
    <mergeCell ref="R41:T41"/>
    <mergeCell ref="U41:W41"/>
    <mergeCell ref="X41:Z41"/>
    <mergeCell ref="AA41:AC41"/>
    <mergeCell ref="AA112:AC112"/>
    <mergeCell ref="AD112:AF112"/>
    <mergeCell ref="R112:T112"/>
    <mergeCell ref="U112:W112"/>
    <mergeCell ref="A1:B1"/>
    <mergeCell ref="A39:B39"/>
    <mergeCell ref="A77:B77"/>
    <mergeCell ref="A110:B110"/>
    <mergeCell ref="B79:B80"/>
    <mergeCell ref="A11:A14"/>
    <mergeCell ref="A16:A19"/>
    <mergeCell ref="A21:A24"/>
    <mergeCell ref="A26:A29"/>
    <mergeCell ref="A31:A37"/>
    <mergeCell ref="A6:A9"/>
    <mergeCell ref="A3:A4"/>
    <mergeCell ref="A115:A118"/>
    <mergeCell ref="A120:A123"/>
    <mergeCell ref="A125:A128"/>
    <mergeCell ref="L112:N112"/>
    <mergeCell ref="O112:Q112"/>
    <mergeCell ref="I112:K112"/>
    <mergeCell ref="X112:Z112"/>
    <mergeCell ref="A112:A113"/>
    <mergeCell ref="B112:B113"/>
    <mergeCell ref="C112:E112"/>
    <mergeCell ref="F112:H112"/>
    <mergeCell ref="R3:T3"/>
    <mergeCell ref="U3:W3"/>
    <mergeCell ref="X3:Z3"/>
    <mergeCell ref="A135:A138"/>
    <mergeCell ref="A140:A146"/>
    <mergeCell ref="A130:A133"/>
    <mergeCell ref="A49:A52"/>
    <mergeCell ref="A44:A47"/>
    <mergeCell ref="A54:A57"/>
    <mergeCell ref="A64:A67"/>
    <mergeCell ref="A69:A75"/>
    <mergeCell ref="A79:A80"/>
    <mergeCell ref="A102:A108"/>
    <mergeCell ref="A97:A100"/>
    <mergeCell ref="A92:A95"/>
    <mergeCell ref="A82:A85"/>
    <mergeCell ref="C79:E79"/>
    <mergeCell ref="L41:N41"/>
    <mergeCell ref="O41:Q41"/>
    <mergeCell ref="B41:B42"/>
    <mergeCell ref="C41:E41"/>
    <mergeCell ref="F41:H41"/>
    <mergeCell ref="I41:K41"/>
    <mergeCell ref="AM3:AO3"/>
    <mergeCell ref="AM41:AO41"/>
    <mergeCell ref="AM79:AO79"/>
    <mergeCell ref="AM112:AO112"/>
    <mergeCell ref="A59:A62"/>
    <mergeCell ref="C3:E3"/>
    <mergeCell ref="F3:H3"/>
    <mergeCell ref="A41:A42"/>
    <mergeCell ref="X79:Z79"/>
    <mergeCell ref="AA79:AC79"/>
    <mergeCell ref="F79:H79"/>
    <mergeCell ref="I79:K79"/>
    <mergeCell ref="L79:N79"/>
    <mergeCell ref="O79:Q79"/>
    <mergeCell ref="R79:T79"/>
    <mergeCell ref="U79:W7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70" pageOrder="overThenDown" orientation="landscape" r:id="rId1"/>
  <rowBreaks count="4" manualBreakCount="4">
    <brk id="38" max="31" man="1"/>
    <brk id="76" max="16383" man="1"/>
    <brk id="109" max="16383" man="1"/>
    <brk id="147" max="16383" man="1"/>
  </rowBreaks>
  <colBreaks count="2" manualBreakCount="2">
    <brk id="17" max="141" man="1"/>
    <brk id="32" max="1048575" man="1"/>
  </colBreaks>
  <ignoredErrors>
    <ignoredError sqref="T37:Z37 U6:Z36 N63:Z75 N85:Z100 N108:Q108 AC82:AC100 AC63:AC75 AC6:AC37 T113:AC146 AF115:AF146 AF85:AF108 AF63:AF75 AF6:AF37 AI31:AI37 AI9:AI29 AI63:AI75 AI85:AI100 AI115:AI146 AL115:AL146 AL85:AL100 AL63:AL75 AL9:AL37 AL44:AL57 AI47:AI57 AF44:AF57 AC44:AC57 N47:Z57 AM131:AN131" formula="1"/>
    <ignoredError sqref="T6:T36" formula="1" formulaRange="1"/>
  </ignoredErrors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Q129"/>
  <sheetViews>
    <sheetView showGridLines="0" zoomScaleNormal="100" workbookViewId="0">
      <selection activeCell="Q51" sqref="Q51"/>
    </sheetView>
  </sheetViews>
  <sheetFormatPr baseColWidth="10" defaultRowHeight="15" x14ac:dyDescent="0.25"/>
  <cols>
    <col min="1" max="1" width="22.7109375" style="1484" customWidth="1"/>
    <col min="2" max="2" width="1.28515625" style="1484" customWidth="1"/>
    <col min="3" max="16" width="10.7109375" style="1484" customWidth="1"/>
    <col min="17" max="16384" width="11.42578125" style="1484"/>
  </cols>
  <sheetData>
    <row r="1" spans="1:17" ht="21" x14ac:dyDescent="0.25">
      <c r="A1" s="2159" t="s">
        <v>97</v>
      </c>
      <c r="B1" s="1485"/>
      <c r="D1" s="2159"/>
      <c r="E1" s="2159"/>
      <c r="F1" s="2159"/>
      <c r="G1" s="2159"/>
      <c r="H1" s="2159"/>
      <c r="I1" s="2159"/>
      <c r="J1" s="2159"/>
      <c r="K1" s="2159"/>
      <c r="L1" s="2159"/>
      <c r="M1" s="2159"/>
    </row>
    <row r="2" spans="1:17" ht="15.75" thickBot="1" x14ac:dyDescent="0.3">
      <c r="B2" s="1485"/>
    </row>
    <row r="3" spans="1:17" ht="33.75" customHeight="1" thickBot="1" x14ac:dyDescent="0.3">
      <c r="A3" s="1486" t="s">
        <v>98</v>
      </c>
      <c r="B3" s="1485"/>
      <c r="C3" s="1487">
        <v>2003</v>
      </c>
      <c r="D3" s="1488">
        <v>2004</v>
      </c>
      <c r="E3" s="1488">
        <v>2005</v>
      </c>
      <c r="F3" s="1488">
        <v>2006</v>
      </c>
      <c r="G3" s="1489">
        <v>2007</v>
      </c>
      <c r="H3" s="1489">
        <v>2008</v>
      </c>
      <c r="I3" s="1489">
        <v>2009</v>
      </c>
      <c r="J3" s="1489">
        <v>2010</v>
      </c>
      <c r="K3" s="1489">
        <v>2011</v>
      </c>
      <c r="L3" s="1489">
        <v>2012</v>
      </c>
      <c r="M3" s="1488">
        <v>2013</v>
      </c>
      <c r="N3" s="1488">
        <v>2014</v>
      </c>
      <c r="O3" s="1488">
        <v>2015</v>
      </c>
      <c r="P3" s="1490">
        <v>2016</v>
      </c>
      <c r="Q3" s="1490">
        <v>2017</v>
      </c>
    </row>
    <row r="4" spans="1:17" ht="11.25" customHeight="1" thickBot="1" x14ac:dyDescent="0.3">
      <c r="B4" s="1485"/>
    </row>
    <row r="5" spans="1:17" ht="21" customHeight="1" x14ac:dyDescent="0.25">
      <c r="A5" s="4590" t="s">
        <v>99</v>
      </c>
      <c r="C5" s="4595">
        <v>13</v>
      </c>
      <c r="D5" s="4596">
        <f>11</f>
        <v>11</v>
      </c>
      <c r="E5" s="4596">
        <f>13</f>
        <v>13</v>
      </c>
      <c r="F5" s="4596">
        <f>12</f>
        <v>12</v>
      </c>
      <c r="G5" s="4597">
        <f>10</f>
        <v>10</v>
      </c>
      <c r="H5" s="4597">
        <f>14</f>
        <v>14</v>
      </c>
      <c r="I5" s="4597">
        <v>11</v>
      </c>
      <c r="J5" s="4597">
        <v>8</v>
      </c>
      <c r="K5" s="4597">
        <v>12</v>
      </c>
      <c r="L5" s="4597">
        <v>11</v>
      </c>
      <c r="M5" s="4596">
        <v>12</v>
      </c>
      <c r="N5" s="4596">
        <v>18</v>
      </c>
      <c r="O5" s="4596">
        <v>11</v>
      </c>
      <c r="P5" s="4598">
        <v>9</v>
      </c>
      <c r="Q5" s="4598">
        <v>12</v>
      </c>
    </row>
    <row r="6" spans="1:17" ht="21" customHeight="1" x14ac:dyDescent="0.25">
      <c r="A6" s="4591" t="s">
        <v>100</v>
      </c>
      <c r="C6" s="4599">
        <v>96</v>
      </c>
      <c r="D6" s="4600">
        <f>74</f>
        <v>74</v>
      </c>
      <c r="E6" s="4600">
        <f>61</f>
        <v>61</v>
      </c>
      <c r="F6" s="4600">
        <f>63</f>
        <v>63</v>
      </c>
      <c r="G6" s="4601">
        <f>69</f>
        <v>69</v>
      </c>
      <c r="H6" s="4601">
        <f>72</f>
        <v>72</v>
      </c>
      <c r="I6" s="4601">
        <v>70</v>
      </c>
      <c r="J6" s="4601">
        <v>70</v>
      </c>
      <c r="K6" s="4601">
        <v>67</v>
      </c>
      <c r="L6" s="4601">
        <v>67</v>
      </c>
      <c r="M6" s="4600">
        <v>76</v>
      </c>
      <c r="N6" s="4600">
        <v>80</v>
      </c>
      <c r="O6" s="4600">
        <v>75</v>
      </c>
      <c r="P6" s="4602">
        <v>63</v>
      </c>
      <c r="Q6" s="4602">
        <v>57</v>
      </c>
    </row>
    <row r="7" spans="1:17" ht="21" customHeight="1" x14ac:dyDescent="0.25">
      <c r="A7" s="4591" t="s">
        <v>101</v>
      </c>
      <c r="C7" s="4599">
        <f>263</f>
        <v>263</v>
      </c>
      <c r="D7" s="4600">
        <f>233</f>
        <v>233</v>
      </c>
      <c r="E7" s="4600">
        <f>205</f>
        <v>205</v>
      </c>
      <c r="F7" s="4600">
        <f>181</f>
        <v>181</v>
      </c>
      <c r="G7" s="4601">
        <f>177</f>
        <v>177</v>
      </c>
      <c r="H7" s="4601">
        <f>180</f>
        <v>180</v>
      </c>
      <c r="I7" s="4601">
        <v>169</v>
      </c>
      <c r="J7" s="4601">
        <v>164</v>
      </c>
      <c r="K7" s="4601">
        <v>155</v>
      </c>
      <c r="L7" s="4601">
        <v>155</v>
      </c>
      <c r="M7" s="4600">
        <v>153</v>
      </c>
      <c r="N7" s="4600">
        <v>158</v>
      </c>
      <c r="O7" s="4600">
        <v>154</v>
      </c>
      <c r="P7" s="4602">
        <v>154</v>
      </c>
      <c r="Q7" s="4602">
        <v>145</v>
      </c>
    </row>
    <row r="8" spans="1:17" ht="21" customHeight="1" x14ac:dyDescent="0.25">
      <c r="A8" s="4591" t="s">
        <v>102</v>
      </c>
      <c r="C8" s="4599">
        <f>479</f>
        <v>479</v>
      </c>
      <c r="D8" s="4600">
        <f>449</f>
        <v>449</v>
      </c>
      <c r="E8" s="4600">
        <f>410</f>
        <v>410</v>
      </c>
      <c r="F8" s="4600">
        <f>371</f>
        <v>371</v>
      </c>
      <c r="G8" s="4601">
        <f>363</f>
        <v>363</v>
      </c>
      <c r="H8" s="4601">
        <f>319</f>
        <v>319</v>
      </c>
      <c r="I8" s="4601">
        <v>302</v>
      </c>
      <c r="J8" s="4601">
        <v>284</v>
      </c>
      <c r="K8" s="4601">
        <v>274</v>
      </c>
      <c r="L8" s="4601">
        <v>250</v>
      </c>
      <c r="M8" s="4600">
        <v>259</v>
      </c>
      <c r="N8" s="4600">
        <v>256</v>
      </c>
      <c r="O8" s="4600">
        <v>238</v>
      </c>
      <c r="P8" s="4602">
        <v>226</v>
      </c>
      <c r="Q8" s="4602">
        <v>241</v>
      </c>
    </row>
    <row r="9" spans="1:17" ht="21" customHeight="1" x14ac:dyDescent="0.25">
      <c r="A9" s="4591" t="s">
        <v>103</v>
      </c>
      <c r="C9" s="4599">
        <f>640</f>
        <v>640</v>
      </c>
      <c r="D9" s="4600">
        <f>622</f>
        <v>622</v>
      </c>
      <c r="E9" s="4600">
        <f>622</f>
        <v>622</v>
      </c>
      <c r="F9" s="4600">
        <f>596</f>
        <v>596</v>
      </c>
      <c r="G9" s="4601">
        <f>566</f>
        <v>566</v>
      </c>
      <c r="H9" s="4601">
        <f>521</f>
        <v>521</v>
      </c>
      <c r="I9" s="4601">
        <v>493</v>
      </c>
      <c r="J9" s="4601">
        <v>461</v>
      </c>
      <c r="K9" s="4601">
        <v>437</v>
      </c>
      <c r="L9" s="4601">
        <v>414</v>
      </c>
      <c r="M9" s="4600">
        <v>377</v>
      </c>
      <c r="N9" s="4600">
        <v>365</v>
      </c>
      <c r="O9" s="4600">
        <v>327</v>
      </c>
      <c r="P9" s="4602">
        <v>313</v>
      </c>
      <c r="Q9" s="4602">
        <v>292</v>
      </c>
    </row>
    <row r="10" spans="1:17" ht="21" customHeight="1" x14ac:dyDescent="0.25">
      <c r="A10" s="4591" t="s">
        <v>104</v>
      </c>
      <c r="C10" s="4599">
        <f>589</f>
        <v>589</v>
      </c>
      <c r="D10" s="4600">
        <f>594</f>
        <v>594</v>
      </c>
      <c r="E10" s="4600">
        <f>609</f>
        <v>609</v>
      </c>
      <c r="F10" s="4600">
        <f>617</f>
        <v>617</v>
      </c>
      <c r="G10" s="4601">
        <f>638</f>
        <v>638</v>
      </c>
      <c r="H10" s="4601">
        <f>661</f>
        <v>661</v>
      </c>
      <c r="I10" s="4601">
        <v>660</v>
      </c>
      <c r="J10" s="4601">
        <v>649</v>
      </c>
      <c r="K10" s="4601">
        <v>614</v>
      </c>
      <c r="L10" s="4601">
        <v>582</v>
      </c>
      <c r="M10" s="4600">
        <v>543</v>
      </c>
      <c r="N10" s="4600">
        <v>524</v>
      </c>
      <c r="O10" s="4600">
        <v>486</v>
      </c>
      <c r="P10" s="4602">
        <v>453</v>
      </c>
      <c r="Q10" s="4602">
        <v>441</v>
      </c>
    </row>
    <row r="11" spans="1:17" ht="21" customHeight="1" x14ac:dyDescent="0.25">
      <c r="A11" s="4591" t="s">
        <v>105</v>
      </c>
      <c r="C11" s="4599">
        <f>419</f>
        <v>419</v>
      </c>
      <c r="D11" s="4600">
        <f>458</f>
        <v>458</v>
      </c>
      <c r="E11" s="4600">
        <f>505</f>
        <v>505</v>
      </c>
      <c r="F11" s="4600">
        <f>536</f>
        <v>536</v>
      </c>
      <c r="G11" s="4601">
        <f>540</f>
        <v>540</v>
      </c>
      <c r="H11" s="4601">
        <f>550</f>
        <v>550</v>
      </c>
      <c r="I11" s="4601">
        <v>558</v>
      </c>
      <c r="J11" s="4601">
        <v>585</v>
      </c>
      <c r="K11" s="4601">
        <v>604</v>
      </c>
      <c r="L11" s="4601">
        <v>631</v>
      </c>
      <c r="M11" s="4600">
        <v>652</v>
      </c>
      <c r="N11" s="4600">
        <v>645</v>
      </c>
      <c r="O11" s="4600">
        <v>646</v>
      </c>
      <c r="P11" s="4602">
        <v>602</v>
      </c>
      <c r="Q11" s="4602">
        <v>564</v>
      </c>
    </row>
    <row r="12" spans="1:17" ht="21" customHeight="1" x14ac:dyDescent="0.25">
      <c r="A12" s="4591" t="s">
        <v>106</v>
      </c>
      <c r="C12" s="4599">
        <f>201</f>
        <v>201</v>
      </c>
      <c r="D12" s="4600">
        <f>237</f>
        <v>237</v>
      </c>
      <c r="E12" s="4600">
        <f>274</f>
        <v>274</v>
      </c>
      <c r="F12" s="4600">
        <v>318</v>
      </c>
      <c r="G12" s="4601">
        <f>335</f>
        <v>335</v>
      </c>
      <c r="H12" s="4601">
        <f>357</f>
        <v>357</v>
      </c>
      <c r="I12" s="4601">
        <v>394</v>
      </c>
      <c r="J12" s="4601">
        <v>438</v>
      </c>
      <c r="K12" s="4601">
        <v>474</v>
      </c>
      <c r="L12" s="4601">
        <v>499</v>
      </c>
      <c r="M12" s="4600">
        <v>506</v>
      </c>
      <c r="N12" s="4600">
        <v>527</v>
      </c>
      <c r="O12" s="4600">
        <v>535</v>
      </c>
      <c r="P12" s="4602">
        <v>552</v>
      </c>
      <c r="Q12" s="4602">
        <v>580</v>
      </c>
    </row>
    <row r="13" spans="1:17" ht="21" customHeight="1" x14ac:dyDescent="0.25">
      <c r="A13" s="4591" t="s">
        <v>107</v>
      </c>
      <c r="C13" s="4599">
        <f>72</f>
        <v>72</v>
      </c>
      <c r="D13" s="4600">
        <f>87</f>
        <v>87</v>
      </c>
      <c r="E13" s="4600">
        <f>92</f>
        <v>92</v>
      </c>
      <c r="F13" s="4600">
        <f>116</f>
        <v>116</v>
      </c>
      <c r="G13" s="4601">
        <f>132</f>
        <v>132</v>
      </c>
      <c r="H13" s="4601">
        <f>158</f>
        <v>158</v>
      </c>
      <c r="I13" s="4601">
        <v>178</v>
      </c>
      <c r="J13" s="4601">
        <v>211</v>
      </c>
      <c r="K13" s="4601">
        <v>254</v>
      </c>
      <c r="L13" s="4601">
        <v>283</v>
      </c>
      <c r="M13" s="4600">
        <v>321</v>
      </c>
      <c r="N13" s="4600">
        <v>351</v>
      </c>
      <c r="O13" s="4600">
        <v>382</v>
      </c>
      <c r="P13" s="4602">
        <v>410</v>
      </c>
      <c r="Q13" s="4602">
        <v>435</v>
      </c>
    </row>
    <row r="14" spans="1:17" ht="21" customHeight="1" thickBot="1" x14ac:dyDescent="0.3">
      <c r="A14" s="4592" t="s">
        <v>591</v>
      </c>
      <c r="C14" s="4603">
        <f>43</f>
        <v>43</v>
      </c>
      <c r="D14" s="4604">
        <v>52</v>
      </c>
      <c r="E14" s="4604">
        <f>62</f>
        <v>62</v>
      </c>
      <c r="F14" s="4604">
        <f>55</f>
        <v>55</v>
      </c>
      <c r="G14" s="4605">
        <f>52</f>
        <v>52</v>
      </c>
      <c r="H14" s="4605">
        <f>60</f>
        <v>60</v>
      </c>
      <c r="I14" s="4605">
        <v>76</v>
      </c>
      <c r="J14" s="4605">
        <v>88</v>
      </c>
      <c r="K14" s="4605">
        <v>113</v>
      </c>
      <c r="L14" s="4605">
        <v>134</v>
      </c>
      <c r="M14" s="4604">
        <v>158</v>
      </c>
      <c r="N14" s="4604">
        <v>200</v>
      </c>
      <c r="O14" s="4604">
        <v>236</v>
      </c>
      <c r="P14" s="4606">
        <v>280</v>
      </c>
      <c r="Q14" s="4606">
        <v>305</v>
      </c>
    </row>
    <row r="15" spans="1:17" ht="11.25" customHeight="1" thickBot="1" x14ac:dyDescent="0.3">
      <c r="C15" s="1497"/>
      <c r="D15" s="1497"/>
      <c r="E15" s="1497"/>
      <c r="F15" s="1497"/>
      <c r="G15" s="1497"/>
      <c r="H15" s="1497"/>
      <c r="I15" s="1497"/>
    </row>
    <row r="16" spans="1:17" ht="21.75" customHeight="1" thickBot="1" x14ac:dyDescent="0.3">
      <c r="A16" s="1491" t="s">
        <v>12</v>
      </c>
      <c r="C16" s="1498">
        <f t="shared" ref="C16:L16" si="0">SUM(C5:C14)</f>
        <v>2815</v>
      </c>
      <c r="D16" s="1499">
        <f t="shared" si="0"/>
        <v>2817</v>
      </c>
      <c r="E16" s="1499">
        <f t="shared" si="0"/>
        <v>2853</v>
      </c>
      <c r="F16" s="1499">
        <f t="shared" si="0"/>
        <v>2865</v>
      </c>
      <c r="G16" s="1499">
        <f t="shared" si="0"/>
        <v>2882</v>
      </c>
      <c r="H16" s="1499">
        <f>SUM(H5:H14)</f>
        <v>2892</v>
      </c>
      <c r="I16" s="1499">
        <f>SUM(I5:I14)</f>
        <v>2911</v>
      </c>
      <c r="J16" s="1499">
        <f>SUM(J5:J14)</f>
        <v>2958</v>
      </c>
      <c r="K16" s="1499">
        <f>SUM(K5:K14)</f>
        <v>3004</v>
      </c>
      <c r="L16" s="1499">
        <f t="shared" si="0"/>
        <v>3026</v>
      </c>
      <c r="M16" s="1499">
        <f>SUM(M5:M14)</f>
        <v>3057</v>
      </c>
      <c r="N16" s="1499">
        <f>SUM(N5:N14)</f>
        <v>3124</v>
      </c>
      <c r="O16" s="1499">
        <f>SUM(O5:O14)</f>
        <v>3090</v>
      </c>
      <c r="P16" s="1500">
        <f>SUM(P5:P14)</f>
        <v>3062</v>
      </c>
      <c r="Q16" s="1500">
        <f>SUM(Q5:Q14)</f>
        <v>3072</v>
      </c>
    </row>
    <row r="17" spans="1:17" ht="11.25" customHeight="1" thickBot="1" x14ac:dyDescent="0.3">
      <c r="A17" s="1492"/>
    </row>
    <row r="18" spans="1:17" ht="21.75" customHeight="1" thickBot="1" x14ac:dyDescent="0.3">
      <c r="A18" s="1491" t="s">
        <v>108</v>
      </c>
      <c r="C18" s="1897">
        <v>50.155595026642999</v>
      </c>
      <c r="D18" s="1898">
        <v>50.969826056088003</v>
      </c>
      <c r="E18" s="1898">
        <v>51.682089029092197</v>
      </c>
      <c r="F18" s="1898">
        <v>52.225130890052398</v>
      </c>
      <c r="G18" s="1899">
        <v>52.436502428868799</v>
      </c>
      <c r="H18" s="1899">
        <v>52.921507607192297</v>
      </c>
      <c r="I18" s="1899">
        <v>53.4709721745105</v>
      </c>
      <c r="J18" s="1899">
        <v>54.115280594996598</v>
      </c>
      <c r="K18" s="1899">
        <v>54.703728362183803</v>
      </c>
      <c r="L18" s="1899">
        <v>55.208856576338398</v>
      </c>
      <c r="M18" s="1898">
        <v>55.6</v>
      </c>
      <c r="N18" s="3939">
        <v>55.969910371318797</v>
      </c>
      <c r="O18" s="3939">
        <v>56.724919093851099</v>
      </c>
      <c r="P18" s="2558">
        <v>57.299150881776598</v>
      </c>
      <c r="Q18" s="2558">
        <v>57.607421875</v>
      </c>
    </row>
    <row r="19" spans="1:17" ht="8.25" customHeight="1" x14ac:dyDescent="0.25"/>
    <row r="20" spans="1:17" ht="11.25" customHeight="1" x14ac:dyDescent="0.25">
      <c r="A20" s="1495" t="s">
        <v>624</v>
      </c>
    </row>
    <row r="21" spans="1:17" x14ac:dyDescent="0.25">
      <c r="A21" s="1495" t="s">
        <v>116</v>
      </c>
    </row>
    <row r="23" spans="1:17" ht="12" customHeight="1" x14ac:dyDescent="0.25">
      <c r="A23" s="3708" t="s">
        <v>98</v>
      </c>
      <c r="B23" s="3709"/>
      <c r="C23" s="3710">
        <v>2003</v>
      </c>
      <c r="D23" s="3710">
        <v>2004</v>
      </c>
      <c r="E23" s="3710">
        <v>2005</v>
      </c>
      <c r="F23" s="3710">
        <v>2006</v>
      </c>
      <c r="G23" s="3710">
        <v>2007</v>
      </c>
      <c r="H23" s="3710">
        <v>2008</v>
      </c>
      <c r="I23" s="3710">
        <v>2009</v>
      </c>
      <c r="J23" s="3710">
        <v>2010</v>
      </c>
      <c r="K23" s="3710">
        <v>2011</v>
      </c>
      <c r="L23" s="3710">
        <v>2012</v>
      </c>
      <c r="M23" s="3710">
        <v>2013</v>
      </c>
      <c r="N23" s="3710">
        <v>2014</v>
      </c>
      <c r="O23" s="3710">
        <v>2015</v>
      </c>
      <c r="P23" s="3710">
        <v>2016</v>
      </c>
      <c r="Q23" s="3710">
        <v>2017</v>
      </c>
    </row>
    <row r="24" spans="1:17" ht="12" customHeight="1" x14ac:dyDescent="0.25">
      <c r="A24" s="3711" t="s">
        <v>99</v>
      </c>
      <c r="B24" s="3712"/>
      <c r="C24" s="3713">
        <v>13</v>
      </c>
      <c r="D24" s="3713">
        <f>11</f>
        <v>11</v>
      </c>
      <c r="E24" s="3713">
        <f>13</f>
        <v>13</v>
      </c>
      <c r="F24" s="3713">
        <f>12</f>
        <v>12</v>
      </c>
      <c r="G24" s="3713">
        <f>10</f>
        <v>10</v>
      </c>
      <c r="H24" s="3713">
        <f>14</f>
        <v>14</v>
      </c>
      <c r="I24" s="3713">
        <v>11</v>
      </c>
      <c r="J24" s="3713">
        <v>8</v>
      </c>
      <c r="K24" s="3713">
        <v>12</v>
      </c>
      <c r="L24" s="3713">
        <v>11</v>
      </c>
      <c r="M24" s="3713">
        <v>12</v>
      </c>
      <c r="N24" s="3713">
        <f>+N5</f>
        <v>18</v>
      </c>
      <c r="O24" s="3713">
        <f>+O5</f>
        <v>11</v>
      </c>
      <c r="P24" s="3713">
        <f>+P5</f>
        <v>9</v>
      </c>
      <c r="Q24" s="3713">
        <f>+Q5</f>
        <v>12</v>
      </c>
    </row>
    <row r="25" spans="1:17" ht="12" customHeight="1" x14ac:dyDescent="0.25">
      <c r="A25" s="3714" t="s">
        <v>625</v>
      </c>
      <c r="B25" s="3712"/>
      <c r="C25" s="3715">
        <f t="shared" ref="C25:N25" si="1">SUM(C6:C7)</f>
        <v>359</v>
      </c>
      <c r="D25" s="3715">
        <f t="shared" si="1"/>
        <v>307</v>
      </c>
      <c r="E25" s="3715">
        <f t="shared" si="1"/>
        <v>266</v>
      </c>
      <c r="F25" s="3715">
        <f t="shared" si="1"/>
        <v>244</v>
      </c>
      <c r="G25" s="3715">
        <f t="shared" si="1"/>
        <v>246</v>
      </c>
      <c r="H25" s="3715">
        <f t="shared" si="1"/>
        <v>252</v>
      </c>
      <c r="I25" s="3715">
        <f t="shared" si="1"/>
        <v>239</v>
      </c>
      <c r="J25" s="3715">
        <f t="shared" si="1"/>
        <v>234</v>
      </c>
      <c r="K25" s="3715">
        <f t="shared" si="1"/>
        <v>222</v>
      </c>
      <c r="L25" s="3715">
        <f t="shared" si="1"/>
        <v>222</v>
      </c>
      <c r="M25" s="3715">
        <f t="shared" si="1"/>
        <v>229</v>
      </c>
      <c r="N25" s="3715">
        <f t="shared" si="1"/>
        <v>238</v>
      </c>
      <c r="O25" s="3715">
        <f>SUM(O6:O7)</f>
        <v>229</v>
      </c>
      <c r="P25" s="3715">
        <f>SUM(P6:P7)</f>
        <v>217</v>
      </c>
      <c r="Q25" s="3715">
        <f>SUM(Q6:Q7)</f>
        <v>202</v>
      </c>
    </row>
    <row r="26" spans="1:17" ht="12" customHeight="1" x14ac:dyDescent="0.25">
      <c r="A26" s="3714" t="s">
        <v>626</v>
      </c>
      <c r="B26" s="3712"/>
      <c r="C26" s="3715">
        <f t="shared" ref="C26:N26" si="2">SUM(C8:C9)</f>
        <v>1119</v>
      </c>
      <c r="D26" s="3715">
        <f t="shared" si="2"/>
        <v>1071</v>
      </c>
      <c r="E26" s="3715">
        <f t="shared" si="2"/>
        <v>1032</v>
      </c>
      <c r="F26" s="3715">
        <f t="shared" si="2"/>
        <v>967</v>
      </c>
      <c r="G26" s="3715">
        <f t="shared" si="2"/>
        <v>929</v>
      </c>
      <c r="H26" s="3715">
        <f t="shared" si="2"/>
        <v>840</v>
      </c>
      <c r="I26" s="3715">
        <f t="shared" si="2"/>
        <v>795</v>
      </c>
      <c r="J26" s="3715">
        <f t="shared" si="2"/>
        <v>745</v>
      </c>
      <c r="K26" s="3715">
        <f t="shared" si="2"/>
        <v>711</v>
      </c>
      <c r="L26" s="3715">
        <f t="shared" si="2"/>
        <v>664</v>
      </c>
      <c r="M26" s="3715">
        <f t="shared" si="2"/>
        <v>636</v>
      </c>
      <c r="N26" s="3715">
        <f t="shared" si="2"/>
        <v>621</v>
      </c>
      <c r="O26" s="3715">
        <f>SUM(O8:O9)</f>
        <v>565</v>
      </c>
      <c r="P26" s="3715">
        <f>SUM(P8:P9)</f>
        <v>539</v>
      </c>
      <c r="Q26" s="3715">
        <f>SUM(Q8:Q9)</f>
        <v>533</v>
      </c>
    </row>
    <row r="27" spans="1:17" ht="12" customHeight="1" x14ac:dyDescent="0.25">
      <c r="A27" s="3714" t="s">
        <v>627</v>
      </c>
      <c r="B27" s="3712"/>
      <c r="C27" s="3715">
        <f t="shared" ref="C27:N27" si="3">SUM(C10:C11)</f>
        <v>1008</v>
      </c>
      <c r="D27" s="3715">
        <f t="shared" si="3"/>
        <v>1052</v>
      </c>
      <c r="E27" s="3715">
        <f t="shared" si="3"/>
        <v>1114</v>
      </c>
      <c r="F27" s="3715">
        <f t="shared" si="3"/>
        <v>1153</v>
      </c>
      <c r="G27" s="3715">
        <f t="shared" si="3"/>
        <v>1178</v>
      </c>
      <c r="H27" s="3715">
        <f t="shared" si="3"/>
        <v>1211</v>
      </c>
      <c r="I27" s="3715">
        <f t="shared" si="3"/>
        <v>1218</v>
      </c>
      <c r="J27" s="3715">
        <f t="shared" si="3"/>
        <v>1234</v>
      </c>
      <c r="K27" s="3715">
        <f t="shared" si="3"/>
        <v>1218</v>
      </c>
      <c r="L27" s="3715">
        <f t="shared" si="3"/>
        <v>1213</v>
      </c>
      <c r="M27" s="3715">
        <f t="shared" si="3"/>
        <v>1195</v>
      </c>
      <c r="N27" s="3715">
        <f t="shared" si="3"/>
        <v>1169</v>
      </c>
      <c r="O27" s="3715">
        <f>SUM(O10:O11)</f>
        <v>1132</v>
      </c>
      <c r="P27" s="3715">
        <f>SUM(P10:P11)</f>
        <v>1055</v>
      </c>
      <c r="Q27" s="3715">
        <f>SUM(Q10:Q11)</f>
        <v>1005</v>
      </c>
    </row>
    <row r="28" spans="1:17" ht="12" customHeight="1" x14ac:dyDescent="0.25">
      <c r="A28" s="3714" t="s">
        <v>628</v>
      </c>
      <c r="B28" s="3712"/>
      <c r="C28" s="3715">
        <f t="shared" ref="C28:N28" si="4">SUM(C12:C13)</f>
        <v>273</v>
      </c>
      <c r="D28" s="3715">
        <f t="shared" si="4"/>
        <v>324</v>
      </c>
      <c r="E28" s="3715">
        <f t="shared" si="4"/>
        <v>366</v>
      </c>
      <c r="F28" s="3715">
        <f t="shared" si="4"/>
        <v>434</v>
      </c>
      <c r="G28" s="3715">
        <f t="shared" si="4"/>
        <v>467</v>
      </c>
      <c r="H28" s="3715">
        <f t="shared" si="4"/>
        <v>515</v>
      </c>
      <c r="I28" s="3715">
        <f t="shared" si="4"/>
        <v>572</v>
      </c>
      <c r="J28" s="3715">
        <f t="shared" si="4"/>
        <v>649</v>
      </c>
      <c r="K28" s="3715">
        <f t="shared" si="4"/>
        <v>728</v>
      </c>
      <c r="L28" s="3715">
        <f t="shared" si="4"/>
        <v>782</v>
      </c>
      <c r="M28" s="3715">
        <f t="shared" si="4"/>
        <v>827</v>
      </c>
      <c r="N28" s="3715">
        <f t="shared" si="4"/>
        <v>878</v>
      </c>
      <c r="O28" s="3715">
        <f>SUM(O12:O13)</f>
        <v>917</v>
      </c>
      <c r="P28" s="3715">
        <f>SUM(P12:P13)</f>
        <v>962</v>
      </c>
      <c r="Q28" s="3715">
        <f>SUM(Q12:Q13)</f>
        <v>1015</v>
      </c>
    </row>
    <row r="29" spans="1:17" ht="12" customHeight="1" x14ac:dyDescent="0.25">
      <c r="A29" s="3716" t="s">
        <v>591</v>
      </c>
      <c r="B29" s="3712"/>
      <c r="C29" s="3717">
        <f>43</f>
        <v>43</v>
      </c>
      <c r="D29" s="3717">
        <v>52</v>
      </c>
      <c r="E29" s="3717">
        <f>62</f>
        <v>62</v>
      </c>
      <c r="F29" s="3717">
        <f>55</f>
        <v>55</v>
      </c>
      <c r="G29" s="3717">
        <f>52</f>
        <v>52</v>
      </c>
      <c r="H29" s="3717">
        <f>60</f>
        <v>60</v>
      </c>
      <c r="I29" s="3717">
        <v>76</v>
      </c>
      <c r="J29" s="3717">
        <v>88</v>
      </c>
      <c r="K29" s="3717">
        <v>113</v>
      </c>
      <c r="L29" s="3717">
        <v>134</v>
      </c>
      <c r="M29" s="3717">
        <v>158</v>
      </c>
      <c r="N29" s="3717">
        <f>+N14</f>
        <v>200</v>
      </c>
      <c r="O29" s="3717">
        <f>+O14</f>
        <v>236</v>
      </c>
      <c r="P29" s="3717">
        <f>+P14</f>
        <v>280</v>
      </c>
      <c r="Q29" s="3717">
        <f>+Q14</f>
        <v>305</v>
      </c>
    </row>
    <row r="30" spans="1:17" ht="12" customHeight="1" x14ac:dyDescent="0.25">
      <c r="A30" s="3718" t="s">
        <v>12</v>
      </c>
      <c r="B30" s="3712"/>
      <c r="C30" s="3719">
        <f t="shared" ref="C30:M30" si="5">SUM(C24:C29)</f>
        <v>2815</v>
      </c>
      <c r="D30" s="3719">
        <f t="shared" si="5"/>
        <v>2817</v>
      </c>
      <c r="E30" s="3719">
        <f t="shared" si="5"/>
        <v>2853</v>
      </c>
      <c r="F30" s="3719">
        <f t="shared" si="5"/>
        <v>2865</v>
      </c>
      <c r="G30" s="3719">
        <f t="shared" si="5"/>
        <v>2882</v>
      </c>
      <c r="H30" s="3719">
        <f t="shared" si="5"/>
        <v>2892</v>
      </c>
      <c r="I30" s="3719">
        <f t="shared" si="5"/>
        <v>2911</v>
      </c>
      <c r="J30" s="3719">
        <f t="shared" si="5"/>
        <v>2958</v>
      </c>
      <c r="K30" s="3719">
        <f t="shared" si="5"/>
        <v>3004</v>
      </c>
      <c r="L30" s="3719">
        <f t="shared" si="5"/>
        <v>3026</v>
      </c>
      <c r="M30" s="3719">
        <f t="shared" si="5"/>
        <v>3057</v>
      </c>
      <c r="N30" s="3719">
        <f>SUM(N24:N29)</f>
        <v>3124</v>
      </c>
      <c r="O30" s="3719">
        <f>SUM(O24:O29)</f>
        <v>3090</v>
      </c>
      <c r="P30" s="3719">
        <f>SUM(P24:P29)</f>
        <v>3062</v>
      </c>
      <c r="Q30" s="3719">
        <f>SUM(Q24:Q29)</f>
        <v>3072</v>
      </c>
    </row>
    <row r="31" spans="1:17" ht="12" customHeight="1" x14ac:dyDescent="0.25">
      <c r="A31" s="3712"/>
      <c r="B31" s="3712"/>
      <c r="C31" s="3712"/>
      <c r="D31" s="3712"/>
      <c r="E31" s="3712"/>
      <c r="F31" s="3712"/>
      <c r="G31" s="3712"/>
      <c r="H31" s="3712"/>
      <c r="I31" s="3712"/>
      <c r="J31" s="3712"/>
      <c r="K31" s="3712"/>
      <c r="L31" s="3712"/>
      <c r="M31" s="3712"/>
      <c r="N31" s="3712"/>
      <c r="O31" s="3712"/>
      <c r="P31" s="3712"/>
      <c r="Q31" s="3712"/>
    </row>
    <row r="32" spans="1:17" ht="12" customHeight="1" x14ac:dyDescent="0.25">
      <c r="A32" s="3708" t="s">
        <v>98</v>
      </c>
      <c r="B32" s="3709"/>
      <c r="C32" s="3720">
        <v>2003</v>
      </c>
      <c r="D32" s="3720">
        <v>2004</v>
      </c>
      <c r="E32" s="3720">
        <v>2005</v>
      </c>
      <c r="F32" s="3720">
        <v>2006</v>
      </c>
      <c r="G32" s="3720">
        <v>2007</v>
      </c>
      <c r="H32" s="3720">
        <v>2008</v>
      </c>
      <c r="I32" s="3720">
        <v>2009</v>
      </c>
      <c r="J32" s="3720">
        <v>2010</v>
      </c>
      <c r="K32" s="3720">
        <v>2011</v>
      </c>
      <c r="L32" s="3720">
        <v>2012</v>
      </c>
      <c r="M32" s="3720">
        <v>2013</v>
      </c>
      <c r="N32" s="3720">
        <v>2014</v>
      </c>
      <c r="O32" s="3720">
        <v>2015</v>
      </c>
      <c r="P32" s="3720">
        <v>2016</v>
      </c>
      <c r="Q32" s="3720">
        <v>2017</v>
      </c>
    </row>
    <row r="33" spans="1:17" ht="12" customHeight="1" x14ac:dyDescent="0.25">
      <c r="A33" s="3711" t="s">
        <v>99</v>
      </c>
      <c r="B33" s="3712"/>
      <c r="C33" s="3721">
        <f t="shared" ref="C33:C38" si="6">C24/$C$30</f>
        <v>4.6181172291296629E-3</v>
      </c>
      <c r="D33" s="3721">
        <f t="shared" ref="D33:D38" si="7">D24/$D$30</f>
        <v>3.9048633297834577E-3</v>
      </c>
      <c r="E33" s="3721">
        <f t="shared" ref="E33:E38" si="8">E24/$E$30</f>
        <v>4.5566070802663863E-3</v>
      </c>
      <c r="F33" s="3721">
        <f t="shared" ref="F33:F38" si="9">F24/$F$30</f>
        <v>4.1884816753926706E-3</v>
      </c>
      <c r="G33" s="3721">
        <f t="shared" ref="G33:G38" si="10">G24/$G$30</f>
        <v>3.4698126301179735E-3</v>
      </c>
      <c r="H33" s="3721">
        <f t="shared" ref="H33:H38" si="11">H24/$H$30</f>
        <v>4.8409405255878286E-3</v>
      </c>
      <c r="I33" s="3721">
        <f t="shared" ref="I33:I38" si="12">I24/$I$30</f>
        <v>3.7787701820680177E-3</v>
      </c>
      <c r="J33" s="3721">
        <f t="shared" ref="J33:J38" si="13">J24/$J$30</f>
        <v>2.7045300878972278E-3</v>
      </c>
      <c r="K33" s="3721">
        <f t="shared" ref="K33:K38" si="14">K24/$K$30</f>
        <v>3.9946737683089215E-3</v>
      </c>
      <c r="L33" s="3721">
        <f t="shared" ref="L33:L38" si="15">L24/$L$30</f>
        <v>3.6351619299405157E-3</v>
      </c>
      <c r="M33" s="3721">
        <f t="shared" ref="M33:M38" si="16">M24/$M$30</f>
        <v>3.9254170755642784E-3</v>
      </c>
      <c r="N33" s="3721">
        <f t="shared" ref="N33:N38" si="17">N24/$N$30</f>
        <v>5.7618437900128043E-3</v>
      </c>
      <c r="O33" s="3721">
        <f t="shared" ref="O33:O38" si="18">O24/$O$30</f>
        <v>3.5598705501618125E-3</v>
      </c>
      <c r="P33" s="3721">
        <f t="shared" ref="P33:P38" si="19">P24/$P$30</f>
        <v>2.939255388634879E-3</v>
      </c>
      <c r="Q33" s="3721">
        <f>Q24/$Q$30</f>
        <v>3.90625E-3</v>
      </c>
    </row>
    <row r="34" spans="1:17" ht="12" customHeight="1" x14ac:dyDescent="0.25">
      <c r="A34" s="3714" t="s">
        <v>625</v>
      </c>
      <c r="B34" s="3712"/>
      <c r="C34" s="3722">
        <f t="shared" si="6"/>
        <v>0.12753108348134992</v>
      </c>
      <c r="D34" s="3722">
        <f t="shared" si="7"/>
        <v>0.10898118565850196</v>
      </c>
      <c r="E34" s="3722">
        <f t="shared" si="8"/>
        <v>9.3235191026989128E-2</v>
      </c>
      <c r="F34" s="3722">
        <f t="shared" si="9"/>
        <v>8.5165794066317621E-2</v>
      </c>
      <c r="G34" s="3722">
        <f t="shared" si="10"/>
        <v>8.5357390700902147E-2</v>
      </c>
      <c r="H34" s="3722">
        <f t="shared" si="11"/>
        <v>8.7136929460580909E-2</v>
      </c>
      <c r="I34" s="3722">
        <f t="shared" si="12"/>
        <v>8.2102370319477841E-2</v>
      </c>
      <c r="J34" s="3722">
        <f t="shared" si="13"/>
        <v>7.9107505070993914E-2</v>
      </c>
      <c r="K34" s="3722">
        <f t="shared" si="14"/>
        <v>7.3901464713715045E-2</v>
      </c>
      <c r="L34" s="3722">
        <f t="shared" si="15"/>
        <v>7.3364177131526764E-2</v>
      </c>
      <c r="M34" s="3722">
        <f t="shared" si="16"/>
        <v>7.4910042525351647E-2</v>
      </c>
      <c r="N34" s="3722">
        <f t="shared" si="17"/>
        <v>7.6184379001280403E-2</v>
      </c>
      <c r="O34" s="3722">
        <f t="shared" si="18"/>
        <v>7.4110032362459541E-2</v>
      </c>
      <c r="P34" s="3722">
        <f t="shared" si="19"/>
        <v>7.0868713259307645E-2</v>
      </c>
      <c r="Q34" s="3722">
        <f t="shared" ref="Q34:Q38" si="20">Q25/$Q$30</f>
        <v>6.5755208333333329E-2</v>
      </c>
    </row>
    <row r="35" spans="1:17" ht="12" customHeight="1" x14ac:dyDescent="0.25">
      <c r="A35" s="3714" t="s">
        <v>626</v>
      </c>
      <c r="B35" s="3712"/>
      <c r="C35" s="3722">
        <f t="shared" si="6"/>
        <v>0.39751332149200713</v>
      </c>
      <c r="D35" s="3722">
        <f t="shared" si="7"/>
        <v>0.38019169329073482</v>
      </c>
      <c r="E35" s="3722">
        <f t="shared" si="8"/>
        <v>0.36172450052576238</v>
      </c>
      <c r="F35" s="3722">
        <f t="shared" si="9"/>
        <v>0.33752181500872602</v>
      </c>
      <c r="G35" s="3722">
        <f t="shared" si="10"/>
        <v>0.32234559333795976</v>
      </c>
      <c r="H35" s="3722">
        <f t="shared" si="11"/>
        <v>0.29045643153526973</v>
      </c>
      <c r="I35" s="3722">
        <f t="shared" si="12"/>
        <v>0.27310202679491585</v>
      </c>
      <c r="J35" s="3722">
        <f t="shared" si="13"/>
        <v>0.25185936443542933</v>
      </c>
      <c r="K35" s="3722">
        <f t="shared" si="14"/>
        <v>0.23668442077230359</v>
      </c>
      <c r="L35" s="3722">
        <f t="shared" si="15"/>
        <v>0.21943159286186384</v>
      </c>
      <c r="M35" s="3722">
        <f t="shared" si="16"/>
        <v>0.20804710500490678</v>
      </c>
      <c r="N35" s="3722">
        <f t="shared" si="17"/>
        <v>0.19878361075544174</v>
      </c>
      <c r="O35" s="3722">
        <f t="shared" si="18"/>
        <v>0.18284789644012944</v>
      </c>
      <c r="P35" s="3722">
        <f t="shared" si="19"/>
        <v>0.1760287393860222</v>
      </c>
      <c r="Q35" s="3722">
        <f t="shared" si="20"/>
        <v>0.17350260416666666</v>
      </c>
    </row>
    <row r="36" spans="1:17" ht="12" customHeight="1" x14ac:dyDescent="0.25">
      <c r="A36" s="3714" t="s">
        <v>627</v>
      </c>
      <c r="B36" s="3712"/>
      <c r="C36" s="3722">
        <f t="shared" si="6"/>
        <v>0.35808170515097693</v>
      </c>
      <c r="D36" s="3722">
        <f t="shared" si="7"/>
        <v>0.37344692935747248</v>
      </c>
      <c r="E36" s="3722">
        <f t="shared" si="8"/>
        <v>0.39046617595513494</v>
      </c>
      <c r="F36" s="3722">
        <f t="shared" si="9"/>
        <v>0.40244328097731241</v>
      </c>
      <c r="G36" s="3722">
        <f t="shared" si="10"/>
        <v>0.40874392782789731</v>
      </c>
      <c r="H36" s="3722">
        <f t="shared" si="11"/>
        <v>0.41874135546334718</v>
      </c>
      <c r="I36" s="3722">
        <f t="shared" si="12"/>
        <v>0.41841291652353141</v>
      </c>
      <c r="J36" s="3722">
        <f t="shared" si="13"/>
        <v>0.41717376605814738</v>
      </c>
      <c r="K36" s="3722">
        <f t="shared" si="14"/>
        <v>0.40545938748335553</v>
      </c>
      <c r="L36" s="3722">
        <f t="shared" si="15"/>
        <v>0.40085922009253139</v>
      </c>
      <c r="M36" s="3722">
        <f t="shared" si="16"/>
        <v>0.39090611710827611</v>
      </c>
      <c r="N36" s="3722">
        <f t="shared" si="17"/>
        <v>0.37419974391805377</v>
      </c>
      <c r="O36" s="3722">
        <f t="shared" si="18"/>
        <v>0.36634304207119739</v>
      </c>
      <c r="P36" s="3722">
        <f t="shared" si="19"/>
        <v>0.34454604833442193</v>
      </c>
      <c r="Q36" s="3722">
        <f t="shared" si="20"/>
        <v>0.3271484375</v>
      </c>
    </row>
    <row r="37" spans="1:17" ht="12" customHeight="1" x14ac:dyDescent="0.25">
      <c r="A37" s="3714" t="s">
        <v>628</v>
      </c>
      <c r="B37" s="3712"/>
      <c r="C37" s="3722">
        <f t="shared" si="6"/>
        <v>9.6980461811722915E-2</v>
      </c>
      <c r="D37" s="3722">
        <f t="shared" si="7"/>
        <v>0.11501597444089456</v>
      </c>
      <c r="E37" s="3722">
        <f t="shared" si="8"/>
        <v>0.12828601472134596</v>
      </c>
      <c r="F37" s="3722">
        <f t="shared" si="9"/>
        <v>0.15148342059336825</v>
      </c>
      <c r="G37" s="3722">
        <f t="shared" si="10"/>
        <v>0.16204024982650936</v>
      </c>
      <c r="H37" s="3722">
        <f t="shared" si="11"/>
        <v>0.17807745504840941</v>
      </c>
      <c r="I37" s="3722">
        <f t="shared" si="12"/>
        <v>0.19649604946753693</v>
      </c>
      <c r="J37" s="3722">
        <f t="shared" si="13"/>
        <v>0.2194050033806626</v>
      </c>
      <c r="K37" s="3722">
        <f t="shared" si="14"/>
        <v>0.24234354194407456</v>
      </c>
      <c r="L37" s="3722">
        <f t="shared" si="15"/>
        <v>0.25842696629213485</v>
      </c>
      <c r="M37" s="3722">
        <f t="shared" si="16"/>
        <v>0.27052666012430487</v>
      </c>
      <c r="N37" s="3722">
        <f t="shared" si="17"/>
        <v>0.28104993597951344</v>
      </c>
      <c r="O37" s="3722">
        <f t="shared" si="18"/>
        <v>0.29676375404530747</v>
      </c>
      <c r="P37" s="3722">
        <f t="shared" si="19"/>
        <v>0.31417374265186154</v>
      </c>
      <c r="Q37" s="3722">
        <f t="shared" si="20"/>
        <v>0.33040364583333331</v>
      </c>
    </row>
    <row r="38" spans="1:17" ht="12" customHeight="1" x14ac:dyDescent="0.25">
      <c r="A38" s="3716" t="s">
        <v>591</v>
      </c>
      <c r="B38" s="3712"/>
      <c r="C38" s="3723">
        <f t="shared" si="6"/>
        <v>1.52753108348135E-2</v>
      </c>
      <c r="D38" s="3723">
        <f t="shared" si="7"/>
        <v>1.845935392261271E-2</v>
      </c>
      <c r="E38" s="3723">
        <f t="shared" si="8"/>
        <v>2.1731510690501228E-2</v>
      </c>
      <c r="F38" s="3723">
        <f t="shared" si="9"/>
        <v>1.9197207678883072E-2</v>
      </c>
      <c r="G38" s="3723">
        <f t="shared" si="10"/>
        <v>1.8043025676613464E-2</v>
      </c>
      <c r="H38" s="3723">
        <f t="shared" si="11"/>
        <v>2.0746887966804978E-2</v>
      </c>
      <c r="I38" s="3723">
        <f t="shared" si="12"/>
        <v>2.6107866712469941E-2</v>
      </c>
      <c r="J38" s="3723">
        <f t="shared" si="13"/>
        <v>2.9749830966869506E-2</v>
      </c>
      <c r="K38" s="3723">
        <f t="shared" si="14"/>
        <v>3.7616511318242341E-2</v>
      </c>
      <c r="L38" s="3723">
        <f t="shared" si="15"/>
        <v>4.4282881692002646E-2</v>
      </c>
      <c r="M38" s="3723">
        <f t="shared" si="16"/>
        <v>5.1684658161596335E-2</v>
      </c>
      <c r="N38" s="3723">
        <f t="shared" si="17"/>
        <v>6.4020486555697823E-2</v>
      </c>
      <c r="O38" s="3723">
        <f t="shared" si="18"/>
        <v>7.6375404530744331E-2</v>
      </c>
      <c r="P38" s="3723">
        <f t="shared" si="19"/>
        <v>9.1443500979751791E-2</v>
      </c>
      <c r="Q38" s="3723">
        <f t="shared" si="20"/>
        <v>9.9283854166666671E-2</v>
      </c>
    </row>
    <row r="39" spans="1:17" ht="12" customHeight="1" x14ac:dyDescent="0.25">
      <c r="A39" s="3718" t="s">
        <v>12</v>
      </c>
      <c r="B39" s="3712"/>
      <c r="C39" s="3724">
        <f>SUM(C33:C38)</f>
        <v>1</v>
      </c>
      <c r="D39" s="3724">
        <f t="shared" ref="D39:M39" si="21">SUM(D33:D38)</f>
        <v>0.99999999999999989</v>
      </c>
      <c r="E39" s="3724">
        <f t="shared" si="21"/>
        <v>1</v>
      </c>
      <c r="F39" s="3724">
        <f t="shared" si="21"/>
        <v>1</v>
      </c>
      <c r="G39" s="3724">
        <f t="shared" si="21"/>
        <v>1</v>
      </c>
      <c r="H39" s="3724">
        <f t="shared" si="21"/>
        <v>1</v>
      </c>
      <c r="I39" s="3724">
        <f t="shared" si="21"/>
        <v>1</v>
      </c>
      <c r="J39" s="3724">
        <f t="shared" si="21"/>
        <v>1</v>
      </c>
      <c r="K39" s="3724">
        <f t="shared" si="21"/>
        <v>1</v>
      </c>
      <c r="L39" s="3724">
        <f t="shared" si="21"/>
        <v>1</v>
      </c>
      <c r="M39" s="3724">
        <f t="shared" si="21"/>
        <v>0.99999999999999989</v>
      </c>
      <c r="N39" s="3724">
        <f>SUM(N33:N38)</f>
        <v>1</v>
      </c>
      <c r="O39" s="3724">
        <f>SUM(O33:O38)</f>
        <v>1</v>
      </c>
      <c r="P39" s="3724">
        <f>SUM(P33:P38)</f>
        <v>1</v>
      </c>
      <c r="Q39" s="3724">
        <f>SUM(Q33:Q38)</f>
        <v>0.99999999999999989</v>
      </c>
    </row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22" hidden="1" x14ac:dyDescent="0.25"/>
    <row r="123" hidden="1" x14ac:dyDescent="0.25"/>
    <row r="124" hidden="1" x14ac:dyDescent="0.25"/>
    <row r="125" hidden="1" x14ac:dyDescent="0.25"/>
    <row r="126" hidden="1" x14ac:dyDescent="0.25"/>
    <row r="127" hidden="1" x14ac:dyDescent="0.25"/>
    <row r="128" hidden="1" x14ac:dyDescent="0.25"/>
    <row r="129" hidden="1" x14ac:dyDescent="0.25"/>
  </sheetData>
  <sheetProtection algorithmName="SHA-512" hashValue="/98EE5Rn3pjuHP5hwnCx4vveGQO5N7R0K/2NFodwW2CacxanQztbBb+hhaj2j0WdDrq8lwrwbjPgNE5tUN+Gbw==" saltValue="oYAXouxKD1NtxXfYkb7yQg==" spinCount="100000" sheet="1" objects="1" scenarios="1"/>
  <printOptions horizontalCentered="1" verticalCentered="1"/>
  <pageMargins left="0.70866141732283472" right="0.70866141732283472" top="0.35433070866141736" bottom="0.35433070866141736" header="0.31496062992125984" footer="0.31496062992125984"/>
  <pageSetup scale="65" orientation="landscape" r:id="rId1"/>
  <rowBreaks count="2" manualBreakCount="2">
    <brk id="21" max="16383" man="1"/>
    <brk id="41" max="16383" man="1"/>
  </rowBreaks>
  <ignoredErrors>
    <ignoredError sqref="I25:M28 N25:N28 O25:O28 P25:P28 Q25:Q28" formulaRange="1"/>
  </ignoredErrors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Q121"/>
  <sheetViews>
    <sheetView showGridLines="0" zoomScaleNormal="100" zoomScaleSheetLayoutView="100" workbookViewId="0">
      <selection activeCell="S94" sqref="S94"/>
    </sheetView>
  </sheetViews>
  <sheetFormatPr baseColWidth="10" defaultRowHeight="15" x14ac:dyDescent="0.25"/>
  <cols>
    <col min="1" max="1" width="27.42578125" style="1484" customWidth="1"/>
    <col min="2" max="2" width="1.28515625" style="1484" customWidth="1"/>
    <col min="3" max="17" width="10.7109375" style="1484" customWidth="1"/>
    <col min="18" max="16384" width="11.42578125" style="1484"/>
  </cols>
  <sheetData>
    <row r="2" spans="1:17" ht="21" x14ac:dyDescent="0.25">
      <c r="A2" s="2159" t="s">
        <v>109</v>
      </c>
      <c r="B2" s="1485"/>
      <c r="D2" s="2159"/>
      <c r="E2" s="2159"/>
      <c r="F2" s="2159"/>
      <c r="G2" s="2159"/>
      <c r="H2" s="2159"/>
      <c r="I2" s="2159"/>
      <c r="J2" s="2159"/>
      <c r="K2" s="2159"/>
      <c r="L2" s="2159"/>
      <c r="M2" s="2159"/>
    </row>
    <row r="3" spans="1:17" ht="11.25" customHeight="1" thickBot="1" x14ac:dyDescent="0.3"/>
    <row r="4" spans="1:17" ht="33.75" customHeight="1" thickBot="1" x14ac:dyDescent="0.3">
      <c r="A4" s="1486" t="s">
        <v>593</v>
      </c>
      <c r="B4" s="1493"/>
      <c r="C4" s="1487">
        <v>2003</v>
      </c>
      <c r="D4" s="1488">
        <v>2004</v>
      </c>
      <c r="E4" s="1488">
        <v>2005</v>
      </c>
      <c r="F4" s="1488">
        <v>2006</v>
      </c>
      <c r="G4" s="1489">
        <v>2007</v>
      </c>
      <c r="H4" s="1489">
        <v>2008</v>
      </c>
      <c r="I4" s="1489">
        <v>2009</v>
      </c>
      <c r="J4" s="1489">
        <v>2010</v>
      </c>
      <c r="K4" s="1489">
        <v>2011</v>
      </c>
      <c r="L4" s="1489">
        <v>2012</v>
      </c>
      <c r="M4" s="1488">
        <v>2013</v>
      </c>
      <c r="N4" s="1488">
        <v>2014</v>
      </c>
      <c r="O4" s="1488">
        <v>2015</v>
      </c>
      <c r="P4" s="1490">
        <v>2016</v>
      </c>
      <c r="Q4" s="1490">
        <v>2017</v>
      </c>
    </row>
    <row r="5" spans="1:17" ht="11.25" customHeight="1" thickBot="1" x14ac:dyDescent="0.3"/>
    <row r="6" spans="1:17" ht="21" customHeight="1" x14ac:dyDescent="0.25">
      <c r="A6" s="4590" t="s">
        <v>110</v>
      </c>
      <c r="C6" s="4595">
        <v>151</v>
      </c>
      <c r="D6" s="4596">
        <f>116+1</f>
        <v>117</v>
      </c>
      <c r="E6" s="4596">
        <f>118+1</f>
        <v>119</v>
      </c>
      <c r="F6" s="4596">
        <f>131</f>
        <v>131</v>
      </c>
      <c r="G6" s="4596">
        <v>163</v>
      </c>
      <c r="H6" s="4596">
        <v>185</v>
      </c>
      <c r="I6" s="4596">
        <v>200</v>
      </c>
      <c r="J6" s="4596">
        <v>238</v>
      </c>
      <c r="K6" s="4596">
        <v>245</v>
      </c>
      <c r="L6" s="4596">
        <v>237</v>
      </c>
      <c r="M6" s="4596">
        <v>259</v>
      </c>
      <c r="N6" s="4596">
        <v>273</v>
      </c>
      <c r="O6" s="4596">
        <v>234</v>
      </c>
      <c r="P6" s="4598">
        <v>212</v>
      </c>
      <c r="Q6" s="4598">
        <v>185</v>
      </c>
    </row>
    <row r="7" spans="1:17" ht="21" customHeight="1" x14ac:dyDescent="0.25">
      <c r="A7" s="4591" t="s">
        <v>111</v>
      </c>
      <c r="C7" s="4599">
        <v>285</v>
      </c>
      <c r="D7" s="4600">
        <f>278+5</f>
        <v>283</v>
      </c>
      <c r="E7" s="4600">
        <f>255+3</f>
        <v>258</v>
      </c>
      <c r="F7" s="4600">
        <f>228+2</f>
        <v>230</v>
      </c>
      <c r="G7" s="4600">
        <v>223</v>
      </c>
      <c r="H7" s="4600">
        <v>207</v>
      </c>
      <c r="I7" s="4600">
        <v>193</v>
      </c>
      <c r="J7" s="4600">
        <v>190</v>
      </c>
      <c r="K7" s="4600">
        <v>201</v>
      </c>
      <c r="L7" s="4600">
        <v>234</v>
      </c>
      <c r="M7" s="4600">
        <v>257</v>
      </c>
      <c r="N7" s="4600">
        <v>296</v>
      </c>
      <c r="O7" s="4600">
        <v>312</v>
      </c>
      <c r="P7" s="4602">
        <v>319</v>
      </c>
      <c r="Q7" s="4602">
        <v>349</v>
      </c>
    </row>
    <row r="8" spans="1:17" ht="21" customHeight="1" x14ac:dyDescent="0.25">
      <c r="A8" s="4591" t="s">
        <v>112</v>
      </c>
      <c r="C8" s="4599">
        <v>501</v>
      </c>
      <c r="D8" s="4600">
        <f>441</f>
        <v>441</v>
      </c>
      <c r="E8" s="4600">
        <f>390+2</f>
        <v>392</v>
      </c>
      <c r="F8" s="4600">
        <f>355</f>
        <v>355</v>
      </c>
      <c r="G8" s="4600">
        <v>337</v>
      </c>
      <c r="H8" s="4600">
        <v>316</v>
      </c>
      <c r="I8" s="4600">
        <v>299</v>
      </c>
      <c r="J8" s="4600">
        <v>271</v>
      </c>
      <c r="K8" s="4600">
        <v>248</v>
      </c>
      <c r="L8" s="4600">
        <v>240</v>
      </c>
      <c r="M8" s="4600">
        <v>217</v>
      </c>
      <c r="N8" s="4600">
        <v>206</v>
      </c>
      <c r="O8" s="4600">
        <v>200</v>
      </c>
      <c r="P8" s="4602">
        <v>208</v>
      </c>
      <c r="Q8" s="4602">
        <v>246</v>
      </c>
    </row>
    <row r="9" spans="1:17" ht="21" customHeight="1" x14ac:dyDescent="0.25">
      <c r="A9" s="4591" t="s">
        <v>113</v>
      </c>
      <c r="C9" s="4599">
        <v>612</v>
      </c>
      <c r="D9" s="4600">
        <f>601+6</f>
        <v>607</v>
      </c>
      <c r="E9" s="4600">
        <f>590+4</f>
        <v>594</v>
      </c>
      <c r="F9" s="4600">
        <f>568+3</f>
        <v>571</v>
      </c>
      <c r="G9" s="4600">
        <v>549</v>
      </c>
      <c r="H9" s="4600">
        <v>495</v>
      </c>
      <c r="I9" s="4600">
        <v>453</v>
      </c>
      <c r="J9" s="4600">
        <v>402</v>
      </c>
      <c r="K9" s="4600">
        <v>363</v>
      </c>
      <c r="L9" s="4600">
        <v>327</v>
      </c>
      <c r="M9" s="4600">
        <v>308</v>
      </c>
      <c r="N9" s="4600">
        <v>290</v>
      </c>
      <c r="O9" s="4600">
        <v>272</v>
      </c>
      <c r="P9" s="4602">
        <v>241</v>
      </c>
      <c r="Q9" s="4602">
        <v>236</v>
      </c>
    </row>
    <row r="10" spans="1:17" ht="21" customHeight="1" x14ac:dyDescent="0.25">
      <c r="A10" s="4591" t="s">
        <v>114</v>
      </c>
      <c r="C10" s="4599">
        <v>764</v>
      </c>
      <c r="D10" s="4600">
        <f>709+23</f>
        <v>732</v>
      </c>
      <c r="E10" s="4600">
        <f>687+17</f>
        <v>704</v>
      </c>
      <c r="F10" s="4600">
        <f>673+6</f>
        <v>679</v>
      </c>
      <c r="G10" s="4600">
        <v>630</v>
      </c>
      <c r="H10" s="4600">
        <v>610</v>
      </c>
      <c r="I10" s="4600">
        <v>599</v>
      </c>
      <c r="J10" s="4600">
        <v>581</v>
      </c>
      <c r="K10" s="4600">
        <v>560</v>
      </c>
      <c r="L10" s="4600">
        <v>526</v>
      </c>
      <c r="M10" s="4600">
        <v>482</v>
      </c>
      <c r="N10" s="4600">
        <v>441</v>
      </c>
      <c r="O10" s="4600">
        <v>387</v>
      </c>
      <c r="P10" s="4602">
        <v>348</v>
      </c>
      <c r="Q10" s="4602">
        <v>308</v>
      </c>
    </row>
    <row r="11" spans="1:17" ht="21" customHeight="1" x14ac:dyDescent="0.25">
      <c r="A11" s="4591" t="s">
        <v>115</v>
      </c>
      <c r="C11" s="4599">
        <v>437</v>
      </c>
      <c r="D11" s="4600">
        <f>509+59+3</f>
        <v>571</v>
      </c>
      <c r="E11" s="4600">
        <f>563+49+3</f>
        <v>615</v>
      </c>
      <c r="F11" s="4600">
        <f>564+36+3</f>
        <v>603</v>
      </c>
      <c r="G11" s="4600">
        <v>630</v>
      </c>
      <c r="H11" s="4600">
        <v>690</v>
      </c>
      <c r="I11" s="4600">
        <v>680</v>
      </c>
      <c r="J11" s="4600">
        <v>663</v>
      </c>
      <c r="K11" s="4600">
        <v>644</v>
      </c>
      <c r="L11" s="4600">
        <v>595</v>
      </c>
      <c r="M11" s="4600">
        <v>572</v>
      </c>
      <c r="N11" s="4600">
        <v>561</v>
      </c>
      <c r="O11" s="4600">
        <v>553</v>
      </c>
      <c r="P11" s="4602">
        <v>522</v>
      </c>
      <c r="Q11" s="4602">
        <v>491</v>
      </c>
    </row>
    <row r="12" spans="1:17" ht="21" customHeight="1" x14ac:dyDescent="0.25">
      <c r="A12" s="4591" t="s">
        <v>100</v>
      </c>
      <c r="C12" s="4599">
        <v>36</v>
      </c>
      <c r="D12" s="4600">
        <v>32</v>
      </c>
      <c r="E12" s="4600">
        <v>130</v>
      </c>
      <c r="F12" s="4600">
        <v>244</v>
      </c>
      <c r="G12" s="4600">
        <v>294</v>
      </c>
      <c r="H12" s="4600">
        <v>334</v>
      </c>
      <c r="I12" s="4600">
        <v>433</v>
      </c>
      <c r="J12" s="4600">
        <v>481</v>
      </c>
      <c r="K12" s="4600">
        <v>515</v>
      </c>
      <c r="L12" s="4600">
        <v>564</v>
      </c>
      <c r="M12" s="4600">
        <v>612</v>
      </c>
      <c r="N12" s="4600">
        <v>617</v>
      </c>
      <c r="O12" s="4600">
        <v>590</v>
      </c>
      <c r="P12" s="4602">
        <v>571</v>
      </c>
      <c r="Q12" s="4602">
        <v>531</v>
      </c>
    </row>
    <row r="13" spans="1:17" ht="21" customHeight="1" x14ac:dyDescent="0.25">
      <c r="A13" s="4591" t="s">
        <v>101</v>
      </c>
      <c r="C13" s="4599">
        <v>16</v>
      </c>
      <c r="D13" s="4600">
        <v>20</v>
      </c>
      <c r="E13" s="4600">
        <v>25</v>
      </c>
      <c r="F13" s="4600">
        <v>32</v>
      </c>
      <c r="G13" s="4600">
        <v>33</v>
      </c>
      <c r="H13" s="4600">
        <v>30</v>
      </c>
      <c r="I13" s="4600">
        <v>25</v>
      </c>
      <c r="J13" s="4600">
        <v>99</v>
      </c>
      <c r="K13" s="4600">
        <v>187</v>
      </c>
      <c r="L13" s="4600">
        <v>262</v>
      </c>
      <c r="M13" s="4600">
        <v>308</v>
      </c>
      <c r="N13" s="4600">
        <v>395</v>
      </c>
      <c r="O13" s="4600">
        <v>428</v>
      </c>
      <c r="P13" s="4602">
        <v>447</v>
      </c>
      <c r="Q13" s="4602">
        <v>472</v>
      </c>
    </row>
    <row r="14" spans="1:17" ht="21" customHeight="1" thickBot="1" x14ac:dyDescent="0.3">
      <c r="A14" s="4592" t="s">
        <v>1467</v>
      </c>
      <c r="C14" s="4603">
        <v>13</v>
      </c>
      <c r="D14" s="4604">
        <v>14</v>
      </c>
      <c r="E14" s="4604">
        <v>16</v>
      </c>
      <c r="F14" s="4604">
        <v>20</v>
      </c>
      <c r="G14" s="4604">
        <v>23</v>
      </c>
      <c r="H14" s="4604">
        <v>25</v>
      </c>
      <c r="I14" s="4604">
        <v>29</v>
      </c>
      <c r="J14" s="4604">
        <v>33</v>
      </c>
      <c r="K14" s="4604">
        <v>41</v>
      </c>
      <c r="L14" s="4604">
        <v>41</v>
      </c>
      <c r="M14" s="4604">
        <v>42</v>
      </c>
      <c r="N14" s="4604">
        <v>45</v>
      </c>
      <c r="O14" s="4604">
        <v>114</v>
      </c>
      <c r="P14" s="4606">
        <v>194</v>
      </c>
      <c r="Q14" s="4606">
        <v>254</v>
      </c>
    </row>
    <row r="15" spans="1:17" ht="11.25" customHeight="1" thickBot="1" x14ac:dyDescent="0.3">
      <c r="C15" s="1497"/>
      <c r="D15" s="1497"/>
      <c r="E15" s="1497"/>
      <c r="F15" s="1497"/>
      <c r="G15" s="1497"/>
      <c r="H15" s="1497"/>
      <c r="I15" s="1497"/>
    </row>
    <row r="16" spans="1:17" ht="21.75" customHeight="1" thickBot="1" x14ac:dyDescent="0.3">
      <c r="A16" s="1491" t="s">
        <v>12</v>
      </c>
      <c r="C16" s="1498">
        <f>SUM(C6:C14)</f>
        <v>2815</v>
      </c>
      <c r="D16" s="1499">
        <f t="shared" ref="D16:P16" si="0">SUM(D6:D14)</f>
        <v>2817</v>
      </c>
      <c r="E16" s="1499">
        <f t="shared" si="0"/>
        <v>2853</v>
      </c>
      <c r="F16" s="1499">
        <f t="shared" si="0"/>
        <v>2865</v>
      </c>
      <c r="G16" s="1499">
        <f t="shared" si="0"/>
        <v>2882</v>
      </c>
      <c r="H16" s="1499">
        <f t="shared" si="0"/>
        <v>2892</v>
      </c>
      <c r="I16" s="1499">
        <f t="shared" si="0"/>
        <v>2911</v>
      </c>
      <c r="J16" s="1499">
        <f t="shared" si="0"/>
        <v>2958</v>
      </c>
      <c r="K16" s="1499">
        <f t="shared" si="0"/>
        <v>3004</v>
      </c>
      <c r="L16" s="1499">
        <f t="shared" si="0"/>
        <v>3026</v>
      </c>
      <c r="M16" s="1499">
        <f t="shared" si="0"/>
        <v>3057</v>
      </c>
      <c r="N16" s="1499">
        <f t="shared" si="0"/>
        <v>3124</v>
      </c>
      <c r="O16" s="1499">
        <f t="shared" si="0"/>
        <v>3090</v>
      </c>
      <c r="P16" s="1500">
        <f t="shared" si="0"/>
        <v>3062</v>
      </c>
      <c r="Q16" s="1500">
        <f t="shared" ref="Q16" si="1">SUM(Q6:Q14)</f>
        <v>3072</v>
      </c>
    </row>
    <row r="17" spans="1:17" ht="11.25" customHeight="1" thickBot="1" x14ac:dyDescent="0.3">
      <c r="A17" s="1492"/>
      <c r="C17" s="1494"/>
      <c r="D17" s="1494"/>
      <c r="E17" s="1494"/>
      <c r="F17" s="1494"/>
      <c r="G17" s="1494"/>
      <c r="H17" s="1494"/>
      <c r="I17" s="1494"/>
    </row>
    <row r="18" spans="1:17" ht="21" customHeight="1" thickBot="1" x14ac:dyDescent="0.3">
      <c r="A18" s="1491" t="s">
        <v>130</v>
      </c>
      <c r="C18" s="1897">
        <v>17.842454394693199</v>
      </c>
      <c r="D18" s="1898">
        <v>18.5973651708522</v>
      </c>
      <c r="E18" s="1898">
        <v>19.370731707317098</v>
      </c>
      <c r="F18" s="1898">
        <v>19.9131652661064</v>
      </c>
      <c r="G18" s="1898">
        <v>20.247968571428601</v>
      </c>
      <c r="H18" s="1898">
        <v>21.378284923928099</v>
      </c>
      <c r="I18" s="1898">
        <v>21.884575747165901</v>
      </c>
      <c r="J18" s="1898">
        <v>22.3404327248141</v>
      </c>
      <c r="K18" s="1898">
        <v>22.863848202396799</v>
      </c>
      <c r="L18" s="1898">
        <v>23.299735624586912</v>
      </c>
      <c r="M18" s="1898">
        <v>23.6</v>
      </c>
      <c r="N18" s="1898">
        <v>23.86</v>
      </c>
      <c r="O18" s="1898">
        <v>24.5809061488673</v>
      </c>
      <c r="P18" s="1900">
        <v>25.152841280209</v>
      </c>
      <c r="Q18" s="1900">
        <v>25.3942057291667</v>
      </c>
    </row>
    <row r="19" spans="1:17" ht="11.25" customHeight="1" x14ac:dyDescent="0.25"/>
    <row r="20" spans="1:17" x14ac:dyDescent="0.25">
      <c r="A20" s="1495" t="s">
        <v>624</v>
      </c>
      <c r="B20" s="1496"/>
      <c r="C20" s="1496"/>
      <c r="D20" s="1496"/>
    </row>
    <row r="21" spans="1:17" x14ac:dyDescent="0.25">
      <c r="A21" s="1495" t="s">
        <v>116</v>
      </c>
      <c r="B21" s="1496"/>
      <c r="C21" s="1496"/>
      <c r="D21" s="1496"/>
    </row>
    <row r="22" spans="1:17" s="3712" customFormat="1" ht="11.25" x14ac:dyDescent="0.2">
      <c r="A22" s="4587"/>
      <c r="B22" s="4588"/>
      <c r="C22" s="4593"/>
      <c r="D22" s="4593"/>
      <c r="E22" s="4593"/>
      <c r="F22" s="4593"/>
      <c r="G22" s="4593"/>
      <c r="H22" s="4593"/>
      <c r="I22" s="4593"/>
      <c r="J22" s="4593"/>
      <c r="K22" s="4593"/>
      <c r="L22" s="4593"/>
      <c r="M22" s="4593"/>
      <c r="N22" s="4593"/>
      <c r="O22" s="4594"/>
      <c r="P22" s="4594"/>
      <c r="Q22" s="4594"/>
    </row>
    <row r="23" spans="1:17" x14ac:dyDescent="0.25">
      <c r="A23" s="1495"/>
      <c r="B23" s="1496"/>
      <c r="C23" s="1496"/>
      <c r="D23" s="1496"/>
    </row>
    <row r="25" spans="1:17" ht="12" customHeight="1" x14ac:dyDescent="0.25">
      <c r="A25" s="4583" t="s">
        <v>593</v>
      </c>
      <c r="B25" s="3712"/>
      <c r="C25" s="3720">
        <v>2003</v>
      </c>
      <c r="D25" s="3720">
        <v>2004</v>
      </c>
      <c r="E25" s="3720">
        <v>2005</v>
      </c>
      <c r="F25" s="3720">
        <v>2006</v>
      </c>
      <c r="G25" s="3720">
        <v>2007</v>
      </c>
      <c r="H25" s="3720">
        <v>2008</v>
      </c>
      <c r="I25" s="3720">
        <v>2009</v>
      </c>
      <c r="J25" s="3720">
        <v>2010</v>
      </c>
      <c r="K25" s="3720">
        <v>2011</v>
      </c>
      <c r="L25" s="3720">
        <v>2012</v>
      </c>
      <c r="M25" s="3720">
        <v>2013</v>
      </c>
      <c r="N25" s="3720">
        <v>2014</v>
      </c>
      <c r="O25" s="3720">
        <v>2015</v>
      </c>
      <c r="P25" s="3720">
        <v>2016</v>
      </c>
      <c r="Q25" s="3720">
        <v>2017</v>
      </c>
    </row>
    <row r="26" spans="1:17" ht="12" customHeight="1" x14ac:dyDescent="0.25">
      <c r="A26" s="4589" t="s">
        <v>110</v>
      </c>
      <c r="B26" s="3712"/>
      <c r="C26" s="3721">
        <f t="shared" ref="C26:C34" si="2">C6/$C$16</f>
        <v>5.3641207815275309E-2</v>
      </c>
      <c r="D26" s="3721">
        <f t="shared" ref="D26:D34" si="3">D6/$D$16</f>
        <v>4.1533546325878593E-2</v>
      </c>
      <c r="E26" s="3721">
        <f t="shared" ref="E26:E34" si="4">E6/$E$16</f>
        <v>4.1710480196284615E-2</v>
      </c>
      <c r="F26" s="3721">
        <f t="shared" ref="F26:F34" si="5">F6/$F$16</f>
        <v>4.5724258289703314E-2</v>
      </c>
      <c r="G26" s="3721">
        <f t="shared" ref="G26:G34" si="6">G6/$G$16</f>
        <v>5.6557945870922971E-2</v>
      </c>
      <c r="H26" s="3721">
        <f t="shared" ref="H26:H34" si="7">H6/$H$16</f>
        <v>6.3969571230982014E-2</v>
      </c>
      <c r="I26" s="3721">
        <f t="shared" ref="I26:I34" si="8">I6/$I$16</f>
        <v>6.870491240123669E-2</v>
      </c>
      <c r="J26" s="3721">
        <f t="shared" ref="J26:J34" si="9">J6/$J$16</f>
        <v>8.0459770114942528E-2</v>
      </c>
      <c r="K26" s="3721">
        <f t="shared" ref="K26:K34" si="10">K6/$K$16</f>
        <v>8.1557922769640481E-2</v>
      </c>
      <c r="L26" s="3721">
        <f t="shared" ref="L26:L34" si="11">L6/$L$16</f>
        <v>7.8321216126900198E-2</v>
      </c>
      <c r="M26" s="3721">
        <f t="shared" ref="M26:M34" si="12">M6/$M$16</f>
        <v>8.4723585214262348E-2</v>
      </c>
      <c r="N26" s="3721">
        <f t="shared" ref="N26:N34" si="13">N6/$N$16</f>
        <v>8.7387964148527522E-2</v>
      </c>
      <c r="O26" s="3721">
        <f t="shared" ref="O26:O34" si="14">O6/$O$16</f>
        <v>7.5728155339805828E-2</v>
      </c>
      <c r="P26" s="3721">
        <f t="shared" ref="P26:P34" si="15">P6/$P$16</f>
        <v>6.9235793598954931E-2</v>
      </c>
      <c r="Q26" s="3721">
        <f>Q6/$Q$16</f>
        <v>6.0221354166666664E-2</v>
      </c>
    </row>
    <row r="27" spans="1:17" ht="12" customHeight="1" x14ac:dyDescent="0.25">
      <c r="A27" s="3714" t="s">
        <v>111</v>
      </c>
      <c r="B27" s="3712"/>
      <c r="C27" s="3722">
        <f t="shared" si="2"/>
        <v>0.10124333925399645</v>
      </c>
      <c r="D27" s="3722">
        <f t="shared" si="3"/>
        <v>0.10046148384806532</v>
      </c>
      <c r="E27" s="3722">
        <f t="shared" si="4"/>
        <v>9.0431125131440596E-2</v>
      </c>
      <c r="F27" s="3722">
        <f t="shared" si="5"/>
        <v>8.0279232111692841E-2</v>
      </c>
      <c r="G27" s="3722">
        <f t="shared" si="6"/>
        <v>7.7376821651630817E-2</v>
      </c>
      <c r="H27" s="3722">
        <f t="shared" si="7"/>
        <v>7.1576763485477174E-2</v>
      </c>
      <c r="I27" s="3722">
        <f t="shared" si="8"/>
        <v>6.6300240467193405E-2</v>
      </c>
      <c r="J27" s="3722">
        <f t="shared" si="9"/>
        <v>6.4232589587559161E-2</v>
      </c>
      <c r="K27" s="3722">
        <f t="shared" si="10"/>
        <v>6.6910785619174434E-2</v>
      </c>
      <c r="L27" s="3722">
        <f t="shared" si="11"/>
        <v>7.7329808327825517E-2</v>
      </c>
      <c r="M27" s="3722">
        <f t="shared" si="12"/>
        <v>8.4069349035001642E-2</v>
      </c>
      <c r="N27" s="3722">
        <f t="shared" si="13"/>
        <v>9.4750320102432783E-2</v>
      </c>
      <c r="O27" s="3722">
        <f t="shared" si="14"/>
        <v>0.10097087378640776</v>
      </c>
      <c r="P27" s="3722">
        <f t="shared" si="15"/>
        <v>0.10418027433050293</v>
      </c>
      <c r="Q27" s="3722">
        <f t="shared" ref="Q27:Q34" si="16">Q7/$Q$16</f>
        <v>0.11360677083333333</v>
      </c>
    </row>
    <row r="28" spans="1:17" ht="12" customHeight="1" x14ac:dyDescent="0.25">
      <c r="A28" s="3714" t="s">
        <v>112</v>
      </c>
      <c r="B28" s="3712"/>
      <c r="C28" s="3722">
        <f t="shared" si="2"/>
        <v>0.17797513321492006</v>
      </c>
      <c r="D28" s="3722">
        <f t="shared" si="3"/>
        <v>0.15654952076677317</v>
      </c>
      <c r="E28" s="3722">
        <f t="shared" si="4"/>
        <v>0.13739922888187872</v>
      </c>
      <c r="F28" s="3722">
        <f t="shared" si="5"/>
        <v>0.12390924956369982</v>
      </c>
      <c r="G28" s="3722">
        <f t="shared" si="6"/>
        <v>0.11693268563497571</v>
      </c>
      <c r="H28" s="3722">
        <f t="shared" si="7"/>
        <v>0.10926694329183956</v>
      </c>
      <c r="I28" s="3722">
        <f t="shared" si="8"/>
        <v>0.10271384403984885</v>
      </c>
      <c r="J28" s="3722">
        <f t="shared" si="9"/>
        <v>9.1615956727518599E-2</v>
      </c>
      <c r="K28" s="3722">
        <f t="shared" si="10"/>
        <v>8.2556591211717711E-2</v>
      </c>
      <c r="L28" s="3722">
        <f t="shared" si="11"/>
        <v>7.9312623925974879E-2</v>
      </c>
      <c r="M28" s="3722">
        <f t="shared" si="12"/>
        <v>7.098462544978737E-2</v>
      </c>
      <c r="N28" s="3722">
        <f t="shared" si="13"/>
        <v>6.5941101152368758E-2</v>
      </c>
      <c r="O28" s="3722">
        <f t="shared" si="14"/>
        <v>6.4724919093851127E-2</v>
      </c>
      <c r="P28" s="3722">
        <f t="shared" si="15"/>
        <v>6.7929457870672769E-2</v>
      </c>
      <c r="Q28" s="3722">
        <f t="shared" si="16"/>
        <v>8.0078125E-2</v>
      </c>
    </row>
    <row r="29" spans="1:17" ht="12" customHeight="1" x14ac:dyDescent="0.25">
      <c r="A29" s="3714" t="s">
        <v>113</v>
      </c>
      <c r="B29" s="3712"/>
      <c r="C29" s="3722">
        <f t="shared" si="2"/>
        <v>0.21740674955595027</v>
      </c>
      <c r="D29" s="3722">
        <f t="shared" si="3"/>
        <v>0.21547745828895989</v>
      </c>
      <c r="E29" s="3722">
        <f t="shared" si="4"/>
        <v>0.20820189274447951</v>
      </c>
      <c r="F29" s="3722">
        <f t="shared" si="5"/>
        <v>0.19930191972076788</v>
      </c>
      <c r="G29" s="3722">
        <f t="shared" si="6"/>
        <v>0.19049271339347676</v>
      </c>
      <c r="H29" s="3722">
        <f t="shared" si="7"/>
        <v>0.17116182572614108</v>
      </c>
      <c r="I29" s="3722">
        <f t="shared" si="8"/>
        <v>0.1556166265888011</v>
      </c>
      <c r="J29" s="3722">
        <f t="shared" si="9"/>
        <v>0.13590263691683571</v>
      </c>
      <c r="K29" s="3722">
        <f t="shared" si="10"/>
        <v>0.12083888149134488</v>
      </c>
      <c r="L29" s="3722">
        <f t="shared" si="11"/>
        <v>0.10806345009914078</v>
      </c>
      <c r="M29" s="3722">
        <f t="shared" si="12"/>
        <v>0.10075237160614982</v>
      </c>
      <c r="N29" s="3722">
        <f t="shared" si="13"/>
        <v>9.2829705505761848E-2</v>
      </c>
      <c r="O29" s="3722">
        <f t="shared" si="14"/>
        <v>8.8025889967637536E-2</v>
      </c>
      <c r="P29" s="3722">
        <f t="shared" si="15"/>
        <v>7.8706727629000647E-2</v>
      </c>
      <c r="Q29" s="3722">
        <f t="shared" si="16"/>
        <v>7.6822916666666671E-2</v>
      </c>
    </row>
    <row r="30" spans="1:17" ht="12" customHeight="1" x14ac:dyDescent="0.25">
      <c r="A30" s="3714" t="s">
        <v>114</v>
      </c>
      <c r="B30" s="3712"/>
      <c r="C30" s="3722">
        <f t="shared" si="2"/>
        <v>0.2714031971580817</v>
      </c>
      <c r="D30" s="3722">
        <f t="shared" si="3"/>
        <v>0.25985090521831739</v>
      </c>
      <c r="E30" s="3722">
        <f t="shared" si="4"/>
        <v>0.24675779880827201</v>
      </c>
      <c r="F30" s="3722">
        <f t="shared" si="5"/>
        <v>0.23699825479930192</v>
      </c>
      <c r="G30" s="3722">
        <f t="shared" si="6"/>
        <v>0.21859819569743233</v>
      </c>
      <c r="H30" s="3722">
        <f t="shared" si="7"/>
        <v>0.21092669432918396</v>
      </c>
      <c r="I30" s="3722">
        <f t="shared" si="8"/>
        <v>0.20577121264170389</v>
      </c>
      <c r="J30" s="3722">
        <f t="shared" si="9"/>
        <v>0.19641649763353616</v>
      </c>
      <c r="K30" s="3722">
        <f t="shared" si="10"/>
        <v>0.18641810918774968</v>
      </c>
      <c r="L30" s="3722">
        <f t="shared" si="11"/>
        <v>0.17382683410442828</v>
      </c>
      <c r="M30" s="3722">
        <f t="shared" si="12"/>
        <v>0.15767091920183185</v>
      </c>
      <c r="N30" s="3722">
        <f t="shared" si="13"/>
        <v>0.14116517285531371</v>
      </c>
      <c r="O30" s="3722">
        <f t="shared" si="14"/>
        <v>0.12524271844660195</v>
      </c>
      <c r="P30" s="3722">
        <f t="shared" si="15"/>
        <v>0.11365120836054866</v>
      </c>
      <c r="Q30" s="3722">
        <f t="shared" si="16"/>
        <v>0.10026041666666667</v>
      </c>
    </row>
    <row r="31" spans="1:17" ht="12" customHeight="1" x14ac:dyDescent="0.25">
      <c r="A31" s="3714" t="s">
        <v>115</v>
      </c>
      <c r="B31" s="3712"/>
      <c r="C31" s="3722">
        <f t="shared" si="2"/>
        <v>0.15523978685612788</v>
      </c>
      <c r="D31" s="3722">
        <f t="shared" si="3"/>
        <v>0.20269790557330494</v>
      </c>
      <c r="E31" s="3722">
        <f t="shared" si="4"/>
        <v>0.21556256572029442</v>
      </c>
      <c r="F31" s="3722">
        <f t="shared" si="5"/>
        <v>0.21047120418848167</v>
      </c>
      <c r="G31" s="3722">
        <f t="shared" si="6"/>
        <v>0.21859819569743233</v>
      </c>
      <c r="H31" s="3722">
        <f t="shared" si="7"/>
        <v>0.23858921161825727</v>
      </c>
      <c r="I31" s="3722">
        <f t="shared" si="8"/>
        <v>0.23359670216420475</v>
      </c>
      <c r="J31" s="3722">
        <f t="shared" si="9"/>
        <v>0.22413793103448276</v>
      </c>
      <c r="K31" s="3722">
        <f t="shared" si="10"/>
        <v>0.21438082556591212</v>
      </c>
      <c r="L31" s="3722">
        <f t="shared" si="11"/>
        <v>0.19662921348314608</v>
      </c>
      <c r="M31" s="3722">
        <f t="shared" si="12"/>
        <v>0.18711154726856394</v>
      </c>
      <c r="N31" s="3722">
        <f t="shared" si="13"/>
        <v>0.1795774647887324</v>
      </c>
      <c r="O31" s="3722">
        <f t="shared" si="14"/>
        <v>0.17896440129449839</v>
      </c>
      <c r="P31" s="3722">
        <f t="shared" si="15"/>
        <v>0.170476812540823</v>
      </c>
      <c r="Q31" s="3722">
        <f t="shared" si="16"/>
        <v>0.15983072916666666</v>
      </c>
    </row>
    <row r="32" spans="1:17" ht="12" customHeight="1" x14ac:dyDescent="0.25">
      <c r="A32" s="3714" t="s">
        <v>100</v>
      </c>
      <c r="B32" s="3712"/>
      <c r="C32" s="3722">
        <f t="shared" si="2"/>
        <v>1.2788632326820605E-2</v>
      </c>
      <c r="D32" s="3722">
        <f t="shared" si="3"/>
        <v>1.1359602413915513E-2</v>
      </c>
      <c r="E32" s="3722">
        <f t="shared" si="4"/>
        <v>4.5566070802663859E-2</v>
      </c>
      <c r="F32" s="3722">
        <f t="shared" si="5"/>
        <v>8.5165794066317621E-2</v>
      </c>
      <c r="G32" s="3722">
        <f t="shared" si="6"/>
        <v>0.10201249132546843</v>
      </c>
      <c r="H32" s="3722">
        <f t="shared" si="7"/>
        <v>0.11549100968188106</v>
      </c>
      <c r="I32" s="3722">
        <f t="shared" si="8"/>
        <v>0.14874613534867742</v>
      </c>
      <c r="J32" s="3722">
        <f t="shared" si="9"/>
        <v>0.16260987153482082</v>
      </c>
      <c r="K32" s="3722">
        <f t="shared" si="10"/>
        <v>0.17143808255659121</v>
      </c>
      <c r="L32" s="3722">
        <f t="shared" si="11"/>
        <v>0.18638466622604097</v>
      </c>
      <c r="M32" s="3722">
        <f t="shared" si="12"/>
        <v>0.20019627085377822</v>
      </c>
      <c r="N32" s="3722">
        <f t="shared" si="13"/>
        <v>0.19750320102432778</v>
      </c>
      <c r="O32" s="3722">
        <f t="shared" si="14"/>
        <v>0.19093851132686085</v>
      </c>
      <c r="P32" s="3722">
        <f t="shared" si="15"/>
        <v>0.18647942521227956</v>
      </c>
      <c r="Q32" s="3722">
        <f t="shared" si="16"/>
        <v>0.1728515625</v>
      </c>
    </row>
    <row r="33" spans="1:17" ht="12" customHeight="1" x14ac:dyDescent="0.25">
      <c r="A33" s="3714" t="s">
        <v>101</v>
      </c>
      <c r="B33" s="3712"/>
      <c r="C33" s="3722">
        <f t="shared" si="2"/>
        <v>5.6838365896980459E-3</v>
      </c>
      <c r="D33" s="3722">
        <f t="shared" si="3"/>
        <v>7.099751508697196E-3</v>
      </c>
      <c r="E33" s="3722">
        <f t="shared" si="4"/>
        <v>8.7627059235892042E-3</v>
      </c>
      <c r="F33" s="3722">
        <f t="shared" si="5"/>
        <v>1.1169284467713788E-2</v>
      </c>
      <c r="G33" s="3722">
        <f t="shared" si="6"/>
        <v>1.1450381679389313E-2</v>
      </c>
      <c r="H33" s="3722">
        <f t="shared" si="7"/>
        <v>1.0373443983402489E-2</v>
      </c>
      <c r="I33" s="3722">
        <f t="shared" si="8"/>
        <v>8.5881140501545862E-3</v>
      </c>
      <c r="J33" s="3722">
        <f t="shared" si="9"/>
        <v>3.3468559837728194E-2</v>
      </c>
      <c r="K33" s="3722">
        <f t="shared" si="10"/>
        <v>6.2250332889480689E-2</v>
      </c>
      <c r="L33" s="3722">
        <f t="shared" si="11"/>
        <v>8.6582947785855915E-2</v>
      </c>
      <c r="M33" s="3722">
        <f t="shared" si="12"/>
        <v>0.10075237160614982</v>
      </c>
      <c r="N33" s="3722">
        <f t="shared" si="13"/>
        <v>0.12644046094750319</v>
      </c>
      <c r="O33" s="3722">
        <f t="shared" si="14"/>
        <v>0.13851132686084142</v>
      </c>
      <c r="P33" s="3722">
        <f t="shared" si="15"/>
        <v>0.14598301763553234</v>
      </c>
      <c r="Q33" s="3722">
        <f t="shared" si="16"/>
        <v>0.15364583333333334</v>
      </c>
    </row>
    <row r="34" spans="1:17" ht="12" customHeight="1" x14ac:dyDescent="0.25">
      <c r="A34" s="3716" t="s">
        <v>1467</v>
      </c>
      <c r="B34" s="3712"/>
      <c r="C34" s="3722">
        <f t="shared" si="2"/>
        <v>4.6181172291296629E-3</v>
      </c>
      <c r="D34" s="3722">
        <f t="shared" si="3"/>
        <v>4.9698260560880371E-3</v>
      </c>
      <c r="E34" s="3722">
        <f t="shared" si="4"/>
        <v>5.6081317910970912E-3</v>
      </c>
      <c r="F34" s="3722">
        <f t="shared" si="5"/>
        <v>6.9808027923211171E-3</v>
      </c>
      <c r="G34" s="3722">
        <f t="shared" si="6"/>
        <v>7.9805690492713386E-3</v>
      </c>
      <c r="H34" s="3722">
        <f t="shared" si="7"/>
        <v>8.6445366528354085E-3</v>
      </c>
      <c r="I34" s="3722">
        <f t="shared" si="8"/>
        <v>9.9622122981793196E-3</v>
      </c>
      <c r="J34" s="3722">
        <f t="shared" si="9"/>
        <v>1.1156186612576065E-2</v>
      </c>
      <c r="K34" s="3722">
        <f t="shared" si="10"/>
        <v>1.3648468708388815E-2</v>
      </c>
      <c r="L34" s="3722">
        <f t="shared" si="11"/>
        <v>1.3549239920687376E-2</v>
      </c>
      <c r="M34" s="3722">
        <f t="shared" si="12"/>
        <v>1.3738959764474975E-2</v>
      </c>
      <c r="N34" s="3722">
        <f t="shared" si="13"/>
        <v>1.4404609475032011E-2</v>
      </c>
      <c r="O34" s="3722">
        <f t="shared" si="14"/>
        <v>3.6893203883495145E-2</v>
      </c>
      <c r="P34" s="3722">
        <f t="shared" si="15"/>
        <v>6.3357282821685179E-2</v>
      </c>
      <c r="Q34" s="3722">
        <f t="shared" si="16"/>
        <v>8.2682291666666671E-2</v>
      </c>
    </row>
    <row r="35" spans="1:17" ht="12" customHeight="1" x14ac:dyDescent="0.25">
      <c r="A35" s="3718" t="s">
        <v>12</v>
      </c>
      <c r="B35" s="3712"/>
      <c r="C35" s="3725">
        <f>SUM(C26:C34)</f>
        <v>1</v>
      </c>
      <c r="D35" s="3725">
        <f t="shared" ref="D35:P35" si="17">SUM(D26:D34)</f>
        <v>1</v>
      </c>
      <c r="E35" s="3725">
        <f t="shared" si="17"/>
        <v>1</v>
      </c>
      <c r="F35" s="3725">
        <f t="shared" si="17"/>
        <v>1</v>
      </c>
      <c r="G35" s="3725">
        <f t="shared" si="17"/>
        <v>1</v>
      </c>
      <c r="H35" s="3725">
        <f t="shared" si="17"/>
        <v>1</v>
      </c>
      <c r="I35" s="3725">
        <f t="shared" si="17"/>
        <v>0.99999999999999989</v>
      </c>
      <c r="J35" s="3725">
        <f t="shared" si="17"/>
        <v>1</v>
      </c>
      <c r="K35" s="3725">
        <f t="shared" si="17"/>
        <v>0.99999999999999989</v>
      </c>
      <c r="L35" s="3725">
        <f t="shared" si="17"/>
        <v>1</v>
      </c>
      <c r="M35" s="3725">
        <f t="shared" si="17"/>
        <v>1</v>
      </c>
      <c r="N35" s="3725">
        <f t="shared" si="17"/>
        <v>0.99999999999999989</v>
      </c>
      <c r="O35" s="3725">
        <f t="shared" si="17"/>
        <v>1</v>
      </c>
      <c r="P35" s="3725">
        <f t="shared" si="17"/>
        <v>1</v>
      </c>
      <c r="Q35" s="3725">
        <f t="shared" ref="Q35" si="18">SUM(Q26:Q34)</f>
        <v>1</v>
      </c>
    </row>
    <row r="36" spans="1:17" ht="15.75" x14ac:dyDescent="0.25">
      <c r="A36" s="1492"/>
      <c r="C36" s="1494"/>
      <c r="D36" s="1494"/>
      <c r="E36" s="1494"/>
      <c r="F36" s="1494"/>
      <c r="G36" s="1494"/>
      <c r="H36" s="1494"/>
      <c r="I36" s="1494"/>
      <c r="J36" s="1494"/>
      <c r="K36" s="1494"/>
      <c r="L36" s="1494"/>
      <c r="M36" s="1494"/>
    </row>
    <row r="64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</sheetData>
  <sheetProtection algorithmName="SHA-512" hashValue="gkcCL6mSAr5+GH+DKUjg0mSBQE2iRuLraVHDegFh9lUtpb9XprcKbshlTVrDGPe5LYt+c5AxNHY8LaFwr/3umg==" saltValue="e6xW50+wRpdQ77ihO7eI7Q==" spinCount="100000" sheet="1" objects="1" scenarios="1"/>
  <printOptions horizontalCentered="1" verticalCentered="1"/>
  <pageMargins left="0.70866141732283472" right="0.70866141732283472" top="0.74803149606299213" bottom="0.74803149606299213" header="0.31496062992125984" footer="0.31496062992125984"/>
  <pageSetup scale="65" orientation="landscape" r:id="rId1"/>
  <rowBreaks count="2" manualBreakCount="2">
    <brk id="23" max="16383" man="1"/>
    <brk id="36" max="16383" man="1"/>
  </rowBreaks>
  <ignoredErrors>
    <ignoredError sqref="L32:L34" formula="1"/>
  </ignoredErrors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BU188"/>
  <sheetViews>
    <sheetView showGridLines="0" zoomScaleNormal="100" workbookViewId="0">
      <selection activeCell="BV195" sqref="BV195"/>
    </sheetView>
  </sheetViews>
  <sheetFormatPr baseColWidth="10" defaultRowHeight="12.75" x14ac:dyDescent="0.2"/>
  <cols>
    <col min="1" max="1" width="14" customWidth="1"/>
    <col min="3" max="17" width="10.7109375" customWidth="1"/>
    <col min="18" max="18" width="4.42578125" hidden="1" customWidth="1"/>
    <col min="19" max="19" width="4.85546875" hidden="1" customWidth="1"/>
    <col min="20" max="20" width="4" hidden="1" customWidth="1"/>
    <col min="21" max="21" width="5.85546875" hidden="1" customWidth="1"/>
    <col min="22" max="24" width="5" hidden="1" customWidth="1"/>
    <col min="25" max="25" width="5.85546875" hidden="1" customWidth="1"/>
    <col min="26" max="28" width="5" hidden="1" customWidth="1"/>
    <col min="29" max="29" width="5.85546875" hidden="1" customWidth="1"/>
    <col min="30" max="32" width="5" hidden="1" customWidth="1"/>
    <col min="33" max="33" width="5.7109375" hidden="1" customWidth="1"/>
    <col min="34" max="35" width="4.85546875" hidden="1" customWidth="1"/>
    <col min="36" max="36" width="4.42578125" hidden="1" customWidth="1"/>
    <col min="37" max="37" width="5.7109375" hidden="1" customWidth="1"/>
    <col min="38" max="38" width="4.42578125" hidden="1" customWidth="1"/>
    <col min="39" max="39" width="4.85546875" hidden="1" customWidth="1"/>
    <col min="40" max="40" width="4" hidden="1" customWidth="1"/>
    <col min="41" max="41" width="5.7109375" hidden="1" customWidth="1"/>
    <col min="42" max="42" width="4.42578125" hidden="1" customWidth="1"/>
    <col min="43" max="43" width="4.85546875" hidden="1" customWidth="1"/>
    <col min="44" max="44" width="4" hidden="1" customWidth="1"/>
    <col min="45" max="45" width="6.5703125" hidden="1" customWidth="1"/>
    <col min="46" max="46" width="4.42578125" hidden="1" customWidth="1"/>
    <col min="47" max="47" width="4.85546875" hidden="1" customWidth="1"/>
    <col min="48" max="48" width="4" hidden="1" customWidth="1"/>
    <col min="49" max="49" width="5.7109375" hidden="1" customWidth="1"/>
    <col min="50" max="50" width="4.42578125" hidden="1" customWidth="1"/>
    <col min="51" max="52" width="4" hidden="1" customWidth="1"/>
    <col min="53" max="53" width="5.7109375" hidden="1" customWidth="1"/>
    <col min="54" max="54" width="4.42578125" hidden="1" customWidth="1"/>
    <col min="55" max="56" width="4" hidden="1" customWidth="1"/>
    <col min="57" max="57" width="5.7109375" hidden="1" customWidth="1"/>
    <col min="58" max="58" width="4.42578125" hidden="1" customWidth="1"/>
    <col min="59" max="60" width="4" hidden="1" customWidth="1"/>
    <col min="61" max="61" width="5.7109375" hidden="1" customWidth="1"/>
    <col min="62" max="62" width="4.42578125" hidden="1" customWidth="1"/>
    <col min="63" max="64" width="4" hidden="1" customWidth="1"/>
    <col min="65" max="65" width="5.42578125" hidden="1" customWidth="1"/>
    <col min="66" max="66" width="4.42578125" hidden="1" customWidth="1"/>
    <col min="67" max="68" width="4" hidden="1" customWidth="1"/>
    <col min="69" max="69" width="5.7109375" hidden="1" customWidth="1"/>
    <col min="70" max="70" width="4.42578125" hidden="1" customWidth="1"/>
    <col min="71" max="72" width="4.85546875" hidden="1" customWidth="1"/>
    <col min="73" max="73" width="5.7109375" hidden="1" customWidth="1"/>
  </cols>
  <sheetData>
    <row r="2" spans="1:73" ht="15.75" x14ac:dyDescent="0.25">
      <c r="A2" s="139" t="s">
        <v>1334</v>
      </c>
      <c r="R2" s="27" t="s">
        <v>1310</v>
      </c>
    </row>
    <row r="3" spans="1:73" x14ac:dyDescent="0.2">
      <c r="R3" s="7177">
        <v>2004</v>
      </c>
      <c r="S3" s="7177"/>
      <c r="T3" s="7177"/>
      <c r="U3" s="7177"/>
      <c r="V3" s="7177">
        <v>2005</v>
      </c>
      <c r="W3" s="7177"/>
      <c r="X3" s="7177"/>
      <c r="Y3" s="7177"/>
      <c r="Z3" s="7177">
        <v>2006</v>
      </c>
      <c r="AA3" s="7177"/>
      <c r="AB3" s="7177"/>
      <c r="AC3" s="7177"/>
      <c r="AD3" s="7177">
        <v>2007</v>
      </c>
      <c r="AE3" s="7177"/>
      <c r="AF3" s="7177"/>
      <c r="AG3" s="7177"/>
      <c r="AH3" s="7177">
        <v>2008</v>
      </c>
      <c r="AI3" s="7177"/>
      <c r="AJ3" s="7177"/>
      <c r="AK3" s="7177"/>
      <c r="AL3" s="7177">
        <v>2009</v>
      </c>
      <c r="AM3" s="7177"/>
      <c r="AN3" s="7177"/>
      <c r="AO3" s="7177"/>
      <c r="AP3" s="7177">
        <v>2010</v>
      </c>
      <c r="AQ3" s="7177"/>
      <c r="AR3" s="7177"/>
      <c r="AS3" s="7177"/>
      <c r="AT3" s="7177">
        <v>2011</v>
      </c>
      <c r="AU3" s="7177"/>
      <c r="AV3" s="7177"/>
      <c r="AW3" s="7177"/>
      <c r="AX3" s="7177">
        <v>2012</v>
      </c>
      <c r="AY3" s="7177"/>
      <c r="AZ3" s="7177"/>
      <c r="BA3" s="7177"/>
      <c r="BB3" s="7177">
        <v>2013</v>
      </c>
      <c r="BC3" s="7177"/>
      <c r="BD3" s="7177"/>
      <c r="BE3" s="7177"/>
      <c r="BF3" s="7177">
        <v>2014</v>
      </c>
      <c r="BG3" s="7177"/>
      <c r="BH3" s="7177"/>
      <c r="BI3" s="7177"/>
      <c r="BJ3" s="7177">
        <v>2015</v>
      </c>
      <c r="BK3" s="7177"/>
      <c r="BL3" s="7177"/>
      <c r="BM3" s="7177"/>
      <c r="BN3" s="7177">
        <v>2016</v>
      </c>
      <c r="BO3" s="7177"/>
      <c r="BP3" s="7177"/>
      <c r="BQ3" s="7177"/>
      <c r="BR3" s="7178">
        <v>2017</v>
      </c>
      <c r="BS3" s="7179"/>
      <c r="BT3" s="7179"/>
      <c r="BU3" s="7180"/>
    </row>
    <row r="4" spans="1:73" ht="15" x14ac:dyDescent="0.2">
      <c r="A4" s="3726" t="s">
        <v>51</v>
      </c>
      <c r="B4" s="3726" t="s">
        <v>685</v>
      </c>
      <c r="C4" s="3726">
        <v>2004</v>
      </c>
      <c r="D4" s="1382">
        <v>2005</v>
      </c>
      <c r="E4" s="3727">
        <v>2006</v>
      </c>
      <c r="F4" s="1382">
        <v>2007</v>
      </c>
      <c r="G4" s="1382">
        <v>2008</v>
      </c>
      <c r="H4" s="1382">
        <v>2009</v>
      </c>
      <c r="I4" s="1382">
        <v>2010</v>
      </c>
      <c r="J4" s="1382">
        <v>2011</v>
      </c>
      <c r="K4" s="1382">
        <v>2012</v>
      </c>
      <c r="L4" s="1382">
        <v>2013</v>
      </c>
      <c r="M4" s="1382">
        <v>2014</v>
      </c>
      <c r="N4" s="1382">
        <v>2015</v>
      </c>
      <c r="O4" s="1382">
        <v>2016</v>
      </c>
      <c r="P4" s="1382">
        <v>2017</v>
      </c>
      <c r="R4" s="3931" t="s">
        <v>786</v>
      </c>
      <c r="S4" s="3931" t="s">
        <v>787</v>
      </c>
      <c r="T4" s="3931" t="s">
        <v>788</v>
      </c>
      <c r="U4" s="3932" t="s">
        <v>160</v>
      </c>
      <c r="V4" s="5277" t="s">
        <v>786</v>
      </c>
      <c r="W4" s="5278" t="s">
        <v>787</v>
      </c>
      <c r="X4" s="5278" t="s">
        <v>788</v>
      </c>
      <c r="Y4" s="5286" t="s">
        <v>160</v>
      </c>
      <c r="Z4" s="3931" t="s">
        <v>786</v>
      </c>
      <c r="AA4" s="3931" t="s">
        <v>787</v>
      </c>
      <c r="AB4" s="3931" t="s">
        <v>788</v>
      </c>
      <c r="AC4" s="3932" t="s">
        <v>160</v>
      </c>
      <c r="AD4" s="5277" t="s">
        <v>786</v>
      </c>
      <c r="AE4" s="5278" t="s">
        <v>787</v>
      </c>
      <c r="AF4" s="5278" t="s">
        <v>788</v>
      </c>
      <c r="AG4" s="5286" t="s">
        <v>160</v>
      </c>
      <c r="AH4" s="3931" t="s">
        <v>786</v>
      </c>
      <c r="AI4" s="3931" t="s">
        <v>787</v>
      </c>
      <c r="AJ4" s="3931" t="s">
        <v>788</v>
      </c>
      <c r="AK4" s="3932" t="s">
        <v>160</v>
      </c>
      <c r="AL4" s="5277" t="s">
        <v>786</v>
      </c>
      <c r="AM4" s="5278" t="s">
        <v>787</v>
      </c>
      <c r="AN4" s="5278" t="s">
        <v>788</v>
      </c>
      <c r="AO4" s="5286" t="s">
        <v>160</v>
      </c>
      <c r="AP4" s="3931" t="s">
        <v>786</v>
      </c>
      <c r="AQ4" s="3931" t="s">
        <v>787</v>
      </c>
      <c r="AR4" s="3931" t="s">
        <v>788</v>
      </c>
      <c r="AS4" s="3932" t="s">
        <v>160</v>
      </c>
      <c r="AT4" s="5277" t="s">
        <v>786</v>
      </c>
      <c r="AU4" s="3931" t="s">
        <v>787</v>
      </c>
      <c r="AV4" s="3931" t="s">
        <v>788</v>
      </c>
      <c r="AW4" s="3932" t="s">
        <v>160</v>
      </c>
      <c r="AX4" s="5277" t="s">
        <v>786</v>
      </c>
      <c r="AY4" s="3931" t="s">
        <v>787</v>
      </c>
      <c r="AZ4" s="3931" t="s">
        <v>788</v>
      </c>
      <c r="BA4" s="3932" t="s">
        <v>160</v>
      </c>
      <c r="BB4" s="5277" t="s">
        <v>786</v>
      </c>
      <c r="BC4" s="3931" t="s">
        <v>787</v>
      </c>
      <c r="BD4" s="3931" t="s">
        <v>788</v>
      </c>
      <c r="BE4" s="3932" t="s">
        <v>160</v>
      </c>
      <c r="BF4" s="5277" t="s">
        <v>786</v>
      </c>
      <c r="BG4" s="3931" t="s">
        <v>787</v>
      </c>
      <c r="BH4" s="3931" t="s">
        <v>788</v>
      </c>
      <c r="BI4" s="3932" t="s">
        <v>160</v>
      </c>
      <c r="BJ4" s="5277" t="s">
        <v>786</v>
      </c>
      <c r="BK4" s="3931" t="s">
        <v>787</v>
      </c>
      <c r="BL4" s="3931" t="s">
        <v>788</v>
      </c>
      <c r="BM4" s="3932" t="s">
        <v>160</v>
      </c>
      <c r="BN4" s="5277" t="s">
        <v>786</v>
      </c>
      <c r="BO4" s="3931" t="s">
        <v>787</v>
      </c>
      <c r="BP4" s="3931" t="s">
        <v>788</v>
      </c>
      <c r="BQ4" s="3932" t="s">
        <v>160</v>
      </c>
      <c r="BR4" s="5277" t="s">
        <v>786</v>
      </c>
      <c r="BS4" s="3931" t="s">
        <v>787</v>
      </c>
      <c r="BT4" s="3931" t="s">
        <v>788</v>
      </c>
      <c r="BU4" s="3932" t="s">
        <v>160</v>
      </c>
    </row>
    <row r="5" spans="1:73" ht="15" x14ac:dyDescent="0.25">
      <c r="A5" s="250"/>
      <c r="B5" s="250"/>
      <c r="C5" s="250"/>
      <c r="D5" s="250"/>
      <c r="E5" s="250"/>
      <c r="F5" s="250"/>
      <c r="G5" s="250"/>
      <c r="H5" s="250"/>
      <c r="I5" s="250"/>
      <c r="J5" s="250"/>
      <c r="K5" s="250"/>
      <c r="L5" s="250"/>
      <c r="M5" s="250"/>
      <c r="N5" s="250"/>
      <c r="O5" s="250"/>
      <c r="P5" s="250"/>
      <c r="V5" s="5279"/>
      <c r="W5" s="3923"/>
      <c r="X5" s="3923"/>
      <c r="Y5" s="5287"/>
      <c r="AD5" s="5279"/>
      <c r="AE5" s="3923"/>
      <c r="AF5" s="3923"/>
      <c r="AG5" s="5287"/>
      <c r="AL5" s="5279"/>
      <c r="AM5" s="3923"/>
      <c r="AN5" s="3923"/>
      <c r="AO5" s="5287"/>
      <c r="AT5" s="5279"/>
      <c r="AX5" s="5279"/>
      <c r="BB5" s="5281"/>
      <c r="BC5" s="3933"/>
      <c r="BD5" s="3933"/>
      <c r="BE5" s="3934"/>
      <c r="BF5" s="5281"/>
      <c r="BG5" s="3933"/>
      <c r="BH5" s="3933"/>
      <c r="BI5" s="3934"/>
      <c r="BJ5" s="5281"/>
      <c r="BK5" s="3933"/>
      <c r="BL5" s="3933"/>
      <c r="BM5" s="3934"/>
      <c r="BN5" s="5281"/>
      <c r="BO5" s="3933"/>
      <c r="BP5" s="3933"/>
      <c r="BQ5" s="3934"/>
      <c r="BR5" s="5281"/>
      <c r="BS5" s="3933"/>
      <c r="BT5" s="3933"/>
      <c r="BU5" s="3934"/>
    </row>
    <row r="6" spans="1:73" ht="15" x14ac:dyDescent="0.2">
      <c r="A6" s="7174" t="s">
        <v>161</v>
      </c>
      <c r="B6" s="3705" t="s">
        <v>5</v>
      </c>
      <c r="C6" s="3924">
        <f>(SUM('ACTIVOS uni'!D7)+'Alumnos x PTC'!Y149)/'Alumnos x PTC'!U6</f>
        <v>19.425070688030161</v>
      </c>
      <c r="D6" s="3924">
        <f>(SUM('ACTIVOS uni'!E7)+'Alumnos x PTC'!Z149)/'Alumnos x PTC'!Y6</f>
        <v>20.268361581920903</v>
      </c>
      <c r="E6" s="3924">
        <f>(SUM('ACTIVOS uni'!F7)+'Alumnos x PTC'!AA149)/'Alumnos x PTC'!AC6</f>
        <v>20.788497217068645</v>
      </c>
      <c r="F6" s="3924">
        <f>(SUM('ACTIVOS uni'!G7)+'Alumnos x PTC'!AB149)/'Alumnos x PTC'!AG6</f>
        <v>20.686687584043032</v>
      </c>
      <c r="G6" s="3924">
        <f>(SUM('ACTIVOS uni'!H7)+'Alumnos x PTC'!AC149)/'Alumnos x PTC'!AK6</f>
        <v>21.423942394239425</v>
      </c>
      <c r="H6" s="3924">
        <f>(SUM('ACTIVOS uni'!I7)+'Alumnos x PTC'!AD149)/'Alumnos x PTC'!AO6</f>
        <v>21.838709677419356</v>
      </c>
      <c r="I6" s="3924">
        <f>(SUM('ACTIVOS uni'!J7)+'Alumnos x PTC'!AE149)/'Alumnos x PTC'!AS6</f>
        <v>23.658536585365855</v>
      </c>
      <c r="J6" s="3924">
        <f>(SUM('ACTIVOS uni'!K7)+'Alumnos x PTC'!AF149)/'Alumnos x PTC'!AW6</f>
        <v>24.38692098092643</v>
      </c>
      <c r="K6" s="3924">
        <f>(SUM('ACTIVOS uni'!L7)+'Alumnos x PTC'!AG149)/'Alumnos x PTC'!BA6</f>
        <v>23.790134529147981</v>
      </c>
      <c r="L6" s="3924">
        <f>(SUM('ACTIVOS uni'!M7)+'Alumnos x PTC'!AH149)/'Alumnos x PTC'!BE6</f>
        <v>23.731062303899598</v>
      </c>
      <c r="M6" s="3924">
        <f>(SUM('ACTIVOS uni'!N7)+'Alumnos x PTC'!AI149)/'Alumnos x PTC'!BI6</f>
        <v>22.761528326745719</v>
      </c>
      <c r="N6" s="3924">
        <f>(SUM('ACTIVOS uni'!O7)+'Alumnos x PTC'!AJ149)/'Alumnos x PTC'!BM6</f>
        <v>22.292639138240574</v>
      </c>
      <c r="O6" s="3924">
        <f>(SUM('ACTIVOS uni'!P7)+'Alumnos x PTC'!AK149)/'Alumnos x PTC'!BQ6</f>
        <v>21.867272727272727</v>
      </c>
      <c r="P6" s="3924">
        <f>(SUM('ACTIVOS uni'!Q7)+'Alumnos x PTC'!AL149)/'Alumnos x PTC'!BU6</f>
        <v>20.46298788694482</v>
      </c>
      <c r="R6" s="4043">
        <v>322</v>
      </c>
      <c r="S6" s="5294">
        <f>'Definitivo x categoría'!J76/2</f>
        <v>17</v>
      </c>
      <c r="T6" s="5294">
        <f>'Definitivo x categoría'!J111/3</f>
        <v>14.666666666666666</v>
      </c>
      <c r="U6" s="5268">
        <f>SUM(R6:T6)</f>
        <v>353.66666666666669</v>
      </c>
      <c r="V6" s="5280">
        <v>329</v>
      </c>
      <c r="W6" s="5294">
        <f>'Definitivo x categoría'!N76/3</f>
        <v>10.333333333333334</v>
      </c>
      <c r="X6" s="5294">
        <f>'Definitivo x categoría'!N111/3</f>
        <v>14.666666666666666</v>
      </c>
      <c r="Y6" s="5288">
        <f>SUM(V6:X6)</f>
        <v>354</v>
      </c>
      <c r="Z6" s="4043">
        <v>327</v>
      </c>
      <c r="AA6" s="5294">
        <f>'Definitivo x categoría'!R76/2</f>
        <v>17</v>
      </c>
      <c r="AB6" s="5294">
        <f>'Definitivo x categoría'!R111/3</f>
        <v>15.333333333333334</v>
      </c>
      <c r="AC6" s="5268">
        <f>SUM(Z6:AB6)</f>
        <v>359.33333333333331</v>
      </c>
      <c r="AD6" s="5280">
        <v>340</v>
      </c>
      <c r="AE6" s="5294">
        <f>'Definitivo x categoría'!V76/2</f>
        <v>16.5</v>
      </c>
      <c r="AF6" s="5294">
        <f>'Definitivo x categoría'!V111/3</f>
        <v>15.333333333333334</v>
      </c>
      <c r="AG6" s="5288">
        <f>SUM(AD6:AF6)</f>
        <v>371.83333333333331</v>
      </c>
      <c r="AH6" s="4043">
        <v>341</v>
      </c>
      <c r="AI6" s="5294">
        <f>'Definitivo x categoría'!Z76/2</f>
        <v>15</v>
      </c>
      <c r="AJ6" s="5294">
        <f>'Definitivo x categoría'!Z111/3</f>
        <v>14.333333333333334</v>
      </c>
      <c r="AK6" s="5268">
        <f>SUM(AH6:AJ6)</f>
        <v>370.33333333333331</v>
      </c>
      <c r="AL6" s="5280">
        <v>344</v>
      </c>
      <c r="AM6" s="5294">
        <f>'Definitivo x categoría'!AD76/2</f>
        <v>14</v>
      </c>
      <c r="AN6" s="5294">
        <f>'Definitivo x categoría'!AD111/3</f>
        <v>14</v>
      </c>
      <c r="AO6" s="5288">
        <f>SUM(AL6:AN6)</f>
        <v>372</v>
      </c>
      <c r="AP6" s="4043">
        <v>342</v>
      </c>
      <c r="AQ6" s="5294">
        <f>'Definitivo x categoría'!AH76/2</f>
        <v>14</v>
      </c>
      <c r="AR6" s="5294">
        <f>'Definitivo x categoría'!AH111/3</f>
        <v>13</v>
      </c>
      <c r="AS6" s="5268">
        <f>SUM(AP6:AR6)</f>
        <v>369</v>
      </c>
      <c r="AT6" s="5280">
        <v>342</v>
      </c>
      <c r="AU6" s="5294">
        <f>'Definitivo x categoría'!AL76/2</f>
        <v>12</v>
      </c>
      <c r="AV6" s="5294">
        <f>'Definitivo x categoría'!AL111/3</f>
        <v>13</v>
      </c>
      <c r="AW6" s="5268">
        <f>SUM(AT6:AV6)</f>
        <v>367</v>
      </c>
      <c r="AX6" s="5280">
        <v>348</v>
      </c>
      <c r="AY6" s="5294">
        <f>'Definitivo x categoría'!AP76/2</f>
        <v>11</v>
      </c>
      <c r="AZ6" s="5294">
        <f>'Definitivo x categoría'!AP111/3</f>
        <v>12.666666666666666</v>
      </c>
      <c r="BA6" s="5268">
        <f>SUM(AX6:AZ6)</f>
        <v>371.66666666666669</v>
      </c>
      <c r="BB6" s="5280">
        <v>349</v>
      </c>
      <c r="BC6" s="5294">
        <f>'Definitivo x categoría'!AT76/2</f>
        <v>10.5</v>
      </c>
      <c r="BD6" s="5294">
        <f>'Definitivo x categoría'!AT111/3</f>
        <v>12.333333333333334</v>
      </c>
      <c r="BE6" s="5268">
        <f>SUM(BB6:BD6)</f>
        <v>371.83333333333331</v>
      </c>
      <c r="BF6" s="5280">
        <v>357</v>
      </c>
      <c r="BG6" s="5294">
        <f>'Definitivo x categoría'!AX76/2</f>
        <v>10.5</v>
      </c>
      <c r="BH6" s="5294">
        <f>'Definitivo x categoría'!AX111/3</f>
        <v>12</v>
      </c>
      <c r="BI6" s="5268">
        <f>SUM(BF6:BH6)</f>
        <v>379.5</v>
      </c>
      <c r="BJ6" s="5280">
        <v>351</v>
      </c>
      <c r="BK6" s="5294">
        <f>'Definitivo x categoría'!BB76/2</f>
        <v>9</v>
      </c>
      <c r="BL6" s="5294">
        <f>'Definitivo x categoría'!BB111/3</f>
        <v>11.333333333333334</v>
      </c>
      <c r="BM6" s="5268">
        <f>SUM(BJ6:BL6)</f>
        <v>371.33333333333331</v>
      </c>
      <c r="BN6" s="5280">
        <v>348</v>
      </c>
      <c r="BO6" s="5294">
        <f>'Definitivo x categoría'!BF76/2</f>
        <v>8</v>
      </c>
      <c r="BP6" s="5294">
        <f>'Definitivo x categoría'!BF111/3</f>
        <v>10.666666666666666</v>
      </c>
      <c r="BQ6" s="5268">
        <f>SUM(BN6:BP6)</f>
        <v>366.66666666666669</v>
      </c>
      <c r="BR6" s="5280">
        <v>355</v>
      </c>
      <c r="BS6" s="5294">
        <f>'Definitivo x categoría'!BJ76/2</f>
        <v>6.5</v>
      </c>
      <c r="BT6" s="5294">
        <f>'Definitivo x categoría'!BJ111/3</f>
        <v>10</v>
      </c>
      <c r="BU6" s="5268">
        <f>SUM(BR6:BT6)</f>
        <v>371.5</v>
      </c>
    </row>
    <row r="7" spans="1:73" ht="15" x14ac:dyDescent="0.2">
      <c r="A7" s="5690"/>
      <c r="B7" s="1784" t="s">
        <v>6</v>
      </c>
      <c r="C7" s="3925">
        <f>(SUM('ACTIVOS uni'!D8)+'Alumnos x PTC'!Y150)/'Alumnos x PTC'!U7</f>
        <v>17.150769230769232</v>
      </c>
      <c r="D7" s="3925">
        <f>(SUM('ACTIVOS uni'!E8)+'Alumnos x PTC'!Z150)/'Alumnos x PTC'!Y7</f>
        <v>17.288241415192509</v>
      </c>
      <c r="E7" s="3925">
        <f>(SUM('ACTIVOS uni'!F8)+'Alumnos x PTC'!AA150)/'Alumnos x PTC'!AC7</f>
        <v>16.16235059760956</v>
      </c>
      <c r="F7" s="3925">
        <f>(SUM('ACTIVOS uni'!G8)+'Alumnos x PTC'!AB150)/'Alumnos x PTC'!AG7</f>
        <v>16.748031496062993</v>
      </c>
      <c r="G7" s="3925">
        <f>(SUM('ACTIVOS uni'!H8)+'Alumnos x PTC'!AC150)/'Alumnos x PTC'!AK7</f>
        <v>17.077832512315272</v>
      </c>
      <c r="H7" s="3925">
        <f>(SUM('ACTIVOS uni'!I8)+'Alumnos x PTC'!AD150)/'Alumnos x PTC'!AO7</f>
        <v>17.669478908188587</v>
      </c>
      <c r="I7" s="3925">
        <f>(SUM('ACTIVOS uni'!J8)+'Alumnos x PTC'!AE150)/'Alumnos x PTC'!AS7</f>
        <v>18.060240963855421</v>
      </c>
      <c r="J7" s="3925">
        <f>(SUM('ACTIVOS uni'!K8)+'Alumnos x PTC'!AF150)/'Alumnos x PTC'!AW7</f>
        <v>18.194499017681729</v>
      </c>
      <c r="K7" s="3925">
        <f>(SUM('ACTIVOS uni'!L8)+'Alumnos x PTC'!AG150)/'Alumnos x PTC'!BA7</f>
        <v>19.333333333333332</v>
      </c>
      <c r="L7" s="3925">
        <f>(SUM('ACTIVOS uni'!M8)+'Alumnos x PTC'!AH150)/'Alumnos x PTC'!BE7</f>
        <v>19.665868836764002</v>
      </c>
      <c r="M7" s="3925">
        <f>(SUM('ACTIVOS uni'!N8)+'Alumnos x PTC'!AI150)/'Alumnos x PTC'!BI7</f>
        <v>19.764028776978417</v>
      </c>
      <c r="N7" s="3925">
        <f>(SUM('ACTIVOS uni'!O8)+'Alumnos x PTC'!AJ150)/'Alumnos x PTC'!BM7</f>
        <v>20.719530102790014</v>
      </c>
      <c r="O7" s="3925">
        <f>(SUM('ACTIVOS uni'!P8)+'Alumnos x PTC'!AK150)/'Alumnos x PTC'!BQ7</f>
        <v>21.653614457831324</v>
      </c>
      <c r="P7" s="3925">
        <f>(SUM('ACTIVOS uni'!Q8)+'Alumnos x PTC'!AL150)/'Alumnos x PTC'!BU7</f>
        <v>21.167394468704511</v>
      </c>
      <c r="R7" s="4043">
        <v>304</v>
      </c>
      <c r="S7" s="5294">
        <f>'Definitivo x categoría'!J77/2</f>
        <v>19</v>
      </c>
      <c r="T7" s="5294">
        <f>'Definitivo x categoría'!J112/3</f>
        <v>2</v>
      </c>
      <c r="U7" s="5268">
        <f t="shared" ref="U7:U31" si="0">SUM(R7:T7)</f>
        <v>325</v>
      </c>
      <c r="V7" s="5280">
        <v>305</v>
      </c>
      <c r="W7" s="5294">
        <f>'Definitivo x categoría'!N77/3</f>
        <v>13.333333333333334</v>
      </c>
      <c r="X7" s="5294">
        <f>'Definitivo x categoría'!N112/3</f>
        <v>2</v>
      </c>
      <c r="Y7" s="5288">
        <f t="shared" ref="Y7:Y31" si="1">SUM(V7:X7)</f>
        <v>320.33333333333331</v>
      </c>
      <c r="Z7" s="4043">
        <v>310</v>
      </c>
      <c r="AA7" s="5294">
        <f>'Definitivo x categoría'!R77/2</f>
        <v>23</v>
      </c>
      <c r="AB7" s="5294">
        <f>'Definitivo x categoría'!R112/3</f>
        <v>1.6666666666666667</v>
      </c>
      <c r="AC7" s="5268">
        <f t="shared" ref="AC7:AC31" si="2">SUM(Z7:AB7)</f>
        <v>334.66666666666669</v>
      </c>
      <c r="AD7" s="5280">
        <v>314</v>
      </c>
      <c r="AE7" s="5294">
        <f>'Definitivo x categoría'!V77/2</f>
        <v>23</v>
      </c>
      <c r="AF7" s="5294">
        <f>'Definitivo x categoría'!V112/3</f>
        <v>1.6666666666666667</v>
      </c>
      <c r="AG7" s="5288">
        <f t="shared" ref="AG7:AG31" si="3">SUM(AD7:AF7)</f>
        <v>338.66666666666669</v>
      </c>
      <c r="AH7" s="4043">
        <v>314</v>
      </c>
      <c r="AI7" s="5294">
        <f>'Definitivo x categoría'!Z77/2</f>
        <v>23</v>
      </c>
      <c r="AJ7" s="5294">
        <f>'Definitivo x categoría'!Z112/3</f>
        <v>1.3333333333333333</v>
      </c>
      <c r="AK7" s="5268">
        <f t="shared" ref="AK7:AK31" si="4">SUM(AH7:AJ7)</f>
        <v>338.33333333333331</v>
      </c>
      <c r="AL7" s="5280">
        <v>312</v>
      </c>
      <c r="AM7" s="5294">
        <f>'Definitivo x categoría'!AD77/2</f>
        <v>22.5</v>
      </c>
      <c r="AN7" s="5294">
        <f>'Definitivo x categoría'!AD112/3</f>
        <v>1.3333333333333333</v>
      </c>
      <c r="AO7" s="5288">
        <f t="shared" ref="AO7:AO31" si="5">SUM(AL7:AN7)</f>
        <v>335.83333333333331</v>
      </c>
      <c r="AP7" s="4043">
        <v>308</v>
      </c>
      <c r="AQ7" s="5294">
        <f>'Definitivo x categoría'!AH77/2</f>
        <v>22</v>
      </c>
      <c r="AR7" s="5294">
        <f>'Definitivo x categoría'!AH112/3</f>
        <v>2</v>
      </c>
      <c r="AS7" s="5268">
        <f t="shared" ref="AS7:AS31" si="6">SUM(AP7:AR7)</f>
        <v>332</v>
      </c>
      <c r="AT7" s="5280">
        <v>315</v>
      </c>
      <c r="AU7" s="5294">
        <f>'Definitivo x categoría'!AL77/2</f>
        <v>21</v>
      </c>
      <c r="AV7" s="5294">
        <f>'Definitivo x categoría'!AL112/3</f>
        <v>3.3333333333333335</v>
      </c>
      <c r="AW7" s="5268">
        <f t="shared" ref="AW7:AW31" si="7">SUM(AT7:AV7)</f>
        <v>339.33333333333331</v>
      </c>
      <c r="AX7" s="5280">
        <v>314</v>
      </c>
      <c r="AY7" s="5294">
        <f>'Definitivo x categoría'!AP77/2</f>
        <v>19.5</v>
      </c>
      <c r="AZ7" s="5294">
        <f>'Definitivo x categoría'!AP112/3</f>
        <v>4</v>
      </c>
      <c r="BA7" s="5268">
        <f t="shared" ref="BA7:BA31" si="8">SUM(AX7:AZ7)</f>
        <v>337.5</v>
      </c>
      <c r="BB7" s="5280">
        <v>326</v>
      </c>
      <c r="BC7" s="5294">
        <f>'Definitivo x categoría'!AT77/2</f>
        <v>18.5</v>
      </c>
      <c r="BD7" s="5294">
        <f>'Definitivo x categoría'!AT112/3</f>
        <v>3.6666666666666665</v>
      </c>
      <c r="BE7" s="5268">
        <f t="shared" ref="BE7:BE31" si="9">SUM(BB7:BD7)</f>
        <v>348.16666666666669</v>
      </c>
      <c r="BF7" s="5280">
        <v>325</v>
      </c>
      <c r="BG7" s="5294">
        <f>'Definitivo x categoría'!AX77/2</f>
        <v>18.5</v>
      </c>
      <c r="BH7" s="5294">
        <f>'Definitivo x categoría'!AX112/3</f>
        <v>4</v>
      </c>
      <c r="BI7" s="5268">
        <f t="shared" ref="BI7:BI31" si="10">SUM(BF7:BH7)</f>
        <v>347.5</v>
      </c>
      <c r="BJ7" s="5280">
        <v>319</v>
      </c>
      <c r="BK7" s="5294">
        <f>'Definitivo x categoría'!BB77/2</f>
        <v>16.5</v>
      </c>
      <c r="BL7" s="5294">
        <f>'Definitivo x categoría'!BB112/3</f>
        <v>5</v>
      </c>
      <c r="BM7" s="5268">
        <f t="shared" ref="BM7:BM31" si="11">SUM(BJ7:BL7)</f>
        <v>340.5</v>
      </c>
      <c r="BN7" s="5280">
        <v>311</v>
      </c>
      <c r="BO7" s="5294">
        <f>'Definitivo x categoría'!BF77/2</f>
        <v>16</v>
      </c>
      <c r="BP7" s="5294">
        <f>'Definitivo x categoría'!BF112/3</f>
        <v>5</v>
      </c>
      <c r="BQ7" s="5268">
        <f>SUM(BN7:BP7)</f>
        <v>332</v>
      </c>
      <c r="BR7" s="5280">
        <v>324</v>
      </c>
      <c r="BS7" s="5294">
        <f>'Definitivo x categoría'!BJ77/2</f>
        <v>14.5</v>
      </c>
      <c r="BT7" s="5294">
        <f>'Definitivo x categoría'!BJ112/3</f>
        <v>5</v>
      </c>
      <c r="BU7" s="5268">
        <f>SUM(BR7:BT7)</f>
        <v>343.5</v>
      </c>
    </row>
    <row r="8" spans="1:73" ht="15" x14ac:dyDescent="0.2">
      <c r="A8" s="5690"/>
      <c r="B8" s="1784" t="s">
        <v>7</v>
      </c>
      <c r="C8" s="3925">
        <f>(SUM('ACTIVOS uni'!D9)+'Alumnos x PTC'!Y151)/'Alumnos x PTC'!U8</f>
        <v>16.497528830313016</v>
      </c>
      <c r="D8" s="3925">
        <f>(SUM('ACTIVOS uni'!E9)+'Alumnos x PTC'!Z151)/'Alumnos x PTC'!Y8</f>
        <v>16.519672131147544</v>
      </c>
      <c r="E8" s="3925">
        <f>(SUM('ACTIVOS uni'!F9)+'Alumnos x PTC'!AA151)/'Alumnos x PTC'!AC8</f>
        <v>16.354368932038835</v>
      </c>
      <c r="F8" s="3925">
        <f>(SUM('ACTIVOS uni'!G9)+'Alumnos x PTC'!AB151)/'Alumnos x PTC'!AG8</f>
        <v>16.6522462562396</v>
      </c>
      <c r="G8" s="3925">
        <f>(SUM('ACTIVOS uni'!H9)+'Alumnos x PTC'!AC151)/'Alumnos x PTC'!AK8</f>
        <v>16.850957535387177</v>
      </c>
      <c r="H8" s="3925">
        <f>(SUM('ACTIVOS uni'!I9)+'Alumnos x PTC'!AD151)/'Alumnos x PTC'!AO8</f>
        <v>16.258064516129032</v>
      </c>
      <c r="I8" s="3925">
        <f>(SUM('ACTIVOS uni'!J9)+'Alumnos x PTC'!AE151)/'Alumnos x PTC'!AS8</f>
        <v>15.992254066615027</v>
      </c>
      <c r="J8" s="3925">
        <f>(SUM('ACTIVOS uni'!K9)+'Alumnos x PTC'!AF151)/'Alumnos x PTC'!AW8</f>
        <v>16.220689655172414</v>
      </c>
      <c r="K8" s="3925">
        <f>(SUM('ACTIVOS uni'!L9)+'Alumnos x PTC'!AG151)/'Alumnos x PTC'!BA8</f>
        <v>16.586363636363636</v>
      </c>
      <c r="L8" s="3925">
        <f>(SUM('ACTIVOS uni'!M9)+'Alumnos x PTC'!AH151)/'Alumnos x PTC'!BE8</f>
        <v>16.917225950782999</v>
      </c>
      <c r="M8" s="3925">
        <f>(SUM('ACTIVOS uni'!N9)+'Alumnos x PTC'!AI151)/'Alumnos x PTC'!BI8</f>
        <v>16.6875</v>
      </c>
      <c r="N8" s="3925">
        <f>(SUM('ACTIVOS uni'!O9)+'Alumnos x PTC'!AJ151)/'Alumnos x PTC'!BM8</f>
        <v>17.092363636363636</v>
      </c>
      <c r="O8" s="3925">
        <f>(SUM('ACTIVOS uni'!P9)+'Alumnos x PTC'!AK151)/'Alumnos x PTC'!BQ8</f>
        <v>17.636094674556212</v>
      </c>
      <c r="P8" s="3925">
        <f>(SUM('ACTIVOS uni'!Q9)+'Alumnos x PTC'!AL151)/'Alumnos x PTC'!BU8</f>
        <v>18.500375657400451</v>
      </c>
      <c r="R8" s="4043">
        <v>183</v>
      </c>
      <c r="S8" s="5294">
        <f>'Definitivo x categoría'!J78/2</f>
        <v>17</v>
      </c>
      <c r="T8" s="5294">
        <f>'Definitivo x categoría'!J113/3</f>
        <v>2.3333333333333335</v>
      </c>
      <c r="U8" s="5268">
        <f t="shared" si="0"/>
        <v>202.33333333333334</v>
      </c>
      <c r="V8" s="5280">
        <v>189</v>
      </c>
      <c r="W8" s="5294">
        <f>'Definitivo x categoría'!N78/3</f>
        <v>11.666666666666666</v>
      </c>
      <c r="X8" s="5294">
        <f>'Definitivo x categoría'!N113/3</f>
        <v>2.6666666666666665</v>
      </c>
      <c r="Y8" s="5288">
        <f t="shared" si="1"/>
        <v>203.33333333333331</v>
      </c>
      <c r="Z8" s="4043">
        <v>188</v>
      </c>
      <c r="AA8" s="5294">
        <f>'Definitivo x categoría'!R78/2</f>
        <v>16</v>
      </c>
      <c r="AB8" s="5294">
        <f>'Definitivo x categoría'!R113/3</f>
        <v>2</v>
      </c>
      <c r="AC8" s="5268">
        <f t="shared" si="2"/>
        <v>206</v>
      </c>
      <c r="AD8" s="5280">
        <v>182</v>
      </c>
      <c r="AE8" s="5294">
        <f>'Definitivo x categoría'!V78/2</f>
        <v>16</v>
      </c>
      <c r="AF8" s="5294">
        <f>'Definitivo x categoría'!V113/3</f>
        <v>2.3333333333333335</v>
      </c>
      <c r="AG8" s="5288">
        <f t="shared" si="3"/>
        <v>200.33333333333334</v>
      </c>
      <c r="AH8" s="4043">
        <v>183</v>
      </c>
      <c r="AI8" s="5294">
        <f>'Definitivo x categoría'!Z78/2</f>
        <v>15.5</v>
      </c>
      <c r="AJ8" s="5294">
        <f>'Definitivo x categoría'!Z113/3</f>
        <v>1.6666666666666667</v>
      </c>
      <c r="AK8" s="5268">
        <f t="shared" si="4"/>
        <v>200.16666666666666</v>
      </c>
      <c r="AL8" s="5280">
        <v>190</v>
      </c>
      <c r="AM8" s="5294">
        <f>'Definitivo x categoría'!AD78/2</f>
        <v>15</v>
      </c>
      <c r="AN8" s="5294">
        <f>'Definitivo x categoría'!AD113/3</f>
        <v>1.6666666666666667</v>
      </c>
      <c r="AO8" s="5288">
        <f t="shared" si="5"/>
        <v>206.66666666666666</v>
      </c>
      <c r="AP8" s="4043">
        <v>199</v>
      </c>
      <c r="AQ8" s="5294">
        <f>'Definitivo x categoría'!AH78/2</f>
        <v>14.5</v>
      </c>
      <c r="AR8" s="5294">
        <f>'Definitivo x categoría'!AH113/3</f>
        <v>1.6666666666666667</v>
      </c>
      <c r="AS8" s="5268">
        <f t="shared" si="6"/>
        <v>215.16666666666666</v>
      </c>
      <c r="AT8" s="5280">
        <v>201</v>
      </c>
      <c r="AU8" s="5294">
        <f>'Definitivo x categoría'!AL78/2</f>
        <v>14.5</v>
      </c>
      <c r="AV8" s="5294">
        <f>'Definitivo x categoría'!AL113/3</f>
        <v>2</v>
      </c>
      <c r="AW8" s="5268">
        <f t="shared" si="7"/>
        <v>217.5</v>
      </c>
      <c r="AX8" s="5280">
        <v>206</v>
      </c>
      <c r="AY8" s="5294">
        <f>'Definitivo x categoría'!AP78/2</f>
        <v>12</v>
      </c>
      <c r="AZ8" s="5294">
        <f>'Definitivo x categoría'!AP113/3</f>
        <v>2</v>
      </c>
      <c r="BA8" s="5268">
        <f t="shared" si="8"/>
        <v>220</v>
      </c>
      <c r="BB8" s="5280">
        <v>211</v>
      </c>
      <c r="BC8" s="5294">
        <f>'Definitivo x categoría'!AT78/2</f>
        <v>10.5</v>
      </c>
      <c r="BD8" s="5294">
        <f>'Definitivo x categoría'!AT113/3</f>
        <v>2</v>
      </c>
      <c r="BE8" s="5268">
        <f t="shared" si="9"/>
        <v>223.5</v>
      </c>
      <c r="BF8" s="5280">
        <v>221</v>
      </c>
      <c r="BG8" s="5294">
        <f>'Definitivo x categoría'!AX78/2</f>
        <v>11</v>
      </c>
      <c r="BH8" s="5294">
        <f>'Definitivo x categoría'!AX113/3</f>
        <v>2.6666666666666665</v>
      </c>
      <c r="BI8" s="5268">
        <f t="shared" si="10"/>
        <v>234.66666666666666</v>
      </c>
      <c r="BJ8" s="5280">
        <v>215</v>
      </c>
      <c r="BK8" s="5294">
        <f>'Definitivo x categoría'!BB78/2</f>
        <v>11.5</v>
      </c>
      <c r="BL8" s="5294">
        <f>'Definitivo x categoría'!BB113/3</f>
        <v>2.6666666666666665</v>
      </c>
      <c r="BM8" s="5268">
        <f t="shared" si="11"/>
        <v>229.16666666666666</v>
      </c>
      <c r="BN8" s="5280">
        <v>213</v>
      </c>
      <c r="BO8" s="5294">
        <f>'Definitivo x categoría'!BF78/2</f>
        <v>10</v>
      </c>
      <c r="BP8" s="5294">
        <f>'Definitivo x categoría'!BF113/3</f>
        <v>2.3333333333333335</v>
      </c>
      <c r="BQ8" s="5268">
        <f>SUM(BN8:BP8)</f>
        <v>225.33333333333334</v>
      </c>
      <c r="BR8" s="5280">
        <v>209</v>
      </c>
      <c r="BS8" s="5294">
        <f>'Definitivo x categoría'!BJ78/2</f>
        <v>10.5</v>
      </c>
      <c r="BT8" s="5294">
        <f>'Definitivo x categoría'!BJ113/3</f>
        <v>2.3333333333333335</v>
      </c>
      <c r="BU8" s="5268">
        <f>SUM(BR8:BT8)</f>
        <v>221.83333333333334</v>
      </c>
    </row>
    <row r="9" spans="1:73" ht="15" x14ac:dyDescent="0.2">
      <c r="A9" s="5691"/>
      <c r="B9" s="2722" t="s">
        <v>160</v>
      </c>
      <c r="C9" s="3926">
        <f>(SUM('ACTIVOS uni'!D10)+'Alumnos x PTC'!Y152)/'Alumnos x PTC'!U9</f>
        <v>17.913734392735527</v>
      </c>
      <c r="D9" s="3926">
        <f>(SUM('ACTIVOS uni'!E10)+'Alumnos x PTC'!Z152)/'Alumnos x PTC'!Y9</f>
        <v>18.312191416635017</v>
      </c>
      <c r="E9" s="3926">
        <f>(SUM('ACTIVOS uni'!F10)+'Alumnos x PTC'!AA152)/'Alumnos x PTC'!AC9</f>
        <v>18.053333333333335</v>
      </c>
      <c r="F9" s="3926">
        <f>(SUM('ACTIVOS uni'!G10)+'Alumnos x PTC'!AB152)/'Alumnos x PTC'!AG9</f>
        <v>18.334858188472094</v>
      </c>
      <c r="G9" s="3926">
        <f>(SUM('ACTIVOS uni'!H10)+'Alumnos x PTC'!AC152)/'Alumnos x PTC'!AK9</f>
        <v>18.798826334128002</v>
      </c>
      <c r="H9" s="3926">
        <f>(SUM('ACTIVOS uni'!I10)+'Alumnos x PTC'!AD152)/'Alumnos x PTC'!AO9</f>
        <v>19.046473482777476</v>
      </c>
      <c r="I9" s="3926">
        <f>(SUM('ACTIVOS uni'!J10)+'Alumnos x PTC'!AE152)/'Alumnos x PTC'!AS9</f>
        <v>19.829361469892671</v>
      </c>
      <c r="J9" s="3926">
        <f>(SUM('ACTIVOS uni'!K10)+'Alumnos x PTC'!AF152)/'Alumnos x PTC'!AW9</f>
        <v>20.189788922965903</v>
      </c>
      <c r="K9" s="3926">
        <f>(SUM('ACTIVOS uni'!L10)+'Alumnos x PTC'!AG152)/'Alumnos x PTC'!BA9</f>
        <v>20.465650224215249</v>
      </c>
      <c r="L9" s="3926">
        <f>(SUM('ACTIVOS uni'!M10)+'Alumnos x PTC'!AH152)/'Alumnos x PTC'!BE9</f>
        <v>20.616852146263913</v>
      </c>
      <c r="M9" s="3926">
        <f>(SUM('ACTIVOS uni'!N10)+'Alumnos x PTC'!AI152)/'Alumnos x PTC'!BI9</f>
        <v>20.196187175043327</v>
      </c>
      <c r="N9" s="3926">
        <f>(SUM('ACTIVOS uni'!O10)+'Alumnos x PTC'!AJ152)/'Alumnos x PTC'!BM9</f>
        <v>20.456960680127523</v>
      </c>
      <c r="O9" s="3926">
        <f>(SUM('ACTIVOS uni'!P10)+'Alumnos x PTC'!AK152)/'Alumnos x PTC'!BQ9</f>
        <v>20.75865800865801</v>
      </c>
      <c r="P9" s="3926">
        <f>(SUM('ACTIVOS uni'!Q10)+'Alumnos x PTC'!AL152)/'Alumnos x PTC'!BU9</f>
        <v>20.25653798256538</v>
      </c>
      <c r="R9" s="4043">
        <v>809</v>
      </c>
      <c r="S9" s="5294">
        <f>'Definitivo x categoría'!J79/2</f>
        <v>53</v>
      </c>
      <c r="T9" s="5294">
        <f>'Definitivo x categoría'!J114/3</f>
        <v>19</v>
      </c>
      <c r="U9" s="5268">
        <f t="shared" si="0"/>
        <v>881</v>
      </c>
      <c r="V9" s="5280">
        <v>823</v>
      </c>
      <c r="W9" s="5294">
        <f>'Definitivo x categoría'!N79/3</f>
        <v>35.333333333333336</v>
      </c>
      <c r="X9" s="5294">
        <f>'Definitivo x categoría'!N114/3</f>
        <v>19.333333333333332</v>
      </c>
      <c r="Y9" s="5288">
        <f t="shared" si="1"/>
        <v>877.66666666666674</v>
      </c>
      <c r="Z9" s="4043">
        <v>825</v>
      </c>
      <c r="AA9" s="5294">
        <f>'Definitivo x categoría'!R79/2</f>
        <v>56</v>
      </c>
      <c r="AB9" s="5294">
        <f>'Definitivo x categoría'!R114/3</f>
        <v>19</v>
      </c>
      <c r="AC9" s="5268">
        <f t="shared" si="2"/>
        <v>900</v>
      </c>
      <c r="AD9" s="5280">
        <v>836</v>
      </c>
      <c r="AE9" s="5294">
        <f>'Definitivo x categoría'!V79/2</f>
        <v>55.5</v>
      </c>
      <c r="AF9" s="5294">
        <f>'Definitivo x categoría'!V114/3</f>
        <v>19.333333333333332</v>
      </c>
      <c r="AG9" s="5288">
        <f t="shared" si="3"/>
        <v>910.83333333333337</v>
      </c>
      <c r="AH9" s="4043">
        <v>838</v>
      </c>
      <c r="AI9" s="5294">
        <f>'Definitivo x categoría'!Z79/2</f>
        <v>53.5</v>
      </c>
      <c r="AJ9" s="5294">
        <f>'Definitivo x categoría'!Z114/3</f>
        <v>17.333333333333332</v>
      </c>
      <c r="AK9" s="5268">
        <f t="shared" si="4"/>
        <v>908.83333333333337</v>
      </c>
      <c r="AL9" s="5280">
        <v>846</v>
      </c>
      <c r="AM9" s="5294">
        <f>'Definitivo x categoría'!AD79/2</f>
        <v>51.5</v>
      </c>
      <c r="AN9" s="5294">
        <f>'Definitivo x categoría'!AD114/3</f>
        <v>17</v>
      </c>
      <c r="AO9" s="5288">
        <f t="shared" si="5"/>
        <v>914.5</v>
      </c>
      <c r="AP9" s="4043">
        <v>849</v>
      </c>
      <c r="AQ9" s="5294">
        <f>'Definitivo x categoría'!AH79/2</f>
        <v>50.5</v>
      </c>
      <c r="AR9" s="5294">
        <f>'Definitivo x categoría'!AH114/3</f>
        <v>16.666666666666668</v>
      </c>
      <c r="AS9" s="5268">
        <f t="shared" si="6"/>
        <v>916.16666666666663</v>
      </c>
      <c r="AT9" s="5280">
        <v>858</v>
      </c>
      <c r="AU9" s="5294">
        <f>'Definitivo x categoría'!AL79/2</f>
        <v>47.5</v>
      </c>
      <c r="AV9" s="5294">
        <f>'Definitivo x categoría'!AL114/3</f>
        <v>18.333333333333332</v>
      </c>
      <c r="AW9" s="5268">
        <f t="shared" si="7"/>
        <v>923.83333333333337</v>
      </c>
      <c r="AX9" s="5280">
        <v>868</v>
      </c>
      <c r="AY9" s="5294">
        <f>'Definitivo x categoría'!AP79/2</f>
        <v>42.5</v>
      </c>
      <c r="AZ9" s="5294">
        <f>'Definitivo x categoría'!AP114/3</f>
        <v>18.666666666666668</v>
      </c>
      <c r="BA9" s="5268">
        <f t="shared" si="8"/>
        <v>929.16666666666663</v>
      </c>
      <c r="BB9" s="5280">
        <v>886</v>
      </c>
      <c r="BC9" s="5294">
        <f>'Definitivo x categoría'!AT79/2</f>
        <v>39.5</v>
      </c>
      <c r="BD9" s="5294">
        <f>'Definitivo x categoría'!AT114/3</f>
        <v>18</v>
      </c>
      <c r="BE9" s="5268">
        <f t="shared" si="9"/>
        <v>943.5</v>
      </c>
      <c r="BF9" s="5280">
        <v>903</v>
      </c>
      <c r="BG9" s="5294">
        <f>'Definitivo x categoría'!AX79/2</f>
        <v>40</v>
      </c>
      <c r="BH9" s="5294">
        <f>'Definitivo x categoría'!AX114/3</f>
        <v>18.666666666666668</v>
      </c>
      <c r="BI9" s="5268">
        <f t="shared" si="10"/>
        <v>961.66666666666663</v>
      </c>
      <c r="BJ9" s="5280">
        <v>885</v>
      </c>
      <c r="BK9" s="5294">
        <f>'Definitivo x categoría'!BB79/2</f>
        <v>37</v>
      </c>
      <c r="BL9" s="5294">
        <f>'Definitivo x categoría'!BB114/3</f>
        <v>19</v>
      </c>
      <c r="BM9" s="5268">
        <f t="shared" si="11"/>
        <v>941</v>
      </c>
      <c r="BN9" s="5280">
        <v>872</v>
      </c>
      <c r="BO9" s="5294">
        <f>'Definitivo x categoría'!BF79/2</f>
        <v>34</v>
      </c>
      <c r="BP9" s="5294">
        <f>'Definitivo x categoría'!BF114/3</f>
        <v>18</v>
      </c>
      <c r="BQ9" s="5268">
        <f>SUM(BN9:BP9)</f>
        <v>924</v>
      </c>
      <c r="BR9" s="5280">
        <v>888</v>
      </c>
      <c r="BS9" s="5294">
        <f>'Definitivo x categoría'!BJ79/2</f>
        <v>31.5</v>
      </c>
      <c r="BT9" s="5294">
        <f>'Definitivo x categoría'!BJ114/3</f>
        <v>17.333333333333332</v>
      </c>
      <c r="BU9" s="5268">
        <f>SUM(BR9:BT9)</f>
        <v>936.83333333333337</v>
      </c>
    </row>
    <row r="10" spans="1:73" x14ac:dyDescent="0.2">
      <c r="C10" s="4050"/>
      <c r="D10" s="4050"/>
      <c r="E10" s="4050"/>
      <c r="F10" s="4050"/>
      <c r="G10" s="4050"/>
      <c r="H10" s="4050"/>
      <c r="I10" s="4050"/>
      <c r="J10" s="4050"/>
      <c r="K10" s="4050"/>
      <c r="L10" s="4050"/>
      <c r="M10" s="4050"/>
      <c r="N10" s="4050"/>
      <c r="O10" s="4050"/>
      <c r="P10" s="4050"/>
      <c r="R10" s="3933"/>
      <c r="S10" s="3935"/>
      <c r="T10" s="3935"/>
      <c r="U10" s="3936"/>
      <c r="V10" s="5281"/>
      <c r="W10" s="3935"/>
      <c r="X10" s="3935"/>
      <c r="Y10" s="5289"/>
      <c r="Z10" s="3933"/>
      <c r="AA10" s="3935"/>
      <c r="AB10" s="3935"/>
      <c r="AC10" s="3936"/>
      <c r="AD10" s="5281"/>
      <c r="AE10" s="3935"/>
      <c r="AF10" s="3935"/>
      <c r="AG10" s="5289"/>
      <c r="AH10" s="3933"/>
      <c r="AI10" s="3935"/>
      <c r="AJ10" s="3935"/>
      <c r="AK10" s="3936"/>
      <c r="AL10" s="5281"/>
      <c r="AM10" s="3935"/>
      <c r="AN10" s="3935"/>
      <c r="AO10" s="5289"/>
      <c r="AP10" s="3933"/>
      <c r="AQ10" s="3935"/>
      <c r="AR10" s="3935"/>
      <c r="AS10" s="3936"/>
      <c r="AT10" s="5281"/>
      <c r="AU10" s="3935"/>
      <c r="AV10" s="3935"/>
      <c r="AW10" s="3936"/>
      <c r="AX10" s="5281"/>
      <c r="AY10" s="3935"/>
      <c r="AZ10" s="3935"/>
      <c r="BA10" s="3936"/>
      <c r="BB10" s="5281"/>
      <c r="BC10" s="3935"/>
      <c r="BD10" s="3935"/>
      <c r="BE10" s="3936"/>
      <c r="BF10" s="5281"/>
      <c r="BG10" s="3935"/>
      <c r="BH10" s="3935"/>
      <c r="BI10" s="3936"/>
      <c r="BJ10" s="5281"/>
      <c r="BK10" s="3935"/>
      <c r="BL10" s="3935"/>
      <c r="BM10" s="3936"/>
      <c r="BN10" s="5281"/>
      <c r="BO10" s="3935"/>
      <c r="BP10" s="3935"/>
      <c r="BQ10" s="3936"/>
      <c r="BR10" s="5281"/>
      <c r="BS10" s="3935"/>
      <c r="BT10" s="3935"/>
      <c r="BU10" s="3936"/>
    </row>
    <row r="11" spans="1:73" ht="15" x14ac:dyDescent="0.2">
      <c r="A11" s="7175" t="s">
        <v>407</v>
      </c>
      <c r="B11" s="3705" t="s">
        <v>6</v>
      </c>
      <c r="C11" s="3924"/>
      <c r="D11" s="3924">
        <f>(SUM('ACTIVOS uni'!E12)+'Alumnos x PTC'!Z154)/'Alumnos x PTC'!Y11</f>
        <v>27.75</v>
      </c>
      <c r="E11" s="3924">
        <f>(SUM('ACTIVOS uni'!F12)+'Alumnos x PTC'!AA154)/'Alumnos x PTC'!AC11</f>
        <v>21.142857142857142</v>
      </c>
      <c r="F11" s="3924">
        <f>(SUM('ACTIVOS uni'!G12)+'Alumnos x PTC'!AB154)/'Alumnos x PTC'!AG11</f>
        <v>11.255813953488373</v>
      </c>
      <c r="G11" s="3924">
        <f>(SUM('ACTIVOS uni'!H12)+'Alumnos x PTC'!AC154)/'Alumnos x PTC'!AK11</f>
        <v>14.291666666666666</v>
      </c>
      <c r="H11" s="3924">
        <f>(SUM('ACTIVOS uni'!I12)+'Alumnos x PTC'!AD154)/'Alumnos x PTC'!AO11</f>
        <v>13.59322033898305</v>
      </c>
      <c r="I11" s="3924">
        <f>(SUM('ACTIVOS uni'!J12)+'Alumnos x PTC'!AE154)/'Alumnos x PTC'!AS11</f>
        <v>10.632911392405063</v>
      </c>
      <c r="J11" s="3924">
        <f>(SUM('ACTIVOS uni'!K12)+'Alumnos x PTC'!AF154)/'Alumnos x PTC'!AW11</f>
        <v>11.338078291814947</v>
      </c>
      <c r="K11" s="3924">
        <f>(SUM('ACTIVOS uni'!L12)+'Alumnos x PTC'!AG154)/'Alumnos x PTC'!BA11</f>
        <v>13.292307692307691</v>
      </c>
      <c r="L11" s="3924">
        <f>(SUM('ACTIVOS uni'!M12)+'Alumnos x PTC'!AH154)/'Alumnos x PTC'!BE11</f>
        <v>13.58450704225352</v>
      </c>
      <c r="M11" s="3924">
        <f>(SUM('ACTIVOS uni'!N12)+'Alumnos x PTC'!AI154)/'Alumnos x PTC'!BI11</f>
        <v>15.48</v>
      </c>
      <c r="N11" s="3924">
        <f>(SUM('ACTIVOS uni'!O12)+'Alumnos x PTC'!AJ154)/'Alumnos x PTC'!BM11</f>
        <v>18.653465346534652</v>
      </c>
      <c r="O11" s="3924">
        <f>(SUM('ACTIVOS uni'!P12)+'Alumnos x PTC'!AK154)/'Alumnos x PTC'!BQ11</f>
        <v>19.875</v>
      </c>
      <c r="P11" s="3924">
        <f>(SUM('ACTIVOS uni'!Q12)+'Alumnos x PTC'!AL154)/'Alumnos x PTC'!BU11</f>
        <v>19.693548387096776</v>
      </c>
      <c r="R11" s="5269"/>
      <c r="S11" s="5295">
        <f>'Definitivo x categoría'!J81/2</f>
        <v>0</v>
      </c>
      <c r="T11" s="5295">
        <f>'Definitivo x categoría'!J116/3</f>
        <v>0</v>
      </c>
      <c r="U11" s="5270">
        <f t="shared" si="0"/>
        <v>0</v>
      </c>
      <c r="V11" s="5282">
        <v>4</v>
      </c>
      <c r="W11" s="5295">
        <f>'Definitivo x categoría'!N81/3</f>
        <v>0</v>
      </c>
      <c r="X11" s="5295">
        <f>'Definitivo x categoría'!N116/3</f>
        <v>0</v>
      </c>
      <c r="Y11" s="5290">
        <f t="shared" si="1"/>
        <v>4</v>
      </c>
      <c r="Z11" s="5269">
        <v>7</v>
      </c>
      <c r="AA11" s="5295">
        <f>'Definitivo x categoría'!R81/2</f>
        <v>0</v>
      </c>
      <c r="AB11" s="5295">
        <f>'Definitivo x categoría'!R116/3</f>
        <v>0</v>
      </c>
      <c r="AC11" s="5270">
        <f t="shared" si="2"/>
        <v>7</v>
      </c>
      <c r="AD11" s="5282">
        <v>21</v>
      </c>
      <c r="AE11" s="5295">
        <f>'Definitivo x categoría'!V81/2</f>
        <v>0.5</v>
      </c>
      <c r="AF11" s="5295">
        <f>'Definitivo x categoría'!V116/3</f>
        <v>0</v>
      </c>
      <c r="AG11" s="5290">
        <f t="shared" si="3"/>
        <v>21.5</v>
      </c>
      <c r="AH11" s="5269">
        <v>23</v>
      </c>
      <c r="AI11" s="5295">
        <f>'Definitivo x categoría'!Z81/2</f>
        <v>1</v>
      </c>
      <c r="AJ11" s="5295">
        <f>'Definitivo x categoría'!Z116/3</f>
        <v>0</v>
      </c>
      <c r="AK11" s="5270">
        <f t="shared" si="4"/>
        <v>24</v>
      </c>
      <c r="AL11" s="5282">
        <v>28</v>
      </c>
      <c r="AM11" s="5295">
        <f>'Definitivo x categoría'!AD81/2</f>
        <v>1.5</v>
      </c>
      <c r="AN11" s="5295">
        <f>'Definitivo x categoría'!AD116/3</f>
        <v>0</v>
      </c>
      <c r="AO11" s="5290">
        <f t="shared" si="5"/>
        <v>29.5</v>
      </c>
      <c r="AP11" s="5269">
        <v>38</v>
      </c>
      <c r="AQ11" s="5295">
        <f>'Definitivo x categoría'!AH81/2</f>
        <v>1.5</v>
      </c>
      <c r="AR11" s="5295">
        <f>'Definitivo x categoría'!AH116/3</f>
        <v>0</v>
      </c>
      <c r="AS11" s="5270">
        <f t="shared" si="6"/>
        <v>39.5</v>
      </c>
      <c r="AT11" s="5282">
        <v>45</v>
      </c>
      <c r="AU11" s="5295">
        <f>'Definitivo x categoría'!AL81/2</f>
        <v>1.5</v>
      </c>
      <c r="AV11" s="5295">
        <f>'Definitivo x categoría'!AL116/3</f>
        <v>0.33333333333333331</v>
      </c>
      <c r="AW11" s="5270">
        <f t="shared" si="7"/>
        <v>46.833333333333336</v>
      </c>
      <c r="AX11" s="5282">
        <v>42</v>
      </c>
      <c r="AY11" s="5295">
        <f>'Definitivo x categoría'!AP81/2</f>
        <v>1</v>
      </c>
      <c r="AZ11" s="5295">
        <f>'Definitivo x categoría'!AP116/3</f>
        <v>0.33333333333333331</v>
      </c>
      <c r="BA11" s="5270">
        <f t="shared" si="8"/>
        <v>43.333333333333336</v>
      </c>
      <c r="BB11" s="5282">
        <v>46</v>
      </c>
      <c r="BC11" s="5295">
        <f>'Definitivo x categoría'!AT81/2</f>
        <v>1</v>
      </c>
      <c r="BD11" s="5295">
        <f>'Definitivo x categoría'!AT116/3</f>
        <v>0.33333333333333331</v>
      </c>
      <c r="BE11" s="5270">
        <f t="shared" si="9"/>
        <v>47.333333333333336</v>
      </c>
      <c r="BF11" s="5282">
        <v>49</v>
      </c>
      <c r="BG11" s="5295">
        <f>'Definitivo x categoría'!AX81/2</f>
        <v>1</v>
      </c>
      <c r="BH11" s="5295">
        <f>'Definitivo x categoría'!AX116/3</f>
        <v>0</v>
      </c>
      <c r="BI11" s="5270">
        <f t="shared" si="10"/>
        <v>50</v>
      </c>
      <c r="BJ11" s="5282">
        <v>50</v>
      </c>
      <c r="BK11" s="5295">
        <f>'Definitivo x categoría'!BB81/2</f>
        <v>0.5</v>
      </c>
      <c r="BL11" s="5295">
        <f>'Definitivo x categoría'!BB116/3</f>
        <v>0</v>
      </c>
      <c r="BM11" s="5270">
        <f t="shared" si="11"/>
        <v>50.5</v>
      </c>
      <c r="BN11" s="5282">
        <v>54</v>
      </c>
      <c r="BO11" s="5295">
        <f>'Definitivo x categoría'!BF81/2</f>
        <v>2</v>
      </c>
      <c r="BP11" s="5295">
        <f>'Definitivo x categoría'!BF116/3</f>
        <v>0</v>
      </c>
      <c r="BQ11" s="5270">
        <f>SUM(BN11:BP11)</f>
        <v>56</v>
      </c>
      <c r="BR11" s="5282">
        <v>61</v>
      </c>
      <c r="BS11" s="5295">
        <f>'Definitivo x categoría'!BJ81/2</f>
        <v>1</v>
      </c>
      <c r="BT11" s="5295">
        <f>'Definitivo x categoría'!BJ116/3</f>
        <v>0</v>
      </c>
      <c r="BU11" s="5270">
        <f>SUM(BR11:BT11)</f>
        <v>62</v>
      </c>
    </row>
    <row r="12" spans="1:73" ht="15" x14ac:dyDescent="0.2">
      <c r="A12" s="5694"/>
      <c r="B12" s="1784" t="s">
        <v>9</v>
      </c>
      <c r="C12" s="3925"/>
      <c r="D12" s="3925">
        <f>(SUM('ACTIVOS uni'!E13)+'Alumnos x PTC'!Z155)/'Alumnos x PTC'!Y12</f>
        <v>11.333333333333334</v>
      </c>
      <c r="E12" s="3925">
        <f>(SUM('ACTIVOS uni'!F13)+'Alumnos x PTC'!AA155)/'Alumnos x PTC'!AC12</f>
        <v>6.7777777777777777</v>
      </c>
      <c r="F12" s="3925">
        <f>(SUM('ACTIVOS uni'!G13)+'Alumnos x PTC'!AB155)/'Alumnos x PTC'!AG12</f>
        <v>14.692307692307692</v>
      </c>
      <c r="G12" s="3925">
        <f>(SUM('ACTIVOS uni'!H13)+'Alumnos x PTC'!AC155)/'Alumnos x PTC'!AK12</f>
        <v>13.083333333333334</v>
      </c>
      <c r="H12" s="3925">
        <f>(SUM('ACTIVOS uni'!I13)+'Alumnos x PTC'!AD155)/'Alumnos x PTC'!AO12</f>
        <v>12.6</v>
      </c>
      <c r="I12" s="3925">
        <f>(SUM('ACTIVOS uni'!J13)+'Alumnos x PTC'!AE155)/'Alumnos x PTC'!AS12</f>
        <v>12.157894736842104</v>
      </c>
      <c r="J12" s="3925">
        <f>(SUM('ACTIVOS uni'!K13)+'Alumnos x PTC'!AF155)/'Alumnos x PTC'!AW12</f>
        <v>13.04032258064516</v>
      </c>
      <c r="K12" s="3925">
        <f>(SUM('ACTIVOS uni'!L13)+'Alumnos x PTC'!AG155)/'Alumnos x PTC'!BA12</f>
        <v>11.980891719745223</v>
      </c>
      <c r="L12" s="3925">
        <f>(SUM('ACTIVOS uni'!M13)+'Alumnos x PTC'!AH155)/'Alumnos x PTC'!BE12</f>
        <v>13.103225806451613</v>
      </c>
      <c r="M12" s="3925">
        <f>(SUM('ACTIVOS uni'!N13)+'Alumnos x PTC'!AI155)/'Alumnos x PTC'!BI12</f>
        <v>15.19108280254777</v>
      </c>
      <c r="N12" s="3925">
        <f>(SUM('ACTIVOS uni'!O13)+'Alumnos x PTC'!AJ155)/'Alumnos x PTC'!BM12</f>
        <v>16.858895705521473</v>
      </c>
      <c r="O12" s="3925">
        <f>(SUM('ACTIVOS uni'!P13)+'Alumnos x PTC'!AK155)/'Alumnos x PTC'!BQ12</f>
        <v>19.29878048780488</v>
      </c>
      <c r="P12" s="3925">
        <f>(SUM('ACTIVOS uni'!Q13)+'Alumnos x PTC'!AL155)/'Alumnos x PTC'!BU12</f>
        <v>22.365384615384617</v>
      </c>
      <c r="R12" s="5269"/>
      <c r="S12" s="5295">
        <f>'Definitivo x categoría'!J82/2</f>
        <v>0</v>
      </c>
      <c r="T12" s="5295">
        <f>'Definitivo x categoría'!J117/3</f>
        <v>0</v>
      </c>
      <c r="U12" s="5270">
        <f t="shared" si="0"/>
        <v>0</v>
      </c>
      <c r="V12" s="5282">
        <v>3</v>
      </c>
      <c r="W12" s="5295">
        <f>'Definitivo x categoría'!N82/3</f>
        <v>0</v>
      </c>
      <c r="X12" s="5295">
        <f>'Definitivo x categoría'!N117/3</f>
        <v>0</v>
      </c>
      <c r="Y12" s="5290">
        <f t="shared" si="1"/>
        <v>3</v>
      </c>
      <c r="Z12" s="5269">
        <v>9</v>
      </c>
      <c r="AA12" s="5295">
        <f>'Definitivo x categoría'!R82/2</f>
        <v>0</v>
      </c>
      <c r="AB12" s="5295">
        <f>'Definitivo x categoría'!R117/3</f>
        <v>0</v>
      </c>
      <c r="AC12" s="5270">
        <f t="shared" si="2"/>
        <v>9</v>
      </c>
      <c r="AD12" s="5282">
        <v>13</v>
      </c>
      <c r="AE12" s="5295">
        <f>'Definitivo x categoría'!V82/2</f>
        <v>0</v>
      </c>
      <c r="AF12" s="5295">
        <f>'Definitivo x categoría'!V117/3</f>
        <v>0</v>
      </c>
      <c r="AG12" s="5290">
        <f t="shared" si="3"/>
        <v>13</v>
      </c>
      <c r="AH12" s="5269">
        <v>24</v>
      </c>
      <c r="AI12" s="5295">
        <f>'Definitivo x categoría'!Z82/2</f>
        <v>0</v>
      </c>
      <c r="AJ12" s="5295">
        <f>'Definitivo x categoría'!Z117/3</f>
        <v>0</v>
      </c>
      <c r="AK12" s="5270">
        <f t="shared" si="4"/>
        <v>24</v>
      </c>
      <c r="AL12" s="5282">
        <v>30</v>
      </c>
      <c r="AM12" s="5295">
        <f>'Definitivo x categoría'!AD82/2</f>
        <v>0</v>
      </c>
      <c r="AN12" s="5295">
        <f>'Definitivo x categoría'!AD117/3</f>
        <v>0</v>
      </c>
      <c r="AO12" s="5290">
        <f t="shared" si="5"/>
        <v>30</v>
      </c>
      <c r="AP12" s="5269">
        <v>38</v>
      </c>
      <c r="AQ12" s="5295">
        <f>'Definitivo x categoría'!AH82/2</f>
        <v>0</v>
      </c>
      <c r="AR12" s="5295">
        <f>'Definitivo x categoría'!AH117/3</f>
        <v>0</v>
      </c>
      <c r="AS12" s="5270">
        <f t="shared" si="6"/>
        <v>38</v>
      </c>
      <c r="AT12" s="5282">
        <v>41</v>
      </c>
      <c r="AU12" s="5295">
        <f>'Definitivo x categoría'!AL82/2</f>
        <v>0</v>
      </c>
      <c r="AV12" s="5295">
        <f>'Definitivo x categoría'!AL117/3</f>
        <v>0.33333333333333331</v>
      </c>
      <c r="AW12" s="5270">
        <f t="shared" si="7"/>
        <v>41.333333333333336</v>
      </c>
      <c r="AX12" s="5282">
        <v>52</v>
      </c>
      <c r="AY12" s="5295">
        <f>'Definitivo x categoría'!AP82/2</f>
        <v>0</v>
      </c>
      <c r="AZ12" s="5295">
        <f>'Definitivo x categoría'!AP117/3</f>
        <v>0.33333333333333331</v>
      </c>
      <c r="BA12" s="5270">
        <f t="shared" si="8"/>
        <v>52.333333333333336</v>
      </c>
      <c r="BB12" s="5282">
        <v>51</v>
      </c>
      <c r="BC12" s="5295">
        <f>'Definitivo x categoría'!AT82/2</f>
        <v>0</v>
      </c>
      <c r="BD12" s="5295">
        <f>'Definitivo x categoría'!AT117/3</f>
        <v>0.66666666666666663</v>
      </c>
      <c r="BE12" s="5270">
        <f t="shared" si="9"/>
        <v>51.666666666666664</v>
      </c>
      <c r="BF12" s="5282">
        <v>52</v>
      </c>
      <c r="BG12" s="5295">
        <f>'Definitivo x categoría'!AX82/2</f>
        <v>0</v>
      </c>
      <c r="BH12" s="5295">
        <f>'Definitivo x categoría'!AX117/3</f>
        <v>0.33333333333333331</v>
      </c>
      <c r="BI12" s="5270">
        <f t="shared" si="10"/>
        <v>52.333333333333336</v>
      </c>
      <c r="BJ12" s="5282">
        <v>54</v>
      </c>
      <c r="BK12" s="5295">
        <f>'Definitivo x categoría'!BB82/2</f>
        <v>0</v>
      </c>
      <c r="BL12" s="5295">
        <f>'Definitivo x categoría'!BB117/3</f>
        <v>0.33333333333333331</v>
      </c>
      <c r="BM12" s="5270">
        <f t="shared" si="11"/>
        <v>54.333333333333336</v>
      </c>
      <c r="BN12" s="5282">
        <v>53</v>
      </c>
      <c r="BO12" s="5295">
        <f>'Definitivo x categoría'!BF82/2</f>
        <v>0</v>
      </c>
      <c r="BP12" s="5295">
        <f>'Definitivo x categoría'!BF117/3</f>
        <v>1.6666666666666667</v>
      </c>
      <c r="BQ12" s="5270">
        <f>SUM(BN12:BP12)</f>
        <v>54.666666666666664</v>
      </c>
      <c r="BR12" s="5282">
        <v>52</v>
      </c>
      <c r="BS12" s="5295">
        <f>'Definitivo x categoría'!BJ82/2</f>
        <v>0</v>
      </c>
      <c r="BT12" s="5295">
        <f>'Definitivo x categoría'!BJ117/3</f>
        <v>0</v>
      </c>
      <c r="BU12" s="5270">
        <f>SUM(BR12:BT12)</f>
        <v>52</v>
      </c>
    </row>
    <row r="13" spans="1:73" ht="15" x14ac:dyDescent="0.2">
      <c r="A13" s="5694"/>
      <c r="B13" s="1784" t="s">
        <v>74</v>
      </c>
      <c r="C13" s="3925"/>
      <c r="D13" s="3925">
        <f>(SUM('ACTIVOS uni'!E14)+'Alumnos x PTC'!Z156)/'Alumnos x PTC'!Y13</f>
        <v>9.6666666666666661</v>
      </c>
      <c r="E13" s="3925">
        <f>(SUM('ACTIVOS uni'!F14)+'Alumnos x PTC'!AA156)/'Alumnos x PTC'!AC13</f>
        <v>13</v>
      </c>
      <c r="F13" s="3925">
        <f>(SUM('ACTIVOS uni'!G14)+'Alumnos x PTC'!AB156)/'Alumnos x PTC'!AG13</f>
        <v>7.166666666666667</v>
      </c>
      <c r="G13" s="3925">
        <f>(SUM('ACTIVOS uni'!H14)+'Alumnos x PTC'!AC156)/'Alumnos x PTC'!AK13</f>
        <v>9.304347826086957</v>
      </c>
      <c r="H13" s="3925">
        <f>(SUM('ACTIVOS uni'!I14)+'Alumnos x PTC'!AD156)/'Alumnos x PTC'!AO13</f>
        <v>11.458333333333334</v>
      </c>
      <c r="I13" s="3925">
        <f>(SUM('ACTIVOS uni'!J14)+'Alumnos x PTC'!AE156)/'Alumnos x PTC'!AS13</f>
        <v>11.962962962962964</v>
      </c>
      <c r="J13" s="3925">
        <f>(SUM('ACTIVOS uni'!K14)+'Alumnos x PTC'!AF156)/'Alumnos x PTC'!AW13</f>
        <v>14.242424242424242</v>
      </c>
      <c r="K13" s="3925">
        <f>(SUM('ACTIVOS uni'!L14)+'Alumnos x PTC'!AG156)/'Alumnos x PTC'!BA13</f>
        <v>18.577981651376145</v>
      </c>
      <c r="L13" s="3925">
        <f>(SUM('ACTIVOS uni'!M14)+'Alumnos x PTC'!AH156)/'Alumnos x PTC'!BE13</f>
        <v>23.626666666666665</v>
      </c>
      <c r="M13" s="3925">
        <f>(SUM('ACTIVOS uni'!N14)+'Alumnos x PTC'!AI156)/'Alumnos x PTC'!BI13</f>
        <v>26.183908045977013</v>
      </c>
      <c r="N13" s="3925">
        <f>(SUM('ACTIVOS uni'!O14)+'Alumnos x PTC'!AJ156)/'Alumnos x PTC'!BM13</f>
        <v>29.402214022140225</v>
      </c>
      <c r="O13" s="3925">
        <f>(SUM('ACTIVOS uni'!P14)+'Alumnos x PTC'!AK156)/'Alumnos x PTC'!BQ13</f>
        <v>32.752688172043008</v>
      </c>
      <c r="P13" s="3925">
        <f>(SUM('ACTIVOS uni'!Q14)+'Alumnos x PTC'!AL156)/'Alumnos x PTC'!BU13</f>
        <v>31.387622149837135</v>
      </c>
      <c r="R13" s="5269"/>
      <c r="S13" s="5295">
        <f>'Definitivo x categoría'!J83/2</f>
        <v>0</v>
      </c>
      <c r="T13" s="5295">
        <f>'Definitivo x categoría'!J118/3</f>
        <v>0</v>
      </c>
      <c r="U13" s="5270">
        <f t="shared" si="0"/>
        <v>0</v>
      </c>
      <c r="V13" s="5282">
        <v>6</v>
      </c>
      <c r="W13" s="5295">
        <f>'Definitivo x categoría'!N83/3</f>
        <v>0</v>
      </c>
      <c r="X13" s="5295">
        <f>'Definitivo x categoría'!N118/3</f>
        <v>0</v>
      </c>
      <c r="Y13" s="5290">
        <f t="shared" si="1"/>
        <v>6</v>
      </c>
      <c r="Z13" s="5269">
        <v>6</v>
      </c>
      <c r="AA13" s="5295">
        <f>'Definitivo x categoría'!R83/2</f>
        <v>0</v>
      </c>
      <c r="AB13" s="5295">
        <f>'Definitivo x categoría'!R118/3</f>
        <v>0</v>
      </c>
      <c r="AC13" s="5270">
        <f t="shared" si="2"/>
        <v>6</v>
      </c>
      <c r="AD13" s="5282">
        <v>18</v>
      </c>
      <c r="AE13" s="5295">
        <f>'Definitivo x categoría'!V83/2</f>
        <v>0</v>
      </c>
      <c r="AF13" s="5295">
        <f>'Definitivo x categoría'!V118/3</f>
        <v>0</v>
      </c>
      <c r="AG13" s="5290">
        <f t="shared" si="3"/>
        <v>18</v>
      </c>
      <c r="AH13" s="5269">
        <v>23</v>
      </c>
      <c r="AI13" s="5295">
        <f>'Definitivo x categoría'!Z83/2</f>
        <v>0</v>
      </c>
      <c r="AJ13" s="5295">
        <f>'Definitivo x categoría'!Z118/3</f>
        <v>0</v>
      </c>
      <c r="AK13" s="5270">
        <f t="shared" si="4"/>
        <v>23</v>
      </c>
      <c r="AL13" s="5282">
        <v>24</v>
      </c>
      <c r="AM13" s="5295">
        <f>'Definitivo x categoría'!AD83/2</f>
        <v>0</v>
      </c>
      <c r="AN13" s="5295">
        <f>'Definitivo x categoría'!AD118/3</f>
        <v>0</v>
      </c>
      <c r="AO13" s="5290">
        <f t="shared" si="5"/>
        <v>24</v>
      </c>
      <c r="AP13" s="5269">
        <v>27</v>
      </c>
      <c r="AQ13" s="5295">
        <f>'Definitivo x categoría'!AH83/2</f>
        <v>0</v>
      </c>
      <c r="AR13" s="5295">
        <f>'Definitivo x categoría'!AH118/3</f>
        <v>0</v>
      </c>
      <c r="AS13" s="5270">
        <f t="shared" si="6"/>
        <v>27</v>
      </c>
      <c r="AT13" s="5282">
        <v>33</v>
      </c>
      <c r="AU13" s="5295">
        <f>'Definitivo x categoría'!AL83/2</f>
        <v>0</v>
      </c>
      <c r="AV13" s="5295">
        <f>'Definitivo x categoría'!AL118/3</f>
        <v>0</v>
      </c>
      <c r="AW13" s="5270">
        <f t="shared" si="7"/>
        <v>33</v>
      </c>
      <c r="AX13" s="5282">
        <v>36</v>
      </c>
      <c r="AY13" s="5295">
        <f>'Definitivo x categoría'!AP83/2</f>
        <v>0</v>
      </c>
      <c r="AZ13" s="5295">
        <f>'Definitivo x categoría'!AP118/3</f>
        <v>0.33333333333333331</v>
      </c>
      <c r="BA13" s="5270">
        <f t="shared" si="8"/>
        <v>36.333333333333336</v>
      </c>
      <c r="BB13" s="5282">
        <v>37</v>
      </c>
      <c r="BC13" s="5295">
        <f>'Definitivo x categoría'!AT83/2</f>
        <v>0.5</v>
      </c>
      <c r="BD13" s="5295">
        <f>'Definitivo x categoría'!AT118/3</f>
        <v>0</v>
      </c>
      <c r="BE13" s="5270">
        <f t="shared" si="9"/>
        <v>37.5</v>
      </c>
      <c r="BF13" s="5282">
        <v>42</v>
      </c>
      <c r="BG13" s="5295">
        <f>'Definitivo x categoría'!AX83/2</f>
        <v>0.5</v>
      </c>
      <c r="BH13" s="5295">
        <f>'Definitivo x categoría'!AX118/3</f>
        <v>1</v>
      </c>
      <c r="BI13" s="5270">
        <f t="shared" si="10"/>
        <v>43.5</v>
      </c>
      <c r="BJ13" s="5282">
        <v>43</v>
      </c>
      <c r="BK13" s="5295">
        <f>'Definitivo x categoría'!BB83/2</f>
        <v>0.5</v>
      </c>
      <c r="BL13" s="5295">
        <f>'Definitivo x categoría'!BB118/3</f>
        <v>1.6666666666666667</v>
      </c>
      <c r="BM13" s="5270">
        <f t="shared" si="11"/>
        <v>45.166666666666664</v>
      </c>
      <c r="BN13" s="5282">
        <v>46</v>
      </c>
      <c r="BO13" s="5295">
        <f>'Definitivo x categoría'!BF83/2</f>
        <v>0.5</v>
      </c>
      <c r="BP13" s="5295">
        <f>'Definitivo x categoría'!BF118/3</f>
        <v>0</v>
      </c>
      <c r="BQ13" s="5270">
        <f>SUM(BN13:BP13)</f>
        <v>46.5</v>
      </c>
      <c r="BR13" s="5282">
        <v>49</v>
      </c>
      <c r="BS13" s="5295">
        <f>'Definitivo x categoría'!BJ83/2</f>
        <v>0.5</v>
      </c>
      <c r="BT13" s="5295">
        <f>'Definitivo x categoría'!BJ118/3</f>
        <v>1.6666666666666667</v>
      </c>
      <c r="BU13" s="5270">
        <f>SUM(BR13:BT13)</f>
        <v>51.166666666666664</v>
      </c>
    </row>
    <row r="14" spans="1:73" ht="15" x14ac:dyDescent="0.2">
      <c r="A14" s="5695"/>
      <c r="B14" s="2725" t="s">
        <v>160</v>
      </c>
      <c r="C14" s="3927"/>
      <c r="D14" s="3927">
        <f>(SUM('ACTIVOS uni'!E15)+'Alumnos x PTC'!Z157)/'Alumnos x PTC'!Y14</f>
        <v>15.615384615384615</v>
      </c>
      <c r="E14" s="3927">
        <f>(SUM('ACTIVOS uni'!F15)+'Alumnos x PTC'!AA157)/'Alumnos x PTC'!AC14</f>
        <v>13.045454545454545</v>
      </c>
      <c r="F14" s="3927">
        <f>(SUM('ACTIVOS uni'!G15)+'Alumnos x PTC'!AB157)/'Alumnos x PTC'!AG14</f>
        <v>10.704761904761904</v>
      </c>
      <c r="G14" s="3927">
        <f>(SUM('ACTIVOS uni'!H15)+'Alumnos x PTC'!AC157)/'Alumnos x PTC'!AK14</f>
        <v>12.267605633802816</v>
      </c>
      <c r="H14" s="3927">
        <f>(SUM('ACTIVOS uni'!I15)+'Alumnos x PTC'!AD157)/'Alumnos x PTC'!AO14</f>
        <v>12.622754491017965</v>
      </c>
      <c r="I14" s="3927">
        <f>(SUM('ACTIVOS uni'!J15)+'Alumnos x PTC'!AE157)/'Alumnos x PTC'!AS14</f>
        <v>11.5311004784689</v>
      </c>
      <c r="J14" s="3927">
        <f>(SUM('ACTIVOS uni'!K15)+'Alumnos x PTC'!AF157)/'Alumnos x PTC'!AW14</f>
        <v>12.709766162310865</v>
      </c>
      <c r="K14" s="3927">
        <f>(SUM('ACTIVOS uni'!L15)+'Alumnos x PTC'!AG157)/'Alumnos x PTC'!BA14</f>
        <v>14.227272727272727</v>
      </c>
      <c r="L14" s="3927">
        <f>(SUM('ACTIVOS uni'!M15)+'Alumnos x PTC'!AH157)/'Alumnos x PTC'!BE14</f>
        <v>16.161172161172161</v>
      </c>
      <c r="M14" s="3927">
        <f>(SUM('ACTIVOS uni'!N15)+'Alumnos x PTC'!AI157)/'Alumnos x PTC'!BI14</f>
        <v>18.569142857142857</v>
      </c>
      <c r="N14" s="3927">
        <f>(SUM('ACTIVOS uni'!O15)+'Alumnos x PTC'!AJ157)/'Alumnos x PTC'!BM14</f>
        <v>21.24</v>
      </c>
      <c r="O14" s="3927">
        <f>(SUM('ACTIVOS uni'!P15)+'Alumnos x PTC'!AK157)/'Alumnos x PTC'!BQ14</f>
        <v>23.484623541887593</v>
      </c>
      <c r="P14" s="3927">
        <f>(SUM('ACTIVOS uni'!Q15)+'Alumnos x PTC'!AL157)/'Alumnos x PTC'!BU14</f>
        <v>24.157416750756813</v>
      </c>
      <c r="R14" s="5269"/>
      <c r="S14" s="5295">
        <f>'Definitivo x categoría'!J84/2</f>
        <v>0</v>
      </c>
      <c r="T14" s="5295">
        <f>'Definitivo x categoría'!J119/3</f>
        <v>0</v>
      </c>
      <c r="U14" s="5270">
        <f t="shared" si="0"/>
        <v>0</v>
      </c>
      <c r="V14" s="5282">
        <v>13</v>
      </c>
      <c r="W14" s="5295">
        <f>'Definitivo x categoría'!N84/3</f>
        <v>0</v>
      </c>
      <c r="X14" s="5295">
        <f>'Definitivo x categoría'!N119/3</f>
        <v>0</v>
      </c>
      <c r="Y14" s="5290">
        <f t="shared" si="1"/>
        <v>13</v>
      </c>
      <c r="Z14" s="5269">
        <v>22</v>
      </c>
      <c r="AA14" s="5295">
        <f>'Definitivo x categoría'!R84/2</f>
        <v>0</v>
      </c>
      <c r="AB14" s="5295">
        <f>'Definitivo x categoría'!R119/3</f>
        <v>0</v>
      </c>
      <c r="AC14" s="5270">
        <f t="shared" si="2"/>
        <v>22</v>
      </c>
      <c r="AD14" s="5282">
        <v>52</v>
      </c>
      <c r="AE14" s="5295">
        <f>'Definitivo x categoría'!V84/2</f>
        <v>0.5</v>
      </c>
      <c r="AF14" s="5295">
        <f>'Definitivo x categoría'!V119/3</f>
        <v>0</v>
      </c>
      <c r="AG14" s="5290">
        <f t="shared" si="3"/>
        <v>52.5</v>
      </c>
      <c r="AH14" s="5269">
        <v>70</v>
      </c>
      <c r="AI14" s="5295">
        <f>'Definitivo x categoría'!Z84/2</f>
        <v>1</v>
      </c>
      <c r="AJ14" s="5295">
        <f>'Definitivo x categoría'!Z119/3</f>
        <v>0</v>
      </c>
      <c r="AK14" s="5270">
        <f t="shared" si="4"/>
        <v>71</v>
      </c>
      <c r="AL14" s="5282">
        <v>82</v>
      </c>
      <c r="AM14" s="5295">
        <f>'Definitivo x categoría'!AD84/2</f>
        <v>1.5</v>
      </c>
      <c r="AN14" s="5295">
        <f>'Definitivo x categoría'!AD119/3</f>
        <v>0</v>
      </c>
      <c r="AO14" s="5290">
        <f t="shared" si="5"/>
        <v>83.5</v>
      </c>
      <c r="AP14" s="5269">
        <v>103</v>
      </c>
      <c r="AQ14" s="5295">
        <f>'Definitivo x categoría'!AH84/2</f>
        <v>1.5</v>
      </c>
      <c r="AR14" s="5295">
        <f>'Definitivo x categoría'!AH119/3</f>
        <v>0</v>
      </c>
      <c r="AS14" s="5270">
        <f t="shared" si="6"/>
        <v>104.5</v>
      </c>
      <c r="AT14" s="5282">
        <v>119</v>
      </c>
      <c r="AU14" s="5295">
        <f>'Definitivo x categoría'!AL84/2</f>
        <v>1.5</v>
      </c>
      <c r="AV14" s="5295">
        <f>'Definitivo x categoría'!AL119/3</f>
        <v>0.66666666666666663</v>
      </c>
      <c r="AW14" s="5270">
        <f t="shared" si="7"/>
        <v>121.16666666666667</v>
      </c>
      <c r="AX14" s="5282">
        <v>130</v>
      </c>
      <c r="AY14" s="5295">
        <f>'Definitivo x categoría'!AP84/2</f>
        <v>1</v>
      </c>
      <c r="AZ14" s="5295">
        <f>'Definitivo x categoría'!AP119/3</f>
        <v>1</v>
      </c>
      <c r="BA14" s="5270">
        <f t="shared" si="8"/>
        <v>132</v>
      </c>
      <c r="BB14" s="5282">
        <v>134</v>
      </c>
      <c r="BC14" s="5295">
        <f>'Definitivo x categoría'!AT84/2</f>
        <v>1.5</v>
      </c>
      <c r="BD14" s="5295">
        <f>'Definitivo x categoría'!AT119/3</f>
        <v>1</v>
      </c>
      <c r="BE14" s="5270">
        <f t="shared" si="9"/>
        <v>136.5</v>
      </c>
      <c r="BF14" s="5282">
        <v>143</v>
      </c>
      <c r="BG14" s="5295">
        <f>'Definitivo x categoría'!AX84/2</f>
        <v>1.5</v>
      </c>
      <c r="BH14" s="5295">
        <f>'Definitivo x categoría'!AX119/3</f>
        <v>1.3333333333333333</v>
      </c>
      <c r="BI14" s="5270">
        <f t="shared" si="10"/>
        <v>145.83333333333334</v>
      </c>
      <c r="BJ14" s="5282">
        <v>147</v>
      </c>
      <c r="BK14" s="5295">
        <f>'Definitivo x categoría'!BB84/2</f>
        <v>1</v>
      </c>
      <c r="BL14" s="5295">
        <f>'Definitivo x categoría'!BB119/3</f>
        <v>2</v>
      </c>
      <c r="BM14" s="5270">
        <f t="shared" si="11"/>
        <v>150</v>
      </c>
      <c r="BN14" s="5282">
        <v>153</v>
      </c>
      <c r="BO14" s="5295">
        <f>'Definitivo x categoría'!BF84/2</f>
        <v>2.5</v>
      </c>
      <c r="BP14" s="5295">
        <f>'Definitivo x categoría'!BF119/3</f>
        <v>1.6666666666666667</v>
      </c>
      <c r="BQ14" s="5270">
        <f>SUM(BN14:BP14)</f>
        <v>157.16666666666666</v>
      </c>
      <c r="BR14" s="5282">
        <v>162</v>
      </c>
      <c r="BS14" s="5295">
        <f>'Definitivo x categoría'!BJ84/2</f>
        <v>1.5</v>
      </c>
      <c r="BT14" s="5295">
        <f>'Definitivo x categoría'!BJ119/3</f>
        <v>1.6666666666666667</v>
      </c>
      <c r="BU14" s="5270">
        <f>SUM(BR14:BT14)</f>
        <v>165.16666666666666</v>
      </c>
    </row>
    <row r="15" spans="1:73" x14ac:dyDescent="0.2">
      <c r="C15" s="4050"/>
      <c r="D15" s="4050"/>
      <c r="E15" s="4050"/>
      <c r="F15" s="4050"/>
      <c r="G15" s="4050"/>
      <c r="H15" s="4050"/>
      <c r="I15" s="4050"/>
      <c r="J15" s="4050"/>
      <c r="K15" s="4050"/>
      <c r="L15" s="4050"/>
      <c r="M15" s="4050"/>
      <c r="N15" s="4050"/>
      <c r="O15" s="4050"/>
      <c r="P15" s="4050"/>
      <c r="R15" s="3933"/>
      <c r="S15" s="3935"/>
      <c r="T15" s="3935"/>
      <c r="U15" s="3936"/>
      <c r="V15" s="5281"/>
      <c r="W15" s="3935"/>
      <c r="X15" s="3935"/>
      <c r="Y15" s="5289"/>
      <c r="Z15" s="3933"/>
      <c r="AA15" s="3935"/>
      <c r="AB15" s="3935"/>
      <c r="AC15" s="3936"/>
      <c r="AD15" s="5281"/>
      <c r="AE15" s="3935"/>
      <c r="AF15" s="3935"/>
      <c r="AG15" s="5289"/>
      <c r="AH15" s="3933"/>
      <c r="AI15" s="3935"/>
      <c r="AJ15" s="3935"/>
      <c r="AK15" s="3936"/>
      <c r="AL15" s="5281"/>
      <c r="AM15" s="3935"/>
      <c r="AN15" s="3935"/>
      <c r="AO15" s="5289"/>
      <c r="AP15" s="3933"/>
      <c r="AQ15" s="3935"/>
      <c r="AR15" s="3935"/>
      <c r="AS15" s="3936"/>
      <c r="AT15" s="5281"/>
      <c r="AU15" s="3935"/>
      <c r="AV15" s="3935"/>
      <c r="AW15" s="3936"/>
      <c r="AX15" s="5281"/>
      <c r="AY15" s="3935"/>
      <c r="AZ15" s="3935"/>
      <c r="BA15" s="3936"/>
      <c r="BB15" s="5281"/>
      <c r="BC15" s="3935"/>
      <c r="BD15" s="3935"/>
      <c r="BE15" s="3936"/>
      <c r="BF15" s="5281"/>
      <c r="BG15" s="3935"/>
      <c r="BH15" s="3935"/>
      <c r="BI15" s="3936"/>
      <c r="BJ15" s="5281"/>
      <c r="BK15" s="3935"/>
      <c r="BL15" s="3935"/>
      <c r="BM15" s="3936"/>
      <c r="BN15" s="5281"/>
      <c r="BO15" s="3935"/>
      <c r="BP15" s="3935"/>
      <c r="BQ15" s="3936"/>
      <c r="BR15" s="5281"/>
      <c r="BS15" s="3935"/>
      <c r="BT15" s="3935"/>
      <c r="BU15" s="3936"/>
    </row>
    <row r="16" spans="1:73" ht="15" x14ac:dyDescent="0.2">
      <c r="A16" s="7172" t="s">
        <v>162</v>
      </c>
      <c r="B16" s="3705" t="s">
        <v>5</v>
      </c>
      <c r="C16" s="3924">
        <f>(SUM('ACTIVOS uni'!D17)+'Alumnos x PTC'!Y159)/'Alumnos x PTC'!U16</f>
        <v>15.890109890109891</v>
      </c>
      <c r="D16" s="3924">
        <f>(SUM('ACTIVOS uni'!E17)+'Alumnos x PTC'!Z159)/'Alumnos x PTC'!Y16</f>
        <v>15.636255924170614</v>
      </c>
      <c r="E16" s="3924">
        <f>(SUM('ACTIVOS uni'!F17)+'Alumnos x PTC'!AA159)/'Alumnos x PTC'!AC16</f>
        <v>15.630460448642268</v>
      </c>
      <c r="F16" s="3924">
        <f>(SUM('ACTIVOS uni'!G17)+'Alumnos x PTC'!AB159)/'Alumnos x PTC'!AG16</f>
        <v>15.045720984759672</v>
      </c>
      <c r="G16" s="3924">
        <f>(SUM('ACTIVOS uni'!H17)+'Alumnos x PTC'!AC159)/'Alumnos x PTC'!AK16</f>
        <v>15.129521586931155</v>
      </c>
      <c r="H16" s="3924">
        <f>(SUM('ACTIVOS uni'!I17)+'Alumnos x PTC'!AD159)/'Alumnos x PTC'!AO16</f>
        <v>15.128445747800585</v>
      </c>
      <c r="I16" s="3924">
        <f>(SUM('ACTIVOS uni'!J17)+'Alumnos x PTC'!AE159)/'Alumnos x PTC'!AS16</f>
        <v>16.04494382022472</v>
      </c>
      <c r="J16" s="3924">
        <f>(SUM('ACTIVOS uni'!K17)+'Alumnos x PTC'!AF159)/'Alumnos x PTC'!AW16</f>
        <v>16.839506172839506</v>
      </c>
      <c r="K16" s="3924">
        <f>(SUM('ACTIVOS uni'!L17)+'Alumnos x PTC'!AG159)/'Alumnos x PTC'!BA16</f>
        <v>17.401759530791789</v>
      </c>
      <c r="L16" s="3924">
        <f>(SUM('ACTIVOS uni'!M17)+'Alumnos x PTC'!AH159)/'Alumnos x PTC'!BE16</f>
        <v>19.338028169014084</v>
      </c>
      <c r="M16" s="3924">
        <f>(SUM('ACTIVOS uni'!N17)+'Alumnos x PTC'!AI159)/'Alumnos x PTC'!BI16</f>
        <v>19.645105895821406</v>
      </c>
      <c r="N16" s="3924">
        <f>(SUM('ACTIVOS uni'!O17)+'Alumnos x PTC'!AJ159)/'Alumnos x PTC'!BM16</f>
        <v>20.135181975736568</v>
      </c>
      <c r="O16" s="3924">
        <f>(SUM('ACTIVOS uni'!P17)+'Alumnos x PTC'!AK159)/'Alumnos x PTC'!BQ16</f>
        <v>20.743156668608037</v>
      </c>
      <c r="P16" s="3924">
        <f>(SUM('ACTIVOS uni'!Q17)+'Alumnos x PTC'!AL159)/'Alumnos x PTC'!BU16</f>
        <v>20.474777448071219</v>
      </c>
      <c r="R16" s="5273">
        <v>266</v>
      </c>
      <c r="S16" s="5296">
        <f>'Definitivo x categoría'!J86/2</f>
        <v>1</v>
      </c>
      <c r="T16" s="5296">
        <f>'Definitivo x categoría'!J121/3</f>
        <v>6</v>
      </c>
      <c r="U16" s="5274">
        <f t="shared" si="0"/>
        <v>273</v>
      </c>
      <c r="V16" s="5283">
        <v>274</v>
      </c>
      <c r="W16" s="5296">
        <f>'Definitivo x categoría'!N86/3</f>
        <v>0.66666666666666663</v>
      </c>
      <c r="X16" s="5296">
        <f>'Definitivo x categoría'!N121/3</f>
        <v>6.666666666666667</v>
      </c>
      <c r="Y16" s="5291">
        <f t="shared" si="1"/>
        <v>281.33333333333337</v>
      </c>
      <c r="Z16" s="5273">
        <v>275</v>
      </c>
      <c r="AA16" s="5296">
        <f>'Definitivo x categoría'!R86/2</f>
        <v>1</v>
      </c>
      <c r="AB16" s="5296">
        <f>'Definitivo x categoría'!R121/3</f>
        <v>6.333333333333333</v>
      </c>
      <c r="AC16" s="5274">
        <f t="shared" si="2"/>
        <v>282.33333333333331</v>
      </c>
      <c r="AD16" s="5283">
        <v>277</v>
      </c>
      <c r="AE16" s="5296">
        <f>'Definitivo x categoría'!V86/2</f>
        <v>1</v>
      </c>
      <c r="AF16" s="5296">
        <f>'Definitivo x categoría'!V121/3</f>
        <v>6.333333333333333</v>
      </c>
      <c r="AG16" s="5291">
        <f t="shared" si="3"/>
        <v>284.33333333333331</v>
      </c>
      <c r="AH16" s="5273">
        <v>279</v>
      </c>
      <c r="AI16" s="5296">
        <f>'Definitivo x categoría'!Z86/2</f>
        <v>1</v>
      </c>
      <c r="AJ16" s="5296">
        <f>'Definitivo x categoría'!Z121/3</f>
        <v>5.666666666666667</v>
      </c>
      <c r="AK16" s="5274">
        <f t="shared" si="4"/>
        <v>285.66666666666669</v>
      </c>
      <c r="AL16" s="5283">
        <v>278</v>
      </c>
      <c r="AM16" s="5296">
        <f>'Definitivo x categoría'!AD86/2</f>
        <v>0.5</v>
      </c>
      <c r="AN16" s="5296">
        <f>'Definitivo x categoría'!AD121/3</f>
        <v>5.666666666666667</v>
      </c>
      <c r="AO16" s="5291">
        <f t="shared" si="5"/>
        <v>284.16666666666669</v>
      </c>
      <c r="AP16" s="5273">
        <v>276</v>
      </c>
      <c r="AQ16" s="5296">
        <f>'Definitivo x categoría'!AH86/2</f>
        <v>0.5</v>
      </c>
      <c r="AR16" s="5296">
        <f>'Definitivo x categoría'!AH121/3</f>
        <v>5.333333333333333</v>
      </c>
      <c r="AS16" s="5274">
        <f t="shared" si="6"/>
        <v>281.83333333333331</v>
      </c>
      <c r="AT16" s="5283">
        <v>278</v>
      </c>
      <c r="AU16" s="5296">
        <f>'Definitivo x categoría'!AL86/2</f>
        <v>0.5</v>
      </c>
      <c r="AV16" s="5296">
        <f>'Definitivo x categoría'!AL121/3</f>
        <v>5</v>
      </c>
      <c r="AW16" s="5274">
        <f t="shared" si="7"/>
        <v>283.5</v>
      </c>
      <c r="AX16" s="5283">
        <v>279</v>
      </c>
      <c r="AY16" s="5296">
        <f>'Definitivo x categoría'!AP86/2</f>
        <v>0.5</v>
      </c>
      <c r="AZ16" s="5296">
        <f>'Definitivo x categoría'!AP121/3</f>
        <v>4.666666666666667</v>
      </c>
      <c r="BA16" s="5274">
        <f t="shared" si="8"/>
        <v>284.16666666666669</v>
      </c>
      <c r="BB16" s="5283">
        <v>284</v>
      </c>
      <c r="BC16" s="5296"/>
      <c r="BD16" s="5296"/>
      <c r="BE16" s="5274">
        <f t="shared" si="9"/>
        <v>284</v>
      </c>
      <c r="BF16" s="5283">
        <v>286</v>
      </c>
      <c r="BG16" s="5296">
        <f>'Definitivo x categoría'!AX86/2</f>
        <v>0.5</v>
      </c>
      <c r="BH16" s="5296">
        <f>'Definitivo x categoría'!AX121/3</f>
        <v>4.666666666666667</v>
      </c>
      <c r="BI16" s="5274">
        <f t="shared" si="10"/>
        <v>291.16666666666669</v>
      </c>
      <c r="BJ16" s="5283">
        <v>283</v>
      </c>
      <c r="BK16" s="5296">
        <f>'Definitivo x categoría'!BB86/2</f>
        <v>0.5</v>
      </c>
      <c r="BL16" s="5296">
        <f>'Definitivo x categoría'!BB121/3</f>
        <v>5</v>
      </c>
      <c r="BM16" s="5274">
        <f t="shared" si="11"/>
        <v>288.5</v>
      </c>
      <c r="BN16" s="5283">
        <v>281</v>
      </c>
      <c r="BO16" s="5296">
        <f>'Definitivo x categoría'!BF86/2</f>
        <v>0.5</v>
      </c>
      <c r="BP16" s="5296">
        <f>'Definitivo x categoría'!BF121/3</f>
        <v>4.666666666666667</v>
      </c>
      <c r="BQ16" s="5274">
        <f>SUM(BN16:BP16)</f>
        <v>286.16666666666669</v>
      </c>
      <c r="BR16" s="5283">
        <v>276</v>
      </c>
      <c r="BS16" s="5296">
        <f>'Definitivo x categoría'!BJ86/2</f>
        <v>0.5</v>
      </c>
      <c r="BT16" s="5296">
        <f>'Definitivo x categoría'!BJ121/3</f>
        <v>4.333333333333333</v>
      </c>
      <c r="BU16" s="5274">
        <f>SUM(BR16:BT16)</f>
        <v>280.83333333333331</v>
      </c>
    </row>
    <row r="17" spans="1:73" ht="15" x14ac:dyDescent="0.2">
      <c r="A17" s="5687"/>
      <c r="B17" s="1784" t="s">
        <v>6</v>
      </c>
      <c r="C17" s="3925">
        <f>(SUM('ACTIVOS uni'!D18)+'Alumnos x PTC'!Y160)/'Alumnos x PTC'!U17</f>
        <v>20.033950617283949</v>
      </c>
      <c r="D17" s="3925">
        <f>(SUM('ACTIVOS uni'!E18)+'Alumnos x PTC'!Z160)/'Alumnos x PTC'!Y17</f>
        <v>20.699360341151383</v>
      </c>
      <c r="E17" s="3925">
        <f>(SUM('ACTIVOS uni'!F18)+'Alumnos x PTC'!AA160)/'Alumnos x PTC'!AC17</f>
        <v>20.689437729900156</v>
      </c>
      <c r="F17" s="3925">
        <f>(SUM('ACTIVOS uni'!G18)+'Alumnos x PTC'!AB160)/'Alumnos x PTC'!AG17</f>
        <v>21.89300847457627</v>
      </c>
      <c r="G17" s="3925">
        <f>(SUM('ACTIVOS uni'!H18)+'Alumnos x PTC'!AC160)/'Alumnos x PTC'!AK17</f>
        <v>23.194546407970638</v>
      </c>
      <c r="H17" s="3925">
        <f>(SUM('ACTIVOS uni'!I18)+'Alumnos x PTC'!AD160)/'Alumnos x PTC'!AO17</f>
        <v>23.874739039665972</v>
      </c>
      <c r="I17" s="3925">
        <f>(SUM('ACTIVOS uni'!J18)+'Alumnos x PTC'!AE160)/'Alumnos x PTC'!AS17</f>
        <v>24.944162436548226</v>
      </c>
      <c r="J17" s="3925">
        <f>(SUM('ACTIVOS uni'!K18)+'Alumnos x PTC'!AF160)/'Alumnos x PTC'!AW17</f>
        <v>25.458204334365327</v>
      </c>
      <c r="K17" s="3925">
        <f>(SUM('ACTIVOS uni'!L18)+'Alumnos x PTC'!AG160)/'Alumnos x PTC'!BA17</f>
        <v>26.359375</v>
      </c>
      <c r="L17" s="3925">
        <f>(SUM('ACTIVOS uni'!M18)+'Alumnos x PTC'!AH160)/'Alumnos x PTC'!BE17</f>
        <v>25.907532467532469</v>
      </c>
      <c r="M17" s="3925">
        <f>(SUM('ACTIVOS uni'!N18)+'Alumnos x PTC'!AI160)/'Alumnos x PTC'!BI17</f>
        <v>25.947611710323574</v>
      </c>
      <c r="N17" s="3925">
        <f>(SUM('ACTIVOS uni'!O18)+'Alumnos x PTC'!AJ160)/'Alumnos x PTC'!BM17</f>
        <v>25.730407523510973</v>
      </c>
      <c r="O17" s="3925">
        <f>(SUM('ACTIVOS uni'!P18)+'Alumnos x PTC'!AK160)/'Alumnos x PTC'!BQ17</f>
        <v>26.625792811839325</v>
      </c>
      <c r="P17" s="3925">
        <f>(SUM('ACTIVOS uni'!Q18)+'Alumnos x PTC'!AL160)/'Alumnos x PTC'!BU17</f>
        <v>25.33194372068786</v>
      </c>
      <c r="R17" s="5273">
        <v>301</v>
      </c>
      <c r="S17" s="5296">
        <f>'Definitivo x categoría'!J87/2</f>
        <v>8</v>
      </c>
      <c r="T17" s="5296">
        <f>'Definitivo x categoría'!J122/3</f>
        <v>15</v>
      </c>
      <c r="U17" s="5274">
        <f t="shared" si="0"/>
        <v>324</v>
      </c>
      <c r="V17" s="5283">
        <v>294</v>
      </c>
      <c r="W17" s="5296">
        <f>'Definitivo x categoría'!N87/3</f>
        <v>4.666666666666667</v>
      </c>
      <c r="X17" s="5296">
        <f>'Definitivo x categoría'!N122/3</f>
        <v>14</v>
      </c>
      <c r="Y17" s="5291">
        <f t="shared" si="1"/>
        <v>312.66666666666669</v>
      </c>
      <c r="Z17" s="5273">
        <v>296</v>
      </c>
      <c r="AA17" s="5296">
        <f>'Definitivo x categoría'!R87/2</f>
        <v>7.5</v>
      </c>
      <c r="AB17" s="5296">
        <f>'Definitivo x categoría'!R122/3</f>
        <v>13.666666666666666</v>
      </c>
      <c r="AC17" s="5274">
        <f t="shared" si="2"/>
        <v>317.16666666666669</v>
      </c>
      <c r="AD17" s="5283">
        <v>294</v>
      </c>
      <c r="AE17" s="5296">
        <f>'Definitivo x categoría'!V87/2</f>
        <v>7</v>
      </c>
      <c r="AF17" s="5296">
        <f>'Definitivo x categoría'!V122/3</f>
        <v>13.666666666666666</v>
      </c>
      <c r="AG17" s="5291">
        <f t="shared" si="3"/>
        <v>314.66666666666669</v>
      </c>
      <c r="AH17" s="5273">
        <v>299</v>
      </c>
      <c r="AI17" s="5296">
        <f>'Definitivo x categoría'!Z87/2</f>
        <v>5.5</v>
      </c>
      <c r="AJ17" s="5296">
        <f>'Definitivo x categoría'!Z122/3</f>
        <v>13.333333333333334</v>
      </c>
      <c r="AK17" s="5274">
        <f t="shared" si="4"/>
        <v>317.83333333333331</v>
      </c>
      <c r="AL17" s="5283">
        <v>301</v>
      </c>
      <c r="AM17" s="5296">
        <f>'Definitivo x categoría'!AD87/2</f>
        <v>6</v>
      </c>
      <c r="AN17" s="5296">
        <f>'Definitivo x categoría'!AD122/3</f>
        <v>12.333333333333334</v>
      </c>
      <c r="AO17" s="5291">
        <f t="shared" si="5"/>
        <v>319.33333333333331</v>
      </c>
      <c r="AP17" s="5273">
        <v>307</v>
      </c>
      <c r="AQ17" s="5296">
        <f>'Definitivo x categoría'!AH87/2</f>
        <v>7</v>
      </c>
      <c r="AR17" s="5296">
        <f>'Definitivo x categoría'!AH122/3</f>
        <v>14.333333333333334</v>
      </c>
      <c r="AS17" s="5274">
        <f t="shared" si="6"/>
        <v>328.33333333333331</v>
      </c>
      <c r="AT17" s="5283">
        <v>302</v>
      </c>
      <c r="AU17" s="5296">
        <f>'Definitivo x categoría'!AL87/2</f>
        <v>7</v>
      </c>
      <c r="AV17" s="5296">
        <f>'Definitivo x categoría'!AL122/3</f>
        <v>14</v>
      </c>
      <c r="AW17" s="5274">
        <f t="shared" si="7"/>
        <v>323</v>
      </c>
      <c r="AX17" s="5283">
        <v>298</v>
      </c>
      <c r="AY17" s="5296">
        <f>'Definitivo x categoría'!AP87/2</f>
        <v>7</v>
      </c>
      <c r="AZ17" s="5296">
        <f>'Definitivo x categoría'!AP122/3</f>
        <v>15</v>
      </c>
      <c r="BA17" s="5274">
        <f t="shared" si="8"/>
        <v>320</v>
      </c>
      <c r="BB17" s="5283">
        <v>299</v>
      </c>
      <c r="BC17" s="5296">
        <f>'Definitivo x categoría'!AT87/2</f>
        <v>7.5</v>
      </c>
      <c r="BD17" s="5296">
        <f>'Definitivo x categoría'!AT122/3</f>
        <v>14.333333333333334</v>
      </c>
      <c r="BE17" s="5274">
        <f t="shared" si="9"/>
        <v>320.83333333333331</v>
      </c>
      <c r="BF17" s="5283">
        <v>303</v>
      </c>
      <c r="BG17" s="5296">
        <f>'Definitivo x categoría'!AX87/2</f>
        <v>5.5</v>
      </c>
      <c r="BH17" s="5296">
        <f>'Definitivo x categoría'!AX122/3</f>
        <v>16</v>
      </c>
      <c r="BI17" s="5274">
        <f t="shared" si="10"/>
        <v>324.5</v>
      </c>
      <c r="BJ17" s="5283">
        <v>301</v>
      </c>
      <c r="BK17" s="5296">
        <f>'Definitivo x categoría'!BB87/2</f>
        <v>5</v>
      </c>
      <c r="BL17" s="5296">
        <f>'Definitivo x categoría'!BB122/3</f>
        <v>13</v>
      </c>
      <c r="BM17" s="5274">
        <f t="shared" si="11"/>
        <v>319</v>
      </c>
      <c r="BN17" s="5283">
        <v>298</v>
      </c>
      <c r="BO17" s="5296">
        <f>'Definitivo x categoría'!BF87/2</f>
        <v>5</v>
      </c>
      <c r="BP17" s="5296">
        <f>'Definitivo x categoría'!BF122/3</f>
        <v>12.333333333333334</v>
      </c>
      <c r="BQ17" s="5274">
        <f>SUM(BN17:BP17)</f>
        <v>315.33333333333331</v>
      </c>
      <c r="BR17" s="5283">
        <v>303</v>
      </c>
      <c r="BS17" s="5296">
        <f>'Definitivo x categoría'!BJ87/2</f>
        <v>4.5</v>
      </c>
      <c r="BT17" s="5296">
        <f>'Definitivo x categoría'!BJ122/3</f>
        <v>12.333333333333334</v>
      </c>
      <c r="BU17" s="5274">
        <f>SUM(BR17:BT17)</f>
        <v>319.83333333333331</v>
      </c>
    </row>
    <row r="18" spans="1:73" ht="15" x14ac:dyDescent="0.2">
      <c r="A18" s="5687"/>
      <c r="B18" s="1784" t="s">
        <v>11</v>
      </c>
      <c r="C18" s="3925">
        <f>(SUM('ACTIVOS uni'!D19)+'Alumnos x PTC'!Y161)/'Alumnos x PTC'!U18</f>
        <v>18.167862266857963</v>
      </c>
      <c r="D18" s="3925">
        <f>(SUM('ACTIVOS uni'!E19)+'Alumnos x PTC'!Z161)/'Alumnos x PTC'!Y18</f>
        <v>17.352857142857143</v>
      </c>
      <c r="E18" s="3925">
        <f>(SUM('ACTIVOS uni'!F19)+'Alumnos x PTC'!AA161)/'Alumnos x PTC'!AC18</f>
        <v>17.458874458874458</v>
      </c>
      <c r="F18" s="3925">
        <f>(SUM('ACTIVOS uni'!G19)+'Alumnos x PTC'!AB161)/'Alumnos x PTC'!AG18</f>
        <v>17.533856022808266</v>
      </c>
      <c r="G18" s="3925">
        <f>(SUM('ACTIVOS uni'!H19)+'Alumnos x PTC'!AC161)/'Alumnos x PTC'!AK18</f>
        <v>18.548646671543526</v>
      </c>
      <c r="H18" s="3925">
        <f>(SUM('ACTIVOS uni'!I19)+'Alumnos x PTC'!AD161)/'Alumnos x PTC'!AO18</f>
        <v>19.914988814317674</v>
      </c>
      <c r="I18" s="3925">
        <f>(SUM('ACTIVOS uni'!J19)+'Alumnos x PTC'!AE161)/'Alumnos x PTC'!AS18</f>
        <v>22.06392694063927</v>
      </c>
      <c r="J18" s="3925">
        <f>(SUM('ACTIVOS uni'!K19)+'Alumnos x PTC'!AF161)/'Alumnos x PTC'!AW18</f>
        <v>22.702941176470588</v>
      </c>
      <c r="K18" s="3925">
        <f>(SUM('ACTIVOS uni'!L19)+'Alumnos x PTC'!AG161)/'Alumnos x PTC'!BA18</f>
        <v>24.379411764705882</v>
      </c>
      <c r="L18" s="3925">
        <f>(SUM('ACTIVOS uni'!M19)+'Alumnos x PTC'!AH161)/'Alumnos x PTC'!BE18</f>
        <v>25.526959022286125</v>
      </c>
      <c r="M18" s="3925">
        <f>(SUM('ACTIVOS uni'!N19)+'Alumnos x PTC'!AI161)/'Alumnos x PTC'!BI18</f>
        <v>25.698668535388926</v>
      </c>
      <c r="N18" s="3925">
        <f>(SUM('ACTIVOS uni'!O19)+'Alumnos x PTC'!AJ161)/'Alumnos x PTC'!BM18</f>
        <v>25.683182135380321</v>
      </c>
      <c r="O18" s="3925">
        <f>(SUM('ACTIVOS uni'!P19)+'Alumnos x PTC'!AK161)/'Alumnos x PTC'!BQ18</f>
        <v>25.117442668519804</v>
      </c>
      <c r="P18" s="3925">
        <f>(SUM('ACTIVOS uni'!Q19)+'Alumnos x PTC'!AL161)/'Alumnos x PTC'!BU18</f>
        <v>24.784810126582279</v>
      </c>
      <c r="R18" s="5273">
        <v>215</v>
      </c>
      <c r="S18" s="5296">
        <f>'Definitivo x categoría'!J88/2</f>
        <v>3</v>
      </c>
      <c r="T18" s="5296">
        <f>'Definitivo x categoría'!J123/3</f>
        <v>14.333333333333334</v>
      </c>
      <c r="U18" s="5274">
        <f t="shared" si="0"/>
        <v>232.33333333333334</v>
      </c>
      <c r="V18" s="5283">
        <v>219</v>
      </c>
      <c r="W18" s="5296">
        <f>'Definitivo x categoría'!N88/3</f>
        <v>1.6666666666666667</v>
      </c>
      <c r="X18" s="5296">
        <f>'Definitivo x categoría'!N123/3</f>
        <v>12.666666666666666</v>
      </c>
      <c r="Y18" s="5291">
        <f t="shared" si="1"/>
        <v>233.33333333333331</v>
      </c>
      <c r="Z18" s="5273">
        <v>216</v>
      </c>
      <c r="AA18" s="5296">
        <f>'Definitivo x categoría'!R88/2</f>
        <v>3</v>
      </c>
      <c r="AB18" s="5296">
        <f>'Definitivo x categoría'!R123/3</f>
        <v>12</v>
      </c>
      <c r="AC18" s="5274">
        <f t="shared" si="2"/>
        <v>231</v>
      </c>
      <c r="AD18" s="5283">
        <v>220</v>
      </c>
      <c r="AE18" s="5296">
        <f>'Definitivo x categoría'!V88/2</f>
        <v>3.5</v>
      </c>
      <c r="AF18" s="5296">
        <f>'Definitivo x categoría'!V123/3</f>
        <v>10.333333333333334</v>
      </c>
      <c r="AG18" s="5291">
        <f t="shared" si="3"/>
        <v>233.83333333333334</v>
      </c>
      <c r="AH18" s="5273">
        <v>215</v>
      </c>
      <c r="AI18" s="5296">
        <f>'Definitivo x categoría'!Z88/2</f>
        <v>3.5</v>
      </c>
      <c r="AJ18" s="5296">
        <f>'Definitivo x categoría'!Z123/3</f>
        <v>9.3333333333333339</v>
      </c>
      <c r="AK18" s="5274">
        <f t="shared" si="4"/>
        <v>227.83333333333334</v>
      </c>
      <c r="AL18" s="5283">
        <v>210</v>
      </c>
      <c r="AM18" s="5296">
        <f>'Definitivo x categoría'!AD88/2</f>
        <v>4.5</v>
      </c>
      <c r="AN18" s="5296">
        <f>'Definitivo x categoría'!AD123/3</f>
        <v>9</v>
      </c>
      <c r="AO18" s="5291">
        <f t="shared" si="5"/>
        <v>223.5</v>
      </c>
      <c r="AP18" s="5273">
        <v>206</v>
      </c>
      <c r="AQ18" s="5296">
        <f>'Definitivo x categoría'!AH88/2</f>
        <v>4</v>
      </c>
      <c r="AR18" s="5296">
        <f>'Definitivo x categoría'!AH123/3</f>
        <v>9</v>
      </c>
      <c r="AS18" s="5274">
        <f t="shared" si="6"/>
        <v>219</v>
      </c>
      <c r="AT18" s="5283">
        <v>214</v>
      </c>
      <c r="AU18" s="5296">
        <f>'Definitivo x categoría'!AL88/2</f>
        <v>4</v>
      </c>
      <c r="AV18" s="5296">
        <f>'Definitivo x categoría'!AL123/3</f>
        <v>8.6666666666666661</v>
      </c>
      <c r="AW18" s="5274">
        <f t="shared" si="7"/>
        <v>226.66666666666666</v>
      </c>
      <c r="AX18" s="5283">
        <v>214</v>
      </c>
      <c r="AY18" s="5296">
        <f>'Definitivo x categoría'!AP88/2</f>
        <v>4</v>
      </c>
      <c r="AZ18" s="5296">
        <f>'Definitivo x categoría'!AP123/3</f>
        <v>8.6666666666666661</v>
      </c>
      <c r="BA18" s="5274">
        <f t="shared" si="8"/>
        <v>226.66666666666666</v>
      </c>
      <c r="BB18" s="5283">
        <v>221</v>
      </c>
      <c r="BC18" s="5296">
        <f>'Definitivo x categoría'!AT88/2</f>
        <v>3.5</v>
      </c>
      <c r="BD18" s="5296">
        <f>'Definitivo x categoría'!AT123/3</f>
        <v>7.333333333333333</v>
      </c>
      <c r="BE18" s="5274">
        <f t="shared" si="9"/>
        <v>231.83333333333334</v>
      </c>
      <c r="BF18" s="5283">
        <v>228</v>
      </c>
      <c r="BG18" s="5296">
        <f>'Definitivo x categoría'!AX88/2</f>
        <v>3.5</v>
      </c>
      <c r="BH18" s="5296">
        <f>'Definitivo x categoría'!AX123/3</f>
        <v>6.333333333333333</v>
      </c>
      <c r="BI18" s="5274">
        <f t="shared" si="10"/>
        <v>237.83333333333334</v>
      </c>
      <c r="BJ18" s="5283">
        <v>229</v>
      </c>
      <c r="BK18" s="5296">
        <f>'Definitivo x categoría'!BB88/2</f>
        <v>3.5</v>
      </c>
      <c r="BL18" s="5296">
        <f>'Definitivo x categoría'!BB123/3</f>
        <v>6.333333333333333</v>
      </c>
      <c r="BM18" s="5274">
        <f t="shared" si="11"/>
        <v>238.83333333333334</v>
      </c>
      <c r="BN18" s="5283">
        <v>231</v>
      </c>
      <c r="BO18" s="5296">
        <f>'Definitivo x categoría'!BF88/2</f>
        <v>2.5</v>
      </c>
      <c r="BP18" s="5296">
        <f>'Definitivo x categoría'!BF123/3</f>
        <v>6.333333333333333</v>
      </c>
      <c r="BQ18" s="5274">
        <f>SUM(BN18:BP18)</f>
        <v>239.83333333333334</v>
      </c>
      <c r="BR18" s="5283">
        <v>228</v>
      </c>
      <c r="BS18" s="5296">
        <f>'Definitivo x categoría'!BJ88/2</f>
        <v>3</v>
      </c>
      <c r="BT18" s="5296">
        <f>'Definitivo x categoría'!BJ123/3</f>
        <v>6</v>
      </c>
      <c r="BU18" s="5274">
        <f>SUM(BR18:BT18)</f>
        <v>237</v>
      </c>
    </row>
    <row r="19" spans="1:73" ht="15" x14ac:dyDescent="0.2">
      <c r="A19" s="5688"/>
      <c r="B19" s="2724" t="s">
        <v>160</v>
      </c>
      <c r="C19" s="3928">
        <f>(SUM('ACTIVOS uni'!D20)+'Alumnos x PTC'!Y162)/'Alumnos x PTC'!U19</f>
        <v>18.147106109324756</v>
      </c>
      <c r="D19" s="3928">
        <f>(SUM('ACTIVOS uni'!E20)+'Alumnos x PTC'!Z162)/'Alumnos x PTC'!Y19</f>
        <v>18.033843674456083</v>
      </c>
      <c r="E19" s="3928">
        <f>(SUM('ACTIVOS uni'!F20)+'Alumnos x PTC'!AA162)/'Alumnos x PTC'!AC19</f>
        <v>18.071041541240216</v>
      </c>
      <c r="F19" s="3928">
        <f>(SUM('ACTIVOS uni'!G20)+'Alumnos x PTC'!AB162)/'Alumnos x PTC'!AG19</f>
        <v>18.331398839303581</v>
      </c>
      <c r="G19" s="3928">
        <f>(SUM('ACTIVOS uni'!H20)+'Alumnos x PTC'!AC162)/'Alumnos x PTC'!AK19</f>
        <v>19.149959903769044</v>
      </c>
      <c r="H19" s="3928">
        <f>(SUM('ACTIVOS uni'!I20)+'Alumnos x PTC'!AD162)/'Alumnos x PTC'!AO19</f>
        <v>19.799274486094316</v>
      </c>
      <c r="I19" s="3928">
        <f>(SUM('ACTIVOS uni'!J20)+'Alumnos x PTC'!AE162)/'Alumnos x PTC'!AS19</f>
        <v>21.158592964824123</v>
      </c>
      <c r="J19" s="3928">
        <f>(SUM('ACTIVOS uni'!K20)+'Alumnos x PTC'!AF162)/'Alumnos x PTC'!AW19</f>
        <v>21.775955191038207</v>
      </c>
      <c r="K19" s="3928">
        <f>(SUM('ACTIVOS uni'!L20)+'Alumnos x PTC'!AG162)/'Alumnos x PTC'!BA19</f>
        <v>22.755466399197591</v>
      </c>
      <c r="L19" s="3928">
        <f>(SUM('ACTIVOS uni'!M20)+'Alumnos x PTC'!AH162)/'Alumnos x PTC'!BE19</f>
        <v>23.427440110869135</v>
      </c>
      <c r="M19" s="3928">
        <f>(SUM('ACTIVOS uni'!N20)+'Alumnos x PTC'!AI162)/'Alumnos x PTC'!BI19</f>
        <v>23.728178090216755</v>
      </c>
      <c r="N19" s="3928">
        <f>(SUM('ACTIVOS uni'!O20)+'Alumnos x PTC'!AJ162)/'Alumnos x PTC'!BM19</f>
        <v>23.809767625049229</v>
      </c>
      <c r="O19" s="3928">
        <f>(SUM('ACTIVOS uni'!P20)+'Alumnos x PTC'!AK162)/'Alumnos x PTC'!BQ19</f>
        <v>24.194928684627573</v>
      </c>
      <c r="P19" s="3928">
        <f>(SUM('ACTIVOS uni'!Q20)+'Alumnos x PTC'!AL162)/'Alumnos x PTC'!BU19</f>
        <v>23.548746518105851</v>
      </c>
      <c r="R19" s="5273">
        <v>782</v>
      </c>
      <c r="S19" s="5296">
        <f>'Definitivo x categoría'!J89/2</f>
        <v>12</v>
      </c>
      <c r="T19" s="5296">
        <f>'Definitivo x categoría'!J124/3</f>
        <v>35.333333333333336</v>
      </c>
      <c r="U19" s="5274">
        <f t="shared" si="0"/>
        <v>829.33333333333337</v>
      </c>
      <c r="V19" s="5283">
        <v>787</v>
      </c>
      <c r="W19" s="5296">
        <f>'Definitivo x categoría'!N89/3</f>
        <v>7</v>
      </c>
      <c r="X19" s="5296">
        <f>'Definitivo x categoría'!N124/3</f>
        <v>33.333333333333336</v>
      </c>
      <c r="Y19" s="5291">
        <f t="shared" si="1"/>
        <v>827.33333333333337</v>
      </c>
      <c r="Z19" s="5273">
        <v>787</v>
      </c>
      <c r="AA19" s="5296">
        <f>'Definitivo x categoría'!R89/2</f>
        <v>11.5</v>
      </c>
      <c r="AB19" s="5296">
        <f>'Definitivo x categoría'!R124/3</f>
        <v>32</v>
      </c>
      <c r="AC19" s="5274">
        <f t="shared" si="2"/>
        <v>830.5</v>
      </c>
      <c r="AD19" s="5283">
        <v>791</v>
      </c>
      <c r="AE19" s="5296">
        <f>'Definitivo x categoría'!V89/2</f>
        <v>11.5</v>
      </c>
      <c r="AF19" s="5296">
        <f>'Definitivo x categoría'!V124/3</f>
        <v>30.333333333333332</v>
      </c>
      <c r="AG19" s="5291">
        <f t="shared" si="3"/>
        <v>832.83333333333337</v>
      </c>
      <c r="AH19" s="5273">
        <v>793</v>
      </c>
      <c r="AI19" s="5296">
        <f>'Definitivo x categoría'!Z89/2</f>
        <v>10</v>
      </c>
      <c r="AJ19" s="5296">
        <f>'Definitivo x categoría'!Z124/3</f>
        <v>28.333333333333332</v>
      </c>
      <c r="AK19" s="5274">
        <f t="shared" si="4"/>
        <v>831.33333333333337</v>
      </c>
      <c r="AL19" s="5283">
        <v>789</v>
      </c>
      <c r="AM19" s="5296">
        <f>'Definitivo x categoría'!AD89/2</f>
        <v>11</v>
      </c>
      <c r="AN19" s="5296">
        <f>'Definitivo x categoría'!AD124/3</f>
        <v>27</v>
      </c>
      <c r="AO19" s="5291">
        <f t="shared" si="5"/>
        <v>827</v>
      </c>
      <c r="AP19" s="5273">
        <v>789</v>
      </c>
      <c r="AQ19" s="5296">
        <f>'Definitivo x categoría'!AH89/2</f>
        <v>11.5</v>
      </c>
      <c r="AR19" s="5296">
        <f>'Definitivo x categoría'!AH124/3</f>
        <v>28.666666666666668</v>
      </c>
      <c r="AS19" s="5274">
        <f t="shared" si="6"/>
        <v>829.16666666666663</v>
      </c>
      <c r="AT19" s="5283">
        <v>794</v>
      </c>
      <c r="AU19" s="5296">
        <f>'Definitivo x categoría'!AL89/2</f>
        <v>11.5</v>
      </c>
      <c r="AV19" s="5296">
        <f>'Definitivo x categoría'!AL124/3</f>
        <v>27.666666666666668</v>
      </c>
      <c r="AW19" s="5274">
        <f t="shared" si="7"/>
        <v>833.16666666666663</v>
      </c>
      <c r="AX19" s="5283">
        <v>791</v>
      </c>
      <c r="AY19" s="5296">
        <f>'Definitivo x categoría'!AP89/2</f>
        <v>11.5</v>
      </c>
      <c r="AZ19" s="5296">
        <f>'Definitivo x categoría'!AP124/3</f>
        <v>28.333333333333332</v>
      </c>
      <c r="BA19" s="5274">
        <f t="shared" si="8"/>
        <v>830.83333333333337</v>
      </c>
      <c r="BB19" s="5283">
        <v>804</v>
      </c>
      <c r="BC19" s="5296">
        <f>'Definitivo x categoría'!AT89/2</f>
        <v>11.5</v>
      </c>
      <c r="BD19" s="5296">
        <f>'Definitivo x categoría'!AT124/3</f>
        <v>26.333333333333332</v>
      </c>
      <c r="BE19" s="5274">
        <f t="shared" si="9"/>
        <v>841.83333333333337</v>
      </c>
      <c r="BF19" s="5283">
        <v>817</v>
      </c>
      <c r="BG19" s="5296">
        <f>'Definitivo x categoría'!AX89/2</f>
        <v>9.5</v>
      </c>
      <c r="BH19" s="5296">
        <f>'Definitivo x categoría'!AX124/3</f>
        <v>27</v>
      </c>
      <c r="BI19" s="5274">
        <f t="shared" si="10"/>
        <v>853.5</v>
      </c>
      <c r="BJ19" s="5283">
        <v>813</v>
      </c>
      <c r="BK19" s="5296">
        <f>'Definitivo x categoría'!BB89/2</f>
        <v>9</v>
      </c>
      <c r="BL19" s="5296">
        <f>'Definitivo x categoría'!BB124/3</f>
        <v>24.333333333333332</v>
      </c>
      <c r="BM19" s="5274">
        <f t="shared" si="11"/>
        <v>846.33333333333337</v>
      </c>
      <c r="BN19" s="5283">
        <v>810</v>
      </c>
      <c r="BO19" s="5296">
        <f>'Definitivo x categoría'!BF89/2</f>
        <v>8</v>
      </c>
      <c r="BP19" s="5296">
        <f>'Definitivo x categoría'!BF124/3</f>
        <v>23.333333333333332</v>
      </c>
      <c r="BQ19" s="5274">
        <f>SUM(BN19:BP19)</f>
        <v>841.33333333333337</v>
      </c>
      <c r="BR19" s="5283">
        <v>807</v>
      </c>
      <c r="BS19" s="5296">
        <f>'Definitivo x categoría'!BJ89/2</f>
        <v>8</v>
      </c>
      <c r="BT19" s="5296">
        <f>'Definitivo x categoría'!BJ124/3</f>
        <v>22.666666666666668</v>
      </c>
      <c r="BU19" s="5274">
        <f>SUM(BR19:BT19)</f>
        <v>837.66666666666663</v>
      </c>
    </row>
    <row r="20" spans="1:73" x14ac:dyDescent="0.2">
      <c r="C20" s="4050"/>
      <c r="D20" s="4050"/>
      <c r="E20" s="4050"/>
      <c r="F20" s="4050"/>
      <c r="G20" s="4050"/>
      <c r="H20" s="4050"/>
      <c r="I20" s="4050"/>
      <c r="J20" s="4050"/>
      <c r="K20" s="4050"/>
      <c r="L20" s="4050"/>
      <c r="M20" s="4050"/>
      <c r="N20" s="4050"/>
      <c r="O20" s="4050"/>
      <c r="P20" s="4050"/>
      <c r="R20" s="3933"/>
      <c r="S20" s="3935"/>
      <c r="T20" s="3935"/>
      <c r="U20" s="3936"/>
      <c r="V20" s="5281"/>
      <c r="W20" s="3935"/>
      <c r="X20" s="3935"/>
      <c r="Y20" s="5289"/>
      <c r="Z20" s="3933"/>
      <c r="AA20" s="3935"/>
      <c r="AB20" s="3935"/>
      <c r="AC20" s="3936"/>
      <c r="AD20" s="5281"/>
      <c r="AE20" s="3935"/>
      <c r="AF20" s="3935"/>
      <c r="AG20" s="5289"/>
      <c r="AH20" s="3933"/>
      <c r="AI20" s="3935"/>
      <c r="AJ20" s="3935"/>
      <c r="AK20" s="3936"/>
      <c r="AL20" s="5281"/>
      <c r="AM20" s="3935"/>
      <c r="AN20" s="3935"/>
      <c r="AO20" s="5289"/>
      <c r="AP20" s="3933"/>
      <c r="AQ20" s="3935"/>
      <c r="AR20" s="3935"/>
      <c r="AS20" s="3936"/>
      <c r="AT20" s="5281"/>
      <c r="AU20" s="3935"/>
      <c r="AV20" s="3935"/>
      <c r="AW20" s="3936"/>
      <c r="AX20" s="5281"/>
      <c r="AY20" s="3935"/>
      <c r="AZ20" s="3935"/>
      <c r="BA20" s="3936"/>
      <c r="BB20" s="5281"/>
      <c r="BC20" s="3935"/>
      <c r="BD20" s="3935"/>
      <c r="BE20" s="3936"/>
      <c r="BF20" s="5281"/>
      <c r="BG20" s="3935"/>
      <c r="BH20" s="3935"/>
      <c r="BI20" s="3936"/>
      <c r="BJ20" s="5281"/>
      <c r="BK20" s="3935"/>
      <c r="BL20" s="3935"/>
      <c r="BM20" s="3936"/>
      <c r="BN20" s="5281"/>
      <c r="BO20" s="3935"/>
      <c r="BP20" s="3935"/>
      <c r="BQ20" s="3936"/>
      <c r="BR20" s="5281"/>
      <c r="BS20" s="3935"/>
      <c r="BT20" s="3935"/>
      <c r="BU20" s="3936"/>
    </row>
    <row r="21" spans="1:73" ht="15" x14ac:dyDescent="0.2">
      <c r="A21" s="7176" t="s">
        <v>408</v>
      </c>
      <c r="B21" s="3705" t="s">
        <v>5</v>
      </c>
      <c r="C21" s="3924"/>
      <c r="D21" s="3924"/>
      <c r="E21" s="3924"/>
      <c r="F21" s="3924"/>
      <c r="G21" s="3924"/>
      <c r="H21" s="3924"/>
      <c r="I21" s="3924"/>
      <c r="J21" s="3924">
        <f>(SUM('ACTIVOS uni'!K22)+'Alumnos x PTC'!AF164)/'Alumnos x PTC'!AW21</f>
        <v>15</v>
      </c>
      <c r="K21" s="3924">
        <f>(SUM('ACTIVOS uni'!L22)+'Alumnos x PTC'!AG164)/'Alumnos x PTC'!BA21</f>
        <v>11.285714285714286</v>
      </c>
      <c r="L21" s="3924">
        <f>(SUM('ACTIVOS uni'!M22)+'Alumnos x PTC'!AH164)/'Alumnos x PTC'!BE21</f>
        <v>15.375</v>
      </c>
      <c r="M21" s="3924">
        <f>(SUM('ACTIVOS uni'!N22)+'Alumnos x PTC'!AI164)/'Alumnos x PTC'!BI21</f>
        <v>13.9</v>
      </c>
      <c r="N21" s="3924">
        <f>(SUM('ACTIVOS uni'!O22)+'Alumnos x PTC'!AJ164)/'Alumnos x PTC'!BM21</f>
        <v>11.533333333333333</v>
      </c>
      <c r="O21" s="3924">
        <f>(SUM('ACTIVOS uni'!P22)+'Alumnos x PTC'!AK164)/'Alumnos x PTC'!BQ21</f>
        <v>11.25</v>
      </c>
      <c r="P21" s="3924">
        <f>(SUM('ACTIVOS uni'!Q22)+'Alumnos x PTC'!AL164)/'Alumnos x PTC'!BU21</f>
        <v>14.105263157894736</v>
      </c>
      <c r="R21" s="5275"/>
      <c r="S21" s="5297">
        <f>'Definitivo x categoría'!J91/2</f>
        <v>0</v>
      </c>
      <c r="T21" s="5297">
        <f>'Definitivo x categoría'!J126/3</f>
        <v>0</v>
      </c>
      <c r="U21" s="5276">
        <f t="shared" si="0"/>
        <v>0</v>
      </c>
      <c r="V21" s="5284"/>
      <c r="W21" s="5297">
        <f>'Definitivo x categoría'!N91/3</f>
        <v>0</v>
      </c>
      <c r="X21" s="5297">
        <f>'Definitivo x categoría'!N126/3</f>
        <v>0</v>
      </c>
      <c r="Y21" s="5292">
        <f t="shared" si="1"/>
        <v>0</v>
      </c>
      <c r="Z21" s="5275"/>
      <c r="AA21" s="5297">
        <f>'Definitivo x categoría'!R91/2</f>
        <v>0</v>
      </c>
      <c r="AB21" s="5297">
        <f>'Definitivo x categoría'!R126/3</f>
        <v>0</v>
      </c>
      <c r="AC21" s="5276">
        <f t="shared" si="2"/>
        <v>0</v>
      </c>
      <c r="AD21" s="5284"/>
      <c r="AE21" s="5297">
        <f>'Definitivo x categoría'!V91/2</f>
        <v>0</v>
      </c>
      <c r="AF21" s="5297">
        <f>'Definitivo x categoría'!V126/3</f>
        <v>0</v>
      </c>
      <c r="AG21" s="5292">
        <f t="shared" si="3"/>
        <v>0</v>
      </c>
      <c r="AH21" s="5275"/>
      <c r="AI21" s="5297">
        <f>'Definitivo x categoría'!Z91/2</f>
        <v>0</v>
      </c>
      <c r="AJ21" s="5297">
        <f>'Definitivo x categoría'!Z126/3</f>
        <v>0</v>
      </c>
      <c r="AK21" s="5276">
        <f t="shared" si="4"/>
        <v>0</v>
      </c>
      <c r="AL21" s="5284"/>
      <c r="AM21" s="5297">
        <f>'Definitivo x categoría'!AD91/2</f>
        <v>0</v>
      </c>
      <c r="AN21" s="5297">
        <f>'Definitivo x categoría'!AD126/3</f>
        <v>0</v>
      </c>
      <c r="AO21" s="5292">
        <f t="shared" si="5"/>
        <v>0</v>
      </c>
      <c r="AP21" s="5275">
        <v>3</v>
      </c>
      <c r="AQ21" s="5297">
        <f>'Definitivo x categoría'!AH91/2</f>
        <v>0</v>
      </c>
      <c r="AR21" s="5297">
        <f>'Definitivo x categoría'!AH126/3</f>
        <v>0</v>
      </c>
      <c r="AS21" s="5276">
        <f t="shared" si="6"/>
        <v>3</v>
      </c>
      <c r="AT21" s="5284">
        <v>4</v>
      </c>
      <c r="AU21" s="5297">
        <f>'Definitivo x categoría'!AL91/2</f>
        <v>0</v>
      </c>
      <c r="AV21" s="5297">
        <f>'Definitivo x categoría'!AL126/3</f>
        <v>0</v>
      </c>
      <c r="AW21" s="5276">
        <f t="shared" si="7"/>
        <v>4</v>
      </c>
      <c r="AX21" s="5284">
        <v>7</v>
      </c>
      <c r="AY21" s="5297">
        <f>'Definitivo x categoría'!AP91/2</f>
        <v>0</v>
      </c>
      <c r="AZ21" s="5297">
        <f>'Definitivo x categoría'!AP126/3</f>
        <v>0</v>
      </c>
      <c r="BA21" s="5276">
        <f t="shared" si="8"/>
        <v>7</v>
      </c>
      <c r="BB21" s="5284">
        <v>8</v>
      </c>
      <c r="BC21" s="5297">
        <f>'Definitivo x categoría'!AT91/2</f>
        <v>0</v>
      </c>
      <c r="BD21" s="5297">
        <f>'Definitivo x categoría'!AT126/3</f>
        <v>0</v>
      </c>
      <c r="BE21" s="5276">
        <f t="shared" si="9"/>
        <v>8</v>
      </c>
      <c r="BF21" s="5284">
        <v>10</v>
      </c>
      <c r="BG21" s="5297">
        <f>'Definitivo x categoría'!AX91/2</f>
        <v>0</v>
      </c>
      <c r="BH21" s="5297">
        <f>'Definitivo x categoría'!AX126/3</f>
        <v>0</v>
      </c>
      <c r="BI21" s="5276">
        <f t="shared" si="10"/>
        <v>10</v>
      </c>
      <c r="BJ21" s="5284">
        <v>15</v>
      </c>
      <c r="BK21" s="5297">
        <f>'Definitivo x categoría'!BB91/2</f>
        <v>0</v>
      </c>
      <c r="BL21" s="5297">
        <f>'Definitivo x categoría'!BB126/3</f>
        <v>0</v>
      </c>
      <c r="BM21" s="5276">
        <f t="shared" si="11"/>
        <v>15</v>
      </c>
      <c r="BN21" s="5284">
        <v>16</v>
      </c>
      <c r="BO21" s="5297">
        <f>'Definitivo x categoría'!BF91/2</f>
        <v>0</v>
      </c>
      <c r="BP21" s="5297">
        <f>'Definitivo x categoría'!BF126/3</f>
        <v>0</v>
      </c>
      <c r="BQ21" s="5276">
        <f>SUM(BN21:BP21)</f>
        <v>16</v>
      </c>
      <c r="BR21" s="5284">
        <v>19</v>
      </c>
      <c r="BS21" s="5297">
        <f>'Definitivo x categoría'!BJ91/2</f>
        <v>0</v>
      </c>
      <c r="BT21" s="5297">
        <f>'Definitivo x categoría'!BJ126/3</f>
        <v>0</v>
      </c>
      <c r="BU21" s="5276">
        <f>SUM(BR21:BT21)</f>
        <v>19</v>
      </c>
    </row>
    <row r="22" spans="1:73" ht="15" x14ac:dyDescent="0.2">
      <c r="A22" s="5764"/>
      <c r="B22" s="1784" t="s">
        <v>6</v>
      </c>
      <c r="C22" s="3925"/>
      <c r="D22" s="3925"/>
      <c r="E22" s="3925"/>
      <c r="F22" s="3925"/>
      <c r="G22" s="3925"/>
      <c r="H22" s="3925"/>
      <c r="I22" s="3925"/>
      <c r="J22" s="3925">
        <f>(SUM('ACTIVOS uni'!K23)+'Alumnos x PTC'!AF165)/'Alumnos x PTC'!AW22</f>
        <v>19.333333333333332</v>
      </c>
      <c r="K22" s="3925">
        <f>(SUM('ACTIVOS uni'!L23)+'Alumnos x PTC'!AG165)/'Alumnos x PTC'!BA22</f>
        <v>13.333333333333334</v>
      </c>
      <c r="L22" s="3925">
        <f>(SUM('ACTIVOS uni'!M23)+'Alumnos x PTC'!AH165)/'Alumnos x PTC'!BE22</f>
        <v>19.714285714285715</v>
      </c>
      <c r="M22" s="3925">
        <f>(SUM('ACTIVOS uni'!N23)+'Alumnos x PTC'!AI165)/'Alumnos x PTC'!BI22</f>
        <v>13.23076923076923</v>
      </c>
      <c r="N22" s="3925">
        <f>(SUM('ACTIVOS uni'!O23)+'Alumnos x PTC'!AJ165)/'Alumnos x PTC'!BM22</f>
        <v>16.384615384615383</v>
      </c>
      <c r="O22" s="3925">
        <f>(SUM('ACTIVOS uni'!P23)+'Alumnos x PTC'!AK165)/'Alumnos x PTC'!BQ22</f>
        <v>11.761904761904763</v>
      </c>
      <c r="P22" s="3925">
        <f>(SUM('ACTIVOS uni'!Q23)+'Alumnos x PTC'!AL165)/'Alumnos x PTC'!BU22</f>
        <v>10.75</v>
      </c>
      <c r="R22" s="5275"/>
      <c r="S22" s="5297">
        <f>'Definitivo x categoría'!J92/2</f>
        <v>0</v>
      </c>
      <c r="T22" s="5297">
        <f>'Definitivo x categoría'!J127/3</f>
        <v>0</v>
      </c>
      <c r="U22" s="5276">
        <f t="shared" si="0"/>
        <v>0</v>
      </c>
      <c r="V22" s="5284"/>
      <c r="W22" s="5297">
        <f>'Definitivo x categoría'!N92/3</f>
        <v>0</v>
      </c>
      <c r="X22" s="5297">
        <f>'Definitivo x categoría'!N127/3</f>
        <v>0</v>
      </c>
      <c r="Y22" s="5292">
        <f t="shared" si="1"/>
        <v>0</v>
      </c>
      <c r="Z22" s="5275"/>
      <c r="AA22" s="5297">
        <f>'Definitivo x categoría'!R92/2</f>
        <v>0</v>
      </c>
      <c r="AB22" s="5297">
        <f>'Definitivo x categoría'!R127/3</f>
        <v>0</v>
      </c>
      <c r="AC22" s="5276">
        <f t="shared" si="2"/>
        <v>0</v>
      </c>
      <c r="AD22" s="5284"/>
      <c r="AE22" s="5297">
        <f>'Definitivo x categoría'!V92/2</f>
        <v>0</v>
      </c>
      <c r="AF22" s="5297">
        <f>'Definitivo x categoría'!V127/3</f>
        <v>0</v>
      </c>
      <c r="AG22" s="5292">
        <f t="shared" si="3"/>
        <v>0</v>
      </c>
      <c r="AH22" s="5275"/>
      <c r="AI22" s="5297">
        <f>'Definitivo x categoría'!Z92/2</f>
        <v>0</v>
      </c>
      <c r="AJ22" s="5297">
        <f>'Definitivo x categoría'!Z127/3</f>
        <v>0</v>
      </c>
      <c r="AK22" s="5276">
        <f t="shared" si="4"/>
        <v>0</v>
      </c>
      <c r="AL22" s="5284"/>
      <c r="AM22" s="5297">
        <f>'Definitivo x categoría'!AD92/2</f>
        <v>0</v>
      </c>
      <c r="AN22" s="5297">
        <f>'Definitivo x categoría'!AD127/3</f>
        <v>0</v>
      </c>
      <c r="AO22" s="5292">
        <f t="shared" si="5"/>
        <v>0</v>
      </c>
      <c r="AP22" s="5275">
        <v>2</v>
      </c>
      <c r="AQ22" s="5297">
        <f>'Definitivo x categoría'!AH92/2</f>
        <v>0</v>
      </c>
      <c r="AR22" s="5297">
        <f>'Definitivo x categoría'!AH127/3</f>
        <v>0</v>
      </c>
      <c r="AS22" s="5276">
        <f t="shared" si="6"/>
        <v>2</v>
      </c>
      <c r="AT22" s="5284">
        <v>3</v>
      </c>
      <c r="AU22" s="5297">
        <f>'Definitivo x categoría'!AL92/2</f>
        <v>0</v>
      </c>
      <c r="AV22" s="5297">
        <f>'Definitivo x categoría'!AL127/3</f>
        <v>0</v>
      </c>
      <c r="AW22" s="5276">
        <f t="shared" si="7"/>
        <v>3</v>
      </c>
      <c r="AX22" s="5284">
        <v>6</v>
      </c>
      <c r="AY22" s="5297">
        <f>'Definitivo x categoría'!AP92/2</f>
        <v>0</v>
      </c>
      <c r="AZ22" s="5297">
        <f>'Definitivo x categoría'!AP127/3</f>
        <v>0</v>
      </c>
      <c r="BA22" s="5276">
        <f t="shared" si="8"/>
        <v>6</v>
      </c>
      <c r="BB22" s="5284">
        <v>7</v>
      </c>
      <c r="BC22" s="5297">
        <f>'Definitivo x categoría'!AT92/2</f>
        <v>0</v>
      </c>
      <c r="BD22" s="5297">
        <f>'Definitivo x categoría'!AT127/3</f>
        <v>0</v>
      </c>
      <c r="BE22" s="5276">
        <f t="shared" si="9"/>
        <v>7</v>
      </c>
      <c r="BF22" s="5284">
        <v>13</v>
      </c>
      <c r="BG22" s="5297">
        <f>'Definitivo x categoría'!AX92/2</f>
        <v>0</v>
      </c>
      <c r="BH22" s="5297">
        <f>'Definitivo x categoría'!AX127/3</f>
        <v>0</v>
      </c>
      <c r="BI22" s="5276">
        <f t="shared" si="10"/>
        <v>13</v>
      </c>
      <c r="BJ22" s="5284">
        <v>13</v>
      </c>
      <c r="BK22" s="5297">
        <f>'Definitivo x categoría'!BB92/2</f>
        <v>0</v>
      </c>
      <c r="BL22" s="5297">
        <f>'Definitivo x categoría'!BB127/3</f>
        <v>0</v>
      </c>
      <c r="BM22" s="5276">
        <f t="shared" si="11"/>
        <v>13</v>
      </c>
      <c r="BN22" s="5284">
        <v>21</v>
      </c>
      <c r="BO22" s="5297">
        <f>'Definitivo x categoría'!BF92/2</f>
        <v>0</v>
      </c>
      <c r="BP22" s="5297">
        <f>'Definitivo x categoría'!BF127/3</f>
        <v>0</v>
      </c>
      <c r="BQ22" s="5276">
        <f>SUM(BN22:BP22)</f>
        <v>21</v>
      </c>
      <c r="BR22" s="5284">
        <v>27</v>
      </c>
      <c r="BS22" s="5297">
        <f>'Definitivo x categoría'!BJ92/2</f>
        <v>1</v>
      </c>
      <c r="BT22" s="5297">
        <f>'Definitivo x categoría'!BJ127/3</f>
        <v>0</v>
      </c>
      <c r="BU22" s="5276">
        <f>SUM(BR22:BT22)</f>
        <v>28</v>
      </c>
    </row>
    <row r="23" spans="1:73" ht="15" x14ac:dyDescent="0.2">
      <c r="A23" s="5764"/>
      <c r="B23" s="1784" t="s">
        <v>11</v>
      </c>
      <c r="C23" s="3925"/>
      <c r="D23" s="3925"/>
      <c r="E23" s="3925"/>
      <c r="F23" s="3925"/>
      <c r="G23" s="3925"/>
      <c r="H23" s="3925"/>
      <c r="I23" s="3925"/>
      <c r="J23" s="3925">
        <f>(SUM('ACTIVOS uni'!K24)+'Alumnos x PTC'!AF166)/'Alumnos x PTC'!AW23</f>
        <v>9.1666666666666661</v>
      </c>
      <c r="K23" s="3925">
        <f>(SUM('ACTIVOS uni'!L24)+'Alumnos x PTC'!AG166)/'Alumnos x PTC'!BA23</f>
        <v>7.666666666666667</v>
      </c>
      <c r="L23" s="3925">
        <f>(SUM('ACTIVOS uni'!M24)+'Alumnos x PTC'!AH166)/'Alumnos x PTC'!BE23</f>
        <v>8.9230769230769234</v>
      </c>
      <c r="M23" s="3925">
        <f>(SUM('ACTIVOS uni'!N24)+'Alumnos x PTC'!AI166)/'Alumnos x PTC'!BI23</f>
        <v>11.307692307692308</v>
      </c>
      <c r="N23" s="3925">
        <f>(SUM('ACTIVOS uni'!O24)+'Alumnos x PTC'!AJ166)/'Alumnos x PTC'!BM23</f>
        <v>14.857142857142858</v>
      </c>
      <c r="O23" s="3925">
        <f>(SUM('ACTIVOS uni'!P24)+'Alumnos x PTC'!AK166)/'Alumnos x PTC'!BQ23</f>
        <v>13.722222222222221</v>
      </c>
      <c r="P23" s="3925">
        <f>(SUM('ACTIVOS uni'!Q24)+'Alumnos x PTC'!AL166)/'Alumnos x PTC'!BU23</f>
        <v>14.95</v>
      </c>
      <c r="R23" s="5275"/>
      <c r="S23" s="5297">
        <f>'Definitivo x categoría'!J93/2</f>
        <v>0</v>
      </c>
      <c r="T23" s="5297">
        <f>'Definitivo x categoría'!J128/3</f>
        <v>0</v>
      </c>
      <c r="U23" s="5276">
        <f t="shared" si="0"/>
        <v>0</v>
      </c>
      <c r="V23" s="5284"/>
      <c r="W23" s="5297">
        <f>'Definitivo x categoría'!N93/3</f>
        <v>0</v>
      </c>
      <c r="X23" s="5297">
        <f>'Definitivo x categoría'!N128/3</f>
        <v>0</v>
      </c>
      <c r="Y23" s="5292">
        <f t="shared" si="1"/>
        <v>0</v>
      </c>
      <c r="Z23" s="5275"/>
      <c r="AA23" s="5297">
        <f>'Definitivo x categoría'!R93/2</f>
        <v>0</v>
      </c>
      <c r="AB23" s="5297">
        <f>'Definitivo x categoría'!R128/3</f>
        <v>0</v>
      </c>
      <c r="AC23" s="5276">
        <f t="shared" si="2"/>
        <v>0</v>
      </c>
      <c r="AD23" s="5284"/>
      <c r="AE23" s="5297">
        <f>'Definitivo x categoría'!V93/2</f>
        <v>0</v>
      </c>
      <c r="AF23" s="5297">
        <f>'Definitivo x categoría'!V128/3</f>
        <v>0</v>
      </c>
      <c r="AG23" s="5292">
        <f t="shared" si="3"/>
        <v>0</v>
      </c>
      <c r="AH23" s="5275"/>
      <c r="AI23" s="5297">
        <f>'Definitivo x categoría'!Z93/2</f>
        <v>0</v>
      </c>
      <c r="AJ23" s="5297">
        <f>'Definitivo x categoría'!Z128/3</f>
        <v>0</v>
      </c>
      <c r="AK23" s="5276">
        <f t="shared" si="4"/>
        <v>0</v>
      </c>
      <c r="AL23" s="5284">
        <v>1</v>
      </c>
      <c r="AM23" s="5297">
        <f>'Definitivo x categoría'!AD93/2</f>
        <v>0</v>
      </c>
      <c r="AN23" s="5297">
        <f>'Definitivo x categoría'!AD128/3</f>
        <v>0</v>
      </c>
      <c r="AO23" s="5292">
        <f t="shared" si="5"/>
        <v>1</v>
      </c>
      <c r="AP23" s="5275">
        <v>5</v>
      </c>
      <c r="AQ23" s="5297">
        <f>'Definitivo x categoría'!AH93/2</f>
        <v>0</v>
      </c>
      <c r="AR23" s="5297">
        <f>'Definitivo x categoría'!AH128/3</f>
        <v>0</v>
      </c>
      <c r="AS23" s="5276">
        <f t="shared" si="6"/>
        <v>5</v>
      </c>
      <c r="AT23" s="5284">
        <v>6</v>
      </c>
      <c r="AU23" s="5297">
        <f>'Definitivo x categoría'!AL93/2</f>
        <v>0</v>
      </c>
      <c r="AV23" s="5297">
        <f>'Definitivo x categoría'!AL128/3</f>
        <v>0</v>
      </c>
      <c r="AW23" s="5276">
        <f t="shared" si="7"/>
        <v>6</v>
      </c>
      <c r="AX23" s="5284">
        <v>9</v>
      </c>
      <c r="AY23" s="5297">
        <f>'Definitivo x categoría'!AP93/2</f>
        <v>0</v>
      </c>
      <c r="AZ23" s="5297">
        <f>'Definitivo x categoría'!AP128/3</f>
        <v>0</v>
      </c>
      <c r="BA23" s="5276">
        <f t="shared" si="8"/>
        <v>9</v>
      </c>
      <c r="BB23" s="5284">
        <v>13</v>
      </c>
      <c r="BC23" s="5297">
        <f>'Definitivo x categoría'!AT93/2</f>
        <v>0</v>
      </c>
      <c r="BD23" s="5297">
        <f>'Definitivo x categoría'!AT128/3</f>
        <v>0</v>
      </c>
      <c r="BE23" s="5276">
        <f t="shared" si="9"/>
        <v>13</v>
      </c>
      <c r="BF23" s="5284">
        <v>13</v>
      </c>
      <c r="BG23" s="5297">
        <f>'Definitivo x categoría'!AX93/2</f>
        <v>0</v>
      </c>
      <c r="BH23" s="5297">
        <f>'Definitivo x categoría'!AX128/3</f>
        <v>0</v>
      </c>
      <c r="BI23" s="5276">
        <f t="shared" si="10"/>
        <v>13</v>
      </c>
      <c r="BJ23" s="5284">
        <v>14</v>
      </c>
      <c r="BK23" s="5297">
        <f>'Definitivo x categoría'!BB93/2</f>
        <v>0</v>
      </c>
      <c r="BL23" s="5297">
        <f>'Definitivo x categoría'!BB128/3</f>
        <v>0</v>
      </c>
      <c r="BM23" s="5276">
        <f t="shared" si="11"/>
        <v>14</v>
      </c>
      <c r="BN23" s="5284">
        <v>18</v>
      </c>
      <c r="BO23" s="5297">
        <f>'Definitivo x categoría'!BF93/2</f>
        <v>0</v>
      </c>
      <c r="BP23" s="5297">
        <f>'Definitivo x categoría'!BF128/3</f>
        <v>0</v>
      </c>
      <c r="BQ23" s="5276">
        <f>SUM(BN23:BP23)</f>
        <v>18</v>
      </c>
      <c r="BR23" s="5284">
        <v>20</v>
      </c>
      <c r="BS23" s="5297">
        <f>'Definitivo x categoría'!BJ93/2</f>
        <v>0</v>
      </c>
      <c r="BT23" s="5297">
        <f>'Definitivo x categoría'!BJ128/3</f>
        <v>0</v>
      </c>
      <c r="BU23" s="5276">
        <f>SUM(BR23:BT23)</f>
        <v>20</v>
      </c>
    </row>
    <row r="24" spans="1:73" ht="15" x14ac:dyDescent="0.2">
      <c r="A24" s="5864"/>
      <c r="B24" s="2726" t="s">
        <v>160</v>
      </c>
      <c r="C24" s="3929"/>
      <c r="D24" s="3929"/>
      <c r="E24" s="3929"/>
      <c r="F24" s="3929"/>
      <c r="G24" s="3929"/>
      <c r="H24" s="3929"/>
      <c r="I24" s="3929"/>
      <c r="J24" s="3929">
        <f>(SUM('ACTIVOS uni'!K25)+'Alumnos x PTC'!AF167)/'Alumnos x PTC'!AW24</f>
        <v>13.307692307692308</v>
      </c>
      <c r="K24" s="3929">
        <f>(SUM('ACTIVOS uni'!L25)+'Alumnos x PTC'!AG167)/'Alumnos x PTC'!BA24</f>
        <v>10.363636363636363</v>
      </c>
      <c r="L24" s="3929">
        <f>(SUM('ACTIVOS uni'!M25)+'Alumnos x PTC'!AH167)/'Alumnos x PTC'!BE24</f>
        <v>13.464285714285714</v>
      </c>
      <c r="M24" s="3929">
        <f>(SUM('ACTIVOS uni'!N25)+'Alumnos x PTC'!AI167)/'Alumnos x PTC'!BI24</f>
        <v>12.722222222222221</v>
      </c>
      <c r="N24" s="3929">
        <f>(SUM('ACTIVOS uni'!O25)+'Alumnos x PTC'!AJ167)/'Alumnos x PTC'!BM24</f>
        <v>14.142857142857142</v>
      </c>
      <c r="O24" s="3929">
        <f>(SUM('ACTIVOS uni'!P25)+'Alumnos x PTC'!AK167)/'Alumnos x PTC'!BQ24</f>
        <v>12.254545454545454</v>
      </c>
      <c r="P24" s="3929">
        <f>(SUM('ACTIVOS uni'!Q25)+'Alumnos x PTC'!AL167)/'Alumnos x PTC'!BU24</f>
        <v>12.955223880597014</v>
      </c>
      <c r="R24" s="5275"/>
      <c r="S24" s="5297">
        <f>'Definitivo x categoría'!J94/2</f>
        <v>0</v>
      </c>
      <c r="T24" s="5297">
        <f>'Definitivo x categoría'!J129/3</f>
        <v>0</v>
      </c>
      <c r="U24" s="5276">
        <f t="shared" si="0"/>
        <v>0</v>
      </c>
      <c r="V24" s="5284"/>
      <c r="W24" s="5297">
        <f>'Definitivo x categoría'!N94/3</f>
        <v>0</v>
      </c>
      <c r="X24" s="5297">
        <f>'Definitivo x categoría'!N129/3</f>
        <v>0</v>
      </c>
      <c r="Y24" s="5292">
        <f t="shared" si="1"/>
        <v>0</v>
      </c>
      <c r="Z24" s="5275"/>
      <c r="AA24" s="5297">
        <f>'Definitivo x categoría'!R94/2</f>
        <v>0</v>
      </c>
      <c r="AB24" s="5297">
        <f>'Definitivo x categoría'!R129/3</f>
        <v>0</v>
      </c>
      <c r="AC24" s="5276">
        <f t="shared" si="2"/>
        <v>0</v>
      </c>
      <c r="AD24" s="5284"/>
      <c r="AE24" s="5297">
        <f>'Definitivo x categoría'!V94/2</f>
        <v>0</v>
      </c>
      <c r="AF24" s="5297">
        <f>'Definitivo x categoría'!V129/3</f>
        <v>0</v>
      </c>
      <c r="AG24" s="5292">
        <f t="shared" si="3"/>
        <v>0</v>
      </c>
      <c r="AH24" s="5275"/>
      <c r="AI24" s="5297">
        <f>'Definitivo x categoría'!Z94/2</f>
        <v>0</v>
      </c>
      <c r="AJ24" s="5297">
        <f>'Definitivo x categoría'!Z129/3</f>
        <v>0</v>
      </c>
      <c r="AK24" s="5276">
        <f t="shared" si="4"/>
        <v>0</v>
      </c>
      <c r="AL24" s="5284">
        <v>1</v>
      </c>
      <c r="AM24" s="5297">
        <f>'Definitivo x categoría'!AD94/2</f>
        <v>0</v>
      </c>
      <c r="AN24" s="5297">
        <f>'Definitivo x categoría'!AD129/3</f>
        <v>0</v>
      </c>
      <c r="AO24" s="5292">
        <f t="shared" si="5"/>
        <v>1</v>
      </c>
      <c r="AP24" s="5275">
        <v>10</v>
      </c>
      <c r="AQ24" s="5297">
        <f>'Definitivo x categoría'!AH94/2</f>
        <v>0</v>
      </c>
      <c r="AR24" s="5297">
        <f>'Definitivo x categoría'!AH129/3</f>
        <v>0</v>
      </c>
      <c r="AS24" s="5276">
        <f t="shared" si="6"/>
        <v>10</v>
      </c>
      <c r="AT24" s="5284">
        <v>13</v>
      </c>
      <c r="AU24" s="5297">
        <f>'Definitivo x categoría'!AL94/2</f>
        <v>0</v>
      </c>
      <c r="AV24" s="5297">
        <f>'Definitivo x categoría'!AL129/3</f>
        <v>0</v>
      </c>
      <c r="AW24" s="5276">
        <f t="shared" si="7"/>
        <v>13</v>
      </c>
      <c r="AX24" s="5284">
        <v>22</v>
      </c>
      <c r="AY24" s="5297">
        <f>'Definitivo x categoría'!AP94/2</f>
        <v>0</v>
      </c>
      <c r="AZ24" s="5297">
        <f>'Definitivo x categoría'!AP129/3</f>
        <v>0</v>
      </c>
      <c r="BA24" s="5276">
        <f t="shared" si="8"/>
        <v>22</v>
      </c>
      <c r="BB24" s="5284">
        <v>28</v>
      </c>
      <c r="BC24" s="5297">
        <f>'Definitivo x categoría'!AT94/2</f>
        <v>0</v>
      </c>
      <c r="BD24" s="5297">
        <f>'Definitivo x categoría'!AT129/3</f>
        <v>0</v>
      </c>
      <c r="BE24" s="5276">
        <f t="shared" si="9"/>
        <v>28</v>
      </c>
      <c r="BF24" s="5284">
        <v>36</v>
      </c>
      <c r="BG24" s="5297">
        <f>'Definitivo x categoría'!AX94/2</f>
        <v>0</v>
      </c>
      <c r="BH24" s="5297">
        <f>'Definitivo x categoría'!AX129/3</f>
        <v>0</v>
      </c>
      <c r="BI24" s="5276">
        <f t="shared" si="10"/>
        <v>36</v>
      </c>
      <c r="BJ24" s="5284">
        <v>42</v>
      </c>
      <c r="BK24" s="5297">
        <f>'Definitivo x categoría'!BB94/2</f>
        <v>0</v>
      </c>
      <c r="BL24" s="5297">
        <f>'Definitivo x categoría'!BB129/3</f>
        <v>0</v>
      </c>
      <c r="BM24" s="5276">
        <f t="shared" si="11"/>
        <v>42</v>
      </c>
      <c r="BN24" s="5284">
        <v>55</v>
      </c>
      <c r="BO24" s="5297">
        <f>'Definitivo x categoría'!BF94/2</f>
        <v>0</v>
      </c>
      <c r="BP24" s="5297">
        <f>'Definitivo x categoría'!BF129/3</f>
        <v>0</v>
      </c>
      <c r="BQ24" s="5276">
        <f>SUM(BN24:BP24)</f>
        <v>55</v>
      </c>
      <c r="BR24" s="5284">
        <v>66</v>
      </c>
      <c r="BS24" s="5297">
        <f>'Definitivo x categoría'!BJ94/2</f>
        <v>1</v>
      </c>
      <c r="BT24" s="5297">
        <f>'Definitivo x categoría'!BJ129/3</f>
        <v>0</v>
      </c>
      <c r="BU24" s="5276">
        <f>SUM(BR24:BT24)</f>
        <v>67</v>
      </c>
    </row>
    <row r="25" spans="1:73" x14ac:dyDescent="0.2">
      <c r="C25" s="4050"/>
      <c r="D25" s="4050"/>
      <c r="E25" s="4050"/>
      <c r="F25" s="4050"/>
      <c r="G25" s="4050"/>
      <c r="H25" s="4050"/>
      <c r="I25" s="4050"/>
      <c r="J25" s="4050"/>
      <c r="K25" s="4050"/>
      <c r="L25" s="4050"/>
      <c r="M25" s="4050"/>
      <c r="N25" s="4050"/>
      <c r="O25" s="4050"/>
      <c r="P25" s="4050"/>
      <c r="R25" s="3933"/>
      <c r="S25" s="3935"/>
      <c r="T25" s="3935"/>
      <c r="U25" s="3936"/>
      <c r="V25" s="5281"/>
      <c r="W25" s="3935"/>
      <c r="X25" s="3935"/>
      <c r="Y25" s="5289"/>
      <c r="Z25" s="3933"/>
      <c r="AA25" s="3935"/>
      <c r="AB25" s="3935"/>
      <c r="AC25" s="3936"/>
      <c r="AD25" s="5281"/>
      <c r="AE25" s="3935"/>
      <c r="AF25" s="3935"/>
      <c r="AG25" s="5289"/>
      <c r="AH25" s="3933"/>
      <c r="AI25" s="3935"/>
      <c r="AJ25" s="3935"/>
      <c r="AK25" s="3936"/>
      <c r="AL25" s="5281"/>
      <c r="AM25" s="3935"/>
      <c r="AN25" s="3935"/>
      <c r="AO25" s="5289"/>
      <c r="AP25" s="3933"/>
      <c r="AQ25" s="3935"/>
      <c r="AR25" s="3935"/>
      <c r="AS25" s="3936"/>
      <c r="AT25" s="5281"/>
      <c r="AU25" s="3935"/>
      <c r="AV25" s="3935"/>
      <c r="AW25" s="3936"/>
      <c r="AX25" s="5281"/>
      <c r="AY25" s="3935"/>
      <c r="AZ25" s="3935"/>
      <c r="BA25" s="3936"/>
      <c r="BB25" s="5281"/>
      <c r="BC25" s="3935"/>
      <c r="BD25" s="3935"/>
      <c r="BE25" s="3936"/>
      <c r="BF25" s="5281"/>
      <c r="BG25" s="3935"/>
      <c r="BH25" s="3935"/>
      <c r="BI25" s="3936"/>
      <c r="BJ25" s="5281"/>
      <c r="BK25" s="3935"/>
      <c r="BL25" s="3935"/>
      <c r="BM25" s="3936"/>
      <c r="BN25" s="5281"/>
      <c r="BO25" s="3935"/>
      <c r="BP25" s="3935"/>
      <c r="BQ25" s="3936"/>
      <c r="BR25" s="5281"/>
      <c r="BS25" s="3935"/>
      <c r="BT25" s="3935"/>
      <c r="BU25" s="3936"/>
    </row>
    <row r="26" spans="1:73" ht="15" x14ac:dyDescent="0.2">
      <c r="A26" s="7173" t="s">
        <v>163</v>
      </c>
      <c r="B26" s="3705" t="s">
        <v>6</v>
      </c>
      <c r="C26" s="3924">
        <f>(SUM('ACTIVOS uni'!D27)+'Alumnos x PTC'!Y169)/'Alumnos x PTC'!U26</f>
        <v>18.578610603290674</v>
      </c>
      <c r="D26" s="3924">
        <f>(SUM('ACTIVOS uni'!E27)+'Alumnos x PTC'!Z169)/'Alumnos x PTC'!Y26</f>
        <v>19.351526364477337</v>
      </c>
      <c r="E26" s="3924">
        <f>(SUM('ACTIVOS uni'!F27)+'Alumnos x PTC'!AA169)/'Alumnos x PTC'!AC26</f>
        <v>19.776243093922652</v>
      </c>
      <c r="F26" s="3924">
        <f>(SUM('ACTIVOS uni'!G27)+'Alumnos x PTC'!AB169)/'Alumnos x PTC'!AG26</f>
        <v>21.29032258064516</v>
      </c>
      <c r="G26" s="3924">
        <f>(SUM('ACTIVOS uni'!H27)+'Alumnos x PTC'!AC169)/'Alumnos x PTC'!AK26</f>
        <v>21.019755409219194</v>
      </c>
      <c r="H26" s="3924">
        <f>(SUM('ACTIVOS uni'!I27)+'Alumnos x PTC'!AD169)/'Alumnos x PTC'!AO26</f>
        <v>20.198620689655172</v>
      </c>
      <c r="I26" s="3924">
        <f>(SUM('ACTIVOS uni'!J27)+'Alumnos x PTC'!AE169)/'Alumnos x PTC'!AS26</f>
        <v>19.983493810178818</v>
      </c>
      <c r="J26" s="3924">
        <f>(SUM('ACTIVOS uni'!K27)+'Alumnos x PTC'!AF169)/'Alumnos x PTC'!AW26</f>
        <v>18.81203007518797</v>
      </c>
      <c r="K26" s="3924">
        <f>(SUM('ACTIVOS uni'!L27)+'Alumnos x PTC'!AG169)/'Alumnos x PTC'!BA26</f>
        <v>18.819614711033275</v>
      </c>
      <c r="L26" s="3924">
        <f>(SUM('ACTIVOS uni'!M27)+'Alumnos x PTC'!AH169)/'Alumnos x PTC'!BE26</f>
        <v>19.087549494060713</v>
      </c>
      <c r="M26" s="3924">
        <f>(SUM('ACTIVOS uni'!N27)+'Alumnos x PTC'!AI169)/'Alumnos x PTC'!BI26</f>
        <v>19.095006628369418</v>
      </c>
      <c r="N26" s="3924">
        <f>(SUM('ACTIVOS uni'!O27)+'Alumnos x PTC'!AJ169)/'Alumnos x PTC'!BM26</f>
        <v>19.231043710972344</v>
      </c>
      <c r="O26" s="3924">
        <f>(SUM('ACTIVOS uni'!P27)+'Alumnos x PTC'!AK169)/'Alumnos x PTC'!BQ26</f>
        <v>19.914777878513146</v>
      </c>
      <c r="P26" s="3924">
        <f>(SUM('ACTIVOS uni'!Q27)+'Alumnos x PTC'!AL169)/'Alumnos x PTC'!BU26</f>
        <v>20.150273224043715</v>
      </c>
      <c r="R26" s="5271">
        <v>347</v>
      </c>
      <c r="S26" s="5298">
        <f>'Definitivo x categoría'!J96/2</f>
        <v>16</v>
      </c>
      <c r="T26" s="5298">
        <f>'Definitivo x categoría'!J131/3</f>
        <v>1.6666666666666667</v>
      </c>
      <c r="U26" s="5272">
        <f t="shared" si="0"/>
        <v>364.66666666666669</v>
      </c>
      <c r="V26" s="5285">
        <v>347</v>
      </c>
      <c r="W26" s="5298">
        <f>'Definitivo x categoría'!N96/3</f>
        <v>11.333333333333334</v>
      </c>
      <c r="X26" s="5298">
        <f>'Definitivo x categoría'!N131/3</f>
        <v>2</v>
      </c>
      <c r="Y26" s="5293">
        <f t="shared" si="1"/>
        <v>360.33333333333331</v>
      </c>
      <c r="Z26" s="5271">
        <v>340</v>
      </c>
      <c r="AA26" s="5298">
        <f>'Definitivo x categoría'!R96/2</f>
        <v>20</v>
      </c>
      <c r="AB26" s="5298">
        <f>'Definitivo x categoría'!R131/3</f>
        <v>2</v>
      </c>
      <c r="AC26" s="5272">
        <f t="shared" si="2"/>
        <v>362</v>
      </c>
      <c r="AD26" s="5285">
        <v>326</v>
      </c>
      <c r="AE26" s="5298">
        <f>'Definitivo x categoría'!V96/2</f>
        <v>18.5</v>
      </c>
      <c r="AF26" s="5298">
        <f>'Definitivo x categoría'!V131/3</f>
        <v>1.6666666666666667</v>
      </c>
      <c r="AG26" s="5293">
        <f t="shared" si="3"/>
        <v>346.16666666666669</v>
      </c>
      <c r="AH26" s="5271">
        <v>335</v>
      </c>
      <c r="AI26" s="5298">
        <f>'Definitivo x categoría'!Z96/2</f>
        <v>17</v>
      </c>
      <c r="AJ26" s="5298">
        <f>'Definitivo x categoría'!Z131/3</f>
        <v>2.3333333333333335</v>
      </c>
      <c r="AK26" s="5272">
        <f t="shared" si="4"/>
        <v>354.33333333333331</v>
      </c>
      <c r="AL26" s="5285">
        <v>344</v>
      </c>
      <c r="AM26" s="5298">
        <f>'Definitivo x categoría'!AD96/2</f>
        <v>16.5</v>
      </c>
      <c r="AN26" s="5298">
        <f>'Definitivo x categoría'!AD131/3</f>
        <v>2</v>
      </c>
      <c r="AO26" s="5293">
        <f t="shared" si="5"/>
        <v>362.5</v>
      </c>
      <c r="AP26" s="5271">
        <v>342</v>
      </c>
      <c r="AQ26" s="5298">
        <f>'Definitivo x categoría'!AH96/2</f>
        <v>16.5</v>
      </c>
      <c r="AR26" s="5298">
        <f>'Definitivo x categoría'!AH131/3</f>
        <v>5</v>
      </c>
      <c r="AS26" s="5272">
        <f t="shared" si="6"/>
        <v>363.5</v>
      </c>
      <c r="AT26" s="5285">
        <v>356</v>
      </c>
      <c r="AU26" s="5298">
        <f>'Definitivo x categoría'!AL96/2</f>
        <v>15.5</v>
      </c>
      <c r="AV26" s="5298">
        <f>'Definitivo x categoría'!AL131/3</f>
        <v>5.333333333333333</v>
      </c>
      <c r="AW26" s="5272">
        <f t="shared" si="7"/>
        <v>376.83333333333331</v>
      </c>
      <c r="AX26" s="5285">
        <v>363</v>
      </c>
      <c r="AY26" s="5298">
        <f>'Definitivo x categoría'!AP96/2</f>
        <v>13</v>
      </c>
      <c r="AZ26" s="5298">
        <f>'Definitivo x categoría'!AP131/3</f>
        <v>4.666666666666667</v>
      </c>
      <c r="BA26" s="5272">
        <f t="shared" si="8"/>
        <v>380.66666666666669</v>
      </c>
      <c r="BB26" s="5285">
        <v>363</v>
      </c>
      <c r="BC26" s="5298">
        <f>'Definitivo x categoría'!AT96/2</f>
        <v>11.5</v>
      </c>
      <c r="BD26" s="5298">
        <f>'Definitivo x categoría'!AT131/3</f>
        <v>4.333333333333333</v>
      </c>
      <c r="BE26" s="5272">
        <f t="shared" si="9"/>
        <v>378.83333333333331</v>
      </c>
      <c r="BF26" s="5285">
        <v>361</v>
      </c>
      <c r="BG26" s="5298">
        <f>'Definitivo x categoría'!AX96/2</f>
        <v>11.5</v>
      </c>
      <c r="BH26" s="5298">
        <f>'Definitivo x categoría'!AX131/3</f>
        <v>4.666666666666667</v>
      </c>
      <c r="BI26" s="5272">
        <f t="shared" si="10"/>
        <v>377.16666666666669</v>
      </c>
      <c r="BJ26" s="5285">
        <v>358</v>
      </c>
      <c r="BK26" s="5298">
        <f>'Definitivo x categoría'!BB96/2</f>
        <v>12</v>
      </c>
      <c r="BL26" s="5298">
        <f>'Definitivo x categoría'!BB131/3</f>
        <v>3.6666666666666665</v>
      </c>
      <c r="BM26" s="5272">
        <f t="shared" si="11"/>
        <v>373.66666666666669</v>
      </c>
      <c r="BN26" s="5285">
        <v>351</v>
      </c>
      <c r="BO26" s="5298">
        <f>'Definitivo x categoría'!BF96/2</f>
        <v>13</v>
      </c>
      <c r="BP26" s="5298">
        <f>'Definitivo x categoría'!BF131/3</f>
        <v>3.6666666666666665</v>
      </c>
      <c r="BQ26" s="5272">
        <f>SUM(BN26:BP26)</f>
        <v>367.66666666666669</v>
      </c>
      <c r="BR26" s="5285">
        <v>349</v>
      </c>
      <c r="BS26" s="5298">
        <f>'Definitivo x categoría'!BJ96/2</f>
        <v>13</v>
      </c>
      <c r="BT26" s="5298">
        <f>'Definitivo x categoría'!BJ131/3</f>
        <v>4</v>
      </c>
      <c r="BU26" s="5272">
        <f>SUM(BR26:BT26)</f>
        <v>366</v>
      </c>
    </row>
    <row r="27" spans="1:73" ht="15" x14ac:dyDescent="0.2">
      <c r="A27" s="5697"/>
      <c r="B27" s="1784" t="s">
        <v>11</v>
      </c>
      <c r="C27" s="3925">
        <f>(SUM('ACTIVOS uni'!D28)+'Alumnos x PTC'!Y170)/'Alumnos x PTC'!U27</f>
        <v>20.26672735548475</v>
      </c>
      <c r="D27" s="3925">
        <f>(SUM('ACTIVOS uni'!E28)+'Alumnos x PTC'!Z170)/'Alumnos x PTC'!Y27</f>
        <v>21.828054298642531</v>
      </c>
      <c r="E27" s="3925">
        <f>(SUM('ACTIVOS uni'!F28)+'Alumnos x PTC'!AA170)/'Alumnos x PTC'!AC27</f>
        <v>22.969424460431654</v>
      </c>
      <c r="F27" s="3925">
        <f>(SUM('ACTIVOS uni'!G28)+'Alumnos x PTC'!AB170)/'Alumnos x PTC'!AG27</f>
        <v>23.75967228038234</v>
      </c>
      <c r="G27" s="3925">
        <f>(SUM('ACTIVOS uni'!H28)+'Alumnos x PTC'!AC170)/'Alumnos x PTC'!AK27</f>
        <v>23.693933823529409</v>
      </c>
      <c r="H27" s="3925">
        <f>(SUM('ACTIVOS uni'!I28)+'Alumnos x PTC'!AD170)/'Alumnos x PTC'!AO27</f>
        <v>23.798961774421898</v>
      </c>
      <c r="I27" s="3925">
        <f>(SUM('ACTIVOS uni'!J28)+'Alumnos x PTC'!AE170)/'Alumnos x PTC'!AS27</f>
        <v>23.450980392156861</v>
      </c>
      <c r="J27" s="3925">
        <f>(SUM('ACTIVOS uni'!K28)+'Alumnos x PTC'!AF170)/'Alumnos x PTC'!AW27</f>
        <v>23.309312119794104</v>
      </c>
      <c r="K27" s="3925">
        <f>(SUM('ACTIVOS uni'!L28)+'Alumnos x PTC'!AG170)/'Alumnos x PTC'!BA27</f>
        <v>22.759191176470587</v>
      </c>
      <c r="L27" s="3925">
        <f>(SUM('ACTIVOS uni'!M28)+'Alumnos x PTC'!AH170)/'Alumnos x PTC'!BE27</f>
        <v>22.942298955020448</v>
      </c>
      <c r="M27" s="3925">
        <f>(SUM('ACTIVOS uni'!N28)+'Alumnos x PTC'!AI170)/'Alumnos x PTC'!BI27</f>
        <v>22.346666666666668</v>
      </c>
      <c r="N27" s="3925">
        <f>(SUM('ACTIVOS uni'!O28)+'Alumnos x PTC'!AJ170)/'Alumnos x PTC'!BM27</f>
        <v>22.712195121951222</v>
      </c>
      <c r="O27" s="3925">
        <f>(SUM('ACTIVOS uni'!P28)+'Alumnos x PTC'!AK170)/'Alumnos x PTC'!BQ27</f>
        <v>23.443186962426434</v>
      </c>
      <c r="P27" s="3925">
        <f>(SUM('ACTIVOS uni'!Q28)+'Alumnos x PTC'!AL170)/'Alumnos x PTC'!BU27</f>
        <v>24.281934306569344</v>
      </c>
      <c r="R27" s="5271">
        <v>352</v>
      </c>
      <c r="S27" s="5298">
        <f>'Definitivo x categoría'!J97/2</f>
        <v>13.5</v>
      </c>
      <c r="T27" s="5298">
        <f>'Definitivo x categoría'!J132/3</f>
        <v>0.66666666666666663</v>
      </c>
      <c r="U27" s="5272">
        <f t="shared" si="0"/>
        <v>366.16666666666669</v>
      </c>
      <c r="V27" s="5285">
        <v>358</v>
      </c>
      <c r="W27" s="5298">
        <f>'Definitivo x categoría'!N97/3</f>
        <v>9.6666666666666661</v>
      </c>
      <c r="X27" s="5298">
        <f>'Definitivo x categoría'!N132/3</f>
        <v>0.66666666666666663</v>
      </c>
      <c r="Y27" s="5293">
        <f t="shared" si="1"/>
        <v>368.33333333333337</v>
      </c>
      <c r="Z27" s="5271">
        <v>355</v>
      </c>
      <c r="AA27" s="5298">
        <f>'Definitivo x categoría'!R97/2</f>
        <v>15</v>
      </c>
      <c r="AB27" s="5298">
        <f>'Definitivo x categoría'!R132/3</f>
        <v>0.66666666666666663</v>
      </c>
      <c r="AC27" s="5272">
        <f t="shared" si="2"/>
        <v>370.66666666666669</v>
      </c>
      <c r="AD27" s="5285">
        <v>351</v>
      </c>
      <c r="AE27" s="5298">
        <f>'Definitivo x categoría'!V97/2</f>
        <v>14.5</v>
      </c>
      <c r="AF27" s="5298">
        <f>'Definitivo x categoría'!V132/3</f>
        <v>0.66666666666666663</v>
      </c>
      <c r="AG27" s="5293">
        <f t="shared" si="3"/>
        <v>366.16666666666669</v>
      </c>
      <c r="AH27" s="5271">
        <v>346</v>
      </c>
      <c r="AI27" s="5298">
        <f>'Definitivo x categoría'!Z97/2</f>
        <v>16</v>
      </c>
      <c r="AJ27" s="5298">
        <f>'Definitivo x categoría'!Z132/3</f>
        <v>0.66666666666666663</v>
      </c>
      <c r="AK27" s="5272">
        <f t="shared" si="4"/>
        <v>362.66666666666669</v>
      </c>
      <c r="AL27" s="5285">
        <v>336</v>
      </c>
      <c r="AM27" s="5298">
        <f>'Definitivo x categoría'!AD97/2</f>
        <v>16.5</v>
      </c>
      <c r="AN27" s="5298">
        <f>'Definitivo x categoría'!AD132/3</f>
        <v>0.66666666666666663</v>
      </c>
      <c r="AO27" s="5293">
        <f t="shared" si="5"/>
        <v>353.16666666666669</v>
      </c>
      <c r="AP27" s="5271">
        <v>340</v>
      </c>
      <c r="AQ27" s="5298">
        <f>'Definitivo x categoría'!AH97/2</f>
        <v>16</v>
      </c>
      <c r="AR27" s="5298">
        <f>'Definitivo x categoría'!AH132/3</f>
        <v>1</v>
      </c>
      <c r="AS27" s="5272">
        <f t="shared" si="6"/>
        <v>357</v>
      </c>
      <c r="AT27" s="5285">
        <v>340</v>
      </c>
      <c r="AU27" s="5298">
        <f>'Definitivo x categoría'!AL97/2</f>
        <v>15.5</v>
      </c>
      <c r="AV27" s="5298">
        <f>'Definitivo x categoría'!AL132/3</f>
        <v>0.66666666666666663</v>
      </c>
      <c r="AW27" s="5272">
        <f t="shared" si="7"/>
        <v>356.16666666666669</v>
      </c>
      <c r="AX27" s="5285">
        <v>348</v>
      </c>
      <c r="AY27" s="5298">
        <f>'Definitivo x categoría'!AP97/2</f>
        <v>14</v>
      </c>
      <c r="AZ27" s="5298">
        <f>'Definitivo x categoría'!AP132/3</f>
        <v>0.66666666666666663</v>
      </c>
      <c r="BA27" s="5272">
        <f t="shared" si="8"/>
        <v>362.66666666666669</v>
      </c>
      <c r="BB27" s="5285">
        <v>349</v>
      </c>
      <c r="BC27" s="5298">
        <f>'Definitivo x categoría'!AT97/2</f>
        <v>16.5</v>
      </c>
      <c r="BD27" s="5298">
        <f>'Definitivo x categoría'!AT132/3</f>
        <v>1.3333333333333333</v>
      </c>
      <c r="BE27" s="5272">
        <f t="shared" si="9"/>
        <v>366.83333333333331</v>
      </c>
      <c r="BF27" s="5285">
        <v>353</v>
      </c>
      <c r="BG27" s="5298">
        <f>'Definitivo x categoría'!AX97/2</f>
        <v>19</v>
      </c>
      <c r="BH27" s="5298">
        <f>'Definitivo x categoría'!AX132/3</f>
        <v>3</v>
      </c>
      <c r="BI27" s="5272">
        <f t="shared" si="10"/>
        <v>375</v>
      </c>
      <c r="BJ27" s="5285">
        <v>355</v>
      </c>
      <c r="BK27" s="5298">
        <f>'Definitivo x categoría'!BB97/2</f>
        <v>18.5</v>
      </c>
      <c r="BL27" s="5298">
        <f>'Definitivo x categoría'!BB132/3</f>
        <v>2.3333333333333335</v>
      </c>
      <c r="BM27" s="5272">
        <f t="shared" si="11"/>
        <v>375.83333333333331</v>
      </c>
      <c r="BN27" s="5285">
        <v>347</v>
      </c>
      <c r="BO27" s="5298">
        <f>'Definitivo x categoría'!BF97/2</f>
        <v>18.5</v>
      </c>
      <c r="BP27" s="5298">
        <f>'Definitivo x categoría'!BF132/3</f>
        <v>2.6666666666666665</v>
      </c>
      <c r="BQ27" s="5272">
        <f>SUM(BN27:BP27)</f>
        <v>368.16666666666669</v>
      </c>
      <c r="BR27" s="5285">
        <v>347</v>
      </c>
      <c r="BS27" s="5298">
        <f>'Definitivo x categoría'!BJ97/2</f>
        <v>16</v>
      </c>
      <c r="BT27" s="5298">
        <f>'Definitivo x categoría'!BJ132/3</f>
        <v>2.3333333333333335</v>
      </c>
      <c r="BU27" s="5272">
        <f>SUM(BR27:BT27)</f>
        <v>365.33333333333331</v>
      </c>
    </row>
    <row r="28" spans="1:73" ht="15" x14ac:dyDescent="0.2">
      <c r="A28" s="5697"/>
      <c r="B28" s="1784" t="s">
        <v>7</v>
      </c>
      <c r="C28" s="3925">
        <f>(SUM('ACTIVOS uni'!D29)+'Alumnos x PTC'!Y171)/'Alumnos x PTC'!U28</f>
        <v>22.008733624454148</v>
      </c>
      <c r="D28" s="3925">
        <f>(SUM('ACTIVOS uni'!E29)+'Alumnos x PTC'!Z171)/'Alumnos x PTC'!Y28</f>
        <v>23.617449664429529</v>
      </c>
      <c r="E28" s="3925">
        <f>(SUM('ACTIVOS uni'!F29)+'Alumnos x PTC'!AA171)/'Alumnos x PTC'!AC28</f>
        <v>23.174431202600214</v>
      </c>
      <c r="F28" s="3925">
        <f>(SUM('ACTIVOS uni'!G29)+'Alumnos x PTC'!AB171)/'Alumnos x PTC'!AG28</f>
        <v>23.452173913043477</v>
      </c>
      <c r="G28" s="3925">
        <f>(SUM('ACTIVOS uni'!H29)+'Alumnos x PTC'!AC171)/'Alumnos x PTC'!AK28</f>
        <v>23.855895196506552</v>
      </c>
      <c r="H28" s="3925">
        <f>(SUM('ACTIVOS uni'!I29)+'Alumnos x PTC'!AD171)/'Alumnos x PTC'!AO28</f>
        <v>22.779768177028451</v>
      </c>
      <c r="I28" s="3925">
        <f>(SUM('ACTIVOS uni'!J29)+'Alumnos x PTC'!AE171)/'Alumnos x PTC'!AS28</f>
        <v>22.146596858638745</v>
      </c>
      <c r="J28" s="3925">
        <f>(SUM('ACTIVOS uni'!K29)+'Alumnos x PTC'!AF171)/'Alumnos x PTC'!AW28</f>
        <v>21.736082474226805</v>
      </c>
      <c r="K28" s="3925">
        <f>(SUM('ACTIVOS uni'!L29)+'Alumnos x PTC'!AG171)/'Alumnos x PTC'!BA28</f>
        <v>21.778242677824267</v>
      </c>
      <c r="L28" s="3925">
        <f>(SUM('ACTIVOS uni'!M29)+'Alumnos x PTC'!AH171)/'Alumnos x PTC'!BE28</f>
        <v>22.690451206715633</v>
      </c>
      <c r="M28" s="3925">
        <f>(SUM('ACTIVOS uni'!N29)+'Alumnos x PTC'!AI171)/'Alumnos x PTC'!BI28</f>
        <v>21.576805696846389</v>
      </c>
      <c r="N28" s="3925">
        <f>(SUM('ACTIVOS uni'!O29)+'Alumnos x PTC'!AJ171)/'Alumnos x PTC'!BM28</f>
        <v>22.22360248447205</v>
      </c>
      <c r="O28" s="3925">
        <f>(SUM('ACTIVOS uni'!P29)+'Alumnos x PTC'!AK171)/'Alumnos x PTC'!BQ28</f>
        <v>22.518987341772153</v>
      </c>
      <c r="P28" s="3925">
        <f>(SUM('ACTIVOS uni'!Q29)+'Alumnos x PTC'!AL171)/'Alumnos x PTC'!BU28</f>
        <v>24.046614872364042</v>
      </c>
      <c r="R28" s="5271">
        <v>139</v>
      </c>
      <c r="S28" s="5298">
        <f>'Definitivo x categoría'!J98/2</f>
        <v>12</v>
      </c>
      <c r="T28" s="5298">
        <f>'Definitivo x categoría'!J133/3</f>
        <v>1.6666666666666667</v>
      </c>
      <c r="U28" s="5272">
        <f t="shared" si="0"/>
        <v>152.66666666666666</v>
      </c>
      <c r="V28" s="5285">
        <v>139</v>
      </c>
      <c r="W28" s="5298">
        <f>'Definitivo x categoría'!N98/3</f>
        <v>8.6666666666666661</v>
      </c>
      <c r="X28" s="5298">
        <f>'Definitivo x categoría'!N133/3</f>
        <v>1.3333333333333333</v>
      </c>
      <c r="Y28" s="5293">
        <f t="shared" si="1"/>
        <v>149</v>
      </c>
      <c r="Z28" s="5271">
        <v>139</v>
      </c>
      <c r="AA28" s="5298">
        <f>'Definitivo x categoría'!R98/2</f>
        <v>13.5</v>
      </c>
      <c r="AB28" s="5298">
        <f>'Definitivo x categoría'!R133/3</f>
        <v>1.3333333333333333</v>
      </c>
      <c r="AC28" s="5272">
        <f t="shared" si="2"/>
        <v>153.83333333333334</v>
      </c>
      <c r="AD28" s="5285">
        <v>139</v>
      </c>
      <c r="AE28" s="5298">
        <f>'Definitivo x categoría'!V98/2</f>
        <v>13</v>
      </c>
      <c r="AF28" s="5298">
        <f>'Definitivo x categoría'!V133/3</f>
        <v>1.3333333333333333</v>
      </c>
      <c r="AG28" s="5293">
        <f t="shared" si="3"/>
        <v>153.33333333333334</v>
      </c>
      <c r="AH28" s="5271">
        <v>138</v>
      </c>
      <c r="AI28" s="5298">
        <f>'Definitivo x categoría'!Z98/2</f>
        <v>13</v>
      </c>
      <c r="AJ28" s="5298">
        <f>'Definitivo x categoría'!Z133/3</f>
        <v>1.6666666666666667</v>
      </c>
      <c r="AK28" s="5272">
        <f t="shared" si="4"/>
        <v>152.66666666666666</v>
      </c>
      <c r="AL28" s="5285">
        <v>140</v>
      </c>
      <c r="AM28" s="5298">
        <f>'Definitivo x categoría'!AD98/2</f>
        <v>15.5</v>
      </c>
      <c r="AN28" s="5298">
        <f>'Definitivo x categoría'!AD133/3</f>
        <v>2.6666666666666665</v>
      </c>
      <c r="AO28" s="5293">
        <f t="shared" si="5"/>
        <v>158.16666666666666</v>
      </c>
      <c r="AP28" s="5271">
        <v>142</v>
      </c>
      <c r="AQ28" s="5298">
        <f>'Definitivo x categoría'!AH98/2</f>
        <v>14.5</v>
      </c>
      <c r="AR28" s="5298">
        <f>'Definitivo x categoría'!AH133/3</f>
        <v>2.6666666666666665</v>
      </c>
      <c r="AS28" s="5272">
        <f t="shared" si="6"/>
        <v>159.16666666666666</v>
      </c>
      <c r="AT28" s="5285">
        <v>143</v>
      </c>
      <c r="AU28" s="5298">
        <f>'Definitivo x categoría'!AL98/2</f>
        <v>16</v>
      </c>
      <c r="AV28" s="5298">
        <f>'Definitivo x categoría'!AL133/3</f>
        <v>2.6666666666666665</v>
      </c>
      <c r="AW28" s="5272">
        <f t="shared" si="7"/>
        <v>161.66666666666666</v>
      </c>
      <c r="AX28" s="5285">
        <v>141</v>
      </c>
      <c r="AY28" s="5298">
        <f>'Definitivo x categoría'!AP98/2</f>
        <v>16</v>
      </c>
      <c r="AZ28" s="5298">
        <f>'Definitivo x categoría'!AP133/3</f>
        <v>2.3333333333333335</v>
      </c>
      <c r="BA28" s="5272">
        <f t="shared" si="8"/>
        <v>159.33333333333334</v>
      </c>
      <c r="BB28" s="5285">
        <v>141</v>
      </c>
      <c r="BC28" s="5298">
        <f>'Definitivo x categoría'!AT98/2</f>
        <v>15.5</v>
      </c>
      <c r="BD28" s="5298">
        <f>'Definitivo x categoría'!AT133/3</f>
        <v>2.3333333333333335</v>
      </c>
      <c r="BE28" s="5272">
        <f t="shared" si="9"/>
        <v>158.83333333333334</v>
      </c>
      <c r="BF28" s="5285">
        <v>146</v>
      </c>
      <c r="BG28" s="5298">
        <f>'Definitivo x categoría'!AX98/2</f>
        <v>15.5</v>
      </c>
      <c r="BH28" s="5298">
        <f>'Definitivo x categoría'!AX133/3</f>
        <v>2.3333333333333335</v>
      </c>
      <c r="BI28" s="5272">
        <f t="shared" si="10"/>
        <v>163.83333333333334</v>
      </c>
      <c r="BJ28" s="5285">
        <v>143</v>
      </c>
      <c r="BK28" s="5298">
        <f>'Definitivo x categoría'!BB98/2</f>
        <v>16</v>
      </c>
      <c r="BL28" s="5298">
        <f>'Definitivo x categoría'!BB133/3</f>
        <v>2</v>
      </c>
      <c r="BM28" s="5272">
        <f t="shared" si="11"/>
        <v>161</v>
      </c>
      <c r="BN28" s="5285">
        <v>144</v>
      </c>
      <c r="BO28" s="5298">
        <f>'Definitivo x categoría'!BF98/2</f>
        <v>12</v>
      </c>
      <c r="BP28" s="5298">
        <f>'Definitivo x categoría'!BF133/3</f>
        <v>2</v>
      </c>
      <c r="BQ28" s="5272">
        <f>SUM(BN28:BP28)</f>
        <v>158</v>
      </c>
      <c r="BR28" s="5285">
        <v>135</v>
      </c>
      <c r="BS28" s="5298">
        <f>'Definitivo x categoría'!BJ98/2</f>
        <v>13.5</v>
      </c>
      <c r="BT28" s="5298">
        <f>'Definitivo x categoría'!BJ133/3</f>
        <v>1.6666666666666667</v>
      </c>
      <c r="BU28" s="5272">
        <f>SUM(BR28:BT28)</f>
        <v>150.16666666666666</v>
      </c>
    </row>
    <row r="29" spans="1:73" ht="15" x14ac:dyDescent="0.2">
      <c r="A29" s="5698"/>
      <c r="B29" s="2723" t="s">
        <v>160</v>
      </c>
      <c r="C29" s="3930">
        <f>(SUM('ACTIVOS uni'!D30)+'Alumnos x PTC'!Y172)/'Alumnos x PTC'!U29</f>
        <v>19.870967741935484</v>
      </c>
      <c r="D29" s="3930">
        <f>(SUM('ACTIVOS uni'!E30)+'Alumnos x PTC'!Z172)/'Alumnos x PTC'!Y29</f>
        <v>21.115077857956706</v>
      </c>
      <c r="E29" s="3930">
        <f>(SUM('ACTIVOS uni'!F30)+'Alumnos x PTC'!AA172)/'Alumnos x PTC'!AC29</f>
        <v>21.701071630005639</v>
      </c>
      <c r="F29" s="3930">
        <f>(SUM('ACTIVOS uni'!G30)+'Alumnos x PTC'!AB172)/'Alumnos x PTC'!AG29</f>
        <v>22.717751251443975</v>
      </c>
      <c r="G29" s="3930">
        <f>(SUM('ACTIVOS uni'!H30)+'Alumnos x PTC'!AC172)/'Alumnos x PTC'!AK29</f>
        <v>22.632809505557685</v>
      </c>
      <c r="H29" s="3930">
        <f>(SUM('ACTIVOS uni'!I30)+'Alumnos x PTC'!AD172)/'Alumnos x PTC'!AO29</f>
        <v>22.120923135609385</v>
      </c>
      <c r="I29" s="3930">
        <f>(SUM('ACTIVOS uni'!J30)+'Alumnos x PTC'!AE172)/'Alumnos x PTC'!AS29</f>
        <v>21.78211443728685</v>
      </c>
      <c r="J29" s="3930">
        <f>(SUM('ACTIVOS uni'!K30)+'Alumnos x PTC'!AF172)/'Alumnos x PTC'!AW29</f>
        <v>21.130774962742176</v>
      </c>
      <c r="K29" s="3930">
        <f>(SUM('ACTIVOS uni'!L30)+'Alumnos x PTC'!AG172)/'Alumnos x PTC'!BA29</f>
        <v>20.924667651403251</v>
      </c>
      <c r="L29" s="3930">
        <f>(SUM('ACTIVOS uni'!M30)+'Alumnos x PTC'!AH172)/'Alumnos x PTC'!BE29</f>
        <v>21.28358208955224</v>
      </c>
      <c r="M29" s="3930">
        <f>(SUM('ACTIVOS uni'!N30)+'Alumnos x PTC'!AI172)/'Alumnos x PTC'!BI29</f>
        <v>20.870087336244541</v>
      </c>
      <c r="N29" s="3930">
        <f>(SUM('ACTIVOS uni'!O30)+'Alumnos x PTC'!AJ172)/'Alumnos x PTC'!BM29</f>
        <v>21.197144426139484</v>
      </c>
      <c r="O29" s="3930">
        <f>(SUM('ACTIVOS uni'!P30)+'Alumnos x PTC'!AK172)/'Alumnos x PTC'!BQ29</f>
        <v>21.828454223382433</v>
      </c>
      <c r="P29" s="3930">
        <f>(SUM('ACTIVOS uni'!Q30)+'Alumnos x PTC'!AL172)/'Alumnos x PTC'!BU29</f>
        <v>22.526375496313104</v>
      </c>
      <c r="R29" s="5271">
        <v>838</v>
      </c>
      <c r="S29" s="5298">
        <f>'Definitivo x categoría'!J99/2</f>
        <v>41.5</v>
      </c>
      <c r="T29" s="5298">
        <f>'Definitivo x categoría'!J134/3</f>
        <v>4</v>
      </c>
      <c r="U29" s="5272">
        <f t="shared" si="0"/>
        <v>883.5</v>
      </c>
      <c r="V29" s="5285">
        <v>844</v>
      </c>
      <c r="W29" s="5298">
        <f>'Definitivo x categoría'!N99/3</f>
        <v>29.666666666666668</v>
      </c>
      <c r="X29" s="5298">
        <f>'Definitivo x categoría'!N134/3</f>
        <v>4</v>
      </c>
      <c r="Y29" s="5293">
        <f t="shared" si="1"/>
        <v>877.66666666666663</v>
      </c>
      <c r="Z29" s="5271">
        <v>834</v>
      </c>
      <c r="AA29" s="5298">
        <f>'Definitivo x categoría'!R99/2</f>
        <v>48.5</v>
      </c>
      <c r="AB29" s="5298">
        <f>'Definitivo x categoría'!R134/3</f>
        <v>4</v>
      </c>
      <c r="AC29" s="5272">
        <f t="shared" si="2"/>
        <v>886.5</v>
      </c>
      <c r="AD29" s="5285">
        <v>816</v>
      </c>
      <c r="AE29" s="5298">
        <f>'Definitivo x categoría'!V99/2</f>
        <v>46</v>
      </c>
      <c r="AF29" s="5298">
        <f>'Definitivo x categoría'!V134/3</f>
        <v>3.6666666666666665</v>
      </c>
      <c r="AG29" s="5293">
        <f t="shared" si="3"/>
        <v>865.66666666666663</v>
      </c>
      <c r="AH29" s="5271">
        <v>819</v>
      </c>
      <c r="AI29" s="5298">
        <f>'Definitivo x categoría'!Z99/2</f>
        <v>46</v>
      </c>
      <c r="AJ29" s="5298">
        <f>'Definitivo x categoría'!Z134/3</f>
        <v>4.666666666666667</v>
      </c>
      <c r="AK29" s="5272">
        <f t="shared" si="4"/>
        <v>869.66666666666663</v>
      </c>
      <c r="AL29" s="5285">
        <v>820</v>
      </c>
      <c r="AM29" s="5298">
        <f>'Definitivo x categoría'!AD99/2</f>
        <v>48.5</v>
      </c>
      <c r="AN29" s="5298">
        <f>'Definitivo x categoría'!AD134/3</f>
        <v>5.333333333333333</v>
      </c>
      <c r="AO29" s="5293">
        <f t="shared" si="5"/>
        <v>873.83333333333337</v>
      </c>
      <c r="AP29" s="5271">
        <v>824</v>
      </c>
      <c r="AQ29" s="5298">
        <f>'Definitivo x categoría'!AH99/2</f>
        <v>47</v>
      </c>
      <c r="AR29" s="5298">
        <f>'Definitivo x categoría'!AH134/3</f>
        <v>8.6666666666666661</v>
      </c>
      <c r="AS29" s="5272">
        <f t="shared" si="6"/>
        <v>879.66666666666663</v>
      </c>
      <c r="AT29" s="5285">
        <v>839</v>
      </c>
      <c r="AU29" s="5298">
        <f>'Definitivo x categoría'!AL99/2</f>
        <v>47</v>
      </c>
      <c r="AV29" s="5298">
        <f>'Definitivo x categoría'!AL134/3</f>
        <v>8.6666666666666661</v>
      </c>
      <c r="AW29" s="5272">
        <f t="shared" si="7"/>
        <v>894.66666666666663</v>
      </c>
      <c r="AX29" s="5285">
        <v>852</v>
      </c>
      <c r="AY29" s="5298">
        <f>'Definitivo x categoría'!AP99/2</f>
        <v>43</v>
      </c>
      <c r="AZ29" s="5298">
        <f>'Definitivo x categoría'!AP134/3</f>
        <v>7.666666666666667</v>
      </c>
      <c r="BA29" s="5272">
        <f t="shared" si="8"/>
        <v>902.66666666666663</v>
      </c>
      <c r="BB29" s="5285">
        <v>853</v>
      </c>
      <c r="BC29" s="5298">
        <f>'Definitivo x categoría'!AT99/2</f>
        <v>43.5</v>
      </c>
      <c r="BD29" s="5298">
        <f>'Definitivo x categoría'!AT134/3</f>
        <v>8</v>
      </c>
      <c r="BE29" s="5272">
        <f t="shared" si="9"/>
        <v>904.5</v>
      </c>
      <c r="BF29" s="5285">
        <v>860</v>
      </c>
      <c r="BG29" s="5298">
        <f>'Definitivo x categoría'!AX99/2</f>
        <v>46</v>
      </c>
      <c r="BH29" s="5298">
        <f>'Definitivo x categoría'!AX134/3</f>
        <v>10</v>
      </c>
      <c r="BI29" s="5272">
        <f t="shared" si="10"/>
        <v>916</v>
      </c>
      <c r="BJ29" s="5285">
        <v>856</v>
      </c>
      <c r="BK29" s="5298">
        <f>'Definitivo x categoría'!BB99/2</f>
        <v>46.5</v>
      </c>
      <c r="BL29" s="5298">
        <f>'Definitivo x categoría'!BB134/3</f>
        <v>8</v>
      </c>
      <c r="BM29" s="5272">
        <f t="shared" si="11"/>
        <v>910.5</v>
      </c>
      <c r="BN29" s="5285">
        <v>842</v>
      </c>
      <c r="BO29" s="5298">
        <f>'Definitivo x categoría'!BF99/2</f>
        <v>43.5</v>
      </c>
      <c r="BP29" s="5298">
        <f>'Definitivo x categoría'!BF134/3</f>
        <v>8.3333333333333339</v>
      </c>
      <c r="BQ29" s="5272">
        <f>SUM(BN29:BP29)</f>
        <v>893.83333333333337</v>
      </c>
      <c r="BR29" s="5285">
        <v>831</v>
      </c>
      <c r="BS29" s="5298">
        <f>'Definitivo x categoría'!BJ99/2</f>
        <v>42.5</v>
      </c>
      <c r="BT29" s="5298">
        <f>'Definitivo x categoría'!BJ134/3</f>
        <v>8</v>
      </c>
      <c r="BU29" s="5272">
        <f>SUM(BR29:BT29)</f>
        <v>881.5</v>
      </c>
    </row>
    <row r="30" spans="1:73" ht="15" x14ac:dyDescent="0.2">
      <c r="A30" s="1783"/>
      <c r="B30" s="1783"/>
      <c r="C30" s="4050"/>
      <c r="D30" s="4050"/>
      <c r="E30" s="4050"/>
      <c r="F30" s="4050"/>
      <c r="G30" s="4050"/>
      <c r="H30" s="4050"/>
      <c r="I30" s="4050"/>
      <c r="J30" s="4050"/>
      <c r="K30" s="4050"/>
      <c r="L30" s="4050"/>
      <c r="M30" s="4050"/>
      <c r="N30" s="4050"/>
      <c r="O30" s="4050"/>
      <c r="P30" s="4050"/>
      <c r="R30" s="3933"/>
      <c r="S30" s="3935"/>
      <c r="T30" s="3935"/>
      <c r="U30" s="3936"/>
      <c r="V30" s="5281"/>
      <c r="W30" s="3935"/>
      <c r="X30" s="3935"/>
      <c r="Y30" s="5289"/>
      <c r="Z30" s="3933"/>
      <c r="AA30" s="3935"/>
      <c r="AB30" s="3935"/>
      <c r="AC30" s="3936"/>
      <c r="AD30" s="5281"/>
      <c r="AE30" s="3935"/>
      <c r="AF30" s="3935"/>
      <c r="AG30" s="5289"/>
      <c r="AH30" s="3933"/>
      <c r="AI30" s="3935"/>
      <c r="AJ30" s="3935"/>
      <c r="AK30" s="3936"/>
      <c r="AL30" s="5281"/>
      <c r="AM30" s="3935"/>
      <c r="AN30" s="3935"/>
      <c r="AO30" s="5289"/>
      <c r="AP30" s="3933"/>
      <c r="AQ30" s="3935"/>
      <c r="AR30" s="3935"/>
      <c r="AS30" s="3936"/>
      <c r="AT30" s="5281"/>
      <c r="AU30" s="3935"/>
      <c r="AV30" s="3935"/>
      <c r="AW30" s="3936"/>
      <c r="AX30" s="5281"/>
      <c r="AY30" s="3935"/>
      <c r="AZ30" s="3935"/>
      <c r="BA30" s="3936"/>
      <c r="BB30" s="5281"/>
      <c r="BC30" s="3935"/>
      <c r="BD30" s="3935"/>
      <c r="BE30" s="3936"/>
      <c r="BF30" s="5281"/>
      <c r="BG30" s="3935"/>
      <c r="BH30" s="3935"/>
      <c r="BI30" s="3936"/>
      <c r="BJ30" s="5281"/>
      <c r="BK30" s="3935"/>
      <c r="BL30" s="3935"/>
      <c r="BM30" s="3936"/>
      <c r="BN30" s="5281"/>
      <c r="BO30" s="3935"/>
      <c r="BP30" s="3935"/>
      <c r="BQ30" s="3936"/>
      <c r="BR30" s="5281"/>
      <c r="BS30" s="3935"/>
      <c r="BT30" s="3935"/>
      <c r="BU30" s="3936"/>
    </row>
    <row r="31" spans="1:73" ht="15" x14ac:dyDescent="0.2">
      <c r="A31" s="3706" t="s">
        <v>60</v>
      </c>
      <c r="B31" s="3707"/>
      <c r="C31" s="2727">
        <f>(SUM('ACTIVOS uni'!D38)+'Alumnos x PTC'!Y174)/'Alumnos x PTC'!U31</f>
        <v>18.655015099916469</v>
      </c>
      <c r="D31" s="2727">
        <f>(SUM('ACTIVOS uni'!E38)+'Alumnos x PTC'!Z174)/'Alumnos x PTC'!Y31</f>
        <v>19.157698728650317</v>
      </c>
      <c r="E31" s="2727">
        <f>(SUM('ACTIVOS uni'!F38)+'Alumnos x PTC'!AA174)/'Alumnos x PTC'!AC31</f>
        <v>19.242516104585071</v>
      </c>
      <c r="F31" s="2727">
        <f>(SUM('ACTIVOS uni'!G38)+'Alumnos x PTC'!AB174)/'Alumnos x PTC'!AG31</f>
        <v>19.6086657065932</v>
      </c>
      <c r="G31" s="2727">
        <f>(SUM('ACTIVOS uni'!H38)+'Alumnos x PTC'!AC174)/'Alumnos x PTC'!AK31</f>
        <v>19.978489275722723</v>
      </c>
      <c r="H31" s="2727">
        <f>(SUM('ACTIVOS uni'!I38)+'Alumnos x PTC'!AD174)/'Alumnos x PTC'!AO31</f>
        <v>20.066423853324277</v>
      </c>
      <c r="I31" s="2727">
        <f>(SUM('ACTIVOS uni'!J38)+'Alumnos x PTC'!AE174)/'Alumnos x PTC'!AS31</f>
        <v>20.469793757985034</v>
      </c>
      <c r="J31" s="2727">
        <f>(SUM('ACTIVOS uni'!K38)+'Alumnos x PTC'!AF174)/'Alumnos x PTC'!AW31</f>
        <v>20.60891414896799</v>
      </c>
      <c r="K31" s="2727">
        <f>(SUM('ACTIVOS uni'!L38)+'Alumnos x PTC'!AG174)/'Alumnos x PTC'!BA31</f>
        <v>20.916923076923077</v>
      </c>
      <c r="L31" s="2727">
        <f>(SUM('ACTIVOS uni'!M38)+'Alumnos x PTC'!AH174)/'Alumnos x PTC'!BE31</f>
        <v>21.373817587294173</v>
      </c>
      <c r="M31" s="2727">
        <f>(SUM('ACTIVOS uni'!N38)+'Alumnos x PTC'!AI174)/'Alumnos x PTC'!BE31</f>
        <v>21.706294522947562</v>
      </c>
      <c r="N31" s="4049">
        <f>(SUM('ACTIVOS uni'!O38)+'Alumnos x PTC'!AJ174)/'Alumnos x PTC'!BM31</f>
        <v>21.620970067477938</v>
      </c>
      <c r="O31" s="2727">
        <f>(SUM('ACTIVOS uni'!P38)+'Alumnos x PTC'!AK174)/'Alumnos x PTC'!BQ31</f>
        <v>22.084861852797768</v>
      </c>
      <c r="P31" s="4049">
        <f>(SUM('ACTIVOS uni'!Q38)+'Alumnos x PTC'!AL174)/'Alumnos x PTC'!BU31</f>
        <v>21.957874083905594</v>
      </c>
      <c r="R31" s="3933">
        <v>2429</v>
      </c>
      <c r="S31" s="3935">
        <f>'Definitivo x categoría'!J101/2</f>
        <v>106.5</v>
      </c>
      <c r="T31" s="3935">
        <f>'Definitivo x categoría'!J136/3</f>
        <v>58.333333333333336</v>
      </c>
      <c r="U31" s="3936">
        <f t="shared" si="0"/>
        <v>2593.8333333333335</v>
      </c>
      <c r="V31" s="5281">
        <v>2467</v>
      </c>
      <c r="W31" s="3935">
        <f>'Definitivo x categoría'!N101/3</f>
        <v>72</v>
      </c>
      <c r="X31" s="3935">
        <f>'Definitivo x categoría'!N136/3</f>
        <v>56.666666666666664</v>
      </c>
      <c r="Y31" s="5289">
        <f t="shared" si="1"/>
        <v>2595.6666666666665</v>
      </c>
      <c r="Z31" s="3933">
        <v>2468</v>
      </c>
      <c r="AA31" s="3935">
        <f>'Definitivo x categoría'!R101/2</f>
        <v>116</v>
      </c>
      <c r="AB31" s="3935">
        <f>'Definitivo x categoría'!R136/3</f>
        <v>55</v>
      </c>
      <c r="AC31" s="3936">
        <f t="shared" si="2"/>
        <v>2639</v>
      </c>
      <c r="AD31" s="5281">
        <v>2495</v>
      </c>
      <c r="AE31" s="3935">
        <f>'Definitivo x categoría'!V101/2</f>
        <v>113.5</v>
      </c>
      <c r="AF31" s="3935">
        <f>'Definitivo x categoría'!V136/3</f>
        <v>53.333333333333336</v>
      </c>
      <c r="AG31" s="5289">
        <f t="shared" si="3"/>
        <v>2661.8333333333335</v>
      </c>
      <c r="AH31" s="3933">
        <v>2520</v>
      </c>
      <c r="AI31" s="3935">
        <f>'Definitivo x categoría'!Z101/2</f>
        <v>110.5</v>
      </c>
      <c r="AJ31" s="3935">
        <f>'Definitivo x categoría'!Z136/3</f>
        <v>50.333333333333336</v>
      </c>
      <c r="AK31" s="3936">
        <f t="shared" si="4"/>
        <v>2680.8333333333335</v>
      </c>
      <c r="AL31" s="5281">
        <v>2538</v>
      </c>
      <c r="AM31" s="3935">
        <f>'Definitivo x categoría'!AD101/2</f>
        <v>112.5</v>
      </c>
      <c r="AN31" s="3935">
        <f>'Definitivo x categoría'!AD136/3</f>
        <v>49.333333333333336</v>
      </c>
      <c r="AO31" s="5289">
        <f t="shared" si="5"/>
        <v>2699.8333333333335</v>
      </c>
      <c r="AP31" s="3933">
        <v>2575</v>
      </c>
      <c r="AQ31" s="3935">
        <f>'Definitivo x categoría'!AH101/2</f>
        <v>110.5</v>
      </c>
      <c r="AR31" s="3935">
        <f>'Definitivo x categoría'!AH136/3</f>
        <v>54</v>
      </c>
      <c r="AS31" s="3936">
        <f t="shared" si="6"/>
        <v>2739.5</v>
      </c>
      <c r="AT31" s="5281">
        <v>2623</v>
      </c>
      <c r="AU31" s="3935">
        <f>'Definitivo x categoría'!AL101/2</f>
        <v>107.5</v>
      </c>
      <c r="AV31" s="3935">
        <f>'Definitivo x categoría'!AL136/3</f>
        <v>55.333333333333336</v>
      </c>
      <c r="AW31" s="3936">
        <f t="shared" si="7"/>
        <v>2785.8333333333335</v>
      </c>
      <c r="AX31" s="5281">
        <v>2663</v>
      </c>
      <c r="AY31" s="3935">
        <f>'Definitivo x categoría'!AP101/2</f>
        <v>98</v>
      </c>
      <c r="AZ31" s="3935">
        <f>'Definitivo x categoría'!AP136/3</f>
        <v>55.666666666666664</v>
      </c>
      <c r="BA31" s="3936">
        <f t="shared" si="8"/>
        <v>2816.6666666666665</v>
      </c>
      <c r="BB31" s="5281">
        <v>2705</v>
      </c>
      <c r="BC31" s="3935">
        <f>'Definitivo x categoría'!AT101/2</f>
        <v>96</v>
      </c>
      <c r="BD31" s="3935">
        <f>'Definitivo x categoría'!AT136/3</f>
        <v>53.333333333333336</v>
      </c>
      <c r="BE31" s="3936">
        <f t="shared" si="9"/>
        <v>2854.3333333333335</v>
      </c>
      <c r="BF31" s="5281">
        <v>2759</v>
      </c>
      <c r="BG31" s="3935">
        <f>'Definitivo x categoría'!AX101/2</f>
        <v>97</v>
      </c>
      <c r="BH31" s="3935">
        <f>'Definitivo x categoría'!AX136/3</f>
        <v>57</v>
      </c>
      <c r="BI31" s="3936">
        <f t="shared" si="10"/>
        <v>2913</v>
      </c>
      <c r="BJ31" s="5281">
        <v>2743</v>
      </c>
      <c r="BK31" s="3935">
        <f>'Definitivo x categoría'!BB101/2</f>
        <v>93.5</v>
      </c>
      <c r="BL31" s="3935">
        <f>'Definitivo x categoría'!BB136/3</f>
        <v>53.333333333333336</v>
      </c>
      <c r="BM31" s="3936">
        <f t="shared" si="11"/>
        <v>2889.8333333333335</v>
      </c>
      <c r="BN31" s="5281">
        <v>2732</v>
      </c>
      <c r="BO31" s="3935">
        <f>'Definitivo x categoría'!BF101/2</f>
        <v>88</v>
      </c>
      <c r="BP31" s="3935">
        <f>'Definitivo x categoría'!BF136/3</f>
        <v>51.333333333333336</v>
      </c>
      <c r="BQ31" s="3936">
        <f>SUM(BN31:BP31)</f>
        <v>2871.3333333333335</v>
      </c>
      <c r="BR31" s="5281">
        <v>2754</v>
      </c>
      <c r="BS31" s="3935">
        <f>'Definitivo x categoría'!BJ101/2</f>
        <v>84.5</v>
      </c>
      <c r="BT31" s="3935">
        <f>'Definitivo x categoría'!BJ136/3</f>
        <v>49.666666666666664</v>
      </c>
      <c r="BU31" s="3936">
        <f>SUM(BR31:BT31)</f>
        <v>2888.1666666666665</v>
      </c>
    </row>
    <row r="32" spans="1:73" x14ac:dyDescent="0.2">
      <c r="R32" s="3933"/>
      <c r="S32" s="3935"/>
      <c r="T32" s="3935"/>
      <c r="U32" s="3936"/>
      <c r="V32" s="5607"/>
      <c r="W32" s="3935"/>
      <c r="X32" s="3935"/>
      <c r="Y32" s="5608"/>
      <c r="Z32" s="3933"/>
      <c r="AA32" s="3935"/>
      <c r="AB32" s="3935"/>
      <c r="AC32" s="3936"/>
      <c r="AD32" s="5607"/>
      <c r="AE32" s="3935"/>
      <c r="AF32" s="3935"/>
      <c r="AG32" s="5608"/>
      <c r="AH32" s="3933"/>
      <c r="AI32" s="3935"/>
      <c r="AJ32" s="3935"/>
      <c r="AK32" s="3936"/>
      <c r="AL32" s="5607"/>
      <c r="AM32" s="3935"/>
      <c r="AN32" s="3935"/>
      <c r="AO32" s="5608"/>
      <c r="AP32" s="3933"/>
      <c r="AQ32" s="3935"/>
      <c r="AR32" s="3935"/>
      <c r="AS32" s="3936"/>
      <c r="AT32" s="5607"/>
      <c r="AU32" s="3935"/>
      <c r="AV32" s="3935"/>
      <c r="AW32" s="3936"/>
      <c r="AX32" s="5281"/>
      <c r="AY32" s="3935"/>
      <c r="AZ32" s="3935"/>
      <c r="BA32" s="3936"/>
      <c r="BB32" s="5607"/>
      <c r="BC32" s="3935"/>
      <c r="BD32" s="3935"/>
      <c r="BE32" s="3936"/>
      <c r="BF32" s="5607"/>
      <c r="BG32" s="3935"/>
      <c r="BH32" s="3935"/>
      <c r="BI32" s="3936"/>
      <c r="BJ32" s="5607"/>
      <c r="BK32" s="3935"/>
      <c r="BL32" s="3935"/>
      <c r="BM32" s="3936"/>
      <c r="BN32" s="5607"/>
      <c r="BO32" s="3935"/>
      <c r="BP32" s="3935"/>
      <c r="BQ32" s="3936"/>
      <c r="BR32" s="5607"/>
      <c r="BS32" s="3935"/>
      <c r="BT32" s="3935"/>
      <c r="BU32" s="3936"/>
    </row>
    <row r="33" spans="1:50" x14ac:dyDescent="0.2">
      <c r="A33" s="5609" t="s">
        <v>1772</v>
      </c>
      <c r="R33" s="27"/>
      <c r="AX33" s="5279"/>
    </row>
    <row r="34" spans="1:50" ht="15" x14ac:dyDescent="0.2">
      <c r="A34" s="262" t="s">
        <v>811</v>
      </c>
      <c r="B34" s="262" t="s">
        <v>1313</v>
      </c>
      <c r="R34" s="27"/>
      <c r="AX34" s="3923"/>
    </row>
    <row r="35" spans="1:50" ht="15" x14ac:dyDescent="0.25">
      <c r="A35" s="250"/>
      <c r="B35" s="262" t="s">
        <v>1312</v>
      </c>
      <c r="R35" s="27"/>
      <c r="AX35" s="3923"/>
    </row>
    <row r="36" spans="1:50" ht="15" x14ac:dyDescent="0.25">
      <c r="A36" s="250"/>
      <c r="B36" s="262" t="s">
        <v>1311</v>
      </c>
      <c r="R36" s="27"/>
      <c r="AX36" s="3923"/>
    </row>
    <row r="37" spans="1:50" ht="15" x14ac:dyDescent="0.25">
      <c r="A37" s="250"/>
      <c r="B37" s="262"/>
      <c r="R37" s="27"/>
      <c r="AX37" s="3923"/>
    </row>
    <row r="38" spans="1:50" x14ac:dyDescent="0.2">
      <c r="A38" s="5609" t="s">
        <v>1349</v>
      </c>
      <c r="R38" s="27"/>
      <c r="AX38" s="3923"/>
    </row>
    <row r="39" spans="1:50" ht="15" x14ac:dyDescent="0.2">
      <c r="A39" s="262" t="s">
        <v>811</v>
      </c>
      <c r="B39" s="262" t="s">
        <v>1309</v>
      </c>
      <c r="R39" s="27"/>
      <c r="AX39" s="3923"/>
    </row>
    <row r="40" spans="1:50" ht="15" x14ac:dyDescent="0.25">
      <c r="A40" s="250"/>
      <c r="B40" s="262" t="s">
        <v>1308</v>
      </c>
      <c r="R40" s="27"/>
      <c r="AX40" s="3923"/>
    </row>
    <row r="41" spans="1:50" x14ac:dyDescent="0.2">
      <c r="R41" s="27"/>
      <c r="AX41" s="3923"/>
    </row>
    <row r="42" spans="1:50" x14ac:dyDescent="0.2">
      <c r="C42" s="4050"/>
      <c r="D42" s="4050"/>
      <c r="E42" s="4050"/>
      <c r="F42" s="4050"/>
      <c r="G42" s="4050"/>
      <c r="H42" s="4050"/>
      <c r="I42" s="4050"/>
      <c r="J42" s="4050"/>
      <c r="K42" s="4050"/>
      <c r="L42" s="4050"/>
      <c r="M42" s="4050"/>
      <c r="N42" s="4050"/>
      <c r="O42" s="27"/>
      <c r="P42" s="27"/>
      <c r="R42" s="27"/>
    </row>
    <row r="43" spans="1:50" x14ac:dyDescent="0.2">
      <c r="A43" s="2728"/>
      <c r="R43" s="27"/>
    </row>
    <row r="45" spans="1:50" x14ac:dyDescent="0.2">
      <c r="R45" s="27"/>
    </row>
    <row r="46" spans="1:50" x14ac:dyDescent="0.2">
      <c r="R46" s="27"/>
    </row>
    <row r="47" spans="1:50" x14ac:dyDescent="0.2">
      <c r="R47" s="27"/>
    </row>
    <row r="48" spans="1:50" x14ac:dyDescent="0.2">
      <c r="R48" s="27"/>
    </row>
    <row r="49" spans="18:18" x14ac:dyDescent="0.2">
      <c r="R49" s="27"/>
    </row>
    <row r="50" spans="18:18" x14ac:dyDescent="0.2">
      <c r="R50" s="27"/>
    </row>
    <row r="51" spans="18:18" x14ac:dyDescent="0.2">
      <c r="R51" s="27"/>
    </row>
    <row r="52" spans="18:18" x14ac:dyDescent="0.2">
      <c r="R52" s="27"/>
    </row>
    <row r="53" spans="18:18" x14ac:dyDescent="0.2">
      <c r="R53" s="27"/>
    </row>
    <row r="54" spans="18:18" x14ac:dyDescent="0.2">
      <c r="R54" s="27"/>
    </row>
    <row r="55" spans="18:18" x14ac:dyDescent="0.2">
      <c r="R55" s="27"/>
    </row>
    <row r="56" spans="18:18" x14ac:dyDescent="0.2">
      <c r="R56" s="27"/>
    </row>
    <row r="57" spans="18:18" x14ac:dyDescent="0.2">
      <c r="R57" s="27"/>
    </row>
    <row r="58" spans="18:18" x14ac:dyDescent="0.2">
      <c r="R58" s="27"/>
    </row>
    <row r="59" spans="18:18" x14ac:dyDescent="0.2">
      <c r="R59" s="27"/>
    </row>
    <row r="60" spans="18:18" x14ac:dyDescent="0.2">
      <c r="R60" s="27"/>
    </row>
    <row r="61" spans="18:18" x14ac:dyDescent="0.2">
      <c r="R61" s="27"/>
    </row>
    <row r="62" spans="18:18" x14ac:dyDescent="0.2">
      <c r="R62" s="27"/>
    </row>
    <row r="63" spans="18:18" x14ac:dyDescent="0.2">
      <c r="R63" s="27"/>
    </row>
    <row r="64" spans="18:18" x14ac:dyDescent="0.2">
      <c r="R64" s="27"/>
    </row>
    <row r="65" spans="1:18" x14ac:dyDescent="0.2">
      <c r="R65" s="27"/>
    </row>
    <row r="66" spans="1:18" x14ac:dyDescent="0.2">
      <c r="R66" s="27"/>
    </row>
    <row r="67" spans="1:18" x14ac:dyDescent="0.2">
      <c r="R67" s="27"/>
    </row>
    <row r="68" spans="1:18" x14ac:dyDescent="0.2">
      <c r="R68" s="27"/>
    </row>
    <row r="69" spans="1:18" x14ac:dyDescent="0.2">
      <c r="R69" s="27"/>
    </row>
    <row r="70" spans="1:18" x14ac:dyDescent="0.2">
      <c r="R70" s="27"/>
    </row>
    <row r="71" spans="1:18" x14ac:dyDescent="0.2">
      <c r="R71" s="27"/>
    </row>
    <row r="72" spans="1:18" x14ac:dyDescent="0.2">
      <c r="R72" s="27"/>
    </row>
    <row r="73" spans="1:18" x14ac:dyDescent="0.2">
      <c r="R73" s="27"/>
    </row>
    <row r="74" spans="1:18" x14ac:dyDescent="0.2">
      <c r="R74" s="27"/>
    </row>
    <row r="75" spans="1:18" x14ac:dyDescent="0.2">
      <c r="R75" s="27"/>
    </row>
    <row r="76" spans="1:18" x14ac:dyDescent="0.2">
      <c r="R76" s="27"/>
    </row>
    <row r="77" spans="1:18" x14ac:dyDescent="0.2">
      <c r="R77" s="27"/>
    </row>
    <row r="78" spans="1:18" ht="15.75" x14ac:dyDescent="0.25">
      <c r="A78" s="139"/>
      <c r="R78" s="27"/>
    </row>
    <row r="79" spans="1:18" ht="15.75" x14ac:dyDescent="0.25">
      <c r="A79" s="139" t="s">
        <v>1307</v>
      </c>
    </row>
    <row r="81" spans="1:17" ht="15" x14ac:dyDescent="0.2">
      <c r="A81" s="3726" t="s">
        <v>51</v>
      </c>
      <c r="B81" s="3726" t="s">
        <v>685</v>
      </c>
      <c r="C81" s="3726">
        <v>2004</v>
      </c>
      <c r="D81" s="1382">
        <v>2005</v>
      </c>
      <c r="E81" s="3727">
        <v>2006</v>
      </c>
      <c r="F81" s="1382">
        <v>2007</v>
      </c>
      <c r="G81" s="1382">
        <v>2008</v>
      </c>
      <c r="H81" s="1382">
        <v>2009</v>
      </c>
      <c r="I81" s="1382">
        <v>2010</v>
      </c>
      <c r="J81" s="1382">
        <v>2011</v>
      </c>
      <c r="K81" s="1382">
        <v>2012</v>
      </c>
      <c r="L81" s="1382">
        <v>2013</v>
      </c>
      <c r="M81" s="1382">
        <v>2014</v>
      </c>
      <c r="N81" s="1382">
        <v>2015</v>
      </c>
      <c r="O81" s="1382">
        <v>2016</v>
      </c>
      <c r="P81" s="1382">
        <v>2017</v>
      </c>
    </row>
    <row r="82" spans="1:17" ht="15" x14ac:dyDescent="0.25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250"/>
      <c r="M82" s="250"/>
      <c r="N82" s="250"/>
      <c r="O82" s="250"/>
      <c r="P82" s="250"/>
    </row>
    <row r="83" spans="1:17" ht="15" x14ac:dyDescent="0.2">
      <c r="A83" s="7174" t="s">
        <v>161</v>
      </c>
      <c r="B83" s="3705" t="s">
        <v>5</v>
      </c>
      <c r="C83" s="3924">
        <f>'ACTIVOS uni'!D7/'Alumnos x PTC'!U6</f>
        <v>18.429783223374173</v>
      </c>
      <c r="D83" s="3924">
        <f>'ACTIVOS uni'!E7/'Alumnos x PTC'!Y6</f>
        <v>19.248587570621471</v>
      </c>
      <c r="E83" s="3924">
        <f>'ACTIVOS uni'!F7/'Alumnos x PTC'!AC6</f>
        <v>19.867346938775512</v>
      </c>
      <c r="F83" s="3924">
        <f>'ACTIVOS uni'!G7/'Alumnos x PTC'!AG6</f>
        <v>19.785746302106681</v>
      </c>
      <c r="G83" s="3924">
        <f>'ACTIVOS uni'!H7/'Alumnos x PTC'!AK6</f>
        <v>20.6003600360036</v>
      </c>
      <c r="H83" s="3924">
        <f>'ACTIVOS uni'!I7/'Alumnos x PTC'!AO6</f>
        <v>20.881720430107528</v>
      </c>
      <c r="I83" s="3924">
        <f>'ACTIVOS uni'!J7/'Alumnos x PTC'!AS6</f>
        <v>22.62330623306233</v>
      </c>
      <c r="J83" s="3924">
        <f>'ACTIVOS uni'!K7/'Alumnos x PTC'!AW6</f>
        <v>23.302452316076295</v>
      </c>
      <c r="K83" s="3924">
        <f>'ACTIVOS uni'!L7/'Alumnos x PTC'!BA6</f>
        <v>22.818834080717487</v>
      </c>
      <c r="L83" s="3924">
        <f>'ACTIVOS uni'!M7/'Alumnos x PTC'!BE6</f>
        <v>22.62572837292694</v>
      </c>
      <c r="M83" s="3924">
        <f>'ACTIVOS uni'!N7/'Alumnos x PTC'!BI6</f>
        <v>21.454545454545453</v>
      </c>
      <c r="N83" s="3924">
        <f>'ACTIVOS uni'!O7/'Alumnos x PTC'!BM6</f>
        <v>20.87612208258528</v>
      </c>
      <c r="O83" s="3924">
        <f>'ACTIVOS uni'!P7/'Alumnos x PTC'!BQ6</f>
        <v>20.282727272727271</v>
      </c>
      <c r="P83" s="3924">
        <f>'ACTIVOS uni'!Q7/'Alumnos x PTC'!BU6</f>
        <v>18.923283983849259</v>
      </c>
      <c r="Q83" s="3933"/>
    </row>
    <row r="84" spans="1:17" ht="15" x14ac:dyDescent="0.2">
      <c r="A84" s="5690"/>
      <c r="B84" s="1784" t="s">
        <v>6</v>
      </c>
      <c r="C84" s="3925">
        <f>'ACTIVOS uni'!D8/'Alumnos x PTC'!U7</f>
        <v>16.446153846153845</v>
      </c>
      <c r="D84" s="3925">
        <f>'ACTIVOS uni'!E8/'Alumnos x PTC'!Y7</f>
        <v>16.507804370447452</v>
      </c>
      <c r="E84" s="3925">
        <f>'ACTIVOS uni'!F8/'Alumnos x PTC'!AC7</f>
        <v>15.454183266932271</v>
      </c>
      <c r="F84" s="3925">
        <f>'ACTIVOS uni'!G8/'Alumnos x PTC'!AG7</f>
        <v>15.428149606299211</v>
      </c>
      <c r="G84" s="3925">
        <f>'ACTIVOS uni'!H8/'Alumnos x PTC'!AK7</f>
        <v>16.058128078817735</v>
      </c>
      <c r="H84" s="3925">
        <f>'ACTIVOS uni'!I8/'Alumnos x PTC'!AO7</f>
        <v>16.433746898263028</v>
      </c>
      <c r="I84" s="3925">
        <f>'ACTIVOS uni'!J8/'Alumnos x PTC'!AS7</f>
        <v>16.954819277108435</v>
      </c>
      <c r="J84" s="3925">
        <f>'ACTIVOS uni'!K8/'Alumnos x PTC'!AW7</f>
        <v>16.959724950884087</v>
      </c>
      <c r="K84" s="3925">
        <f>'ACTIVOS uni'!L8/'Alumnos x PTC'!BA7</f>
        <v>18.222222222222221</v>
      </c>
      <c r="L84" s="3925">
        <f>'ACTIVOS uni'!M8/'Alumnos x PTC'!BE7</f>
        <v>18.272857826711345</v>
      </c>
      <c r="M84" s="3925">
        <f>'ACTIVOS uni'!N8/'Alumnos x PTC'!BI7</f>
        <v>18.345323741007196</v>
      </c>
      <c r="N84" s="3925">
        <f>'ACTIVOS uni'!O8/'Alumnos x PTC'!BM7</f>
        <v>19.295154185022028</v>
      </c>
      <c r="O84" s="3925">
        <f>'ACTIVOS uni'!P8/'Alumnos x PTC'!BQ7</f>
        <v>20.171686746987952</v>
      </c>
      <c r="P84" s="3925">
        <f>'ACTIVOS uni'!Q8/'Alumnos x PTC'!BU7</f>
        <v>19.324599708879184</v>
      </c>
      <c r="Q84" s="3933"/>
    </row>
    <row r="85" spans="1:17" ht="15" x14ac:dyDescent="0.2">
      <c r="A85" s="5690"/>
      <c r="B85" s="1784" t="s">
        <v>7</v>
      </c>
      <c r="C85" s="3925">
        <f>'ACTIVOS uni'!D9/'Alumnos x PTC'!U8</f>
        <v>15.766062602965404</v>
      </c>
      <c r="D85" s="3925">
        <f>'ACTIVOS uni'!E9/'Alumnos x PTC'!Y8</f>
        <v>15.855737704918035</v>
      </c>
      <c r="E85" s="3925">
        <f>'ACTIVOS uni'!F9/'Alumnos x PTC'!AC8</f>
        <v>15.558252427184467</v>
      </c>
      <c r="F85" s="3925">
        <f>'ACTIVOS uni'!G9/'Alumnos x PTC'!AG8</f>
        <v>15.633943427620631</v>
      </c>
      <c r="G85" s="3925">
        <f>'ACTIVOS uni'!H9/'Alumnos x PTC'!AK8</f>
        <v>15.572023313905079</v>
      </c>
      <c r="H85" s="3925">
        <f>'ACTIVOS uni'!I9/'Alumnos x PTC'!AO8</f>
        <v>14.922580645161291</v>
      </c>
      <c r="I85" s="3925">
        <f>'ACTIVOS uni'!J9/'Alumnos x PTC'!AS8</f>
        <v>14.212238574748257</v>
      </c>
      <c r="J85" s="3925">
        <f>'ACTIVOS uni'!K9/'Alumnos x PTC'!AW8</f>
        <v>14.179310344827586</v>
      </c>
      <c r="K85" s="3925">
        <f>'ACTIVOS uni'!L9/'Alumnos x PTC'!BA8</f>
        <v>14.654545454545454</v>
      </c>
      <c r="L85" s="3925">
        <f>'ACTIVOS uni'!M9/'Alumnos x PTC'!BE8</f>
        <v>15.046979865771812</v>
      </c>
      <c r="M85" s="3925">
        <f>'ACTIVOS uni'!N9/'Alumnos x PTC'!BI8</f>
        <v>14.697443181818182</v>
      </c>
      <c r="N85" s="3925">
        <f>'ACTIVOS uni'!O9/'Alumnos x PTC'!BM8</f>
        <v>15.211636363636364</v>
      </c>
      <c r="O85" s="3925">
        <f>'ACTIVOS uni'!P9/'Alumnos x PTC'!BQ8</f>
        <v>15.545857988165681</v>
      </c>
      <c r="P85" s="3925">
        <f>'ACTIVOS uni'!Q9/'Alumnos x PTC'!BU8</f>
        <v>16.142749812171299</v>
      </c>
      <c r="Q85" s="3933"/>
    </row>
    <row r="86" spans="1:17" ht="15" x14ac:dyDescent="0.2">
      <c r="A86" s="5691"/>
      <c r="B86" s="2722" t="s">
        <v>160</v>
      </c>
      <c r="C86" s="3926">
        <f>'ACTIVOS uni'!D10/'Alumnos x PTC'!U9</f>
        <v>17.086265607264473</v>
      </c>
      <c r="D86" s="3926">
        <f>'ACTIVOS uni'!E10/'Alumnos x PTC'!Y9</f>
        <v>17.462210406380553</v>
      </c>
      <c r="E86" s="3926">
        <f>'ACTIVOS uni'!F10/'Alumnos x PTC'!AC9</f>
        <v>17.239999999999998</v>
      </c>
      <c r="F86" s="3926">
        <f>'ACTIVOS uni'!G10/'Alumnos x PTC'!AG9</f>
        <v>17.252333028362305</v>
      </c>
      <c r="G86" s="3926">
        <f>'ACTIVOS uni'!H10/'Alumnos x PTC'!AK9</f>
        <v>17.801943884100496</v>
      </c>
      <c r="H86" s="3926">
        <f>'ACTIVOS uni'!I10/'Alumnos x PTC'!AO9</f>
        <v>17.901585565882996</v>
      </c>
      <c r="I86" s="3926">
        <f>'ACTIVOS uni'!J10/'Alumnos x PTC'!AS9</f>
        <v>18.593778424595236</v>
      </c>
      <c r="J86" s="3926">
        <f>'ACTIVOS uni'!K10/'Alumnos x PTC'!AW9</f>
        <v>18.824824102471585</v>
      </c>
      <c r="K86" s="3926">
        <f>'ACTIVOS uni'!L10/'Alumnos x PTC'!BA9</f>
        <v>19.216143497757848</v>
      </c>
      <c r="L86" s="3926">
        <f>'ACTIVOS uni'!M10/'Alumnos x PTC'!BE9</f>
        <v>19.224165341812402</v>
      </c>
      <c r="M86" s="3926">
        <f>'ACTIVOS uni'!N10/'Alumnos x PTC'!BI9</f>
        <v>18.682149046793761</v>
      </c>
      <c r="N86" s="3926">
        <f>'ACTIVOS uni'!O10/'Alumnos x PTC'!BM9</f>
        <v>18.924548352816153</v>
      </c>
      <c r="O86" s="3926">
        <f>'ACTIVOS uni'!P10/'Alumnos x PTC'!BQ9</f>
        <v>19.087662337662337</v>
      </c>
      <c r="P86" s="3926">
        <f>'ACTIVOS uni'!Q10/'Alumnos x PTC'!BU9</f>
        <v>18.41202632983455</v>
      </c>
      <c r="Q86" s="3933"/>
    </row>
    <row r="87" spans="1:17" x14ac:dyDescent="0.2">
      <c r="Q87" s="3933"/>
    </row>
    <row r="88" spans="1:17" ht="15" x14ac:dyDescent="0.2">
      <c r="A88" s="7175" t="s">
        <v>407</v>
      </c>
      <c r="B88" s="3705" t="s">
        <v>6</v>
      </c>
      <c r="C88" s="3924"/>
      <c r="D88" s="3924">
        <f>'ACTIVOS uni'!E12/'Alumnos x PTC'!Y11</f>
        <v>27.75</v>
      </c>
      <c r="E88" s="3924">
        <f>'ACTIVOS uni'!F12/'Alumnos x PTC'!AC11</f>
        <v>21.142857142857142</v>
      </c>
      <c r="F88" s="3924">
        <f>'ACTIVOS uni'!G12/'Alumnos x PTC'!AG11</f>
        <v>11.255813953488373</v>
      </c>
      <c r="G88" s="3924">
        <f>'ACTIVOS uni'!H12/'Alumnos x PTC'!AK11</f>
        <v>14.291666666666666</v>
      </c>
      <c r="H88" s="3924">
        <f>'ACTIVOS uni'!I12/'Alumnos x PTC'!AO11</f>
        <v>13.59322033898305</v>
      </c>
      <c r="I88" s="3924">
        <f>'ACTIVOS uni'!J12/'Alumnos x PTC'!AS11</f>
        <v>10.632911392405063</v>
      </c>
      <c r="J88" s="3924">
        <f>'ACTIVOS uni'!K12/'Alumnos x PTC'!AW11</f>
        <v>9.715302491103202</v>
      </c>
      <c r="K88" s="3924">
        <f>'ACTIVOS uni'!L12/'Alumnos x PTC'!BA11</f>
        <v>10.292307692307691</v>
      </c>
      <c r="L88" s="3924">
        <f>'ACTIVOS uni'!M12/'Alumnos x PTC'!BE11</f>
        <v>9.6971830985915481</v>
      </c>
      <c r="M88" s="3924">
        <f>'ACTIVOS uni'!N12/'Alumnos x PTC'!BI11</f>
        <v>11.52</v>
      </c>
      <c r="N88" s="3924">
        <f>'ACTIVOS uni'!O12/'Alumnos x PTC'!BM11</f>
        <v>13.900990099009901</v>
      </c>
      <c r="O88" s="3924">
        <f>'ACTIVOS uni'!P12/'Alumnos x PTC'!BQ11</f>
        <v>14.964285714285714</v>
      </c>
      <c r="P88" s="3924">
        <f>'ACTIVOS uni'!Q12/'Alumnos x PTC'!BU11</f>
        <v>15.451612903225806</v>
      </c>
      <c r="Q88" s="3933"/>
    </row>
    <row r="89" spans="1:17" ht="15" x14ac:dyDescent="0.2">
      <c r="A89" s="5694"/>
      <c r="B89" s="1784" t="s">
        <v>9</v>
      </c>
      <c r="C89" s="3925"/>
      <c r="D89" s="3925">
        <f>'ACTIVOS uni'!E13/'Alumnos x PTC'!Y12</f>
        <v>11.333333333333334</v>
      </c>
      <c r="E89" s="3925">
        <f>'ACTIVOS uni'!F13/'Alumnos x PTC'!AC12</f>
        <v>6.7777777777777777</v>
      </c>
      <c r="F89" s="3925">
        <f>'ACTIVOS uni'!G13/'Alumnos x PTC'!AG12</f>
        <v>14.692307692307692</v>
      </c>
      <c r="G89" s="3925">
        <f>'ACTIVOS uni'!H13/'Alumnos x PTC'!AK12</f>
        <v>13.083333333333334</v>
      </c>
      <c r="H89" s="3925">
        <f>'ACTIVOS uni'!I13/'Alumnos x PTC'!AO12</f>
        <v>12.6</v>
      </c>
      <c r="I89" s="3925">
        <f>'ACTIVOS uni'!J13/'Alumnos x PTC'!AS12</f>
        <v>12.157894736842104</v>
      </c>
      <c r="J89" s="3925">
        <f>'ACTIVOS uni'!K13/'Alumnos x PTC'!AW12</f>
        <v>13.04032258064516</v>
      </c>
      <c r="K89" s="3925">
        <f>'ACTIVOS uni'!L13/'Alumnos x PTC'!BA12</f>
        <v>11.522292993630574</v>
      </c>
      <c r="L89" s="3925">
        <f>'ACTIVOS uni'!M13/'Alumnos x PTC'!BE12</f>
        <v>12.174193548387098</v>
      </c>
      <c r="M89" s="3925">
        <f>'ACTIVOS uni'!N13/'Alumnos x PTC'!BI12</f>
        <v>13.585987261146496</v>
      </c>
      <c r="N89" s="3925">
        <f>'ACTIVOS uni'!O13/'Alumnos x PTC'!BM12</f>
        <v>15.018404907975459</v>
      </c>
      <c r="O89" s="3925">
        <f>'ACTIVOS uni'!P13/'Alumnos x PTC'!BQ12</f>
        <v>17.067073170731707</v>
      </c>
      <c r="P89" s="3925">
        <f>'ACTIVOS uni'!Q13/'Alumnos x PTC'!BU12</f>
        <v>19.98076923076923</v>
      </c>
      <c r="Q89" s="3933"/>
    </row>
    <row r="90" spans="1:17" ht="15" x14ac:dyDescent="0.2">
      <c r="A90" s="5694"/>
      <c r="B90" s="1784" t="s">
        <v>74</v>
      </c>
      <c r="C90" s="3925"/>
      <c r="D90" s="3925">
        <f>'ACTIVOS uni'!E14/'Alumnos x PTC'!Y13</f>
        <v>9.6666666666666661</v>
      </c>
      <c r="E90" s="3925">
        <f>'ACTIVOS uni'!F14/'Alumnos x PTC'!AC13</f>
        <v>13</v>
      </c>
      <c r="F90" s="3925">
        <f>'ACTIVOS uni'!G14/'Alumnos x PTC'!AG13</f>
        <v>7.166666666666667</v>
      </c>
      <c r="G90" s="3925">
        <f>'ACTIVOS uni'!H14/'Alumnos x PTC'!AK13</f>
        <v>9.304347826086957</v>
      </c>
      <c r="H90" s="3925">
        <f>'ACTIVOS uni'!I14/'Alumnos x PTC'!AO13</f>
        <v>11.458333333333334</v>
      </c>
      <c r="I90" s="3925">
        <f>'ACTIVOS uni'!J14/'Alumnos x PTC'!AS13</f>
        <v>11.962962962962964</v>
      </c>
      <c r="J90" s="3925">
        <f>'ACTIVOS uni'!K14/'Alumnos x PTC'!AW13</f>
        <v>11.939393939393939</v>
      </c>
      <c r="K90" s="3925">
        <f>'ACTIVOS uni'!L14/'Alumnos x PTC'!BA13</f>
        <v>13.18348623853211</v>
      </c>
      <c r="L90" s="3925">
        <f>'ACTIVOS uni'!M14/'Alumnos x PTC'!BE13</f>
        <v>15.093333333333334</v>
      </c>
      <c r="M90" s="3925">
        <f>'ACTIVOS uni'!N14/'Alumnos x PTC'!BI13</f>
        <v>16.597701149425287</v>
      </c>
      <c r="N90" s="3925">
        <f>'ACTIVOS uni'!O14/'Alumnos x PTC'!BM13</f>
        <v>17.889298892988929</v>
      </c>
      <c r="O90" s="3925">
        <f>'ACTIVOS uni'!P14/'Alumnos x PTC'!BQ13</f>
        <v>19.913978494623656</v>
      </c>
      <c r="P90" s="3925">
        <f>'ACTIVOS uni'!Q14/'Alumnos x PTC'!BU13</f>
        <v>19.719869706840392</v>
      </c>
      <c r="Q90" s="3933"/>
    </row>
    <row r="91" spans="1:17" ht="15" x14ac:dyDescent="0.2">
      <c r="A91" s="5695"/>
      <c r="B91" s="2725" t="s">
        <v>160</v>
      </c>
      <c r="C91" s="3927"/>
      <c r="D91" s="3927">
        <f>'ACTIVOS uni'!E15/'Alumnos x PTC'!Y14</f>
        <v>15.615384615384615</v>
      </c>
      <c r="E91" s="3927">
        <f>'ACTIVOS uni'!F15/'Alumnos x PTC'!AC14</f>
        <v>13.045454545454545</v>
      </c>
      <c r="F91" s="3927">
        <f>'ACTIVOS uni'!G15/'Alumnos x PTC'!AG14</f>
        <v>10.704761904761904</v>
      </c>
      <c r="G91" s="3927">
        <f>'ACTIVOS uni'!H15/'Alumnos x PTC'!AK14</f>
        <v>12.267605633802816</v>
      </c>
      <c r="H91" s="3927">
        <f>'ACTIVOS uni'!I15/'Alumnos x PTC'!AO14</f>
        <v>12.622754491017965</v>
      </c>
      <c r="I91" s="3927">
        <f>'ACTIVOS uni'!J15/'Alumnos x PTC'!AS14</f>
        <v>11.5311004784689</v>
      </c>
      <c r="J91" s="3927">
        <f>'ACTIVOS uni'!K15/'Alumnos x PTC'!AW14</f>
        <v>11.455295735900963</v>
      </c>
      <c r="K91" s="3927">
        <f>'ACTIVOS uni'!L15/'Alumnos x PTC'!BA14</f>
        <v>11.575757575757576</v>
      </c>
      <c r="L91" s="3927">
        <f>'ACTIVOS uni'!M15/'Alumnos x PTC'!BE14</f>
        <v>12.117216117216117</v>
      </c>
      <c r="M91" s="3927">
        <f>'ACTIVOS uni'!N15/'Alumnos x PTC'!BI14</f>
        <v>13.776</v>
      </c>
      <c r="N91" s="3927">
        <f>'ACTIVOS uni'!O15/'Alumnos x PTC'!BM14</f>
        <v>15.506666666666666</v>
      </c>
      <c r="O91" s="3927">
        <f>'ACTIVOS uni'!P15/'Alumnos x PTC'!BQ14</f>
        <v>17.160127253446447</v>
      </c>
      <c r="P91" s="3927">
        <f>'ACTIVOS uni'!Q15/'Alumnos x PTC'!BU14</f>
        <v>18.199798183652877</v>
      </c>
      <c r="Q91" s="3933"/>
    </row>
    <row r="92" spans="1:17" x14ac:dyDescent="0.2">
      <c r="Q92" s="3933"/>
    </row>
    <row r="93" spans="1:17" ht="15" x14ac:dyDescent="0.2">
      <c r="A93" s="7172" t="s">
        <v>162</v>
      </c>
      <c r="B93" s="3705" t="s">
        <v>5</v>
      </c>
      <c r="C93" s="3924">
        <f>'ACTIVOS uni'!D17/'Alumnos x PTC'!U16</f>
        <v>12.417582417582418</v>
      </c>
      <c r="D93" s="3924">
        <f>'ACTIVOS uni'!E17/'Alumnos x PTC'!Y16</f>
        <v>11.904028436018956</v>
      </c>
      <c r="E93" s="3924">
        <f>'ACTIVOS uni'!F17/'Alumnos x PTC'!AC16</f>
        <v>11.801652892561984</v>
      </c>
      <c r="F93" s="3924">
        <f>'ACTIVOS uni'!G17/'Alumnos x PTC'!AG16</f>
        <v>11.180539273153576</v>
      </c>
      <c r="G93" s="3924">
        <f>'ACTIVOS uni'!H17/'Alumnos x PTC'!AK16</f>
        <v>11.422403733955658</v>
      </c>
      <c r="H93" s="3924">
        <f>'ACTIVOS uni'!I17/'Alumnos x PTC'!AO16</f>
        <v>11.331378299120233</v>
      </c>
      <c r="I93" s="3924">
        <f>'ACTIVOS uni'!J17/'Alumnos x PTC'!AS16</f>
        <v>11.99290360733294</v>
      </c>
      <c r="J93" s="3924">
        <f>'ACTIVOS uni'!K17/'Alumnos x PTC'!AW16</f>
        <v>12.465608465608465</v>
      </c>
      <c r="K93" s="3924">
        <f>'ACTIVOS uni'!L17/'Alumnos x PTC'!BA16</f>
        <v>13.126099706744867</v>
      </c>
      <c r="L93" s="3924">
        <f>'ACTIVOS uni'!M17/'Alumnos x PTC'!BE16</f>
        <v>14.42605633802817</v>
      </c>
      <c r="M93" s="3924">
        <f>'ACTIVOS uni'!N17/'Alumnos x PTC'!BI16</f>
        <v>14.740698340011447</v>
      </c>
      <c r="N93" s="3924">
        <f>'ACTIVOS uni'!O17/'Alumnos x PTC'!BM16</f>
        <v>15.199306759098787</v>
      </c>
      <c r="O93" s="3924">
        <f>'ACTIVOS uni'!P17/'Alumnos x PTC'!BQ16</f>
        <v>15.651718112987769</v>
      </c>
      <c r="P93" s="3924">
        <f>'ACTIVOS uni'!Q17/'Alumnos x PTC'!BU16</f>
        <v>15.514540059347182</v>
      </c>
      <c r="Q93" s="3933"/>
    </row>
    <row r="94" spans="1:17" ht="15" x14ac:dyDescent="0.2">
      <c r="A94" s="5687"/>
      <c r="B94" s="1784" t="s">
        <v>6</v>
      </c>
      <c r="C94" s="3925">
        <f>'ACTIVOS uni'!D18/'Alumnos x PTC'!U17</f>
        <v>16.327160493827162</v>
      </c>
      <c r="D94" s="3925">
        <f>'ACTIVOS uni'!E18/'Alumnos x PTC'!Y17</f>
        <v>17.04690831556503</v>
      </c>
      <c r="E94" s="3925">
        <f>'ACTIVOS uni'!F18/'Alumnos x PTC'!AC17</f>
        <v>17.315817130846032</v>
      </c>
      <c r="F94" s="3925">
        <f>'ACTIVOS uni'!G18/'Alumnos x PTC'!AG17</f>
        <v>18.324152542372879</v>
      </c>
      <c r="G94" s="3925">
        <f>'ACTIVOS uni'!H18/'Alumnos x PTC'!AK17</f>
        <v>18.651284740429997</v>
      </c>
      <c r="H94" s="3925">
        <f>'ACTIVOS uni'!I18/'Alumnos x PTC'!AO17</f>
        <v>19.064718162839249</v>
      </c>
      <c r="I94" s="3925">
        <f>'ACTIVOS uni'!J18/'Alumnos x PTC'!AS17</f>
        <v>19.041624365482235</v>
      </c>
      <c r="J94" s="3925">
        <f>'ACTIVOS uni'!K18/'Alumnos x PTC'!AW17</f>
        <v>19.591331269349844</v>
      </c>
      <c r="K94" s="3925">
        <f>'ACTIVOS uni'!L18/'Alumnos x PTC'!BA17</f>
        <v>20.509374999999999</v>
      </c>
      <c r="L94" s="3925">
        <f>'ACTIVOS uni'!M18/'Alumnos x PTC'!BE17</f>
        <v>20.711688311688313</v>
      </c>
      <c r="M94" s="3925">
        <f>'ACTIVOS uni'!N18/'Alumnos x PTC'!BI17</f>
        <v>20.35130970724191</v>
      </c>
      <c r="N94" s="3925">
        <f>'ACTIVOS uni'!O18/'Alumnos x PTC'!BM17</f>
        <v>20.680250783699059</v>
      </c>
      <c r="O94" s="3925">
        <f>'ACTIVOS uni'!P18/'Alumnos x PTC'!BQ17</f>
        <v>21.107822410147993</v>
      </c>
      <c r="P94" s="3925">
        <f>'ACTIVOS uni'!Q18/'Alumnos x PTC'!BU17</f>
        <v>20.573215216258468</v>
      </c>
      <c r="Q94" s="3933"/>
    </row>
    <row r="95" spans="1:17" ht="15" x14ac:dyDescent="0.2">
      <c r="A95" s="5687"/>
      <c r="B95" s="1784" t="s">
        <v>11</v>
      </c>
      <c r="C95" s="3925">
        <f>'ACTIVOS uni'!D19/'Alumnos x PTC'!U18</f>
        <v>14.690100430416068</v>
      </c>
      <c r="D95" s="3925">
        <f>'ACTIVOS uni'!E19/'Alumnos x PTC'!Y18</f>
        <v>14.010000000000002</v>
      </c>
      <c r="E95" s="3925">
        <f>'ACTIVOS uni'!F19/'Alumnos x PTC'!AC18</f>
        <v>14.164502164502165</v>
      </c>
      <c r="F95" s="3925">
        <f>'ACTIVOS uni'!G19/'Alumnos x PTC'!AG18</f>
        <v>13.920171062009977</v>
      </c>
      <c r="G95" s="3925">
        <f>'ACTIVOS uni'!H19/'Alumnos x PTC'!AK18</f>
        <v>14.721287490855888</v>
      </c>
      <c r="H95" s="3925">
        <f>'ACTIVOS uni'!I19/'Alumnos x PTC'!AO18</f>
        <v>15.485458612975391</v>
      </c>
      <c r="I95" s="3925">
        <f>'ACTIVOS uni'!J19/'Alumnos x PTC'!AS18</f>
        <v>17.150684931506849</v>
      </c>
      <c r="J95" s="3925">
        <f>'ACTIVOS uni'!K19/'Alumnos x PTC'!AW18</f>
        <v>17.554411764705883</v>
      </c>
      <c r="K95" s="3925">
        <f>'ACTIVOS uni'!L19/'Alumnos x PTC'!BA18</f>
        <v>18.767647058823531</v>
      </c>
      <c r="L95" s="3925">
        <f>'ACTIVOS uni'!M19/'Alumnos x PTC'!BE18</f>
        <v>19.725377426312004</v>
      </c>
      <c r="M95" s="3925">
        <f>'ACTIVOS uni'!N19/'Alumnos x PTC'!BI18</f>
        <v>19.702873160476525</v>
      </c>
      <c r="N95" s="3925">
        <f>'ACTIVOS uni'!O19/'Alumnos x PTC'!BM18</f>
        <v>19.658060013956732</v>
      </c>
      <c r="O95" s="3925">
        <f>'ACTIVOS uni'!P19/'Alumnos x PTC'!BQ18</f>
        <v>19.359277275886033</v>
      </c>
      <c r="P95" s="3925">
        <f>'ACTIVOS uni'!Q19/'Alumnos x PTC'!BU18</f>
        <v>19.194092827004219</v>
      </c>
      <c r="Q95" s="3933"/>
    </row>
    <row r="96" spans="1:17" ht="15" x14ac:dyDescent="0.2">
      <c r="A96" s="5688"/>
      <c r="B96" s="2724" t="s">
        <v>160</v>
      </c>
      <c r="C96" s="3928">
        <f>'ACTIVOS uni'!D20/'Alumnos x PTC'!U19</f>
        <v>14.581591639871382</v>
      </c>
      <c r="D96" s="3928">
        <f>'ACTIVOS uni'!E20/'Alumnos x PTC'!Y19</f>
        <v>14.441579371474617</v>
      </c>
      <c r="E96" s="3928">
        <f>'ACTIVOS uni'!F20/'Alumnos x PTC'!AC19</f>
        <v>14.564720048163757</v>
      </c>
      <c r="F96" s="3928">
        <f>'ACTIVOS uni'!G20/'Alumnos x PTC'!AG19</f>
        <v>14.648789273564137</v>
      </c>
      <c r="G96" s="3928">
        <f>'ACTIVOS uni'!H20/'Alumnos x PTC'!AK19</f>
        <v>15.090216519647152</v>
      </c>
      <c r="H96" s="3928">
        <f>'ACTIVOS uni'!I20/'Alumnos x PTC'!AO19</f>
        <v>15.440145102781136</v>
      </c>
      <c r="I96" s="3928">
        <f>'ACTIVOS uni'!J20/'Alumnos x PTC'!AS19</f>
        <v>16.146331658291459</v>
      </c>
      <c r="J96" s="3928">
        <f>'ACTIVOS uni'!K20/'Alumnos x PTC'!AW19</f>
        <v>16.612522504500902</v>
      </c>
      <c r="K96" s="3928">
        <f>'ACTIVOS uni'!L20/'Alumnos x PTC'!BA19</f>
        <v>17.508926780341021</v>
      </c>
      <c r="L96" s="3928">
        <f>'ACTIVOS uni'!M20/'Alumnos x PTC'!BE19</f>
        <v>18.192437141160166</v>
      </c>
      <c r="M96" s="3928">
        <f>'ACTIVOS uni'!N20/'Alumnos x PTC'!BI19</f>
        <v>18.256590509666079</v>
      </c>
      <c r="N96" s="3928">
        <f>'ACTIVOS uni'!O20/'Alumnos x PTC'!BM19</f>
        <v>18.523434423001181</v>
      </c>
      <c r="O96" s="3928">
        <f>'ACTIVOS uni'!P20/'Alumnos x PTC'!BQ19</f>
        <v>18.753565768621236</v>
      </c>
      <c r="P96" s="3928">
        <f>'ACTIVOS uni'!Q20/'Alumnos x PTC'!BU19</f>
        <v>18.487067250298448</v>
      </c>
      <c r="Q96" s="3933"/>
    </row>
    <row r="97" spans="1:17" x14ac:dyDescent="0.2">
      <c r="Q97" s="3933"/>
    </row>
    <row r="98" spans="1:17" ht="15" x14ac:dyDescent="0.2">
      <c r="A98" s="7176" t="s">
        <v>408</v>
      </c>
      <c r="B98" s="3705" t="s">
        <v>5</v>
      </c>
      <c r="C98" s="3924"/>
      <c r="D98" s="3924"/>
      <c r="E98" s="3924"/>
      <c r="F98" s="3924"/>
      <c r="G98" s="3924"/>
      <c r="H98" s="3924"/>
      <c r="I98" s="3924"/>
      <c r="J98" s="3924">
        <f>'ACTIVOS uni'!K22/'Alumnos x PTC'!AW21</f>
        <v>15</v>
      </c>
      <c r="K98" s="3924">
        <f>'ACTIVOS uni'!L22/'Alumnos x PTC'!BA21</f>
        <v>11.285714285714286</v>
      </c>
      <c r="L98" s="3924">
        <f>'ACTIVOS uni'!M22/'Alumnos x PTC'!BE21</f>
        <v>15.375</v>
      </c>
      <c r="M98" s="3924">
        <f>'ACTIVOS uni'!N22/'Alumnos x PTC'!BI21</f>
        <v>13.9</v>
      </c>
      <c r="N98" s="3924">
        <f>'ACTIVOS uni'!O22/'Alumnos x PTC'!BM21</f>
        <v>11.533333333333333</v>
      </c>
      <c r="O98" s="3924">
        <f>'ACTIVOS uni'!P22/'Alumnos x PTC'!BQ21</f>
        <v>11.25</v>
      </c>
      <c r="P98" s="3924">
        <f>'ACTIVOS uni'!Q22/'Alumnos x PTC'!BU21</f>
        <v>14.105263157894736</v>
      </c>
      <c r="Q98" s="3933"/>
    </row>
    <row r="99" spans="1:17" ht="15" x14ac:dyDescent="0.2">
      <c r="A99" s="5764"/>
      <c r="B99" s="1784" t="s">
        <v>6</v>
      </c>
      <c r="C99" s="3925"/>
      <c r="D99" s="3925"/>
      <c r="E99" s="3925"/>
      <c r="F99" s="3925"/>
      <c r="G99" s="3925"/>
      <c r="H99" s="3925"/>
      <c r="I99" s="3925"/>
      <c r="J99" s="3925">
        <f>'ACTIVOS uni'!K23/'Alumnos x PTC'!AW22</f>
        <v>19.333333333333332</v>
      </c>
      <c r="K99" s="3925">
        <f>'ACTIVOS uni'!L23/'Alumnos x PTC'!BA22</f>
        <v>13.333333333333334</v>
      </c>
      <c r="L99" s="3925">
        <f>'ACTIVOS uni'!M23/'Alumnos x PTC'!BE22</f>
        <v>19.714285714285715</v>
      </c>
      <c r="M99" s="3925">
        <f>'ACTIVOS uni'!N23/'Alumnos x PTC'!BI22</f>
        <v>13.23076923076923</v>
      </c>
      <c r="N99" s="3925">
        <f>'ACTIVOS uni'!O23/'Alumnos x PTC'!BM22</f>
        <v>16.384615384615383</v>
      </c>
      <c r="O99" s="3925">
        <f>'ACTIVOS uni'!P23/'Alumnos x PTC'!BQ22</f>
        <v>11.761904761904763</v>
      </c>
      <c r="P99" s="3925">
        <f>'ACTIVOS uni'!Q23/'Alumnos x PTC'!BU22</f>
        <v>10.75</v>
      </c>
      <c r="Q99" s="3933"/>
    </row>
    <row r="100" spans="1:17" ht="15" x14ac:dyDescent="0.2">
      <c r="A100" s="5764"/>
      <c r="B100" s="1784" t="s">
        <v>11</v>
      </c>
      <c r="C100" s="3925"/>
      <c r="D100" s="3925"/>
      <c r="E100" s="3925"/>
      <c r="F100" s="3925"/>
      <c r="G100" s="3925"/>
      <c r="H100" s="3925"/>
      <c r="I100" s="3925"/>
      <c r="J100" s="3925">
        <f>'ACTIVOS uni'!K24/'Alumnos x PTC'!AW23</f>
        <v>9.1666666666666661</v>
      </c>
      <c r="K100" s="3925">
        <f>'ACTIVOS uni'!L24/'Alumnos x PTC'!BA23</f>
        <v>7.666666666666667</v>
      </c>
      <c r="L100" s="3925">
        <f>'ACTIVOS uni'!M24/'Alumnos x PTC'!BE23</f>
        <v>8.9230769230769234</v>
      </c>
      <c r="M100" s="3925">
        <f>'ACTIVOS uni'!N24/'Alumnos x PTC'!BI23</f>
        <v>11.307692307692308</v>
      </c>
      <c r="N100" s="3925">
        <f>'ACTIVOS uni'!O24/'Alumnos x PTC'!BM23</f>
        <v>14.857142857142858</v>
      </c>
      <c r="O100" s="3925">
        <f>'ACTIVOS uni'!P24/'Alumnos x PTC'!BQ23</f>
        <v>13.722222222222221</v>
      </c>
      <c r="P100" s="3925">
        <f>'ACTIVOS uni'!Q24/'Alumnos x PTC'!BU23</f>
        <v>14.95</v>
      </c>
      <c r="Q100" s="3933"/>
    </row>
    <row r="101" spans="1:17" ht="15" x14ac:dyDescent="0.2">
      <c r="A101" s="5864"/>
      <c r="B101" s="2726" t="s">
        <v>160</v>
      </c>
      <c r="C101" s="3929"/>
      <c r="D101" s="3929"/>
      <c r="E101" s="3929"/>
      <c r="F101" s="3929"/>
      <c r="G101" s="3929"/>
      <c r="H101" s="3929"/>
      <c r="I101" s="3929"/>
      <c r="J101" s="3929">
        <f>'ACTIVOS uni'!K25/'Alumnos x PTC'!AW24</f>
        <v>13.307692307692308</v>
      </c>
      <c r="K101" s="3929">
        <f>'ACTIVOS uni'!L25/'Alumnos x PTC'!BA24</f>
        <v>10.363636363636363</v>
      </c>
      <c r="L101" s="3929">
        <f>'ACTIVOS uni'!M25/'Alumnos x PTC'!BE24</f>
        <v>13.464285714285714</v>
      </c>
      <c r="M101" s="3929">
        <f>'ACTIVOS uni'!N25/'Alumnos x PTC'!BI24</f>
        <v>12.722222222222221</v>
      </c>
      <c r="N101" s="3929">
        <f>'ACTIVOS uni'!O25/'Alumnos x PTC'!BM24</f>
        <v>14.142857142857142</v>
      </c>
      <c r="O101" s="3929">
        <f>'ACTIVOS uni'!P25/'Alumnos x PTC'!BQ24</f>
        <v>12.254545454545454</v>
      </c>
      <c r="P101" s="3929">
        <f>'ACTIVOS uni'!Q25/'Alumnos x PTC'!BU24</f>
        <v>12.955223880597014</v>
      </c>
      <c r="Q101" s="3933"/>
    </row>
    <row r="102" spans="1:17" x14ac:dyDescent="0.2">
      <c r="Q102" s="3933"/>
    </row>
    <row r="103" spans="1:17" ht="15" x14ac:dyDescent="0.2">
      <c r="A103" s="7173" t="s">
        <v>163</v>
      </c>
      <c r="B103" s="3705" t="s">
        <v>6</v>
      </c>
      <c r="C103" s="3924">
        <f>'ACTIVOS uni'!D27/'Alumnos x PTC'!U26</f>
        <v>16.231261425959779</v>
      </c>
      <c r="D103" s="3924">
        <f>'ACTIVOS uni'!E27/'Alumnos x PTC'!Y26</f>
        <v>17.142460684551342</v>
      </c>
      <c r="E103" s="3924">
        <f>'ACTIVOS uni'!F27/'Alumnos x PTC'!AC26</f>
        <v>17.30939226519337</v>
      </c>
      <c r="F103" s="3924">
        <f>'ACTIVOS uni'!G27/'Alumnos x PTC'!AG26</f>
        <v>18.453538757823782</v>
      </c>
      <c r="G103" s="3924">
        <f>'ACTIVOS uni'!H27/'Alumnos x PTC'!AK26</f>
        <v>18.098777046095957</v>
      </c>
      <c r="H103" s="3924">
        <f>'ACTIVOS uni'!I27/'Alumnos x PTC'!AO26</f>
        <v>17.12</v>
      </c>
      <c r="I103" s="3924">
        <f>'ACTIVOS uni'!J27/'Alumnos x PTC'!AS26</f>
        <v>16.88583218707015</v>
      </c>
      <c r="J103" s="3924">
        <f>'ACTIVOS uni'!K27/'Alumnos x PTC'!AW26</f>
        <v>16.070765148164529</v>
      </c>
      <c r="K103" s="3924">
        <f>'ACTIVOS uni'!L27/'Alumnos x PTC'!BA26</f>
        <v>16.092819614711033</v>
      </c>
      <c r="L103" s="3924">
        <f>'ACTIVOS uni'!M27/'Alumnos x PTC'!BE26</f>
        <v>16.463704355477343</v>
      </c>
      <c r="M103" s="3924">
        <f>'ACTIVOS uni'!N27/'Alumnos x PTC'!BI26</f>
        <v>16.300486080424214</v>
      </c>
      <c r="N103" s="3924">
        <f>'ACTIVOS uni'!O27/'Alumnos x PTC'!BM26</f>
        <v>16.573595004460302</v>
      </c>
      <c r="O103" s="3924">
        <f>'ACTIVOS uni'!P27/'Alumnos x PTC'!BQ26</f>
        <v>16.950135992747054</v>
      </c>
      <c r="P103" s="3924">
        <f>'ACTIVOS uni'!Q27/'Alumnos x PTC'!BU26</f>
        <v>17.15846994535519</v>
      </c>
      <c r="Q103" s="3933"/>
    </row>
    <row r="104" spans="1:17" ht="15" x14ac:dyDescent="0.2">
      <c r="A104" s="5697"/>
      <c r="B104" s="1784" t="s">
        <v>11</v>
      </c>
      <c r="C104" s="3925">
        <f>'ACTIVOS uni'!D28/'Alumnos x PTC'!U27</f>
        <v>19.190714610832952</v>
      </c>
      <c r="D104" s="3925">
        <f>'ACTIVOS uni'!E28/'Alumnos x PTC'!Y27</f>
        <v>20.405429864253392</v>
      </c>
      <c r="E104" s="3925">
        <f>'ACTIVOS uni'!F28/'Alumnos x PTC'!AC27</f>
        <v>21.442446043165468</v>
      </c>
      <c r="F104" s="3925">
        <f>'ACTIVOS uni'!G28/'Alumnos x PTC'!AG27</f>
        <v>21.951752389622211</v>
      </c>
      <c r="G104" s="3925">
        <f>'ACTIVOS uni'!H28/'Alumnos x PTC'!AK27</f>
        <v>21.987132352941174</v>
      </c>
      <c r="H104" s="3925">
        <f>'ACTIVOS uni'!I28/'Alumnos x PTC'!AO27</f>
        <v>21.780084945729115</v>
      </c>
      <c r="I104" s="3925">
        <f>'ACTIVOS uni'!J28/'Alumnos x PTC'!AS27</f>
        <v>21.406162464985993</v>
      </c>
      <c r="J104" s="3925">
        <f>'ACTIVOS uni'!K28/'Alumnos x PTC'!AW27</f>
        <v>21.248479176415536</v>
      </c>
      <c r="K104" s="3925">
        <f>'ACTIVOS uni'!L28/'Alumnos x PTC'!BA27</f>
        <v>20.704963235294116</v>
      </c>
      <c r="L104" s="3925">
        <f>'ACTIVOS uni'!M28/'Alumnos x PTC'!BE27</f>
        <v>20.622444343480236</v>
      </c>
      <c r="M104" s="3925">
        <f>'ACTIVOS uni'!N28/'Alumnos x PTC'!BI27</f>
        <v>20.2</v>
      </c>
      <c r="N104" s="3925">
        <f>'ACTIVOS uni'!O28/'Alumnos x PTC'!BM27</f>
        <v>20.317516629711754</v>
      </c>
      <c r="O104" s="3925">
        <f>'ACTIVOS uni'!P28/'Alumnos x PTC'!BQ27</f>
        <v>20.884563150746942</v>
      </c>
      <c r="P104" s="3925">
        <f>'ACTIVOS uni'!Q28/'Alumnos x PTC'!BU27</f>
        <v>21.656934306569344</v>
      </c>
      <c r="Q104" s="3933"/>
    </row>
    <row r="105" spans="1:17" ht="15" x14ac:dyDescent="0.2">
      <c r="A105" s="5697"/>
      <c r="B105" s="1784" t="s">
        <v>7</v>
      </c>
      <c r="C105" s="3925">
        <f>'ACTIVOS uni'!D29/'Alumnos x PTC'!U28</f>
        <v>20.65938864628821</v>
      </c>
      <c r="D105" s="3925">
        <f>'ACTIVOS uni'!E29/'Alumnos x PTC'!Y28</f>
        <v>22.322147651006713</v>
      </c>
      <c r="E105" s="3925">
        <f>'ACTIVOS uni'!F29/'Alumnos x PTC'!AC28</f>
        <v>21.679306608884072</v>
      </c>
      <c r="F105" s="3925">
        <f>'ACTIVOS uni'!G29/'Alumnos x PTC'!AG28</f>
        <v>21.945652173913043</v>
      </c>
      <c r="G105" s="3925">
        <f>'ACTIVOS uni'!H29/'Alumnos x PTC'!AK28</f>
        <v>22.296943231441048</v>
      </c>
      <c r="H105" s="3925">
        <f>'ACTIVOS uni'!I29/'Alumnos x PTC'!AO28</f>
        <v>20.554267650158064</v>
      </c>
      <c r="I105" s="3925">
        <f>'ACTIVOS uni'!J29/'Alumnos x PTC'!AS28</f>
        <v>20.029319371727748</v>
      </c>
      <c r="J105" s="3925">
        <f>'ACTIVOS uni'!K29/'Alumnos x PTC'!AW28</f>
        <v>19.119587628865979</v>
      </c>
      <c r="K105" s="3925">
        <f>'ACTIVOS uni'!L29/'Alumnos x PTC'!BA28</f>
        <v>19.67573221757322</v>
      </c>
      <c r="L105" s="3925">
        <f>'ACTIVOS uni'!M29/'Alumnos x PTC'!BE28</f>
        <v>19.976915005246589</v>
      </c>
      <c r="M105" s="3925">
        <f>'ACTIVOS uni'!N29/'Alumnos x PTC'!BI28</f>
        <v>19.287894201424212</v>
      </c>
      <c r="N105" s="3925">
        <f>'ACTIVOS uni'!O29/'Alumnos x PTC'!BM28</f>
        <v>19.503105590062113</v>
      </c>
      <c r="O105" s="3925">
        <f>'ACTIVOS uni'!P29/'Alumnos x PTC'!BQ28</f>
        <v>20.208860759493671</v>
      </c>
      <c r="P105" s="3925">
        <f>'ACTIVOS uni'!Q29/'Alumnos x PTC'!BU28</f>
        <v>21.229744728079911</v>
      </c>
      <c r="Q105" s="3933"/>
    </row>
    <row r="106" spans="1:17" ht="15" x14ac:dyDescent="0.2">
      <c r="A106" s="5698"/>
      <c r="B106" s="2723" t="s">
        <v>160</v>
      </c>
      <c r="C106" s="3930">
        <f>'ACTIVOS uni'!D30/'Alumnos x PTC'!U29</f>
        <v>18.222976796830785</v>
      </c>
      <c r="D106" s="3930">
        <f>'ACTIVOS uni'!E30/'Alumnos x PTC'!Y29</f>
        <v>19.391188758070644</v>
      </c>
      <c r="E106" s="3930">
        <f>'ACTIVOS uni'!F30/'Alumnos x PTC'!AC29</f>
        <v>19.795826283135927</v>
      </c>
      <c r="F106" s="3930">
        <f>'ACTIVOS uni'!G30/'Alumnos x PTC'!AG29</f>
        <v>20.551790527531768</v>
      </c>
      <c r="G106" s="3930">
        <f>'ACTIVOS uni'!H30/'Alumnos x PTC'!AK29</f>
        <v>20.45726331927942</v>
      </c>
      <c r="H106" s="3930">
        <f>'ACTIVOS uni'!I30/'Alumnos x PTC'!AO29</f>
        <v>19.625023841312224</v>
      </c>
      <c r="I106" s="3930">
        <f>'ACTIVOS uni'!J30/'Alumnos x PTC'!AS29</f>
        <v>19.289124668435015</v>
      </c>
      <c r="J106" s="3930">
        <f>'ACTIVOS uni'!K30/'Alumnos x PTC'!AW29</f>
        <v>18.682935916542476</v>
      </c>
      <c r="K106" s="3930">
        <f>'ACTIVOS uni'!L30/'Alumnos x PTC'!BA29</f>
        <v>18.578286558345642</v>
      </c>
      <c r="L106" s="3930">
        <f>'ACTIVOS uni'!M30/'Alumnos x PTC'!BE29</f>
        <v>18.767274737423993</v>
      </c>
      <c r="M106" s="3930">
        <f>'ACTIVOS uni'!N30/'Alumnos x PTC'!BI29</f>
        <v>18.431222707423579</v>
      </c>
      <c r="N106" s="3930">
        <f>'ACTIVOS uni'!O30/'Alumnos x PTC'!BM29</f>
        <v>18.637012630422845</v>
      </c>
      <c r="O106" s="3930">
        <f>'ACTIVOS uni'!P30/'Alumnos x PTC'!BQ29</f>
        <v>19.146746224128286</v>
      </c>
      <c r="P106" s="3930">
        <f>'ACTIVOS uni'!Q30/'Alumnos x PTC'!BU29</f>
        <v>19.716392512762337</v>
      </c>
      <c r="Q106" s="3933"/>
    </row>
    <row r="107" spans="1:17" ht="15" x14ac:dyDescent="0.25">
      <c r="A107" s="1783"/>
      <c r="B107" s="1783"/>
      <c r="C107" s="3373"/>
      <c r="D107" s="3373"/>
      <c r="E107" s="3373"/>
      <c r="F107" s="3373"/>
      <c r="G107" s="3373"/>
      <c r="H107" s="3373"/>
      <c r="I107" s="3373"/>
      <c r="J107" s="3373"/>
      <c r="K107" s="3373"/>
      <c r="L107" s="3373"/>
      <c r="M107" s="3373"/>
      <c r="N107" s="3373"/>
      <c r="O107" s="3373"/>
      <c r="P107" s="3373"/>
      <c r="Q107" s="3933"/>
    </row>
    <row r="108" spans="1:17" ht="15" x14ac:dyDescent="0.2">
      <c r="A108" s="3706" t="s">
        <v>60</v>
      </c>
      <c r="B108" s="3707"/>
      <c r="C108" s="2727">
        <f>'ACTIVOS uni'!D38/'Alumnos x PTC'!U31</f>
        <v>16.672620959969155</v>
      </c>
      <c r="D108" s="2727">
        <f>'ACTIVOS uni'!E38/'Alumnos x PTC'!Y31</f>
        <v>17.142416848593811</v>
      </c>
      <c r="E108" s="2727">
        <f>'ACTIVOS uni'!F38/'Alumnos x PTC'!AC31</f>
        <v>17.221674876847292</v>
      </c>
      <c r="F108" s="2727">
        <f>'ACTIVOS uni'!G38/'Alumnos x PTC'!AG31</f>
        <v>17.381629202930309</v>
      </c>
      <c r="G108" s="2727">
        <f>'ACTIVOS uni'!H38/'Alumnos x PTC'!AK31</f>
        <v>17.675847062480571</v>
      </c>
      <c r="H108" s="2727">
        <f>'ACTIVOS uni'!I38/'Alumnos x PTC'!AO31</f>
        <v>17.535526884375578</v>
      </c>
      <c r="I108" s="2727">
        <f>'ACTIVOS uni'!J38/'Alumnos x PTC'!AS31</f>
        <v>17.739003467786091</v>
      </c>
      <c r="J108" s="2727">
        <f>'ACTIVOS uni'!K38/'Alumnos x PTC'!AW31</f>
        <v>17.771343104995513</v>
      </c>
      <c r="K108" s="2727">
        <f>'ACTIVOS uni'!L38/'Alumnos x PTC'!BA31</f>
        <v>18.08094674556213</v>
      </c>
      <c r="L108" s="2727">
        <f>'ACTIVOS uni'!M38/'Alumnos x PTC'!BE31</f>
        <v>18.378722410370198</v>
      </c>
      <c r="M108" s="2727">
        <f>'ACTIVOS uni'!N38/'Alumnos x PTC'!BI31</f>
        <v>18.159285959491932</v>
      </c>
      <c r="N108" s="2727">
        <f>'ACTIVOS uni'!O38/'Alumnos x PTC'!BM31</f>
        <v>18.46957725359017</v>
      </c>
      <c r="O108" s="2727">
        <f>'ACTIVOS uni'!P38/'Alumnos x PTC'!BQ31</f>
        <v>18.7717668911075</v>
      </c>
      <c r="P108" s="2727">
        <f>'ACTIVOS uni'!Q38/'Alumnos x PTC'!BU31</f>
        <v>18.693173293323333</v>
      </c>
      <c r="Q108" s="3933"/>
    </row>
    <row r="110" spans="1:17" ht="15" x14ac:dyDescent="0.2">
      <c r="A110" s="262" t="s">
        <v>811</v>
      </c>
      <c r="B110" s="262" t="s">
        <v>1309</v>
      </c>
    </row>
    <row r="111" spans="1:17" ht="15" x14ac:dyDescent="0.25">
      <c r="A111" s="250"/>
      <c r="B111" s="262" t="s">
        <v>1308</v>
      </c>
    </row>
    <row r="112" spans="1:17" ht="15" x14ac:dyDescent="0.25">
      <c r="A112" s="250"/>
    </row>
    <row r="145" spans="1:38" ht="15.75" x14ac:dyDescent="0.25">
      <c r="A145" s="139" t="s">
        <v>813</v>
      </c>
      <c r="C145" s="139"/>
      <c r="V145" s="144" t="s">
        <v>1314</v>
      </c>
    </row>
    <row r="146" spans="1:38" x14ac:dyDescent="0.2">
      <c r="V146" s="144"/>
    </row>
    <row r="147" spans="1:38" ht="15" x14ac:dyDescent="0.2">
      <c r="A147" s="3726" t="s">
        <v>51</v>
      </c>
      <c r="B147" s="3726" t="s">
        <v>685</v>
      </c>
      <c r="C147" s="3726">
        <v>2004</v>
      </c>
      <c r="D147" s="1382">
        <v>2005</v>
      </c>
      <c r="E147" s="3727">
        <v>2006</v>
      </c>
      <c r="F147" s="1382">
        <v>2007</v>
      </c>
      <c r="G147" s="1382">
        <v>2008</v>
      </c>
      <c r="H147" s="1382">
        <v>2009</v>
      </c>
      <c r="I147" s="1382">
        <v>2010</v>
      </c>
      <c r="J147" s="1382">
        <v>2011</v>
      </c>
      <c r="K147" s="1382">
        <v>2012</v>
      </c>
      <c r="L147" s="1382">
        <v>2013</v>
      </c>
      <c r="M147" s="1382">
        <v>2014</v>
      </c>
      <c r="N147" s="1382">
        <v>2015</v>
      </c>
      <c r="O147" s="1382">
        <v>2016</v>
      </c>
      <c r="P147" s="1382">
        <v>2017</v>
      </c>
      <c r="V147" s="4586" t="s">
        <v>164</v>
      </c>
      <c r="W147" s="4586" t="s">
        <v>25</v>
      </c>
      <c r="X147" s="4586"/>
      <c r="Y147" s="4586">
        <v>2004</v>
      </c>
      <c r="Z147" s="4586">
        <v>2005</v>
      </c>
      <c r="AA147" s="4586">
        <v>2006</v>
      </c>
      <c r="AB147" s="4586">
        <v>2007</v>
      </c>
      <c r="AC147" s="4586">
        <v>2008</v>
      </c>
      <c r="AD147" s="4586">
        <v>2009</v>
      </c>
      <c r="AE147" s="4586">
        <v>2010</v>
      </c>
      <c r="AF147" s="4586">
        <v>2011</v>
      </c>
      <c r="AG147" s="4586">
        <v>2012</v>
      </c>
      <c r="AH147" s="4586">
        <v>2013</v>
      </c>
      <c r="AI147" s="4586">
        <v>2014</v>
      </c>
      <c r="AJ147" s="4586">
        <v>2015</v>
      </c>
      <c r="AK147" s="4586">
        <v>2016</v>
      </c>
      <c r="AL147" s="4586">
        <v>2017</v>
      </c>
    </row>
    <row r="148" spans="1:38" ht="15" x14ac:dyDescent="0.25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250"/>
      <c r="M148" s="250"/>
      <c r="N148" s="250"/>
      <c r="O148" s="250"/>
      <c r="P148" s="250"/>
      <c r="V148" s="3933"/>
      <c r="W148" s="3933"/>
      <c r="X148" s="3933"/>
      <c r="Y148" s="3933"/>
      <c r="Z148" s="3933"/>
      <c r="AA148" s="3933"/>
      <c r="AB148" s="3933"/>
      <c r="AC148" s="3933"/>
      <c r="AD148" s="3933"/>
      <c r="AE148" s="3933"/>
      <c r="AF148" s="3933"/>
      <c r="AG148" s="3933"/>
      <c r="AH148" s="3933"/>
      <c r="AI148" s="3933"/>
      <c r="AJ148" s="3933"/>
    </row>
    <row r="149" spans="1:38" ht="15" x14ac:dyDescent="0.2">
      <c r="A149" s="7174" t="s">
        <v>161</v>
      </c>
      <c r="B149" s="3705" t="s">
        <v>5</v>
      </c>
      <c r="C149" s="3924">
        <f>Y149/U6</f>
        <v>0.99528746465598483</v>
      </c>
      <c r="D149" s="3924">
        <f>Z149/Y6</f>
        <v>1.0197740112994351</v>
      </c>
      <c r="E149" s="3924">
        <f>AA149/AC6</f>
        <v>0.92115027829313545</v>
      </c>
      <c r="F149" s="3924">
        <f>AB149/AG6</f>
        <v>0.90094128193635148</v>
      </c>
      <c r="G149" s="3924">
        <f>AC149/AK6</f>
        <v>0.8235823582358236</v>
      </c>
      <c r="H149" s="3924">
        <f>AD149/AO6</f>
        <v>0.956989247311828</v>
      </c>
      <c r="I149" s="3924">
        <f>AE149/AS6</f>
        <v>1.0352303523035231</v>
      </c>
      <c r="J149" s="3924">
        <f>AF149/AW6</f>
        <v>1.0844686648501363</v>
      </c>
      <c r="K149" s="3924">
        <f>AG149/BA6</f>
        <v>0.97130044843049324</v>
      </c>
      <c r="L149" s="3924">
        <f>AH149/BE6</f>
        <v>1.105333930972658</v>
      </c>
      <c r="M149" s="3924">
        <f>AI149/BI6</f>
        <v>1.3069828722002634</v>
      </c>
      <c r="N149" s="3924">
        <f>AJ149/BM6</f>
        <v>1.4165170556552964</v>
      </c>
      <c r="O149" s="3924">
        <f>AK149/BQ6</f>
        <v>1.5845454545454545</v>
      </c>
      <c r="P149" s="3924">
        <f>AL149/BU6</f>
        <v>1.5397039030955586</v>
      </c>
      <c r="V149" s="3933"/>
      <c r="W149" s="3933" t="s">
        <v>13</v>
      </c>
      <c r="X149" s="3933"/>
      <c r="Y149" s="3933">
        <v>352</v>
      </c>
      <c r="Z149" s="3933">
        <v>361</v>
      </c>
      <c r="AA149" s="3933">
        <v>331</v>
      </c>
      <c r="AB149" s="3933">
        <v>335</v>
      </c>
      <c r="AC149" s="3933">
        <v>305</v>
      </c>
      <c r="AD149" s="3933">
        <v>356</v>
      </c>
      <c r="AE149" s="3933">
        <v>382</v>
      </c>
      <c r="AF149" s="3933">
        <v>398</v>
      </c>
      <c r="AG149" s="3933">
        <v>361</v>
      </c>
      <c r="AH149" s="3933">
        <v>411</v>
      </c>
      <c r="AI149" s="3933">
        <v>496</v>
      </c>
      <c r="AJ149" s="3933">
        <v>526</v>
      </c>
      <c r="AK149" s="5299">
        <f>+'ACTIVOS-POS uni'!Q161</f>
        <v>581</v>
      </c>
      <c r="AL149" s="5299">
        <f>+'ACTIVOS-POS uni'!R161</f>
        <v>572</v>
      </c>
    </row>
    <row r="150" spans="1:38" ht="15" x14ac:dyDescent="0.2">
      <c r="A150" s="5690"/>
      <c r="B150" s="1784" t="s">
        <v>6</v>
      </c>
      <c r="C150" s="3925">
        <f>Y150/U7</f>
        <v>0.70461538461538464</v>
      </c>
      <c r="D150" s="3925">
        <f>Z150/Y7</f>
        <v>0.78043704474505726</v>
      </c>
      <c r="E150" s="3925">
        <f>AA150/AC7</f>
        <v>0.70816733067729076</v>
      </c>
      <c r="F150" s="3925">
        <f>AB150/AG7</f>
        <v>1.3198818897637794</v>
      </c>
      <c r="G150" s="3925">
        <f>AC150/AK7</f>
        <v>1.0197044334975369</v>
      </c>
      <c r="H150" s="3925">
        <f>AD150/AO7</f>
        <v>1.2357320099255584</v>
      </c>
      <c r="I150" s="3925">
        <f>AE150/AS7</f>
        <v>1.1054216867469879</v>
      </c>
      <c r="J150" s="3925">
        <f>AF150/AW7</f>
        <v>1.2347740667976426</v>
      </c>
      <c r="K150" s="3925">
        <f>AG150/BA7</f>
        <v>1.1111111111111112</v>
      </c>
      <c r="L150" s="3925">
        <f>AH150/BE7</f>
        <v>1.3930110100526567</v>
      </c>
      <c r="M150" s="3925">
        <f>AI150/BI7</f>
        <v>1.418705035971223</v>
      </c>
      <c r="N150" s="3925">
        <f>AJ150/BM7</f>
        <v>1.4243759177679882</v>
      </c>
      <c r="O150" s="3925">
        <f>AK150/BQ7</f>
        <v>1.4819277108433735</v>
      </c>
      <c r="P150" s="3925">
        <f>AL150/BU7</f>
        <v>1.8427947598253276</v>
      </c>
      <c r="V150" s="3933"/>
      <c r="W150" s="3933" t="s">
        <v>14</v>
      </c>
      <c r="X150" s="3933"/>
      <c r="Y150" s="3933">
        <v>229</v>
      </c>
      <c r="Z150" s="3933">
        <v>250</v>
      </c>
      <c r="AA150" s="3933">
        <v>237</v>
      </c>
      <c r="AB150" s="3933">
        <v>447</v>
      </c>
      <c r="AC150" s="3933">
        <v>345</v>
      </c>
      <c r="AD150" s="3933">
        <v>415</v>
      </c>
      <c r="AE150" s="3933">
        <v>367</v>
      </c>
      <c r="AF150" s="3933">
        <v>419</v>
      </c>
      <c r="AG150" s="3933">
        <v>375</v>
      </c>
      <c r="AH150" s="3933">
        <v>485</v>
      </c>
      <c r="AI150" s="3933">
        <v>493</v>
      </c>
      <c r="AJ150" s="3933">
        <v>485</v>
      </c>
      <c r="AK150" s="5299">
        <f>+'ACTIVOS-POS uni'!Q165</f>
        <v>492</v>
      </c>
      <c r="AL150" s="5299">
        <f>+'ACTIVOS-POS uni'!R165</f>
        <v>633</v>
      </c>
    </row>
    <row r="151" spans="1:38" ht="15" x14ac:dyDescent="0.2">
      <c r="A151" s="5690"/>
      <c r="B151" s="1784" t="s">
        <v>7</v>
      </c>
      <c r="C151" s="3925">
        <f>Y151/U8</f>
        <v>0.73146622734761113</v>
      </c>
      <c r="D151" s="3925">
        <f>Z151/Y8</f>
        <v>0.66393442622950827</v>
      </c>
      <c r="E151" s="3925">
        <f>AA151/AC8</f>
        <v>0.79611650485436891</v>
      </c>
      <c r="F151" s="3925">
        <f>AB151/AG8</f>
        <v>1.0183028286189684</v>
      </c>
      <c r="G151" s="3925">
        <f>AC151/AK8</f>
        <v>1.2789342214820982</v>
      </c>
      <c r="H151" s="3925">
        <f>AD151/AO8</f>
        <v>1.3354838709677419</v>
      </c>
      <c r="I151" s="3925">
        <f>AE151/AS8</f>
        <v>1.7800154918667701</v>
      </c>
      <c r="J151" s="3925">
        <f>AF151/AW8</f>
        <v>2.0413793103448277</v>
      </c>
      <c r="K151" s="3925">
        <f>AG151/BA8</f>
        <v>1.9318181818181819</v>
      </c>
      <c r="L151" s="3925">
        <f>AH151/BE8</f>
        <v>1.8702460850111857</v>
      </c>
      <c r="M151" s="3925">
        <f>AI151/BI8</f>
        <v>1.9900568181818183</v>
      </c>
      <c r="N151" s="3925">
        <f>AJ151/BM8</f>
        <v>1.8807272727272728</v>
      </c>
      <c r="O151" s="3925">
        <f>AK151/BQ8</f>
        <v>2.0902366863905324</v>
      </c>
      <c r="P151" s="3925">
        <f>AL151/BU8</f>
        <v>2.3576258452291508</v>
      </c>
      <c r="V151" s="3933"/>
      <c r="W151" s="3933" t="s">
        <v>15</v>
      </c>
      <c r="X151" s="3933"/>
      <c r="Y151" s="3933">
        <v>148</v>
      </c>
      <c r="Z151" s="3933">
        <v>135</v>
      </c>
      <c r="AA151" s="3933">
        <v>164</v>
      </c>
      <c r="AB151" s="3933">
        <v>204</v>
      </c>
      <c r="AC151" s="3933">
        <v>256</v>
      </c>
      <c r="AD151" s="3933">
        <v>276</v>
      </c>
      <c r="AE151" s="3933">
        <v>383</v>
      </c>
      <c r="AF151" s="3933">
        <v>444</v>
      </c>
      <c r="AG151" s="3933">
        <v>425</v>
      </c>
      <c r="AH151" s="3933">
        <v>418</v>
      </c>
      <c r="AI151" s="3933">
        <v>467</v>
      </c>
      <c r="AJ151" s="3933">
        <v>431</v>
      </c>
      <c r="AK151" s="5299">
        <f>+'ACTIVOS-POS uni'!Q169</f>
        <v>471</v>
      </c>
      <c r="AL151" s="5299">
        <f>+'ACTIVOS-POS uni'!R169</f>
        <v>523</v>
      </c>
    </row>
    <row r="152" spans="1:38" ht="15" x14ac:dyDescent="0.2">
      <c r="A152" s="5691"/>
      <c r="B152" s="2722" t="s">
        <v>160</v>
      </c>
      <c r="C152" s="3926">
        <f>Y152/U9</f>
        <v>0.82746878547105562</v>
      </c>
      <c r="D152" s="3926">
        <f>Z152/Y9</f>
        <v>0.84998101025446249</v>
      </c>
      <c r="E152" s="3926">
        <f>AA152/AC9</f>
        <v>0.81333333333333335</v>
      </c>
      <c r="F152" s="3926">
        <f>AB152/AG9</f>
        <v>1.0825251601097896</v>
      </c>
      <c r="G152" s="3926">
        <f>AC152/AK9</f>
        <v>0.99688245002750775</v>
      </c>
      <c r="H152" s="3926">
        <f>AD152/AO9</f>
        <v>1.1448879168944779</v>
      </c>
      <c r="I152" s="3926">
        <f>AE152/AS9</f>
        <v>1.235583045297435</v>
      </c>
      <c r="J152" s="3926">
        <f>AF152/AW9</f>
        <v>1.364964820494317</v>
      </c>
      <c r="K152" s="3926">
        <f>AG152/BA9</f>
        <v>1.2495067264573991</v>
      </c>
      <c r="L152" s="3926">
        <f>AH152/BE9</f>
        <v>1.3926868044515104</v>
      </c>
      <c r="M152" s="3926">
        <f>AI152/BI9</f>
        <v>1.5140381282495667</v>
      </c>
      <c r="N152" s="3926">
        <f>AJ152/BM9</f>
        <v>1.5324123273113708</v>
      </c>
      <c r="O152" s="3926">
        <f>AK152/BQ9</f>
        <v>1.670995670995671</v>
      </c>
      <c r="P152" s="3926">
        <f>AL152/BU9</f>
        <v>1.8445116527308307</v>
      </c>
      <c r="V152" s="4043" t="s">
        <v>440</v>
      </c>
      <c r="W152" s="4044" t="s">
        <v>12</v>
      </c>
      <c r="X152" s="4044"/>
      <c r="Y152" s="4044">
        <v>729</v>
      </c>
      <c r="Z152" s="4044">
        <v>746</v>
      </c>
      <c r="AA152" s="4044">
        <v>732</v>
      </c>
      <c r="AB152" s="4044">
        <v>986</v>
      </c>
      <c r="AC152" s="4044">
        <v>906</v>
      </c>
      <c r="AD152" s="4044">
        <v>1047</v>
      </c>
      <c r="AE152" s="4044">
        <v>1132</v>
      </c>
      <c r="AF152" s="4044">
        <v>1261</v>
      </c>
      <c r="AG152" s="4044">
        <v>1161</v>
      </c>
      <c r="AH152" s="4044">
        <v>1314</v>
      </c>
      <c r="AI152" s="4044">
        <v>1456</v>
      </c>
      <c r="AJ152" s="4044">
        <v>1442</v>
      </c>
      <c r="AK152" s="4044">
        <f>+'ACTIVOS-POS uni'!Q173</f>
        <v>1544</v>
      </c>
      <c r="AL152" s="4044">
        <f>+'ACTIVOS-POS uni'!R173</f>
        <v>1728</v>
      </c>
    </row>
    <row r="153" spans="1:38" x14ac:dyDescent="0.2">
      <c r="V153" s="3933"/>
      <c r="W153" s="3933"/>
      <c r="X153" s="3933"/>
      <c r="Y153" s="3933"/>
      <c r="Z153" s="3933"/>
      <c r="AA153" s="3933"/>
      <c r="AB153" s="3933"/>
      <c r="AC153" s="3933"/>
      <c r="AD153" s="3933"/>
      <c r="AE153" s="3933"/>
      <c r="AF153" s="3933"/>
      <c r="AG153" s="3933"/>
      <c r="AH153" s="3933"/>
      <c r="AI153" s="3933"/>
      <c r="AJ153" s="3933"/>
      <c r="AK153" s="3933"/>
      <c r="AL153" s="3933"/>
    </row>
    <row r="154" spans="1:38" ht="15" x14ac:dyDescent="0.2">
      <c r="A154" s="7175" t="s">
        <v>407</v>
      </c>
      <c r="B154" s="3705" t="s">
        <v>6</v>
      </c>
      <c r="C154" s="3924"/>
      <c r="D154" s="3924"/>
      <c r="E154" s="3924"/>
      <c r="F154" s="3924"/>
      <c r="G154" s="3924"/>
      <c r="H154" s="3924"/>
      <c r="I154" s="3924"/>
      <c r="J154" s="3924">
        <f>AF154/AW11</f>
        <v>1.6227758007117437</v>
      </c>
      <c r="K154" s="3924">
        <f>AG154/BA11</f>
        <v>3</v>
      </c>
      <c r="L154" s="3924">
        <f>AH154/BE11</f>
        <v>3.8873239436619715</v>
      </c>
      <c r="M154" s="3924">
        <f>AI154/BI11</f>
        <v>3.96</v>
      </c>
      <c r="N154" s="3924">
        <f>AJ154/BM11</f>
        <v>4.7524752475247523</v>
      </c>
      <c r="O154" s="3924">
        <f>AK154/BQ11</f>
        <v>4.9107142857142856</v>
      </c>
      <c r="P154" s="3924">
        <f>AL154/BU11</f>
        <v>4.241935483870968</v>
      </c>
      <c r="V154" s="3933"/>
      <c r="W154" s="3933" t="s">
        <v>14</v>
      </c>
      <c r="X154" s="3933" t="s">
        <v>6</v>
      </c>
      <c r="Y154" s="3933"/>
      <c r="Z154" s="3933"/>
      <c r="AA154" s="3933"/>
      <c r="AB154" s="3933"/>
      <c r="AC154" s="3933"/>
      <c r="AD154" s="3933"/>
      <c r="AE154" s="3933"/>
      <c r="AF154" s="3933">
        <v>76</v>
      </c>
      <c r="AG154" s="3933">
        <v>130</v>
      </c>
      <c r="AH154" s="3933">
        <v>184</v>
      </c>
      <c r="AI154" s="3933">
        <v>198</v>
      </c>
      <c r="AJ154" s="3933">
        <v>240</v>
      </c>
      <c r="AK154" s="5299">
        <f>+'ACTIVOS-POS uni'!Q212</f>
        <v>275</v>
      </c>
      <c r="AL154" s="5299">
        <f>+'ACTIVOS-POS uni'!R212</f>
        <v>263</v>
      </c>
    </row>
    <row r="155" spans="1:38" ht="15" x14ac:dyDescent="0.2">
      <c r="A155" s="5694"/>
      <c r="B155" s="1784" t="s">
        <v>9</v>
      </c>
      <c r="C155" s="3925"/>
      <c r="D155" s="3925"/>
      <c r="E155" s="3925"/>
      <c r="F155" s="3925"/>
      <c r="G155" s="3925"/>
      <c r="H155" s="3925"/>
      <c r="I155" s="3925"/>
      <c r="J155" s="3925">
        <f>AF155/AW12</f>
        <v>0</v>
      </c>
      <c r="K155" s="3925">
        <f>AG155/BA12</f>
        <v>0.45859872611464964</v>
      </c>
      <c r="L155" s="3925">
        <f>AH155/BE12</f>
        <v>0.92903225806451617</v>
      </c>
      <c r="M155" s="3925">
        <f>AI155/BI12</f>
        <v>1.6050955414012738</v>
      </c>
      <c r="N155" s="3925">
        <f>AJ155/BM12</f>
        <v>1.8404907975460121</v>
      </c>
      <c r="O155" s="3925">
        <f>AK155/BQ12</f>
        <v>2.2317073170731709</v>
      </c>
      <c r="P155" s="3925">
        <f>AL155/BU12</f>
        <v>2.3846153846153846</v>
      </c>
      <c r="V155" s="3933"/>
      <c r="W155" s="3933" t="s">
        <v>30</v>
      </c>
      <c r="X155" s="3933" t="s">
        <v>9</v>
      </c>
      <c r="Y155" s="3933"/>
      <c r="Z155" s="3933"/>
      <c r="AA155" s="3933"/>
      <c r="AB155" s="3933"/>
      <c r="AC155" s="3933"/>
      <c r="AD155" s="3933"/>
      <c r="AE155" s="3933"/>
      <c r="AF155" s="3933"/>
      <c r="AG155" s="3933">
        <v>24</v>
      </c>
      <c r="AH155" s="3933">
        <v>48</v>
      </c>
      <c r="AI155" s="3933">
        <v>84</v>
      </c>
      <c r="AJ155" s="3933">
        <v>100</v>
      </c>
      <c r="AK155" s="5299">
        <f>+'ACTIVOS-POS uni'!Q216</f>
        <v>122</v>
      </c>
      <c r="AL155" s="5299">
        <f>+'ACTIVOS-POS uni'!R216</f>
        <v>124</v>
      </c>
    </row>
    <row r="156" spans="1:38" ht="15" x14ac:dyDescent="0.2">
      <c r="A156" s="5694"/>
      <c r="B156" s="1784" t="s">
        <v>74</v>
      </c>
      <c r="C156" s="3925"/>
      <c r="D156" s="3925"/>
      <c r="E156" s="3925"/>
      <c r="F156" s="3925"/>
      <c r="G156" s="3925"/>
      <c r="H156" s="3925"/>
      <c r="I156" s="3925"/>
      <c r="J156" s="3925">
        <f>AF156/AW13</f>
        <v>2.3030303030303032</v>
      </c>
      <c r="K156" s="3925">
        <f>AG156/BA13</f>
        <v>5.3944954128440363</v>
      </c>
      <c r="L156" s="3925">
        <f>AH156/BE13</f>
        <v>8.5333333333333332</v>
      </c>
      <c r="M156" s="3925">
        <f>AI156/BI13</f>
        <v>9.5862068965517242</v>
      </c>
      <c r="N156" s="3925">
        <f>AJ156/BM13</f>
        <v>11.512915129151292</v>
      </c>
      <c r="O156" s="3925">
        <f>AK156/BQ13</f>
        <v>12.838709677419354</v>
      </c>
      <c r="P156" s="3925">
        <f>AL156/BU13</f>
        <v>11.667752442996743</v>
      </c>
      <c r="V156" s="3933"/>
      <c r="W156" s="3933" t="s">
        <v>15</v>
      </c>
      <c r="X156" s="3933" t="s">
        <v>74</v>
      </c>
      <c r="Y156" s="3933"/>
      <c r="Z156" s="3933"/>
      <c r="AA156" s="3933"/>
      <c r="AB156" s="3933"/>
      <c r="AC156" s="3933"/>
      <c r="AD156" s="3933"/>
      <c r="AE156" s="3933"/>
      <c r="AF156" s="3933">
        <v>76</v>
      </c>
      <c r="AG156" s="3933">
        <v>196</v>
      </c>
      <c r="AH156" s="3933">
        <v>320</v>
      </c>
      <c r="AI156" s="3933">
        <v>417</v>
      </c>
      <c r="AJ156" s="3933">
        <v>520</v>
      </c>
      <c r="AK156" s="5299">
        <f>+'ACTIVOS-POS uni'!Q220</f>
        <v>597</v>
      </c>
      <c r="AL156" s="5299">
        <f>+'ACTIVOS-POS uni'!R220</f>
        <v>597</v>
      </c>
    </row>
    <row r="157" spans="1:38" ht="15" x14ac:dyDescent="0.2">
      <c r="A157" s="5695"/>
      <c r="B157" s="2725" t="s">
        <v>160</v>
      </c>
      <c r="C157" s="3927"/>
      <c r="D157" s="3927"/>
      <c r="E157" s="3927"/>
      <c r="F157" s="3927"/>
      <c r="G157" s="3927"/>
      <c r="H157" s="3927"/>
      <c r="I157" s="3927"/>
      <c r="J157" s="3927">
        <f>AF157/AW14</f>
        <v>1.2544704264099036</v>
      </c>
      <c r="K157" s="3927">
        <f>AG157/BA14</f>
        <v>2.6515151515151514</v>
      </c>
      <c r="L157" s="3927">
        <f>AH157/BE14</f>
        <v>4.0439560439560438</v>
      </c>
      <c r="M157" s="3927">
        <f>AI157/BI14</f>
        <v>4.7931428571428567</v>
      </c>
      <c r="N157" s="3927">
        <f>AJ157/BM14</f>
        <v>5.7333333333333334</v>
      </c>
      <c r="O157" s="3927">
        <f>AK157/BQ14</f>
        <v>6.3244962884411455</v>
      </c>
      <c r="P157" s="3927">
        <f>AL157/BU14</f>
        <v>5.9576185671039354</v>
      </c>
      <c r="V157" s="4045" t="s">
        <v>430</v>
      </c>
      <c r="W157" s="4045" t="s">
        <v>12</v>
      </c>
      <c r="X157" s="4045"/>
      <c r="Y157" s="4045"/>
      <c r="Z157" s="4045"/>
      <c r="AA157" s="4045"/>
      <c r="AB157" s="4045"/>
      <c r="AC157" s="4045"/>
      <c r="AD157" s="4045"/>
      <c r="AE157" s="4045"/>
      <c r="AF157" s="4045">
        <v>152</v>
      </c>
      <c r="AG157" s="4045">
        <v>350</v>
      </c>
      <c r="AH157" s="4045">
        <v>552</v>
      </c>
      <c r="AI157" s="4045">
        <v>699</v>
      </c>
      <c r="AJ157" s="4045">
        <v>860</v>
      </c>
      <c r="AK157" s="5300">
        <f>SUM(AK154:AK156)</f>
        <v>994</v>
      </c>
      <c r="AL157" s="5300">
        <f>SUM(AL154:AL156)</f>
        <v>984</v>
      </c>
    </row>
    <row r="159" spans="1:38" ht="15" x14ac:dyDescent="0.2">
      <c r="A159" s="7172" t="s">
        <v>162</v>
      </c>
      <c r="B159" s="3705" t="s">
        <v>5</v>
      </c>
      <c r="C159" s="3924">
        <f>Y159/U16</f>
        <v>3.4725274725274726</v>
      </c>
      <c r="D159" s="3924">
        <f>Z159/Y16</f>
        <v>3.7322274881516582</v>
      </c>
      <c r="E159" s="3924">
        <f>AA159/AC16</f>
        <v>3.8288075560802834</v>
      </c>
      <c r="F159" s="3924">
        <f>AB159/AG16</f>
        <v>3.8651817116060965</v>
      </c>
      <c r="G159" s="3924">
        <f>AC159/AK16</f>
        <v>3.7071178529754958</v>
      </c>
      <c r="H159" s="3924">
        <f>AD159/AO16</f>
        <v>3.7970674486803517</v>
      </c>
      <c r="I159" s="3924">
        <f>AE159/AS16</f>
        <v>4.0520402128917805</v>
      </c>
      <c r="J159" s="3924">
        <f>AF159/AW16</f>
        <v>4.3738977072310403</v>
      </c>
      <c r="K159" s="3924">
        <f>AG159/BA16</f>
        <v>4.2756598240469206</v>
      </c>
      <c r="L159" s="3924">
        <f>AH159/BE16</f>
        <v>4.9119718309859151</v>
      </c>
      <c r="M159" s="3924">
        <f>AI159/BI16</f>
        <v>4.9044075558099598</v>
      </c>
      <c r="N159" s="3924">
        <f>AJ159/BM16</f>
        <v>4.9358752166377817</v>
      </c>
      <c r="O159" s="3924">
        <f>AK159/BQ16</f>
        <v>5.0914385556202673</v>
      </c>
      <c r="P159" s="3924">
        <f>AL159/BU16</f>
        <v>4.9602373887240363</v>
      </c>
      <c r="V159" s="3933"/>
      <c r="W159" s="3933" t="s">
        <v>14</v>
      </c>
      <c r="X159" s="3933" t="s">
        <v>5</v>
      </c>
      <c r="Y159" s="3933">
        <v>948</v>
      </c>
      <c r="Z159" s="3933">
        <v>1050</v>
      </c>
      <c r="AA159" s="3933">
        <v>1081</v>
      </c>
      <c r="AB159" s="3933">
        <v>1099</v>
      </c>
      <c r="AC159" s="3933">
        <v>1059</v>
      </c>
      <c r="AD159" s="3933">
        <v>1079</v>
      </c>
      <c r="AE159" s="3933">
        <v>1142</v>
      </c>
      <c r="AF159" s="3933">
        <v>1240</v>
      </c>
      <c r="AG159" s="3933">
        <v>1215</v>
      </c>
      <c r="AH159" s="3933">
        <v>1395</v>
      </c>
      <c r="AI159" s="3933">
        <v>1428</v>
      </c>
      <c r="AJ159" s="3933">
        <v>1424</v>
      </c>
      <c r="AK159" s="5299">
        <f>+'ACTIVOS-POS uni'!Q178</f>
        <v>1457</v>
      </c>
      <c r="AL159" s="5299">
        <f>+'ACTIVOS-POS uni'!R178</f>
        <v>1393</v>
      </c>
    </row>
    <row r="160" spans="1:38" ht="15" x14ac:dyDescent="0.2">
      <c r="A160" s="5687"/>
      <c r="B160" s="1784" t="s">
        <v>6</v>
      </c>
      <c r="C160" s="3925">
        <f>Y160/U17</f>
        <v>3.7067901234567899</v>
      </c>
      <c r="D160" s="3925">
        <f>Z160/Y17</f>
        <v>3.6524520255863537</v>
      </c>
      <c r="E160" s="3925">
        <f>AA160/AC17</f>
        <v>3.3736205990541248</v>
      </c>
      <c r="F160" s="3925">
        <f>AB160/AG17</f>
        <v>3.5688559322033897</v>
      </c>
      <c r="G160" s="3925">
        <f>AC160/AK17</f>
        <v>4.5432616675406399</v>
      </c>
      <c r="H160" s="3925">
        <f>AD160/AO17</f>
        <v>4.810020876826723</v>
      </c>
      <c r="I160" s="3925">
        <f>AE160/AS17</f>
        <v>5.9025380710659903</v>
      </c>
      <c r="J160" s="3925">
        <f>AF160/AW17</f>
        <v>5.8668730650154801</v>
      </c>
      <c r="K160" s="3925">
        <f>AG160/BA17</f>
        <v>5.85</v>
      </c>
      <c r="L160" s="3925">
        <f>AH160/BE17</f>
        <v>5.1958441558441564</v>
      </c>
      <c r="M160" s="3925">
        <f>AI160/BI17</f>
        <v>5.5963020030816644</v>
      </c>
      <c r="N160" s="3925">
        <f>AJ160/BM17</f>
        <v>5.0501567398119125</v>
      </c>
      <c r="O160" s="3925">
        <f>AK160/BQ17</f>
        <v>5.5179704016913327</v>
      </c>
      <c r="P160" s="3925">
        <f>AL160/BU17</f>
        <v>4.7587285044293903</v>
      </c>
      <c r="V160" s="3933"/>
      <c r="W160" s="3933" t="s">
        <v>417</v>
      </c>
      <c r="X160" s="3933" t="s">
        <v>6</v>
      </c>
      <c r="Y160" s="3933">
        <v>1201</v>
      </c>
      <c r="Z160" s="3933">
        <v>1142</v>
      </c>
      <c r="AA160" s="3933">
        <v>1070</v>
      </c>
      <c r="AB160" s="3933">
        <v>1123</v>
      </c>
      <c r="AC160" s="3933">
        <v>1444</v>
      </c>
      <c r="AD160" s="3933">
        <v>1536</v>
      </c>
      <c r="AE160" s="3933">
        <v>1938</v>
      </c>
      <c r="AF160" s="3933">
        <v>1895</v>
      </c>
      <c r="AG160" s="3933">
        <v>1872</v>
      </c>
      <c r="AH160" s="3933">
        <v>1667</v>
      </c>
      <c r="AI160" s="3933">
        <v>1816</v>
      </c>
      <c r="AJ160" s="3933">
        <v>1611</v>
      </c>
      <c r="AK160" s="5299">
        <f>+'ACTIVOS-POS uni'!Q182</f>
        <v>1740</v>
      </c>
      <c r="AL160" s="5299">
        <f>+'ACTIVOS-POS uni'!R182</f>
        <v>1522</v>
      </c>
    </row>
    <row r="161" spans="1:65" ht="15" x14ac:dyDescent="0.2">
      <c r="A161" s="5687"/>
      <c r="B161" s="1784" t="s">
        <v>11</v>
      </c>
      <c r="C161" s="3925">
        <f>Y161/U18</f>
        <v>3.4777618364418936</v>
      </c>
      <c r="D161" s="3925">
        <f>Z161/Y18</f>
        <v>3.342857142857143</v>
      </c>
      <c r="E161" s="3925">
        <f>AA161/AC18</f>
        <v>3.2943722943722942</v>
      </c>
      <c r="F161" s="3925">
        <f>AB161/AG18</f>
        <v>3.613684960798289</v>
      </c>
      <c r="G161" s="3925">
        <f>AC161/AK18</f>
        <v>3.8273591806876368</v>
      </c>
      <c r="H161" s="3925">
        <f>AD161/AO18</f>
        <v>4.4295302013422821</v>
      </c>
      <c r="I161" s="3925">
        <f>AE161/AS18</f>
        <v>4.9132420091324205</v>
      </c>
      <c r="J161" s="3925">
        <f>AF161/AW18</f>
        <v>5.1485294117647058</v>
      </c>
      <c r="K161" s="3925">
        <f>AG161/BA18</f>
        <v>5.6117647058823534</v>
      </c>
      <c r="L161" s="3925">
        <f>AH161/BE18</f>
        <v>5.8015815959741195</v>
      </c>
      <c r="M161" s="3925">
        <f>AI161/BI18</f>
        <v>5.9957953749124036</v>
      </c>
      <c r="N161" s="3925">
        <f>AJ161/BM18</f>
        <v>6.0251221214235864</v>
      </c>
      <c r="O161" s="3925">
        <f>AK161/BQ18</f>
        <v>5.7581653926337735</v>
      </c>
      <c r="P161" s="3925">
        <f>AL161/BU18</f>
        <v>5.590717299578059</v>
      </c>
      <c r="V161" s="3933"/>
      <c r="W161" s="3933" t="s">
        <v>418</v>
      </c>
      <c r="X161" s="3933" t="s">
        <v>11</v>
      </c>
      <c r="Y161" s="3933">
        <v>808</v>
      </c>
      <c r="Z161" s="3933">
        <v>780</v>
      </c>
      <c r="AA161" s="3933">
        <v>761</v>
      </c>
      <c r="AB161" s="3933">
        <v>845</v>
      </c>
      <c r="AC161" s="3933">
        <v>872</v>
      </c>
      <c r="AD161" s="3933">
        <v>990</v>
      </c>
      <c r="AE161" s="3933">
        <v>1076</v>
      </c>
      <c r="AF161" s="3933">
        <v>1167</v>
      </c>
      <c r="AG161" s="3933">
        <v>1272</v>
      </c>
      <c r="AH161" s="3933">
        <v>1345</v>
      </c>
      <c r="AI161" s="3933">
        <v>1426</v>
      </c>
      <c r="AJ161" s="3933">
        <v>1439</v>
      </c>
      <c r="AK161" s="5299">
        <f>+'ACTIVOS-POS uni'!Q186</f>
        <v>1381</v>
      </c>
      <c r="AL161" s="5299">
        <f>+'ACTIVOS-POS uni'!R186</f>
        <v>1325</v>
      </c>
    </row>
    <row r="162" spans="1:65" ht="15" x14ac:dyDescent="0.2">
      <c r="A162" s="5688"/>
      <c r="B162" s="2724" t="s">
        <v>160</v>
      </c>
      <c r="C162" s="3928">
        <f>Y162/U19</f>
        <v>3.565514469453376</v>
      </c>
      <c r="D162" s="3928">
        <f>Z162/Y19</f>
        <v>3.5922643029814663</v>
      </c>
      <c r="E162" s="3928">
        <f>AA162/AC19</f>
        <v>3.5063214930764599</v>
      </c>
      <c r="F162" s="3928">
        <f>AB162/AG19</f>
        <v>3.6826095657394435</v>
      </c>
      <c r="G162" s="3928">
        <f>AC162/AK19</f>
        <v>4.0597433841218926</v>
      </c>
      <c r="H162" s="3928">
        <f>AD162/AO19</f>
        <v>4.3591293833131806</v>
      </c>
      <c r="I162" s="3928">
        <f>AE162/AS19</f>
        <v>5.0122613065326638</v>
      </c>
      <c r="J162" s="3928">
        <f>AF162/AW19</f>
        <v>5.1634326865373081</v>
      </c>
      <c r="K162" s="3928">
        <f>AG162/BA19</f>
        <v>5.2465396188565698</v>
      </c>
      <c r="L162" s="3928">
        <f>AH162/BE19</f>
        <v>5.2350029697089679</v>
      </c>
      <c r="M162" s="3928">
        <f>AI162/BI19</f>
        <v>5.4715875805506737</v>
      </c>
      <c r="N162" s="3928">
        <f>AJ162/BM19</f>
        <v>5.2863332020480502</v>
      </c>
      <c r="O162" s="3928">
        <f>AK162/BQ19</f>
        <v>5.441362916006339</v>
      </c>
      <c r="P162" s="3928">
        <f>AL162/BU19</f>
        <v>5.0616792678074018</v>
      </c>
      <c r="V162" s="4046" t="s">
        <v>441</v>
      </c>
      <c r="W162" s="4046" t="s">
        <v>12</v>
      </c>
      <c r="X162" s="4046"/>
      <c r="Y162" s="4046">
        <v>2957</v>
      </c>
      <c r="Z162" s="4046">
        <v>2972</v>
      </c>
      <c r="AA162" s="4046">
        <v>2912</v>
      </c>
      <c r="AB162" s="4046">
        <v>3067</v>
      </c>
      <c r="AC162" s="4046">
        <v>3375</v>
      </c>
      <c r="AD162" s="4046">
        <v>3605</v>
      </c>
      <c r="AE162" s="4046">
        <v>4156</v>
      </c>
      <c r="AF162" s="4046">
        <v>4302</v>
      </c>
      <c r="AG162" s="4046">
        <v>4359</v>
      </c>
      <c r="AH162" s="4046">
        <v>4407</v>
      </c>
      <c r="AI162" s="4046">
        <v>4670</v>
      </c>
      <c r="AJ162" s="4046">
        <v>4474</v>
      </c>
      <c r="AK162" s="4046">
        <f>SUM(AK159:AK161)</f>
        <v>4578</v>
      </c>
      <c r="AL162" s="4046">
        <f>SUM(AL159:AL161)</f>
        <v>4240</v>
      </c>
    </row>
    <row r="163" spans="1:65" x14ac:dyDescent="0.2">
      <c r="M163" s="3923"/>
      <c r="N163" s="3923"/>
      <c r="O163" s="3923"/>
      <c r="P163" s="3923"/>
      <c r="V163" s="3934"/>
      <c r="W163" s="3934"/>
      <c r="X163" s="3934"/>
      <c r="Y163" s="3934"/>
      <c r="Z163" s="3934"/>
      <c r="AA163" s="3934"/>
      <c r="AB163" s="3934"/>
      <c r="AC163" s="3934"/>
      <c r="AD163" s="3934"/>
      <c r="AE163" s="3934"/>
      <c r="AF163" s="3934"/>
      <c r="AG163" s="3934"/>
      <c r="AH163" s="3934"/>
      <c r="AI163" s="3934"/>
      <c r="AJ163" s="3934"/>
      <c r="AK163" s="3934"/>
      <c r="AL163" s="3934"/>
    </row>
    <row r="164" spans="1:65" ht="15" x14ac:dyDescent="0.2">
      <c r="A164" s="7173" t="s">
        <v>163</v>
      </c>
      <c r="B164" s="3705" t="s">
        <v>6</v>
      </c>
      <c r="C164" s="3924">
        <f>Y169/U26</f>
        <v>2.3473491773308957</v>
      </c>
      <c r="D164" s="3924">
        <f>Z169/Y26</f>
        <v>2.2090656799259945</v>
      </c>
      <c r="E164" s="3924">
        <f>AA169/AC26</f>
        <v>2.4668508287292816</v>
      </c>
      <c r="F164" s="3924">
        <f>AB169/AG26</f>
        <v>2.8367838228213769</v>
      </c>
      <c r="G164" s="3924">
        <f>AC169/AK26</f>
        <v>2.9209783631232362</v>
      </c>
      <c r="H164" s="3924">
        <f>AD169/AO26</f>
        <v>3.0786206896551724</v>
      </c>
      <c r="I164" s="3924">
        <f>AE169/AS26</f>
        <v>3.0976616231086656</v>
      </c>
      <c r="J164" s="3924">
        <f>AG169/AW26</f>
        <v>2.7545333923042903</v>
      </c>
      <c r="K164" s="3924">
        <f>AG169/BA26</f>
        <v>2.7267950963222414</v>
      </c>
      <c r="L164" s="3924">
        <f>AH169/BE26</f>
        <v>2.6238451385833703</v>
      </c>
      <c r="M164" s="3924">
        <f>AI169/BI26</f>
        <v>2.7945205479452055</v>
      </c>
      <c r="N164" s="3924">
        <f>AJ169/BM26</f>
        <v>2.6574487065120427</v>
      </c>
      <c r="O164" s="3924">
        <f>AK169/BQ26</f>
        <v>2.9646418857660923</v>
      </c>
      <c r="P164" s="3924">
        <f>AL169/BU26</f>
        <v>2.9918032786885247</v>
      </c>
      <c r="V164" s="3933"/>
      <c r="W164" s="3933" t="s">
        <v>14</v>
      </c>
      <c r="X164" s="3933" t="s">
        <v>5</v>
      </c>
      <c r="Y164" s="3934"/>
      <c r="Z164" s="3934"/>
      <c r="AA164" s="3934"/>
      <c r="AB164" s="3934"/>
      <c r="AC164" s="3934"/>
      <c r="AD164" s="3934"/>
      <c r="AE164" s="3934"/>
      <c r="AF164" s="3934"/>
      <c r="AG164" s="3934"/>
      <c r="AH164" s="3934"/>
      <c r="AI164" s="3934"/>
      <c r="AJ164" s="3934"/>
      <c r="AK164" s="3934"/>
      <c r="AL164" s="3934"/>
    </row>
    <row r="165" spans="1:65" ht="15" x14ac:dyDescent="0.2">
      <c r="A165" s="5697"/>
      <c r="B165" s="1784" t="s">
        <v>11</v>
      </c>
      <c r="C165" s="3925">
        <f>Y170/U27</f>
        <v>1.0760127446517977</v>
      </c>
      <c r="D165" s="3925">
        <f>Z170/Y27</f>
        <v>1.4226244343891401</v>
      </c>
      <c r="E165" s="3925">
        <f>AA170/AC27</f>
        <v>1.5269784172661869</v>
      </c>
      <c r="F165" s="3925">
        <f>AB170/AG27</f>
        <v>1.8079198907601273</v>
      </c>
      <c r="G165" s="3925">
        <f>AC170/AK27</f>
        <v>1.7068014705882353</v>
      </c>
      <c r="H165" s="3925">
        <f>AD170/AO27</f>
        <v>2.0188768286927794</v>
      </c>
      <c r="I165" s="3925">
        <f>AE170/AS27</f>
        <v>2.0448179271708682</v>
      </c>
      <c r="J165" s="3925">
        <f>AG170/AW27</f>
        <v>2.0917173607861486</v>
      </c>
      <c r="K165" s="3925">
        <f>AG170/BA27</f>
        <v>2.0542279411764706</v>
      </c>
      <c r="L165" s="3925">
        <f>AH170/BE27</f>
        <v>2.319854611540209</v>
      </c>
      <c r="M165" s="3925">
        <f>AI170/BI27</f>
        <v>2.1466666666666665</v>
      </c>
      <c r="N165" s="3925">
        <f>AJ170/BM27</f>
        <v>2.3946784922394682</v>
      </c>
      <c r="O165" s="3925">
        <f>AK170/BQ27</f>
        <v>2.5586238116794928</v>
      </c>
      <c r="P165" s="3925">
        <f>AL170/BU27</f>
        <v>2.625</v>
      </c>
      <c r="V165" s="3933"/>
      <c r="W165" s="3933" t="s">
        <v>417</v>
      </c>
      <c r="X165" s="3933" t="s">
        <v>6</v>
      </c>
      <c r="Y165" s="3934"/>
      <c r="Z165" s="3934"/>
      <c r="AA165" s="3934"/>
      <c r="AB165" s="3934"/>
      <c r="AC165" s="3934"/>
      <c r="AD165" s="3934"/>
      <c r="AE165" s="3934"/>
      <c r="AF165" s="3934"/>
      <c r="AG165" s="3934"/>
      <c r="AH165" s="3934"/>
      <c r="AI165" s="3934"/>
      <c r="AJ165" s="3934"/>
      <c r="AK165" s="3934"/>
      <c r="AL165" s="3934"/>
    </row>
    <row r="166" spans="1:65" ht="15" x14ac:dyDescent="0.2">
      <c r="A166" s="5697"/>
      <c r="B166" s="1784" t="s">
        <v>7</v>
      </c>
      <c r="C166" s="3925">
        <f>Y171/U28</f>
        <v>1.349344978165939</v>
      </c>
      <c r="D166" s="3925">
        <f>Z171/Y28</f>
        <v>1.2953020134228188</v>
      </c>
      <c r="E166" s="3925">
        <f>AA171/AC28</f>
        <v>1.4951245937161428</v>
      </c>
      <c r="F166" s="3925">
        <f>AB171/AG28</f>
        <v>1.5065217391304346</v>
      </c>
      <c r="G166" s="3925">
        <f>AC171/AK28</f>
        <v>1.5589519650655024</v>
      </c>
      <c r="H166" s="3925">
        <f>AD171/AO28</f>
        <v>2.2255005268703902</v>
      </c>
      <c r="I166" s="3925">
        <f>AE171/AS28</f>
        <v>2.1172774869109947</v>
      </c>
      <c r="J166" s="3925">
        <f>AG171/AW28</f>
        <v>2.0721649484536084</v>
      </c>
      <c r="K166" s="3925">
        <f>AG171/BA28</f>
        <v>2.1025104602510458</v>
      </c>
      <c r="L166" s="3925">
        <f>AH171/BE28</f>
        <v>2.713536201469045</v>
      </c>
      <c r="M166" s="3925">
        <f>AI171/BI28</f>
        <v>2.2889114954221768</v>
      </c>
      <c r="N166" s="3925">
        <f>AJ171/BM28</f>
        <v>2.7204968944099379</v>
      </c>
      <c r="O166" s="3925">
        <f>AK171/BQ28</f>
        <v>2.3101265822784809</v>
      </c>
      <c r="P166" s="3925">
        <f>AL171/BU28</f>
        <v>2.8168701442841289</v>
      </c>
      <c r="V166" s="3933"/>
      <c r="W166" s="3933" t="s">
        <v>418</v>
      </c>
      <c r="X166" s="3933" t="s">
        <v>11</v>
      </c>
      <c r="Y166" s="3934"/>
      <c r="Z166" s="3934"/>
      <c r="AA166" s="3934"/>
      <c r="AB166" s="3934"/>
      <c r="AC166" s="3934"/>
      <c r="AD166" s="3934"/>
      <c r="AE166" s="3934"/>
      <c r="AF166" s="3934"/>
      <c r="AG166" s="3934"/>
      <c r="AH166" s="3934"/>
      <c r="AI166" s="3934"/>
      <c r="AJ166" s="3934"/>
      <c r="AK166" s="3934"/>
      <c r="AL166" s="3934"/>
    </row>
    <row r="167" spans="1:65" ht="15" x14ac:dyDescent="0.2">
      <c r="A167" s="5698"/>
      <c r="B167" s="2723" t="s">
        <v>160</v>
      </c>
      <c r="C167" s="3930">
        <f>Y172/U29</f>
        <v>1.6479909451046972</v>
      </c>
      <c r="D167" s="3930">
        <f>Z172/Y29</f>
        <v>1.7238890998860616</v>
      </c>
      <c r="E167" s="3930">
        <f>AA172/AC29</f>
        <v>1.9052453468697124</v>
      </c>
      <c r="F167" s="3930">
        <f>AB172/AG29</f>
        <v>2.1659607239122063</v>
      </c>
      <c r="G167" s="3930">
        <f>AC172/AK29</f>
        <v>2.1755461862782677</v>
      </c>
      <c r="H167" s="3930">
        <f>AD172/AO29</f>
        <v>2.4958992942971578</v>
      </c>
      <c r="I167" s="3930">
        <f>AE172/AS29</f>
        <v>2.4929897688518379</v>
      </c>
      <c r="J167" s="3930">
        <f>AG172/AW29</f>
        <v>2.3673621460506706</v>
      </c>
      <c r="K167" s="3930">
        <f>AG172/BA29</f>
        <v>2.346381093057607</v>
      </c>
      <c r="L167" s="3930">
        <f>AH172/BE29</f>
        <v>2.5163073521282477</v>
      </c>
      <c r="M167" s="3930">
        <f>AI172/BI29</f>
        <v>2.4388646288209608</v>
      </c>
      <c r="N167" s="3930">
        <f>AJ172/BM29</f>
        <v>2.5601317957166394</v>
      </c>
      <c r="O167" s="3930">
        <f>AK172/BQ29</f>
        <v>2.6817079992541486</v>
      </c>
      <c r="P167" s="3930">
        <f>AL172/BU29</f>
        <v>2.8099829835507659</v>
      </c>
      <c r="V167" s="4047" t="s">
        <v>431</v>
      </c>
      <c r="W167" s="4047" t="s">
        <v>12</v>
      </c>
      <c r="X167" s="4047"/>
      <c r="Y167" s="4047"/>
      <c r="Z167" s="4047"/>
      <c r="AA167" s="4047"/>
      <c r="AB167" s="4047"/>
      <c r="AC167" s="4047"/>
      <c r="AD167" s="4047"/>
      <c r="AE167" s="4047"/>
      <c r="AF167" s="4047"/>
      <c r="AG167" s="4047"/>
      <c r="AH167" s="4047"/>
      <c r="AI167" s="4047"/>
      <c r="AJ167" s="4047"/>
      <c r="AK167" s="4047"/>
      <c r="AL167" s="4047"/>
    </row>
    <row r="168" spans="1:65" ht="15" x14ac:dyDescent="0.2">
      <c r="A168" s="1783"/>
      <c r="V168" s="3933"/>
      <c r="W168" s="3933"/>
      <c r="X168" s="3933"/>
      <c r="Y168" s="3933"/>
      <c r="Z168" s="3933"/>
      <c r="AA168" s="3933"/>
      <c r="AB168" s="3933"/>
      <c r="AC168" s="3933"/>
      <c r="AD168" s="3933"/>
      <c r="AE168" s="3933"/>
      <c r="AF168" s="3933"/>
      <c r="AG168" s="3933"/>
      <c r="AH168" s="3933"/>
      <c r="AI168" s="3933"/>
      <c r="AJ168" s="3933"/>
      <c r="AK168" s="3933"/>
      <c r="AL168" s="3933"/>
    </row>
    <row r="169" spans="1:65" ht="15" x14ac:dyDescent="0.2">
      <c r="A169" s="3706" t="s">
        <v>60</v>
      </c>
      <c r="B169" s="3707"/>
      <c r="C169" s="3728">
        <f>Y174/U31</f>
        <v>1.9823941399473108</v>
      </c>
      <c r="D169" s="3728">
        <f>Z174/Y31</f>
        <v>2.0152818800565044</v>
      </c>
      <c r="E169" s="3728">
        <f>AA174/AC31</f>
        <v>2.0208412277377796</v>
      </c>
      <c r="F169" s="3728">
        <f>AB174/AG31</f>
        <v>2.2270365036628887</v>
      </c>
      <c r="G169" s="3728">
        <f>AC174/AK31</f>
        <v>2.3026422132421511</v>
      </c>
      <c r="H169" s="3728">
        <f>AD174/AO31</f>
        <v>2.5308969689487002</v>
      </c>
      <c r="I169" s="3728">
        <f>AE174/AS31</f>
        <v>2.7307902901989416</v>
      </c>
      <c r="J169" s="3728">
        <f>AG174/AW31</f>
        <v>2.8673646425366437</v>
      </c>
      <c r="K169" s="3728">
        <f>AG174/BA31</f>
        <v>2.8359763313609467</v>
      </c>
      <c r="L169" s="3728">
        <f>AH174/BE31</f>
        <v>2.9950951769239751</v>
      </c>
      <c r="M169" s="3728">
        <f>AI174/BI31</f>
        <v>3.1098523858565055</v>
      </c>
      <c r="N169" s="3937">
        <f>AJ174/BM31</f>
        <v>3.1513928138877674</v>
      </c>
      <c r="O169" s="3728">
        <f>AK174/BQ31</f>
        <v>3.3130949616902714</v>
      </c>
      <c r="P169" s="3937">
        <f>AL174/BU31</f>
        <v>3.2647007905822609</v>
      </c>
      <c r="V169" s="3933"/>
      <c r="W169" s="3933" t="s">
        <v>13</v>
      </c>
      <c r="X169" s="3933" t="s">
        <v>6</v>
      </c>
      <c r="Y169" s="3933">
        <v>856</v>
      </c>
      <c r="Z169" s="3933">
        <v>796</v>
      </c>
      <c r="AA169" s="3933">
        <v>893</v>
      </c>
      <c r="AB169" s="3933">
        <v>982</v>
      </c>
      <c r="AC169" s="3933">
        <v>1035</v>
      </c>
      <c r="AD169" s="3933">
        <v>1116</v>
      </c>
      <c r="AE169" s="3933">
        <v>1126</v>
      </c>
      <c r="AF169" s="3933">
        <v>1033</v>
      </c>
      <c r="AG169" s="3933">
        <v>1038</v>
      </c>
      <c r="AH169" s="3933">
        <v>994</v>
      </c>
      <c r="AI169" s="3933">
        <v>1054</v>
      </c>
      <c r="AJ169" s="3933">
        <v>993</v>
      </c>
      <c r="AK169" s="5299">
        <f>+'ACTIVOS-POS uni'!Q195</f>
        <v>1090</v>
      </c>
      <c r="AL169" s="5299">
        <f>+'ACTIVOS-POS uni'!R195</f>
        <v>1095</v>
      </c>
    </row>
    <row r="170" spans="1:65" x14ac:dyDescent="0.2">
      <c r="V170" s="3933"/>
      <c r="W170" s="3933" t="s">
        <v>14</v>
      </c>
      <c r="X170" s="3933" t="s">
        <v>11</v>
      </c>
      <c r="Y170" s="3933">
        <v>394</v>
      </c>
      <c r="Z170" s="3933">
        <v>524</v>
      </c>
      <c r="AA170" s="3933">
        <v>566</v>
      </c>
      <c r="AB170" s="3933">
        <v>662</v>
      </c>
      <c r="AC170" s="3933">
        <v>619</v>
      </c>
      <c r="AD170" s="3933">
        <v>713</v>
      </c>
      <c r="AE170" s="3933">
        <v>730</v>
      </c>
      <c r="AF170" s="3933">
        <v>734</v>
      </c>
      <c r="AG170" s="3933">
        <v>745</v>
      </c>
      <c r="AH170" s="3933">
        <v>851</v>
      </c>
      <c r="AI170" s="3933">
        <v>805</v>
      </c>
      <c r="AJ170" s="3933">
        <v>900</v>
      </c>
      <c r="AK170" s="5299">
        <f>+'ACTIVOS-POS uni'!Q199</f>
        <v>942</v>
      </c>
      <c r="AL170" s="5299">
        <f>+'ACTIVOS-POS uni'!R199</f>
        <v>959</v>
      </c>
      <c r="AM170" s="3933"/>
      <c r="AN170" s="3933"/>
      <c r="AO170" s="3933"/>
      <c r="AP170" s="3933"/>
      <c r="AQ170" s="3933"/>
      <c r="AR170" s="3933"/>
      <c r="AS170" s="3933"/>
      <c r="AT170" s="3933"/>
      <c r="AU170" s="3933"/>
      <c r="AV170" s="3933"/>
      <c r="AW170" s="3933"/>
      <c r="AX170" s="3933"/>
      <c r="AY170" s="3933"/>
      <c r="AZ170" s="3933"/>
      <c r="BA170" s="3933"/>
      <c r="BB170" s="3933"/>
      <c r="BC170" s="3933"/>
      <c r="BD170" s="3933"/>
      <c r="BE170" s="3933"/>
      <c r="BF170" s="3933"/>
      <c r="BG170" s="3933"/>
      <c r="BH170" s="3933"/>
      <c r="BI170" s="3933"/>
      <c r="BJ170" s="3933"/>
      <c r="BK170" s="3933"/>
      <c r="BL170" s="3933"/>
      <c r="BM170" s="3933"/>
    </row>
    <row r="171" spans="1:65" ht="15" x14ac:dyDescent="0.2">
      <c r="A171" s="262" t="s">
        <v>811</v>
      </c>
      <c r="B171" s="262" t="s">
        <v>1313</v>
      </c>
      <c r="V171" s="3933"/>
      <c r="W171" s="3933" t="s">
        <v>30</v>
      </c>
      <c r="X171" s="3933" t="s">
        <v>7</v>
      </c>
      <c r="Y171" s="3933">
        <v>206</v>
      </c>
      <c r="Z171" s="3933">
        <v>193</v>
      </c>
      <c r="AA171" s="3933">
        <v>230</v>
      </c>
      <c r="AB171" s="3933">
        <v>231</v>
      </c>
      <c r="AC171" s="3933">
        <v>238</v>
      </c>
      <c r="AD171" s="3933">
        <v>352</v>
      </c>
      <c r="AE171" s="3933">
        <v>337</v>
      </c>
      <c r="AF171" s="3933">
        <v>423</v>
      </c>
      <c r="AG171" s="3933">
        <v>335</v>
      </c>
      <c r="AH171" s="3933">
        <v>431</v>
      </c>
      <c r="AI171" s="3933">
        <v>375</v>
      </c>
      <c r="AJ171" s="3933">
        <v>438</v>
      </c>
      <c r="AK171" s="5299">
        <f>+'ACTIVOS-POS uni'!Q203</f>
        <v>365</v>
      </c>
      <c r="AL171" s="5299">
        <f>+'ACTIVOS-POS uni'!R203</f>
        <v>423</v>
      </c>
      <c r="AM171" s="3933"/>
      <c r="AN171" s="3933"/>
      <c r="AO171" s="3933"/>
      <c r="AP171" s="3933"/>
      <c r="AQ171" s="3933"/>
      <c r="AR171" s="3933"/>
      <c r="AS171" s="3933"/>
      <c r="AT171" s="3933"/>
      <c r="AU171" s="3933"/>
      <c r="AV171" s="3933"/>
      <c r="AW171" s="3933"/>
      <c r="AX171" s="3933"/>
      <c r="AY171" s="3933"/>
      <c r="AZ171" s="3933"/>
      <c r="BA171" s="3933"/>
      <c r="BB171" s="3933"/>
      <c r="BC171" s="3933"/>
      <c r="BD171" s="3933"/>
      <c r="BE171" s="3933"/>
      <c r="BF171" s="3933"/>
      <c r="BG171" s="3933"/>
      <c r="BH171" s="3933"/>
      <c r="BI171" s="3933"/>
      <c r="BJ171" s="3933"/>
      <c r="BK171" s="3933"/>
      <c r="BL171" s="3933"/>
      <c r="BM171" s="3933"/>
    </row>
    <row r="172" spans="1:65" ht="15" x14ac:dyDescent="0.25">
      <c r="A172" s="250"/>
      <c r="B172" s="262" t="s">
        <v>1312</v>
      </c>
      <c r="V172" s="4048" t="s">
        <v>442</v>
      </c>
      <c r="W172" s="4048" t="s">
        <v>12</v>
      </c>
      <c r="X172" s="4048"/>
      <c r="Y172" s="4048">
        <v>1456</v>
      </c>
      <c r="Z172" s="4048">
        <v>1513</v>
      </c>
      <c r="AA172" s="4048">
        <v>1689</v>
      </c>
      <c r="AB172" s="4048">
        <v>1875</v>
      </c>
      <c r="AC172" s="4048">
        <v>1892</v>
      </c>
      <c r="AD172" s="4048">
        <v>2181</v>
      </c>
      <c r="AE172" s="4048">
        <v>2193</v>
      </c>
      <c r="AF172" s="4048">
        <v>2190</v>
      </c>
      <c r="AG172" s="4048">
        <v>2118</v>
      </c>
      <c r="AH172" s="4048">
        <v>2276</v>
      </c>
      <c r="AI172" s="4048">
        <v>2234</v>
      </c>
      <c r="AJ172" s="4048">
        <v>2331</v>
      </c>
      <c r="AK172" s="4048">
        <v>2397</v>
      </c>
      <c r="AL172" s="5301">
        <f>SUM(AL169:AL171)</f>
        <v>2477</v>
      </c>
      <c r="AM172" s="3933"/>
      <c r="AN172" s="3933"/>
      <c r="AO172" s="3933"/>
      <c r="AP172" s="3933"/>
      <c r="AQ172" s="3933"/>
      <c r="AR172" s="3933"/>
      <c r="AS172" s="3933"/>
      <c r="AT172" s="3933"/>
      <c r="AU172" s="3933"/>
      <c r="AV172" s="3933"/>
      <c r="AW172" s="3933"/>
      <c r="AX172" s="3933"/>
      <c r="AY172" s="3933"/>
      <c r="AZ172" s="3933"/>
      <c r="BA172" s="3933"/>
      <c r="BB172" s="3933"/>
      <c r="BC172" s="3933"/>
      <c r="BD172" s="3933"/>
      <c r="BE172" s="3933"/>
      <c r="BF172" s="3933"/>
      <c r="BG172" s="3933"/>
      <c r="BH172" s="3933"/>
      <c r="BI172" s="3933"/>
      <c r="BJ172" s="3933"/>
      <c r="BK172" s="3933"/>
      <c r="BL172" s="3933"/>
      <c r="BM172" s="3933"/>
    </row>
    <row r="173" spans="1:65" ht="15" x14ac:dyDescent="0.25">
      <c r="A173" s="250"/>
      <c r="B173" s="262" t="s">
        <v>1311</v>
      </c>
      <c r="V173" s="3933"/>
      <c r="W173" s="3933"/>
      <c r="X173" s="3933"/>
      <c r="Y173" s="3933"/>
      <c r="Z173" s="3933"/>
      <c r="AA173" s="3933"/>
      <c r="AB173" s="3933"/>
      <c r="AC173" s="3933"/>
      <c r="AD173" s="3933"/>
      <c r="AE173" s="3933"/>
      <c r="AF173" s="3933"/>
      <c r="AG173" s="3933"/>
      <c r="AH173" s="3933"/>
      <c r="AI173" s="3933"/>
      <c r="AJ173" s="3933"/>
      <c r="AK173" s="3933"/>
      <c r="AL173" s="3933"/>
      <c r="AM173" s="3933"/>
      <c r="AN173" s="3933"/>
      <c r="AO173" s="3933"/>
      <c r="AP173" s="3933"/>
      <c r="AQ173" s="3933"/>
      <c r="AR173" s="3933"/>
      <c r="AS173" s="3933"/>
      <c r="AT173" s="3933"/>
      <c r="AU173" s="3933"/>
      <c r="AV173" s="3933"/>
      <c r="AW173" s="3933"/>
      <c r="AX173" s="3933"/>
      <c r="AY173" s="3933"/>
      <c r="AZ173" s="3933"/>
      <c r="BA173" s="3933"/>
      <c r="BB173" s="3933"/>
      <c r="BC173" s="3933"/>
      <c r="BD173" s="3933"/>
      <c r="BE173" s="3933"/>
      <c r="BF173" s="3933"/>
      <c r="BG173" s="3933"/>
      <c r="BH173" s="3933"/>
      <c r="BI173" s="3933"/>
      <c r="BJ173" s="3933"/>
      <c r="BK173" s="3933"/>
      <c r="BL173" s="3933"/>
      <c r="BM173" s="3933"/>
    </row>
    <row r="174" spans="1:65" x14ac:dyDescent="0.2">
      <c r="V174" s="3934" t="s">
        <v>60</v>
      </c>
      <c r="W174" s="3934" t="s">
        <v>12</v>
      </c>
      <c r="X174" s="3934"/>
      <c r="Y174" s="3934">
        <v>5142</v>
      </c>
      <c r="Z174" s="3934">
        <v>5231</v>
      </c>
      <c r="AA174" s="3934">
        <v>5333</v>
      </c>
      <c r="AB174" s="3934">
        <v>5928</v>
      </c>
      <c r="AC174" s="3934">
        <v>6173</v>
      </c>
      <c r="AD174" s="3934">
        <v>6833</v>
      </c>
      <c r="AE174" s="3934">
        <v>7481</v>
      </c>
      <c r="AF174" s="3934">
        <v>7905</v>
      </c>
      <c r="AG174" s="3934">
        <v>7988</v>
      </c>
      <c r="AH174" s="3934">
        <v>8549</v>
      </c>
      <c r="AI174" s="3934">
        <v>9059</v>
      </c>
      <c r="AJ174" s="3934">
        <f>SUM(AJ152,AJ157,AJ162,AJ172)</f>
        <v>9107</v>
      </c>
      <c r="AK174" s="3934">
        <f>SUM(AK152,AK157,AK162,AK172)</f>
        <v>9513</v>
      </c>
      <c r="AL174" s="3934">
        <f>SUM(AL152,AL157,AL162,AL172)</f>
        <v>9429</v>
      </c>
      <c r="AM174" s="3933"/>
      <c r="AN174" s="3933"/>
      <c r="AO174" s="3933"/>
      <c r="AP174" s="3933"/>
      <c r="AQ174" s="3933"/>
      <c r="AR174" s="3933"/>
      <c r="AS174" s="3933"/>
      <c r="AT174" s="3933"/>
      <c r="AU174" s="3933"/>
      <c r="AV174" s="3933"/>
      <c r="AW174" s="3933"/>
      <c r="AX174" s="3933"/>
      <c r="AY174" s="3933"/>
      <c r="AZ174" s="3933"/>
      <c r="BA174" s="3933"/>
      <c r="BB174" s="3933"/>
      <c r="BC174" s="3933"/>
      <c r="BD174" s="3933"/>
      <c r="BE174" s="3933"/>
      <c r="BF174" s="3933"/>
      <c r="BG174" s="3933"/>
      <c r="BH174" s="3933"/>
      <c r="BI174" s="3933"/>
      <c r="BJ174" s="3933"/>
      <c r="BK174" s="3933"/>
      <c r="BL174" s="3933"/>
      <c r="BM174" s="3933"/>
    </row>
    <row r="175" spans="1:65" x14ac:dyDescent="0.2">
      <c r="AG175" s="3933"/>
      <c r="AH175" s="3933"/>
      <c r="AI175" s="3933"/>
      <c r="AJ175" s="3933"/>
      <c r="AK175" s="3933"/>
      <c r="AL175" s="3933"/>
      <c r="AM175" s="3933"/>
      <c r="AN175" s="3933"/>
      <c r="AO175" s="3933"/>
      <c r="AP175" s="3933"/>
      <c r="AQ175" s="3933"/>
      <c r="AR175" s="3933"/>
      <c r="AS175" s="3933"/>
      <c r="AT175" s="3933"/>
      <c r="AU175" s="3933"/>
      <c r="AV175" s="3933"/>
      <c r="AW175" s="3933"/>
      <c r="AX175" s="3933"/>
      <c r="AY175" s="3933"/>
      <c r="AZ175" s="3933"/>
      <c r="BA175" s="3933"/>
      <c r="BB175" s="3933"/>
      <c r="BC175" s="3933"/>
      <c r="BD175" s="3933"/>
      <c r="BE175" s="3933"/>
      <c r="BF175" s="3933"/>
      <c r="BG175" s="3933"/>
      <c r="BH175" s="3933"/>
      <c r="BI175" s="3933"/>
      <c r="BJ175" s="3933"/>
      <c r="BK175" s="3933"/>
      <c r="BL175" s="3933"/>
      <c r="BM175" s="3933"/>
    </row>
    <row r="176" spans="1:65" x14ac:dyDescent="0.2">
      <c r="AG176" s="3933"/>
      <c r="AH176" s="3933"/>
      <c r="AI176" s="3933"/>
      <c r="AJ176" s="3933"/>
      <c r="AK176" s="3933"/>
      <c r="AL176" s="3933"/>
      <c r="AM176" s="3933"/>
      <c r="AN176" s="3933"/>
      <c r="AO176" s="3933"/>
      <c r="AP176" s="3933"/>
      <c r="AQ176" s="3933"/>
      <c r="AR176" s="3933"/>
      <c r="AS176" s="3933"/>
      <c r="AT176" s="3933"/>
      <c r="AU176" s="3933"/>
      <c r="AV176" s="3933"/>
      <c r="AW176" s="3933"/>
      <c r="AX176" s="3933"/>
      <c r="AY176" s="3933"/>
      <c r="AZ176" s="3933"/>
      <c r="BA176" s="3933"/>
      <c r="BB176" s="3933"/>
      <c r="BC176" s="3933"/>
      <c r="BD176" s="3933"/>
      <c r="BE176" s="3933"/>
      <c r="BF176" s="3933"/>
      <c r="BG176" s="3933"/>
      <c r="BH176" s="3933"/>
      <c r="BI176" s="3933"/>
      <c r="BJ176" s="3933"/>
      <c r="BK176" s="3933"/>
      <c r="BL176" s="3933"/>
      <c r="BM176" s="3933"/>
    </row>
    <row r="177" spans="18:65" x14ac:dyDescent="0.2">
      <c r="AG177" s="3933"/>
      <c r="AH177" s="3933"/>
      <c r="AI177" s="3933"/>
      <c r="AJ177" s="3933"/>
      <c r="AK177" s="3933"/>
      <c r="AL177" s="3933"/>
      <c r="AM177" s="3933"/>
      <c r="AN177" s="3933"/>
      <c r="AO177" s="3933"/>
      <c r="AP177" s="3933"/>
      <c r="AQ177" s="3933"/>
      <c r="AR177" s="3933"/>
      <c r="AS177" s="3933"/>
      <c r="AT177" s="3933"/>
      <c r="AU177" s="3933"/>
      <c r="AV177" s="3933"/>
      <c r="AW177" s="3933"/>
      <c r="AX177" s="3933"/>
      <c r="AY177" s="3933"/>
      <c r="AZ177" s="3933"/>
      <c r="BA177" s="3933"/>
      <c r="BB177" s="3933"/>
      <c r="BC177" s="3933"/>
      <c r="BD177" s="3933"/>
      <c r="BE177" s="3933"/>
      <c r="BF177" s="3933"/>
      <c r="BG177" s="3933"/>
      <c r="BH177" s="3933"/>
      <c r="BI177" s="3933"/>
      <c r="BJ177" s="3933"/>
      <c r="BK177" s="3933"/>
      <c r="BL177" s="3933"/>
      <c r="BM177" s="3933"/>
    </row>
    <row r="178" spans="18:65" x14ac:dyDescent="0.2">
      <c r="R178" s="3933"/>
      <c r="S178" s="3933"/>
      <c r="T178" s="3933"/>
      <c r="U178" s="3933"/>
      <c r="V178" s="3933"/>
      <c r="W178" s="3933"/>
      <c r="X178" s="3933"/>
      <c r="Y178" s="3933"/>
      <c r="Z178" s="3933"/>
      <c r="AA178" s="3933"/>
      <c r="AB178" s="3933"/>
      <c r="AC178" s="3933"/>
      <c r="AD178" s="3933"/>
      <c r="AE178" s="3933"/>
      <c r="AF178" s="3933"/>
      <c r="AG178" s="3933"/>
      <c r="AH178" s="3933"/>
      <c r="AI178" s="3933"/>
      <c r="AJ178" s="3933"/>
      <c r="AK178" s="3933"/>
      <c r="AL178" s="3933"/>
      <c r="AM178" s="3933"/>
      <c r="AN178" s="3933"/>
      <c r="AO178" s="3933"/>
      <c r="AP178" s="3933"/>
      <c r="AQ178" s="3933"/>
      <c r="AR178" s="3933"/>
      <c r="AS178" s="3933"/>
      <c r="AT178" s="3933"/>
      <c r="AU178" s="3933"/>
      <c r="AV178" s="3933"/>
      <c r="AW178" s="3933"/>
      <c r="AX178" s="3933"/>
      <c r="AY178" s="3933"/>
      <c r="AZ178" s="3933"/>
      <c r="BA178" s="3933"/>
      <c r="BB178" s="3933"/>
      <c r="BC178" s="3933"/>
      <c r="BD178" s="3933"/>
      <c r="BE178" s="3933"/>
      <c r="BF178" s="3933"/>
      <c r="BG178" s="3933"/>
      <c r="BH178" s="3933"/>
      <c r="BI178" s="3933"/>
      <c r="BJ178" s="3933"/>
      <c r="BK178" s="3933"/>
      <c r="BL178" s="3933"/>
      <c r="BM178" s="3933"/>
    </row>
    <row r="179" spans="18:65" x14ac:dyDescent="0.2">
      <c r="AG179" s="3933"/>
      <c r="AH179" s="3933"/>
      <c r="AI179" s="3933"/>
      <c r="AJ179" s="3933"/>
      <c r="AK179" s="3933"/>
      <c r="AL179" s="3933"/>
      <c r="AM179" s="3933"/>
      <c r="AN179" s="3933"/>
      <c r="AO179" s="3933"/>
      <c r="AP179" s="3933"/>
      <c r="AQ179" s="3933"/>
      <c r="AR179" s="3933"/>
      <c r="AS179" s="3933"/>
      <c r="AT179" s="3933"/>
      <c r="AU179" s="3933"/>
      <c r="AV179" s="3933"/>
      <c r="AW179" s="3933"/>
      <c r="AX179" s="3933"/>
      <c r="AY179" s="3933"/>
      <c r="AZ179" s="3933"/>
      <c r="BA179" s="3933"/>
      <c r="BB179" s="3933"/>
      <c r="BC179" s="3933"/>
      <c r="BD179" s="3933"/>
      <c r="BE179" s="3933"/>
      <c r="BF179" s="3933"/>
      <c r="BG179" s="3933"/>
      <c r="BH179" s="3933"/>
      <c r="BI179" s="3933"/>
      <c r="BJ179" s="3933"/>
      <c r="BK179" s="3933"/>
      <c r="BL179" s="3933"/>
      <c r="BM179" s="3933"/>
    </row>
    <row r="180" spans="18:65" x14ac:dyDescent="0.2">
      <c r="AG180" s="3933"/>
      <c r="AH180" s="3933"/>
      <c r="AI180" s="3933"/>
      <c r="AJ180" s="3933"/>
      <c r="AK180" s="3933"/>
      <c r="AL180" s="3933"/>
      <c r="AM180" s="3933"/>
      <c r="AN180" s="3933"/>
      <c r="AO180" s="3933"/>
      <c r="AP180" s="3933"/>
      <c r="AQ180" s="3933"/>
      <c r="AR180" s="3933"/>
      <c r="AS180" s="3933"/>
      <c r="AT180" s="3933"/>
      <c r="AU180" s="3933"/>
      <c r="AV180" s="3933"/>
      <c r="AW180" s="3933"/>
      <c r="AX180" s="3933"/>
      <c r="AY180" s="3933"/>
      <c r="AZ180" s="3933"/>
      <c r="BA180" s="3933"/>
      <c r="BB180" s="3933"/>
      <c r="BC180" s="3933"/>
      <c r="BD180" s="3933"/>
      <c r="BE180" s="3933"/>
      <c r="BF180" s="3933"/>
      <c r="BG180" s="3933"/>
      <c r="BH180" s="3933"/>
      <c r="BI180" s="3933"/>
      <c r="BJ180" s="3933"/>
      <c r="BK180" s="3933"/>
      <c r="BL180" s="3933"/>
      <c r="BM180" s="3933"/>
    </row>
    <row r="181" spans="18:65" x14ac:dyDescent="0.2">
      <c r="AG181" s="3933"/>
      <c r="AH181" s="3933"/>
      <c r="AI181" s="3933"/>
      <c r="AJ181" s="3933"/>
      <c r="AK181" s="3933"/>
      <c r="AL181" s="3933"/>
      <c r="AM181" s="3933"/>
      <c r="AN181" s="3933"/>
      <c r="AO181" s="3933"/>
      <c r="AP181" s="3933"/>
      <c r="AQ181" s="3933"/>
      <c r="AR181" s="3933"/>
      <c r="AS181" s="3933"/>
      <c r="AT181" s="3933"/>
      <c r="AU181" s="3933"/>
      <c r="AV181" s="3933"/>
      <c r="AW181" s="3933"/>
      <c r="AX181" s="3933"/>
      <c r="AY181" s="3933"/>
      <c r="AZ181" s="3933"/>
      <c r="BA181" s="3933"/>
      <c r="BB181" s="3933"/>
      <c r="BC181" s="3933"/>
      <c r="BD181" s="3933"/>
      <c r="BE181" s="3933"/>
      <c r="BF181" s="3933"/>
      <c r="BG181" s="3933"/>
      <c r="BH181" s="3933"/>
      <c r="BI181" s="3933"/>
      <c r="BJ181" s="3933"/>
      <c r="BK181" s="3933"/>
      <c r="BL181" s="3933"/>
      <c r="BM181" s="3933"/>
    </row>
    <row r="182" spans="18:65" x14ac:dyDescent="0.2">
      <c r="AG182" s="3933"/>
      <c r="AH182" s="3933"/>
      <c r="AI182" s="3933"/>
      <c r="AJ182" s="3933"/>
      <c r="AK182" s="3933"/>
      <c r="AL182" s="3933"/>
      <c r="AM182" s="3933"/>
      <c r="AN182" s="3933"/>
      <c r="AO182" s="3933"/>
      <c r="AP182" s="3933"/>
      <c r="AQ182" s="3933"/>
      <c r="AR182" s="3933"/>
      <c r="AS182" s="3933"/>
      <c r="AT182" s="3933"/>
      <c r="AU182" s="3933"/>
      <c r="AV182" s="3933"/>
      <c r="AW182" s="3933"/>
      <c r="AX182" s="3933"/>
      <c r="AY182" s="3933"/>
      <c r="AZ182" s="3933"/>
      <c r="BA182" s="3933"/>
      <c r="BB182" s="3933"/>
      <c r="BC182" s="3933"/>
      <c r="BD182" s="3933"/>
      <c r="BE182" s="3933"/>
      <c r="BF182" s="3933"/>
      <c r="BG182" s="3933"/>
      <c r="BH182" s="3933"/>
      <c r="BI182" s="3933"/>
      <c r="BJ182" s="3933"/>
      <c r="BK182" s="3933"/>
      <c r="BL182" s="3933"/>
      <c r="BM182" s="3933"/>
    </row>
    <row r="183" spans="18:65" x14ac:dyDescent="0.2">
      <c r="AG183" s="3933"/>
      <c r="AH183" s="3933"/>
      <c r="AI183" s="3933"/>
      <c r="AJ183" s="3933"/>
      <c r="AK183" s="3933"/>
      <c r="AL183" s="3933"/>
      <c r="AM183" s="3933"/>
      <c r="AN183" s="3933"/>
      <c r="AO183" s="3933"/>
      <c r="AP183" s="3933"/>
      <c r="AQ183" s="3933"/>
      <c r="AR183" s="3933"/>
      <c r="AS183" s="3933"/>
      <c r="AT183" s="3933"/>
      <c r="AU183" s="3933"/>
      <c r="AV183" s="3933"/>
      <c r="AW183" s="3933"/>
      <c r="AX183" s="3933"/>
      <c r="AY183" s="3933"/>
      <c r="AZ183" s="3933"/>
      <c r="BA183" s="3933"/>
      <c r="BB183" s="3933"/>
      <c r="BC183" s="3933"/>
      <c r="BD183" s="3933"/>
      <c r="BE183" s="3933"/>
      <c r="BF183" s="3933"/>
      <c r="BG183" s="3933"/>
      <c r="BH183" s="3933"/>
      <c r="BI183" s="3933"/>
      <c r="BJ183" s="3933"/>
      <c r="BK183" s="3933"/>
      <c r="BL183" s="3933"/>
      <c r="BM183" s="3933"/>
    </row>
    <row r="184" spans="18:65" x14ac:dyDescent="0.2">
      <c r="AG184" s="3933"/>
      <c r="AH184" s="3933"/>
      <c r="AI184" s="3933"/>
      <c r="AJ184" s="3933"/>
      <c r="AK184" s="3933"/>
      <c r="AL184" s="3933"/>
      <c r="AM184" s="3933"/>
      <c r="AN184" s="3933"/>
      <c r="AO184" s="3933"/>
      <c r="AP184" s="3933"/>
      <c r="AQ184" s="3933"/>
      <c r="AR184" s="3933"/>
      <c r="AS184" s="3933"/>
      <c r="AT184" s="3933"/>
      <c r="AU184" s="3933"/>
      <c r="AV184" s="3933"/>
      <c r="AW184" s="3933"/>
      <c r="AX184" s="3933"/>
      <c r="AY184" s="3933"/>
      <c r="AZ184" s="3933"/>
      <c r="BA184" s="3933"/>
      <c r="BB184" s="3933"/>
      <c r="BC184" s="3933"/>
      <c r="BD184" s="3933"/>
      <c r="BE184" s="3933"/>
      <c r="BF184" s="3933"/>
      <c r="BG184" s="3933"/>
      <c r="BH184" s="3933"/>
      <c r="BI184" s="3933"/>
      <c r="BJ184" s="3933"/>
      <c r="BK184" s="3933"/>
      <c r="BL184" s="3933"/>
      <c r="BM184" s="3933"/>
    </row>
    <row r="185" spans="18:65" x14ac:dyDescent="0.2">
      <c r="AG185" s="3933"/>
      <c r="AH185" s="3933"/>
      <c r="AI185" s="3933"/>
      <c r="AJ185" s="3933"/>
      <c r="AK185" s="3933"/>
      <c r="AL185" s="3933"/>
      <c r="AM185" s="3933"/>
      <c r="AN185" s="3933"/>
      <c r="AO185" s="3933"/>
      <c r="AP185" s="3933"/>
      <c r="AQ185" s="3933"/>
      <c r="AR185" s="3933"/>
      <c r="AS185" s="3933"/>
      <c r="AT185" s="3933"/>
      <c r="AU185" s="3933"/>
      <c r="AV185" s="3933"/>
      <c r="AW185" s="3933"/>
      <c r="AX185" s="3933"/>
      <c r="AY185" s="3933"/>
      <c r="AZ185" s="3933"/>
      <c r="BA185" s="3933"/>
      <c r="BB185" s="3933"/>
      <c r="BC185" s="3933"/>
      <c r="BD185" s="3933"/>
      <c r="BE185" s="3933"/>
      <c r="BF185" s="3933"/>
      <c r="BG185" s="3933"/>
      <c r="BH185" s="3933"/>
      <c r="BI185" s="3933"/>
      <c r="BJ185" s="3933"/>
      <c r="BK185" s="3933"/>
      <c r="BL185" s="3933"/>
      <c r="BM185" s="3933"/>
    </row>
    <row r="186" spans="18:65" x14ac:dyDescent="0.2">
      <c r="AG186" s="3933"/>
      <c r="AH186" s="3933"/>
      <c r="AI186" s="3933"/>
      <c r="AJ186" s="3933"/>
      <c r="AK186" s="3933"/>
      <c r="AL186" s="3933"/>
      <c r="AM186" s="3933"/>
      <c r="AN186" s="3933"/>
      <c r="AO186" s="3933"/>
      <c r="AP186" s="3933"/>
      <c r="AQ186" s="3933"/>
      <c r="AR186" s="3933"/>
      <c r="AS186" s="3933"/>
      <c r="AT186" s="3933"/>
      <c r="AU186" s="3933"/>
      <c r="AV186" s="3933"/>
      <c r="AW186" s="3933"/>
      <c r="AX186" s="3933"/>
      <c r="AY186" s="3933"/>
      <c r="AZ186" s="3933"/>
      <c r="BA186" s="3933"/>
      <c r="BB186" s="3933"/>
      <c r="BC186" s="3933"/>
      <c r="BD186" s="3933"/>
      <c r="BE186" s="3933"/>
      <c r="BF186" s="3933"/>
      <c r="BG186" s="3933"/>
      <c r="BH186" s="3933"/>
      <c r="BI186" s="3933"/>
      <c r="BJ186" s="3933"/>
      <c r="BK186" s="3933"/>
      <c r="BL186" s="3933"/>
      <c r="BM186" s="3933"/>
    </row>
    <row r="187" spans="18:65" x14ac:dyDescent="0.2">
      <c r="AG187" s="3933"/>
      <c r="AH187" s="3933"/>
      <c r="AI187" s="3933"/>
      <c r="AJ187" s="3933"/>
      <c r="AK187" s="3933"/>
      <c r="AL187" s="3933"/>
      <c r="AM187" s="3933"/>
      <c r="AN187" s="3933"/>
      <c r="AO187" s="3933"/>
      <c r="AP187" s="3933"/>
      <c r="AQ187" s="3933"/>
      <c r="AR187" s="3933"/>
      <c r="AS187" s="3933"/>
      <c r="AT187" s="3933"/>
      <c r="AU187" s="3933"/>
      <c r="AV187" s="3933"/>
      <c r="AW187" s="3933"/>
      <c r="AX187" s="3933"/>
      <c r="AY187" s="3933"/>
      <c r="AZ187" s="3933"/>
      <c r="BA187" s="3933"/>
      <c r="BB187" s="3933"/>
      <c r="BC187" s="3933"/>
      <c r="BD187" s="3933"/>
      <c r="BE187" s="3933"/>
      <c r="BF187" s="3933"/>
      <c r="BG187" s="3933"/>
      <c r="BH187" s="3933"/>
      <c r="BI187" s="3933"/>
      <c r="BJ187" s="3933"/>
      <c r="BK187" s="3933"/>
      <c r="BL187" s="3933"/>
      <c r="BM187" s="3933"/>
    </row>
    <row r="188" spans="18:65" x14ac:dyDescent="0.2">
      <c r="AG188" s="3933"/>
    </row>
  </sheetData>
  <sheetProtection algorithmName="SHA-512" hashValue="nQhdBivBHHekqgZ9v8knkgYxGJM631WoekiXZ65Z6xmuZL9JeFwBWISepEZoQs1jRb63iOliljgMjNJfyJsi2Q==" saltValue="4/dE0CuyRQ6UW0ZA193xOg==" spinCount="100000" sheet="1" objects="1" scenarios="1"/>
  <mergeCells count="28">
    <mergeCell ref="BN3:BQ3"/>
    <mergeCell ref="A6:A9"/>
    <mergeCell ref="A11:A14"/>
    <mergeCell ref="BR3:BU3"/>
    <mergeCell ref="AT3:AW3"/>
    <mergeCell ref="BJ3:BM3"/>
    <mergeCell ref="BF3:BI3"/>
    <mergeCell ref="BB3:BE3"/>
    <mergeCell ref="AX3:BA3"/>
    <mergeCell ref="A26:A29"/>
    <mergeCell ref="V3:Y3"/>
    <mergeCell ref="R3:U3"/>
    <mergeCell ref="AP3:AS3"/>
    <mergeCell ref="AL3:AO3"/>
    <mergeCell ref="AH3:AK3"/>
    <mergeCell ref="A16:A19"/>
    <mergeCell ref="A21:A24"/>
    <mergeCell ref="AD3:AG3"/>
    <mergeCell ref="Z3:AC3"/>
    <mergeCell ref="A159:A162"/>
    <mergeCell ref="A164:A167"/>
    <mergeCell ref="A83:A86"/>
    <mergeCell ref="A88:A91"/>
    <mergeCell ref="A93:A96"/>
    <mergeCell ref="A98:A101"/>
    <mergeCell ref="A103:A106"/>
    <mergeCell ref="A149:A152"/>
    <mergeCell ref="A154:A157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75" orientation="landscape" r:id="rId1"/>
  <rowBreaks count="5" manualBreakCount="5">
    <brk id="41" max="16383" man="1"/>
    <brk id="77" max="16383" man="1"/>
    <brk id="112" max="14" man="1"/>
    <brk id="143" max="14" man="1"/>
    <brk id="174" max="14" man="1"/>
  </rowBreaks>
  <ignoredErrors>
    <ignoredError sqref="O149:O152 O154:O157" formula="1"/>
  </ignoredErrors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C22"/>
  <sheetViews>
    <sheetView showGridLines="0" zoomScaleNormal="100" workbookViewId="0">
      <pane xSplit="1" ySplit="4" topLeftCell="G5" activePane="bottomRight" state="frozen"/>
      <selection sqref="A1:E1"/>
      <selection pane="topRight" sqref="A1:E1"/>
      <selection pane="bottomLeft" sqref="A1:E1"/>
      <selection pane="bottomRight"/>
    </sheetView>
  </sheetViews>
  <sheetFormatPr baseColWidth="10" defaultRowHeight="12.75" x14ac:dyDescent="0.2"/>
  <cols>
    <col min="1" max="1" width="45.140625" style="916" customWidth="1"/>
    <col min="2" max="2" width="8" style="916" customWidth="1"/>
    <col min="3" max="29" width="8.7109375" style="916" customWidth="1"/>
    <col min="30" max="16384" width="11.42578125" style="916"/>
  </cols>
  <sheetData>
    <row r="2" spans="1:29" ht="36" customHeight="1" x14ac:dyDescent="0.25">
      <c r="A2" s="5317" t="s">
        <v>1282</v>
      </c>
      <c r="B2" s="5107"/>
      <c r="C2" s="5107"/>
      <c r="D2" s="5107"/>
      <c r="E2" s="5107"/>
      <c r="F2" s="5107"/>
      <c r="G2" s="5107"/>
      <c r="H2" s="5107"/>
      <c r="I2" s="5107"/>
      <c r="J2" s="5107"/>
      <c r="K2" s="5107"/>
      <c r="L2" s="5107"/>
      <c r="M2" s="5107"/>
      <c r="N2" s="5107"/>
      <c r="O2" s="5107"/>
      <c r="P2" s="5107"/>
      <c r="Q2" s="5107"/>
      <c r="R2" s="5107"/>
      <c r="S2" s="5107"/>
      <c r="T2" s="5107"/>
    </row>
    <row r="4" spans="1:29" ht="24.95" customHeight="1" x14ac:dyDescent="0.2">
      <c r="A4" s="2149" t="s">
        <v>748</v>
      </c>
      <c r="B4" s="2149">
        <v>1990</v>
      </c>
      <c r="C4" s="2149">
        <v>1991</v>
      </c>
      <c r="D4" s="2149">
        <v>1992</v>
      </c>
      <c r="E4" s="2149">
        <v>1993</v>
      </c>
      <c r="F4" s="2149">
        <v>1994</v>
      </c>
      <c r="G4" s="2149">
        <v>1995</v>
      </c>
      <c r="H4" s="2149">
        <v>1996</v>
      </c>
      <c r="I4" s="2149">
        <v>1997</v>
      </c>
      <c r="J4" s="2149">
        <v>1998</v>
      </c>
      <c r="K4" s="2149">
        <v>1999</v>
      </c>
      <c r="L4" s="2149">
        <v>2000</v>
      </c>
      <c r="M4" s="2149">
        <v>2001</v>
      </c>
      <c r="N4" s="2149">
        <v>2002</v>
      </c>
      <c r="O4" s="2149">
        <v>2003</v>
      </c>
      <c r="P4" s="2149">
        <v>2004</v>
      </c>
      <c r="Q4" s="2149">
        <v>2005</v>
      </c>
      <c r="R4" s="2150">
        <v>2006</v>
      </c>
      <c r="S4" s="2150">
        <v>2007</v>
      </c>
      <c r="T4" s="2150">
        <v>2008</v>
      </c>
      <c r="U4" s="2150">
        <v>2009</v>
      </c>
      <c r="V4" s="2150">
        <v>2010</v>
      </c>
      <c r="W4" s="2150">
        <v>2011</v>
      </c>
      <c r="X4" s="2150">
        <v>2012</v>
      </c>
      <c r="Y4" s="2150">
        <v>2013</v>
      </c>
      <c r="Z4" s="2150">
        <v>2014</v>
      </c>
      <c r="AA4" s="2150">
        <v>2015</v>
      </c>
      <c r="AB4" s="2150">
        <v>2016</v>
      </c>
      <c r="AC4" s="2150">
        <v>2017</v>
      </c>
    </row>
    <row r="5" spans="1:29" s="985" customFormat="1" ht="24.95" customHeight="1" x14ac:dyDescent="0.2">
      <c r="A5" s="2151" t="s">
        <v>749</v>
      </c>
      <c r="B5" s="2152">
        <v>315</v>
      </c>
      <c r="C5" s="2152">
        <v>517</v>
      </c>
      <c r="D5" s="2152">
        <v>530</v>
      </c>
      <c r="E5" s="2152">
        <v>634</v>
      </c>
      <c r="F5" s="2152">
        <v>693</v>
      </c>
      <c r="G5" s="2152">
        <v>751</v>
      </c>
      <c r="H5" s="2152">
        <v>773</v>
      </c>
      <c r="I5" s="2152">
        <v>795</v>
      </c>
      <c r="J5" s="2152">
        <v>805</v>
      </c>
      <c r="K5" s="2152">
        <v>780</v>
      </c>
      <c r="L5" s="2152">
        <v>821</v>
      </c>
      <c r="M5" s="2152">
        <v>876</v>
      </c>
      <c r="N5" s="2152">
        <v>898</v>
      </c>
      <c r="O5" s="2152">
        <v>888</v>
      </c>
      <c r="P5" s="2152">
        <v>924</v>
      </c>
      <c r="Q5" s="2152">
        <v>1010</v>
      </c>
      <c r="R5" s="2152">
        <v>970</v>
      </c>
      <c r="S5" s="2152">
        <v>1059</v>
      </c>
      <c r="T5" s="2152">
        <v>1010</v>
      </c>
      <c r="U5" s="2152">
        <v>1076</v>
      </c>
      <c r="V5" s="2152">
        <v>1066</v>
      </c>
      <c r="W5" s="2152">
        <v>1217</v>
      </c>
      <c r="X5" s="2152">
        <v>1288</v>
      </c>
      <c r="Y5" s="2152">
        <v>1383</v>
      </c>
      <c r="Z5" s="2152">
        <v>1385</v>
      </c>
      <c r="AA5" s="2152">
        <v>1392</v>
      </c>
      <c r="AB5" s="2152">
        <v>1418</v>
      </c>
      <c r="AC5" s="2152">
        <v>1464</v>
      </c>
    </row>
    <row r="6" spans="1:29" s="985" customFormat="1" ht="24.95" customHeight="1" x14ac:dyDescent="0.2">
      <c r="A6" s="2153" t="s">
        <v>750</v>
      </c>
      <c r="B6" s="2154">
        <v>585</v>
      </c>
      <c r="C6" s="2154">
        <v>857</v>
      </c>
      <c r="D6" s="2154">
        <v>886</v>
      </c>
      <c r="E6" s="2154">
        <v>994</v>
      </c>
      <c r="F6" s="2154">
        <v>1128</v>
      </c>
      <c r="G6" s="2154">
        <v>1289</v>
      </c>
      <c r="H6" s="2154">
        <v>1378</v>
      </c>
      <c r="I6" s="2154">
        <v>1447</v>
      </c>
      <c r="J6" s="2154">
        <v>1491</v>
      </c>
      <c r="K6" s="2154">
        <v>1500</v>
      </c>
      <c r="L6" s="2154">
        <v>1544</v>
      </c>
      <c r="M6" s="2154">
        <v>1538</v>
      </c>
      <c r="N6" s="2154">
        <v>1587</v>
      </c>
      <c r="O6" s="2154">
        <v>1620</v>
      </c>
      <c r="P6" s="2154">
        <v>1649</v>
      </c>
      <c r="Q6" s="2154">
        <v>1659</v>
      </c>
      <c r="R6" s="2154">
        <v>1651</v>
      </c>
      <c r="S6" s="2154">
        <v>1692</v>
      </c>
      <c r="T6" s="2154">
        <v>1744</v>
      </c>
      <c r="U6" s="2154">
        <v>1783</v>
      </c>
      <c r="V6" s="2154">
        <v>1801</v>
      </c>
      <c r="W6" s="2154">
        <v>1879</v>
      </c>
      <c r="X6" s="2154">
        <v>1967</v>
      </c>
      <c r="Y6" s="2154">
        <v>2012</v>
      </c>
      <c r="Z6" s="2154">
        <v>2047</v>
      </c>
      <c r="AA6" s="2154">
        <v>2070</v>
      </c>
      <c r="AB6" s="2154">
        <v>2080</v>
      </c>
      <c r="AC6" s="2154">
        <v>2095</v>
      </c>
    </row>
    <row r="7" spans="1:29" s="985" customFormat="1" ht="24.95" customHeight="1" x14ac:dyDescent="0.2">
      <c r="A7" s="2153" t="s">
        <v>751</v>
      </c>
      <c r="B7" s="2154"/>
      <c r="C7" s="2154"/>
      <c r="D7" s="2154">
        <v>1276</v>
      </c>
      <c r="E7" s="2154">
        <v>1613</v>
      </c>
      <c r="F7" s="2154">
        <v>1709</v>
      </c>
      <c r="G7" s="2154">
        <v>1912</v>
      </c>
      <c r="H7" s="2154">
        <v>2001</v>
      </c>
      <c r="I7" s="2154">
        <v>2122</v>
      </c>
      <c r="J7" s="2154">
        <v>2197</v>
      </c>
      <c r="K7" s="2154">
        <v>2263</v>
      </c>
      <c r="L7" s="2154">
        <v>2332</v>
      </c>
      <c r="M7" s="2154">
        <v>2341</v>
      </c>
      <c r="N7" s="2154">
        <v>2416</v>
      </c>
      <c r="O7" s="2154">
        <v>2454</v>
      </c>
      <c r="P7" s="2154">
        <v>2496</v>
      </c>
      <c r="Q7" s="2154">
        <v>2601</v>
      </c>
      <c r="R7" s="2154">
        <v>2576</v>
      </c>
      <c r="S7" s="2154">
        <v>2633</v>
      </c>
      <c r="T7" s="2154">
        <v>2606</v>
      </c>
      <c r="U7" s="2154">
        <v>2645</v>
      </c>
      <c r="V7" s="2154">
        <v>2598</v>
      </c>
      <c r="W7" s="2154">
        <v>2669</v>
      </c>
      <c r="X7" s="2154">
        <v>2743</v>
      </c>
      <c r="Y7" s="2154">
        <v>2761</v>
      </c>
      <c r="Z7" s="2154">
        <v>2813</v>
      </c>
      <c r="AA7" s="2154">
        <v>2826</v>
      </c>
      <c r="AB7" s="2154">
        <v>2804</v>
      </c>
      <c r="AC7" s="2154">
        <v>2780</v>
      </c>
    </row>
    <row r="8" spans="1:29" s="985" customFormat="1" ht="24.95" customHeight="1" x14ac:dyDescent="0.2">
      <c r="A8" s="2153" t="s">
        <v>752</v>
      </c>
      <c r="B8" s="2154"/>
      <c r="C8" s="2154"/>
      <c r="D8" s="2154"/>
      <c r="E8" s="2154"/>
      <c r="F8" s="2154"/>
      <c r="G8" s="2154">
        <v>1817</v>
      </c>
      <c r="H8" s="2154">
        <v>1875</v>
      </c>
      <c r="I8" s="2154">
        <v>1931</v>
      </c>
      <c r="J8" s="2154">
        <v>2016</v>
      </c>
      <c r="K8" s="2154">
        <v>2045</v>
      </c>
      <c r="L8" s="2154">
        <v>2095</v>
      </c>
      <c r="M8" s="2154">
        <v>2111</v>
      </c>
      <c r="N8" s="2154">
        <v>2158</v>
      </c>
      <c r="O8" s="2154">
        <v>1611</v>
      </c>
      <c r="P8" s="2154">
        <v>1677</v>
      </c>
      <c r="Q8" s="2154">
        <v>1729</v>
      </c>
      <c r="R8" s="2154">
        <v>1776</v>
      </c>
      <c r="S8" s="2154">
        <v>1884</v>
      </c>
      <c r="T8" s="2154">
        <v>1952</v>
      </c>
      <c r="U8" s="2154">
        <v>1990</v>
      </c>
      <c r="V8" s="2154">
        <v>1987</v>
      </c>
      <c r="W8" s="2154">
        <v>2093</v>
      </c>
      <c r="X8" s="2154">
        <v>2171</v>
      </c>
      <c r="Y8" s="2154">
        <v>2203</v>
      </c>
      <c r="Z8" s="2154">
        <v>2280</v>
      </c>
      <c r="AA8" s="2154">
        <v>2295</v>
      </c>
      <c r="AB8" s="2154">
        <v>2303</v>
      </c>
      <c r="AC8" s="2154">
        <v>2317</v>
      </c>
    </row>
    <row r="9" spans="1:29" s="985" customFormat="1" ht="24.95" customHeight="1" x14ac:dyDescent="0.2">
      <c r="A9" s="2155" t="s">
        <v>753</v>
      </c>
      <c r="B9" s="2156"/>
      <c r="C9" s="2156"/>
      <c r="D9" s="2156"/>
      <c r="E9" s="2156"/>
      <c r="F9" s="2156"/>
      <c r="G9" s="2156">
        <v>388</v>
      </c>
      <c r="H9" s="2156">
        <v>553</v>
      </c>
      <c r="I9" s="2156">
        <v>658</v>
      </c>
      <c r="J9" s="2156">
        <v>753</v>
      </c>
      <c r="K9" s="2156">
        <v>838</v>
      </c>
      <c r="L9" s="2156">
        <v>934</v>
      </c>
      <c r="M9" s="2156">
        <v>1049</v>
      </c>
      <c r="N9" s="2156">
        <v>1173</v>
      </c>
      <c r="O9" s="2156">
        <v>1280</v>
      </c>
      <c r="P9" s="2156">
        <v>1372</v>
      </c>
      <c r="Q9" s="2156">
        <v>1453</v>
      </c>
      <c r="R9" s="2156">
        <v>1522</v>
      </c>
      <c r="S9" s="2156">
        <v>1588</v>
      </c>
      <c r="T9" s="2156">
        <v>1601</v>
      </c>
      <c r="U9" s="2156">
        <v>1639</v>
      </c>
      <c r="V9" s="2156">
        <v>1630</v>
      </c>
      <c r="W9" s="2156">
        <v>1690</v>
      </c>
      <c r="X9" s="2156">
        <v>1756</v>
      </c>
      <c r="Y9" s="2156">
        <v>1778</v>
      </c>
      <c r="Z9" s="2156">
        <v>1756</v>
      </c>
      <c r="AA9" s="2156">
        <v>1798</v>
      </c>
      <c r="AB9" s="2156">
        <v>1824</v>
      </c>
      <c r="AC9" s="2156">
        <v>1862</v>
      </c>
    </row>
    <row r="10" spans="1:29" ht="14.25" customHeight="1" x14ac:dyDescent="0.2">
      <c r="B10" s="2157"/>
      <c r="C10" s="2157"/>
      <c r="D10" s="2157"/>
      <c r="E10" s="2157"/>
      <c r="F10" s="2157"/>
      <c r="G10" s="2157"/>
      <c r="H10" s="2157"/>
      <c r="I10" s="2157"/>
      <c r="J10" s="2157"/>
      <c r="K10" s="2157"/>
      <c r="L10" s="2157"/>
      <c r="M10" s="2157"/>
      <c r="N10" s="2157"/>
      <c r="O10" s="2157"/>
      <c r="P10" s="2157"/>
      <c r="Q10" s="2157"/>
      <c r="R10" s="2157"/>
      <c r="S10" s="2157"/>
      <c r="T10" s="1325"/>
      <c r="U10" s="1325"/>
    </row>
    <row r="11" spans="1:29" ht="15.75" customHeight="1" x14ac:dyDescent="0.2">
      <c r="A11" s="2685" t="s">
        <v>754</v>
      </c>
    </row>
    <row r="22" ht="12" customHeight="1" x14ac:dyDescent="0.2"/>
  </sheetData>
  <sheetProtection algorithmName="SHA-512" hashValue="oVnHBRtx7JLMQiQjfU7IzBENl/6vZplq01tE0gcfJsgegfjlU3h5Q1SqsN0KW4q4AxqZMKoA3UY+4zCtxyYQxg==" saltValue="y50y7Ut48awTL8bjGwPOhA==" spinCount="100000" sheet="1" objects="1" scenarios="1"/>
  <printOptions horizontalCentered="1" verticalCentered="1"/>
  <pageMargins left="0.35433070866141736" right="0.35433070866141736" top="0.39370078740157483" bottom="0.39370078740157483" header="0" footer="0"/>
  <pageSetup scale="75" pageOrder="overThenDown" orientation="landscape" r:id="rId1"/>
  <headerFooter alignWithMargins="0"/>
  <rowBreaks count="1" manualBreakCount="1">
    <brk id="11" max="1638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D032E"/>
  </sheetPr>
  <dimension ref="A1:AG46"/>
  <sheetViews>
    <sheetView zoomScaleNormal="100" workbookViewId="0">
      <selection activeCell="AK77" sqref="AK77"/>
    </sheetView>
  </sheetViews>
  <sheetFormatPr baseColWidth="10" defaultRowHeight="15" x14ac:dyDescent="0.25"/>
  <cols>
    <col min="1" max="1" width="16.28515625" style="2009" customWidth="1"/>
    <col min="2" max="2" width="16.85546875" style="2062" bestFit="1" customWidth="1"/>
    <col min="3" max="4" width="7.7109375" style="2009" hidden="1" customWidth="1"/>
    <col min="5" max="22" width="7.7109375" style="2009" customWidth="1"/>
    <col min="23" max="23" width="7.7109375" style="2009" hidden="1" customWidth="1"/>
    <col min="24" max="27" width="7.42578125" style="2009" hidden="1" customWidth="1"/>
    <col min="28" max="33" width="0" style="2009" hidden="1" customWidth="1"/>
    <col min="34" max="16384" width="11.42578125" style="2009"/>
  </cols>
  <sheetData>
    <row r="1" spans="1:33" ht="38.25" customHeight="1" x14ac:dyDescent="0.35">
      <c r="A1" s="5743" t="s">
        <v>1217</v>
      </c>
      <c r="B1" s="5743"/>
      <c r="C1" s="2064"/>
      <c r="D1" s="2064"/>
      <c r="E1" s="2064"/>
      <c r="F1" s="2064"/>
      <c r="G1" s="2064"/>
      <c r="H1" s="2064"/>
      <c r="I1" s="2064"/>
      <c r="J1" s="2064"/>
      <c r="K1" s="2064"/>
      <c r="L1" s="2064"/>
      <c r="M1" s="2064"/>
      <c r="N1" s="2064"/>
      <c r="O1" s="2064"/>
    </row>
    <row r="3" spans="1:33" ht="32.25" customHeight="1" x14ac:dyDescent="0.25">
      <c r="A3" s="2010" t="s">
        <v>709</v>
      </c>
      <c r="B3" s="2010" t="s">
        <v>710</v>
      </c>
      <c r="C3" s="2010">
        <v>2002</v>
      </c>
      <c r="D3" s="2010">
        <v>2003</v>
      </c>
      <c r="E3" s="2010">
        <v>2004</v>
      </c>
      <c r="F3" s="2010">
        <v>2005</v>
      </c>
      <c r="G3" s="2010">
        <v>2006</v>
      </c>
      <c r="H3" s="2010">
        <v>2007</v>
      </c>
      <c r="I3" s="2010">
        <v>2008</v>
      </c>
      <c r="J3" s="2010">
        <v>2009</v>
      </c>
      <c r="K3" s="2010">
        <v>2010</v>
      </c>
      <c r="L3" s="2010">
        <v>2011</v>
      </c>
      <c r="M3" s="2010">
        <v>2012</v>
      </c>
      <c r="N3" s="2010">
        <v>2013</v>
      </c>
      <c r="O3" s="2010">
        <v>2014</v>
      </c>
      <c r="P3" s="2010">
        <v>2015</v>
      </c>
      <c r="Q3" s="2010">
        <v>2016</v>
      </c>
      <c r="R3" s="2010">
        <v>2017</v>
      </c>
      <c r="W3" s="2011">
        <v>2003</v>
      </c>
      <c r="X3" s="2011">
        <v>2004</v>
      </c>
      <c r="Y3" s="2011">
        <v>2005</v>
      </c>
      <c r="Z3" s="2011">
        <v>2006</v>
      </c>
      <c r="AA3" s="2011">
        <v>2007</v>
      </c>
      <c r="AB3" s="2011">
        <v>2008</v>
      </c>
      <c r="AC3" s="2011">
        <v>2009</v>
      </c>
      <c r="AD3" s="2011">
        <v>2010</v>
      </c>
      <c r="AE3" s="2011">
        <v>2011</v>
      </c>
      <c r="AF3" s="2011">
        <v>2012</v>
      </c>
      <c r="AG3" s="2011">
        <v>2013</v>
      </c>
    </row>
    <row r="4" spans="1:33" x14ac:dyDescent="0.25">
      <c r="A4" s="5747" t="s">
        <v>711</v>
      </c>
      <c r="B4" s="2012" t="s">
        <v>712</v>
      </c>
      <c r="C4" s="2013"/>
      <c r="D4" s="2013">
        <f t="shared" ref="D4:J4" si="0">W4/W6</f>
        <v>0.64236615354826221</v>
      </c>
      <c r="E4" s="2013">
        <f t="shared" si="0"/>
        <v>0.65807513024403619</v>
      </c>
      <c r="F4" s="2013">
        <f t="shared" si="0"/>
        <v>0.64029041448396284</v>
      </c>
      <c r="G4" s="2013">
        <f t="shared" si="0"/>
        <v>0.65014549892049189</v>
      </c>
      <c r="H4" s="2013">
        <f t="shared" si="0"/>
        <v>0.62548445032611777</v>
      </c>
      <c r="I4" s="2013">
        <f t="shared" si="0"/>
        <v>0.6520669756882036</v>
      </c>
      <c r="J4" s="2013">
        <f t="shared" si="0"/>
        <v>0.66371598078915151</v>
      </c>
      <c r="K4" s="2013">
        <v>0.66</v>
      </c>
      <c r="L4" s="2013">
        <v>0.66</v>
      </c>
      <c r="M4" s="2013">
        <v>0.66900000000000004</v>
      </c>
      <c r="N4" s="2014">
        <v>0.67900000000000005</v>
      </c>
      <c r="O4" s="2014">
        <v>0.69</v>
      </c>
      <c r="P4" s="2014">
        <v>0.68700000000000006</v>
      </c>
      <c r="Q4" s="2014">
        <v>0.68</v>
      </c>
      <c r="R4" s="2014">
        <v>0.68</v>
      </c>
      <c r="W4" s="2016">
        <f>10329-W5</f>
        <v>6635</v>
      </c>
      <c r="X4" s="2017">
        <v>7200</v>
      </c>
      <c r="Y4" s="2017">
        <v>6967</v>
      </c>
      <c r="Z4" s="2017">
        <v>6926</v>
      </c>
      <c r="AA4" s="2017">
        <v>6617</v>
      </c>
      <c r="AB4" s="2017">
        <v>6893</v>
      </c>
      <c r="AC4" s="2017">
        <v>7048</v>
      </c>
      <c r="AD4" s="2017">
        <v>8361</v>
      </c>
      <c r="AE4" s="2017">
        <v>8413</v>
      </c>
      <c r="AF4" s="2017">
        <v>8166</v>
      </c>
      <c r="AG4" s="2018">
        <v>8423</v>
      </c>
    </row>
    <row r="5" spans="1:33" x14ac:dyDescent="0.25">
      <c r="A5" s="5748"/>
      <c r="B5" s="2019" t="s">
        <v>713</v>
      </c>
      <c r="C5" s="2020"/>
      <c r="D5" s="2020">
        <f t="shared" ref="D5:N5" si="1">W5/W6</f>
        <v>0.35763384645173785</v>
      </c>
      <c r="E5" s="2020">
        <f t="shared" si="1"/>
        <v>0.34192486975596381</v>
      </c>
      <c r="F5" s="2020">
        <f t="shared" si="1"/>
        <v>0.35970958551603716</v>
      </c>
      <c r="G5" s="2020">
        <f t="shared" si="1"/>
        <v>0.34985450107950811</v>
      </c>
      <c r="H5" s="2020">
        <f t="shared" si="1"/>
        <v>0.37451554967388223</v>
      </c>
      <c r="I5" s="2020">
        <f t="shared" si="1"/>
        <v>0.3479330243117964</v>
      </c>
      <c r="J5" s="2020">
        <f t="shared" si="1"/>
        <v>0.33628401921084849</v>
      </c>
      <c r="K5" s="2020">
        <f t="shared" si="1"/>
        <v>0.33821434225106856</v>
      </c>
      <c r="L5" s="2020">
        <f t="shared" si="1"/>
        <v>0.33823645087705501</v>
      </c>
      <c r="M5" s="2020">
        <f t="shared" si="1"/>
        <v>0.3314229572621582</v>
      </c>
      <c r="N5" s="2021">
        <f t="shared" si="1"/>
        <v>0.32105432855070126</v>
      </c>
      <c r="O5" s="2021">
        <v>0.31</v>
      </c>
      <c r="P5" s="3902">
        <v>0.313</v>
      </c>
      <c r="Q5" s="3902">
        <v>0.32</v>
      </c>
      <c r="R5" s="3902">
        <v>0.32</v>
      </c>
      <c r="W5" s="2022">
        <f t="shared" ref="W5:AC5" si="2">+W10+W14</f>
        <v>3694</v>
      </c>
      <c r="X5" s="2023">
        <f t="shared" si="2"/>
        <v>3741</v>
      </c>
      <c r="Y5" s="2023">
        <f t="shared" si="2"/>
        <v>3914</v>
      </c>
      <c r="Z5" s="2023">
        <f t="shared" si="2"/>
        <v>3727</v>
      </c>
      <c r="AA5" s="2023">
        <f t="shared" si="2"/>
        <v>3962</v>
      </c>
      <c r="AB5" s="2023">
        <f t="shared" si="2"/>
        <v>3678</v>
      </c>
      <c r="AC5" s="2023">
        <f t="shared" si="2"/>
        <v>3571</v>
      </c>
      <c r="AD5" s="2023">
        <f>SUM(AD14,AD10)</f>
        <v>4273</v>
      </c>
      <c r="AE5" s="2023">
        <f>SUM(AE14,AE10)</f>
        <v>4300</v>
      </c>
      <c r="AF5" s="2023">
        <f>SUM(AF14,AF10)</f>
        <v>4048</v>
      </c>
      <c r="AG5" s="2024">
        <f>SUM(AG14,AG10)</f>
        <v>3983</v>
      </c>
    </row>
    <row r="6" spans="1:33" x14ac:dyDescent="0.25">
      <c r="A6" s="5749"/>
      <c r="B6" s="2690" t="s">
        <v>160</v>
      </c>
      <c r="C6" s="2691"/>
      <c r="D6" s="2691">
        <f>SUM(D4:D5)</f>
        <v>1</v>
      </c>
      <c r="E6" s="2691">
        <f>SUM(E4:E5)</f>
        <v>1</v>
      </c>
      <c r="F6" s="2691">
        <f t="shared" ref="F6:N6" si="3">SUM(F4:F5)</f>
        <v>1</v>
      </c>
      <c r="G6" s="2691">
        <f t="shared" si="3"/>
        <v>1</v>
      </c>
      <c r="H6" s="2691">
        <f t="shared" si="3"/>
        <v>1</v>
      </c>
      <c r="I6" s="2691">
        <f t="shared" si="3"/>
        <v>1</v>
      </c>
      <c r="J6" s="2691">
        <f t="shared" si="3"/>
        <v>1</v>
      </c>
      <c r="K6" s="2691">
        <f t="shared" si="3"/>
        <v>0.99821434225106853</v>
      </c>
      <c r="L6" s="2691">
        <f t="shared" si="3"/>
        <v>0.99823645087705504</v>
      </c>
      <c r="M6" s="2691">
        <f t="shared" si="3"/>
        <v>1.0004229572621584</v>
      </c>
      <c r="N6" s="2692">
        <f t="shared" si="3"/>
        <v>1.0000543285507013</v>
      </c>
      <c r="O6" s="2692">
        <f>SUM(O4:O5)</f>
        <v>1</v>
      </c>
      <c r="P6" s="2692">
        <f>SUM(P4:P5)</f>
        <v>1</v>
      </c>
      <c r="Q6" s="2692">
        <f>SUM(Q4:Q5)</f>
        <v>1</v>
      </c>
      <c r="R6" s="2692">
        <f>SUM(R4:R5)</f>
        <v>1</v>
      </c>
      <c r="W6" s="2025">
        <f>SUM(W4:W5)</f>
        <v>10329</v>
      </c>
      <c r="X6" s="2026">
        <f t="shared" ref="X6:AG6" si="4">SUM(X4:X5)</f>
        <v>10941</v>
      </c>
      <c r="Y6" s="2026">
        <f t="shared" si="4"/>
        <v>10881</v>
      </c>
      <c r="Z6" s="2026">
        <f t="shared" si="4"/>
        <v>10653</v>
      </c>
      <c r="AA6" s="2026">
        <f t="shared" si="4"/>
        <v>10579</v>
      </c>
      <c r="AB6" s="2026">
        <f t="shared" si="4"/>
        <v>10571</v>
      </c>
      <c r="AC6" s="2026">
        <f t="shared" si="4"/>
        <v>10619</v>
      </c>
      <c r="AD6" s="2026">
        <f t="shared" si="4"/>
        <v>12634</v>
      </c>
      <c r="AE6" s="2026">
        <f t="shared" si="4"/>
        <v>12713</v>
      </c>
      <c r="AF6" s="2026">
        <f t="shared" si="4"/>
        <v>12214</v>
      </c>
      <c r="AG6" s="2027">
        <f t="shared" si="4"/>
        <v>12406</v>
      </c>
    </row>
    <row r="7" spans="1:33" x14ac:dyDescent="0.25">
      <c r="A7" s="5750" t="s">
        <v>714</v>
      </c>
      <c r="B7" s="2028" t="s">
        <v>715</v>
      </c>
      <c r="C7" s="2020"/>
      <c r="D7" s="2020">
        <v>0.17</v>
      </c>
      <c r="E7" s="2037">
        <f t="shared" ref="E7:J7" si="5">X11/X10</f>
        <v>0.18279569892473119</v>
      </c>
      <c r="F7" s="2037">
        <f t="shared" si="5"/>
        <v>0.20666213460231136</v>
      </c>
      <c r="G7" s="2037">
        <f t="shared" si="5"/>
        <v>0.20726172465960666</v>
      </c>
      <c r="H7" s="2037">
        <f t="shared" si="5"/>
        <v>0.19848901098901098</v>
      </c>
      <c r="I7" s="2037">
        <f t="shared" si="5"/>
        <v>0.18118735543562067</v>
      </c>
      <c r="J7" s="2037">
        <f t="shared" si="5"/>
        <v>0.17554076539101499</v>
      </c>
      <c r="K7" s="2038">
        <v>0.19</v>
      </c>
      <c r="L7" s="2038">
        <v>0.19</v>
      </c>
      <c r="M7" s="2038">
        <v>0.2</v>
      </c>
      <c r="N7" s="2039">
        <v>0.2</v>
      </c>
      <c r="O7" s="2021">
        <v>0.2</v>
      </c>
      <c r="P7" s="2021">
        <v>0.2</v>
      </c>
      <c r="Q7" s="2021">
        <v>0.19</v>
      </c>
      <c r="R7" s="2021">
        <v>0.21</v>
      </c>
      <c r="W7" s="2022">
        <v>1717</v>
      </c>
      <c r="X7" s="2023"/>
      <c r="Y7" s="2023"/>
      <c r="Z7" s="2023"/>
      <c r="AA7" s="2023"/>
      <c r="AB7" s="2023"/>
      <c r="AC7" s="2023"/>
      <c r="AD7" s="2023"/>
      <c r="AE7" s="2023"/>
      <c r="AF7" s="2023"/>
      <c r="AG7" s="2024"/>
    </row>
    <row r="8" spans="1:33" x14ac:dyDescent="0.25">
      <c r="A8" s="5750"/>
      <c r="B8" s="2028" t="s">
        <v>716</v>
      </c>
      <c r="C8" s="2020"/>
      <c r="D8" s="2020">
        <v>0.46</v>
      </c>
      <c r="E8" s="2037">
        <f t="shared" ref="E8:J8" si="6">X12/X10</f>
        <v>0.57706093189964158</v>
      </c>
      <c r="F8" s="2037">
        <f t="shared" si="6"/>
        <v>0.56968048946295036</v>
      </c>
      <c r="G8" s="2037">
        <f t="shared" si="6"/>
        <v>0.53252647503782147</v>
      </c>
      <c r="H8" s="2037">
        <f t="shared" si="6"/>
        <v>0.5178571428571429</v>
      </c>
      <c r="I8" s="2037">
        <f t="shared" si="6"/>
        <v>0.54741711642251345</v>
      </c>
      <c r="J8" s="2037">
        <f t="shared" si="6"/>
        <v>0.54825291181364388</v>
      </c>
      <c r="K8" s="2038">
        <v>0.53</v>
      </c>
      <c r="L8" s="2038">
        <v>0.53</v>
      </c>
      <c r="M8" s="2038">
        <v>0.52</v>
      </c>
      <c r="N8" s="2039">
        <v>0.49</v>
      </c>
      <c r="O8" s="2021">
        <v>0.49</v>
      </c>
      <c r="P8" s="2021">
        <v>0.52</v>
      </c>
      <c r="Q8" s="2021">
        <v>0.49</v>
      </c>
      <c r="R8" s="2021">
        <v>0.51</v>
      </c>
      <c r="W8" s="2022">
        <v>627</v>
      </c>
      <c r="X8" s="2023"/>
      <c r="Y8" s="2023"/>
      <c r="Z8" s="2023"/>
      <c r="AA8" s="2023"/>
      <c r="AB8" s="2023"/>
      <c r="AC8" s="2023"/>
      <c r="AD8" s="2023"/>
      <c r="AE8" s="2023"/>
      <c r="AF8" s="2023"/>
      <c r="AG8" s="2024"/>
    </row>
    <row r="9" spans="1:33" x14ac:dyDescent="0.25">
      <c r="A9" s="5750"/>
      <c r="B9" s="2028" t="s">
        <v>717</v>
      </c>
      <c r="C9" s="2020"/>
      <c r="D9" s="2020">
        <v>0.37</v>
      </c>
      <c r="E9" s="2037">
        <f t="shared" ref="E9:J9" si="7">X13/X10</f>
        <v>0.24014336917562723</v>
      </c>
      <c r="F9" s="2037">
        <f t="shared" si="7"/>
        <v>0.22365737593473828</v>
      </c>
      <c r="G9" s="2037">
        <f t="shared" si="7"/>
        <v>0.26021180030257185</v>
      </c>
      <c r="H9" s="2037">
        <f t="shared" si="7"/>
        <v>0.28365384615384615</v>
      </c>
      <c r="I9" s="2037">
        <f t="shared" si="7"/>
        <v>0.27139552814186585</v>
      </c>
      <c r="J9" s="2037">
        <f t="shared" si="7"/>
        <v>0.27620632279534107</v>
      </c>
      <c r="K9" s="2038">
        <v>0.28000000000000003</v>
      </c>
      <c r="L9" s="2038">
        <v>0.28000000000000003</v>
      </c>
      <c r="M9" s="2038">
        <v>0.28000000000000003</v>
      </c>
      <c r="N9" s="2039">
        <v>0.31</v>
      </c>
      <c r="O9" s="2021">
        <v>0.31</v>
      </c>
      <c r="P9" s="2021">
        <v>0.28000000000000003</v>
      </c>
      <c r="Q9" s="2021">
        <v>0.32</v>
      </c>
      <c r="R9" s="2021">
        <v>0.28000000000000003</v>
      </c>
      <c r="W9" s="2022">
        <v>1350</v>
      </c>
      <c r="X9" s="2023"/>
      <c r="Y9" s="2023"/>
      <c r="Z9" s="2023"/>
      <c r="AA9" s="2023"/>
      <c r="AB9" s="2023"/>
      <c r="AC9" s="2023"/>
      <c r="AD9" s="2023"/>
      <c r="AE9" s="2023"/>
      <c r="AF9" s="2023"/>
      <c r="AG9" s="2024"/>
    </row>
    <row r="10" spans="1:33" x14ac:dyDescent="0.25">
      <c r="A10" s="5751"/>
      <c r="B10" s="2029" t="s">
        <v>718</v>
      </c>
      <c r="C10" s="2030">
        <v>0.48</v>
      </c>
      <c r="D10" s="2030">
        <f t="shared" ref="D10:N10" si="8">W10/W5</f>
        <v>0.40389821331889553</v>
      </c>
      <c r="E10" s="2030">
        <f t="shared" si="8"/>
        <v>0.37289494787489974</v>
      </c>
      <c r="F10" s="2030">
        <f t="shared" si="8"/>
        <v>0.37583035258048031</v>
      </c>
      <c r="G10" s="2030">
        <f t="shared" si="8"/>
        <v>0.35470888113764421</v>
      </c>
      <c r="H10" s="2030">
        <f t="shared" si="8"/>
        <v>0.36749116607773852</v>
      </c>
      <c r="I10" s="2030">
        <f t="shared" si="8"/>
        <v>0.35263730288200107</v>
      </c>
      <c r="J10" s="2030">
        <f t="shared" si="8"/>
        <v>0.33660039204704567</v>
      </c>
      <c r="K10" s="2030">
        <f t="shared" si="8"/>
        <v>0.33231921366721273</v>
      </c>
      <c r="L10" s="2030">
        <f t="shared" si="8"/>
        <v>0.32930232558139533</v>
      </c>
      <c r="M10" s="2030">
        <f t="shared" si="8"/>
        <v>0.31101778656126483</v>
      </c>
      <c r="N10" s="2031">
        <f t="shared" si="8"/>
        <v>0.29876977152899825</v>
      </c>
      <c r="O10" s="2031">
        <v>0.3</v>
      </c>
      <c r="P10" s="2031">
        <v>0.28999999999999998</v>
      </c>
      <c r="Q10" s="2031">
        <v>0.28999999999999998</v>
      </c>
      <c r="R10" s="2031">
        <v>0.27</v>
      </c>
      <c r="W10" s="2032">
        <v>1492</v>
      </c>
      <c r="X10" s="2033">
        <v>1395</v>
      </c>
      <c r="Y10" s="2033">
        <v>1471</v>
      </c>
      <c r="Z10" s="2033">
        <v>1322</v>
      </c>
      <c r="AA10" s="2033">
        <v>1456</v>
      </c>
      <c r="AB10" s="2033">
        <v>1297</v>
      </c>
      <c r="AC10" s="2033">
        <v>1202</v>
      </c>
      <c r="AD10" s="2033">
        <v>1420</v>
      </c>
      <c r="AE10" s="2033">
        <v>1416</v>
      </c>
      <c r="AF10" s="2033">
        <v>1259</v>
      </c>
      <c r="AG10" s="2034">
        <v>1190</v>
      </c>
    </row>
    <row r="11" spans="1:33" x14ac:dyDescent="0.25">
      <c r="A11" s="5752" t="s">
        <v>714</v>
      </c>
      <c r="B11" s="2035" t="s">
        <v>715</v>
      </c>
      <c r="C11" s="2036"/>
      <c r="D11" s="2037"/>
      <c r="E11" s="2038">
        <f t="shared" ref="E11:J11" si="9">X15/X14</f>
        <v>0.48294970161977835</v>
      </c>
      <c r="F11" s="2038">
        <f t="shared" si="9"/>
        <v>0.48669668440442082</v>
      </c>
      <c r="G11" s="2038">
        <f t="shared" si="9"/>
        <v>0.48108108108108111</v>
      </c>
      <c r="H11" s="2038">
        <f t="shared" si="9"/>
        <v>0.50239425379090186</v>
      </c>
      <c r="I11" s="2038">
        <f t="shared" si="9"/>
        <v>0.48929021419571611</v>
      </c>
      <c r="J11" s="2038">
        <f t="shared" si="9"/>
        <v>0.48585901224145212</v>
      </c>
      <c r="K11" s="2038">
        <v>0.52</v>
      </c>
      <c r="L11" s="2038">
        <v>0.48</v>
      </c>
      <c r="M11" s="2038">
        <v>0.52</v>
      </c>
      <c r="N11" s="2039">
        <v>0.51900000000000002</v>
      </c>
      <c r="O11" s="2039">
        <v>0.51900000000000002</v>
      </c>
      <c r="P11" s="2039">
        <v>0.53</v>
      </c>
      <c r="Q11" s="2039">
        <v>0.53</v>
      </c>
      <c r="R11" s="2039">
        <v>0.53</v>
      </c>
      <c r="W11" s="2040"/>
      <c r="X11" s="2041">
        <v>255</v>
      </c>
      <c r="Y11" s="2041">
        <v>304</v>
      </c>
      <c r="Z11" s="2041">
        <v>274</v>
      </c>
      <c r="AA11" s="2041">
        <v>289</v>
      </c>
      <c r="AB11" s="2041">
        <v>235</v>
      </c>
      <c r="AC11" s="2041">
        <v>211</v>
      </c>
      <c r="AD11" s="2041"/>
      <c r="AE11" s="2041"/>
      <c r="AF11" s="2041"/>
      <c r="AG11" s="2042"/>
    </row>
    <row r="12" spans="1:33" x14ac:dyDescent="0.25">
      <c r="A12" s="5748"/>
      <c r="B12" s="2035" t="s">
        <v>716</v>
      </c>
      <c r="C12" s="2036"/>
      <c r="D12" s="2037"/>
      <c r="E12" s="2038">
        <f t="shared" ref="E12:J12" si="10">X16/X14</f>
        <v>0.39215686274509803</v>
      </c>
      <c r="F12" s="2038">
        <f t="shared" si="10"/>
        <v>0.3933688088415882</v>
      </c>
      <c r="G12" s="2038">
        <f t="shared" si="10"/>
        <v>0.38752598752598755</v>
      </c>
      <c r="H12" s="2038">
        <f t="shared" si="10"/>
        <v>0.38028731045490821</v>
      </c>
      <c r="I12" s="2038">
        <f t="shared" si="10"/>
        <v>0.37967240655186896</v>
      </c>
      <c r="J12" s="2038">
        <f t="shared" si="10"/>
        <v>0.38581680033769522</v>
      </c>
      <c r="K12" s="2038">
        <v>0.36</v>
      </c>
      <c r="L12" s="2038">
        <v>0.36</v>
      </c>
      <c r="M12" s="2038">
        <v>0.36</v>
      </c>
      <c r="N12" s="2039">
        <v>0.34</v>
      </c>
      <c r="O12" s="2039">
        <v>0.34399999999999997</v>
      </c>
      <c r="P12" s="2039">
        <v>0.34</v>
      </c>
      <c r="Q12" s="2039">
        <v>0.34</v>
      </c>
      <c r="R12" s="2039">
        <v>0.34</v>
      </c>
      <c r="W12" s="2040"/>
      <c r="X12" s="2041">
        <v>805</v>
      </c>
      <c r="Y12" s="2041">
        <v>838</v>
      </c>
      <c r="Z12" s="2041">
        <v>704</v>
      </c>
      <c r="AA12" s="2041">
        <v>754</v>
      </c>
      <c r="AB12" s="2041">
        <v>710</v>
      </c>
      <c r="AC12" s="2041">
        <v>659</v>
      </c>
      <c r="AD12" s="2041"/>
      <c r="AE12" s="2041"/>
      <c r="AF12" s="2041"/>
      <c r="AG12" s="2042"/>
    </row>
    <row r="13" spans="1:33" x14ac:dyDescent="0.25">
      <c r="A13" s="5748"/>
      <c r="B13" s="2035" t="s">
        <v>717</v>
      </c>
      <c r="C13" s="2036"/>
      <c r="D13" s="2037"/>
      <c r="E13" s="2038">
        <f t="shared" ref="E13:J13" si="11">X17/X14</f>
        <v>0.12489343563512362</v>
      </c>
      <c r="F13" s="2038">
        <f t="shared" si="11"/>
        <v>0.11993450675399099</v>
      </c>
      <c r="G13" s="2038">
        <f t="shared" si="11"/>
        <v>0.1313929313929314</v>
      </c>
      <c r="H13" s="2038">
        <f t="shared" si="11"/>
        <v>0.11731843575418995</v>
      </c>
      <c r="I13" s="2038">
        <f t="shared" si="11"/>
        <v>0.13103737925241496</v>
      </c>
      <c r="J13" s="2038">
        <f t="shared" si="11"/>
        <v>0.12832418742085269</v>
      </c>
      <c r="K13" s="2038">
        <v>0.12</v>
      </c>
      <c r="L13" s="2038">
        <v>0.13</v>
      </c>
      <c r="M13" s="2038">
        <v>0.13</v>
      </c>
      <c r="N13" s="2039">
        <v>0.13600000000000001</v>
      </c>
      <c r="O13" s="2039">
        <v>0.13600000000000001</v>
      </c>
      <c r="P13" s="2039">
        <v>0.13</v>
      </c>
      <c r="Q13" s="2039">
        <v>0.13</v>
      </c>
      <c r="R13" s="2039">
        <v>0.13</v>
      </c>
      <c r="W13" s="2040"/>
      <c r="X13" s="2041">
        <v>335</v>
      </c>
      <c r="Y13" s="2041">
        <v>329</v>
      </c>
      <c r="Z13" s="2041">
        <v>344</v>
      </c>
      <c r="AA13" s="2041">
        <v>413</v>
      </c>
      <c r="AB13" s="2041">
        <v>352</v>
      </c>
      <c r="AC13" s="2041">
        <v>332</v>
      </c>
      <c r="AD13" s="2041"/>
      <c r="AE13" s="2041"/>
      <c r="AF13" s="2041"/>
      <c r="AG13" s="2042"/>
    </row>
    <row r="14" spans="1:33" x14ac:dyDescent="0.25">
      <c r="A14" s="5753"/>
      <c r="B14" s="2687" t="s">
        <v>719</v>
      </c>
      <c r="C14" s="2688">
        <v>0.52</v>
      </c>
      <c r="D14" s="2688">
        <f t="shared" ref="D14:N14" si="12">W14/W5</f>
        <v>0.59610178668110447</v>
      </c>
      <c r="E14" s="2688">
        <f t="shared" si="12"/>
        <v>0.62710505212510026</v>
      </c>
      <c r="F14" s="2688">
        <f t="shared" si="12"/>
        <v>0.62416964741951964</v>
      </c>
      <c r="G14" s="2688">
        <f t="shared" si="12"/>
        <v>0.64529111886235579</v>
      </c>
      <c r="H14" s="2688">
        <f t="shared" si="12"/>
        <v>0.63250883392226154</v>
      </c>
      <c r="I14" s="2688">
        <f t="shared" si="12"/>
        <v>0.64736269711799888</v>
      </c>
      <c r="J14" s="2688">
        <f t="shared" si="12"/>
        <v>0.66339960795295438</v>
      </c>
      <c r="K14" s="2688">
        <f t="shared" si="12"/>
        <v>0.66768078633278727</v>
      </c>
      <c r="L14" s="2688">
        <f t="shared" si="12"/>
        <v>0.67069767441860462</v>
      </c>
      <c r="M14" s="2688">
        <f t="shared" si="12"/>
        <v>0.68898221343873522</v>
      </c>
      <c r="N14" s="2689">
        <f t="shared" si="12"/>
        <v>0.7012302284710018</v>
      </c>
      <c r="O14" s="2689">
        <v>0.7</v>
      </c>
      <c r="P14" s="2689">
        <v>0.71</v>
      </c>
      <c r="Q14" s="2689">
        <v>0.71</v>
      </c>
      <c r="R14" s="2689">
        <v>0.73</v>
      </c>
      <c r="W14" s="2043">
        <v>2202</v>
      </c>
      <c r="X14" s="2044">
        <v>2346</v>
      </c>
      <c r="Y14" s="2044">
        <v>2443</v>
      </c>
      <c r="Z14" s="2044">
        <v>2405</v>
      </c>
      <c r="AA14" s="2044">
        <v>2506</v>
      </c>
      <c r="AB14" s="2044">
        <v>2381</v>
      </c>
      <c r="AC14" s="2044">
        <v>2369</v>
      </c>
      <c r="AD14" s="2044">
        <v>2853</v>
      </c>
      <c r="AE14" s="2044">
        <v>2884</v>
      </c>
      <c r="AF14" s="2044">
        <v>2789</v>
      </c>
      <c r="AG14" s="2045">
        <v>2793</v>
      </c>
    </row>
    <row r="15" spans="1:33" x14ac:dyDescent="0.25">
      <c r="A15" s="5744" t="s">
        <v>720</v>
      </c>
      <c r="B15" s="2686" t="s">
        <v>721</v>
      </c>
      <c r="C15" s="2052">
        <v>0.01</v>
      </c>
      <c r="D15" s="2052">
        <v>0.01</v>
      </c>
      <c r="E15" s="2052">
        <v>0.01</v>
      </c>
      <c r="F15" s="2052">
        <v>1.2999999999999999E-2</v>
      </c>
      <c r="G15" s="2052">
        <v>1.0999999999999999E-2</v>
      </c>
      <c r="H15" s="2052">
        <v>0.01</v>
      </c>
      <c r="I15" s="2052">
        <v>0.01</v>
      </c>
      <c r="J15" s="2052">
        <v>0.01</v>
      </c>
      <c r="K15" s="2052">
        <v>0.01</v>
      </c>
      <c r="L15" s="2052">
        <v>0.01</v>
      </c>
      <c r="M15" s="2052">
        <v>0.01</v>
      </c>
      <c r="N15" s="2053">
        <v>0.01</v>
      </c>
      <c r="O15" s="2053">
        <v>1.2999999999999999E-2</v>
      </c>
      <c r="P15" s="2053">
        <v>1.0999999999999999E-2</v>
      </c>
      <c r="Q15" s="2053">
        <v>0.01</v>
      </c>
      <c r="R15" s="2053">
        <v>0.01</v>
      </c>
      <c r="W15" s="2046"/>
      <c r="X15" s="2041">
        <v>1133</v>
      </c>
      <c r="Y15" s="2041">
        <v>1189</v>
      </c>
      <c r="Z15" s="2041">
        <v>1157</v>
      </c>
      <c r="AA15" s="2041">
        <v>1259</v>
      </c>
      <c r="AB15" s="2041">
        <v>1165</v>
      </c>
      <c r="AC15" s="2041">
        <v>1151</v>
      </c>
      <c r="AD15" s="2041"/>
      <c r="AE15" s="2041"/>
      <c r="AF15" s="2041"/>
      <c r="AG15" s="2042"/>
    </row>
    <row r="16" spans="1:33" x14ac:dyDescent="0.25">
      <c r="A16" s="5745"/>
      <c r="B16" s="2054" t="s">
        <v>722</v>
      </c>
      <c r="C16" s="2020">
        <v>0.27</v>
      </c>
      <c r="D16" s="2020">
        <v>0.18</v>
      </c>
      <c r="E16" s="2020">
        <v>0.17</v>
      </c>
      <c r="F16" s="2020">
        <v>0.16800000000000001</v>
      </c>
      <c r="G16" s="2020">
        <v>0.14899999999999999</v>
      </c>
      <c r="H16" s="2020">
        <v>0.121</v>
      </c>
      <c r="I16" s="2020">
        <v>0.13</v>
      </c>
      <c r="J16" s="2020">
        <v>0.14000000000000001</v>
      </c>
      <c r="K16" s="2020">
        <v>0.14000000000000001</v>
      </c>
      <c r="L16" s="2020">
        <v>0.13</v>
      </c>
      <c r="M16" s="2020">
        <v>0.11899999999999999</v>
      </c>
      <c r="N16" s="2021">
        <v>0.11</v>
      </c>
      <c r="O16" s="2021">
        <v>0.109</v>
      </c>
      <c r="P16" s="2021">
        <v>0.10199999999999999</v>
      </c>
      <c r="Q16" s="2021">
        <v>0.09</v>
      </c>
      <c r="R16" s="2021">
        <v>0.09</v>
      </c>
      <c r="W16" s="2046"/>
      <c r="X16" s="2041">
        <v>920</v>
      </c>
      <c r="Y16" s="2041">
        <v>961</v>
      </c>
      <c r="Z16" s="2041">
        <v>932</v>
      </c>
      <c r="AA16" s="2041">
        <v>953</v>
      </c>
      <c r="AB16" s="2041">
        <v>904</v>
      </c>
      <c r="AC16" s="2041">
        <v>914</v>
      </c>
      <c r="AD16" s="2041"/>
      <c r="AE16" s="2041"/>
      <c r="AF16" s="2041"/>
      <c r="AG16" s="2042"/>
    </row>
    <row r="17" spans="1:33" x14ac:dyDescent="0.25">
      <c r="A17" s="5745"/>
      <c r="B17" s="2054" t="s">
        <v>723</v>
      </c>
      <c r="C17" s="2020">
        <v>0.28999999999999998</v>
      </c>
      <c r="D17" s="2020">
        <v>0.36</v>
      </c>
      <c r="E17" s="2020">
        <v>0.36</v>
      </c>
      <c r="F17" s="2020">
        <v>0.35199999999999998</v>
      </c>
      <c r="G17" s="2020">
        <v>0.33800000000000002</v>
      </c>
      <c r="H17" s="2020">
        <v>0.30199999999999999</v>
      </c>
      <c r="I17" s="2020">
        <v>0.31</v>
      </c>
      <c r="J17" s="2020">
        <v>0.31</v>
      </c>
      <c r="K17" s="2020">
        <v>0.31</v>
      </c>
      <c r="L17" s="2020">
        <v>0.31</v>
      </c>
      <c r="M17" s="2020">
        <v>0.313</v>
      </c>
      <c r="N17" s="2021">
        <v>0.32</v>
      </c>
      <c r="O17" s="2021">
        <v>0.3</v>
      </c>
      <c r="P17" s="2021">
        <v>0.31</v>
      </c>
      <c r="Q17" s="2021">
        <v>0.31</v>
      </c>
      <c r="R17" s="2021">
        <v>0.28999999999999998</v>
      </c>
      <c r="W17" s="2049"/>
      <c r="X17" s="2050">
        <v>293</v>
      </c>
      <c r="Y17" s="2050">
        <v>293</v>
      </c>
      <c r="Z17" s="2050">
        <v>316</v>
      </c>
      <c r="AA17" s="2050">
        <v>294</v>
      </c>
      <c r="AB17" s="2050">
        <v>312</v>
      </c>
      <c r="AC17" s="2050">
        <v>304</v>
      </c>
      <c r="AD17" s="2050"/>
      <c r="AE17" s="2050"/>
      <c r="AF17" s="2050"/>
      <c r="AG17" s="2051"/>
    </row>
    <row r="18" spans="1:33" x14ac:dyDescent="0.25">
      <c r="A18" s="5745"/>
      <c r="B18" s="3366" t="s">
        <v>734</v>
      </c>
      <c r="C18" s="2020">
        <v>0.21</v>
      </c>
      <c r="D18" s="2020">
        <v>0.21</v>
      </c>
      <c r="E18" s="2020">
        <v>0.21</v>
      </c>
      <c r="F18" s="2020">
        <v>0.216</v>
      </c>
      <c r="G18" s="2020">
        <v>0.21299999999999999</v>
      </c>
      <c r="H18" s="2020">
        <v>0.16400000000000001</v>
      </c>
      <c r="I18" s="2020">
        <v>0.15</v>
      </c>
      <c r="J18" s="2020">
        <v>0.16</v>
      </c>
      <c r="K18" s="2020">
        <v>0.16</v>
      </c>
      <c r="L18" s="2020">
        <v>0.15</v>
      </c>
      <c r="M18" s="3367">
        <v>0.15727027248179362</v>
      </c>
      <c r="N18" s="2021">
        <v>0.15</v>
      </c>
      <c r="O18" s="2021">
        <v>0.16</v>
      </c>
      <c r="P18" s="2021">
        <v>0.14799999999999999</v>
      </c>
      <c r="Q18" s="2021">
        <v>0.15</v>
      </c>
      <c r="R18" s="2021">
        <v>0.15</v>
      </c>
    </row>
    <row r="19" spans="1:33" x14ac:dyDescent="0.25">
      <c r="A19" s="5745"/>
      <c r="B19" s="3364" t="s">
        <v>1226</v>
      </c>
      <c r="C19" s="2020">
        <v>0.22</v>
      </c>
      <c r="D19" s="2020">
        <v>0.24</v>
      </c>
      <c r="E19" s="2020">
        <v>0.25</v>
      </c>
      <c r="F19" s="2020">
        <v>0.251</v>
      </c>
      <c r="G19" s="2020">
        <v>0.28899999999999998</v>
      </c>
      <c r="H19" s="2020">
        <v>0.40400000000000003</v>
      </c>
      <c r="I19" s="2020">
        <v>0.4</v>
      </c>
      <c r="J19" s="2020">
        <v>0.38</v>
      </c>
      <c r="K19" s="2020">
        <v>0.38</v>
      </c>
      <c r="L19" s="2020">
        <v>0.4</v>
      </c>
      <c r="M19" s="2020">
        <v>0.18288192455609198</v>
      </c>
      <c r="N19" s="2021">
        <v>0.19</v>
      </c>
      <c r="O19" s="2021">
        <v>0.19</v>
      </c>
      <c r="P19" s="2021">
        <v>0.19</v>
      </c>
      <c r="Q19" s="2021">
        <v>0.2</v>
      </c>
      <c r="R19" s="2021">
        <v>0.2</v>
      </c>
    </row>
    <row r="20" spans="1:33" x14ac:dyDescent="0.25">
      <c r="A20" s="5745"/>
      <c r="B20" s="3445" t="s">
        <v>1239</v>
      </c>
      <c r="C20" s="2020"/>
      <c r="D20" s="2020"/>
      <c r="E20" s="2020"/>
      <c r="F20" s="2020"/>
      <c r="G20" s="2020"/>
      <c r="H20" s="2020"/>
      <c r="I20" s="2020"/>
      <c r="J20" s="2020"/>
      <c r="K20" s="2020"/>
      <c r="L20" s="2020"/>
      <c r="M20" s="2055">
        <v>0.13722281319040994</v>
      </c>
      <c r="N20" s="2021">
        <v>0.13600000000000001</v>
      </c>
      <c r="O20" s="2021">
        <v>0.14000000000000001</v>
      </c>
      <c r="P20" s="2021">
        <v>0.14099999999999999</v>
      </c>
      <c r="Q20" s="2021">
        <v>0.15</v>
      </c>
      <c r="R20" s="2021">
        <v>0.16</v>
      </c>
    </row>
    <row r="21" spans="1:33" x14ac:dyDescent="0.25">
      <c r="A21" s="5746"/>
      <c r="B21" s="3446" t="s">
        <v>1240</v>
      </c>
      <c r="C21" s="2056"/>
      <c r="D21" s="2056"/>
      <c r="E21" s="2056"/>
      <c r="F21" s="2056"/>
      <c r="G21" s="2056"/>
      <c r="H21" s="2056"/>
      <c r="I21" s="2056"/>
      <c r="J21" s="2056"/>
      <c r="K21" s="2056"/>
      <c r="L21" s="2056"/>
      <c r="M21" s="2056">
        <v>8.0517142623353244E-2</v>
      </c>
      <c r="N21" s="2021">
        <v>8.7999999999999995E-2</v>
      </c>
      <c r="O21" s="2021">
        <v>0.09</v>
      </c>
      <c r="P21" s="2021">
        <v>0.09</v>
      </c>
      <c r="Q21" s="2021">
        <v>0.09</v>
      </c>
      <c r="R21" s="2021">
        <v>0.1</v>
      </c>
    </row>
    <row r="22" spans="1:33" x14ac:dyDescent="0.25">
      <c r="A22" s="5744" t="s">
        <v>724</v>
      </c>
      <c r="B22" s="2057" t="s">
        <v>725</v>
      </c>
      <c r="C22" s="2058">
        <v>0.02</v>
      </c>
      <c r="D22" s="2058">
        <v>0.03</v>
      </c>
      <c r="E22" s="2058">
        <v>2.5999999999999999E-2</v>
      </c>
      <c r="F22" s="2058">
        <v>2.3E-2</v>
      </c>
      <c r="G22" s="2058">
        <v>2.1999999999999999E-2</v>
      </c>
      <c r="H22" s="2058">
        <v>2.5999999999999999E-2</v>
      </c>
      <c r="I22" s="2058">
        <v>2.9000000000000001E-2</v>
      </c>
      <c r="J22" s="2058">
        <v>3.2000000000000001E-2</v>
      </c>
      <c r="K22" s="2058">
        <v>3.2000000000000001E-2</v>
      </c>
      <c r="L22" s="2058">
        <v>3.2000000000000001E-2</v>
      </c>
      <c r="M22" s="2058">
        <v>3.4000000000000002E-2</v>
      </c>
      <c r="N22" s="2059">
        <v>0.03</v>
      </c>
      <c r="O22" s="2059">
        <v>3.4000000000000002E-2</v>
      </c>
      <c r="P22" s="2059">
        <v>3.3000000000000002E-2</v>
      </c>
      <c r="Q22" s="2059">
        <v>0.04</v>
      </c>
      <c r="R22" s="2059">
        <v>0.01</v>
      </c>
    </row>
    <row r="23" spans="1:33" x14ac:dyDescent="0.25">
      <c r="A23" s="5745"/>
      <c r="B23" s="2060" t="s">
        <v>726</v>
      </c>
      <c r="C23" s="2038">
        <v>0.2</v>
      </c>
      <c r="D23" s="2038">
        <v>0.21</v>
      </c>
      <c r="E23" s="2038">
        <v>0.219</v>
      </c>
      <c r="F23" s="2038">
        <v>0.188</v>
      </c>
      <c r="G23" s="2038">
        <v>0.17599999999999999</v>
      </c>
      <c r="H23" s="2038">
        <v>0.17</v>
      </c>
      <c r="I23" s="2038">
        <v>0.159</v>
      </c>
      <c r="J23" s="2038">
        <v>0.159</v>
      </c>
      <c r="K23" s="2038">
        <v>0.14599999999999999</v>
      </c>
      <c r="L23" s="2038">
        <v>0.14099999999999999</v>
      </c>
      <c r="M23" s="2038">
        <v>0.129</v>
      </c>
      <c r="N23" s="2039">
        <v>0.126</v>
      </c>
      <c r="O23" s="2039">
        <v>0.112</v>
      </c>
      <c r="P23" s="2039">
        <v>0.10199999999999999</v>
      </c>
      <c r="Q23" s="2039">
        <v>0.1</v>
      </c>
      <c r="R23" s="2039">
        <v>0.12</v>
      </c>
    </row>
    <row r="24" spans="1:33" x14ac:dyDescent="0.25">
      <c r="A24" s="5745"/>
      <c r="B24" s="2060" t="s">
        <v>727</v>
      </c>
      <c r="C24" s="2038">
        <v>0.2</v>
      </c>
      <c r="D24" s="2038">
        <v>0.13</v>
      </c>
      <c r="E24" s="2038">
        <v>0.20599999999999999</v>
      </c>
      <c r="F24" s="2038">
        <v>0.185</v>
      </c>
      <c r="G24" s="2038">
        <v>0.191</v>
      </c>
      <c r="H24" s="2038">
        <v>0.19900000000000001</v>
      </c>
      <c r="I24" s="2038">
        <v>0.20100000000000001</v>
      </c>
      <c r="J24" s="2038">
        <v>0.20899999999999999</v>
      </c>
      <c r="K24" s="2038">
        <v>0.20899999999999999</v>
      </c>
      <c r="L24" s="2038">
        <v>0.222</v>
      </c>
      <c r="M24" s="2038">
        <v>0.214</v>
      </c>
      <c r="N24" s="2039">
        <v>0.22</v>
      </c>
      <c r="O24" s="2039">
        <v>0.223</v>
      </c>
      <c r="P24" s="2039">
        <v>0.22600000000000001</v>
      </c>
      <c r="Q24" s="2039">
        <v>0.22</v>
      </c>
      <c r="R24" s="2039">
        <v>0.25</v>
      </c>
    </row>
    <row r="25" spans="1:33" x14ac:dyDescent="0.25">
      <c r="A25" s="5745"/>
      <c r="B25" s="2060" t="s">
        <v>728</v>
      </c>
      <c r="C25" s="2038">
        <v>0.09</v>
      </c>
      <c r="D25" s="2038">
        <v>0.14000000000000001</v>
      </c>
      <c r="E25" s="2038">
        <v>0.1</v>
      </c>
      <c r="F25" s="2038">
        <v>9.8000000000000004E-2</v>
      </c>
      <c r="G25" s="2038">
        <v>9.4E-2</v>
      </c>
      <c r="H25" s="2038">
        <v>8.8999999999999996E-2</v>
      </c>
      <c r="I25" s="2038">
        <v>9.1999999999999998E-2</v>
      </c>
      <c r="J25" s="2038">
        <v>9.2999999999999999E-2</v>
      </c>
      <c r="K25" s="2038">
        <v>9.0999999999999998E-2</v>
      </c>
      <c r="L25" s="2038">
        <v>8.8999999999999996E-2</v>
      </c>
      <c r="M25" s="2038">
        <v>0.09</v>
      </c>
      <c r="N25" s="2039">
        <v>8.8999999999999996E-2</v>
      </c>
      <c r="O25" s="2039">
        <v>8.3000000000000004E-2</v>
      </c>
      <c r="P25" s="2039">
        <v>9.4E-2</v>
      </c>
      <c r="Q25" s="2039">
        <v>0.09</v>
      </c>
      <c r="R25" s="2039">
        <v>0.16</v>
      </c>
    </row>
    <row r="26" spans="1:33" x14ac:dyDescent="0.25">
      <c r="A26" s="5745"/>
      <c r="B26" s="2060" t="s">
        <v>729</v>
      </c>
      <c r="C26" s="2038">
        <v>0.1</v>
      </c>
      <c r="D26" s="2038">
        <v>0.19</v>
      </c>
      <c r="E26" s="2038">
        <v>0.14399999999999999</v>
      </c>
      <c r="F26" s="2038">
        <v>0.151</v>
      </c>
      <c r="G26" s="2038">
        <v>0.155</v>
      </c>
      <c r="H26" s="2038">
        <v>0.157</v>
      </c>
      <c r="I26" s="2038">
        <v>0.16500000000000001</v>
      </c>
      <c r="J26" s="2038">
        <v>0.16700000000000001</v>
      </c>
      <c r="K26" s="2038">
        <v>0.17899999999999999</v>
      </c>
      <c r="L26" s="2038">
        <v>0.17699999999999999</v>
      </c>
      <c r="M26" s="2038">
        <v>0.186</v>
      </c>
      <c r="N26" s="2039">
        <v>0.19400000000000001</v>
      </c>
      <c r="O26" s="2039">
        <v>0.19600000000000001</v>
      </c>
      <c r="P26" s="2039">
        <v>0.19700000000000001</v>
      </c>
      <c r="Q26" s="2039">
        <v>0.21</v>
      </c>
      <c r="R26" s="2039">
        <v>0.19</v>
      </c>
    </row>
    <row r="27" spans="1:33" x14ac:dyDescent="0.25">
      <c r="A27" s="5745"/>
      <c r="B27" s="2060" t="s">
        <v>730</v>
      </c>
      <c r="C27" s="2038">
        <v>0.32</v>
      </c>
      <c r="D27" s="2038">
        <v>0.25</v>
      </c>
      <c r="E27" s="2038">
        <v>0.27300000000000002</v>
      </c>
      <c r="F27" s="2038">
        <v>0.30099999999999999</v>
      </c>
      <c r="G27" s="2038">
        <v>0.30299999999999999</v>
      </c>
      <c r="H27" s="2038">
        <v>0.30399999999999999</v>
      </c>
      <c r="I27" s="2038">
        <v>0.30299999999999999</v>
      </c>
      <c r="J27" s="2038">
        <v>0.29099999999999998</v>
      </c>
      <c r="K27" s="2038">
        <v>0.29199999999999998</v>
      </c>
      <c r="L27" s="2038">
        <v>0.29199999999999998</v>
      </c>
      <c r="M27" s="2038">
        <v>0.29199999999999998</v>
      </c>
      <c r="N27" s="2039">
        <v>0.29199999999999998</v>
      </c>
      <c r="O27" s="2039">
        <v>0.29199999999999998</v>
      </c>
      <c r="P27" s="2039">
        <v>0.29199999999999998</v>
      </c>
      <c r="Q27" s="2039">
        <v>0.28999999999999998</v>
      </c>
      <c r="R27" s="2039">
        <v>0.23</v>
      </c>
    </row>
    <row r="28" spans="1:33" x14ac:dyDescent="0.25">
      <c r="A28" s="5746"/>
      <c r="B28" s="2061" t="s">
        <v>731</v>
      </c>
      <c r="C28" s="2047">
        <v>7.0000000000000007E-2</v>
      </c>
      <c r="D28" s="2047">
        <v>0.05</v>
      </c>
      <c r="E28" s="2047">
        <v>3.2000000000000001E-2</v>
      </c>
      <c r="F28" s="2047">
        <v>5.2999999999999999E-2</v>
      </c>
      <c r="G28" s="2047">
        <v>5.8999999999999997E-2</v>
      </c>
      <c r="H28" s="2047">
        <v>5.5E-2</v>
      </c>
      <c r="I28" s="2047">
        <v>5.0999999999999997E-2</v>
      </c>
      <c r="J28" s="2047">
        <v>4.9000000000000002E-2</v>
      </c>
      <c r="K28" s="2047">
        <v>5.0999999999999997E-2</v>
      </c>
      <c r="L28" s="2047">
        <v>4.3999999999999997E-2</v>
      </c>
      <c r="M28" s="2047">
        <v>4.4999999999999998E-2</v>
      </c>
      <c r="N28" s="2048">
        <v>4.9000000000000002E-2</v>
      </c>
      <c r="O28" s="2048">
        <v>0.05</v>
      </c>
      <c r="P28" s="2048">
        <v>4.8000000000000001E-2</v>
      </c>
      <c r="Q28" s="2048">
        <v>0.05</v>
      </c>
      <c r="R28" s="2048">
        <v>0.04</v>
      </c>
    </row>
    <row r="29" spans="1:33" x14ac:dyDescent="0.25">
      <c r="A29" s="5744" t="s">
        <v>732</v>
      </c>
      <c r="B29" s="2057" t="s">
        <v>725</v>
      </c>
      <c r="C29" s="2058">
        <v>0.03</v>
      </c>
      <c r="D29" s="2058">
        <v>0.02</v>
      </c>
      <c r="E29" s="2058">
        <v>0.02</v>
      </c>
      <c r="F29" s="2058">
        <v>1.4999999999999999E-2</v>
      </c>
      <c r="G29" s="2058">
        <v>1.2999999999999999E-2</v>
      </c>
      <c r="H29" s="2058">
        <v>1.7000000000000001E-2</v>
      </c>
      <c r="I29" s="2058">
        <v>1.7000000000000001E-2</v>
      </c>
      <c r="J29" s="2058">
        <v>1.6E-2</v>
      </c>
      <c r="K29" s="2058">
        <v>1.6E-2</v>
      </c>
      <c r="L29" s="2058">
        <v>1.6E-2</v>
      </c>
      <c r="M29" s="2058">
        <v>1.6E-2</v>
      </c>
      <c r="N29" s="2059">
        <v>1.0999999999999999E-2</v>
      </c>
      <c r="O29" s="2059">
        <v>0.01</v>
      </c>
      <c r="P29" s="2059">
        <v>1.2E-2</v>
      </c>
      <c r="Q29" s="2059">
        <v>0.01</v>
      </c>
      <c r="R29" s="2059">
        <v>0.03</v>
      </c>
    </row>
    <row r="30" spans="1:33" x14ac:dyDescent="0.25">
      <c r="A30" s="5745"/>
      <c r="B30" s="2060" t="s">
        <v>726</v>
      </c>
      <c r="C30" s="2038">
        <v>0.2</v>
      </c>
      <c r="D30" s="2038">
        <v>0.3</v>
      </c>
      <c r="E30" s="2038">
        <v>0.308</v>
      </c>
      <c r="F30" s="2038">
        <v>0.25900000000000001</v>
      </c>
      <c r="G30" s="2038">
        <v>0.23899999999999999</v>
      </c>
      <c r="H30" s="2038">
        <v>0.22700000000000001</v>
      </c>
      <c r="I30" s="2038">
        <v>0.221</v>
      </c>
      <c r="J30" s="2038">
        <v>0.219</v>
      </c>
      <c r="K30" s="2038">
        <v>0.20399999999999999</v>
      </c>
      <c r="L30" s="2038">
        <v>0.184</v>
      </c>
      <c r="M30" s="2038">
        <v>0.182</v>
      </c>
      <c r="N30" s="2039">
        <v>0.16400000000000001</v>
      </c>
      <c r="O30" s="2039">
        <v>0.151</v>
      </c>
      <c r="P30" s="2039">
        <v>0.14399999999999999</v>
      </c>
      <c r="Q30" s="2039">
        <v>0.13</v>
      </c>
      <c r="R30" s="2039">
        <v>0.1</v>
      </c>
    </row>
    <row r="31" spans="1:33" x14ac:dyDescent="0.25">
      <c r="A31" s="5745"/>
      <c r="B31" s="2060" t="s">
        <v>727</v>
      </c>
      <c r="C31" s="2038">
        <v>0.16</v>
      </c>
      <c r="D31" s="2038">
        <v>0.2</v>
      </c>
      <c r="E31" s="2038">
        <v>0.215</v>
      </c>
      <c r="F31" s="2038">
        <v>0.20699999999999999</v>
      </c>
      <c r="G31" s="2038">
        <v>0.20799999999999999</v>
      </c>
      <c r="H31" s="2038">
        <v>0.215</v>
      </c>
      <c r="I31" s="2038">
        <v>0.223</v>
      </c>
      <c r="J31" s="2038">
        <v>0.222</v>
      </c>
      <c r="K31" s="2038">
        <v>0.22800000000000001</v>
      </c>
      <c r="L31" s="2038">
        <v>0.22800000000000001</v>
      </c>
      <c r="M31" s="2038">
        <v>0.22800000000000001</v>
      </c>
      <c r="N31" s="2039">
        <v>0.23699999999999999</v>
      </c>
      <c r="O31" s="2039">
        <v>0.23899999999999999</v>
      </c>
      <c r="P31" s="2039">
        <v>0.23699999999999999</v>
      </c>
      <c r="Q31" s="2039">
        <v>0.24</v>
      </c>
      <c r="R31" s="2039">
        <v>0.23</v>
      </c>
    </row>
    <row r="32" spans="1:33" x14ac:dyDescent="0.25">
      <c r="A32" s="5745"/>
      <c r="B32" s="2060" t="s">
        <v>728</v>
      </c>
      <c r="C32" s="2038">
        <v>0.27</v>
      </c>
      <c r="D32" s="2038">
        <v>0.18</v>
      </c>
      <c r="E32" s="2038">
        <v>0.193</v>
      </c>
      <c r="F32" s="2038">
        <v>0.187</v>
      </c>
      <c r="G32" s="2038">
        <v>0.192</v>
      </c>
      <c r="H32" s="2038">
        <v>0.187</v>
      </c>
      <c r="I32" s="2038">
        <v>0.187</v>
      </c>
      <c r="J32" s="2038">
        <v>0.18</v>
      </c>
      <c r="K32" s="2038">
        <v>0.17899999999999999</v>
      </c>
      <c r="L32" s="2038">
        <v>0.16900000000000001</v>
      </c>
      <c r="M32" s="2038">
        <v>0.18099999999999999</v>
      </c>
      <c r="N32" s="2039">
        <v>0.17899999999999999</v>
      </c>
      <c r="O32" s="2039">
        <v>0.17199999999999999</v>
      </c>
      <c r="P32" s="2039">
        <v>0.17199999999999999</v>
      </c>
      <c r="Q32" s="2039">
        <v>0.17</v>
      </c>
      <c r="R32" s="2039">
        <v>0.08</v>
      </c>
    </row>
    <row r="33" spans="1:18" x14ac:dyDescent="0.25">
      <c r="A33" s="5745"/>
      <c r="B33" s="2060" t="s">
        <v>729</v>
      </c>
      <c r="C33" s="2038">
        <v>0.1</v>
      </c>
      <c r="D33" s="2038">
        <v>0.11</v>
      </c>
      <c r="E33" s="2038">
        <v>0.108</v>
      </c>
      <c r="F33" s="2038">
        <v>0.121</v>
      </c>
      <c r="G33" s="2038">
        <v>0.125</v>
      </c>
      <c r="H33" s="2038">
        <v>0.129</v>
      </c>
      <c r="I33" s="2038">
        <v>0.13100000000000001</v>
      </c>
      <c r="J33" s="2038">
        <v>0.13300000000000001</v>
      </c>
      <c r="K33" s="2038">
        <v>0.14099999999999999</v>
      </c>
      <c r="L33" s="2038">
        <v>0.15</v>
      </c>
      <c r="M33" s="2038">
        <v>0.154</v>
      </c>
      <c r="N33" s="2039">
        <v>0.16900000000000001</v>
      </c>
      <c r="O33" s="2039">
        <v>0.16900000000000001</v>
      </c>
      <c r="P33" s="2039">
        <v>0.17199999999999999</v>
      </c>
      <c r="Q33" s="2039">
        <v>0.19</v>
      </c>
      <c r="R33" s="2039">
        <v>0.22</v>
      </c>
    </row>
    <row r="34" spans="1:18" x14ac:dyDescent="0.25">
      <c r="A34" s="5745"/>
      <c r="B34" s="2060" t="s">
        <v>730</v>
      </c>
      <c r="C34" s="2038">
        <v>0.21</v>
      </c>
      <c r="D34" s="2038">
        <v>0.17</v>
      </c>
      <c r="E34" s="2038">
        <v>0.14099999999999999</v>
      </c>
      <c r="F34" s="2038">
        <v>0.185</v>
      </c>
      <c r="G34" s="2038">
        <v>0.193</v>
      </c>
      <c r="H34" s="2038">
        <v>0.19700000000000001</v>
      </c>
      <c r="I34" s="2038">
        <v>0.19400000000000001</v>
      </c>
      <c r="J34" s="2038">
        <v>0.20100000000000001</v>
      </c>
      <c r="K34" s="2038">
        <v>0.20300000000000001</v>
      </c>
      <c r="L34" s="2038">
        <v>0.217</v>
      </c>
      <c r="M34" s="2038">
        <v>0.21</v>
      </c>
      <c r="N34" s="2039">
        <v>0.20599999999999999</v>
      </c>
      <c r="O34" s="2039">
        <v>0.22500000000000001</v>
      </c>
      <c r="P34" s="2039">
        <v>0.22800000000000001</v>
      </c>
      <c r="Q34" s="2039">
        <v>0.22</v>
      </c>
      <c r="R34" s="2039">
        <v>0.28999999999999998</v>
      </c>
    </row>
    <row r="35" spans="1:18" x14ac:dyDescent="0.25">
      <c r="A35" s="5746"/>
      <c r="B35" s="2061" t="s">
        <v>731</v>
      </c>
      <c r="C35" s="2047">
        <v>0.03</v>
      </c>
      <c r="D35" s="2047">
        <v>0.02</v>
      </c>
      <c r="E35" s="2047">
        <v>1.4E-2</v>
      </c>
      <c r="F35" s="2047">
        <v>2.7E-2</v>
      </c>
      <c r="G35" s="2047">
        <v>3.2000000000000001E-2</v>
      </c>
      <c r="H35" s="2047">
        <v>2.8000000000000001E-2</v>
      </c>
      <c r="I35" s="2047">
        <v>2.7E-2</v>
      </c>
      <c r="J35" s="2047">
        <v>2.9000000000000001E-2</v>
      </c>
      <c r="K35" s="2047">
        <v>2.9000000000000001E-2</v>
      </c>
      <c r="L35" s="2047">
        <v>3.1E-2</v>
      </c>
      <c r="M35" s="2047">
        <v>3.1E-2</v>
      </c>
      <c r="N35" s="2048">
        <v>3.4000000000000002E-2</v>
      </c>
      <c r="O35" s="2048">
        <v>3.4000000000000002E-2</v>
      </c>
      <c r="P35" s="2048">
        <v>3.5999999999999997E-2</v>
      </c>
      <c r="Q35" s="2048">
        <v>0.04</v>
      </c>
      <c r="R35" s="2048">
        <v>0.05</v>
      </c>
    </row>
    <row r="36" spans="1:18" x14ac:dyDescent="0.25">
      <c r="A36" s="240" t="s">
        <v>648</v>
      </c>
      <c r="C36" s="2063"/>
      <c r="D36" s="2063"/>
      <c r="E36" s="2063"/>
      <c r="F36" s="2063"/>
      <c r="G36" s="2063"/>
      <c r="H36" s="2063"/>
      <c r="I36" s="2063"/>
      <c r="J36" s="2063"/>
      <c r="K36" s="2063"/>
      <c r="L36" s="2063"/>
      <c r="M36" s="2063"/>
      <c r="N36" s="2063"/>
      <c r="O36" s="2063"/>
      <c r="P36" s="2015"/>
    </row>
    <row r="37" spans="1:18" x14ac:dyDescent="0.25">
      <c r="C37" s="2063"/>
      <c r="D37" s="2063"/>
      <c r="E37" s="2063"/>
      <c r="F37" s="2063"/>
      <c r="G37" s="2063"/>
      <c r="H37" s="2063"/>
      <c r="I37" s="2063"/>
      <c r="J37" s="2063"/>
      <c r="K37" s="2063"/>
      <c r="L37" s="2063"/>
      <c r="M37" s="2063"/>
      <c r="N37" s="2063"/>
      <c r="O37" s="2063"/>
      <c r="P37" s="2015"/>
    </row>
    <row r="38" spans="1:18" x14ac:dyDescent="0.25">
      <c r="C38" s="2063"/>
      <c r="D38" s="2063"/>
      <c r="E38" s="2063"/>
      <c r="F38" s="2063"/>
      <c r="G38" s="2063"/>
      <c r="H38" s="2063"/>
      <c r="I38" s="2063"/>
      <c r="J38" s="2063"/>
      <c r="K38" s="2063"/>
      <c r="L38" s="2063"/>
      <c r="M38" s="2063"/>
      <c r="N38" s="2063"/>
      <c r="O38" s="2063"/>
      <c r="P38" s="2015"/>
    </row>
    <row r="39" spans="1:18" x14ac:dyDescent="0.25">
      <c r="C39" s="2063"/>
      <c r="D39" s="2063"/>
      <c r="E39" s="2063"/>
      <c r="F39" s="2063"/>
      <c r="G39" s="2063"/>
      <c r="H39" s="2063"/>
      <c r="I39" s="2063"/>
      <c r="J39" s="2063"/>
      <c r="K39" s="2063"/>
      <c r="L39" s="2063"/>
      <c r="M39" s="2063"/>
      <c r="N39" s="2063"/>
      <c r="O39" s="2063"/>
    </row>
    <row r="40" spans="1:18" x14ac:dyDescent="0.25">
      <c r="C40" s="2063"/>
      <c r="D40" s="2063"/>
      <c r="E40" s="2063"/>
      <c r="F40" s="2063"/>
      <c r="G40" s="2063"/>
      <c r="H40" s="2063"/>
      <c r="I40" s="2063"/>
      <c r="J40" s="2063"/>
      <c r="K40" s="2063"/>
      <c r="L40" s="2063"/>
      <c r="M40" s="2063"/>
      <c r="N40" s="2063"/>
      <c r="O40" s="2063"/>
    </row>
    <row r="41" spans="1:18" x14ac:dyDescent="0.25">
      <c r="C41" s="2063"/>
      <c r="D41" s="2063"/>
      <c r="E41" s="2063"/>
      <c r="F41" s="2063"/>
      <c r="G41" s="2063"/>
      <c r="H41" s="2063"/>
      <c r="I41" s="2063"/>
      <c r="J41" s="2063"/>
      <c r="K41" s="2063"/>
      <c r="L41" s="2063"/>
      <c r="M41" s="2063"/>
      <c r="N41" s="2063"/>
      <c r="O41" s="2063"/>
    </row>
    <row r="42" spans="1:18" x14ac:dyDescent="0.25">
      <c r="C42" s="2063"/>
      <c r="D42" s="2063"/>
      <c r="E42" s="2063"/>
      <c r="F42" s="2063"/>
      <c r="G42" s="2063"/>
      <c r="H42" s="2063"/>
      <c r="I42" s="2063"/>
      <c r="J42" s="2063"/>
      <c r="K42" s="2063"/>
      <c r="L42" s="2063"/>
      <c r="M42" s="2063"/>
      <c r="N42" s="2063"/>
      <c r="O42" s="2063"/>
    </row>
    <row r="43" spans="1:18" x14ac:dyDescent="0.25">
      <c r="C43" s="2063"/>
      <c r="D43" s="2063"/>
      <c r="E43" s="2063"/>
      <c r="F43" s="2063"/>
      <c r="G43" s="2063"/>
      <c r="H43" s="2063"/>
      <c r="I43" s="2063"/>
      <c r="J43" s="2063"/>
      <c r="K43" s="2063"/>
      <c r="L43" s="2063"/>
      <c r="M43" s="2063"/>
      <c r="N43" s="2063"/>
      <c r="O43" s="2063"/>
    </row>
    <row r="44" spans="1:18" x14ac:dyDescent="0.25">
      <c r="C44" s="2063"/>
      <c r="D44" s="2063"/>
      <c r="E44" s="2063"/>
      <c r="F44" s="2063"/>
      <c r="G44" s="2063"/>
      <c r="H44" s="2063"/>
      <c r="I44" s="2063"/>
      <c r="J44" s="2063"/>
      <c r="K44" s="2063"/>
      <c r="L44" s="2063"/>
      <c r="M44" s="2063"/>
      <c r="N44" s="2063"/>
      <c r="O44" s="2063"/>
    </row>
    <row r="45" spans="1:18" x14ac:dyDescent="0.25">
      <c r="C45" s="2063"/>
      <c r="D45" s="2063"/>
      <c r="E45" s="2063"/>
      <c r="F45" s="2063"/>
      <c r="G45" s="2063"/>
      <c r="H45" s="2063"/>
      <c r="I45" s="2063"/>
      <c r="J45" s="2063"/>
      <c r="K45" s="2063"/>
      <c r="L45" s="2063"/>
      <c r="M45" s="2063"/>
      <c r="N45" s="2063"/>
      <c r="O45" s="2063"/>
    </row>
    <row r="46" spans="1:18" x14ac:dyDescent="0.25">
      <c r="C46" s="2063"/>
      <c r="D46" s="2063"/>
      <c r="E46" s="2063"/>
      <c r="F46" s="2063"/>
      <c r="G46" s="2063"/>
      <c r="H46" s="2063"/>
      <c r="I46" s="2063"/>
      <c r="J46" s="2063"/>
      <c r="K46" s="2063"/>
      <c r="L46" s="2063"/>
      <c r="M46" s="2063"/>
      <c r="N46" s="2063"/>
      <c r="O46" s="2063"/>
    </row>
  </sheetData>
  <sheetProtection algorithmName="SHA-512" hashValue="l/u++m+2XmEzrWc5QoRFBZ4fM5QLRf6obdhkgB7KjsGJLfX3xT/tOxM3EIZEriYeijN6XOXHOIjTM3E1tm6xMw==" saltValue="3BNfAcr6uSi4rQ+f8siHYw==" spinCount="100000" sheet="1" objects="1" scenarios="1"/>
  <mergeCells count="7">
    <mergeCell ref="A1:B1"/>
    <mergeCell ref="A22:A28"/>
    <mergeCell ref="A29:A35"/>
    <mergeCell ref="A4:A6"/>
    <mergeCell ref="A7:A10"/>
    <mergeCell ref="A11:A14"/>
    <mergeCell ref="A15:A21"/>
  </mergeCells>
  <printOptions horizontalCentered="1" verticalCentered="1"/>
  <pageMargins left="0.19685039370078741" right="0.11811023622047245" top="0.15748031496062992" bottom="0.19685039370078741" header="0" footer="0"/>
  <pageSetup scale="62" orientation="landscape" r:id="rId1"/>
  <rowBreaks count="2" manualBreakCount="2">
    <brk id="36" max="16383" man="1"/>
    <brk id="85" max="16383" man="1"/>
  </rowBreaks>
  <colBreaks count="1" manualBreakCount="1">
    <brk id="17" max="97" man="1"/>
  </colBreaks>
  <ignoredErrors>
    <ignoredError sqref="O6:R6" formulaRange="1"/>
  </ignoredError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C122"/>
  <sheetViews>
    <sheetView showGridLines="0" zoomScaleNormal="100" workbookViewId="0">
      <selection activeCell="U113" sqref="U113"/>
    </sheetView>
  </sheetViews>
  <sheetFormatPr baseColWidth="10" defaultColWidth="6.42578125" defaultRowHeight="12.75" x14ac:dyDescent="0.2"/>
  <cols>
    <col min="1" max="1" width="17.5703125" style="919" customWidth="1"/>
    <col min="2" max="2" width="9.28515625" style="919" customWidth="1"/>
    <col min="3" max="26" width="6.7109375" style="919" customWidth="1"/>
    <col min="27" max="27" width="9.7109375" style="919" customWidth="1"/>
    <col min="28" max="16384" width="6.42578125" style="916"/>
  </cols>
  <sheetData>
    <row r="2" spans="1:29" ht="15" x14ac:dyDescent="0.2">
      <c r="A2" s="1329" t="s">
        <v>572</v>
      </c>
    </row>
    <row r="4" spans="1:29" ht="17.100000000000001" customHeight="1" x14ac:dyDescent="0.2">
      <c r="A4" s="7185" t="s">
        <v>16</v>
      </c>
      <c r="B4" s="7187" t="s">
        <v>354</v>
      </c>
      <c r="C4" s="7188" t="s">
        <v>574</v>
      </c>
      <c r="D4" s="7183"/>
      <c r="E4" s="7183"/>
      <c r="F4" s="7183"/>
      <c r="G4" s="7183"/>
      <c r="H4" s="7183"/>
      <c r="I4" s="7183"/>
      <c r="J4" s="7183"/>
      <c r="K4" s="7183"/>
      <c r="L4" s="7183"/>
      <c r="M4" s="7183"/>
      <c r="N4" s="7183"/>
      <c r="O4" s="7183"/>
      <c r="P4" s="7183"/>
      <c r="Q4" s="7183"/>
      <c r="R4" s="7183"/>
      <c r="S4" s="7183"/>
      <c r="T4" s="7183"/>
      <c r="U4" s="7183"/>
      <c r="V4" s="7183"/>
      <c r="W4" s="7183"/>
      <c r="X4" s="7183"/>
      <c r="Y4" s="7183"/>
      <c r="Z4" s="7183"/>
      <c r="AA4" s="7184"/>
    </row>
    <row r="5" spans="1:29" s="1328" customFormat="1" ht="17.100000000000001" customHeight="1" x14ac:dyDescent="0.2">
      <c r="A5" s="7186"/>
      <c r="B5" s="7186"/>
      <c r="C5" s="1330">
        <v>1990</v>
      </c>
      <c r="D5" s="1331">
        <v>1991</v>
      </c>
      <c r="E5" s="1331">
        <v>1992</v>
      </c>
      <c r="F5" s="1331">
        <v>1993</v>
      </c>
      <c r="G5" s="1331">
        <v>1994</v>
      </c>
      <c r="H5" s="1331">
        <v>1995</v>
      </c>
      <c r="I5" s="1331">
        <v>1996</v>
      </c>
      <c r="J5" s="1331">
        <v>1997</v>
      </c>
      <c r="K5" s="1331">
        <v>1998</v>
      </c>
      <c r="L5" s="1331">
        <v>1999</v>
      </c>
      <c r="M5" s="1331">
        <v>2000</v>
      </c>
      <c r="N5" s="1331">
        <v>2001</v>
      </c>
      <c r="O5" s="1331">
        <v>2002</v>
      </c>
      <c r="P5" s="1331">
        <v>2003</v>
      </c>
      <c r="Q5" s="1331">
        <v>2004</v>
      </c>
      <c r="R5" s="1331">
        <v>2005</v>
      </c>
      <c r="S5" s="1331">
        <v>2006</v>
      </c>
      <c r="T5" s="1331">
        <v>2007</v>
      </c>
      <c r="U5" s="1331">
        <v>2008</v>
      </c>
      <c r="V5" s="1331">
        <v>2009</v>
      </c>
      <c r="W5" s="1331">
        <v>2010</v>
      </c>
      <c r="X5" s="1331">
        <v>2011</v>
      </c>
      <c r="Y5" s="1331">
        <v>2012</v>
      </c>
      <c r="Z5" s="1332">
        <v>2013</v>
      </c>
      <c r="AA5" s="1341" t="s">
        <v>160</v>
      </c>
      <c r="AB5" s="916"/>
      <c r="AC5" s="916"/>
    </row>
    <row r="6" spans="1:29" ht="17.100000000000001" customHeight="1" x14ac:dyDescent="0.2">
      <c r="A6" s="7189" t="s">
        <v>3</v>
      </c>
      <c r="B6" s="1904" t="s">
        <v>5</v>
      </c>
      <c r="C6" s="1909">
        <v>11</v>
      </c>
      <c r="D6" s="1909">
        <v>26</v>
      </c>
      <c r="E6" s="1909">
        <v>24</v>
      </c>
      <c r="F6" s="1909">
        <v>30</v>
      </c>
      <c r="G6" s="1909">
        <v>33</v>
      </c>
      <c r="H6" s="1909">
        <v>35</v>
      </c>
      <c r="I6" s="1909">
        <v>43</v>
      </c>
      <c r="J6" s="1909">
        <v>55</v>
      </c>
      <c r="K6" s="1909">
        <v>49</v>
      </c>
      <c r="L6" s="1909">
        <v>43</v>
      </c>
      <c r="M6" s="1909">
        <v>52</v>
      </c>
      <c r="N6" s="1909">
        <v>71</v>
      </c>
      <c r="O6" s="1909">
        <v>79</v>
      </c>
      <c r="P6" s="1909">
        <v>66</v>
      </c>
      <c r="Q6" s="1909">
        <v>79</v>
      </c>
      <c r="R6" s="1909"/>
      <c r="S6" s="1909"/>
      <c r="T6" s="1909"/>
      <c r="U6" s="1909"/>
      <c r="V6" s="1909"/>
      <c r="W6" s="1909">
        <v>94</v>
      </c>
      <c r="X6" s="1909">
        <v>126</v>
      </c>
      <c r="Y6" s="1909">
        <v>131</v>
      </c>
      <c r="Z6" s="1334">
        <v>156</v>
      </c>
      <c r="AA6" s="1335">
        <f>SUM(C6:Z6)</f>
        <v>1203</v>
      </c>
    </row>
    <row r="7" spans="1:29" ht="17.100000000000001" customHeight="1" x14ac:dyDescent="0.2">
      <c r="A7" s="7190"/>
      <c r="B7" s="1905" t="s">
        <v>6</v>
      </c>
      <c r="C7" s="1334">
        <v>61</v>
      </c>
      <c r="D7" s="1334">
        <v>78</v>
      </c>
      <c r="E7" s="1334">
        <v>66</v>
      </c>
      <c r="F7" s="1334">
        <v>87</v>
      </c>
      <c r="G7" s="1334">
        <v>89</v>
      </c>
      <c r="H7" s="1334">
        <v>91</v>
      </c>
      <c r="I7" s="1334">
        <v>103</v>
      </c>
      <c r="J7" s="1334">
        <v>98</v>
      </c>
      <c r="K7" s="1334">
        <v>108</v>
      </c>
      <c r="L7" s="1334">
        <v>103</v>
      </c>
      <c r="M7" s="1334">
        <v>108</v>
      </c>
      <c r="N7" s="1334">
        <v>127</v>
      </c>
      <c r="O7" s="1334">
        <v>105</v>
      </c>
      <c r="P7" s="1334">
        <v>101</v>
      </c>
      <c r="Q7" s="1334">
        <v>123</v>
      </c>
      <c r="R7" s="1334"/>
      <c r="S7" s="1334"/>
      <c r="T7" s="1334"/>
      <c r="U7" s="1334"/>
      <c r="V7" s="1334"/>
      <c r="W7" s="1334">
        <v>113</v>
      </c>
      <c r="X7" s="1334">
        <v>124</v>
      </c>
      <c r="Y7" s="1334">
        <v>147</v>
      </c>
      <c r="Z7" s="1334">
        <v>129</v>
      </c>
      <c r="AA7" s="1335">
        <f>SUM(C7:Z7)</f>
        <v>1961</v>
      </c>
    </row>
    <row r="8" spans="1:29" ht="17.100000000000001" customHeight="1" x14ac:dyDescent="0.2">
      <c r="A8" s="7190"/>
      <c r="B8" s="1905" t="s">
        <v>7</v>
      </c>
      <c r="C8" s="1334">
        <v>29</v>
      </c>
      <c r="D8" s="1334">
        <v>50</v>
      </c>
      <c r="E8" s="1334">
        <v>36</v>
      </c>
      <c r="F8" s="1334">
        <v>44</v>
      </c>
      <c r="G8" s="1334">
        <v>54</v>
      </c>
      <c r="H8" s="1334">
        <v>57</v>
      </c>
      <c r="I8" s="1334">
        <v>55</v>
      </c>
      <c r="J8" s="1334">
        <v>72</v>
      </c>
      <c r="K8" s="1334">
        <v>55</v>
      </c>
      <c r="L8" s="1334">
        <v>41</v>
      </c>
      <c r="M8" s="1334">
        <v>67</v>
      </c>
      <c r="N8" s="1334">
        <v>62</v>
      </c>
      <c r="O8" s="1334">
        <v>57</v>
      </c>
      <c r="P8" s="1334">
        <v>65</v>
      </c>
      <c r="Q8" s="1334">
        <v>57</v>
      </c>
      <c r="R8" s="1334"/>
      <c r="S8" s="1334"/>
      <c r="T8" s="1334"/>
      <c r="U8" s="1334"/>
      <c r="V8" s="1334"/>
      <c r="W8" s="1334">
        <v>63</v>
      </c>
      <c r="X8" s="1334">
        <v>78</v>
      </c>
      <c r="Y8" s="1334">
        <v>84</v>
      </c>
      <c r="Z8" s="1334">
        <v>96</v>
      </c>
      <c r="AA8" s="1335">
        <f>SUM(C8:Z8)</f>
        <v>1122</v>
      </c>
    </row>
    <row r="9" spans="1:29" ht="17.100000000000001" customHeight="1" x14ac:dyDescent="0.2">
      <c r="A9" s="7191"/>
      <c r="B9" s="1906" t="s">
        <v>160</v>
      </c>
      <c r="C9" s="1336">
        <f>SUM(C6:C8)</f>
        <v>101</v>
      </c>
      <c r="D9" s="1336">
        <f t="shared" ref="D9:Z9" si="0">SUM(D6:D8)</f>
        <v>154</v>
      </c>
      <c r="E9" s="1336">
        <f t="shared" si="0"/>
        <v>126</v>
      </c>
      <c r="F9" s="1336">
        <f t="shared" si="0"/>
        <v>161</v>
      </c>
      <c r="G9" s="1336">
        <f t="shared" si="0"/>
        <v>176</v>
      </c>
      <c r="H9" s="1336">
        <f t="shared" si="0"/>
        <v>183</v>
      </c>
      <c r="I9" s="1336">
        <f t="shared" si="0"/>
        <v>201</v>
      </c>
      <c r="J9" s="1336">
        <f t="shared" si="0"/>
        <v>225</v>
      </c>
      <c r="K9" s="1336">
        <f t="shared" si="0"/>
        <v>212</v>
      </c>
      <c r="L9" s="1336">
        <f t="shared" si="0"/>
        <v>187</v>
      </c>
      <c r="M9" s="1336">
        <f t="shared" si="0"/>
        <v>227</v>
      </c>
      <c r="N9" s="1336">
        <f t="shared" si="0"/>
        <v>260</v>
      </c>
      <c r="O9" s="1336">
        <f t="shared" si="0"/>
        <v>241</v>
      </c>
      <c r="P9" s="1336">
        <f t="shared" si="0"/>
        <v>232</v>
      </c>
      <c r="Q9" s="1336">
        <f t="shared" si="0"/>
        <v>259</v>
      </c>
      <c r="R9" s="1336">
        <f t="shared" si="0"/>
        <v>0</v>
      </c>
      <c r="S9" s="1336">
        <f t="shared" si="0"/>
        <v>0</v>
      </c>
      <c r="T9" s="1336">
        <f t="shared" si="0"/>
        <v>0</v>
      </c>
      <c r="U9" s="1336">
        <f t="shared" si="0"/>
        <v>0</v>
      </c>
      <c r="V9" s="1336">
        <f t="shared" si="0"/>
        <v>0</v>
      </c>
      <c r="W9" s="1336">
        <f t="shared" si="0"/>
        <v>270</v>
      </c>
      <c r="X9" s="1336">
        <f t="shared" si="0"/>
        <v>328</v>
      </c>
      <c r="Y9" s="1336">
        <f t="shared" si="0"/>
        <v>362</v>
      </c>
      <c r="Z9" s="1336">
        <f t="shared" si="0"/>
        <v>381</v>
      </c>
      <c r="AA9" s="1340">
        <f>SUM(AA6:AA8)</f>
        <v>4286</v>
      </c>
    </row>
    <row r="10" spans="1:29" ht="17.100000000000001" customHeight="1" x14ac:dyDescent="0.2">
      <c r="A10" s="7192" t="s">
        <v>8</v>
      </c>
      <c r="B10" s="1904" t="s">
        <v>6</v>
      </c>
      <c r="C10" s="1909"/>
      <c r="D10" s="1909"/>
      <c r="E10" s="1909"/>
      <c r="F10" s="1909"/>
      <c r="G10" s="1909"/>
      <c r="H10" s="1909"/>
      <c r="I10" s="1909"/>
      <c r="J10" s="1909"/>
      <c r="K10" s="1909"/>
      <c r="L10" s="1909"/>
      <c r="M10" s="1909"/>
      <c r="N10" s="1909"/>
      <c r="O10" s="1909"/>
      <c r="P10" s="1909"/>
      <c r="Q10" s="1909"/>
      <c r="R10" s="1909"/>
      <c r="S10" s="1909"/>
      <c r="T10" s="1909"/>
      <c r="U10" s="1909"/>
      <c r="V10" s="1909"/>
      <c r="W10" s="1909">
        <v>27</v>
      </c>
      <c r="X10" s="1909">
        <v>31</v>
      </c>
      <c r="Y10" s="1909">
        <v>33</v>
      </c>
      <c r="Z10" s="1334">
        <v>36</v>
      </c>
      <c r="AA10" s="1335">
        <f>SUM(C10:Z10)</f>
        <v>127</v>
      </c>
    </row>
    <row r="11" spans="1:29" ht="17.100000000000001" customHeight="1" x14ac:dyDescent="0.2">
      <c r="A11" s="7193"/>
      <c r="B11" s="1905" t="s">
        <v>9</v>
      </c>
      <c r="C11" s="1334"/>
      <c r="D11" s="1334"/>
      <c r="E11" s="1334"/>
      <c r="F11" s="1334"/>
      <c r="G11" s="1334"/>
      <c r="H11" s="1334"/>
      <c r="I11" s="1334"/>
      <c r="J11" s="1334"/>
      <c r="K11" s="1334"/>
      <c r="L11" s="1334"/>
      <c r="M11" s="1334"/>
      <c r="N11" s="1334"/>
      <c r="O11" s="1334"/>
      <c r="P11" s="1334"/>
      <c r="Q11" s="1334"/>
      <c r="R11" s="1334"/>
      <c r="S11" s="1334"/>
      <c r="T11" s="1334"/>
      <c r="U11" s="1334"/>
      <c r="V11" s="1334"/>
      <c r="W11" s="1334">
        <v>11</v>
      </c>
      <c r="X11" s="1334">
        <v>26</v>
      </c>
      <c r="Y11" s="1334">
        <v>33</v>
      </c>
      <c r="Z11" s="1334">
        <v>43</v>
      </c>
      <c r="AA11" s="1335">
        <f>SUM(C11:Z11)</f>
        <v>113</v>
      </c>
    </row>
    <row r="12" spans="1:29" ht="17.100000000000001" customHeight="1" x14ac:dyDescent="0.2">
      <c r="A12" s="7193"/>
      <c r="B12" s="1905" t="s">
        <v>74</v>
      </c>
      <c r="C12" s="1334"/>
      <c r="D12" s="1334"/>
      <c r="E12" s="1334"/>
      <c r="F12" s="1334"/>
      <c r="G12" s="1334"/>
      <c r="H12" s="1334"/>
      <c r="I12" s="1334"/>
      <c r="J12" s="1334"/>
      <c r="K12" s="1334"/>
      <c r="L12" s="1334"/>
      <c r="M12" s="1334"/>
      <c r="N12" s="1334"/>
      <c r="O12" s="1334"/>
      <c r="P12" s="1334"/>
      <c r="Q12" s="1334"/>
      <c r="R12" s="1334"/>
      <c r="S12" s="1334"/>
      <c r="T12" s="1334"/>
      <c r="U12" s="1334"/>
      <c r="V12" s="1334"/>
      <c r="W12" s="1334">
        <v>17</v>
      </c>
      <c r="X12" s="1334">
        <v>17</v>
      </c>
      <c r="Y12" s="1334">
        <v>26</v>
      </c>
      <c r="Z12" s="1334">
        <v>24</v>
      </c>
      <c r="AA12" s="1335">
        <f>SUM(C12:Z12)</f>
        <v>84</v>
      </c>
    </row>
    <row r="13" spans="1:29" ht="17.100000000000001" customHeight="1" x14ac:dyDescent="0.2">
      <c r="A13" s="7194"/>
      <c r="B13" s="1906" t="s">
        <v>160</v>
      </c>
      <c r="C13" s="1336"/>
      <c r="D13" s="1336"/>
      <c r="E13" s="1336"/>
      <c r="F13" s="1336"/>
      <c r="G13" s="1336"/>
      <c r="H13" s="1336"/>
      <c r="I13" s="1336"/>
      <c r="J13" s="1336"/>
      <c r="K13" s="1336"/>
      <c r="L13" s="1336"/>
      <c r="M13" s="1336"/>
      <c r="N13" s="1336"/>
      <c r="O13" s="1336"/>
      <c r="P13" s="1336"/>
      <c r="Q13" s="1336"/>
      <c r="R13" s="1336">
        <f t="shared" ref="R13:AA13" si="1">SUM(R10:R12)</f>
        <v>0</v>
      </c>
      <c r="S13" s="1336">
        <f t="shared" si="1"/>
        <v>0</v>
      </c>
      <c r="T13" s="1336">
        <f t="shared" si="1"/>
        <v>0</v>
      </c>
      <c r="U13" s="1336">
        <f t="shared" si="1"/>
        <v>0</v>
      </c>
      <c r="V13" s="1336">
        <f t="shared" si="1"/>
        <v>0</v>
      </c>
      <c r="W13" s="1336">
        <f t="shared" si="1"/>
        <v>55</v>
      </c>
      <c r="X13" s="1336">
        <f t="shared" si="1"/>
        <v>74</v>
      </c>
      <c r="Y13" s="1336">
        <f t="shared" si="1"/>
        <v>92</v>
      </c>
      <c r="Z13" s="1336">
        <f t="shared" si="1"/>
        <v>103</v>
      </c>
      <c r="AA13" s="1340">
        <f t="shared" si="1"/>
        <v>324</v>
      </c>
    </row>
    <row r="14" spans="1:29" ht="17.100000000000001" customHeight="1" x14ac:dyDescent="0.2">
      <c r="A14" s="7195" t="s">
        <v>75</v>
      </c>
      <c r="B14" s="1904" t="s">
        <v>5</v>
      </c>
      <c r="C14" s="1909">
        <v>55</v>
      </c>
      <c r="D14" s="1909">
        <v>91</v>
      </c>
      <c r="E14" s="1909">
        <v>88</v>
      </c>
      <c r="F14" s="1909">
        <v>113</v>
      </c>
      <c r="G14" s="1909">
        <v>118</v>
      </c>
      <c r="H14" s="1909">
        <v>114</v>
      </c>
      <c r="I14" s="1909">
        <v>119</v>
      </c>
      <c r="J14" s="1909">
        <v>120</v>
      </c>
      <c r="K14" s="1909">
        <v>115</v>
      </c>
      <c r="L14" s="1909">
        <v>120</v>
      </c>
      <c r="M14" s="1909">
        <v>103</v>
      </c>
      <c r="N14" s="1909">
        <v>107</v>
      </c>
      <c r="O14" s="1909">
        <v>119</v>
      </c>
      <c r="P14" s="1909">
        <v>119</v>
      </c>
      <c r="Q14" s="1909">
        <v>118</v>
      </c>
      <c r="R14" s="1909"/>
      <c r="S14" s="1909"/>
      <c r="T14" s="1909"/>
      <c r="U14" s="1909"/>
      <c r="V14" s="1909"/>
      <c r="W14" s="1909">
        <v>127</v>
      </c>
      <c r="X14" s="1909">
        <v>136</v>
      </c>
      <c r="Y14" s="1909">
        <v>141</v>
      </c>
      <c r="Z14" s="1334">
        <v>151</v>
      </c>
      <c r="AA14" s="1335">
        <f>SUM(C14:Z14)</f>
        <v>2174</v>
      </c>
    </row>
    <row r="15" spans="1:29" ht="17.100000000000001" customHeight="1" x14ac:dyDescent="0.2">
      <c r="A15" s="7196" t="s">
        <v>75</v>
      </c>
      <c r="B15" s="1905" t="s">
        <v>6</v>
      </c>
      <c r="C15" s="1334">
        <v>63</v>
      </c>
      <c r="D15" s="1334">
        <v>101</v>
      </c>
      <c r="E15" s="1334">
        <v>122</v>
      </c>
      <c r="F15" s="1334">
        <v>107</v>
      </c>
      <c r="G15" s="1334">
        <v>111</v>
      </c>
      <c r="H15" s="1334">
        <v>115</v>
      </c>
      <c r="I15" s="1334">
        <v>116</v>
      </c>
      <c r="J15" s="1334">
        <v>119</v>
      </c>
      <c r="K15" s="1334">
        <v>127</v>
      </c>
      <c r="L15" s="1334">
        <v>116</v>
      </c>
      <c r="M15" s="1334">
        <v>140</v>
      </c>
      <c r="N15" s="1334">
        <v>136</v>
      </c>
      <c r="O15" s="1334">
        <v>137</v>
      </c>
      <c r="P15" s="1334">
        <v>140</v>
      </c>
      <c r="Q15" s="1334">
        <v>126</v>
      </c>
      <c r="R15" s="1334"/>
      <c r="S15" s="1334"/>
      <c r="T15" s="1334"/>
      <c r="U15" s="1334"/>
      <c r="V15" s="1334"/>
      <c r="W15" s="1334">
        <v>124</v>
      </c>
      <c r="X15" s="1334">
        <v>137</v>
      </c>
      <c r="Y15" s="1334">
        <v>151</v>
      </c>
      <c r="Z15" s="1334">
        <v>158</v>
      </c>
      <c r="AA15" s="1335">
        <f>SUM(C15:Z15)</f>
        <v>2346</v>
      </c>
    </row>
    <row r="16" spans="1:29" ht="17.100000000000001" customHeight="1" x14ac:dyDescent="0.2">
      <c r="A16" s="7196" t="s">
        <v>75</v>
      </c>
      <c r="B16" s="1905" t="s">
        <v>11</v>
      </c>
      <c r="C16" s="1334">
        <v>20</v>
      </c>
      <c r="D16" s="1334">
        <v>33</v>
      </c>
      <c r="E16" s="1334">
        <v>42</v>
      </c>
      <c r="F16" s="1334">
        <v>68</v>
      </c>
      <c r="G16" s="1334">
        <v>68</v>
      </c>
      <c r="H16" s="1334">
        <v>78</v>
      </c>
      <c r="I16" s="1334">
        <v>83</v>
      </c>
      <c r="J16" s="1334">
        <v>64</v>
      </c>
      <c r="K16" s="1334">
        <v>73</v>
      </c>
      <c r="L16" s="1334">
        <v>85</v>
      </c>
      <c r="M16" s="1334">
        <v>83</v>
      </c>
      <c r="N16" s="1334">
        <v>88</v>
      </c>
      <c r="O16" s="1334">
        <v>104</v>
      </c>
      <c r="P16" s="1334">
        <v>100</v>
      </c>
      <c r="Q16" s="1334">
        <v>110</v>
      </c>
      <c r="R16" s="1334"/>
      <c r="S16" s="1334"/>
      <c r="T16" s="1334"/>
      <c r="U16" s="1334"/>
      <c r="V16" s="1334"/>
      <c r="W16" s="1334">
        <v>130</v>
      </c>
      <c r="X16" s="1334">
        <v>129</v>
      </c>
      <c r="Y16" s="1334">
        <v>133</v>
      </c>
      <c r="Z16" s="1334">
        <v>156</v>
      </c>
      <c r="AA16" s="1335">
        <f>SUM(C16:Z16)</f>
        <v>1647</v>
      </c>
    </row>
    <row r="17" spans="1:27" ht="17.100000000000001" customHeight="1" x14ac:dyDescent="0.2">
      <c r="A17" s="7197"/>
      <c r="B17" s="1906" t="s">
        <v>160</v>
      </c>
      <c r="C17" s="1336">
        <f>SUM(C14:C16)</f>
        <v>138</v>
      </c>
      <c r="D17" s="1336">
        <f t="shared" ref="D17:Z17" si="2">SUM(D14:D16)</f>
        <v>225</v>
      </c>
      <c r="E17" s="1336">
        <f t="shared" si="2"/>
        <v>252</v>
      </c>
      <c r="F17" s="1336">
        <f t="shared" si="2"/>
        <v>288</v>
      </c>
      <c r="G17" s="1336">
        <f t="shared" si="2"/>
        <v>297</v>
      </c>
      <c r="H17" s="1336">
        <f t="shared" si="2"/>
        <v>307</v>
      </c>
      <c r="I17" s="1336">
        <f t="shared" si="2"/>
        <v>318</v>
      </c>
      <c r="J17" s="1336">
        <f t="shared" si="2"/>
        <v>303</v>
      </c>
      <c r="K17" s="1336">
        <f t="shared" si="2"/>
        <v>315</v>
      </c>
      <c r="L17" s="1336">
        <f t="shared" si="2"/>
        <v>321</v>
      </c>
      <c r="M17" s="1336">
        <f t="shared" si="2"/>
        <v>326</v>
      </c>
      <c r="N17" s="1336">
        <f t="shared" si="2"/>
        <v>331</v>
      </c>
      <c r="O17" s="1336">
        <f t="shared" si="2"/>
        <v>360</v>
      </c>
      <c r="P17" s="1336">
        <f t="shared" si="2"/>
        <v>359</v>
      </c>
      <c r="Q17" s="1336">
        <f t="shared" si="2"/>
        <v>354</v>
      </c>
      <c r="R17" s="1336">
        <f t="shared" si="2"/>
        <v>0</v>
      </c>
      <c r="S17" s="1336">
        <f t="shared" si="2"/>
        <v>0</v>
      </c>
      <c r="T17" s="1336">
        <f t="shared" si="2"/>
        <v>0</v>
      </c>
      <c r="U17" s="1336">
        <f t="shared" si="2"/>
        <v>0</v>
      </c>
      <c r="V17" s="1336">
        <f t="shared" si="2"/>
        <v>0</v>
      </c>
      <c r="W17" s="1336">
        <f t="shared" si="2"/>
        <v>381</v>
      </c>
      <c r="X17" s="1336">
        <f t="shared" si="2"/>
        <v>402</v>
      </c>
      <c r="Y17" s="1336">
        <f t="shared" si="2"/>
        <v>425</v>
      </c>
      <c r="Z17" s="1336">
        <f t="shared" si="2"/>
        <v>465</v>
      </c>
      <c r="AA17" s="1340">
        <f>SUM(AA14:AA16)</f>
        <v>6167</v>
      </c>
    </row>
    <row r="18" spans="1:27" ht="17.100000000000001" customHeight="1" x14ac:dyDescent="0.2">
      <c r="A18" s="7200" t="s">
        <v>325</v>
      </c>
      <c r="B18" s="1904" t="s">
        <v>5</v>
      </c>
      <c r="C18" s="1909"/>
      <c r="D18" s="1909"/>
      <c r="E18" s="1909"/>
      <c r="F18" s="1909"/>
      <c r="G18" s="1909"/>
      <c r="H18" s="1909"/>
      <c r="I18" s="1909"/>
      <c r="J18" s="1909"/>
      <c r="K18" s="1909"/>
      <c r="L18" s="1909"/>
      <c r="M18" s="1909"/>
      <c r="N18" s="1909"/>
      <c r="O18" s="1909"/>
      <c r="P18" s="1909"/>
      <c r="Q18" s="1909"/>
      <c r="R18" s="1909"/>
      <c r="S18" s="1909"/>
      <c r="T18" s="1909"/>
      <c r="U18" s="1909"/>
      <c r="V18" s="1909"/>
      <c r="W18" s="1909"/>
      <c r="X18" s="1909"/>
      <c r="Y18" s="1909"/>
      <c r="Z18" s="1909">
        <v>2</v>
      </c>
      <c r="AA18" s="1333">
        <f>SUM(Z18)</f>
        <v>2</v>
      </c>
    </row>
    <row r="19" spans="1:27" ht="17.100000000000001" customHeight="1" x14ac:dyDescent="0.2">
      <c r="A19" s="7201" t="s">
        <v>75</v>
      </c>
      <c r="B19" s="1905" t="s">
        <v>6</v>
      </c>
      <c r="C19" s="1334"/>
      <c r="D19" s="1334"/>
      <c r="E19" s="1334"/>
      <c r="F19" s="1334"/>
      <c r="G19" s="1334"/>
      <c r="H19" s="1334"/>
      <c r="I19" s="1334"/>
      <c r="J19" s="1334"/>
      <c r="K19" s="1334"/>
      <c r="L19" s="1334"/>
      <c r="M19" s="1334"/>
      <c r="N19" s="1334"/>
      <c r="O19" s="1334"/>
      <c r="P19" s="1334"/>
      <c r="Q19" s="1334"/>
      <c r="R19" s="1334"/>
      <c r="S19" s="1334"/>
      <c r="T19" s="1334"/>
      <c r="U19" s="1334"/>
      <c r="V19" s="1334"/>
      <c r="W19" s="1334"/>
      <c r="X19" s="1334"/>
      <c r="Y19" s="1334"/>
      <c r="Z19" s="1334"/>
      <c r="AA19" s="1335">
        <f>SUM(Z19)</f>
        <v>0</v>
      </c>
    </row>
    <row r="20" spans="1:27" ht="17.100000000000001" customHeight="1" x14ac:dyDescent="0.2">
      <c r="A20" s="7201" t="s">
        <v>75</v>
      </c>
      <c r="B20" s="1905" t="s">
        <v>11</v>
      </c>
      <c r="C20" s="1334"/>
      <c r="D20" s="1334"/>
      <c r="E20" s="1334"/>
      <c r="F20" s="1334"/>
      <c r="G20" s="1334"/>
      <c r="H20" s="1334"/>
      <c r="I20" s="1334"/>
      <c r="J20" s="1334"/>
      <c r="K20" s="1334"/>
      <c r="L20" s="1334"/>
      <c r="M20" s="1334"/>
      <c r="N20" s="1334"/>
      <c r="O20" s="1334"/>
      <c r="P20" s="1334"/>
      <c r="Q20" s="1334"/>
      <c r="R20" s="1334"/>
      <c r="S20" s="1334"/>
      <c r="T20" s="1334"/>
      <c r="U20" s="1334"/>
      <c r="V20" s="1334"/>
      <c r="W20" s="1334"/>
      <c r="X20" s="1334"/>
      <c r="Y20" s="1334"/>
      <c r="Z20" s="1334"/>
      <c r="AA20" s="1335">
        <f>SUM(Z20)</f>
        <v>0</v>
      </c>
    </row>
    <row r="21" spans="1:27" ht="17.100000000000001" customHeight="1" x14ac:dyDescent="0.2">
      <c r="A21" s="7202"/>
      <c r="B21" s="1906" t="s">
        <v>160</v>
      </c>
      <c r="C21" s="1336"/>
      <c r="D21" s="1336"/>
      <c r="E21" s="1336"/>
      <c r="F21" s="1336"/>
      <c r="G21" s="1336"/>
      <c r="H21" s="1336"/>
      <c r="I21" s="1336"/>
      <c r="J21" s="1336"/>
      <c r="K21" s="1336"/>
      <c r="L21" s="1336"/>
      <c r="M21" s="1336"/>
      <c r="N21" s="1336"/>
      <c r="O21" s="1336"/>
      <c r="P21" s="1336"/>
      <c r="Q21" s="1336"/>
      <c r="R21" s="1336"/>
      <c r="S21" s="1336"/>
      <c r="T21" s="1336"/>
      <c r="U21" s="1336"/>
      <c r="V21" s="1336"/>
      <c r="W21" s="1336"/>
      <c r="X21" s="1336"/>
      <c r="Y21" s="1336"/>
      <c r="Z21" s="1336">
        <f>SUM(Z18:Z20)</f>
        <v>2</v>
      </c>
      <c r="AA21" s="1340">
        <f>SUM(AA18:AA20)</f>
        <v>2</v>
      </c>
    </row>
    <row r="22" spans="1:27" ht="17.100000000000001" customHeight="1" x14ac:dyDescent="0.2">
      <c r="A22" s="7203" t="s">
        <v>10</v>
      </c>
      <c r="B22" s="1904" t="s">
        <v>6</v>
      </c>
      <c r="C22" s="1909">
        <v>44</v>
      </c>
      <c r="D22" s="1909">
        <v>83</v>
      </c>
      <c r="E22" s="1909">
        <v>85</v>
      </c>
      <c r="F22" s="1909">
        <v>79</v>
      </c>
      <c r="G22" s="1909">
        <v>80</v>
      </c>
      <c r="H22" s="1909">
        <v>101</v>
      </c>
      <c r="I22" s="1909">
        <v>98</v>
      </c>
      <c r="J22" s="1909">
        <v>111</v>
      </c>
      <c r="K22" s="1909">
        <v>121</v>
      </c>
      <c r="L22" s="1909">
        <v>130</v>
      </c>
      <c r="M22" s="1909">
        <v>106</v>
      </c>
      <c r="N22" s="1909">
        <v>124</v>
      </c>
      <c r="O22" s="1909">
        <v>138</v>
      </c>
      <c r="P22" s="1909">
        <v>116</v>
      </c>
      <c r="Q22" s="1909">
        <v>146</v>
      </c>
      <c r="R22" s="1909"/>
      <c r="S22" s="1909"/>
      <c r="T22" s="1909"/>
      <c r="U22" s="1909"/>
      <c r="V22" s="1909"/>
      <c r="W22" s="1909">
        <v>140</v>
      </c>
      <c r="X22" s="1909">
        <v>185</v>
      </c>
      <c r="Y22" s="1909">
        <v>171</v>
      </c>
      <c r="Z22" s="1334">
        <v>189</v>
      </c>
      <c r="AA22" s="1335">
        <f>SUM(C22:Z22)</f>
        <v>2247</v>
      </c>
    </row>
    <row r="23" spans="1:27" ht="17.100000000000001" customHeight="1" x14ac:dyDescent="0.2">
      <c r="A23" s="7204" t="s">
        <v>10</v>
      </c>
      <c r="B23" s="1905" t="s">
        <v>11</v>
      </c>
      <c r="C23" s="1334">
        <v>19</v>
      </c>
      <c r="D23" s="1334">
        <v>25</v>
      </c>
      <c r="E23" s="1334">
        <v>30</v>
      </c>
      <c r="F23" s="1334">
        <v>60</v>
      </c>
      <c r="G23" s="1334">
        <v>92</v>
      </c>
      <c r="H23" s="1334">
        <v>86</v>
      </c>
      <c r="I23" s="1334">
        <v>101</v>
      </c>
      <c r="J23" s="1334">
        <v>102</v>
      </c>
      <c r="K23" s="1334">
        <v>107</v>
      </c>
      <c r="L23" s="1334">
        <v>104</v>
      </c>
      <c r="M23" s="1334">
        <v>118</v>
      </c>
      <c r="N23" s="1334">
        <v>120</v>
      </c>
      <c r="O23" s="1334">
        <v>120</v>
      </c>
      <c r="P23" s="1334">
        <v>135</v>
      </c>
      <c r="Q23" s="1334">
        <v>127</v>
      </c>
      <c r="R23" s="1334"/>
      <c r="S23" s="1334"/>
      <c r="T23" s="1334"/>
      <c r="U23" s="1334"/>
      <c r="V23" s="1334"/>
      <c r="W23" s="1334">
        <v>175</v>
      </c>
      <c r="X23" s="1334">
        <v>164</v>
      </c>
      <c r="Y23" s="1334">
        <v>185</v>
      </c>
      <c r="Z23" s="1334">
        <v>181</v>
      </c>
      <c r="AA23" s="1335">
        <f>SUM(C23:Z23)</f>
        <v>2051</v>
      </c>
    </row>
    <row r="24" spans="1:27" ht="17.100000000000001" customHeight="1" x14ac:dyDescent="0.2">
      <c r="A24" s="7204" t="s">
        <v>10</v>
      </c>
      <c r="B24" s="1905" t="s">
        <v>7</v>
      </c>
      <c r="C24" s="1334">
        <v>13</v>
      </c>
      <c r="D24" s="1334">
        <v>30</v>
      </c>
      <c r="E24" s="1334">
        <v>37</v>
      </c>
      <c r="F24" s="1334">
        <v>46</v>
      </c>
      <c r="G24" s="1334">
        <v>48</v>
      </c>
      <c r="H24" s="1334">
        <v>74</v>
      </c>
      <c r="I24" s="1334">
        <v>55</v>
      </c>
      <c r="J24" s="1334">
        <v>54</v>
      </c>
      <c r="K24" s="1334">
        <v>50</v>
      </c>
      <c r="L24" s="1334">
        <v>38</v>
      </c>
      <c r="M24" s="1334">
        <v>44</v>
      </c>
      <c r="N24" s="1334">
        <v>41</v>
      </c>
      <c r="O24" s="1334">
        <v>39</v>
      </c>
      <c r="P24" s="1334">
        <v>46</v>
      </c>
      <c r="Q24" s="1334">
        <v>38</v>
      </c>
      <c r="R24" s="1334"/>
      <c r="S24" s="1334"/>
      <c r="T24" s="1334"/>
      <c r="U24" s="1334"/>
      <c r="V24" s="1334"/>
      <c r="W24" s="1334">
        <v>45</v>
      </c>
      <c r="X24" s="1334">
        <v>64</v>
      </c>
      <c r="Y24" s="1334">
        <v>53</v>
      </c>
      <c r="Z24" s="1334">
        <v>62</v>
      </c>
      <c r="AA24" s="1335">
        <f>SUM(C24:Z24)</f>
        <v>877</v>
      </c>
    </row>
    <row r="25" spans="1:27" ht="17.100000000000001" customHeight="1" x14ac:dyDescent="0.2">
      <c r="A25" s="7205" t="s">
        <v>10</v>
      </c>
      <c r="B25" s="1906" t="s">
        <v>160</v>
      </c>
      <c r="C25" s="1336">
        <f t="shared" ref="C25:Z25" si="3">SUM(C22:C24)</f>
        <v>76</v>
      </c>
      <c r="D25" s="1336">
        <f t="shared" si="3"/>
        <v>138</v>
      </c>
      <c r="E25" s="1336">
        <f t="shared" si="3"/>
        <v>152</v>
      </c>
      <c r="F25" s="1336">
        <f t="shared" si="3"/>
        <v>185</v>
      </c>
      <c r="G25" s="1336">
        <f t="shared" si="3"/>
        <v>220</v>
      </c>
      <c r="H25" s="1336">
        <f t="shared" si="3"/>
        <v>261</v>
      </c>
      <c r="I25" s="1336">
        <f t="shared" si="3"/>
        <v>254</v>
      </c>
      <c r="J25" s="1336">
        <f t="shared" si="3"/>
        <v>267</v>
      </c>
      <c r="K25" s="1336">
        <f t="shared" si="3"/>
        <v>278</v>
      </c>
      <c r="L25" s="1336">
        <f t="shared" si="3"/>
        <v>272</v>
      </c>
      <c r="M25" s="1336">
        <f t="shared" si="3"/>
        <v>268</v>
      </c>
      <c r="N25" s="1336">
        <f t="shared" si="3"/>
        <v>285</v>
      </c>
      <c r="O25" s="1336">
        <f t="shared" si="3"/>
        <v>297</v>
      </c>
      <c r="P25" s="1336">
        <f t="shared" si="3"/>
        <v>297</v>
      </c>
      <c r="Q25" s="1336">
        <f t="shared" si="3"/>
        <v>311</v>
      </c>
      <c r="R25" s="1336">
        <f t="shared" si="3"/>
        <v>0</v>
      </c>
      <c r="S25" s="1336">
        <f t="shared" si="3"/>
        <v>0</v>
      </c>
      <c r="T25" s="1336">
        <f t="shared" si="3"/>
        <v>0</v>
      </c>
      <c r="U25" s="1336">
        <f t="shared" si="3"/>
        <v>0</v>
      </c>
      <c r="V25" s="1336">
        <f t="shared" si="3"/>
        <v>0</v>
      </c>
      <c r="W25" s="1336">
        <f t="shared" si="3"/>
        <v>360</v>
      </c>
      <c r="X25" s="1336">
        <f t="shared" si="3"/>
        <v>413</v>
      </c>
      <c r="Y25" s="1336">
        <f t="shared" si="3"/>
        <v>409</v>
      </c>
      <c r="Z25" s="1336">
        <f t="shared" si="3"/>
        <v>432</v>
      </c>
      <c r="AA25" s="1340">
        <f>SUM(AA22:AA24)</f>
        <v>5175</v>
      </c>
    </row>
    <row r="26" spans="1:27" s="985" customFormat="1" ht="17.100000000000001" customHeight="1" x14ac:dyDescent="0.2">
      <c r="A26" s="7198" t="s">
        <v>573</v>
      </c>
      <c r="B26" s="7206"/>
      <c r="C26" s="1337">
        <f t="shared" ref="C26:P26" si="4">SUM(C9,C13,C17,C25)</f>
        <v>315</v>
      </c>
      <c r="D26" s="1337">
        <f t="shared" si="4"/>
        <v>517</v>
      </c>
      <c r="E26" s="1337">
        <f t="shared" si="4"/>
        <v>530</v>
      </c>
      <c r="F26" s="1337">
        <f t="shared" si="4"/>
        <v>634</v>
      </c>
      <c r="G26" s="1337">
        <f t="shared" si="4"/>
        <v>693</v>
      </c>
      <c r="H26" s="1337">
        <f t="shared" si="4"/>
        <v>751</v>
      </c>
      <c r="I26" s="1337">
        <f t="shared" si="4"/>
        <v>773</v>
      </c>
      <c r="J26" s="1337">
        <f t="shared" si="4"/>
        <v>795</v>
      </c>
      <c r="K26" s="1337">
        <f t="shared" si="4"/>
        <v>805</v>
      </c>
      <c r="L26" s="1337">
        <f t="shared" si="4"/>
        <v>780</v>
      </c>
      <c r="M26" s="1337">
        <f t="shared" si="4"/>
        <v>821</v>
      </c>
      <c r="N26" s="1337">
        <f t="shared" si="4"/>
        <v>876</v>
      </c>
      <c r="O26" s="1337">
        <f t="shared" si="4"/>
        <v>898</v>
      </c>
      <c r="P26" s="1337">
        <f t="shared" si="4"/>
        <v>888</v>
      </c>
      <c r="Q26" s="1337">
        <f>SUM(Q9,Q13,Q17,Q25)</f>
        <v>924</v>
      </c>
      <c r="R26" s="1337">
        <f t="shared" ref="R26:Y26" si="5">SUM(R9,R13,R17,R25)</f>
        <v>0</v>
      </c>
      <c r="S26" s="1337">
        <f t="shared" si="5"/>
        <v>0</v>
      </c>
      <c r="T26" s="1337">
        <f t="shared" si="5"/>
        <v>0</v>
      </c>
      <c r="U26" s="1337">
        <f t="shared" si="5"/>
        <v>0</v>
      </c>
      <c r="V26" s="1337">
        <f t="shared" si="5"/>
        <v>0</v>
      </c>
      <c r="W26" s="1337">
        <f t="shared" si="5"/>
        <v>1066</v>
      </c>
      <c r="X26" s="1337">
        <f t="shared" si="5"/>
        <v>1217</v>
      </c>
      <c r="Y26" s="1337">
        <f t="shared" si="5"/>
        <v>1288</v>
      </c>
      <c r="Z26" s="1337">
        <f>SUM(Z9,Z13,Z17,Z21,Z25)</f>
        <v>1383</v>
      </c>
      <c r="AA26" s="1338">
        <f>SUM(AA9+AA17+AA25)</f>
        <v>15628</v>
      </c>
    </row>
    <row r="27" spans="1:27" ht="17.100000000000001" customHeight="1" x14ac:dyDescent="0.2">
      <c r="A27" s="1339"/>
      <c r="B27" s="1339"/>
      <c r="C27" s="1339"/>
      <c r="D27" s="1339"/>
      <c r="E27" s="1339"/>
      <c r="F27" s="1339"/>
      <c r="G27" s="1339"/>
      <c r="H27" s="1339"/>
      <c r="I27" s="1339"/>
      <c r="J27" s="1339"/>
      <c r="K27" s="1339"/>
      <c r="L27" s="1339"/>
      <c r="M27" s="1339"/>
      <c r="N27" s="1339"/>
      <c r="O27" s="1339"/>
      <c r="P27" s="1339"/>
      <c r="Q27" s="1339"/>
      <c r="R27" s="1339"/>
      <c r="S27" s="1339"/>
      <c r="T27" s="1339"/>
      <c r="U27" s="1339"/>
      <c r="V27" s="1339"/>
      <c r="W27" s="1339"/>
      <c r="X27" s="1339"/>
      <c r="Y27" s="1339"/>
      <c r="Z27" s="1339"/>
      <c r="AA27" s="1339"/>
    </row>
    <row r="28" spans="1:27" ht="17.100000000000001" customHeight="1" x14ac:dyDescent="0.2">
      <c r="A28" s="7185" t="s">
        <v>16</v>
      </c>
      <c r="B28" s="7187" t="s">
        <v>354</v>
      </c>
      <c r="C28" s="7181" t="s">
        <v>575</v>
      </c>
      <c r="D28" s="7182"/>
      <c r="E28" s="7182"/>
      <c r="F28" s="7182"/>
      <c r="G28" s="7182"/>
      <c r="H28" s="7182"/>
      <c r="I28" s="7182"/>
      <c r="J28" s="7182"/>
      <c r="K28" s="7182"/>
      <c r="L28" s="7182"/>
      <c r="M28" s="7182"/>
      <c r="N28" s="7182"/>
      <c r="O28" s="7182"/>
      <c r="P28" s="7182"/>
      <c r="Q28" s="7182"/>
      <c r="R28" s="7182"/>
      <c r="S28" s="7182"/>
      <c r="T28" s="7182"/>
      <c r="U28" s="7182"/>
      <c r="V28" s="7182"/>
      <c r="W28" s="7182"/>
      <c r="X28" s="7182"/>
      <c r="Y28" s="7182"/>
      <c r="Z28" s="7183"/>
      <c r="AA28" s="7184"/>
    </row>
    <row r="29" spans="1:27" ht="17.100000000000001" customHeight="1" x14ac:dyDescent="0.2">
      <c r="A29" s="7186"/>
      <c r="B29" s="7207"/>
      <c r="C29" s="1330">
        <v>1990</v>
      </c>
      <c r="D29" s="1331">
        <v>1991</v>
      </c>
      <c r="E29" s="1331">
        <v>1992</v>
      </c>
      <c r="F29" s="1331">
        <v>1993</v>
      </c>
      <c r="G29" s="1331">
        <v>1994</v>
      </c>
      <c r="H29" s="1331">
        <v>1995</v>
      </c>
      <c r="I29" s="1331">
        <v>1996</v>
      </c>
      <c r="J29" s="1331">
        <v>1997</v>
      </c>
      <c r="K29" s="1331">
        <v>1998</v>
      </c>
      <c r="L29" s="1331">
        <v>1999</v>
      </c>
      <c r="M29" s="1331">
        <v>2000</v>
      </c>
      <c r="N29" s="1331">
        <v>2001</v>
      </c>
      <c r="O29" s="1331">
        <v>2002</v>
      </c>
      <c r="P29" s="1331">
        <v>2003</v>
      </c>
      <c r="Q29" s="1331">
        <v>2004</v>
      </c>
      <c r="R29" s="1331">
        <v>2005</v>
      </c>
      <c r="S29" s="1331">
        <v>2006</v>
      </c>
      <c r="T29" s="1331">
        <v>2007</v>
      </c>
      <c r="U29" s="1331">
        <v>2008</v>
      </c>
      <c r="V29" s="1331">
        <v>2009</v>
      </c>
      <c r="W29" s="1331">
        <v>2010</v>
      </c>
      <c r="X29" s="1331">
        <v>2011</v>
      </c>
      <c r="Y29" s="1331">
        <v>2012</v>
      </c>
      <c r="Z29" s="1332">
        <v>2013</v>
      </c>
      <c r="AA29" s="1341" t="s">
        <v>160</v>
      </c>
    </row>
    <row r="30" spans="1:27" ht="17.100000000000001" customHeight="1" x14ac:dyDescent="0.2">
      <c r="A30" s="7189" t="s">
        <v>3</v>
      </c>
      <c r="B30" s="1904" t="s">
        <v>5</v>
      </c>
      <c r="C30" s="1909">
        <v>33</v>
      </c>
      <c r="D30" s="1909">
        <v>58</v>
      </c>
      <c r="E30" s="1909">
        <v>60</v>
      </c>
      <c r="F30" s="1909">
        <v>73</v>
      </c>
      <c r="G30" s="1909">
        <v>85</v>
      </c>
      <c r="H30" s="1909">
        <v>98</v>
      </c>
      <c r="I30" s="1909">
        <v>124</v>
      </c>
      <c r="J30" s="1909">
        <v>136</v>
      </c>
      <c r="K30" s="1909">
        <v>140</v>
      </c>
      <c r="L30" s="1909">
        <v>140</v>
      </c>
      <c r="M30" s="1909">
        <v>148</v>
      </c>
      <c r="N30" s="1909">
        <v>149</v>
      </c>
      <c r="O30" s="1909">
        <v>157</v>
      </c>
      <c r="P30" s="1909">
        <v>167</v>
      </c>
      <c r="Q30" s="1909">
        <v>168</v>
      </c>
      <c r="R30" s="1909"/>
      <c r="S30" s="1909"/>
      <c r="T30" s="1909"/>
      <c r="U30" s="1909"/>
      <c r="V30" s="1909"/>
      <c r="W30" s="1909">
        <v>181</v>
      </c>
      <c r="X30" s="1909">
        <v>196</v>
      </c>
      <c r="Y30" s="1909">
        <v>203</v>
      </c>
      <c r="Z30" s="1334">
        <v>219</v>
      </c>
      <c r="AA30" s="1333">
        <f>SUM(C30:Z30)</f>
        <v>2535</v>
      </c>
    </row>
    <row r="31" spans="1:27" ht="17.100000000000001" customHeight="1" x14ac:dyDescent="0.2">
      <c r="A31" s="7190"/>
      <c r="B31" s="1905" t="s">
        <v>6</v>
      </c>
      <c r="C31" s="1334">
        <v>92</v>
      </c>
      <c r="D31" s="1334">
        <v>125</v>
      </c>
      <c r="E31" s="1334">
        <v>113</v>
      </c>
      <c r="F31" s="1334">
        <v>118</v>
      </c>
      <c r="G31" s="1334">
        <v>136</v>
      </c>
      <c r="H31" s="1334">
        <v>156</v>
      </c>
      <c r="I31" s="1334">
        <v>170</v>
      </c>
      <c r="J31" s="1334">
        <v>178</v>
      </c>
      <c r="K31" s="1334">
        <v>181</v>
      </c>
      <c r="L31" s="1334">
        <v>186</v>
      </c>
      <c r="M31" s="1334">
        <v>189</v>
      </c>
      <c r="N31" s="1334">
        <v>200</v>
      </c>
      <c r="O31" s="1334">
        <v>207</v>
      </c>
      <c r="P31" s="1334">
        <v>202</v>
      </c>
      <c r="Q31" s="1334">
        <v>220</v>
      </c>
      <c r="R31" s="1334"/>
      <c r="S31" s="1334"/>
      <c r="T31" s="1334"/>
      <c r="U31" s="1334"/>
      <c r="V31" s="1334"/>
      <c r="W31" s="1334">
        <v>211</v>
      </c>
      <c r="X31" s="1334">
        <v>214</v>
      </c>
      <c r="Y31" s="1334">
        <v>229</v>
      </c>
      <c r="Z31" s="1334">
        <v>231</v>
      </c>
      <c r="AA31" s="1335">
        <f>SUM(C31:Z31)</f>
        <v>3358</v>
      </c>
    </row>
    <row r="32" spans="1:27" ht="17.100000000000001" customHeight="1" x14ac:dyDescent="0.2">
      <c r="A32" s="7190"/>
      <c r="B32" s="1905" t="s">
        <v>7</v>
      </c>
      <c r="C32" s="1334">
        <v>48</v>
      </c>
      <c r="D32" s="1334">
        <v>61</v>
      </c>
      <c r="E32" s="1334">
        <v>54</v>
      </c>
      <c r="F32" s="1334">
        <v>68</v>
      </c>
      <c r="G32" s="1334">
        <v>84</v>
      </c>
      <c r="H32" s="1334">
        <v>98</v>
      </c>
      <c r="I32" s="1334">
        <v>105</v>
      </c>
      <c r="J32" s="1334">
        <v>110</v>
      </c>
      <c r="K32" s="1334">
        <v>122</v>
      </c>
      <c r="L32" s="1334">
        <v>123</v>
      </c>
      <c r="M32" s="1334">
        <v>131</v>
      </c>
      <c r="N32" s="1334">
        <v>127</v>
      </c>
      <c r="O32" s="1334">
        <v>128</v>
      </c>
      <c r="P32" s="1334">
        <v>137</v>
      </c>
      <c r="Q32" s="1334">
        <v>142</v>
      </c>
      <c r="R32" s="1334"/>
      <c r="S32" s="1334"/>
      <c r="T32" s="1334"/>
      <c r="U32" s="1334"/>
      <c r="V32" s="1334"/>
      <c r="W32" s="1334">
        <v>150</v>
      </c>
      <c r="X32" s="1334">
        <v>157</v>
      </c>
      <c r="Y32" s="1334">
        <v>161</v>
      </c>
      <c r="Z32" s="1334">
        <v>166</v>
      </c>
      <c r="AA32" s="1335">
        <f>SUM(C32:Z32)</f>
        <v>2172</v>
      </c>
    </row>
    <row r="33" spans="1:27" ht="17.100000000000001" customHeight="1" x14ac:dyDescent="0.2">
      <c r="A33" s="7191"/>
      <c r="B33" s="1906" t="s">
        <v>160</v>
      </c>
      <c r="C33" s="1336">
        <f>SUM(C30:C32)</f>
        <v>173</v>
      </c>
      <c r="D33" s="1336">
        <f t="shared" ref="D33:Z33" si="6">SUM(D30:D32)</f>
        <v>244</v>
      </c>
      <c r="E33" s="1336">
        <f t="shared" si="6"/>
        <v>227</v>
      </c>
      <c r="F33" s="1336">
        <f t="shared" si="6"/>
        <v>259</v>
      </c>
      <c r="G33" s="1336">
        <f t="shared" si="6"/>
        <v>305</v>
      </c>
      <c r="H33" s="1336">
        <f t="shared" si="6"/>
        <v>352</v>
      </c>
      <c r="I33" s="1336">
        <f t="shared" si="6"/>
        <v>399</v>
      </c>
      <c r="J33" s="1336">
        <f t="shared" si="6"/>
        <v>424</v>
      </c>
      <c r="K33" s="1336">
        <f t="shared" si="6"/>
        <v>443</v>
      </c>
      <c r="L33" s="1336">
        <f t="shared" si="6"/>
        <v>449</v>
      </c>
      <c r="M33" s="1336">
        <f t="shared" si="6"/>
        <v>468</v>
      </c>
      <c r="N33" s="1336">
        <f t="shared" si="6"/>
        <v>476</v>
      </c>
      <c r="O33" s="1336">
        <f t="shared" si="6"/>
        <v>492</v>
      </c>
      <c r="P33" s="1336">
        <f t="shared" si="6"/>
        <v>506</v>
      </c>
      <c r="Q33" s="1336">
        <f t="shared" si="6"/>
        <v>530</v>
      </c>
      <c r="R33" s="1336">
        <f t="shared" si="6"/>
        <v>0</v>
      </c>
      <c r="S33" s="1336">
        <f t="shared" si="6"/>
        <v>0</v>
      </c>
      <c r="T33" s="1336">
        <f t="shared" si="6"/>
        <v>0</v>
      </c>
      <c r="U33" s="1336">
        <f t="shared" si="6"/>
        <v>0</v>
      </c>
      <c r="V33" s="1336">
        <f t="shared" si="6"/>
        <v>0</v>
      </c>
      <c r="W33" s="1336">
        <f t="shared" si="6"/>
        <v>542</v>
      </c>
      <c r="X33" s="1336">
        <f t="shared" si="6"/>
        <v>567</v>
      </c>
      <c r="Y33" s="1336">
        <f t="shared" si="6"/>
        <v>593</v>
      </c>
      <c r="Z33" s="1336">
        <f t="shared" si="6"/>
        <v>616</v>
      </c>
      <c r="AA33" s="1340">
        <f>SUM(AA30:AA32)</f>
        <v>8065</v>
      </c>
    </row>
    <row r="34" spans="1:27" ht="17.100000000000001" customHeight="1" x14ac:dyDescent="0.2">
      <c r="A34" s="7192" t="s">
        <v>8</v>
      </c>
      <c r="B34" s="1904" t="s">
        <v>6</v>
      </c>
      <c r="C34" s="1909"/>
      <c r="D34" s="1909"/>
      <c r="E34" s="1909"/>
      <c r="F34" s="1909"/>
      <c r="G34" s="1909"/>
      <c r="H34" s="1909"/>
      <c r="I34" s="1909"/>
      <c r="J34" s="1909"/>
      <c r="K34" s="1909"/>
      <c r="L34" s="1909"/>
      <c r="M34" s="1909"/>
      <c r="N34" s="1909"/>
      <c r="O34" s="1909"/>
      <c r="P34" s="1909"/>
      <c r="Q34" s="1909"/>
      <c r="R34" s="1909"/>
      <c r="S34" s="1909"/>
      <c r="T34" s="1909"/>
      <c r="U34" s="1909"/>
      <c r="V34" s="1909"/>
      <c r="W34" s="1909">
        <v>36</v>
      </c>
      <c r="X34" s="1909">
        <v>39</v>
      </c>
      <c r="Y34" s="1909">
        <v>39</v>
      </c>
      <c r="Z34" s="1909">
        <v>45</v>
      </c>
      <c r="AA34" s="1333">
        <f>SUM(C34:Z34)</f>
        <v>159</v>
      </c>
    </row>
    <row r="35" spans="1:27" ht="17.100000000000001" customHeight="1" x14ac:dyDescent="0.2">
      <c r="A35" s="7193"/>
      <c r="B35" s="1905" t="s">
        <v>9</v>
      </c>
      <c r="C35" s="1334"/>
      <c r="D35" s="1334"/>
      <c r="E35" s="1334"/>
      <c r="F35" s="1334"/>
      <c r="G35" s="1334"/>
      <c r="H35" s="1334"/>
      <c r="I35" s="1334"/>
      <c r="J35" s="1334"/>
      <c r="K35" s="1334"/>
      <c r="L35" s="1334"/>
      <c r="M35" s="1334"/>
      <c r="N35" s="1334"/>
      <c r="O35" s="1334"/>
      <c r="P35" s="1334"/>
      <c r="Q35" s="1334"/>
      <c r="R35" s="1334"/>
      <c r="S35" s="1334"/>
      <c r="T35" s="1334"/>
      <c r="U35" s="1334"/>
      <c r="V35" s="1334"/>
      <c r="W35" s="1334">
        <v>36</v>
      </c>
      <c r="X35" s="1334">
        <v>38</v>
      </c>
      <c r="Y35" s="1334">
        <v>51</v>
      </c>
      <c r="Z35" s="1334">
        <v>54</v>
      </c>
      <c r="AA35" s="1335">
        <f>SUM(C35:Z35)</f>
        <v>179</v>
      </c>
    </row>
    <row r="36" spans="1:27" ht="17.100000000000001" customHeight="1" x14ac:dyDescent="0.2">
      <c r="A36" s="7193"/>
      <c r="B36" s="1905" t="s">
        <v>74</v>
      </c>
      <c r="C36" s="1334"/>
      <c r="D36" s="1334"/>
      <c r="E36" s="1334"/>
      <c r="F36" s="1334"/>
      <c r="G36" s="1334"/>
      <c r="H36" s="1334"/>
      <c r="I36" s="1334"/>
      <c r="J36" s="1334"/>
      <c r="K36" s="1334"/>
      <c r="L36" s="1334"/>
      <c r="M36" s="1334"/>
      <c r="N36" s="1334"/>
      <c r="O36" s="1334"/>
      <c r="P36" s="1334"/>
      <c r="Q36" s="1334"/>
      <c r="R36" s="1334"/>
      <c r="S36" s="1334"/>
      <c r="T36" s="1334"/>
      <c r="U36" s="1334"/>
      <c r="V36" s="1334"/>
      <c r="W36" s="1334">
        <v>21</v>
      </c>
      <c r="X36" s="1334">
        <v>26</v>
      </c>
      <c r="Y36" s="1334">
        <v>32</v>
      </c>
      <c r="Z36" s="1334">
        <v>36</v>
      </c>
      <c r="AA36" s="1335">
        <f>SUM(C36:Z36)</f>
        <v>115</v>
      </c>
    </row>
    <row r="37" spans="1:27" ht="17.100000000000001" customHeight="1" x14ac:dyDescent="0.2">
      <c r="A37" s="7194"/>
      <c r="B37" s="1906" t="s">
        <v>160</v>
      </c>
      <c r="C37" s="1336"/>
      <c r="D37" s="1336"/>
      <c r="E37" s="1336"/>
      <c r="F37" s="1336"/>
      <c r="G37" s="1336"/>
      <c r="H37" s="1336"/>
      <c r="I37" s="1336"/>
      <c r="J37" s="1336"/>
      <c r="K37" s="1336"/>
      <c r="L37" s="1336"/>
      <c r="M37" s="1336"/>
      <c r="N37" s="1336"/>
      <c r="O37" s="1336"/>
      <c r="P37" s="1336"/>
      <c r="Q37" s="1336"/>
      <c r="R37" s="1336">
        <f t="shared" ref="R37:AA37" si="7">SUM(R34:R36)</f>
        <v>0</v>
      </c>
      <c r="S37" s="1336">
        <f t="shared" si="7"/>
        <v>0</v>
      </c>
      <c r="T37" s="1336">
        <f t="shared" si="7"/>
        <v>0</v>
      </c>
      <c r="U37" s="1336">
        <f t="shared" si="7"/>
        <v>0</v>
      </c>
      <c r="V37" s="1336">
        <f t="shared" si="7"/>
        <v>0</v>
      </c>
      <c r="W37" s="1336">
        <f t="shared" si="7"/>
        <v>93</v>
      </c>
      <c r="X37" s="1336">
        <f t="shared" si="7"/>
        <v>103</v>
      </c>
      <c r="Y37" s="1336">
        <f t="shared" si="7"/>
        <v>122</v>
      </c>
      <c r="Z37" s="1336">
        <f t="shared" si="7"/>
        <v>135</v>
      </c>
      <c r="AA37" s="1340">
        <f t="shared" si="7"/>
        <v>453</v>
      </c>
    </row>
    <row r="38" spans="1:27" ht="17.100000000000001" customHeight="1" x14ac:dyDescent="0.2">
      <c r="A38" s="7195" t="s">
        <v>75</v>
      </c>
      <c r="B38" s="1904" t="s">
        <v>5</v>
      </c>
      <c r="C38" s="1909">
        <v>102</v>
      </c>
      <c r="D38" s="1909">
        <v>142</v>
      </c>
      <c r="E38" s="1909">
        <v>152</v>
      </c>
      <c r="F38" s="1909">
        <v>155</v>
      </c>
      <c r="G38" s="1909">
        <v>167</v>
      </c>
      <c r="H38" s="1909">
        <v>193</v>
      </c>
      <c r="I38" s="1909">
        <v>193</v>
      </c>
      <c r="J38" s="1909">
        <v>192</v>
      </c>
      <c r="K38" s="1909">
        <v>198</v>
      </c>
      <c r="L38" s="1909">
        <v>195</v>
      </c>
      <c r="M38" s="1909">
        <v>188</v>
      </c>
      <c r="N38" s="1909">
        <v>179</v>
      </c>
      <c r="O38" s="1909">
        <v>187</v>
      </c>
      <c r="P38" s="1909">
        <v>184</v>
      </c>
      <c r="Q38" s="1909">
        <v>181</v>
      </c>
      <c r="R38" s="1909"/>
      <c r="S38" s="1909"/>
      <c r="T38" s="1909"/>
      <c r="U38" s="1909"/>
      <c r="V38" s="1909"/>
      <c r="W38" s="1909">
        <v>179</v>
      </c>
      <c r="X38" s="1909">
        <v>188</v>
      </c>
      <c r="Y38" s="1909">
        <v>202</v>
      </c>
      <c r="Z38" s="1909">
        <v>209</v>
      </c>
      <c r="AA38" s="1333">
        <f>SUM(C38:Z38)</f>
        <v>3386</v>
      </c>
    </row>
    <row r="39" spans="1:27" ht="17.100000000000001" customHeight="1" x14ac:dyDescent="0.2">
      <c r="A39" s="7196" t="s">
        <v>75</v>
      </c>
      <c r="B39" s="1905" t="s">
        <v>6</v>
      </c>
      <c r="C39" s="1334">
        <v>92</v>
      </c>
      <c r="D39" s="1334">
        <v>144</v>
      </c>
      <c r="E39" s="1334">
        <v>161</v>
      </c>
      <c r="F39" s="1334">
        <v>171</v>
      </c>
      <c r="G39" s="1334">
        <v>177</v>
      </c>
      <c r="H39" s="1334">
        <v>178</v>
      </c>
      <c r="I39" s="1334">
        <v>189</v>
      </c>
      <c r="J39" s="1334">
        <v>196</v>
      </c>
      <c r="K39" s="1334">
        <v>204</v>
      </c>
      <c r="L39" s="1334">
        <v>215</v>
      </c>
      <c r="M39" s="1334">
        <v>225</v>
      </c>
      <c r="N39" s="1334">
        <v>228</v>
      </c>
      <c r="O39" s="1334">
        <v>234</v>
      </c>
      <c r="P39" s="1334">
        <v>233</v>
      </c>
      <c r="Q39" s="1334">
        <v>228</v>
      </c>
      <c r="R39" s="1334"/>
      <c r="S39" s="1334"/>
      <c r="T39" s="1334"/>
      <c r="U39" s="1334"/>
      <c r="V39" s="1334"/>
      <c r="W39" s="1334">
        <v>229</v>
      </c>
      <c r="X39" s="1334">
        <v>238</v>
      </c>
      <c r="Y39" s="1334">
        <v>240</v>
      </c>
      <c r="Z39" s="1334">
        <v>237</v>
      </c>
      <c r="AA39" s="1335">
        <f>SUM(C39:Z39)</f>
        <v>3819</v>
      </c>
    </row>
    <row r="40" spans="1:27" ht="17.100000000000001" customHeight="1" x14ac:dyDescent="0.2">
      <c r="A40" s="7196" t="s">
        <v>75</v>
      </c>
      <c r="B40" s="1905" t="s">
        <v>11</v>
      </c>
      <c r="C40" s="1334">
        <v>62</v>
      </c>
      <c r="D40" s="1334">
        <v>85</v>
      </c>
      <c r="E40" s="1334">
        <v>88</v>
      </c>
      <c r="F40" s="1334">
        <v>110</v>
      </c>
      <c r="G40" s="1334">
        <v>124</v>
      </c>
      <c r="H40" s="1334">
        <v>138</v>
      </c>
      <c r="I40" s="1334">
        <v>150</v>
      </c>
      <c r="J40" s="1334">
        <v>156</v>
      </c>
      <c r="K40" s="1334">
        <v>156</v>
      </c>
      <c r="L40" s="1334">
        <v>148</v>
      </c>
      <c r="M40" s="1334">
        <v>155</v>
      </c>
      <c r="N40" s="1334">
        <v>157</v>
      </c>
      <c r="O40" s="1334">
        <v>160</v>
      </c>
      <c r="P40" s="1334">
        <v>162</v>
      </c>
      <c r="Q40" s="1334">
        <v>157</v>
      </c>
      <c r="R40" s="1334"/>
      <c r="S40" s="1334"/>
      <c r="T40" s="1334"/>
      <c r="U40" s="1334"/>
      <c r="V40" s="1334"/>
      <c r="W40" s="1334">
        <v>167</v>
      </c>
      <c r="X40" s="1334">
        <v>171</v>
      </c>
      <c r="Y40" s="1334">
        <v>172</v>
      </c>
      <c r="Z40" s="1334">
        <v>182</v>
      </c>
      <c r="AA40" s="1335">
        <f>SUM(C40:Z40)</f>
        <v>2700</v>
      </c>
    </row>
    <row r="41" spans="1:27" ht="17.100000000000001" customHeight="1" x14ac:dyDescent="0.2">
      <c r="A41" s="7197"/>
      <c r="B41" s="1906" t="s">
        <v>160</v>
      </c>
      <c r="C41" s="1336">
        <f>SUM(C38:C40)</f>
        <v>256</v>
      </c>
      <c r="D41" s="1336">
        <f t="shared" ref="D41:Y41" si="8">SUM(D38:D40)</f>
        <v>371</v>
      </c>
      <c r="E41" s="1336">
        <f t="shared" si="8"/>
        <v>401</v>
      </c>
      <c r="F41" s="1336">
        <f t="shared" si="8"/>
        <v>436</v>
      </c>
      <c r="G41" s="1336">
        <f t="shared" si="8"/>
        <v>468</v>
      </c>
      <c r="H41" s="1336">
        <f t="shared" si="8"/>
        <v>509</v>
      </c>
      <c r="I41" s="1336">
        <f t="shared" si="8"/>
        <v>532</v>
      </c>
      <c r="J41" s="1336">
        <f t="shared" si="8"/>
        <v>544</v>
      </c>
      <c r="K41" s="1336">
        <f t="shared" si="8"/>
        <v>558</v>
      </c>
      <c r="L41" s="1336">
        <f t="shared" si="8"/>
        <v>558</v>
      </c>
      <c r="M41" s="1336">
        <f t="shared" si="8"/>
        <v>568</v>
      </c>
      <c r="N41" s="1336">
        <f t="shared" si="8"/>
        <v>564</v>
      </c>
      <c r="O41" s="1336">
        <f t="shared" si="8"/>
        <v>581</v>
      </c>
      <c r="P41" s="1336">
        <f t="shared" si="8"/>
        <v>579</v>
      </c>
      <c r="Q41" s="1336">
        <f t="shared" si="8"/>
        <v>566</v>
      </c>
      <c r="R41" s="1336">
        <f t="shared" si="8"/>
        <v>0</v>
      </c>
      <c r="S41" s="1336">
        <f t="shared" si="8"/>
        <v>0</v>
      </c>
      <c r="T41" s="1336">
        <f t="shared" si="8"/>
        <v>0</v>
      </c>
      <c r="U41" s="1336">
        <f t="shared" si="8"/>
        <v>0</v>
      </c>
      <c r="V41" s="1336">
        <f t="shared" si="8"/>
        <v>0</v>
      </c>
      <c r="W41" s="1336">
        <f t="shared" si="8"/>
        <v>575</v>
      </c>
      <c r="X41" s="1336">
        <f t="shared" si="8"/>
        <v>597</v>
      </c>
      <c r="Y41" s="1336">
        <f t="shared" si="8"/>
        <v>614</v>
      </c>
      <c r="Z41" s="1336">
        <f>SUM(Z38:Z40)</f>
        <v>628</v>
      </c>
      <c r="AA41" s="1340">
        <f>SUM(AA38:AA40)</f>
        <v>9905</v>
      </c>
    </row>
    <row r="42" spans="1:27" ht="17.100000000000001" customHeight="1" x14ac:dyDescent="0.2">
      <c r="A42" s="7200" t="s">
        <v>325</v>
      </c>
      <c r="B42" s="1904" t="s">
        <v>5</v>
      </c>
      <c r="C42" s="1909"/>
      <c r="D42" s="1909"/>
      <c r="E42" s="1909"/>
      <c r="F42" s="1909"/>
      <c r="G42" s="1909"/>
      <c r="H42" s="1909"/>
      <c r="I42" s="1909"/>
      <c r="J42" s="1909"/>
      <c r="K42" s="1909"/>
      <c r="L42" s="1909"/>
      <c r="M42" s="1909"/>
      <c r="N42" s="1909"/>
      <c r="O42" s="1909"/>
      <c r="P42" s="1909"/>
      <c r="Q42" s="1909"/>
      <c r="R42" s="1909"/>
      <c r="S42" s="1909"/>
      <c r="T42" s="1909"/>
      <c r="U42" s="1909"/>
      <c r="V42" s="1909"/>
      <c r="W42" s="1909"/>
      <c r="X42" s="1909"/>
      <c r="Y42" s="1909">
        <v>1</v>
      </c>
      <c r="Z42" s="1909">
        <v>2</v>
      </c>
      <c r="AA42" s="1333">
        <f>SUM(C42:Z42)</f>
        <v>3</v>
      </c>
    </row>
    <row r="43" spans="1:27" ht="17.100000000000001" customHeight="1" x14ac:dyDescent="0.2">
      <c r="A43" s="7201" t="s">
        <v>75</v>
      </c>
      <c r="B43" s="1905" t="s">
        <v>6</v>
      </c>
      <c r="C43" s="1334"/>
      <c r="D43" s="1334"/>
      <c r="E43" s="1334"/>
      <c r="F43" s="1334"/>
      <c r="G43" s="1334"/>
      <c r="H43" s="1334"/>
      <c r="I43" s="1334"/>
      <c r="J43" s="1334"/>
      <c r="K43" s="1334"/>
      <c r="L43" s="1334"/>
      <c r="M43" s="1334"/>
      <c r="N43" s="1334"/>
      <c r="O43" s="1334"/>
      <c r="P43" s="1334"/>
      <c r="Q43" s="1334"/>
      <c r="R43" s="1334"/>
      <c r="S43" s="1334"/>
      <c r="T43" s="1334"/>
      <c r="U43" s="1334"/>
      <c r="V43" s="1334"/>
      <c r="W43" s="1334"/>
      <c r="X43" s="1334"/>
      <c r="Y43" s="1334"/>
      <c r="Z43" s="1334"/>
      <c r="AA43" s="1335">
        <f>SUM(C43:Z43)</f>
        <v>0</v>
      </c>
    </row>
    <row r="44" spans="1:27" ht="17.100000000000001" customHeight="1" x14ac:dyDescent="0.2">
      <c r="A44" s="7201" t="s">
        <v>75</v>
      </c>
      <c r="B44" s="1905" t="s">
        <v>11</v>
      </c>
      <c r="C44" s="1334"/>
      <c r="D44" s="1334"/>
      <c r="E44" s="1334"/>
      <c r="F44" s="1334"/>
      <c r="G44" s="1334"/>
      <c r="H44" s="1334"/>
      <c r="I44" s="1334"/>
      <c r="J44" s="1334"/>
      <c r="K44" s="1334"/>
      <c r="L44" s="1334"/>
      <c r="M44" s="1334"/>
      <c r="N44" s="1334"/>
      <c r="O44" s="1334"/>
      <c r="P44" s="1334"/>
      <c r="Q44" s="1334"/>
      <c r="R44" s="1334"/>
      <c r="S44" s="1334"/>
      <c r="T44" s="1334"/>
      <c r="U44" s="1334"/>
      <c r="V44" s="1334"/>
      <c r="W44" s="1334"/>
      <c r="X44" s="1334"/>
      <c r="Y44" s="1334">
        <v>2</v>
      </c>
      <c r="Z44" s="1334">
        <v>2</v>
      </c>
      <c r="AA44" s="1335">
        <f>SUM(C44:Z44)</f>
        <v>4</v>
      </c>
    </row>
    <row r="45" spans="1:27" ht="17.100000000000001" customHeight="1" x14ac:dyDescent="0.2">
      <c r="A45" s="7202"/>
      <c r="B45" s="1906" t="s">
        <v>160</v>
      </c>
      <c r="C45" s="1336"/>
      <c r="D45" s="1336"/>
      <c r="E45" s="1336"/>
      <c r="F45" s="1336"/>
      <c r="G45" s="1336"/>
      <c r="H45" s="1336"/>
      <c r="I45" s="1336"/>
      <c r="J45" s="1336"/>
      <c r="K45" s="1336"/>
      <c r="L45" s="1336"/>
      <c r="M45" s="1336"/>
      <c r="N45" s="1336"/>
      <c r="O45" s="1336"/>
      <c r="P45" s="1336"/>
      <c r="Q45" s="1336"/>
      <c r="R45" s="1336"/>
      <c r="S45" s="1336"/>
      <c r="T45" s="1336"/>
      <c r="U45" s="1336"/>
      <c r="V45" s="1336"/>
      <c r="W45" s="1336"/>
      <c r="X45" s="1336"/>
      <c r="Y45" s="1336">
        <f>SUM(Y42:Y44)</f>
        <v>3</v>
      </c>
      <c r="Z45" s="1336">
        <f>SUM(Z42:Z44)</f>
        <v>4</v>
      </c>
      <c r="AA45" s="1340">
        <f>SUM(AA42:AA44)</f>
        <v>7</v>
      </c>
    </row>
    <row r="46" spans="1:27" ht="17.100000000000001" customHeight="1" x14ac:dyDescent="0.2">
      <c r="A46" s="7203" t="s">
        <v>10</v>
      </c>
      <c r="B46" s="1904" t="s">
        <v>6</v>
      </c>
      <c r="C46" s="1909">
        <v>87</v>
      </c>
      <c r="D46" s="1909">
        <v>125</v>
      </c>
      <c r="E46" s="1909">
        <v>133</v>
      </c>
      <c r="F46" s="1909">
        <v>141</v>
      </c>
      <c r="G46" s="1909">
        <v>151</v>
      </c>
      <c r="H46" s="1909">
        <v>171</v>
      </c>
      <c r="I46" s="1909">
        <v>168</v>
      </c>
      <c r="J46" s="1909">
        <v>192</v>
      </c>
      <c r="K46" s="1909">
        <v>201</v>
      </c>
      <c r="L46" s="1909">
        <v>206</v>
      </c>
      <c r="M46" s="1909">
        <v>203</v>
      </c>
      <c r="N46" s="1909">
        <v>203</v>
      </c>
      <c r="O46" s="1909">
        <v>213</v>
      </c>
      <c r="P46" s="1909">
        <v>218</v>
      </c>
      <c r="Q46" s="1909">
        <v>227</v>
      </c>
      <c r="R46" s="1909"/>
      <c r="S46" s="1909"/>
      <c r="T46" s="1909"/>
      <c r="U46" s="1909"/>
      <c r="V46" s="1909"/>
      <c r="W46" s="1909">
        <v>253</v>
      </c>
      <c r="X46" s="1909">
        <v>266</v>
      </c>
      <c r="Y46" s="1909">
        <v>276</v>
      </c>
      <c r="Z46" s="1909">
        <v>272</v>
      </c>
      <c r="AA46" s="1333">
        <f>SUM(C46:Z46)</f>
        <v>3706</v>
      </c>
    </row>
    <row r="47" spans="1:27" ht="17.100000000000001" customHeight="1" x14ac:dyDescent="0.2">
      <c r="A47" s="7204" t="s">
        <v>10</v>
      </c>
      <c r="B47" s="1905" t="s">
        <v>11</v>
      </c>
      <c r="C47" s="1334">
        <v>41</v>
      </c>
      <c r="D47" s="1334">
        <v>75</v>
      </c>
      <c r="E47" s="1334">
        <v>78</v>
      </c>
      <c r="F47" s="1334">
        <v>99</v>
      </c>
      <c r="G47" s="1334">
        <v>134</v>
      </c>
      <c r="H47" s="1334">
        <v>159</v>
      </c>
      <c r="I47" s="1334">
        <v>174</v>
      </c>
      <c r="J47" s="1334">
        <v>179</v>
      </c>
      <c r="K47" s="1334">
        <v>185</v>
      </c>
      <c r="L47" s="1334">
        <v>191</v>
      </c>
      <c r="M47" s="1334">
        <v>205</v>
      </c>
      <c r="N47" s="1334">
        <v>200</v>
      </c>
      <c r="O47" s="1334">
        <v>206</v>
      </c>
      <c r="P47" s="1334">
        <v>214</v>
      </c>
      <c r="Q47" s="1334">
        <v>227</v>
      </c>
      <c r="R47" s="1334"/>
      <c r="S47" s="1334"/>
      <c r="T47" s="1334"/>
      <c r="U47" s="1334"/>
      <c r="V47" s="1334"/>
      <c r="W47" s="1334">
        <v>234</v>
      </c>
      <c r="X47" s="1334">
        <v>238</v>
      </c>
      <c r="Y47" s="1334">
        <v>252</v>
      </c>
      <c r="Z47" s="1334">
        <v>249</v>
      </c>
      <c r="AA47" s="1335">
        <f>SUM(C47:Z47)</f>
        <v>3340</v>
      </c>
    </row>
    <row r="48" spans="1:27" ht="17.100000000000001" customHeight="1" x14ac:dyDescent="0.2">
      <c r="A48" s="7204" t="s">
        <v>10</v>
      </c>
      <c r="B48" s="1905" t="s">
        <v>7</v>
      </c>
      <c r="C48" s="1334">
        <v>28</v>
      </c>
      <c r="D48" s="1334">
        <v>42</v>
      </c>
      <c r="E48" s="1334">
        <v>47</v>
      </c>
      <c r="F48" s="1334">
        <v>59</v>
      </c>
      <c r="G48" s="1334">
        <v>70</v>
      </c>
      <c r="H48" s="1334">
        <v>98</v>
      </c>
      <c r="I48" s="1334">
        <v>105</v>
      </c>
      <c r="J48" s="1334">
        <v>108</v>
      </c>
      <c r="K48" s="1334">
        <v>104</v>
      </c>
      <c r="L48" s="1334">
        <v>96</v>
      </c>
      <c r="M48" s="1334">
        <v>100</v>
      </c>
      <c r="N48" s="1334">
        <v>95</v>
      </c>
      <c r="O48" s="1334">
        <v>95</v>
      </c>
      <c r="P48" s="1334">
        <v>103</v>
      </c>
      <c r="Q48" s="1334">
        <v>99</v>
      </c>
      <c r="R48" s="1334"/>
      <c r="S48" s="1334"/>
      <c r="T48" s="1334"/>
      <c r="U48" s="1334"/>
      <c r="V48" s="1334"/>
      <c r="W48" s="1334">
        <v>104</v>
      </c>
      <c r="X48" s="1334">
        <v>108</v>
      </c>
      <c r="Y48" s="1334">
        <v>107</v>
      </c>
      <c r="Z48" s="1334">
        <v>108</v>
      </c>
      <c r="AA48" s="1335">
        <f>SUM(C48:Z48)</f>
        <v>1676</v>
      </c>
    </row>
    <row r="49" spans="1:27" ht="17.100000000000001" customHeight="1" x14ac:dyDescent="0.2">
      <c r="A49" s="7205" t="s">
        <v>10</v>
      </c>
      <c r="B49" s="1906" t="s">
        <v>160</v>
      </c>
      <c r="C49" s="1336">
        <f t="shared" ref="C49:Z49" si="9">SUM(C46:C48)</f>
        <v>156</v>
      </c>
      <c r="D49" s="1336">
        <f t="shared" si="9"/>
        <v>242</v>
      </c>
      <c r="E49" s="1336">
        <f t="shared" si="9"/>
        <v>258</v>
      </c>
      <c r="F49" s="1336">
        <f t="shared" si="9"/>
        <v>299</v>
      </c>
      <c r="G49" s="1336">
        <f t="shared" si="9"/>
        <v>355</v>
      </c>
      <c r="H49" s="1336">
        <f t="shared" si="9"/>
        <v>428</v>
      </c>
      <c r="I49" s="1336">
        <f t="shared" si="9"/>
        <v>447</v>
      </c>
      <c r="J49" s="1336">
        <f t="shared" si="9"/>
        <v>479</v>
      </c>
      <c r="K49" s="1336">
        <f t="shared" si="9"/>
        <v>490</v>
      </c>
      <c r="L49" s="1336">
        <f t="shared" si="9"/>
        <v>493</v>
      </c>
      <c r="M49" s="1336">
        <f t="shared" si="9"/>
        <v>508</v>
      </c>
      <c r="N49" s="1336">
        <f t="shared" si="9"/>
        <v>498</v>
      </c>
      <c r="O49" s="1336">
        <f t="shared" si="9"/>
        <v>514</v>
      </c>
      <c r="P49" s="1336">
        <f t="shared" si="9"/>
        <v>535</v>
      </c>
      <c r="Q49" s="1336">
        <f t="shared" si="9"/>
        <v>553</v>
      </c>
      <c r="R49" s="1336">
        <f t="shared" si="9"/>
        <v>0</v>
      </c>
      <c r="S49" s="1336">
        <f t="shared" si="9"/>
        <v>0</v>
      </c>
      <c r="T49" s="1336">
        <f t="shared" si="9"/>
        <v>0</v>
      </c>
      <c r="U49" s="1336">
        <f t="shared" si="9"/>
        <v>0</v>
      </c>
      <c r="V49" s="1336">
        <f t="shared" si="9"/>
        <v>0</v>
      </c>
      <c r="W49" s="1336">
        <f t="shared" si="9"/>
        <v>591</v>
      </c>
      <c r="X49" s="1336">
        <f t="shared" si="9"/>
        <v>612</v>
      </c>
      <c r="Y49" s="1336">
        <f t="shared" si="9"/>
        <v>635</v>
      </c>
      <c r="Z49" s="1336">
        <f t="shared" si="9"/>
        <v>629</v>
      </c>
      <c r="AA49" s="1340">
        <f>SUM(AA46:AA48)</f>
        <v>8722</v>
      </c>
    </row>
    <row r="50" spans="1:27" ht="17.100000000000001" customHeight="1" x14ac:dyDescent="0.2">
      <c r="A50" s="7198" t="s">
        <v>573</v>
      </c>
      <c r="B50" s="7199"/>
      <c r="C50" s="1910">
        <f t="shared" ref="C50:W50" si="10">SUM(C33,C37,C41,C49)</f>
        <v>585</v>
      </c>
      <c r="D50" s="1337">
        <f t="shared" si="10"/>
        <v>857</v>
      </c>
      <c r="E50" s="1337">
        <f t="shared" si="10"/>
        <v>886</v>
      </c>
      <c r="F50" s="1337">
        <f t="shared" si="10"/>
        <v>994</v>
      </c>
      <c r="G50" s="1337">
        <f t="shared" si="10"/>
        <v>1128</v>
      </c>
      <c r="H50" s="1337">
        <f t="shared" si="10"/>
        <v>1289</v>
      </c>
      <c r="I50" s="1337">
        <f t="shared" si="10"/>
        <v>1378</v>
      </c>
      <c r="J50" s="1337">
        <f t="shared" si="10"/>
        <v>1447</v>
      </c>
      <c r="K50" s="1337">
        <f t="shared" si="10"/>
        <v>1491</v>
      </c>
      <c r="L50" s="1337">
        <f t="shared" si="10"/>
        <v>1500</v>
      </c>
      <c r="M50" s="1337">
        <f t="shared" si="10"/>
        <v>1544</v>
      </c>
      <c r="N50" s="1337">
        <f t="shared" si="10"/>
        <v>1538</v>
      </c>
      <c r="O50" s="1337">
        <f t="shared" si="10"/>
        <v>1587</v>
      </c>
      <c r="P50" s="1337">
        <f t="shared" si="10"/>
        <v>1620</v>
      </c>
      <c r="Q50" s="1337">
        <f t="shared" si="10"/>
        <v>1649</v>
      </c>
      <c r="R50" s="1337">
        <f t="shared" si="10"/>
        <v>0</v>
      </c>
      <c r="S50" s="1337">
        <f t="shared" si="10"/>
        <v>0</v>
      </c>
      <c r="T50" s="1337">
        <f t="shared" si="10"/>
        <v>0</v>
      </c>
      <c r="U50" s="1337">
        <f t="shared" si="10"/>
        <v>0</v>
      </c>
      <c r="V50" s="1337">
        <f t="shared" si="10"/>
        <v>0</v>
      </c>
      <c r="W50" s="1337">
        <f t="shared" si="10"/>
        <v>1801</v>
      </c>
      <c r="X50" s="1337">
        <f>SUM(X33,X37,X41,X45,X49)</f>
        <v>1879</v>
      </c>
      <c r="Y50" s="1337">
        <f>SUM(Y33,Y37,Y41,Y45,Y49)</f>
        <v>1967</v>
      </c>
      <c r="Z50" s="1337">
        <f>SUM(Z33,Z37,Z41,Z45,Z49)</f>
        <v>2012</v>
      </c>
      <c r="AA50" s="1338">
        <f>SUM(AA33,AA37,AA45,AA41,AA49)</f>
        <v>27152</v>
      </c>
    </row>
    <row r="51" spans="1:27" ht="17.100000000000001" customHeight="1" x14ac:dyDescent="0.2">
      <c r="A51" s="1911"/>
      <c r="B51" s="1911"/>
      <c r="C51" s="1911"/>
      <c r="D51" s="1911"/>
      <c r="E51" s="1911"/>
      <c r="F51" s="1911"/>
      <c r="G51" s="1911"/>
      <c r="H51" s="1911"/>
      <c r="I51" s="1911"/>
      <c r="J51" s="1911"/>
      <c r="K51" s="1911"/>
      <c r="L51" s="1911"/>
      <c r="M51" s="1911"/>
      <c r="N51" s="1911"/>
      <c r="O51" s="1911"/>
      <c r="P51" s="1911"/>
      <c r="Q51" s="1911"/>
      <c r="R51" s="1911"/>
      <c r="S51" s="1911"/>
      <c r="T51" s="1911"/>
      <c r="U51" s="1911"/>
      <c r="V51" s="1911"/>
      <c r="W51" s="1911"/>
      <c r="X51" s="1911"/>
      <c r="Y51" s="1911"/>
      <c r="Z51" s="1911"/>
      <c r="AA51" s="1912"/>
    </row>
    <row r="52" spans="1:27" ht="17.100000000000001" customHeight="1" x14ac:dyDescent="0.2">
      <c r="A52" s="7185" t="s">
        <v>16</v>
      </c>
      <c r="B52" s="7187" t="s">
        <v>354</v>
      </c>
      <c r="C52" s="7181" t="s">
        <v>576</v>
      </c>
      <c r="D52" s="7182"/>
      <c r="E52" s="7182"/>
      <c r="F52" s="7182"/>
      <c r="G52" s="7182"/>
      <c r="H52" s="7182"/>
      <c r="I52" s="7182"/>
      <c r="J52" s="7182"/>
      <c r="K52" s="7182"/>
      <c r="L52" s="7182"/>
      <c r="M52" s="7182"/>
      <c r="N52" s="7182"/>
      <c r="O52" s="7182"/>
      <c r="P52" s="7182"/>
      <c r="Q52" s="7182"/>
      <c r="R52" s="7182"/>
      <c r="S52" s="7182"/>
      <c r="T52" s="7182"/>
      <c r="U52" s="7182"/>
      <c r="V52" s="7182"/>
      <c r="W52" s="7182"/>
      <c r="X52" s="7182"/>
      <c r="Y52" s="7182"/>
      <c r="Z52" s="7183"/>
      <c r="AA52" s="7184"/>
    </row>
    <row r="53" spans="1:27" ht="17.100000000000001" customHeight="1" x14ac:dyDescent="0.2">
      <c r="A53" s="7186"/>
      <c r="B53" s="7207"/>
      <c r="C53" s="1330">
        <v>1990</v>
      </c>
      <c r="D53" s="1331">
        <v>1991</v>
      </c>
      <c r="E53" s="1331">
        <v>1992</v>
      </c>
      <c r="F53" s="1331">
        <v>1993</v>
      </c>
      <c r="G53" s="1331">
        <v>1994</v>
      </c>
      <c r="H53" s="1331">
        <v>1995</v>
      </c>
      <c r="I53" s="1331">
        <v>1996</v>
      </c>
      <c r="J53" s="1331">
        <v>1997</v>
      </c>
      <c r="K53" s="1331">
        <v>1998</v>
      </c>
      <c r="L53" s="1331">
        <v>1999</v>
      </c>
      <c r="M53" s="1331">
        <v>2000</v>
      </c>
      <c r="N53" s="1331">
        <v>2001</v>
      </c>
      <c r="O53" s="1331">
        <v>2002</v>
      </c>
      <c r="P53" s="1331">
        <v>2003</v>
      </c>
      <c r="Q53" s="1331">
        <v>2004</v>
      </c>
      <c r="R53" s="1331">
        <v>2005</v>
      </c>
      <c r="S53" s="1331">
        <v>2006</v>
      </c>
      <c r="T53" s="1331">
        <v>2007</v>
      </c>
      <c r="U53" s="1331">
        <v>2008</v>
      </c>
      <c r="V53" s="1331">
        <v>2009</v>
      </c>
      <c r="W53" s="1331">
        <v>2010</v>
      </c>
      <c r="X53" s="1331">
        <v>2011</v>
      </c>
      <c r="Y53" s="1331">
        <v>2012</v>
      </c>
      <c r="Z53" s="1332">
        <v>2013</v>
      </c>
      <c r="AA53" s="1341" t="s">
        <v>160</v>
      </c>
    </row>
    <row r="54" spans="1:27" ht="17.100000000000001" customHeight="1" x14ac:dyDescent="0.2">
      <c r="A54" s="7189" t="s">
        <v>3</v>
      </c>
      <c r="B54" s="1904" t="s">
        <v>5</v>
      </c>
      <c r="C54" s="1909"/>
      <c r="D54" s="1909"/>
      <c r="E54" s="1909">
        <v>108</v>
      </c>
      <c r="F54" s="1909">
        <v>172</v>
      </c>
      <c r="G54" s="1909">
        <v>187</v>
      </c>
      <c r="H54" s="1909">
        <v>205</v>
      </c>
      <c r="I54" s="1909">
        <v>226</v>
      </c>
      <c r="J54" s="1909">
        <v>245</v>
      </c>
      <c r="K54" s="1909">
        <v>259</v>
      </c>
      <c r="L54" s="1909">
        <v>265</v>
      </c>
      <c r="M54" s="1909">
        <v>274</v>
      </c>
      <c r="N54" s="1909">
        <v>272</v>
      </c>
      <c r="O54" s="1909">
        <v>282</v>
      </c>
      <c r="P54" s="1909">
        <v>295</v>
      </c>
      <c r="Q54" s="1909">
        <v>301</v>
      </c>
      <c r="R54" s="1909"/>
      <c r="S54" s="1909"/>
      <c r="T54" s="1909"/>
      <c r="U54" s="1909"/>
      <c r="V54" s="1909"/>
      <c r="W54" s="1909">
        <v>318</v>
      </c>
      <c r="X54" s="1909">
        <v>327</v>
      </c>
      <c r="Y54" s="1909">
        <v>330</v>
      </c>
      <c r="Z54" s="1334">
        <v>338</v>
      </c>
      <c r="AA54" s="1333">
        <f>SUM(C54:Z54)</f>
        <v>4404</v>
      </c>
    </row>
    <row r="55" spans="1:27" ht="17.100000000000001" customHeight="1" x14ac:dyDescent="0.2">
      <c r="A55" s="7190"/>
      <c r="B55" s="1905" t="s">
        <v>6</v>
      </c>
      <c r="C55" s="1334"/>
      <c r="D55" s="1334"/>
      <c r="E55" s="1334">
        <v>149</v>
      </c>
      <c r="F55" s="1334">
        <v>181</v>
      </c>
      <c r="G55" s="1334">
        <v>197</v>
      </c>
      <c r="H55" s="1334">
        <v>215</v>
      </c>
      <c r="I55" s="1334">
        <v>222</v>
      </c>
      <c r="J55" s="1334">
        <v>236</v>
      </c>
      <c r="K55" s="1334">
        <v>234</v>
      </c>
      <c r="L55" s="1334">
        <v>245</v>
      </c>
      <c r="M55" s="1334">
        <v>259</v>
      </c>
      <c r="N55" s="1334">
        <v>272</v>
      </c>
      <c r="O55" s="1334">
        <v>289</v>
      </c>
      <c r="P55" s="1334">
        <v>294</v>
      </c>
      <c r="Q55" s="1334">
        <v>302</v>
      </c>
      <c r="R55" s="1334"/>
      <c r="S55" s="1334"/>
      <c r="T55" s="1334"/>
      <c r="U55" s="1334"/>
      <c r="V55" s="1334"/>
      <c r="W55" s="1334">
        <v>308</v>
      </c>
      <c r="X55" s="1334">
        <v>318</v>
      </c>
      <c r="Y55" s="1334">
        <v>329</v>
      </c>
      <c r="Z55" s="1334">
        <v>330</v>
      </c>
      <c r="AA55" s="1335">
        <f>SUM(C55:Z55)</f>
        <v>4380</v>
      </c>
    </row>
    <row r="56" spans="1:27" ht="17.100000000000001" customHeight="1" x14ac:dyDescent="0.2">
      <c r="A56" s="7190"/>
      <c r="B56" s="1905" t="s">
        <v>7</v>
      </c>
      <c r="C56" s="1334"/>
      <c r="D56" s="1334"/>
      <c r="E56" s="1334">
        <v>90</v>
      </c>
      <c r="F56" s="1334">
        <v>107</v>
      </c>
      <c r="G56" s="1334">
        <v>122</v>
      </c>
      <c r="H56" s="1334">
        <v>163</v>
      </c>
      <c r="I56" s="1334">
        <v>169</v>
      </c>
      <c r="J56" s="1334">
        <v>168</v>
      </c>
      <c r="K56" s="1334">
        <v>175</v>
      </c>
      <c r="L56" s="1334">
        <v>181</v>
      </c>
      <c r="M56" s="1334">
        <v>191</v>
      </c>
      <c r="N56" s="1334">
        <v>189</v>
      </c>
      <c r="O56" s="1334">
        <v>191</v>
      </c>
      <c r="P56" s="1334">
        <v>194</v>
      </c>
      <c r="Q56" s="1334">
        <v>196</v>
      </c>
      <c r="R56" s="1334"/>
      <c r="S56" s="1334"/>
      <c r="T56" s="1334"/>
      <c r="U56" s="1334"/>
      <c r="V56" s="1334"/>
      <c r="W56" s="1334">
        <v>195</v>
      </c>
      <c r="X56" s="1334">
        <v>209</v>
      </c>
      <c r="Y56" s="1334">
        <v>220</v>
      </c>
      <c r="Z56" s="1334">
        <v>214</v>
      </c>
      <c r="AA56" s="1335">
        <f>SUM(C56:Z56)</f>
        <v>2974</v>
      </c>
    </row>
    <row r="57" spans="1:27" ht="17.100000000000001" customHeight="1" x14ac:dyDescent="0.2">
      <c r="A57" s="7191"/>
      <c r="B57" s="1906" t="s">
        <v>160</v>
      </c>
      <c r="C57" s="1336"/>
      <c r="D57" s="1336"/>
      <c r="E57" s="1336">
        <f t="shared" ref="E57:V57" si="11">SUM(E54:E56)</f>
        <v>347</v>
      </c>
      <c r="F57" s="1336">
        <f t="shared" si="11"/>
        <v>460</v>
      </c>
      <c r="G57" s="1336">
        <f t="shared" si="11"/>
        <v>506</v>
      </c>
      <c r="H57" s="1336">
        <f t="shared" si="11"/>
        <v>583</v>
      </c>
      <c r="I57" s="1336">
        <f t="shared" si="11"/>
        <v>617</v>
      </c>
      <c r="J57" s="1336">
        <f t="shared" si="11"/>
        <v>649</v>
      </c>
      <c r="K57" s="1336">
        <f t="shared" si="11"/>
        <v>668</v>
      </c>
      <c r="L57" s="1336">
        <f t="shared" si="11"/>
        <v>691</v>
      </c>
      <c r="M57" s="1336">
        <f t="shared" si="11"/>
        <v>724</v>
      </c>
      <c r="N57" s="1336">
        <f t="shared" si="11"/>
        <v>733</v>
      </c>
      <c r="O57" s="1336">
        <f t="shared" si="11"/>
        <v>762</v>
      </c>
      <c r="P57" s="1336">
        <f t="shared" si="11"/>
        <v>783</v>
      </c>
      <c r="Q57" s="1336">
        <f t="shared" si="11"/>
        <v>799</v>
      </c>
      <c r="R57" s="1336">
        <f t="shared" si="11"/>
        <v>0</v>
      </c>
      <c r="S57" s="1336">
        <f t="shared" si="11"/>
        <v>0</v>
      </c>
      <c r="T57" s="1336">
        <f t="shared" si="11"/>
        <v>0</v>
      </c>
      <c r="U57" s="1336">
        <f t="shared" si="11"/>
        <v>0</v>
      </c>
      <c r="V57" s="1336">
        <f t="shared" si="11"/>
        <v>0</v>
      </c>
      <c r="W57" s="1336">
        <f>SUM(W54:W56)</f>
        <v>821</v>
      </c>
      <c r="X57" s="1336">
        <f>SUM(X54:X56)</f>
        <v>854</v>
      </c>
      <c r="Y57" s="1336">
        <f>SUM(Y54:Y56)</f>
        <v>879</v>
      </c>
      <c r="Z57" s="1336">
        <f>SUM(Z54:Z56)</f>
        <v>882</v>
      </c>
      <c r="AA57" s="1340">
        <f>SUM(AA54:AA56)</f>
        <v>11758</v>
      </c>
    </row>
    <row r="58" spans="1:27" ht="17.100000000000001" customHeight="1" x14ac:dyDescent="0.2">
      <c r="A58" s="7192" t="s">
        <v>8</v>
      </c>
      <c r="B58" s="1904" t="s">
        <v>6</v>
      </c>
      <c r="C58" s="1909"/>
      <c r="D58" s="1909"/>
      <c r="E58" s="1909"/>
      <c r="F58" s="1909"/>
      <c r="G58" s="1909"/>
      <c r="H58" s="1909"/>
      <c r="I58" s="1909"/>
      <c r="J58" s="1909"/>
      <c r="K58" s="1909"/>
      <c r="L58" s="1909"/>
      <c r="M58" s="1909"/>
      <c r="N58" s="1909"/>
      <c r="O58" s="1909"/>
      <c r="P58" s="1909"/>
      <c r="Q58" s="1909"/>
      <c r="R58" s="1909"/>
      <c r="S58" s="1909"/>
      <c r="T58" s="1909"/>
      <c r="U58" s="1909"/>
      <c r="V58" s="1909"/>
      <c r="W58" s="1909">
        <v>40</v>
      </c>
      <c r="X58" s="1909">
        <v>45</v>
      </c>
      <c r="Y58" s="1909">
        <v>44</v>
      </c>
      <c r="Z58" s="1909">
        <v>54</v>
      </c>
      <c r="AA58" s="1333">
        <f>SUM(C58:Z58)</f>
        <v>183</v>
      </c>
    </row>
    <row r="59" spans="1:27" ht="17.100000000000001" customHeight="1" x14ac:dyDescent="0.2">
      <c r="A59" s="7193"/>
      <c r="B59" s="1905" t="s">
        <v>9</v>
      </c>
      <c r="C59" s="1334"/>
      <c r="D59" s="1334"/>
      <c r="E59" s="1334"/>
      <c r="F59" s="1334"/>
      <c r="G59" s="1334"/>
      <c r="H59" s="1334"/>
      <c r="I59" s="1334"/>
      <c r="J59" s="1334"/>
      <c r="K59" s="1334"/>
      <c r="L59" s="1334"/>
      <c r="M59" s="1334"/>
      <c r="N59" s="1334"/>
      <c r="O59" s="1334"/>
      <c r="P59" s="1334"/>
      <c r="Q59" s="1334"/>
      <c r="R59" s="1334"/>
      <c r="S59" s="1334"/>
      <c r="T59" s="1334"/>
      <c r="U59" s="1334"/>
      <c r="V59" s="1334"/>
      <c r="W59" s="1334">
        <v>41</v>
      </c>
      <c r="X59" s="1334">
        <v>46</v>
      </c>
      <c r="Y59" s="1334">
        <v>55</v>
      </c>
      <c r="Z59" s="1334">
        <v>57</v>
      </c>
      <c r="AA59" s="1335">
        <f>SUM(C59:Z59)</f>
        <v>199</v>
      </c>
    </row>
    <row r="60" spans="1:27" ht="17.100000000000001" customHeight="1" x14ac:dyDescent="0.2">
      <c r="A60" s="7193"/>
      <c r="B60" s="1905" t="s">
        <v>74</v>
      </c>
      <c r="C60" s="1334"/>
      <c r="D60" s="1334"/>
      <c r="E60" s="1334"/>
      <c r="F60" s="1334"/>
      <c r="G60" s="1334"/>
      <c r="H60" s="1334"/>
      <c r="I60" s="1334"/>
      <c r="J60" s="1334"/>
      <c r="K60" s="1334"/>
      <c r="L60" s="1334"/>
      <c r="M60" s="1334"/>
      <c r="N60" s="1334"/>
      <c r="O60" s="1334"/>
      <c r="P60" s="1334"/>
      <c r="Q60" s="1334"/>
      <c r="R60" s="1334"/>
      <c r="S60" s="1334"/>
      <c r="T60" s="1334"/>
      <c r="U60" s="1334"/>
      <c r="V60" s="1334"/>
      <c r="W60" s="1334">
        <v>27</v>
      </c>
      <c r="X60" s="1334">
        <v>30</v>
      </c>
      <c r="Y60" s="1334">
        <v>35</v>
      </c>
      <c r="Z60" s="1334">
        <v>39</v>
      </c>
      <c r="AA60" s="1335">
        <f>SUM(C60:Z60)</f>
        <v>131</v>
      </c>
    </row>
    <row r="61" spans="1:27" ht="17.100000000000001" customHeight="1" x14ac:dyDescent="0.2">
      <c r="A61" s="7194"/>
      <c r="B61" s="1906" t="s">
        <v>160</v>
      </c>
      <c r="C61" s="1336"/>
      <c r="D61" s="1336"/>
      <c r="E61" s="1336"/>
      <c r="F61" s="1336"/>
      <c r="G61" s="1336"/>
      <c r="H61" s="1336"/>
      <c r="I61" s="1336"/>
      <c r="J61" s="1336"/>
      <c r="K61" s="1336"/>
      <c r="L61" s="1336"/>
      <c r="M61" s="1336"/>
      <c r="N61" s="1336"/>
      <c r="O61" s="1336"/>
      <c r="P61" s="1336"/>
      <c r="Q61" s="1336"/>
      <c r="R61" s="1336">
        <f t="shared" ref="R61:AA61" si="12">SUM(R58:R60)</f>
        <v>0</v>
      </c>
      <c r="S61" s="1336">
        <f t="shared" si="12"/>
        <v>0</v>
      </c>
      <c r="T61" s="1336">
        <f t="shared" si="12"/>
        <v>0</v>
      </c>
      <c r="U61" s="1336">
        <f t="shared" si="12"/>
        <v>0</v>
      </c>
      <c r="V61" s="1336">
        <f t="shared" si="12"/>
        <v>0</v>
      </c>
      <c r="W61" s="1336">
        <f t="shared" si="12"/>
        <v>108</v>
      </c>
      <c r="X61" s="1336">
        <f t="shared" si="12"/>
        <v>121</v>
      </c>
      <c r="Y61" s="1336">
        <f t="shared" si="12"/>
        <v>134</v>
      </c>
      <c r="Z61" s="1336">
        <f t="shared" si="12"/>
        <v>150</v>
      </c>
      <c r="AA61" s="1340">
        <f t="shared" si="12"/>
        <v>513</v>
      </c>
    </row>
    <row r="62" spans="1:27" ht="17.100000000000001" customHeight="1" x14ac:dyDescent="0.2">
      <c r="A62" s="7195" t="s">
        <v>75</v>
      </c>
      <c r="B62" s="1904" t="s">
        <v>5</v>
      </c>
      <c r="C62" s="1909"/>
      <c r="D62" s="1909"/>
      <c r="E62" s="1909">
        <v>183</v>
      </c>
      <c r="F62" s="1909">
        <v>216</v>
      </c>
      <c r="G62" s="1909">
        <v>216</v>
      </c>
      <c r="H62" s="1909">
        <v>230</v>
      </c>
      <c r="I62" s="1909">
        <v>228</v>
      </c>
      <c r="J62" s="1909">
        <v>235</v>
      </c>
      <c r="K62" s="1909">
        <v>241</v>
      </c>
      <c r="L62" s="1909">
        <v>243</v>
      </c>
      <c r="M62" s="1909">
        <v>248</v>
      </c>
      <c r="N62" s="1909">
        <v>244</v>
      </c>
      <c r="O62" s="1909">
        <v>251</v>
      </c>
      <c r="P62" s="1909">
        <v>253</v>
      </c>
      <c r="Q62" s="1909">
        <v>260</v>
      </c>
      <c r="R62" s="1909"/>
      <c r="S62" s="1909"/>
      <c r="T62" s="1909"/>
      <c r="U62" s="1909"/>
      <c r="V62" s="1909"/>
      <c r="W62" s="1909">
        <v>267</v>
      </c>
      <c r="X62" s="1909">
        <v>267</v>
      </c>
      <c r="Y62" s="1909">
        <v>268</v>
      </c>
      <c r="Z62" s="1909">
        <v>267</v>
      </c>
      <c r="AA62" s="1333">
        <f>SUM(C62:Z62)</f>
        <v>4117</v>
      </c>
    </row>
    <row r="63" spans="1:27" ht="17.100000000000001" customHeight="1" x14ac:dyDescent="0.2">
      <c r="A63" s="7196" t="s">
        <v>75</v>
      </c>
      <c r="B63" s="1905" t="s">
        <v>6</v>
      </c>
      <c r="C63" s="1334"/>
      <c r="D63" s="1334"/>
      <c r="E63" s="1334">
        <v>190</v>
      </c>
      <c r="F63" s="1334">
        <v>217</v>
      </c>
      <c r="G63" s="1334">
        <v>224</v>
      </c>
      <c r="H63" s="1334">
        <v>234</v>
      </c>
      <c r="I63" s="1334">
        <v>237</v>
      </c>
      <c r="J63" s="1334">
        <v>256</v>
      </c>
      <c r="K63" s="1334">
        <v>275</v>
      </c>
      <c r="L63" s="1334">
        <v>284</v>
      </c>
      <c r="M63" s="1334">
        <v>286</v>
      </c>
      <c r="N63" s="1334">
        <v>286</v>
      </c>
      <c r="O63" s="1334">
        <v>292</v>
      </c>
      <c r="P63" s="1334">
        <v>295</v>
      </c>
      <c r="Q63" s="1334">
        <v>297</v>
      </c>
      <c r="R63" s="1334"/>
      <c r="S63" s="1334"/>
      <c r="T63" s="1334"/>
      <c r="U63" s="1334"/>
      <c r="V63" s="1334"/>
      <c r="W63" s="1334">
        <v>299</v>
      </c>
      <c r="X63" s="1334">
        <v>312</v>
      </c>
      <c r="Y63" s="1334">
        <v>315</v>
      </c>
      <c r="Z63" s="1334">
        <v>310</v>
      </c>
      <c r="AA63" s="1335">
        <f>SUM(C63:Z63)</f>
        <v>4609</v>
      </c>
    </row>
    <row r="64" spans="1:27" ht="17.100000000000001" customHeight="1" x14ac:dyDescent="0.2">
      <c r="A64" s="7196" t="s">
        <v>75</v>
      </c>
      <c r="B64" s="1905" t="s">
        <v>11</v>
      </c>
      <c r="C64" s="1334"/>
      <c r="D64" s="1334"/>
      <c r="E64" s="1334">
        <v>141</v>
      </c>
      <c r="F64" s="1334">
        <v>160</v>
      </c>
      <c r="G64" s="1334">
        <v>165</v>
      </c>
      <c r="H64" s="1334">
        <v>168</v>
      </c>
      <c r="I64" s="1334">
        <v>170</v>
      </c>
      <c r="J64" s="1334">
        <v>182</v>
      </c>
      <c r="K64" s="1334">
        <v>183</v>
      </c>
      <c r="L64" s="1334">
        <v>187</v>
      </c>
      <c r="M64" s="1334">
        <v>192</v>
      </c>
      <c r="N64" s="1334">
        <v>201</v>
      </c>
      <c r="O64" s="1334">
        <v>213</v>
      </c>
      <c r="P64" s="1334">
        <v>215</v>
      </c>
      <c r="Q64" s="1334">
        <v>217</v>
      </c>
      <c r="R64" s="1334"/>
      <c r="S64" s="1334"/>
      <c r="T64" s="1334"/>
      <c r="U64" s="1334"/>
      <c r="V64" s="1334"/>
      <c r="W64" s="1334">
        <v>211</v>
      </c>
      <c r="X64" s="1334">
        <v>213</v>
      </c>
      <c r="Y64" s="1334">
        <v>218</v>
      </c>
      <c r="Z64" s="1334">
        <v>218</v>
      </c>
      <c r="AA64" s="1335">
        <f>SUM(C64:Z64)</f>
        <v>3254</v>
      </c>
    </row>
    <row r="65" spans="1:27" ht="17.100000000000001" customHeight="1" x14ac:dyDescent="0.2">
      <c r="A65" s="7197"/>
      <c r="B65" s="1906" t="s">
        <v>160</v>
      </c>
      <c r="C65" s="1336"/>
      <c r="D65" s="1336"/>
      <c r="E65" s="1336">
        <f t="shared" ref="E65:Z65" si="13">SUM(E62:E64)</f>
        <v>514</v>
      </c>
      <c r="F65" s="1336">
        <f t="shared" si="13"/>
        <v>593</v>
      </c>
      <c r="G65" s="1336">
        <f t="shared" si="13"/>
        <v>605</v>
      </c>
      <c r="H65" s="1336">
        <f t="shared" si="13"/>
        <v>632</v>
      </c>
      <c r="I65" s="1336">
        <f t="shared" si="13"/>
        <v>635</v>
      </c>
      <c r="J65" s="1336">
        <f t="shared" si="13"/>
        <v>673</v>
      </c>
      <c r="K65" s="1336">
        <f t="shared" si="13"/>
        <v>699</v>
      </c>
      <c r="L65" s="1336">
        <f t="shared" si="13"/>
        <v>714</v>
      </c>
      <c r="M65" s="1336">
        <f t="shared" si="13"/>
        <v>726</v>
      </c>
      <c r="N65" s="1336">
        <f t="shared" si="13"/>
        <v>731</v>
      </c>
      <c r="O65" s="1336">
        <f t="shared" si="13"/>
        <v>756</v>
      </c>
      <c r="P65" s="1336">
        <f t="shared" si="13"/>
        <v>763</v>
      </c>
      <c r="Q65" s="1336">
        <f t="shared" si="13"/>
        <v>774</v>
      </c>
      <c r="R65" s="1336">
        <f t="shared" si="13"/>
        <v>0</v>
      </c>
      <c r="S65" s="1336">
        <f t="shared" si="13"/>
        <v>0</v>
      </c>
      <c r="T65" s="1336">
        <f t="shared" si="13"/>
        <v>0</v>
      </c>
      <c r="U65" s="1336">
        <f t="shared" si="13"/>
        <v>0</v>
      </c>
      <c r="V65" s="1336">
        <f t="shared" si="13"/>
        <v>0</v>
      </c>
      <c r="W65" s="1336">
        <f t="shared" si="13"/>
        <v>777</v>
      </c>
      <c r="X65" s="1336">
        <f t="shared" si="13"/>
        <v>792</v>
      </c>
      <c r="Y65" s="1336">
        <f t="shared" si="13"/>
        <v>801</v>
      </c>
      <c r="Z65" s="1336">
        <f t="shared" si="13"/>
        <v>795</v>
      </c>
      <c r="AA65" s="1340">
        <f>SUM(AA62:AA64)</f>
        <v>11980</v>
      </c>
    </row>
    <row r="66" spans="1:27" ht="17.100000000000001" customHeight="1" x14ac:dyDescent="0.2">
      <c r="A66" s="7200" t="s">
        <v>325</v>
      </c>
      <c r="B66" s="1904" t="s">
        <v>5</v>
      </c>
      <c r="C66" s="1909"/>
      <c r="D66" s="1909"/>
      <c r="E66" s="1909"/>
      <c r="F66" s="1909"/>
      <c r="G66" s="1909"/>
      <c r="H66" s="1909"/>
      <c r="I66" s="1909"/>
      <c r="J66" s="1909"/>
      <c r="K66" s="1909"/>
      <c r="L66" s="1909"/>
      <c r="M66" s="1909"/>
      <c r="N66" s="1909"/>
      <c r="O66" s="1909"/>
      <c r="P66" s="1909"/>
      <c r="Q66" s="1909"/>
      <c r="R66" s="1909"/>
      <c r="S66" s="1909"/>
      <c r="T66" s="1909"/>
      <c r="U66" s="1909"/>
      <c r="V66" s="1909"/>
      <c r="W66" s="1909"/>
      <c r="X66" s="1909"/>
      <c r="Y66" s="1909">
        <v>1</v>
      </c>
      <c r="Z66" s="1909">
        <v>2</v>
      </c>
      <c r="AA66" s="1333">
        <f>SUM(C66:Z66)</f>
        <v>3</v>
      </c>
    </row>
    <row r="67" spans="1:27" ht="17.100000000000001" customHeight="1" x14ac:dyDescent="0.2">
      <c r="A67" s="7201" t="s">
        <v>75</v>
      </c>
      <c r="B67" s="1905" t="s">
        <v>6</v>
      </c>
      <c r="C67" s="1334"/>
      <c r="D67" s="1334"/>
      <c r="E67" s="1334"/>
      <c r="F67" s="1334"/>
      <c r="G67" s="1334"/>
      <c r="H67" s="1334"/>
      <c r="I67" s="1334"/>
      <c r="J67" s="1334"/>
      <c r="K67" s="1334"/>
      <c r="L67" s="1334"/>
      <c r="M67" s="1334"/>
      <c r="N67" s="1334"/>
      <c r="O67" s="1334"/>
      <c r="P67" s="1334"/>
      <c r="Q67" s="1334"/>
      <c r="R67" s="1334"/>
      <c r="S67" s="1334"/>
      <c r="T67" s="1334"/>
      <c r="U67" s="1334"/>
      <c r="V67" s="1334"/>
      <c r="W67" s="1334"/>
      <c r="X67" s="1334"/>
      <c r="Y67" s="1334"/>
      <c r="Z67" s="1334"/>
      <c r="AA67" s="1335">
        <f>SUM(C67:Z67)</f>
        <v>0</v>
      </c>
    </row>
    <row r="68" spans="1:27" ht="17.100000000000001" customHeight="1" x14ac:dyDescent="0.2">
      <c r="A68" s="7201" t="s">
        <v>75</v>
      </c>
      <c r="B68" s="1905" t="s">
        <v>11</v>
      </c>
      <c r="C68" s="1334"/>
      <c r="D68" s="1334"/>
      <c r="E68" s="1334"/>
      <c r="F68" s="1334"/>
      <c r="G68" s="1334"/>
      <c r="H68" s="1334"/>
      <c r="I68" s="1334"/>
      <c r="J68" s="1334"/>
      <c r="K68" s="1334"/>
      <c r="L68" s="1334"/>
      <c r="M68" s="1334"/>
      <c r="N68" s="1334"/>
      <c r="O68" s="1334"/>
      <c r="P68" s="1334"/>
      <c r="Q68" s="1334"/>
      <c r="R68" s="1334"/>
      <c r="S68" s="1334"/>
      <c r="T68" s="1334"/>
      <c r="U68" s="1334"/>
      <c r="V68" s="1334"/>
      <c r="W68" s="1334"/>
      <c r="X68" s="1334"/>
      <c r="Y68" s="1334">
        <v>2</v>
      </c>
      <c r="Z68" s="1334">
        <v>4</v>
      </c>
      <c r="AA68" s="1335">
        <f>SUM(C68:Z68)</f>
        <v>6</v>
      </c>
    </row>
    <row r="69" spans="1:27" ht="17.100000000000001" customHeight="1" x14ac:dyDescent="0.2">
      <c r="A69" s="7202"/>
      <c r="B69" s="1906" t="s">
        <v>160</v>
      </c>
      <c r="C69" s="1336"/>
      <c r="D69" s="1336"/>
      <c r="E69" s="1336"/>
      <c r="F69" s="1336"/>
      <c r="G69" s="1336"/>
      <c r="H69" s="1336"/>
      <c r="I69" s="1336"/>
      <c r="J69" s="1336"/>
      <c r="K69" s="1336"/>
      <c r="L69" s="1336"/>
      <c r="M69" s="1336"/>
      <c r="N69" s="1336"/>
      <c r="O69" s="1336"/>
      <c r="P69" s="1336"/>
      <c r="Q69" s="1336"/>
      <c r="R69" s="1336"/>
      <c r="S69" s="1336"/>
      <c r="T69" s="1336"/>
      <c r="U69" s="1336"/>
      <c r="V69" s="1336"/>
      <c r="W69" s="1336"/>
      <c r="X69" s="1336">
        <f>SUM(X66:X68)</f>
        <v>0</v>
      </c>
      <c r="Y69" s="1336">
        <f>SUM(Y66:Y68)</f>
        <v>3</v>
      </c>
      <c r="Z69" s="1336">
        <f>SUM(Z66:Z68)</f>
        <v>6</v>
      </c>
      <c r="AA69" s="1340">
        <f>SUM(AA66:AA68)</f>
        <v>9</v>
      </c>
    </row>
    <row r="70" spans="1:27" ht="17.100000000000001" customHeight="1" x14ac:dyDescent="0.2">
      <c r="A70" s="7203" t="s">
        <v>10</v>
      </c>
      <c r="B70" s="1904" t="s">
        <v>6</v>
      </c>
      <c r="C70" s="1909"/>
      <c r="D70" s="1909"/>
      <c r="E70" s="1909">
        <v>167</v>
      </c>
      <c r="F70" s="1909">
        <v>236</v>
      </c>
      <c r="G70" s="1909">
        <v>251</v>
      </c>
      <c r="H70" s="1909">
        <v>267</v>
      </c>
      <c r="I70" s="1909">
        <v>279</v>
      </c>
      <c r="J70" s="1909">
        <v>298</v>
      </c>
      <c r="K70" s="1909">
        <v>308</v>
      </c>
      <c r="L70" s="1909">
        <v>326</v>
      </c>
      <c r="M70" s="1909">
        <v>338</v>
      </c>
      <c r="N70" s="1909">
        <v>348</v>
      </c>
      <c r="O70" s="1909">
        <v>364</v>
      </c>
      <c r="P70" s="1909">
        <v>370</v>
      </c>
      <c r="Q70" s="1909">
        <v>372</v>
      </c>
      <c r="R70" s="1909"/>
      <c r="S70" s="1909"/>
      <c r="T70" s="1909"/>
      <c r="U70" s="1909"/>
      <c r="V70" s="1909"/>
      <c r="W70" s="1909">
        <v>381</v>
      </c>
      <c r="X70" s="1909">
        <v>385</v>
      </c>
      <c r="Y70" s="1909">
        <v>388</v>
      </c>
      <c r="Z70" s="1909">
        <v>391</v>
      </c>
      <c r="AA70" s="1333">
        <f>SUM(C70:Z70)</f>
        <v>5469</v>
      </c>
    </row>
    <row r="71" spans="1:27" ht="17.100000000000001" customHeight="1" x14ac:dyDescent="0.2">
      <c r="A71" s="7204" t="s">
        <v>10</v>
      </c>
      <c r="B71" s="1905" t="s">
        <v>11</v>
      </c>
      <c r="C71" s="1334"/>
      <c r="D71" s="1334"/>
      <c r="E71" s="1334">
        <v>168</v>
      </c>
      <c r="F71" s="1334">
        <v>218</v>
      </c>
      <c r="G71" s="1334">
        <v>237</v>
      </c>
      <c r="H71" s="1334">
        <v>294</v>
      </c>
      <c r="I71" s="1334">
        <v>325</v>
      </c>
      <c r="J71" s="1334">
        <v>345</v>
      </c>
      <c r="K71" s="1334">
        <v>358</v>
      </c>
      <c r="L71" s="1334">
        <v>364</v>
      </c>
      <c r="M71" s="1334">
        <v>376</v>
      </c>
      <c r="N71" s="1334">
        <v>366</v>
      </c>
      <c r="O71" s="1334">
        <v>370</v>
      </c>
      <c r="P71" s="1334">
        <v>369</v>
      </c>
      <c r="Q71" s="1334">
        <v>375</v>
      </c>
      <c r="R71" s="1334"/>
      <c r="S71" s="1334"/>
      <c r="T71" s="1334"/>
      <c r="U71" s="1334"/>
      <c r="V71" s="1334"/>
      <c r="W71" s="1334">
        <v>349</v>
      </c>
      <c r="X71" s="1334">
        <v>359</v>
      </c>
      <c r="Y71" s="1334">
        <v>366</v>
      </c>
      <c r="Z71" s="1334">
        <v>366</v>
      </c>
      <c r="AA71" s="1335">
        <f>SUM(C71:Z71)</f>
        <v>5605</v>
      </c>
    </row>
    <row r="72" spans="1:27" ht="17.100000000000001" customHeight="1" x14ac:dyDescent="0.2">
      <c r="A72" s="7204" t="s">
        <v>10</v>
      </c>
      <c r="B72" s="1905" t="s">
        <v>7</v>
      </c>
      <c r="C72" s="1334"/>
      <c r="D72" s="1334"/>
      <c r="E72" s="1334">
        <v>80</v>
      </c>
      <c r="F72" s="1334">
        <v>106</v>
      </c>
      <c r="G72" s="1334">
        <v>110</v>
      </c>
      <c r="H72" s="1334">
        <v>136</v>
      </c>
      <c r="I72" s="1334">
        <v>145</v>
      </c>
      <c r="J72" s="1334">
        <v>157</v>
      </c>
      <c r="K72" s="1334">
        <v>164</v>
      </c>
      <c r="L72" s="1334">
        <v>168</v>
      </c>
      <c r="M72" s="1334">
        <v>168</v>
      </c>
      <c r="N72" s="1334">
        <v>163</v>
      </c>
      <c r="O72" s="1334">
        <v>164</v>
      </c>
      <c r="P72" s="1334">
        <v>169</v>
      </c>
      <c r="Q72" s="1334">
        <v>176</v>
      </c>
      <c r="R72" s="1334"/>
      <c r="S72" s="1334"/>
      <c r="T72" s="1334"/>
      <c r="U72" s="1334"/>
      <c r="V72" s="1334"/>
      <c r="W72" s="1334">
        <v>162</v>
      </c>
      <c r="X72" s="1334">
        <v>158</v>
      </c>
      <c r="Y72" s="1334">
        <v>172</v>
      </c>
      <c r="Z72" s="1334">
        <v>171</v>
      </c>
      <c r="AA72" s="1335">
        <f>SUM(C72:Z72)</f>
        <v>2569</v>
      </c>
    </row>
    <row r="73" spans="1:27" ht="17.100000000000001" customHeight="1" x14ac:dyDescent="0.2">
      <c r="A73" s="7205" t="s">
        <v>10</v>
      </c>
      <c r="B73" s="1906" t="s">
        <v>160</v>
      </c>
      <c r="C73" s="1336"/>
      <c r="D73" s="1336"/>
      <c r="E73" s="1336">
        <f t="shared" ref="E73:Z73" si="14">SUM(E70:E72)</f>
        <v>415</v>
      </c>
      <c r="F73" s="1336">
        <f t="shared" si="14"/>
        <v>560</v>
      </c>
      <c r="G73" s="1336">
        <f t="shared" si="14"/>
        <v>598</v>
      </c>
      <c r="H73" s="1336">
        <f t="shared" si="14"/>
        <v>697</v>
      </c>
      <c r="I73" s="1336">
        <f t="shared" si="14"/>
        <v>749</v>
      </c>
      <c r="J73" s="1336">
        <f t="shared" si="14"/>
        <v>800</v>
      </c>
      <c r="K73" s="1336">
        <f t="shared" si="14"/>
        <v>830</v>
      </c>
      <c r="L73" s="1336">
        <f t="shared" si="14"/>
        <v>858</v>
      </c>
      <c r="M73" s="1336">
        <f t="shared" si="14"/>
        <v>882</v>
      </c>
      <c r="N73" s="1336">
        <f t="shared" si="14"/>
        <v>877</v>
      </c>
      <c r="O73" s="1336">
        <f t="shared" si="14"/>
        <v>898</v>
      </c>
      <c r="P73" s="1336">
        <f t="shared" si="14"/>
        <v>908</v>
      </c>
      <c r="Q73" s="1336">
        <f t="shared" si="14"/>
        <v>923</v>
      </c>
      <c r="R73" s="1336">
        <f t="shared" si="14"/>
        <v>0</v>
      </c>
      <c r="S73" s="1336">
        <f t="shared" si="14"/>
        <v>0</v>
      </c>
      <c r="T73" s="1336">
        <f t="shared" si="14"/>
        <v>0</v>
      </c>
      <c r="U73" s="1336">
        <f t="shared" si="14"/>
        <v>0</v>
      </c>
      <c r="V73" s="1336">
        <f t="shared" si="14"/>
        <v>0</v>
      </c>
      <c r="W73" s="1336">
        <f t="shared" si="14"/>
        <v>892</v>
      </c>
      <c r="X73" s="1336">
        <f t="shared" si="14"/>
        <v>902</v>
      </c>
      <c r="Y73" s="1336">
        <f t="shared" si="14"/>
        <v>926</v>
      </c>
      <c r="Z73" s="1336">
        <f t="shared" si="14"/>
        <v>928</v>
      </c>
      <c r="AA73" s="1340">
        <f>SUM(AA70:AA72)</f>
        <v>13643</v>
      </c>
    </row>
    <row r="74" spans="1:27" ht="17.100000000000001" customHeight="1" x14ac:dyDescent="0.2">
      <c r="A74" s="7198" t="s">
        <v>573</v>
      </c>
      <c r="B74" s="7206"/>
      <c r="C74" s="1910"/>
      <c r="D74" s="1337"/>
      <c r="E74" s="1337">
        <f t="shared" ref="E74:V74" si="15">SUM(E57,E61,E65,E73)</f>
        <v>1276</v>
      </c>
      <c r="F74" s="1337">
        <f t="shared" si="15"/>
        <v>1613</v>
      </c>
      <c r="G74" s="1337">
        <f t="shared" si="15"/>
        <v>1709</v>
      </c>
      <c r="H74" s="1337">
        <f t="shared" si="15"/>
        <v>1912</v>
      </c>
      <c r="I74" s="1337">
        <f t="shared" si="15"/>
        <v>2001</v>
      </c>
      <c r="J74" s="1337">
        <f t="shared" si="15"/>
        <v>2122</v>
      </c>
      <c r="K74" s="1337">
        <f t="shared" si="15"/>
        <v>2197</v>
      </c>
      <c r="L74" s="1337">
        <f t="shared" si="15"/>
        <v>2263</v>
      </c>
      <c r="M74" s="1337">
        <f t="shared" si="15"/>
        <v>2332</v>
      </c>
      <c r="N74" s="1337">
        <f t="shared" si="15"/>
        <v>2341</v>
      </c>
      <c r="O74" s="1337">
        <f t="shared" si="15"/>
        <v>2416</v>
      </c>
      <c r="P74" s="1337">
        <f t="shared" si="15"/>
        <v>2454</v>
      </c>
      <c r="Q74" s="1337">
        <f t="shared" si="15"/>
        <v>2496</v>
      </c>
      <c r="R74" s="1337">
        <f t="shared" si="15"/>
        <v>0</v>
      </c>
      <c r="S74" s="1337">
        <f t="shared" si="15"/>
        <v>0</v>
      </c>
      <c r="T74" s="1337">
        <f t="shared" si="15"/>
        <v>0</v>
      </c>
      <c r="U74" s="1337">
        <f t="shared" si="15"/>
        <v>0</v>
      </c>
      <c r="V74" s="1337">
        <f t="shared" si="15"/>
        <v>0</v>
      </c>
      <c r="W74" s="1337">
        <f>SUM(W57,W61,W65,W73)</f>
        <v>2598</v>
      </c>
      <c r="X74" s="1337">
        <f>SUM(X57,X61,X65,X73)</f>
        <v>2669</v>
      </c>
      <c r="Y74" s="1337">
        <f>SUM(Y57,Y61,Y65,Y69,Y73)</f>
        <v>2743</v>
      </c>
      <c r="Z74" s="1337">
        <f>SUM(Z57,Z61,Z65,Z69,Z73)</f>
        <v>2761</v>
      </c>
      <c r="AA74" s="1338">
        <f>SUM(AA57,AA61,AA65,AA69,AA73)</f>
        <v>37903</v>
      </c>
    </row>
    <row r="75" spans="1:27" ht="17.100000000000001" customHeight="1" x14ac:dyDescent="0.2">
      <c r="A75" s="1339"/>
      <c r="B75" s="1339"/>
      <c r="C75" s="1339"/>
      <c r="D75" s="1339"/>
      <c r="E75" s="1339"/>
      <c r="F75" s="1339"/>
      <c r="G75" s="1339"/>
      <c r="H75" s="1339"/>
      <c r="I75" s="1339"/>
      <c r="J75" s="1339"/>
      <c r="K75" s="1339"/>
      <c r="L75" s="1339"/>
      <c r="M75" s="1339"/>
      <c r="N75" s="1339"/>
      <c r="O75" s="1339"/>
      <c r="P75" s="1339"/>
      <c r="Q75" s="1339"/>
      <c r="R75" s="1339"/>
      <c r="S75" s="1339"/>
      <c r="T75" s="1339"/>
      <c r="U75" s="1339"/>
      <c r="V75" s="1339"/>
      <c r="W75" s="1339"/>
      <c r="X75" s="1339"/>
      <c r="Y75" s="1339"/>
      <c r="Z75" s="1339"/>
      <c r="AA75" s="1339"/>
    </row>
    <row r="76" spans="1:27" ht="17.100000000000001" customHeight="1" x14ac:dyDescent="0.2">
      <c r="A76" s="7185" t="s">
        <v>16</v>
      </c>
      <c r="B76" s="7187" t="s">
        <v>354</v>
      </c>
      <c r="C76" s="7181" t="s">
        <v>577</v>
      </c>
      <c r="D76" s="7182"/>
      <c r="E76" s="7182"/>
      <c r="F76" s="7182"/>
      <c r="G76" s="7182"/>
      <c r="H76" s="7182"/>
      <c r="I76" s="7182"/>
      <c r="J76" s="7182"/>
      <c r="K76" s="7182"/>
      <c r="L76" s="7182"/>
      <c r="M76" s="7182"/>
      <c r="N76" s="7182"/>
      <c r="O76" s="7182"/>
      <c r="P76" s="7182"/>
      <c r="Q76" s="7182"/>
      <c r="R76" s="7182"/>
      <c r="S76" s="7182"/>
      <c r="T76" s="7182"/>
      <c r="U76" s="7182"/>
      <c r="V76" s="7182"/>
      <c r="W76" s="7182"/>
      <c r="X76" s="7182"/>
      <c r="Y76" s="7182"/>
      <c r="Z76" s="7183"/>
      <c r="AA76" s="7184"/>
    </row>
    <row r="77" spans="1:27" ht="17.100000000000001" customHeight="1" x14ac:dyDescent="0.2">
      <c r="A77" s="7186"/>
      <c r="B77" s="7207"/>
      <c r="C77" s="1330">
        <v>1990</v>
      </c>
      <c r="D77" s="1331">
        <v>1991</v>
      </c>
      <c r="E77" s="1331">
        <v>1992</v>
      </c>
      <c r="F77" s="1331">
        <v>1993</v>
      </c>
      <c r="G77" s="1331">
        <v>1994</v>
      </c>
      <c r="H77" s="1331">
        <v>1995</v>
      </c>
      <c r="I77" s="1331">
        <v>1996</v>
      </c>
      <c r="J77" s="1331">
        <v>1997</v>
      </c>
      <c r="K77" s="1331">
        <v>1998</v>
      </c>
      <c r="L77" s="1331">
        <v>1999</v>
      </c>
      <c r="M77" s="1331">
        <v>2000</v>
      </c>
      <c r="N77" s="1331">
        <v>2001</v>
      </c>
      <c r="O77" s="1331">
        <v>2002</v>
      </c>
      <c r="P77" s="1331">
        <v>2003</v>
      </c>
      <c r="Q77" s="1331">
        <v>2004</v>
      </c>
      <c r="R77" s="1331">
        <v>2005</v>
      </c>
      <c r="S77" s="1331">
        <v>2006</v>
      </c>
      <c r="T77" s="1331">
        <v>2007</v>
      </c>
      <c r="U77" s="1331">
        <v>2008</v>
      </c>
      <c r="V77" s="1331">
        <v>2009</v>
      </c>
      <c r="W77" s="1331">
        <v>2010</v>
      </c>
      <c r="X77" s="1331">
        <v>2011</v>
      </c>
      <c r="Y77" s="1331">
        <v>2012</v>
      </c>
      <c r="Z77" s="1332">
        <v>2013</v>
      </c>
      <c r="AA77" s="1342" t="s">
        <v>160</v>
      </c>
    </row>
    <row r="78" spans="1:27" ht="17.100000000000001" customHeight="1" x14ac:dyDescent="0.2">
      <c r="A78" s="7189" t="s">
        <v>3</v>
      </c>
      <c r="B78" s="1904" t="s">
        <v>5</v>
      </c>
      <c r="C78" s="1909"/>
      <c r="D78" s="1909"/>
      <c r="E78" s="1909"/>
      <c r="F78" s="1909"/>
      <c r="G78" s="1909"/>
      <c r="H78" s="1909">
        <v>202</v>
      </c>
      <c r="I78" s="1909">
        <v>221</v>
      </c>
      <c r="J78" s="1909">
        <v>230</v>
      </c>
      <c r="K78" s="1909">
        <v>236</v>
      </c>
      <c r="L78" s="1909">
        <v>237</v>
      </c>
      <c r="M78" s="1909">
        <v>256</v>
      </c>
      <c r="N78" s="1909">
        <v>258</v>
      </c>
      <c r="O78" s="1909">
        <v>266</v>
      </c>
      <c r="P78" s="1909">
        <v>206</v>
      </c>
      <c r="Q78" s="1909">
        <v>215</v>
      </c>
      <c r="R78" s="1909"/>
      <c r="S78" s="1909"/>
      <c r="T78" s="1909"/>
      <c r="U78" s="1909"/>
      <c r="V78" s="1909"/>
      <c r="W78" s="1909">
        <v>254</v>
      </c>
      <c r="X78" s="1909">
        <v>271</v>
      </c>
      <c r="Y78" s="1909">
        <v>278</v>
      </c>
      <c r="Z78" s="1334">
        <v>287</v>
      </c>
      <c r="AA78" s="1333">
        <f>SUM(C78:Z78)</f>
        <v>3417</v>
      </c>
    </row>
    <row r="79" spans="1:27" ht="17.100000000000001" customHeight="1" x14ac:dyDescent="0.2">
      <c r="A79" s="7190"/>
      <c r="B79" s="1905" t="s">
        <v>6</v>
      </c>
      <c r="C79" s="1334"/>
      <c r="D79" s="1334"/>
      <c r="E79" s="1334"/>
      <c r="F79" s="1334"/>
      <c r="G79" s="1334"/>
      <c r="H79" s="1334">
        <v>206</v>
      </c>
      <c r="I79" s="1334">
        <v>212</v>
      </c>
      <c r="J79" s="1334">
        <v>213</v>
      </c>
      <c r="K79" s="1334">
        <v>217</v>
      </c>
      <c r="L79" s="1334">
        <v>219</v>
      </c>
      <c r="M79" s="1334">
        <v>221</v>
      </c>
      <c r="N79" s="1334">
        <v>238</v>
      </c>
      <c r="O79" s="1334">
        <v>241</v>
      </c>
      <c r="P79" s="1334">
        <v>168</v>
      </c>
      <c r="Q79" s="1334">
        <v>178</v>
      </c>
      <c r="R79" s="1334"/>
      <c r="S79" s="1334"/>
      <c r="T79" s="1334"/>
      <c r="U79" s="1334"/>
      <c r="V79" s="1334"/>
      <c r="W79" s="1334">
        <v>203</v>
      </c>
      <c r="X79" s="1334">
        <v>216</v>
      </c>
      <c r="Y79" s="1334">
        <v>228</v>
      </c>
      <c r="Z79" s="1334">
        <v>229</v>
      </c>
      <c r="AA79" s="1335">
        <f>SUM(C79:Z79)</f>
        <v>2989</v>
      </c>
    </row>
    <row r="80" spans="1:27" ht="17.100000000000001" customHeight="1" x14ac:dyDescent="0.2">
      <c r="A80" s="7190"/>
      <c r="B80" s="1905" t="s">
        <v>7</v>
      </c>
      <c r="C80" s="1334"/>
      <c r="D80" s="1334"/>
      <c r="E80" s="1334"/>
      <c r="F80" s="1334"/>
      <c r="G80" s="1334"/>
      <c r="H80" s="1334">
        <v>133</v>
      </c>
      <c r="I80" s="1334">
        <v>133</v>
      </c>
      <c r="J80" s="1334">
        <v>135</v>
      </c>
      <c r="K80" s="1334">
        <v>143</v>
      </c>
      <c r="L80" s="1334">
        <v>143</v>
      </c>
      <c r="M80" s="1334">
        <v>147</v>
      </c>
      <c r="N80" s="1334">
        <v>145</v>
      </c>
      <c r="O80" s="1334">
        <v>148</v>
      </c>
      <c r="P80" s="1334">
        <v>82</v>
      </c>
      <c r="Q80" s="1334">
        <v>86</v>
      </c>
      <c r="R80" s="1334"/>
      <c r="S80" s="1334"/>
      <c r="T80" s="1334"/>
      <c r="U80" s="1334"/>
      <c r="V80" s="1334"/>
      <c r="W80" s="1334">
        <v>115</v>
      </c>
      <c r="X80" s="1334">
        <v>127</v>
      </c>
      <c r="Y80" s="1334">
        <v>134</v>
      </c>
      <c r="Z80" s="1334">
        <v>136</v>
      </c>
      <c r="AA80" s="1335">
        <f>SUM(C80:Z80)</f>
        <v>1807</v>
      </c>
    </row>
    <row r="81" spans="1:27" ht="17.100000000000001" customHeight="1" x14ac:dyDescent="0.2">
      <c r="A81" s="7191"/>
      <c r="B81" s="1906" t="s">
        <v>160</v>
      </c>
      <c r="C81" s="1336"/>
      <c r="D81" s="1336"/>
      <c r="E81" s="1336"/>
      <c r="F81" s="1336"/>
      <c r="G81" s="1336"/>
      <c r="H81" s="1336">
        <f t="shared" ref="H81:V81" si="16">SUM(H78:H80)</f>
        <v>541</v>
      </c>
      <c r="I81" s="1336">
        <f t="shared" si="16"/>
        <v>566</v>
      </c>
      <c r="J81" s="1336">
        <f t="shared" si="16"/>
        <v>578</v>
      </c>
      <c r="K81" s="1336">
        <f t="shared" si="16"/>
        <v>596</v>
      </c>
      <c r="L81" s="1336">
        <f t="shared" si="16"/>
        <v>599</v>
      </c>
      <c r="M81" s="1336">
        <f t="shared" si="16"/>
        <v>624</v>
      </c>
      <c r="N81" s="1336">
        <f t="shared" si="16"/>
        <v>641</v>
      </c>
      <c r="O81" s="1336">
        <f t="shared" si="16"/>
        <v>655</v>
      </c>
      <c r="P81" s="1336">
        <f t="shared" si="16"/>
        <v>456</v>
      </c>
      <c r="Q81" s="1336">
        <f t="shared" si="16"/>
        <v>479</v>
      </c>
      <c r="R81" s="1336">
        <f t="shared" si="16"/>
        <v>0</v>
      </c>
      <c r="S81" s="1336">
        <f t="shared" si="16"/>
        <v>0</v>
      </c>
      <c r="T81" s="1336">
        <f t="shared" si="16"/>
        <v>0</v>
      </c>
      <c r="U81" s="1336">
        <f t="shared" si="16"/>
        <v>0</v>
      </c>
      <c r="V81" s="1336">
        <f t="shared" si="16"/>
        <v>0</v>
      </c>
      <c r="W81" s="1336">
        <f>SUM(W78:W80)</f>
        <v>572</v>
      </c>
      <c r="X81" s="1336">
        <f>SUM(X78:X80)</f>
        <v>614</v>
      </c>
      <c r="Y81" s="1336">
        <f>SUM(Y78:Y80)</f>
        <v>640</v>
      </c>
      <c r="Z81" s="1336">
        <f>SUM(Z78:Z80)</f>
        <v>652</v>
      </c>
      <c r="AA81" s="1340">
        <f>SUM(AA78:AA80)</f>
        <v>8213</v>
      </c>
    </row>
    <row r="82" spans="1:27" ht="17.100000000000001" customHeight="1" x14ac:dyDescent="0.2">
      <c r="A82" s="7192" t="s">
        <v>8</v>
      </c>
      <c r="B82" s="1904" t="s">
        <v>6</v>
      </c>
      <c r="C82" s="1909"/>
      <c r="D82" s="1909"/>
      <c r="E82" s="1909"/>
      <c r="F82" s="1909"/>
      <c r="G82" s="1909"/>
      <c r="H82" s="1909"/>
      <c r="I82" s="1909"/>
      <c r="J82" s="1909"/>
      <c r="K82" s="1909"/>
      <c r="L82" s="1909"/>
      <c r="M82" s="1909"/>
      <c r="N82" s="1909"/>
      <c r="O82" s="1909"/>
      <c r="P82" s="1909"/>
      <c r="Q82" s="1909"/>
      <c r="R82" s="1909"/>
      <c r="S82" s="1909"/>
      <c r="T82" s="1909"/>
      <c r="U82" s="1909"/>
      <c r="V82" s="1909"/>
      <c r="W82" s="1909">
        <v>46</v>
      </c>
      <c r="X82" s="1909">
        <v>47</v>
      </c>
      <c r="Y82" s="1909">
        <v>52</v>
      </c>
      <c r="Z82" s="1909">
        <v>51</v>
      </c>
      <c r="AA82" s="1333">
        <f>SUM(C82:Z82)</f>
        <v>196</v>
      </c>
    </row>
    <row r="83" spans="1:27" ht="17.100000000000001" customHeight="1" x14ac:dyDescent="0.2">
      <c r="A83" s="7193"/>
      <c r="B83" s="1905" t="s">
        <v>9</v>
      </c>
      <c r="C83" s="1334"/>
      <c r="D83" s="1334"/>
      <c r="E83" s="1334"/>
      <c r="F83" s="1334"/>
      <c r="G83" s="1334"/>
      <c r="H83" s="1334"/>
      <c r="I83" s="1334"/>
      <c r="J83" s="1334"/>
      <c r="K83" s="1334"/>
      <c r="L83" s="1334"/>
      <c r="M83" s="1334"/>
      <c r="N83" s="1334"/>
      <c r="O83" s="1334"/>
      <c r="P83" s="1334"/>
      <c r="Q83" s="1334"/>
      <c r="R83" s="1334"/>
      <c r="S83" s="1334"/>
      <c r="T83" s="1334"/>
      <c r="U83" s="1334"/>
      <c r="V83" s="1334"/>
      <c r="W83" s="1334">
        <v>36</v>
      </c>
      <c r="X83" s="1334">
        <v>42</v>
      </c>
      <c r="Y83" s="1334">
        <v>47</v>
      </c>
      <c r="Z83" s="1334">
        <v>47</v>
      </c>
      <c r="AA83" s="1335">
        <f>SUM(C83:Z83)</f>
        <v>172</v>
      </c>
    </row>
    <row r="84" spans="1:27" ht="17.100000000000001" customHeight="1" x14ac:dyDescent="0.2">
      <c r="A84" s="7193"/>
      <c r="B84" s="1905" t="s">
        <v>74</v>
      </c>
      <c r="C84" s="1334"/>
      <c r="D84" s="1334"/>
      <c r="E84" s="1334"/>
      <c r="F84" s="1334"/>
      <c r="G84" s="1334"/>
      <c r="H84" s="1334"/>
      <c r="I84" s="1334"/>
      <c r="J84" s="1334"/>
      <c r="K84" s="1334"/>
      <c r="L84" s="1334"/>
      <c r="M84" s="1334"/>
      <c r="N84" s="1334"/>
      <c r="O84" s="1334"/>
      <c r="P84" s="1334"/>
      <c r="Q84" s="1334"/>
      <c r="R84" s="1334"/>
      <c r="S84" s="1334"/>
      <c r="T84" s="1334"/>
      <c r="U84" s="1334"/>
      <c r="V84" s="1334"/>
      <c r="W84" s="1334">
        <v>28</v>
      </c>
      <c r="X84" s="1334">
        <v>42</v>
      </c>
      <c r="Y84" s="1334">
        <v>45</v>
      </c>
      <c r="Z84" s="1334">
        <v>49</v>
      </c>
      <c r="AA84" s="1335">
        <f>SUM(C84:Z84)</f>
        <v>164</v>
      </c>
    </row>
    <row r="85" spans="1:27" ht="17.100000000000001" customHeight="1" x14ac:dyDescent="0.2">
      <c r="A85" s="7194"/>
      <c r="B85" s="1906" t="s">
        <v>160</v>
      </c>
      <c r="C85" s="1336"/>
      <c r="D85" s="1336"/>
      <c r="E85" s="1336"/>
      <c r="F85" s="1336"/>
      <c r="G85" s="1336"/>
      <c r="H85" s="1336"/>
      <c r="I85" s="1336"/>
      <c r="J85" s="1336"/>
      <c r="K85" s="1336"/>
      <c r="L85" s="1336"/>
      <c r="M85" s="1336"/>
      <c r="N85" s="1336"/>
      <c r="O85" s="1336"/>
      <c r="P85" s="1336"/>
      <c r="Q85" s="1336"/>
      <c r="R85" s="1336">
        <f t="shared" ref="R85:AA85" si="17">SUM(R82:R84)</f>
        <v>0</v>
      </c>
      <c r="S85" s="1336">
        <f t="shared" si="17"/>
        <v>0</v>
      </c>
      <c r="T85" s="1336">
        <f t="shared" si="17"/>
        <v>0</v>
      </c>
      <c r="U85" s="1336">
        <f t="shared" si="17"/>
        <v>0</v>
      </c>
      <c r="V85" s="1336">
        <f t="shared" si="17"/>
        <v>0</v>
      </c>
      <c r="W85" s="1336">
        <f t="shared" si="17"/>
        <v>110</v>
      </c>
      <c r="X85" s="1336">
        <f t="shared" si="17"/>
        <v>131</v>
      </c>
      <c r="Y85" s="1336">
        <f t="shared" si="17"/>
        <v>144</v>
      </c>
      <c r="Z85" s="1336">
        <f t="shared" si="17"/>
        <v>147</v>
      </c>
      <c r="AA85" s="1340">
        <f t="shared" si="17"/>
        <v>532</v>
      </c>
    </row>
    <row r="86" spans="1:27" ht="17.100000000000001" customHeight="1" x14ac:dyDescent="0.2">
      <c r="A86" s="7195" t="s">
        <v>75</v>
      </c>
      <c r="B86" s="1904" t="s">
        <v>5</v>
      </c>
      <c r="C86" s="1909"/>
      <c r="D86" s="1909"/>
      <c r="E86" s="1909"/>
      <c r="F86" s="1909"/>
      <c r="G86" s="1909"/>
      <c r="H86" s="1909">
        <v>232</v>
      </c>
      <c r="I86" s="1909">
        <v>233</v>
      </c>
      <c r="J86" s="1909">
        <v>230</v>
      </c>
      <c r="K86" s="1909">
        <v>242</v>
      </c>
      <c r="L86" s="1909">
        <v>246</v>
      </c>
      <c r="M86" s="1909">
        <v>244</v>
      </c>
      <c r="N86" s="1909">
        <v>243</v>
      </c>
      <c r="O86" s="1909">
        <v>252</v>
      </c>
      <c r="P86" s="1909">
        <v>237</v>
      </c>
      <c r="Q86" s="1909">
        <v>243</v>
      </c>
      <c r="R86" s="1909"/>
      <c r="S86" s="1909"/>
      <c r="T86" s="1909"/>
      <c r="U86" s="1909"/>
      <c r="V86" s="1909"/>
      <c r="W86" s="1909">
        <v>255</v>
      </c>
      <c r="X86" s="1909">
        <v>256</v>
      </c>
      <c r="Y86" s="1909">
        <v>259</v>
      </c>
      <c r="Z86" s="1909">
        <v>261</v>
      </c>
      <c r="AA86" s="1333">
        <f>SUM(C86:Z86)</f>
        <v>3433</v>
      </c>
    </row>
    <row r="87" spans="1:27" ht="17.100000000000001" customHeight="1" x14ac:dyDescent="0.2">
      <c r="A87" s="7196" t="s">
        <v>75</v>
      </c>
      <c r="B87" s="1905" t="s">
        <v>6</v>
      </c>
      <c r="C87" s="1334"/>
      <c r="D87" s="1334"/>
      <c r="E87" s="1334"/>
      <c r="F87" s="1334"/>
      <c r="G87" s="1334"/>
      <c r="H87" s="1334">
        <v>233</v>
      </c>
      <c r="I87" s="1334">
        <v>234</v>
      </c>
      <c r="J87" s="1334">
        <v>244</v>
      </c>
      <c r="K87" s="1334">
        <v>265</v>
      </c>
      <c r="L87" s="1334">
        <v>270</v>
      </c>
      <c r="M87" s="1334">
        <v>274</v>
      </c>
      <c r="N87" s="1334">
        <v>274</v>
      </c>
      <c r="O87" s="1334">
        <v>281</v>
      </c>
      <c r="P87" s="1334">
        <v>222</v>
      </c>
      <c r="Q87" s="1334">
        <v>228</v>
      </c>
      <c r="R87" s="1334"/>
      <c r="S87" s="1334"/>
      <c r="T87" s="1334"/>
      <c r="U87" s="1334"/>
      <c r="V87" s="1334"/>
      <c r="W87" s="1334">
        <v>255</v>
      </c>
      <c r="X87" s="1334">
        <v>261</v>
      </c>
      <c r="Y87" s="1334">
        <v>262</v>
      </c>
      <c r="Z87" s="1334">
        <v>261</v>
      </c>
      <c r="AA87" s="1335">
        <f>SUM(C87:Z87)</f>
        <v>3564</v>
      </c>
    </row>
    <row r="88" spans="1:27" ht="17.100000000000001" customHeight="1" x14ac:dyDescent="0.2">
      <c r="A88" s="7196" t="s">
        <v>75</v>
      </c>
      <c r="B88" s="1905" t="s">
        <v>11</v>
      </c>
      <c r="C88" s="1334"/>
      <c r="D88" s="1334"/>
      <c r="E88" s="1334"/>
      <c r="F88" s="1334"/>
      <c r="G88" s="1334"/>
      <c r="H88" s="1334">
        <v>167</v>
      </c>
      <c r="I88" s="1334">
        <v>175</v>
      </c>
      <c r="J88" s="1334">
        <v>183</v>
      </c>
      <c r="K88" s="1334">
        <v>187</v>
      </c>
      <c r="L88" s="1334">
        <v>190</v>
      </c>
      <c r="M88" s="1334">
        <v>194</v>
      </c>
      <c r="N88" s="1334">
        <v>194</v>
      </c>
      <c r="O88" s="1334">
        <v>204</v>
      </c>
      <c r="P88" s="1334">
        <v>173</v>
      </c>
      <c r="Q88" s="1334">
        <v>175</v>
      </c>
      <c r="R88" s="1334"/>
      <c r="S88" s="1334"/>
      <c r="T88" s="1334"/>
      <c r="U88" s="1334"/>
      <c r="V88" s="1334"/>
      <c r="W88" s="1334">
        <v>188</v>
      </c>
      <c r="X88" s="1334">
        <v>193</v>
      </c>
      <c r="Y88" s="1334">
        <v>193</v>
      </c>
      <c r="Z88" s="1334">
        <v>190</v>
      </c>
      <c r="AA88" s="1335">
        <f>SUM(C88:Z88)</f>
        <v>2606</v>
      </c>
    </row>
    <row r="89" spans="1:27" ht="17.100000000000001" customHeight="1" x14ac:dyDescent="0.2">
      <c r="A89" s="7197"/>
      <c r="B89" s="1906" t="s">
        <v>160</v>
      </c>
      <c r="C89" s="1336"/>
      <c r="D89" s="1336"/>
      <c r="E89" s="1336"/>
      <c r="F89" s="1336"/>
      <c r="G89" s="1336"/>
      <c r="H89" s="1336">
        <f t="shared" ref="H89:V89" si="18">SUM(H86:H88)</f>
        <v>632</v>
      </c>
      <c r="I89" s="1336">
        <f t="shared" si="18"/>
        <v>642</v>
      </c>
      <c r="J89" s="1336">
        <f t="shared" si="18"/>
        <v>657</v>
      </c>
      <c r="K89" s="1336">
        <f t="shared" si="18"/>
        <v>694</v>
      </c>
      <c r="L89" s="1336">
        <f t="shared" si="18"/>
        <v>706</v>
      </c>
      <c r="M89" s="1336">
        <f t="shared" si="18"/>
        <v>712</v>
      </c>
      <c r="N89" s="1336">
        <f t="shared" si="18"/>
        <v>711</v>
      </c>
      <c r="O89" s="1336">
        <f t="shared" si="18"/>
        <v>737</v>
      </c>
      <c r="P89" s="1336">
        <f t="shared" si="18"/>
        <v>632</v>
      </c>
      <c r="Q89" s="1336">
        <f t="shared" si="18"/>
        <v>646</v>
      </c>
      <c r="R89" s="1336">
        <f t="shared" si="18"/>
        <v>0</v>
      </c>
      <c r="S89" s="1336">
        <f t="shared" si="18"/>
        <v>0</v>
      </c>
      <c r="T89" s="1336">
        <f t="shared" si="18"/>
        <v>0</v>
      </c>
      <c r="U89" s="1336">
        <f t="shared" si="18"/>
        <v>0</v>
      </c>
      <c r="V89" s="1336">
        <f t="shared" si="18"/>
        <v>0</v>
      </c>
      <c r="W89" s="1336">
        <f>SUM(W86:W88)</f>
        <v>698</v>
      </c>
      <c r="X89" s="1336">
        <f>SUM(X86:X88)</f>
        <v>710</v>
      </c>
      <c r="Y89" s="1336">
        <f>SUM(Y86:Y88)</f>
        <v>714</v>
      </c>
      <c r="Z89" s="1336">
        <f>SUM(Z86:Z88)</f>
        <v>712</v>
      </c>
      <c r="AA89" s="1340">
        <f>SUM(AA86:AA88)</f>
        <v>9603</v>
      </c>
    </row>
    <row r="90" spans="1:27" ht="17.100000000000001" customHeight="1" x14ac:dyDescent="0.2">
      <c r="A90" s="7200" t="s">
        <v>325</v>
      </c>
      <c r="B90" s="1904" t="s">
        <v>5</v>
      </c>
      <c r="C90" s="1909"/>
      <c r="D90" s="1909"/>
      <c r="E90" s="1909"/>
      <c r="F90" s="1909"/>
      <c r="G90" s="1909"/>
      <c r="H90" s="1909"/>
      <c r="I90" s="1909"/>
      <c r="J90" s="1909"/>
      <c r="K90" s="1909"/>
      <c r="L90" s="1909"/>
      <c r="M90" s="1909"/>
      <c r="N90" s="1909"/>
      <c r="O90" s="1909"/>
      <c r="P90" s="1909"/>
      <c r="Q90" s="1909"/>
      <c r="R90" s="1909"/>
      <c r="S90" s="1909"/>
      <c r="T90" s="1909"/>
      <c r="U90" s="1909"/>
      <c r="V90" s="1909"/>
      <c r="W90" s="1909"/>
      <c r="X90" s="1909">
        <v>2</v>
      </c>
      <c r="Y90" s="1909">
        <v>3</v>
      </c>
      <c r="Z90" s="1909">
        <v>6</v>
      </c>
      <c r="AA90" s="1333">
        <f>SUM(C90:Z90)</f>
        <v>11</v>
      </c>
    </row>
    <row r="91" spans="1:27" ht="17.100000000000001" customHeight="1" x14ac:dyDescent="0.2">
      <c r="A91" s="7201" t="s">
        <v>75</v>
      </c>
      <c r="B91" s="1905" t="s">
        <v>6</v>
      </c>
      <c r="C91" s="1334"/>
      <c r="D91" s="1334"/>
      <c r="E91" s="1334"/>
      <c r="F91" s="1334"/>
      <c r="G91" s="1334"/>
      <c r="H91" s="1334"/>
      <c r="I91" s="1334"/>
      <c r="J91" s="1334"/>
      <c r="K91" s="1334"/>
      <c r="L91" s="1334"/>
      <c r="M91" s="1334"/>
      <c r="N91" s="1334"/>
      <c r="O91" s="1334"/>
      <c r="P91" s="1334"/>
      <c r="Q91" s="1334"/>
      <c r="R91" s="1334"/>
      <c r="S91" s="1334"/>
      <c r="T91" s="1334"/>
      <c r="U91" s="1334"/>
      <c r="V91" s="1334"/>
      <c r="W91" s="1334"/>
      <c r="X91" s="1334">
        <v>3</v>
      </c>
      <c r="Y91" s="1334">
        <v>3</v>
      </c>
      <c r="Z91" s="1334">
        <v>4</v>
      </c>
      <c r="AA91" s="1335">
        <f>SUM(C91:Z91)</f>
        <v>10</v>
      </c>
    </row>
    <row r="92" spans="1:27" ht="17.100000000000001" customHeight="1" x14ac:dyDescent="0.2">
      <c r="A92" s="7201" t="s">
        <v>75</v>
      </c>
      <c r="B92" s="1905" t="s">
        <v>11</v>
      </c>
      <c r="C92" s="1334"/>
      <c r="D92" s="1334"/>
      <c r="E92" s="1334"/>
      <c r="F92" s="1334"/>
      <c r="G92" s="1334"/>
      <c r="H92" s="1334"/>
      <c r="I92" s="1334"/>
      <c r="J92" s="1334"/>
      <c r="K92" s="1334"/>
      <c r="L92" s="1334"/>
      <c r="M92" s="1334"/>
      <c r="N92" s="1334"/>
      <c r="O92" s="1334"/>
      <c r="P92" s="1334"/>
      <c r="Q92" s="1334"/>
      <c r="R92" s="1334"/>
      <c r="S92" s="1334"/>
      <c r="T92" s="1334"/>
      <c r="U92" s="1334"/>
      <c r="V92" s="1334"/>
      <c r="W92" s="1334"/>
      <c r="X92" s="1334">
        <v>3</v>
      </c>
      <c r="Y92" s="1334">
        <v>9</v>
      </c>
      <c r="Z92" s="1334">
        <v>15</v>
      </c>
      <c r="AA92" s="1335">
        <f>SUM(C92:Z92)</f>
        <v>27</v>
      </c>
    </row>
    <row r="93" spans="1:27" ht="17.100000000000001" customHeight="1" x14ac:dyDescent="0.2">
      <c r="A93" s="7202"/>
      <c r="B93" s="1906" t="s">
        <v>160</v>
      </c>
      <c r="C93" s="1336"/>
      <c r="D93" s="1336"/>
      <c r="E93" s="1336"/>
      <c r="F93" s="1336"/>
      <c r="G93" s="1336"/>
      <c r="H93" s="1336"/>
      <c r="I93" s="1336"/>
      <c r="J93" s="1336"/>
      <c r="K93" s="1336"/>
      <c r="L93" s="1336"/>
      <c r="M93" s="1336"/>
      <c r="N93" s="1336"/>
      <c r="O93" s="1336"/>
      <c r="P93" s="1336"/>
      <c r="Q93" s="1336"/>
      <c r="R93" s="1336"/>
      <c r="S93" s="1336"/>
      <c r="T93" s="1336"/>
      <c r="U93" s="1336"/>
      <c r="V93" s="1336"/>
      <c r="W93" s="1336"/>
      <c r="X93" s="1336">
        <f>SUM(X90:X92)</f>
        <v>8</v>
      </c>
      <c r="Y93" s="1336">
        <f>SUM(Y90:Y92)</f>
        <v>15</v>
      </c>
      <c r="Z93" s="1336">
        <f>SUM(Z90:Z92)</f>
        <v>25</v>
      </c>
      <c r="AA93" s="1340">
        <f>SUM(AA90:AA92)</f>
        <v>48</v>
      </c>
    </row>
    <row r="94" spans="1:27" ht="17.100000000000001" customHeight="1" x14ac:dyDescent="0.2">
      <c r="A94" s="7203" t="s">
        <v>10</v>
      </c>
      <c r="B94" s="1904" t="s">
        <v>6</v>
      </c>
      <c r="C94" s="1909"/>
      <c r="D94" s="1909"/>
      <c r="E94" s="1909"/>
      <c r="F94" s="1909"/>
      <c r="G94" s="1909"/>
      <c r="H94" s="1909">
        <v>248</v>
      </c>
      <c r="I94" s="1909">
        <v>252</v>
      </c>
      <c r="J94" s="1909">
        <v>268</v>
      </c>
      <c r="K94" s="1909">
        <v>285</v>
      </c>
      <c r="L94" s="1909">
        <v>295</v>
      </c>
      <c r="M94" s="1909">
        <v>302</v>
      </c>
      <c r="N94" s="1909">
        <v>309</v>
      </c>
      <c r="O94" s="1909">
        <v>315</v>
      </c>
      <c r="P94" s="1909">
        <v>225</v>
      </c>
      <c r="Q94" s="1909">
        <v>232</v>
      </c>
      <c r="R94" s="1909"/>
      <c r="S94" s="1909"/>
      <c r="T94" s="1909"/>
      <c r="U94" s="1909"/>
      <c r="V94" s="1909"/>
      <c r="W94" s="1909">
        <v>257</v>
      </c>
      <c r="X94" s="1909">
        <v>268</v>
      </c>
      <c r="Y94" s="1909">
        <v>280</v>
      </c>
      <c r="Z94" s="1909">
        <v>282</v>
      </c>
      <c r="AA94" s="1333">
        <f>SUM(C94:Z94)</f>
        <v>3818</v>
      </c>
    </row>
    <row r="95" spans="1:27" ht="17.100000000000001" customHeight="1" x14ac:dyDescent="0.2">
      <c r="A95" s="7204" t="s">
        <v>10</v>
      </c>
      <c r="B95" s="1905" t="s">
        <v>11</v>
      </c>
      <c r="C95" s="1334"/>
      <c r="D95" s="1334"/>
      <c r="E95" s="1334"/>
      <c r="F95" s="1334"/>
      <c r="G95" s="1334"/>
      <c r="H95" s="1334">
        <v>288</v>
      </c>
      <c r="I95" s="1334">
        <v>304</v>
      </c>
      <c r="J95" s="1334">
        <v>317</v>
      </c>
      <c r="K95" s="1334">
        <v>324</v>
      </c>
      <c r="L95" s="1334">
        <v>329</v>
      </c>
      <c r="M95" s="1334">
        <v>338</v>
      </c>
      <c r="N95" s="1334">
        <v>333</v>
      </c>
      <c r="O95" s="1334">
        <v>333</v>
      </c>
      <c r="P95" s="1334">
        <v>230</v>
      </c>
      <c r="Q95" s="1334">
        <v>247</v>
      </c>
      <c r="R95" s="1334"/>
      <c r="S95" s="1334"/>
      <c r="T95" s="1334"/>
      <c r="U95" s="1334"/>
      <c r="V95" s="1334"/>
      <c r="W95" s="1334">
        <v>263</v>
      </c>
      <c r="X95" s="1334">
        <v>271</v>
      </c>
      <c r="Y95" s="1334">
        <v>282</v>
      </c>
      <c r="Z95" s="1334">
        <v>288</v>
      </c>
      <c r="AA95" s="1335">
        <f>SUM(C95:Z95)</f>
        <v>4147</v>
      </c>
    </row>
    <row r="96" spans="1:27" ht="17.100000000000001" customHeight="1" x14ac:dyDescent="0.2">
      <c r="A96" s="7204" t="s">
        <v>10</v>
      </c>
      <c r="B96" s="1905" t="s">
        <v>7</v>
      </c>
      <c r="C96" s="1334"/>
      <c r="D96" s="1334"/>
      <c r="E96" s="1334"/>
      <c r="F96" s="1334"/>
      <c r="G96" s="1334"/>
      <c r="H96" s="1334">
        <v>108</v>
      </c>
      <c r="I96" s="1334">
        <v>111</v>
      </c>
      <c r="J96" s="1334">
        <v>111</v>
      </c>
      <c r="K96" s="1334">
        <v>117</v>
      </c>
      <c r="L96" s="1334">
        <v>116</v>
      </c>
      <c r="M96" s="1334">
        <v>119</v>
      </c>
      <c r="N96" s="1334">
        <v>117</v>
      </c>
      <c r="O96" s="1334">
        <v>118</v>
      </c>
      <c r="P96" s="1334">
        <v>68</v>
      </c>
      <c r="Q96" s="1334">
        <v>73</v>
      </c>
      <c r="R96" s="1334"/>
      <c r="S96" s="1334"/>
      <c r="T96" s="1334"/>
      <c r="U96" s="1334"/>
      <c r="V96" s="1334"/>
      <c r="W96" s="1334">
        <v>87</v>
      </c>
      <c r="X96" s="1334">
        <v>91</v>
      </c>
      <c r="Y96" s="1334">
        <v>96</v>
      </c>
      <c r="Z96" s="1334">
        <v>97</v>
      </c>
      <c r="AA96" s="1335">
        <f>SUM(C96:Z96)</f>
        <v>1429</v>
      </c>
    </row>
    <row r="97" spans="1:27" ht="17.100000000000001" customHeight="1" x14ac:dyDescent="0.2">
      <c r="A97" s="7205" t="s">
        <v>10</v>
      </c>
      <c r="B97" s="1906" t="s">
        <v>160</v>
      </c>
      <c r="C97" s="1336"/>
      <c r="D97" s="1336"/>
      <c r="E97" s="1336"/>
      <c r="F97" s="1336"/>
      <c r="G97" s="1336"/>
      <c r="H97" s="1336">
        <f t="shared" ref="H97:V97" si="19">SUM(H94:H96)</f>
        <v>644</v>
      </c>
      <c r="I97" s="1336">
        <f t="shared" si="19"/>
        <v>667</v>
      </c>
      <c r="J97" s="1336">
        <f t="shared" si="19"/>
        <v>696</v>
      </c>
      <c r="K97" s="1336">
        <f t="shared" si="19"/>
        <v>726</v>
      </c>
      <c r="L97" s="1336">
        <f t="shared" si="19"/>
        <v>740</v>
      </c>
      <c r="M97" s="1336">
        <f t="shared" si="19"/>
        <v>759</v>
      </c>
      <c r="N97" s="1336">
        <f t="shared" si="19"/>
        <v>759</v>
      </c>
      <c r="O97" s="1336">
        <f t="shared" si="19"/>
        <v>766</v>
      </c>
      <c r="P97" s="1336">
        <f t="shared" si="19"/>
        <v>523</v>
      </c>
      <c r="Q97" s="1336">
        <f t="shared" si="19"/>
        <v>552</v>
      </c>
      <c r="R97" s="1336">
        <f t="shared" si="19"/>
        <v>0</v>
      </c>
      <c r="S97" s="1336">
        <f t="shared" si="19"/>
        <v>0</v>
      </c>
      <c r="T97" s="1336">
        <f t="shared" si="19"/>
        <v>0</v>
      </c>
      <c r="U97" s="1336">
        <f t="shared" si="19"/>
        <v>0</v>
      </c>
      <c r="V97" s="1336">
        <f t="shared" si="19"/>
        <v>0</v>
      </c>
      <c r="W97" s="1336">
        <f>SUM(W94:W96)</f>
        <v>607</v>
      </c>
      <c r="X97" s="1336">
        <f>SUM(X94:X96)</f>
        <v>630</v>
      </c>
      <c r="Y97" s="1336">
        <f>SUM(Y94:Y96)</f>
        <v>658</v>
      </c>
      <c r="Z97" s="1336">
        <f>SUM(Z94:Z96)</f>
        <v>667</v>
      </c>
      <c r="AA97" s="1340">
        <f>SUM(C97:Q97)</f>
        <v>6832</v>
      </c>
    </row>
    <row r="98" spans="1:27" ht="17.100000000000001" customHeight="1" x14ac:dyDescent="0.2">
      <c r="A98" s="7198" t="s">
        <v>573</v>
      </c>
      <c r="B98" s="7206"/>
      <c r="C98" s="1910"/>
      <c r="D98" s="1337"/>
      <c r="E98" s="1337"/>
      <c r="F98" s="1337"/>
      <c r="G98" s="1337"/>
      <c r="H98" s="1337">
        <f t="shared" ref="H98:V98" si="20">SUM(H81,H85,H89,H97)</f>
        <v>1817</v>
      </c>
      <c r="I98" s="1337">
        <f t="shared" si="20"/>
        <v>1875</v>
      </c>
      <c r="J98" s="1337">
        <f t="shared" si="20"/>
        <v>1931</v>
      </c>
      <c r="K98" s="1337">
        <f t="shared" si="20"/>
        <v>2016</v>
      </c>
      <c r="L98" s="1337">
        <f t="shared" si="20"/>
        <v>2045</v>
      </c>
      <c r="M98" s="1337">
        <f t="shared" si="20"/>
        <v>2095</v>
      </c>
      <c r="N98" s="1337">
        <f t="shared" si="20"/>
        <v>2111</v>
      </c>
      <c r="O98" s="1337">
        <f t="shared" si="20"/>
        <v>2158</v>
      </c>
      <c r="P98" s="1337">
        <f t="shared" si="20"/>
        <v>1611</v>
      </c>
      <c r="Q98" s="1337">
        <f t="shared" si="20"/>
        <v>1677</v>
      </c>
      <c r="R98" s="1337">
        <f t="shared" si="20"/>
        <v>0</v>
      </c>
      <c r="S98" s="1337">
        <f t="shared" si="20"/>
        <v>0</v>
      </c>
      <c r="T98" s="1337">
        <f t="shared" si="20"/>
        <v>0</v>
      </c>
      <c r="U98" s="1337">
        <f t="shared" si="20"/>
        <v>0</v>
      </c>
      <c r="V98" s="1337">
        <f t="shared" si="20"/>
        <v>0</v>
      </c>
      <c r="W98" s="1337">
        <f>SUM(W81,W85,W89,W97)</f>
        <v>1987</v>
      </c>
      <c r="X98" s="1337">
        <f>SUM(X81,X85,X89,X93,X97)</f>
        <v>2093</v>
      </c>
      <c r="Y98" s="1337">
        <f>SUM(Y81,Y85,Y89,Y93,Y97)</f>
        <v>2171</v>
      </c>
      <c r="Z98" s="1337">
        <f>SUM(Z81,Z85,Z89,Z93,Z97)</f>
        <v>2203</v>
      </c>
      <c r="AA98" s="1338">
        <f>SUM(AA81,AA85,AA89,AA93,AA97)</f>
        <v>25228</v>
      </c>
    </row>
    <row r="99" spans="1:27" ht="17.100000000000001" customHeight="1" x14ac:dyDescent="0.2">
      <c r="A99" s="1339"/>
      <c r="B99" s="1339"/>
      <c r="C99" s="1339"/>
      <c r="D99" s="1339"/>
      <c r="E99" s="1339"/>
      <c r="F99" s="1339"/>
      <c r="G99" s="1339"/>
      <c r="H99" s="1339"/>
      <c r="I99" s="1339"/>
      <c r="J99" s="1339"/>
      <c r="K99" s="1339"/>
      <c r="L99" s="1339"/>
      <c r="M99" s="1339"/>
      <c r="N99" s="1339"/>
      <c r="O99" s="1339"/>
      <c r="P99" s="1339"/>
      <c r="Q99" s="1339"/>
      <c r="R99" s="1339"/>
      <c r="S99" s="1339"/>
      <c r="T99" s="1339"/>
      <c r="U99" s="1339"/>
      <c r="V99" s="1339"/>
      <c r="W99" s="1339"/>
      <c r="X99" s="1339"/>
      <c r="Y99" s="1339"/>
      <c r="Z99" s="1339"/>
      <c r="AA99" s="1339"/>
    </row>
    <row r="100" spans="1:27" ht="17.100000000000001" customHeight="1" x14ac:dyDescent="0.2">
      <c r="A100" s="7185" t="s">
        <v>16</v>
      </c>
      <c r="B100" s="7187" t="s">
        <v>354</v>
      </c>
      <c r="C100" s="7181" t="s">
        <v>578</v>
      </c>
      <c r="D100" s="7182"/>
      <c r="E100" s="7182"/>
      <c r="F100" s="7182"/>
      <c r="G100" s="7182"/>
      <c r="H100" s="7182"/>
      <c r="I100" s="7182"/>
      <c r="J100" s="7182"/>
      <c r="K100" s="7182"/>
      <c r="L100" s="7182"/>
      <c r="M100" s="7182"/>
      <c r="N100" s="7182"/>
      <c r="O100" s="7182"/>
      <c r="P100" s="7182"/>
      <c r="Q100" s="7182"/>
      <c r="R100" s="7182"/>
      <c r="S100" s="7182"/>
      <c r="T100" s="7182"/>
      <c r="U100" s="7182"/>
      <c r="V100" s="7182"/>
      <c r="W100" s="7182"/>
      <c r="X100" s="7182"/>
      <c r="Y100" s="7182"/>
      <c r="Z100" s="7183"/>
      <c r="AA100" s="7184"/>
    </row>
    <row r="101" spans="1:27" ht="17.100000000000001" customHeight="1" x14ac:dyDescent="0.2">
      <c r="A101" s="7186"/>
      <c r="B101" s="7207"/>
      <c r="C101" s="1330">
        <v>1990</v>
      </c>
      <c r="D101" s="1331">
        <v>1991</v>
      </c>
      <c r="E101" s="1331">
        <v>1992</v>
      </c>
      <c r="F101" s="1331">
        <v>1993</v>
      </c>
      <c r="G101" s="1331">
        <v>1994</v>
      </c>
      <c r="H101" s="1331">
        <v>1995</v>
      </c>
      <c r="I101" s="1331">
        <v>1996</v>
      </c>
      <c r="J101" s="1331">
        <v>1997</v>
      </c>
      <c r="K101" s="1331">
        <v>1998</v>
      </c>
      <c r="L101" s="1331">
        <v>1999</v>
      </c>
      <c r="M101" s="1331">
        <v>2000</v>
      </c>
      <c r="N101" s="1331">
        <v>2001</v>
      </c>
      <c r="O101" s="1331">
        <v>2002</v>
      </c>
      <c r="P101" s="1331">
        <v>2003</v>
      </c>
      <c r="Q101" s="1331">
        <v>2004</v>
      </c>
      <c r="R101" s="1331">
        <v>2005</v>
      </c>
      <c r="S101" s="1331">
        <v>2006</v>
      </c>
      <c r="T101" s="1331">
        <v>2007</v>
      </c>
      <c r="U101" s="1331">
        <v>2008</v>
      </c>
      <c r="V101" s="1331">
        <v>2009</v>
      </c>
      <c r="W101" s="1331">
        <v>2010</v>
      </c>
      <c r="X101" s="1331">
        <v>2011</v>
      </c>
      <c r="Y101" s="1331">
        <v>2012</v>
      </c>
      <c r="Z101" s="1332">
        <v>2013</v>
      </c>
      <c r="AA101" s="1341" t="s">
        <v>160</v>
      </c>
    </row>
    <row r="102" spans="1:27" ht="17.100000000000001" customHeight="1" x14ac:dyDescent="0.2">
      <c r="A102" s="7189" t="s">
        <v>3</v>
      </c>
      <c r="B102" s="1904" t="s">
        <v>5</v>
      </c>
      <c r="C102" s="1909"/>
      <c r="D102" s="1909"/>
      <c r="E102" s="1909"/>
      <c r="F102" s="1909"/>
      <c r="G102" s="1909"/>
      <c r="H102" s="1909">
        <v>17</v>
      </c>
      <c r="I102" s="1909">
        <v>27</v>
      </c>
      <c r="J102" s="1909">
        <v>31</v>
      </c>
      <c r="K102" s="1909">
        <v>40</v>
      </c>
      <c r="L102" s="1909">
        <v>54</v>
      </c>
      <c r="M102" s="1909">
        <v>64</v>
      </c>
      <c r="N102" s="1909">
        <v>78</v>
      </c>
      <c r="O102" s="1909">
        <v>94</v>
      </c>
      <c r="P102" s="1909">
        <v>112</v>
      </c>
      <c r="Q102" s="1909">
        <v>124</v>
      </c>
      <c r="R102" s="1909"/>
      <c r="S102" s="1909"/>
      <c r="T102" s="1909"/>
      <c r="U102" s="1909"/>
      <c r="V102" s="1909"/>
      <c r="W102" s="1909">
        <v>148</v>
      </c>
      <c r="X102" s="1909">
        <v>156</v>
      </c>
      <c r="Y102" s="1909">
        <v>160</v>
      </c>
      <c r="Z102" s="1334">
        <v>166</v>
      </c>
      <c r="AA102" s="1335">
        <f>SUM(H102:Z102)</f>
        <v>1271</v>
      </c>
    </row>
    <row r="103" spans="1:27" ht="17.100000000000001" customHeight="1" x14ac:dyDescent="0.2">
      <c r="A103" s="7190"/>
      <c r="B103" s="1905" t="s">
        <v>6</v>
      </c>
      <c r="C103" s="1334"/>
      <c r="D103" s="1334"/>
      <c r="E103" s="1334"/>
      <c r="F103" s="1334"/>
      <c r="G103" s="1334"/>
      <c r="H103" s="1334">
        <v>42</v>
      </c>
      <c r="I103" s="1334">
        <v>57</v>
      </c>
      <c r="J103" s="1334">
        <v>72</v>
      </c>
      <c r="K103" s="1334">
        <v>82</v>
      </c>
      <c r="L103" s="1334">
        <v>91</v>
      </c>
      <c r="M103" s="1334">
        <v>100</v>
      </c>
      <c r="N103" s="1334">
        <v>112</v>
      </c>
      <c r="O103" s="1334">
        <v>128</v>
      </c>
      <c r="P103" s="1334">
        <v>143</v>
      </c>
      <c r="Q103" s="1334">
        <v>158</v>
      </c>
      <c r="R103" s="1334"/>
      <c r="S103" s="1334"/>
      <c r="T103" s="1334"/>
      <c r="U103" s="1334"/>
      <c r="V103" s="1334"/>
      <c r="W103" s="1334">
        <v>190</v>
      </c>
      <c r="X103" s="1334">
        <v>199</v>
      </c>
      <c r="Y103" s="1334">
        <v>204</v>
      </c>
      <c r="Z103" s="1334">
        <v>205</v>
      </c>
      <c r="AA103" s="1335">
        <f>SUM(H103:Z103)</f>
        <v>1783</v>
      </c>
    </row>
    <row r="104" spans="1:27" ht="17.100000000000001" customHeight="1" x14ac:dyDescent="0.2">
      <c r="A104" s="7190"/>
      <c r="B104" s="1905" t="s">
        <v>7</v>
      </c>
      <c r="C104" s="1334"/>
      <c r="D104" s="1334"/>
      <c r="E104" s="1334"/>
      <c r="F104" s="1334"/>
      <c r="G104" s="1334"/>
      <c r="H104" s="1334">
        <v>39</v>
      </c>
      <c r="I104" s="1334">
        <v>51</v>
      </c>
      <c r="J104" s="1334">
        <v>58</v>
      </c>
      <c r="K104" s="1334">
        <v>64</v>
      </c>
      <c r="L104" s="1334">
        <v>68</v>
      </c>
      <c r="M104" s="1334">
        <v>75</v>
      </c>
      <c r="N104" s="1334">
        <v>87</v>
      </c>
      <c r="O104" s="1334">
        <v>95</v>
      </c>
      <c r="P104" s="1334">
        <v>103</v>
      </c>
      <c r="Q104" s="1334">
        <v>110</v>
      </c>
      <c r="R104" s="1334"/>
      <c r="S104" s="1334"/>
      <c r="T104" s="1334"/>
      <c r="U104" s="1334"/>
      <c r="V104" s="1334"/>
      <c r="W104" s="1334">
        <v>115</v>
      </c>
      <c r="X104" s="1334">
        <v>116</v>
      </c>
      <c r="Y104" s="1334">
        <v>122</v>
      </c>
      <c r="Z104" s="1334">
        <v>123</v>
      </c>
      <c r="AA104" s="1335">
        <f>SUM(H104:Z104)</f>
        <v>1226</v>
      </c>
    </row>
    <row r="105" spans="1:27" ht="17.100000000000001" customHeight="1" x14ac:dyDescent="0.2">
      <c r="A105" s="7191"/>
      <c r="B105" s="1906" t="s">
        <v>160</v>
      </c>
      <c r="C105" s="1336"/>
      <c r="D105" s="1336"/>
      <c r="E105" s="1336"/>
      <c r="F105" s="1336"/>
      <c r="G105" s="1336"/>
      <c r="H105" s="1336">
        <f t="shared" ref="H105:Z105" si="21">SUM(H102:H104)</f>
        <v>98</v>
      </c>
      <c r="I105" s="1336">
        <f t="shared" si="21"/>
        <v>135</v>
      </c>
      <c r="J105" s="1336">
        <f t="shared" si="21"/>
        <v>161</v>
      </c>
      <c r="K105" s="1336">
        <f t="shared" si="21"/>
        <v>186</v>
      </c>
      <c r="L105" s="1336">
        <f t="shared" si="21"/>
        <v>213</v>
      </c>
      <c r="M105" s="1336">
        <f t="shared" si="21"/>
        <v>239</v>
      </c>
      <c r="N105" s="1336">
        <f t="shared" si="21"/>
        <v>277</v>
      </c>
      <c r="O105" s="1336">
        <f t="shared" si="21"/>
        <v>317</v>
      </c>
      <c r="P105" s="1336">
        <f t="shared" si="21"/>
        <v>358</v>
      </c>
      <c r="Q105" s="1336">
        <f t="shared" si="21"/>
        <v>392</v>
      </c>
      <c r="R105" s="1336">
        <f t="shared" si="21"/>
        <v>0</v>
      </c>
      <c r="S105" s="1336">
        <f t="shared" si="21"/>
        <v>0</v>
      </c>
      <c r="T105" s="1336">
        <f t="shared" si="21"/>
        <v>0</v>
      </c>
      <c r="U105" s="1336">
        <f t="shared" si="21"/>
        <v>0</v>
      </c>
      <c r="V105" s="1336">
        <f t="shared" si="21"/>
        <v>0</v>
      </c>
      <c r="W105" s="1336">
        <f t="shared" si="21"/>
        <v>453</v>
      </c>
      <c r="X105" s="1336">
        <f t="shared" si="21"/>
        <v>471</v>
      </c>
      <c r="Y105" s="1336">
        <f t="shared" si="21"/>
        <v>486</v>
      </c>
      <c r="Z105" s="1336">
        <f t="shared" si="21"/>
        <v>494</v>
      </c>
      <c r="AA105" s="1340">
        <f>SUM(AA102:AA104)</f>
        <v>4280</v>
      </c>
    </row>
    <row r="106" spans="1:27" ht="17.100000000000001" customHeight="1" x14ac:dyDescent="0.2">
      <c r="A106" s="7192" t="s">
        <v>8</v>
      </c>
      <c r="B106" s="1904" t="s">
        <v>6</v>
      </c>
      <c r="C106" s="1909"/>
      <c r="D106" s="1909"/>
      <c r="E106" s="1909"/>
      <c r="F106" s="1909"/>
      <c r="G106" s="1909"/>
      <c r="H106" s="1909"/>
      <c r="I106" s="1909"/>
      <c r="J106" s="1909"/>
      <c r="K106" s="1909"/>
      <c r="L106" s="1909"/>
      <c r="M106" s="1909"/>
      <c r="N106" s="1909"/>
      <c r="O106" s="1909"/>
      <c r="P106" s="1909"/>
      <c r="Q106" s="1909"/>
      <c r="R106" s="1909"/>
      <c r="S106" s="1909"/>
      <c r="T106" s="1909"/>
      <c r="U106" s="1909"/>
      <c r="V106" s="1909"/>
      <c r="W106" s="1909">
        <v>19</v>
      </c>
      <c r="X106" s="1909">
        <v>24</v>
      </c>
      <c r="Y106" s="1909">
        <v>29</v>
      </c>
      <c r="Z106" s="1334">
        <v>34</v>
      </c>
      <c r="AA106" s="1335">
        <f>SUM(H106:Z106)</f>
        <v>106</v>
      </c>
    </row>
    <row r="107" spans="1:27" ht="17.100000000000001" customHeight="1" x14ac:dyDescent="0.2">
      <c r="A107" s="7193"/>
      <c r="B107" s="1905" t="s">
        <v>9</v>
      </c>
      <c r="C107" s="1334"/>
      <c r="D107" s="1334"/>
      <c r="E107" s="1334"/>
      <c r="F107" s="1334"/>
      <c r="G107" s="1334"/>
      <c r="H107" s="1334"/>
      <c r="I107" s="1334"/>
      <c r="J107" s="1334"/>
      <c r="K107" s="1334"/>
      <c r="L107" s="1334"/>
      <c r="M107" s="1334"/>
      <c r="N107" s="1334"/>
      <c r="O107" s="1334"/>
      <c r="P107" s="1334"/>
      <c r="Q107" s="1334"/>
      <c r="R107" s="1334"/>
      <c r="S107" s="1334"/>
      <c r="T107" s="1334"/>
      <c r="U107" s="1334"/>
      <c r="V107" s="1334"/>
      <c r="W107" s="1334">
        <v>12</v>
      </c>
      <c r="X107" s="1334">
        <v>15</v>
      </c>
      <c r="Y107" s="1334">
        <v>19</v>
      </c>
      <c r="Z107" s="1334">
        <v>21</v>
      </c>
      <c r="AA107" s="1335">
        <f>SUM(H107:Z107)</f>
        <v>67</v>
      </c>
    </row>
    <row r="108" spans="1:27" ht="17.100000000000001" customHeight="1" x14ac:dyDescent="0.2">
      <c r="A108" s="7193"/>
      <c r="B108" s="1905" t="s">
        <v>74</v>
      </c>
      <c r="C108" s="1334"/>
      <c r="D108" s="1334"/>
      <c r="E108" s="1334"/>
      <c r="F108" s="1334"/>
      <c r="G108" s="1334"/>
      <c r="H108" s="1334"/>
      <c r="I108" s="1334"/>
      <c r="J108" s="1334"/>
      <c r="K108" s="1334"/>
      <c r="L108" s="1334"/>
      <c r="M108" s="1334"/>
      <c r="N108" s="1334"/>
      <c r="O108" s="1334"/>
      <c r="P108" s="1334"/>
      <c r="Q108" s="1334"/>
      <c r="R108" s="1334"/>
      <c r="S108" s="1334"/>
      <c r="T108" s="1334"/>
      <c r="U108" s="1334"/>
      <c r="V108" s="1334"/>
      <c r="W108" s="1334">
        <v>7</v>
      </c>
      <c r="X108" s="1334">
        <v>10</v>
      </c>
      <c r="Y108" s="1334">
        <v>11</v>
      </c>
      <c r="Z108" s="1334">
        <v>16</v>
      </c>
      <c r="AA108" s="1335">
        <f>SUM(H108:Z108)</f>
        <v>44</v>
      </c>
    </row>
    <row r="109" spans="1:27" ht="17.100000000000001" customHeight="1" x14ac:dyDescent="0.2">
      <c r="A109" s="7194"/>
      <c r="B109" s="1906" t="s">
        <v>160</v>
      </c>
      <c r="C109" s="1336"/>
      <c r="D109" s="1336"/>
      <c r="E109" s="1336"/>
      <c r="F109" s="1336"/>
      <c r="G109" s="1336"/>
      <c r="H109" s="1336"/>
      <c r="I109" s="1336"/>
      <c r="J109" s="1336"/>
      <c r="K109" s="1336"/>
      <c r="L109" s="1336"/>
      <c r="M109" s="1336"/>
      <c r="N109" s="1336"/>
      <c r="O109" s="1336"/>
      <c r="P109" s="1336"/>
      <c r="Q109" s="1336"/>
      <c r="R109" s="1336"/>
      <c r="S109" s="1336"/>
      <c r="T109" s="1336"/>
      <c r="U109" s="1336"/>
      <c r="V109" s="1336"/>
      <c r="W109" s="1336">
        <f>SUM(W106:W108)</f>
        <v>38</v>
      </c>
      <c r="X109" s="1336">
        <f>SUM(X106:X108)</f>
        <v>49</v>
      </c>
      <c r="Y109" s="1336">
        <f>SUM(Y106:Y108)</f>
        <v>59</v>
      </c>
      <c r="Z109" s="1336">
        <f>SUM(Z106:Z108)</f>
        <v>71</v>
      </c>
      <c r="AA109" s="1340">
        <f>SUM(AA106:AA108)</f>
        <v>217</v>
      </c>
    </row>
    <row r="110" spans="1:27" ht="17.100000000000001" customHeight="1" x14ac:dyDescent="0.2">
      <c r="A110" s="7195" t="s">
        <v>75</v>
      </c>
      <c r="B110" s="1904" t="s">
        <v>5</v>
      </c>
      <c r="C110" s="1909"/>
      <c r="D110" s="1909"/>
      <c r="E110" s="1909"/>
      <c r="F110" s="1909"/>
      <c r="G110" s="1909"/>
      <c r="H110" s="1909">
        <v>71</v>
      </c>
      <c r="I110" s="1909">
        <v>90</v>
      </c>
      <c r="J110" s="1909">
        <v>106</v>
      </c>
      <c r="K110" s="1909">
        <v>117</v>
      </c>
      <c r="L110" s="1909">
        <v>121</v>
      </c>
      <c r="M110" s="1909">
        <v>126</v>
      </c>
      <c r="N110" s="1909">
        <v>137</v>
      </c>
      <c r="O110" s="1909">
        <v>149</v>
      </c>
      <c r="P110" s="1909">
        <v>157</v>
      </c>
      <c r="Q110" s="1909">
        <v>162</v>
      </c>
      <c r="R110" s="1909"/>
      <c r="S110" s="1909"/>
      <c r="T110" s="1909"/>
      <c r="U110" s="1909"/>
      <c r="V110" s="1909"/>
      <c r="W110" s="1909">
        <v>184</v>
      </c>
      <c r="X110" s="1909">
        <v>187</v>
      </c>
      <c r="Y110" s="1909">
        <v>197</v>
      </c>
      <c r="Z110" s="1334">
        <v>199</v>
      </c>
      <c r="AA110" s="1335">
        <f>SUM(H110:Z110)</f>
        <v>2003</v>
      </c>
    </row>
    <row r="111" spans="1:27" ht="17.100000000000001" customHeight="1" x14ac:dyDescent="0.2">
      <c r="A111" s="7196" t="s">
        <v>75</v>
      </c>
      <c r="B111" s="1905" t="s">
        <v>6</v>
      </c>
      <c r="C111" s="1334"/>
      <c r="D111" s="1334"/>
      <c r="E111" s="1334"/>
      <c r="F111" s="1334"/>
      <c r="G111" s="1334"/>
      <c r="H111" s="1334">
        <v>67</v>
      </c>
      <c r="I111" s="1334">
        <v>95</v>
      </c>
      <c r="J111" s="1334">
        <v>110</v>
      </c>
      <c r="K111" s="1334">
        <v>120</v>
      </c>
      <c r="L111" s="1334">
        <v>131</v>
      </c>
      <c r="M111" s="1334">
        <v>147</v>
      </c>
      <c r="N111" s="1334">
        <v>160</v>
      </c>
      <c r="O111" s="1334">
        <v>176</v>
      </c>
      <c r="P111" s="1334">
        <v>185</v>
      </c>
      <c r="Q111" s="1334">
        <v>196</v>
      </c>
      <c r="R111" s="1334"/>
      <c r="S111" s="1334"/>
      <c r="T111" s="1334"/>
      <c r="U111" s="1334"/>
      <c r="V111" s="1334"/>
      <c r="W111" s="1334">
        <v>228</v>
      </c>
      <c r="X111" s="1334">
        <v>236</v>
      </c>
      <c r="Y111" s="1334">
        <v>239</v>
      </c>
      <c r="Z111" s="1334">
        <v>245</v>
      </c>
      <c r="AA111" s="1335">
        <f>SUM(H111:Z111)</f>
        <v>2335</v>
      </c>
    </row>
    <row r="112" spans="1:27" ht="17.100000000000001" customHeight="1" x14ac:dyDescent="0.2">
      <c r="A112" s="7196" t="s">
        <v>75</v>
      </c>
      <c r="B112" s="1905" t="s">
        <v>11</v>
      </c>
      <c r="C112" s="1334"/>
      <c r="D112" s="1334"/>
      <c r="E112" s="1334"/>
      <c r="F112" s="1334"/>
      <c r="G112" s="1334"/>
      <c r="H112" s="1334">
        <v>27</v>
      </c>
      <c r="I112" s="1334">
        <v>40</v>
      </c>
      <c r="J112" s="1334">
        <v>45</v>
      </c>
      <c r="K112" s="1334">
        <v>56</v>
      </c>
      <c r="L112" s="1334">
        <v>69</v>
      </c>
      <c r="M112" s="1334">
        <v>82</v>
      </c>
      <c r="N112" s="1334">
        <v>93</v>
      </c>
      <c r="O112" s="1334">
        <v>109</v>
      </c>
      <c r="P112" s="1334">
        <v>120</v>
      </c>
      <c r="Q112" s="1334">
        <v>129</v>
      </c>
      <c r="R112" s="1334"/>
      <c r="S112" s="1334"/>
      <c r="T112" s="1334"/>
      <c r="U112" s="1334"/>
      <c r="V112" s="1334"/>
      <c r="W112" s="1334">
        <v>168</v>
      </c>
      <c r="X112" s="1334">
        <v>166</v>
      </c>
      <c r="Y112" s="1334">
        <v>167</v>
      </c>
      <c r="Z112" s="1334">
        <v>168</v>
      </c>
      <c r="AA112" s="1335">
        <f>SUM(H112:Z112)</f>
        <v>1439</v>
      </c>
    </row>
    <row r="113" spans="1:27" ht="17.100000000000001" customHeight="1" x14ac:dyDescent="0.2">
      <c r="A113" s="7197"/>
      <c r="B113" s="1906" t="s">
        <v>160</v>
      </c>
      <c r="C113" s="1336"/>
      <c r="D113" s="1336"/>
      <c r="E113" s="1336"/>
      <c r="F113" s="1336"/>
      <c r="G113" s="1336"/>
      <c r="H113" s="1336">
        <f t="shared" ref="H113:Z113" si="22">SUM(H110:H112)</f>
        <v>165</v>
      </c>
      <c r="I113" s="1336">
        <f t="shared" si="22"/>
        <v>225</v>
      </c>
      <c r="J113" s="1336">
        <f t="shared" si="22"/>
        <v>261</v>
      </c>
      <c r="K113" s="1336">
        <f t="shared" si="22"/>
        <v>293</v>
      </c>
      <c r="L113" s="1336">
        <f t="shared" si="22"/>
        <v>321</v>
      </c>
      <c r="M113" s="1336">
        <f t="shared" si="22"/>
        <v>355</v>
      </c>
      <c r="N113" s="1336">
        <f t="shared" si="22"/>
        <v>390</v>
      </c>
      <c r="O113" s="1336">
        <f t="shared" si="22"/>
        <v>434</v>
      </c>
      <c r="P113" s="1336">
        <f t="shared" si="22"/>
        <v>462</v>
      </c>
      <c r="Q113" s="1336">
        <f t="shared" si="22"/>
        <v>487</v>
      </c>
      <c r="R113" s="1336">
        <f t="shared" si="22"/>
        <v>0</v>
      </c>
      <c r="S113" s="1336">
        <f t="shared" si="22"/>
        <v>0</v>
      </c>
      <c r="T113" s="1336">
        <f t="shared" si="22"/>
        <v>0</v>
      </c>
      <c r="U113" s="1336">
        <f t="shared" si="22"/>
        <v>0</v>
      </c>
      <c r="V113" s="1336">
        <f t="shared" si="22"/>
        <v>0</v>
      </c>
      <c r="W113" s="1336">
        <f t="shared" si="22"/>
        <v>580</v>
      </c>
      <c r="X113" s="1336">
        <f t="shared" si="22"/>
        <v>589</v>
      </c>
      <c r="Y113" s="1336">
        <f t="shared" si="22"/>
        <v>603</v>
      </c>
      <c r="Z113" s="1336">
        <f t="shared" si="22"/>
        <v>612</v>
      </c>
      <c r="AA113" s="1340">
        <f>SUM(AA110:AA112)</f>
        <v>5777</v>
      </c>
    </row>
    <row r="114" spans="1:27" ht="17.100000000000001" customHeight="1" x14ac:dyDescent="0.2">
      <c r="A114" s="7200" t="s">
        <v>325</v>
      </c>
      <c r="B114" s="1904" t="s">
        <v>5</v>
      </c>
      <c r="C114" s="1909"/>
      <c r="D114" s="1909"/>
      <c r="E114" s="1909"/>
      <c r="F114" s="1909"/>
      <c r="G114" s="1909"/>
      <c r="H114" s="1909"/>
      <c r="I114" s="1909"/>
      <c r="J114" s="1909"/>
      <c r="K114" s="1909"/>
      <c r="L114" s="1909"/>
      <c r="M114" s="1909"/>
      <c r="N114" s="1909"/>
      <c r="O114" s="1909"/>
      <c r="P114" s="1909"/>
      <c r="Q114" s="1909"/>
      <c r="R114" s="1909"/>
      <c r="S114" s="1909"/>
      <c r="T114" s="1909"/>
      <c r="U114" s="1909"/>
      <c r="V114" s="1909"/>
      <c r="W114" s="1909"/>
      <c r="X114" s="1909"/>
      <c r="Y114" s="1909">
        <v>1</v>
      </c>
      <c r="Z114" s="1909">
        <v>1</v>
      </c>
      <c r="AA114" s="1335">
        <f>SUM(H114:Z114)</f>
        <v>2</v>
      </c>
    </row>
    <row r="115" spans="1:27" ht="17.100000000000001" customHeight="1" x14ac:dyDescent="0.2">
      <c r="A115" s="7201" t="s">
        <v>75</v>
      </c>
      <c r="B115" s="1905" t="s">
        <v>6</v>
      </c>
      <c r="C115" s="1334"/>
      <c r="D115" s="1334"/>
      <c r="E115" s="1334"/>
      <c r="F115" s="1334"/>
      <c r="G115" s="1334"/>
      <c r="H115" s="1334"/>
      <c r="I115" s="1334"/>
      <c r="J115" s="1334"/>
      <c r="K115" s="1334"/>
      <c r="L115" s="1334"/>
      <c r="M115" s="1334"/>
      <c r="N115" s="1334"/>
      <c r="O115" s="1334"/>
      <c r="P115" s="1334"/>
      <c r="Q115" s="1334"/>
      <c r="R115" s="1334"/>
      <c r="S115" s="1334"/>
      <c r="T115" s="1334"/>
      <c r="U115" s="1334"/>
      <c r="V115" s="1334"/>
      <c r="W115" s="1334"/>
      <c r="X115" s="1334"/>
      <c r="Y115" s="1334"/>
      <c r="Z115" s="1334"/>
      <c r="AA115" s="1335">
        <f>SUM(H115:Z115)</f>
        <v>0</v>
      </c>
    </row>
    <row r="116" spans="1:27" ht="17.100000000000001" customHeight="1" x14ac:dyDescent="0.2">
      <c r="A116" s="7201" t="s">
        <v>75</v>
      </c>
      <c r="B116" s="1905" t="s">
        <v>11</v>
      </c>
      <c r="C116" s="1334"/>
      <c r="D116" s="1334"/>
      <c r="E116" s="1334"/>
      <c r="F116" s="1334"/>
      <c r="G116" s="1334"/>
      <c r="H116" s="1334"/>
      <c r="I116" s="1334"/>
      <c r="J116" s="1334"/>
      <c r="K116" s="1334"/>
      <c r="L116" s="1334"/>
      <c r="M116" s="1334"/>
      <c r="N116" s="1334"/>
      <c r="O116" s="1334"/>
      <c r="P116" s="1334"/>
      <c r="Q116" s="1334"/>
      <c r="R116" s="1334"/>
      <c r="S116" s="1334"/>
      <c r="T116" s="1334"/>
      <c r="U116" s="1334"/>
      <c r="V116" s="1334"/>
      <c r="W116" s="1334"/>
      <c r="X116" s="1334"/>
      <c r="Y116" s="1334">
        <v>2</v>
      </c>
      <c r="Z116" s="1334">
        <v>2</v>
      </c>
      <c r="AA116" s="1335">
        <f>SUM(H116:Z116)</f>
        <v>4</v>
      </c>
    </row>
    <row r="117" spans="1:27" ht="17.100000000000001" customHeight="1" x14ac:dyDescent="0.2">
      <c r="A117" s="7202"/>
      <c r="B117" s="1906" t="s">
        <v>160</v>
      </c>
      <c r="C117" s="1336"/>
      <c r="D117" s="1336"/>
      <c r="E117" s="1336"/>
      <c r="F117" s="1336"/>
      <c r="G117" s="1336"/>
      <c r="H117" s="1336"/>
      <c r="I117" s="1336"/>
      <c r="J117" s="1336"/>
      <c r="K117" s="1336"/>
      <c r="L117" s="1336"/>
      <c r="M117" s="1336"/>
      <c r="N117" s="1336"/>
      <c r="O117" s="1336"/>
      <c r="P117" s="1336"/>
      <c r="Q117" s="1336"/>
      <c r="R117" s="1336"/>
      <c r="S117" s="1336"/>
      <c r="T117" s="1336"/>
      <c r="U117" s="1336"/>
      <c r="V117" s="1336"/>
      <c r="W117" s="1336"/>
      <c r="X117" s="1336"/>
      <c r="Y117" s="1336">
        <f>SUM(Y114:Y116)</f>
        <v>3</v>
      </c>
      <c r="Z117" s="1336">
        <f>SUM(Z114:Z116)</f>
        <v>3</v>
      </c>
      <c r="AA117" s="1340">
        <f>SUM(AA114:AA116)</f>
        <v>6</v>
      </c>
    </row>
    <row r="118" spans="1:27" ht="17.100000000000001" customHeight="1" x14ac:dyDescent="0.2">
      <c r="A118" s="7203" t="s">
        <v>10</v>
      </c>
      <c r="B118" s="1904" t="s">
        <v>6</v>
      </c>
      <c r="C118" s="1909"/>
      <c r="D118" s="1909"/>
      <c r="E118" s="1909"/>
      <c r="F118" s="1909"/>
      <c r="G118" s="1909"/>
      <c r="H118" s="1909">
        <v>54</v>
      </c>
      <c r="I118" s="1909">
        <v>76</v>
      </c>
      <c r="J118" s="1909">
        <v>91</v>
      </c>
      <c r="K118" s="1909">
        <v>113</v>
      </c>
      <c r="L118" s="1909">
        <v>129</v>
      </c>
      <c r="M118" s="1909">
        <v>142</v>
      </c>
      <c r="N118" s="1909">
        <v>159</v>
      </c>
      <c r="O118" s="1909">
        <v>173</v>
      </c>
      <c r="P118" s="1909">
        <v>185</v>
      </c>
      <c r="Q118" s="1909">
        <v>200</v>
      </c>
      <c r="R118" s="1909"/>
      <c r="S118" s="1909"/>
      <c r="T118" s="1909"/>
      <c r="U118" s="1909"/>
      <c r="V118" s="1909"/>
      <c r="W118" s="1909">
        <v>233</v>
      </c>
      <c r="X118" s="1909">
        <v>243</v>
      </c>
      <c r="Y118" s="1909">
        <v>256</v>
      </c>
      <c r="Z118" s="1334">
        <v>254</v>
      </c>
      <c r="AA118" s="1335">
        <f>SUM(H118:Z118)</f>
        <v>2308</v>
      </c>
    </row>
    <row r="119" spans="1:27" ht="17.100000000000001" customHeight="1" x14ac:dyDescent="0.2">
      <c r="A119" s="7204" t="s">
        <v>10</v>
      </c>
      <c r="B119" s="1905" t="s">
        <v>11</v>
      </c>
      <c r="C119" s="1334"/>
      <c r="D119" s="1334"/>
      <c r="E119" s="1334"/>
      <c r="F119" s="1334"/>
      <c r="G119" s="1334"/>
      <c r="H119" s="1334">
        <v>31</v>
      </c>
      <c r="I119" s="1334">
        <v>56</v>
      </c>
      <c r="J119" s="1334">
        <v>75</v>
      </c>
      <c r="K119" s="1334">
        <v>88</v>
      </c>
      <c r="L119" s="1334">
        <v>98</v>
      </c>
      <c r="M119" s="1334">
        <v>115</v>
      </c>
      <c r="N119" s="1334">
        <v>134</v>
      </c>
      <c r="O119" s="1334">
        <v>155</v>
      </c>
      <c r="P119" s="1334">
        <v>177</v>
      </c>
      <c r="Q119" s="1334">
        <v>191</v>
      </c>
      <c r="R119" s="1334"/>
      <c r="S119" s="1334"/>
      <c r="T119" s="1334"/>
      <c r="U119" s="1334"/>
      <c r="V119" s="1334"/>
      <c r="W119" s="1334">
        <v>220</v>
      </c>
      <c r="X119" s="1334">
        <v>231</v>
      </c>
      <c r="Y119" s="1334">
        <v>236</v>
      </c>
      <c r="Z119" s="1334">
        <v>232</v>
      </c>
      <c r="AA119" s="1335">
        <f>SUM(H119:Z119)</f>
        <v>2039</v>
      </c>
    </row>
    <row r="120" spans="1:27" ht="17.100000000000001" customHeight="1" x14ac:dyDescent="0.2">
      <c r="A120" s="7204" t="s">
        <v>10</v>
      </c>
      <c r="B120" s="1905" t="s">
        <v>7</v>
      </c>
      <c r="C120" s="1334"/>
      <c r="D120" s="1334"/>
      <c r="E120" s="1334"/>
      <c r="F120" s="1334"/>
      <c r="G120" s="1334"/>
      <c r="H120" s="1334">
        <v>40</v>
      </c>
      <c r="I120" s="1334">
        <v>61</v>
      </c>
      <c r="J120" s="1334">
        <v>70</v>
      </c>
      <c r="K120" s="1334">
        <v>73</v>
      </c>
      <c r="L120" s="1334">
        <v>77</v>
      </c>
      <c r="M120" s="1334">
        <v>83</v>
      </c>
      <c r="N120" s="1334">
        <v>89</v>
      </c>
      <c r="O120" s="1334">
        <v>94</v>
      </c>
      <c r="P120" s="1334">
        <v>98</v>
      </c>
      <c r="Q120" s="1334">
        <v>102</v>
      </c>
      <c r="R120" s="1334"/>
      <c r="S120" s="1334"/>
      <c r="T120" s="1334"/>
      <c r="U120" s="1334"/>
      <c r="V120" s="1334"/>
      <c r="W120" s="1334">
        <v>106</v>
      </c>
      <c r="X120" s="1334">
        <v>107</v>
      </c>
      <c r="Y120" s="1334">
        <v>113</v>
      </c>
      <c r="Z120" s="1334">
        <v>112</v>
      </c>
      <c r="AA120" s="1335">
        <f>SUM(H120:Z120)</f>
        <v>1225</v>
      </c>
    </row>
    <row r="121" spans="1:27" ht="17.100000000000001" customHeight="1" x14ac:dyDescent="0.2">
      <c r="A121" s="7205" t="s">
        <v>10</v>
      </c>
      <c r="B121" s="1906" t="s">
        <v>160</v>
      </c>
      <c r="C121" s="1336"/>
      <c r="D121" s="1336"/>
      <c r="E121" s="1336"/>
      <c r="F121" s="1336"/>
      <c r="G121" s="1336"/>
      <c r="H121" s="1336">
        <f t="shared" ref="H121:Z121" si="23">SUM(H118:H120)</f>
        <v>125</v>
      </c>
      <c r="I121" s="1336">
        <f t="shared" si="23"/>
        <v>193</v>
      </c>
      <c r="J121" s="1336">
        <f t="shared" si="23"/>
        <v>236</v>
      </c>
      <c r="K121" s="1336">
        <f t="shared" si="23"/>
        <v>274</v>
      </c>
      <c r="L121" s="1336">
        <f t="shared" si="23"/>
        <v>304</v>
      </c>
      <c r="M121" s="1336">
        <f t="shared" si="23"/>
        <v>340</v>
      </c>
      <c r="N121" s="1336">
        <f t="shared" si="23"/>
        <v>382</v>
      </c>
      <c r="O121" s="1336">
        <f t="shared" si="23"/>
        <v>422</v>
      </c>
      <c r="P121" s="1336">
        <f t="shared" si="23"/>
        <v>460</v>
      </c>
      <c r="Q121" s="1336">
        <f t="shared" si="23"/>
        <v>493</v>
      </c>
      <c r="R121" s="1336">
        <f t="shared" si="23"/>
        <v>0</v>
      </c>
      <c r="S121" s="1336">
        <f t="shared" si="23"/>
        <v>0</v>
      </c>
      <c r="T121" s="1336">
        <f t="shared" si="23"/>
        <v>0</v>
      </c>
      <c r="U121" s="1336">
        <f t="shared" si="23"/>
        <v>0</v>
      </c>
      <c r="V121" s="1336">
        <f t="shared" si="23"/>
        <v>0</v>
      </c>
      <c r="W121" s="1336">
        <f t="shared" si="23"/>
        <v>559</v>
      </c>
      <c r="X121" s="1336">
        <f t="shared" si="23"/>
        <v>581</v>
      </c>
      <c r="Y121" s="1336">
        <f t="shared" si="23"/>
        <v>605</v>
      </c>
      <c r="Z121" s="1336">
        <f t="shared" si="23"/>
        <v>598</v>
      </c>
      <c r="AA121" s="1340">
        <f>SUM(AA118:AA120)</f>
        <v>5572</v>
      </c>
    </row>
    <row r="122" spans="1:27" ht="17.100000000000001" customHeight="1" x14ac:dyDescent="0.2">
      <c r="A122" s="7198" t="s">
        <v>573</v>
      </c>
      <c r="B122" s="7206"/>
      <c r="C122" s="1910"/>
      <c r="D122" s="1337"/>
      <c r="E122" s="1337"/>
      <c r="F122" s="1337"/>
      <c r="G122" s="1337"/>
      <c r="H122" s="1337">
        <f t="shared" ref="H122:X122" si="24">SUM(H105,H109,H113,H121)</f>
        <v>388</v>
      </c>
      <c r="I122" s="1337">
        <f t="shared" si="24"/>
        <v>553</v>
      </c>
      <c r="J122" s="1337">
        <f t="shared" si="24"/>
        <v>658</v>
      </c>
      <c r="K122" s="1337">
        <f t="shared" si="24"/>
        <v>753</v>
      </c>
      <c r="L122" s="1337">
        <f t="shared" si="24"/>
        <v>838</v>
      </c>
      <c r="M122" s="1337">
        <f t="shared" si="24"/>
        <v>934</v>
      </c>
      <c r="N122" s="1337">
        <f t="shared" si="24"/>
        <v>1049</v>
      </c>
      <c r="O122" s="1337">
        <f t="shared" si="24"/>
        <v>1173</v>
      </c>
      <c r="P122" s="1337">
        <f t="shared" si="24"/>
        <v>1280</v>
      </c>
      <c r="Q122" s="1337">
        <f t="shared" si="24"/>
        <v>1372</v>
      </c>
      <c r="R122" s="1337">
        <f t="shared" si="24"/>
        <v>0</v>
      </c>
      <c r="S122" s="1337">
        <f t="shared" si="24"/>
        <v>0</v>
      </c>
      <c r="T122" s="1337">
        <f t="shared" si="24"/>
        <v>0</v>
      </c>
      <c r="U122" s="1337">
        <f t="shared" si="24"/>
        <v>0</v>
      </c>
      <c r="V122" s="1337">
        <f t="shared" si="24"/>
        <v>0</v>
      </c>
      <c r="W122" s="1337">
        <f t="shared" si="24"/>
        <v>1630</v>
      </c>
      <c r="X122" s="1337">
        <f t="shared" si="24"/>
        <v>1690</v>
      </c>
      <c r="Y122" s="1337">
        <f>SUM(Y105,Y109,Y113,Y117,Y121)</f>
        <v>1756</v>
      </c>
      <c r="Z122" s="1337">
        <f>SUM(Z105,Z109,Z113,Z117,Z121)</f>
        <v>1778</v>
      </c>
      <c r="AA122" s="1338">
        <f>SUM(AA105,AA109,AA113,AA117,AA121)</f>
        <v>15852</v>
      </c>
    </row>
  </sheetData>
  <mergeCells count="45">
    <mergeCell ref="A114:A117"/>
    <mergeCell ref="A118:A121"/>
    <mergeCell ref="A122:B122"/>
    <mergeCell ref="A100:A101"/>
    <mergeCell ref="B100:B101"/>
    <mergeCell ref="C100:AA100"/>
    <mergeCell ref="A102:A105"/>
    <mergeCell ref="A106:A109"/>
    <mergeCell ref="A110:A113"/>
    <mergeCell ref="A78:A81"/>
    <mergeCell ref="A82:A85"/>
    <mergeCell ref="A86:A89"/>
    <mergeCell ref="A90:A93"/>
    <mergeCell ref="A94:A97"/>
    <mergeCell ref="A98:B98"/>
    <mergeCell ref="C76:AA76"/>
    <mergeCell ref="A52:A53"/>
    <mergeCell ref="B52:B53"/>
    <mergeCell ref="C52:AA52"/>
    <mergeCell ref="A54:A57"/>
    <mergeCell ref="A58:A61"/>
    <mergeCell ref="A62:A65"/>
    <mergeCell ref="A66:A69"/>
    <mergeCell ref="A70:A73"/>
    <mergeCell ref="A74:B74"/>
    <mergeCell ref="A76:A77"/>
    <mergeCell ref="B76:B77"/>
    <mergeCell ref="A50:B50"/>
    <mergeCell ref="A18:A21"/>
    <mergeCell ref="A22:A25"/>
    <mergeCell ref="A26:B26"/>
    <mergeCell ref="A28:A29"/>
    <mergeCell ref="B28:B29"/>
    <mergeCell ref="A30:A33"/>
    <mergeCell ref="A34:A37"/>
    <mergeCell ref="A38:A41"/>
    <mergeCell ref="A42:A45"/>
    <mergeCell ref="A46:A49"/>
    <mergeCell ref="C28:AA28"/>
    <mergeCell ref="A4:A5"/>
    <mergeCell ref="B4:B5"/>
    <mergeCell ref="C4:AA4"/>
    <mergeCell ref="A6:A9"/>
    <mergeCell ref="A10:A13"/>
    <mergeCell ref="A14:A17"/>
  </mergeCells>
  <pageMargins left="0.75" right="0.75" top="1" bottom="1" header="0" footer="0"/>
  <pageSetup orientation="portrait" r:id="rId1"/>
  <headerFooter alignWithMargins="0"/>
  <ignoredErrors>
    <ignoredError sqref="C14:AA25 C9:Z13 C33:Z33 E57:Z65 H81:Z89 H105:Z113" formulaRange="1"/>
    <ignoredError sqref="AA9:AA13 AA33 AA57:AA65 AA81:AA89 AA105:AA113" formula="1" formulaRange="1"/>
    <ignoredError sqref="AA34:AA45 AA69 AA93 AA117" formula="1"/>
  </ignoredErrors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H88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2.75" x14ac:dyDescent="0.2"/>
  <cols>
    <col min="1" max="1" width="10.42578125" customWidth="1"/>
    <col min="2" max="2" width="9.140625" style="89" bestFit="1" customWidth="1"/>
    <col min="3" max="3" width="72.5703125" customWidth="1"/>
    <col min="4" max="4" width="11.5703125" bestFit="1" customWidth="1"/>
    <col min="5" max="5" width="13.28515625" bestFit="1" customWidth="1"/>
    <col min="6" max="6" width="8.5703125" bestFit="1" customWidth="1"/>
    <col min="7" max="7" width="10.140625" bestFit="1" customWidth="1"/>
    <col min="8" max="8" width="8.140625" bestFit="1" customWidth="1"/>
  </cols>
  <sheetData>
    <row r="2" spans="1:8" ht="15" x14ac:dyDescent="0.2">
      <c r="A2" s="5553" t="s">
        <v>1769</v>
      </c>
      <c r="B2" s="5554"/>
      <c r="E2" s="88"/>
    </row>
    <row r="3" spans="1:8" ht="15" x14ac:dyDescent="0.2">
      <c r="A3" s="5553"/>
      <c r="B3" s="5554"/>
      <c r="E3" s="88"/>
    </row>
    <row r="4" spans="1:8" ht="15" x14ac:dyDescent="0.25">
      <c r="A4" s="7219" t="s">
        <v>16</v>
      </c>
      <c r="B4" s="7219" t="s">
        <v>354</v>
      </c>
      <c r="C4" s="7219" t="s">
        <v>1708</v>
      </c>
      <c r="D4" s="7208">
        <v>2017</v>
      </c>
      <c r="E4" s="7208"/>
      <c r="F4" s="7208"/>
      <c r="G4" s="7208"/>
      <c r="H4" s="7208"/>
    </row>
    <row r="5" spans="1:8" ht="15" x14ac:dyDescent="0.2">
      <c r="A5" s="7219"/>
      <c r="B5" s="7219"/>
      <c r="C5" s="7220"/>
      <c r="D5" s="5580" t="s">
        <v>681</v>
      </c>
      <c r="E5" s="5584" t="s">
        <v>615</v>
      </c>
      <c r="F5" s="5580" t="s">
        <v>616</v>
      </c>
      <c r="G5" s="5580" t="s">
        <v>617</v>
      </c>
      <c r="H5" s="5579" t="s">
        <v>12</v>
      </c>
    </row>
    <row r="6" spans="1:8" ht="15" x14ac:dyDescent="0.2">
      <c r="A6" s="7209" t="s">
        <v>3</v>
      </c>
      <c r="B6" s="7211" t="s">
        <v>5</v>
      </c>
      <c r="C6" s="5557" t="s">
        <v>1709</v>
      </c>
      <c r="D6" s="5581">
        <v>15</v>
      </c>
      <c r="E6" s="5581">
        <v>1</v>
      </c>
      <c r="F6" s="5581">
        <v>40</v>
      </c>
      <c r="G6" s="5581">
        <v>100</v>
      </c>
      <c r="H6" s="5558">
        <v>156</v>
      </c>
    </row>
    <row r="7" spans="1:8" ht="15" x14ac:dyDescent="0.2">
      <c r="A7" s="7209"/>
      <c r="B7" s="7212"/>
      <c r="C7" s="5559" t="s">
        <v>1710</v>
      </c>
      <c r="D7" s="5560">
        <v>15</v>
      </c>
      <c r="E7" s="5560">
        <v>0</v>
      </c>
      <c r="F7" s="5560">
        <v>26</v>
      </c>
      <c r="G7" s="5560">
        <v>21</v>
      </c>
      <c r="H7" s="5560">
        <v>62</v>
      </c>
    </row>
    <row r="8" spans="1:8" ht="15" x14ac:dyDescent="0.2">
      <c r="A8" s="7209"/>
      <c r="B8" s="7212"/>
      <c r="C8" s="5559" t="s">
        <v>1711</v>
      </c>
      <c r="D8" s="5560">
        <v>8</v>
      </c>
      <c r="E8" s="5560">
        <v>1</v>
      </c>
      <c r="F8" s="5560">
        <v>24</v>
      </c>
      <c r="G8" s="5560">
        <v>38</v>
      </c>
      <c r="H8" s="5560">
        <v>71</v>
      </c>
    </row>
    <row r="9" spans="1:8" ht="15" x14ac:dyDescent="0.2">
      <c r="A9" s="7209"/>
      <c r="B9" s="7212"/>
      <c r="C9" s="5559" t="s">
        <v>1712</v>
      </c>
      <c r="D9" s="5560">
        <v>9</v>
      </c>
      <c r="E9" s="5560">
        <v>2</v>
      </c>
      <c r="F9" s="5560">
        <v>11</v>
      </c>
      <c r="G9" s="5560">
        <v>33</v>
      </c>
      <c r="H9" s="5560">
        <v>55</v>
      </c>
    </row>
    <row r="10" spans="1:8" ht="15" x14ac:dyDescent="0.2">
      <c r="A10" s="7209"/>
      <c r="B10" s="7212"/>
      <c r="C10" s="5559" t="s">
        <v>1713</v>
      </c>
      <c r="D10" s="5560">
        <v>9</v>
      </c>
      <c r="E10" s="5560">
        <v>1</v>
      </c>
      <c r="F10" s="5560">
        <v>14</v>
      </c>
      <c r="G10" s="5560">
        <v>30</v>
      </c>
      <c r="H10" s="5560">
        <v>54</v>
      </c>
    </row>
    <row r="11" spans="1:8" ht="15" x14ac:dyDescent="0.2">
      <c r="A11" s="7209"/>
      <c r="B11" s="7213"/>
      <c r="C11" s="5561" t="s">
        <v>1714</v>
      </c>
      <c r="D11" s="5562">
        <f>SUM(D6:D10)</f>
        <v>56</v>
      </c>
      <c r="E11" s="5562">
        <f t="shared" ref="E11:H11" si="0">SUM(E6:E10)</f>
        <v>5</v>
      </c>
      <c r="F11" s="5562">
        <f t="shared" si="0"/>
        <v>115</v>
      </c>
      <c r="G11" s="5562">
        <f t="shared" si="0"/>
        <v>222</v>
      </c>
      <c r="H11" s="5562">
        <f t="shared" si="0"/>
        <v>398</v>
      </c>
    </row>
    <row r="12" spans="1:8" ht="15" x14ac:dyDescent="0.2">
      <c r="A12" s="7209"/>
      <c r="B12" s="7211" t="s">
        <v>6</v>
      </c>
      <c r="C12" s="5559" t="s">
        <v>1715</v>
      </c>
      <c r="D12" s="5560">
        <v>9</v>
      </c>
      <c r="E12" s="5560">
        <v>1</v>
      </c>
      <c r="F12" s="5560">
        <v>14</v>
      </c>
      <c r="G12" s="5560">
        <v>27</v>
      </c>
      <c r="H12" s="5560">
        <v>51</v>
      </c>
    </row>
    <row r="13" spans="1:8" ht="15" x14ac:dyDescent="0.2">
      <c r="A13" s="7209"/>
      <c r="B13" s="7212"/>
      <c r="C13" s="5559" t="s">
        <v>182</v>
      </c>
      <c r="D13" s="5560">
        <v>38</v>
      </c>
      <c r="E13" s="5560">
        <v>0</v>
      </c>
      <c r="F13" s="5560">
        <v>26</v>
      </c>
      <c r="G13" s="5560">
        <v>25</v>
      </c>
      <c r="H13" s="5560">
        <v>89</v>
      </c>
    </row>
    <row r="14" spans="1:8" ht="15" x14ac:dyDescent="0.2">
      <c r="A14" s="7209"/>
      <c r="B14" s="7212"/>
      <c r="C14" s="5559" t="s">
        <v>1716</v>
      </c>
      <c r="D14" s="5560">
        <v>7</v>
      </c>
      <c r="E14" s="5560">
        <v>0</v>
      </c>
      <c r="F14" s="5560">
        <v>34</v>
      </c>
      <c r="G14" s="5560">
        <v>41</v>
      </c>
      <c r="H14" s="5560">
        <v>82</v>
      </c>
    </row>
    <row r="15" spans="1:8" ht="15" x14ac:dyDescent="0.2">
      <c r="A15" s="7209"/>
      <c r="B15" s="7212"/>
      <c r="C15" s="5559" t="s">
        <v>827</v>
      </c>
      <c r="D15" s="5560">
        <v>22</v>
      </c>
      <c r="E15" s="5560">
        <v>0</v>
      </c>
      <c r="F15" s="5560">
        <v>18</v>
      </c>
      <c r="G15" s="5560">
        <v>30</v>
      </c>
      <c r="H15" s="5560">
        <v>70</v>
      </c>
    </row>
    <row r="16" spans="1:8" ht="15" x14ac:dyDescent="0.2">
      <c r="A16" s="7209"/>
      <c r="B16" s="7212"/>
      <c r="C16" s="5559" t="s">
        <v>818</v>
      </c>
      <c r="D16" s="5560">
        <v>7</v>
      </c>
      <c r="E16" s="5560">
        <v>0</v>
      </c>
      <c r="F16" s="5560">
        <v>12</v>
      </c>
      <c r="G16" s="5560">
        <v>56</v>
      </c>
      <c r="H16" s="5560">
        <v>75</v>
      </c>
    </row>
    <row r="17" spans="1:8" ht="15" x14ac:dyDescent="0.2">
      <c r="A17" s="7209"/>
      <c r="B17" s="7213"/>
      <c r="C17" s="5561" t="s">
        <v>1717</v>
      </c>
      <c r="D17" s="5562">
        <f>SUM(D12:D16)</f>
        <v>83</v>
      </c>
      <c r="E17" s="5562">
        <f t="shared" ref="E17:H17" si="1">SUM(E12:E16)</f>
        <v>1</v>
      </c>
      <c r="F17" s="5562">
        <f t="shared" si="1"/>
        <v>104</v>
      </c>
      <c r="G17" s="5562">
        <f t="shared" si="1"/>
        <v>179</v>
      </c>
      <c r="H17" s="5562">
        <f t="shared" si="1"/>
        <v>367</v>
      </c>
    </row>
    <row r="18" spans="1:8" ht="15" x14ac:dyDescent="0.2">
      <c r="A18" s="7209"/>
      <c r="B18" s="7211" t="s">
        <v>7</v>
      </c>
      <c r="C18" s="5559" t="s">
        <v>1718</v>
      </c>
      <c r="D18" s="5560">
        <v>6</v>
      </c>
      <c r="E18" s="5560">
        <v>1</v>
      </c>
      <c r="F18" s="5560">
        <v>22</v>
      </c>
      <c r="G18" s="5560">
        <v>14</v>
      </c>
      <c r="H18" s="5560">
        <v>43</v>
      </c>
    </row>
    <row r="19" spans="1:8" ht="15" x14ac:dyDescent="0.2">
      <c r="A19" s="7209"/>
      <c r="B19" s="7212"/>
      <c r="C19" s="5559" t="s">
        <v>1719</v>
      </c>
      <c r="D19" s="5560">
        <v>13</v>
      </c>
      <c r="E19" s="5560">
        <v>1</v>
      </c>
      <c r="F19" s="5560">
        <v>33</v>
      </c>
      <c r="G19" s="5560">
        <v>19</v>
      </c>
      <c r="H19" s="5560">
        <v>66</v>
      </c>
    </row>
    <row r="20" spans="1:8" ht="15" x14ac:dyDescent="0.2">
      <c r="A20" s="7209"/>
      <c r="B20" s="7212"/>
      <c r="C20" s="5559" t="s">
        <v>1720</v>
      </c>
      <c r="D20" s="5560">
        <v>11</v>
      </c>
      <c r="E20" s="5560">
        <v>2</v>
      </c>
      <c r="F20" s="5560">
        <v>22</v>
      </c>
      <c r="G20" s="5560">
        <v>10</v>
      </c>
      <c r="H20" s="5560">
        <v>45</v>
      </c>
    </row>
    <row r="21" spans="1:8" ht="15" x14ac:dyDescent="0.2">
      <c r="A21" s="7209"/>
      <c r="B21" s="7212"/>
      <c r="C21" s="5559" t="s">
        <v>1721</v>
      </c>
      <c r="D21" s="5560">
        <v>21</v>
      </c>
      <c r="E21" s="5560">
        <v>0</v>
      </c>
      <c r="F21" s="5560">
        <v>46</v>
      </c>
      <c r="G21" s="5560">
        <v>16</v>
      </c>
      <c r="H21" s="5560">
        <v>83</v>
      </c>
    </row>
    <row r="22" spans="1:8" ht="15" x14ac:dyDescent="0.2">
      <c r="A22" s="7209"/>
      <c r="B22" s="7213"/>
      <c r="C22" s="5563" t="s">
        <v>1722</v>
      </c>
      <c r="D22" s="5570">
        <f>SUM(D18:D21)</f>
        <v>51</v>
      </c>
      <c r="E22" s="5570">
        <f t="shared" ref="E22:H22" si="2">SUM(E18:E21)</f>
        <v>4</v>
      </c>
      <c r="F22" s="5570">
        <f t="shared" si="2"/>
        <v>123</v>
      </c>
      <c r="G22" s="5570">
        <f t="shared" si="2"/>
        <v>59</v>
      </c>
      <c r="H22" s="5570">
        <f t="shared" si="2"/>
        <v>237</v>
      </c>
    </row>
    <row r="23" spans="1:8" ht="15" x14ac:dyDescent="0.2">
      <c r="A23" s="7210"/>
      <c r="B23" s="7221" t="s">
        <v>29</v>
      </c>
      <c r="C23" s="7222"/>
      <c r="D23" s="5571">
        <f>SUM(D22,D17,D11)</f>
        <v>190</v>
      </c>
      <c r="E23" s="5571">
        <f t="shared" ref="E23:H23" si="3">SUM(E22,E17,E11)</f>
        <v>10</v>
      </c>
      <c r="F23" s="5571">
        <f t="shared" si="3"/>
        <v>342</v>
      </c>
      <c r="G23" s="5571">
        <f t="shared" si="3"/>
        <v>460</v>
      </c>
      <c r="H23" s="5571">
        <f t="shared" si="3"/>
        <v>1002</v>
      </c>
    </row>
    <row r="24" spans="1:8" ht="15" x14ac:dyDescent="0.2">
      <c r="A24" s="7214" t="s">
        <v>8</v>
      </c>
      <c r="B24" s="7211" t="s">
        <v>6</v>
      </c>
      <c r="C24" s="5557" t="s">
        <v>1731</v>
      </c>
      <c r="D24" s="5558">
        <v>0</v>
      </c>
      <c r="E24" s="5558">
        <v>0</v>
      </c>
      <c r="F24" s="5558">
        <v>0</v>
      </c>
      <c r="G24" s="5558">
        <v>19</v>
      </c>
      <c r="H24" s="5558">
        <v>19</v>
      </c>
    </row>
    <row r="25" spans="1:8" ht="15" x14ac:dyDescent="0.2">
      <c r="A25" s="7215"/>
      <c r="B25" s="7212"/>
      <c r="C25" s="5559" t="s">
        <v>1732</v>
      </c>
      <c r="D25" s="5560">
        <v>0</v>
      </c>
      <c r="E25" s="5560">
        <v>0</v>
      </c>
      <c r="F25" s="5560">
        <v>0</v>
      </c>
      <c r="G25" s="5560">
        <v>23</v>
      </c>
      <c r="H25" s="5560">
        <v>23</v>
      </c>
    </row>
    <row r="26" spans="1:8" ht="15" x14ac:dyDescent="0.2">
      <c r="A26" s="7215"/>
      <c r="B26" s="7212"/>
      <c r="C26" s="5559" t="s">
        <v>827</v>
      </c>
      <c r="D26" s="5560">
        <v>0</v>
      </c>
      <c r="E26" s="5560">
        <v>0</v>
      </c>
      <c r="F26" s="5560">
        <v>0</v>
      </c>
      <c r="G26" s="5560">
        <v>21</v>
      </c>
      <c r="H26" s="5560">
        <v>21</v>
      </c>
    </row>
    <row r="27" spans="1:8" ht="15" x14ac:dyDescent="0.2">
      <c r="A27" s="7215"/>
      <c r="B27" s="7213"/>
      <c r="C27" s="5561" t="s">
        <v>1717</v>
      </c>
      <c r="D27" s="5572">
        <f>SUM(D24:D26)</f>
        <v>0</v>
      </c>
      <c r="E27" s="5572">
        <f t="shared" ref="E27:H27" si="4">SUM(E24:E26)</f>
        <v>0</v>
      </c>
      <c r="F27" s="5572">
        <f t="shared" si="4"/>
        <v>0</v>
      </c>
      <c r="G27" s="5572">
        <f t="shared" si="4"/>
        <v>63</v>
      </c>
      <c r="H27" s="5572">
        <f t="shared" si="4"/>
        <v>63</v>
      </c>
    </row>
    <row r="28" spans="1:8" ht="15" x14ac:dyDescent="0.2">
      <c r="A28" s="7215"/>
      <c r="B28" s="7211" t="s">
        <v>9</v>
      </c>
      <c r="C28" s="5559" t="s">
        <v>1723</v>
      </c>
      <c r="D28" s="5560">
        <v>1</v>
      </c>
      <c r="E28" s="5560">
        <v>0</v>
      </c>
      <c r="F28" s="5560">
        <v>4</v>
      </c>
      <c r="G28" s="5560">
        <v>14</v>
      </c>
      <c r="H28" s="5560">
        <v>19</v>
      </c>
    </row>
    <row r="29" spans="1:8" ht="15" x14ac:dyDescent="0.2">
      <c r="A29" s="7215"/>
      <c r="B29" s="7212"/>
      <c r="C29" s="5559" t="s">
        <v>1724</v>
      </c>
      <c r="D29" s="5560">
        <v>0</v>
      </c>
      <c r="E29" s="5560">
        <v>0</v>
      </c>
      <c r="F29" s="5560">
        <v>1</v>
      </c>
      <c r="G29" s="5560">
        <v>15</v>
      </c>
      <c r="H29" s="5560">
        <v>16</v>
      </c>
    </row>
    <row r="30" spans="1:8" ht="15" x14ac:dyDescent="0.2">
      <c r="A30" s="7215"/>
      <c r="B30" s="7212"/>
      <c r="C30" s="5559" t="s">
        <v>1725</v>
      </c>
      <c r="D30" s="5560">
        <v>0</v>
      </c>
      <c r="E30" s="5560">
        <v>0</v>
      </c>
      <c r="F30" s="5560">
        <v>8</v>
      </c>
      <c r="G30" s="5560">
        <v>11</v>
      </c>
      <c r="H30" s="5560">
        <v>19</v>
      </c>
    </row>
    <row r="31" spans="1:8" ht="15" x14ac:dyDescent="0.2">
      <c r="A31" s="7215"/>
      <c r="B31" s="7213"/>
      <c r="C31" s="5561" t="s">
        <v>1726</v>
      </c>
      <c r="D31" s="5572">
        <f>SUM(D28:D30)</f>
        <v>1</v>
      </c>
      <c r="E31" s="5572">
        <f t="shared" ref="E31:H31" si="5">SUM(E28:E30)</f>
        <v>0</v>
      </c>
      <c r="F31" s="5572">
        <f t="shared" si="5"/>
        <v>13</v>
      </c>
      <c r="G31" s="5572">
        <f t="shared" si="5"/>
        <v>40</v>
      </c>
      <c r="H31" s="5572">
        <f t="shared" si="5"/>
        <v>54</v>
      </c>
    </row>
    <row r="32" spans="1:8" ht="15" x14ac:dyDescent="0.2">
      <c r="A32" s="7215"/>
      <c r="B32" s="7211" t="s">
        <v>74</v>
      </c>
      <c r="C32" s="5559" t="s">
        <v>1727</v>
      </c>
      <c r="D32" s="5560">
        <v>1</v>
      </c>
      <c r="E32" s="5560">
        <v>0</v>
      </c>
      <c r="F32" s="5560">
        <v>1</v>
      </c>
      <c r="G32" s="5560">
        <v>13</v>
      </c>
      <c r="H32" s="5560">
        <v>15</v>
      </c>
    </row>
    <row r="33" spans="1:8" ht="15" x14ac:dyDescent="0.2">
      <c r="A33" s="7215"/>
      <c r="B33" s="7212"/>
      <c r="C33" s="5559" t="s">
        <v>1728</v>
      </c>
      <c r="D33" s="5560">
        <v>1</v>
      </c>
      <c r="E33" s="5560">
        <v>0</v>
      </c>
      <c r="F33" s="5560">
        <v>3</v>
      </c>
      <c r="G33" s="5560">
        <v>18</v>
      </c>
      <c r="H33" s="5560">
        <v>22</v>
      </c>
    </row>
    <row r="34" spans="1:8" ht="15" x14ac:dyDescent="0.2">
      <c r="A34" s="7215"/>
      <c r="B34" s="7212"/>
      <c r="C34" s="5559" t="s">
        <v>1729</v>
      </c>
      <c r="D34" s="5560">
        <v>0</v>
      </c>
      <c r="E34" s="5560">
        <v>0</v>
      </c>
      <c r="F34" s="5560">
        <v>0</v>
      </c>
      <c r="G34" s="5560">
        <v>17</v>
      </c>
      <c r="H34" s="5560">
        <v>17</v>
      </c>
    </row>
    <row r="35" spans="1:8" ht="15" x14ac:dyDescent="0.2">
      <c r="A35" s="7215"/>
      <c r="B35" s="7213"/>
      <c r="C35" s="5563" t="s">
        <v>1730</v>
      </c>
      <c r="D35" s="5570">
        <f>SUM(D32:D34)</f>
        <v>2</v>
      </c>
      <c r="E35" s="5570">
        <f t="shared" ref="E35:H35" si="6">SUM(E32:E34)</f>
        <v>0</v>
      </c>
      <c r="F35" s="5570">
        <f t="shared" si="6"/>
        <v>4</v>
      </c>
      <c r="G35" s="5570">
        <f t="shared" si="6"/>
        <v>48</v>
      </c>
      <c r="H35" s="5570">
        <f t="shared" si="6"/>
        <v>54</v>
      </c>
    </row>
    <row r="36" spans="1:8" ht="12.75" customHeight="1" x14ac:dyDescent="0.2">
      <c r="A36" s="7216"/>
      <c r="B36" s="7217" t="s">
        <v>1733</v>
      </c>
      <c r="C36" s="7218"/>
      <c r="D36" s="5573">
        <f>SUM(D35,D31,D27)</f>
        <v>3</v>
      </c>
      <c r="E36" s="5573">
        <f t="shared" ref="E36:H36" si="7">SUM(E35,E31,E27)</f>
        <v>0</v>
      </c>
      <c r="F36" s="5573">
        <f t="shared" si="7"/>
        <v>17</v>
      </c>
      <c r="G36" s="5573">
        <f t="shared" si="7"/>
        <v>151</v>
      </c>
      <c r="H36" s="5573">
        <f t="shared" si="7"/>
        <v>171</v>
      </c>
    </row>
    <row r="37" spans="1:8" ht="15" x14ac:dyDescent="0.2">
      <c r="A37" s="7223" t="s">
        <v>75</v>
      </c>
      <c r="B37" s="7211" t="s">
        <v>5</v>
      </c>
      <c r="C37" s="5557" t="s">
        <v>1734</v>
      </c>
      <c r="D37" s="5558">
        <v>1</v>
      </c>
      <c r="E37" s="5558">
        <v>0</v>
      </c>
      <c r="F37" s="5558">
        <v>7</v>
      </c>
      <c r="G37" s="5558">
        <v>56</v>
      </c>
      <c r="H37" s="5558">
        <v>64</v>
      </c>
    </row>
    <row r="38" spans="1:8" ht="15" x14ac:dyDescent="0.2">
      <c r="A38" s="7223"/>
      <c r="B38" s="7212"/>
      <c r="C38" s="5559" t="s">
        <v>1735</v>
      </c>
      <c r="D38" s="5560">
        <v>1</v>
      </c>
      <c r="E38" s="5560">
        <v>1</v>
      </c>
      <c r="F38" s="5560">
        <v>7</v>
      </c>
      <c r="G38" s="5560">
        <v>34</v>
      </c>
      <c r="H38" s="5560">
        <v>43</v>
      </c>
    </row>
    <row r="39" spans="1:8" ht="15" x14ac:dyDescent="0.2">
      <c r="A39" s="7223"/>
      <c r="B39" s="7212"/>
      <c r="C39" s="5559" t="s">
        <v>817</v>
      </c>
      <c r="D39" s="5560">
        <v>7</v>
      </c>
      <c r="E39" s="5560">
        <v>0</v>
      </c>
      <c r="F39" s="5560">
        <v>16</v>
      </c>
      <c r="G39" s="5560">
        <v>43</v>
      </c>
      <c r="H39" s="5560">
        <v>66</v>
      </c>
    </row>
    <row r="40" spans="1:8" ht="15" x14ac:dyDescent="0.2">
      <c r="A40" s="7223"/>
      <c r="B40" s="7212"/>
      <c r="C40" s="5559" t="s">
        <v>1736</v>
      </c>
      <c r="D40" s="5560">
        <v>1</v>
      </c>
      <c r="E40" s="5560">
        <v>0</v>
      </c>
      <c r="F40" s="5560">
        <v>9</v>
      </c>
      <c r="G40" s="5560">
        <v>50</v>
      </c>
      <c r="H40" s="5560">
        <v>60</v>
      </c>
    </row>
    <row r="41" spans="1:8" ht="15" x14ac:dyDescent="0.2">
      <c r="A41" s="7223"/>
      <c r="B41" s="7212"/>
      <c r="C41" s="5559" t="s">
        <v>1737</v>
      </c>
      <c r="D41" s="5560">
        <v>0</v>
      </c>
      <c r="E41" s="5560">
        <v>0</v>
      </c>
      <c r="F41" s="5560">
        <v>5</v>
      </c>
      <c r="G41" s="5560">
        <v>51</v>
      </c>
      <c r="H41" s="5560">
        <v>56</v>
      </c>
    </row>
    <row r="42" spans="1:8" ht="15" x14ac:dyDescent="0.2">
      <c r="A42" s="7223"/>
      <c r="B42" s="7213"/>
      <c r="C42" s="5561" t="s">
        <v>1714</v>
      </c>
      <c r="D42" s="5562">
        <f>SUM(D37:D41)</f>
        <v>10</v>
      </c>
      <c r="E42" s="5562">
        <f t="shared" ref="E42:H42" si="8">SUM(E37:E41)</f>
        <v>1</v>
      </c>
      <c r="F42" s="5562">
        <f t="shared" si="8"/>
        <v>44</v>
      </c>
      <c r="G42" s="5562">
        <f t="shared" si="8"/>
        <v>234</v>
      </c>
      <c r="H42" s="5562">
        <f t="shared" si="8"/>
        <v>289</v>
      </c>
    </row>
    <row r="43" spans="1:8" ht="15" x14ac:dyDescent="0.2">
      <c r="A43" s="7223"/>
      <c r="B43" s="7211" t="s">
        <v>6</v>
      </c>
      <c r="C43" s="5559" t="s">
        <v>1744</v>
      </c>
      <c r="D43" s="5560">
        <v>0</v>
      </c>
      <c r="E43" s="5560">
        <v>0</v>
      </c>
      <c r="F43" s="5560">
        <v>2</v>
      </c>
      <c r="G43" s="5560">
        <v>22</v>
      </c>
      <c r="H43" s="5560">
        <v>24</v>
      </c>
    </row>
    <row r="44" spans="1:8" ht="15" x14ac:dyDescent="0.2">
      <c r="A44" s="7223"/>
      <c r="B44" s="7212"/>
      <c r="C44" s="5559" t="s">
        <v>1716</v>
      </c>
      <c r="D44" s="5560">
        <v>16</v>
      </c>
      <c r="E44" s="5560">
        <v>1</v>
      </c>
      <c r="F44" s="5560">
        <v>21</v>
      </c>
      <c r="G44" s="5560">
        <v>58</v>
      </c>
      <c r="H44" s="5560">
        <v>96</v>
      </c>
    </row>
    <row r="45" spans="1:8" ht="15" x14ac:dyDescent="0.2">
      <c r="A45" s="7223"/>
      <c r="B45" s="7212"/>
      <c r="C45" s="5559" t="s">
        <v>1745</v>
      </c>
      <c r="D45" s="5560">
        <v>19</v>
      </c>
      <c r="E45" s="5560">
        <v>0</v>
      </c>
      <c r="F45" s="5560">
        <v>39</v>
      </c>
      <c r="G45" s="5560">
        <v>75</v>
      </c>
      <c r="H45" s="5560">
        <v>133</v>
      </c>
    </row>
    <row r="46" spans="1:8" ht="15" x14ac:dyDescent="0.2">
      <c r="A46" s="7223"/>
      <c r="B46" s="7212"/>
      <c r="C46" s="5559" t="s">
        <v>818</v>
      </c>
      <c r="D46" s="5560">
        <v>10</v>
      </c>
      <c r="E46" s="5560">
        <v>0</v>
      </c>
      <c r="F46" s="5560">
        <v>21</v>
      </c>
      <c r="G46" s="5560">
        <v>65</v>
      </c>
      <c r="H46" s="5560">
        <v>96</v>
      </c>
    </row>
    <row r="47" spans="1:8" ht="15" x14ac:dyDescent="0.2">
      <c r="A47" s="7223"/>
      <c r="B47" s="7213"/>
      <c r="C47" s="5561" t="s">
        <v>1717</v>
      </c>
      <c r="D47" s="5562">
        <f>SUM(D43:D46)</f>
        <v>45</v>
      </c>
      <c r="E47" s="5562">
        <f t="shared" ref="E47:H47" si="9">SUM(E43:E46)</f>
        <v>1</v>
      </c>
      <c r="F47" s="5562">
        <f t="shared" si="9"/>
        <v>83</v>
      </c>
      <c r="G47" s="5562">
        <f t="shared" si="9"/>
        <v>220</v>
      </c>
      <c r="H47" s="5562">
        <f t="shared" si="9"/>
        <v>349</v>
      </c>
    </row>
    <row r="48" spans="1:8" ht="15" x14ac:dyDescent="0.2">
      <c r="A48" s="7223"/>
      <c r="B48" s="7211" t="s">
        <v>11</v>
      </c>
      <c r="C48" s="5559" t="s">
        <v>1738</v>
      </c>
      <c r="D48" s="5560">
        <v>7</v>
      </c>
      <c r="E48" s="5560">
        <v>0</v>
      </c>
      <c r="F48" s="5560">
        <v>16</v>
      </c>
      <c r="G48" s="5560">
        <v>32</v>
      </c>
      <c r="H48" s="5560">
        <v>55</v>
      </c>
    </row>
    <row r="49" spans="1:8" ht="15" x14ac:dyDescent="0.2">
      <c r="A49" s="7223"/>
      <c r="B49" s="7212"/>
      <c r="C49" s="5559" t="s">
        <v>1739</v>
      </c>
      <c r="D49" s="5560">
        <v>1</v>
      </c>
      <c r="E49" s="5560">
        <v>0</v>
      </c>
      <c r="F49" s="5560">
        <v>7</v>
      </c>
      <c r="G49" s="5560">
        <v>31</v>
      </c>
      <c r="H49" s="5560">
        <v>39</v>
      </c>
    </row>
    <row r="50" spans="1:8" ht="15" x14ac:dyDescent="0.2">
      <c r="A50" s="7223"/>
      <c r="B50" s="7212"/>
      <c r="C50" s="5559" t="s">
        <v>1740</v>
      </c>
      <c r="D50" s="5560">
        <v>6</v>
      </c>
      <c r="E50" s="5560">
        <v>0</v>
      </c>
      <c r="F50" s="5560">
        <v>10</v>
      </c>
      <c r="G50" s="5560">
        <v>44</v>
      </c>
      <c r="H50" s="5560">
        <v>60</v>
      </c>
    </row>
    <row r="51" spans="1:8" ht="15" x14ac:dyDescent="0.2">
      <c r="A51" s="7223"/>
      <c r="B51" s="7212"/>
      <c r="C51" s="5559" t="s">
        <v>1741</v>
      </c>
      <c r="D51" s="5560">
        <v>3</v>
      </c>
      <c r="E51" s="5560">
        <v>0</v>
      </c>
      <c r="F51" s="5560">
        <v>9</v>
      </c>
      <c r="G51" s="5560">
        <v>46</v>
      </c>
      <c r="H51" s="5560">
        <v>58</v>
      </c>
    </row>
    <row r="52" spans="1:8" ht="15" x14ac:dyDescent="0.2">
      <c r="A52" s="7223"/>
      <c r="B52" s="7212"/>
      <c r="C52" s="5559" t="s">
        <v>1742</v>
      </c>
      <c r="D52" s="5560">
        <v>3</v>
      </c>
      <c r="E52" s="5560">
        <v>2</v>
      </c>
      <c r="F52" s="5560">
        <v>12</v>
      </c>
      <c r="G52" s="5560">
        <v>23</v>
      </c>
      <c r="H52" s="5560">
        <v>40</v>
      </c>
    </row>
    <row r="53" spans="1:8" ht="15" x14ac:dyDescent="0.2">
      <c r="A53" s="7223"/>
      <c r="B53" s="7213"/>
      <c r="C53" s="5563" t="s">
        <v>1743</v>
      </c>
      <c r="D53" s="5570">
        <f>SUM(D48:D52)</f>
        <v>20</v>
      </c>
      <c r="E53" s="5570">
        <f t="shared" ref="E53:H53" si="10">SUM(E48:E52)</f>
        <v>2</v>
      </c>
      <c r="F53" s="5570">
        <f t="shared" si="10"/>
        <v>54</v>
      </c>
      <c r="G53" s="5570">
        <f t="shared" si="10"/>
        <v>176</v>
      </c>
      <c r="H53" s="5570">
        <f t="shared" si="10"/>
        <v>252</v>
      </c>
    </row>
    <row r="54" spans="1:8" ht="15" x14ac:dyDescent="0.2">
      <c r="A54" s="7224"/>
      <c r="B54" s="7227" t="s">
        <v>31</v>
      </c>
      <c r="C54" s="7228"/>
      <c r="D54" s="5574">
        <f>SUM(D53,D47,D42)</f>
        <v>75</v>
      </c>
      <c r="E54" s="5574">
        <f t="shared" ref="E54:H54" si="11">SUM(E53,E47,E42)</f>
        <v>4</v>
      </c>
      <c r="F54" s="5574">
        <f t="shared" si="11"/>
        <v>181</v>
      </c>
      <c r="G54" s="5574">
        <f t="shared" si="11"/>
        <v>630</v>
      </c>
      <c r="H54" s="5574">
        <f t="shared" si="11"/>
        <v>890</v>
      </c>
    </row>
    <row r="55" spans="1:8" ht="15" x14ac:dyDescent="0.2">
      <c r="A55" s="7225" t="s">
        <v>325</v>
      </c>
      <c r="B55" s="7211" t="s">
        <v>5</v>
      </c>
      <c r="C55" s="5564" t="s">
        <v>1746</v>
      </c>
      <c r="D55" s="5558">
        <v>0</v>
      </c>
      <c r="E55" s="5558">
        <v>0</v>
      </c>
      <c r="F55" s="5558">
        <v>1</v>
      </c>
      <c r="G55" s="5558">
        <v>5</v>
      </c>
      <c r="H55" s="5558">
        <v>6</v>
      </c>
    </row>
    <row r="56" spans="1:8" ht="15" x14ac:dyDescent="0.2">
      <c r="A56" s="7225"/>
      <c r="B56" s="7212"/>
      <c r="C56" s="5565" t="s">
        <v>1747</v>
      </c>
      <c r="D56" s="5560">
        <v>0</v>
      </c>
      <c r="E56" s="5560">
        <v>0</v>
      </c>
      <c r="F56" s="5560">
        <v>0</v>
      </c>
      <c r="G56" s="5560">
        <v>9</v>
      </c>
      <c r="H56" s="5560">
        <v>9</v>
      </c>
    </row>
    <row r="57" spans="1:8" ht="15" x14ac:dyDescent="0.2">
      <c r="A57" s="7225"/>
      <c r="B57" s="7212"/>
      <c r="C57" s="5565" t="s">
        <v>1748</v>
      </c>
      <c r="D57" s="5560">
        <v>0</v>
      </c>
      <c r="E57" s="5560">
        <v>0</v>
      </c>
      <c r="F57" s="5560">
        <v>1</v>
      </c>
      <c r="G57" s="5560">
        <v>3</v>
      </c>
      <c r="H57" s="5560">
        <v>4</v>
      </c>
    </row>
    <row r="58" spans="1:8" ht="15" x14ac:dyDescent="0.2">
      <c r="A58" s="7225"/>
      <c r="B58" s="7213"/>
      <c r="C58" s="5561" t="s">
        <v>1714</v>
      </c>
      <c r="D58" s="5572">
        <f>SUM(D55:D57)</f>
        <v>0</v>
      </c>
      <c r="E58" s="5572">
        <f t="shared" ref="E58:H58" si="12">SUM(E55:E57)</f>
        <v>0</v>
      </c>
      <c r="F58" s="5572">
        <f t="shared" si="12"/>
        <v>2</v>
      </c>
      <c r="G58" s="5572">
        <f t="shared" si="12"/>
        <v>17</v>
      </c>
      <c r="H58" s="5572">
        <f t="shared" si="12"/>
        <v>19</v>
      </c>
    </row>
    <row r="59" spans="1:8" ht="15" x14ac:dyDescent="0.2">
      <c r="A59" s="7225"/>
      <c r="B59" s="7211" t="s">
        <v>6</v>
      </c>
      <c r="C59" s="5565" t="s">
        <v>1751</v>
      </c>
      <c r="D59" s="5560">
        <v>0</v>
      </c>
      <c r="E59" s="5560">
        <v>0</v>
      </c>
      <c r="F59" s="5560">
        <v>3</v>
      </c>
      <c r="G59" s="5560">
        <v>6</v>
      </c>
      <c r="H59" s="5560">
        <v>9</v>
      </c>
    </row>
    <row r="60" spans="1:8" ht="15" x14ac:dyDescent="0.2">
      <c r="A60" s="7225"/>
      <c r="B60" s="7212"/>
      <c r="C60" s="5565" t="s">
        <v>1752</v>
      </c>
      <c r="D60" s="5560">
        <v>0</v>
      </c>
      <c r="E60" s="5560">
        <v>0</v>
      </c>
      <c r="F60" s="5560">
        <v>1</v>
      </c>
      <c r="G60" s="5560">
        <v>3</v>
      </c>
      <c r="H60" s="5560">
        <v>4</v>
      </c>
    </row>
    <row r="61" spans="1:8" ht="15" x14ac:dyDescent="0.2">
      <c r="A61" s="7225"/>
      <c r="B61" s="7212"/>
      <c r="C61" s="5565" t="s">
        <v>1753</v>
      </c>
      <c r="D61" s="5560">
        <v>0</v>
      </c>
      <c r="E61" s="5560">
        <v>0</v>
      </c>
      <c r="F61" s="5560">
        <v>3</v>
      </c>
      <c r="G61" s="5560">
        <v>13</v>
      </c>
      <c r="H61" s="5560">
        <v>16</v>
      </c>
    </row>
    <row r="62" spans="1:8" ht="15" x14ac:dyDescent="0.2">
      <c r="A62" s="7225"/>
      <c r="B62" s="7213"/>
      <c r="C62" s="5561" t="s">
        <v>1717</v>
      </c>
      <c r="D62" s="5562">
        <f>SUM(D59:D61)</f>
        <v>0</v>
      </c>
      <c r="E62" s="5562">
        <f t="shared" ref="E62:H62" si="13">SUM(E59:E61)</f>
        <v>0</v>
      </c>
      <c r="F62" s="5562">
        <f t="shared" si="13"/>
        <v>7</v>
      </c>
      <c r="G62" s="5562">
        <f t="shared" si="13"/>
        <v>22</v>
      </c>
      <c r="H62" s="5562">
        <f t="shared" si="13"/>
        <v>29</v>
      </c>
    </row>
    <row r="63" spans="1:8" ht="15" x14ac:dyDescent="0.2">
      <c r="A63" s="7225"/>
      <c r="B63" s="7211" t="s">
        <v>11</v>
      </c>
      <c r="C63" s="5559" t="s">
        <v>1749</v>
      </c>
      <c r="D63" s="5560">
        <v>0</v>
      </c>
      <c r="E63" s="5560">
        <v>0</v>
      </c>
      <c r="F63" s="5560">
        <v>0</v>
      </c>
      <c r="G63" s="5560">
        <v>9</v>
      </c>
      <c r="H63" s="5560">
        <v>9</v>
      </c>
    </row>
    <row r="64" spans="1:8" ht="15" x14ac:dyDescent="0.2">
      <c r="A64" s="7225"/>
      <c r="B64" s="7212"/>
      <c r="C64" s="5559" t="s">
        <v>1750</v>
      </c>
      <c r="D64" s="5560">
        <v>0</v>
      </c>
      <c r="E64" s="5560">
        <v>0</v>
      </c>
      <c r="F64" s="5560">
        <v>0</v>
      </c>
      <c r="G64" s="5560">
        <v>7</v>
      </c>
      <c r="H64" s="5560">
        <v>7</v>
      </c>
    </row>
    <row r="65" spans="1:8" ht="15" x14ac:dyDescent="0.2">
      <c r="A65" s="7225"/>
      <c r="B65" s="7212"/>
      <c r="C65" s="5559" t="s">
        <v>1741</v>
      </c>
      <c r="D65" s="5560">
        <v>0</v>
      </c>
      <c r="E65" s="5560">
        <v>0</v>
      </c>
      <c r="F65" s="5560">
        <v>0</v>
      </c>
      <c r="G65" s="5560">
        <v>4</v>
      </c>
      <c r="H65" s="5560">
        <v>4</v>
      </c>
    </row>
    <row r="66" spans="1:8" ht="15" x14ac:dyDescent="0.2">
      <c r="A66" s="7225"/>
      <c r="B66" s="7213"/>
      <c r="C66" s="5563" t="s">
        <v>1743</v>
      </c>
      <c r="D66" s="5570">
        <f>SUM(D63:D65)</f>
        <v>0</v>
      </c>
      <c r="E66" s="5570">
        <f t="shared" ref="E66:H66" si="14">SUM(E63:E65)</f>
        <v>0</v>
      </c>
      <c r="F66" s="5570">
        <f t="shared" si="14"/>
        <v>0</v>
      </c>
      <c r="G66" s="5570">
        <f t="shared" si="14"/>
        <v>20</v>
      </c>
      <c r="H66" s="5570">
        <f t="shared" si="14"/>
        <v>20</v>
      </c>
    </row>
    <row r="67" spans="1:8" ht="15" x14ac:dyDescent="0.2">
      <c r="A67" s="7226"/>
      <c r="B67" s="7229" t="s">
        <v>1754</v>
      </c>
      <c r="C67" s="7230"/>
      <c r="D67" s="5575">
        <f>SUM(D66,D62,D58)</f>
        <v>0</v>
      </c>
      <c r="E67" s="5575">
        <f t="shared" ref="E67:H67" si="15">SUM(E66,E62,E58)</f>
        <v>0</v>
      </c>
      <c r="F67" s="5575">
        <f t="shared" si="15"/>
        <v>9</v>
      </c>
      <c r="G67" s="5575">
        <f t="shared" si="15"/>
        <v>59</v>
      </c>
      <c r="H67" s="5575">
        <f t="shared" si="15"/>
        <v>68</v>
      </c>
    </row>
    <row r="68" spans="1:8" ht="15" x14ac:dyDescent="0.25">
      <c r="A68" s="7231" t="s">
        <v>10</v>
      </c>
      <c r="B68" s="7211" t="s">
        <v>6</v>
      </c>
      <c r="C68" s="5566" t="s">
        <v>1759</v>
      </c>
      <c r="D68" s="5567">
        <v>24</v>
      </c>
      <c r="E68" s="5567">
        <v>2</v>
      </c>
      <c r="F68" s="5567">
        <v>48</v>
      </c>
      <c r="G68" s="5567">
        <v>66</v>
      </c>
      <c r="H68" s="5567">
        <v>140</v>
      </c>
    </row>
    <row r="69" spans="1:8" ht="15" x14ac:dyDescent="0.25">
      <c r="A69" s="7232"/>
      <c r="B69" s="7212"/>
      <c r="C69" s="5568" t="s">
        <v>1760</v>
      </c>
      <c r="D69" s="5569">
        <v>16</v>
      </c>
      <c r="E69" s="5569">
        <v>0</v>
      </c>
      <c r="F69" s="5569">
        <v>29</v>
      </c>
      <c r="G69" s="5569">
        <v>64</v>
      </c>
      <c r="H69" s="5569">
        <v>109</v>
      </c>
    </row>
    <row r="70" spans="1:8" ht="15" x14ac:dyDescent="0.25">
      <c r="A70" s="7232"/>
      <c r="B70" s="7212"/>
      <c r="C70" s="5568" t="s">
        <v>1761</v>
      </c>
      <c r="D70" s="5569">
        <v>7</v>
      </c>
      <c r="E70" s="5569">
        <v>0</v>
      </c>
      <c r="F70" s="5569">
        <v>25</v>
      </c>
      <c r="G70" s="5569">
        <v>46</v>
      </c>
      <c r="H70" s="5569">
        <v>78</v>
      </c>
    </row>
    <row r="71" spans="1:8" ht="15" x14ac:dyDescent="0.25">
      <c r="A71" s="7232"/>
      <c r="B71" s="7212"/>
      <c r="C71" s="5568" t="s">
        <v>1762</v>
      </c>
      <c r="D71" s="5569">
        <v>7</v>
      </c>
      <c r="E71" s="5569">
        <v>0</v>
      </c>
      <c r="F71" s="5569">
        <v>20</v>
      </c>
      <c r="G71" s="5569">
        <v>34</v>
      </c>
      <c r="H71" s="5569">
        <v>61</v>
      </c>
    </row>
    <row r="72" spans="1:8" ht="15" x14ac:dyDescent="0.2">
      <c r="A72" s="7232"/>
      <c r="B72" s="7213"/>
      <c r="C72" s="5561" t="s">
        <v>1717</v>
      </c>
      <c r="D72" s="5576">
        <f>SUM(D68:D71)</f>
        <v>54</v>
      </c>
      <c r="E72" s="5576">
        <f t="shared" ref="E72:H72" si="16">SUM(E68:E71)</f>
        <v>2</v>
      </c>
      <c r="F72" s="5576">
        <f t="shared" si="16"/>
        <v>122</v>
      </c>
      <c r="G72" s="5576">
        <f t="shared" si="16"/>
        <v>210</v>
      </c>
      <c r="H72" s="5576">
        <f t="shared" si="16"/>
        <v>388</v>
      </c>
    </row>
    <row r="73" spans="1:8" ht="15" x14ac:dyDescent="0.25">
      <c r="A73" s="7232"/>
      <c r="B73" s="7211" t="s">
        <v>11</v>
      </c>
      <c r="C73" s="5568" t="s">
        <v>1755</v>
      </c>
      <c r="D73" s="5569">
        <v>25</v>
      </c>
      <c r="E73" s="5569">
        <v>5</v>
      </c>
      <c r="F73" s="5569">
        <v>67</v>
      </c>
      <c r="G73" s="5569">
        <v>64</v>
      </c>
      <c r="H73" s="5569">
        <v>161</v>
      </c>
    </row>
    <row r="74" spans="1:8" ht="15" x14ac:dyDescent="0.25">
      <c r="A74" s="7232"/>
      <c r="B74" s="7212"/>
      <c r="C74" s="5568" t="s">
        <v>1756</v>
      </c>
      <c r="D74" s="5569">
        <v>6</v>
      </c>
      <c r="E74" s="5569">
        <v>0</v>
      </c>
      <c r="F74" s="5569">
        <v>20</v>
      </c>
      <c r="G74" s="5569">
        <v>28</v>
      </c>
      <c r="H74" s="5569">
        <v>54</v>
      </c>
    </row>
    <row r="75" spans="1:8" ht="15" x14ac:dyDescent="0.25">
      <c r="A75" s="7232"/>
      <c r="B75" s="7212"/>
      <c r="C75" s="5568" t="s">
        <v>1757</v>
      </c>
      <c r="D75" s="5569">
        <v>6</v>
      </c>
      <c r="E75" s="5569">
        <v>2</v>
      </c>
      <c r="F75" s="5569">
        <v>33</v>
      </c>
      <c r="G75" s="5569">
        <v>55</v>
      </c>
      <c r="H75" s="5569">
        <v>96</v>
      </c>
    </row>
    <row r="76" spans="1:8" ht="15" x14ac:dyDescent="0.25">
      <c r="A76" s="7232"/>
      <c r="B76" s="7212"/>
      <c r="C76" s="5568" t="s">
        <v>1758</v>
      </c>
      <c r="D76" s="5569">
        <v>5</v>
      </c>
      <c r="E76" s="5569">
        <v>0</v>
      </c>
      <c r="F76" s="5569">
        <v>23</v>
      </c>
      <c r="G76" s="5569">
        <v>47</v>
      </c>
      <c r="H76" s="5569">
        <v>75</v>
      </c>
    </row>
    <row r="77" spans="1:8" ht="15" x14ac:dyDescent="0.2">
      <c r="A77" s="7232"/>
      <c r="B77" s="7213"/>
      <c r="C77" s="5561" t="s">
        <v>1743</v>
      </c>
      <c r="D77" s="5576">
        <f>SUM(D73:D76)</f>
        <v>42</v>
      </c>
      <c r="E77" s="5576">
        <f t="shared" ref="E77:H77" si="17">SUM(E73:E76)</f>
        <v>7</v>
      </c>
      <c r="F77" s="5576">
        <f t="shared" si="17"/>
        <v>143</v>
      </c>
      <c r="G77" s="5576">
        <f t="shared" si="17"/>
        <v>194</v>
      </c>
      <c r="H77" s="5576">
        <f t="shared" si="17"/>
        <v>386</v>
      </c>
    </row>
    <row r="78" spans="1:8" ht="15" x14ac:dyDescent="0.25">
      <c r="A78" s="7232"/>
      <c r="B78" s="7211" t="s">
        <v>7</v>
      </c>
      <c r="C78" s="5568" t="s">
        <v>1763</v>
      </c>
      <c r="D78" s="5569">
        <v>7</v>
      </c>
      <c r="E78" s="5569">
        <v>3</v>
      </c>
      <c r="F78" s="5569">
        <v>14</v>
      </c>
      <c r="G78" s="5569">
        <v>17</v>
      </c>
      <c r="H78" s="5569">
        <v>41</v>
      </c>
    </row>
    <row r="79" spans="1:8" ht="15" x14ac:dyDescent="0.25">
      <c r="A79" s="7232"/>
      <c r="B79" s="7212"/>
      <c r="C79" s="5568" t="s">
        <v>1764</v>
      </c>
      <c r="D79" s="5569">
        <v>10</v>
      </c>
      <c r="E79" s="5569">
        <v>1</v>
      </c>
      <c r="F79" s="5569">
        <v>26</v>
      </c>
      <c r="G79" s="5569">
        <v>6</v>
      </c>
      <c r="H79" s="5569">
        <v>43</v>
      </c>
    </row>
    <row r="80" spans="1:8" ht="15" x14ac:dyDescent="0.25">
      <c r="A80" s="7232"/>
      <c r="B80" s="7212"/>
      <c r="C80" s="5568" t="s">
        <v>1765</v>
      </c>
      <c r="D80" s="5569">
        <v>13</v>
      </c>
      <c r="E80" s="5569">
        <v>0</v>
      </c>
      <c r="F80" s="5569">
        <v>15</v>
      </c>
      <c r="G80" s="5569">
        <v>6</v>
      </c>
      <c r="H80" s="5569">
        <v>34</v>
      </c>
    </row>
    <row r="81" spans="1:8" ht="15" x14ac:dyDescent="0.25">
      <c r="A81" s="7232"/>
      <c r="B81" s="7212"/>
      <c r="C81" s="5568" t="s">
        <v>1766</v>
      </c>
      <c r="D81" s="5569">
        <v>13</v>
      </c>
      <c r="E81" s="5569">
        <v>0</v>
      </c>
      <c r="F81" s="5569">
        <v>24</v>
      </c>
      <c r="G81" s="5569">
        <v>12</v>
      </c>
      <c r="H81" s="5569">
        <v>49</v>
      </c>
    </row>
    <row r="82" spans="1:8" ht="15" x14ac:dyDescent="0.2">
      <c r="A82" s="7232"/>
      <c r="B82" s="7213"/>
      <c r="C82" s="5563" t="s">
        <v>1722</v>
      </c>
      <c r="D82" s="5577">
        <f>SUM(D78:D81)</f>
        <v>43</v>
      </c>
      <c r="E82" s="5577">
        <f t="shared" ref="E82:H82" si="18">SUM(E78:E81)</f>
        <v>4</v>
      </c>
      <c r="F82" s="5577">
        <f t="shared" si="18"/>
        <v>79</v>
      </c>
      <c r="G82" s="5577">
        <f t="shared" si="18"/>
        <v>41</v>
      </c>
      <c r="H82" s="5577">
        <f t="shared" si="18"/>
        <v>167</v>
      </c>
    </row>
    <row r="83" spans="1:8" ht="12.75" customHeight="1" x14ac:dyDescent="0.2">
      <c r="A83" s="7233"/>
      <c r="B83" s="7234" t="s">
        <v>32</v>
      </c>
      <c r="C83" s="7235"/>
      <c r="D83" s="5578">
        <f>SUM(D82,D77,D72)</f>
        <v>139</v>
      </c>
      <c r="E83" s="5578">
        <f t="shared" ref="E83:H83" si="19">SUM(E82,E77,E72)</f>
        <v>13</v>
      </c>
      <c r="F83" s="5578">
        <f t="shared" si="19"/>
        <v>344</v>
      </c>
      <c r="G83" s="5578">
        <f t="shared" si="19"/>
        <v>445</v>
      </c>
      <c r="H83" s="5578">
        <f t="shared" si="19"/>
        <v>941</v>
      </c>
    </row>
    <row r="84" spans="1:8" ht="12.75" customHeight="1" x14ac:dyDescent="0.25">
      <c r="A84" s="250"/>
      <c r="B84" s="250"/>
      <c r="C84" s="250"/>
      <c r="D84" s="250"/>
      <c r="E84" s="250"/>
      <c r="F84" s="250"/>
      <c r="G84" s="250"/>
      <c r="H84" s="250"/>
    </row>
    <row r="85" spans="1:8" ht="24" customHeight="1" x14ac:dyDescent="0.25">
      <c r="A85" s="250"/>
      <c r="B85" s="1788"/>
      <c r="C85" s="5555" t="s">
        <v>76</v>
      </c>
      <c r="D85" s="5556">
        <f>SUM(D83,D67,D54,D36,D23)</f>
        <v>407</v>
      </c>
      <c r="E85" s="5556">
        <f t="shared" ref="E85:H85" si="20">SUM(E83,E67,E54,E36,E23)</f>
        <v>27</v>
      </c>
      <c r="F85" s="5556">
        <f t="shared" si="20"/>
        <v>893</v>
      </c>
      <c r="G85" s="5556">
        <f t="shared" si="20"/>
        <v>1745</v>
      </c>
      <c r="H85" s="5556">
        <f t="shared" si="20"/>
        <v>3072</v>
      </c>
    </row>
    <row r="86" spans="1:8" ht="12.75" customHeight="1" x14ac:dyDescent="0.2"/>
    <row r="87" spans="1:8" ht="12.75" customHeight="1" x14ac:dyDescent="0.25">
      <c r="A87" s="5583" t="s">
        <v>1767</v>
      </c>
      <c r="D87" s="5551"/>
      <c r="E87" s="5551"/>
      <c r="F87" s="5551"/>
      <c r="G87" s="5551"/>
      <c r="H87" s="5552"/>
    </row>
    <row r="88" spans="1:8" ht="12.75" customHeight="1" x14ac:dyDescent="0.2">
      <c r="A88" s="5582" t="s">
        <v>1768</v>
      </c>
    </row>
  </sheetData>
  <sheetProtection algorithmName="SHA-512" hashValue="D5VShtsXXh18lFbwV+jx8ldDvtLBWRCTkZwEZ20/ERjc6NzmoIFREQuYoM1L++XdBiTram9i59DW2LoP3XXqAQ==" saltValue="/CMQ7qDl8brouC4bzlY5xQ==" spinCount="100000" sheet="1" objects="1" scenarios="1"/>
  <mergeCells count="29">
    <mergeCell ref="A68:A83"/>
    <mergeCell ref="B83:C83"/>
    <mergeCell ref="B68:B72"/>
    <mergeCell ref="B73:B77"/>
    <mergeCell ref="B78:B82"/>
    <mergeCell ref="B59:B62"/>
    <mergeCell ref="A37:A54"/>
    <mergeCell ref="A55:A67"/>
    <mergeCell ref="A4:A5"/>
    <mergeCell ref="B4:B5"/>
    <mergeCell ref="B37:B42"/>
    <mergeCell ref="B43:B47"/>
    <mergeCell ref="B48:B53"/>
    <mergeCell ref="B54:C54"/>
    <mergeCell ref="B55:B58"/>
    <mergeCell ref="B63:B66"/>
    <mergeCell ref="B67:C67"/>
    <mergeCell ref="D4:H4"/>
    <mergeCell ref="A6:A23"/>
    <mergeCell ref="B28:B31"/>
    <mergeCell ref="B32:B35"/>
    <mergeCell ref="B24:B27"/>
    <mergeCell ref="A24:A36"/>
    <mergeCell ref="B36:C36"/>
    <mergeCell ref="C4:C5"/>
    <mergeCell ref="B6:B11"/>
    <mergeCell ref="B12:B17"/>
    <mergeCell ref="B18:B22"/>
    <mergeCell ref="B23:C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8" max="16383" man="1"/>
  </rowBreaks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Y100"/>
  <sheetViews>
    <sheetView showGridLines="0" zoomScaleNormal="100" workbookViewId="0">
      <pane xSplit="2" ySplit="5" topLeftCell="AT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 x14ac:dyDescent="0.2"/>
  <cols>
    <col min="1" max="1" width="16.140625" customWidth="1"/>
    <col min="2" max="2" width="9.140625" bestFit="1" customWidth="1"/>
    <col min="3" max="6" width="6.7109375" customWidth="1"/>
    <col min="7" max="7" width="7.7109375" customWidth="1"/>
    <col min="8" max="11" width="6.7109375" customWidth="1"/>
    <col min="12" max="12" width="7.7109375" customWidth="1"/>
    <col min="13" max="16" width="6.7109375" customWidth="1"/>
    <col min="17" max="17" width="7.7109375" customWidth="1"/>
    <col min="18" max="21" width="6.7109375" customWidth="1"/>
    <col min="22" max="22" width="7.7109375" customWidth="1"/>
    <col min="23" max="26" width="6.7109375" customWidth="1"/>
    <col min="27" max="27" width="7.7109375" customWidth="1"/>
    <col min="28" max="31" width="6.7109375" customWidth="1"/>
    <col min="32" max="32" width="7.7109375" customWidth="1"/>
    <col min="33" max="36" width="6.7109375" customWidth="1"/>
    <col min="37" max="37" width="7.7109375" customWidth="1"/>
    <col min="38" max="41" width="6.7109375" customWidth="1"/>
    <col min="42" max="42" width="7.7109375" customWidth="1"/>
    <col min="43" max="46" width="6.7109375" customWidth="1"/>
    <col min="47" max="47" width="7.7109375" customWidth="1"/>
    <col min="48" max="51" width="6.7109375" customWidth="1"/>
    <col min="52" max="52" width="7.7109375" customWidth="1"/>
    <col min="53" max="56" width="6.7109375" customWidth="1"/>
    <col min="57" max="57" width="7.7109375" customWidth="1"/>
    <col min="58" max="77" width="6.7109375" customWidth="1"/>
  </cols>
  <sheetData>
    <row r="1" spans="1:77" ht="72.75" customHeight="1" x14ac:dyDescent="0.2">
      <c r="A1" s="7265" t="s">
        <v>1499</v>
      </c>
      <c r="B1" s="7265"/>
      <c r="C1" s="723"/>
      <c r="D1" s="723"/>
      <c r="E1" s="723"/>
      <c r="F1" s="723"/>
      <c r="G1" s="723"/>
      <c r="H1" s="723"/>
      <c r="I1" s="723"/>
      <c r="J1" s="723"/>
      <c r="K1" s="723"/>
      <c r="L1" s="723"/>
      <c r="M1" s="723"/>
      <c r="N1" s="723"/>
      <c r="O1" s="723"/>
      <c r="P1" s="723"/>
      <c r="Q1" s="723"/>
      <c r="R1" s="723"/>
      <c r="S1" s="723"/>
      <c r="T1" s="723"/>
      <c r="U1" s="723"/>
      <c r="V1" s="723"/>
      <c r="W1" s="723"/>
      <c r="X1" s="723"/>
      <c r="Y1" s="723"/>
      <c r="Z1" s="723"/>
      <c r="AA1" s="723"/>
      <c r="AB1" s="723"/>
      <c r="AC1" s="723"/>
      <c r="AD1" s="723"/>
      <c r="AE1" s="723"/>
      <c r="AF1" s="723"/>
      <c r="AG1" s="723"/>
    </row>
    <row r="3" spans="1:77" ht="15" x14ac:dyDescent="0.2">
      <c r="A3" s="7245" t="s">
        <v>16</v>
      </c>
      <c r="B3" s="7245" t="s">
        <v>4</v>
      </c>
      <c r="C3" s="7243">
        <v>2003</v>
      </c>
      <c r="D3" s="7244"/>
      <c r="E3" s="7244"/>
      <c r="F3" s="7244"/>
      <c r="G3" s="7242"/>
      <c r="H3" s="1007">
        <v>2004</v>
      </c>
      <c r="I3" s="694"/>
      <c r="J3" s="694"/>
      <c r="K3" s="694"/>
      <c r="L3" s="1009"/>
      <c r="M3" s="694">
        <v>2005</v>
      </c>
      <c r="N3" s="694"/>
      <c r="O3" s="694"/>
      <c r="P3" s="694"/>
      <c r="Q3" s="1009"/>
      <c r="R3" s="694">
        <v>2006</v>
      </c>
      <c r="S3" s="694"/>
      <c r="T3" s="694"/>
      <c r="U3" s="694"/>
      <c r="V3" s="1009"/>
      <c r="W3" s="694">
        <v>2007</v>
      </c>
      <c r="X3" s="694"/>
      <c r="Y3" s="694"/>
      <c r="Z3" s="694"/>
      <c r="AA3" s="1009"/>
      <c r="AB3" s="694">
        <v>2008</v>
      </c>
      <c r="AC3" s="694"/>
      <c r="AD3" s="694"/>
      <c r="AE3" s="694"/>
      <c r="AF3" s="1009"/>
      <c r="AG3" s="694">
        <v>2009</v>
      </c>
      <c r="AH3" s="694"/>
      <c r="AI3" s="694"/>
      <c r="AJ3" s="694"/>
      <c r="AK3" s="1009"/>
      <c r="AL3" s="7240">
        <v>2010</v>
      </c>
      <c r="AM3" s="7241"/>
      <c r="AN3" s="7241"/>
      <c r="AO3" s="7241"/>
      <c r="AP3" s="7242"/>
      <c r="AQ3" s="7236">
        <v>2011</v>
      </c>
      <c r="AR3" s="7237"/>
      <c r="AS3" s="7237"/>
      <c r="AT3" s="7237"/>
      <c r="AU3" s="7238"/>
      <c r="AV3" s="7236">
        <v>2012</v>
      </c>
      <c r="AW3" s="7237"/>
      <c r="AX3" s="7237"/>
      <c r="AY3" s="7237"/>
      <c r="AZ3" s="7238"/>
      <c r="BA3" s="7236">
        <v>2013</v>
      </c>
      <c r="BB3" s="7237"/>
      <c r="BC3" s="7237"/>
      <c r="BD3" s="7237"/>
      <c r="BE3" s="7238"/>
      <c r="BF3" s="7236">
        <v>2014</v>
      </c>
      <c r="BG3" s="7237"/>
      <c r="BH3" s="7237"/>
      <c r="BI3" s="7237"/>
      <c r="BJ3" s="7238"/>
      <c r="BK3" s="7236">
        <v>2015</v>
      </c>
      <c r="BL3" s="7237"/>
      <c r="BM3" s="7237"/>
      <c r="BN3" s="7237"/>
      <c r="BO3" s="7238"/>
      <c r="BP3" s="7236">
        <v>2016</v>
      </c>
      <c r="BQ3" s="7237"/>
      <c r="BR3" s="7237"/>
      <c r="BS3" s="7237"/>
      <c r="BT3" s="7238"/>
      <c r="BU3" s="7236">
        <v>2017</v>
      </c>
      <c r="BV3" s="7237"/>
      <c r="BW3" s="7237"/>
      <c r="BX3" s="7237"/>
      <c r="BY3" s="7238"/>
    </row>
    <row r="4" spans="1:77" ht="15" x14ac:dyDescent="0.2">
      <c r="A4" s="7246"/>
      <c r="B4" s="7247"/>
      <c r="C4" s="1004" t="s">
        <v>340</v>
      </c>
      <c r="D4" s="1005" t="s">
        <v>341</v>
      </c>
      <c r="E4" s="1005" t="s">
        <v>342</v>
      </c>
      <c r="F4" s="1006" t="s">
        <v>343</v>
      </c>
      <c r="G4" s="1008" t="s">
        <v>12</v>
      </c>
      <c r="H4" s="1004" t="s">
        <v>340</v>
      </c>
      <c r="I4" s="1005" t="s">
        <v>341</v>
      </c>
      <c r="J4" s="1005" t="s">
        <v>342</v>
      </c>
      <c r="K4" s="1006" t="s">
        <v>343</v>
      </c>
      <c r="L4" s="1010" t="s">
        <v>12</v>
      </c>
      <c r="M4" s="1004" t="s">
        <v>340</v>
      </c>
      <c r="N4" s="1005" t="s">
        <v>341</v>
      </c>
      <c r="O4" s="1005" t="s">
        <v>342</v>
      </c>
      <c r="P4" s="1006" t="s">
        <v>343</v>
      </c>
      <c r="Q4" s="1010" t="s">
        <v>12</v>
      </c>
      <c r="R4" s="1004" t="s">
        <v>340</v>
      </c>
      <c r="S4" s="1005" t="s">
        <v>341</v>
      </c>
      <c r="T4" s="1005" t="s">
        <v>342</v>
      </c>
      <c r="U4" s="1006" t="s">
        <v>343</v>
      </c>
      <c r="V4" s="1010" t="s">
        <v>12</v>
      </c>
      <c r="W4" s="1004" t="s">
        <v>340</v>
      </c>
      <c r="X4" s="1005" t="s">
        <v>341</v>
      </c>
      <c r="Y4" s="1005" t="s">
        <v>342</v>
      </c>
      <c r="Z4" s="1006" t="s">
        <v>343</v>
      </c>
      <c r="AA4" s="1010" t="s">
        <v>12</v>
      </c>
      <c r="AB4" s="1004" t="s">
        <v>340</v>
      </c>
      <c r="AC4" s="1005" t="s">
        <v>341</v>
      </c>
      <c r="AD4" s="1005" t="s">
        <v>342</v>
      </c>
      <c r="AE4" s="1006" t="s">
        <v>343</v>
      </c>
      <c r="AF4" s="1010" t="s">
        <v>12</v>
      </c>
      <c r="AG4" s="1004" t="s">
        <v>340</v>
      </c>
      <c r="AH4" s="1005" t="s">
        <v>341</v>
      </c>
      <c r="AI4" s="1005" t="s">
        <v>342</v>
      </c>
      <c r="AJ4" s="1006" t="s">
        <v>343</v>
      </c>
      <c r="AK4" s="1010" t="s">
        <v>12</v>
      </c>
      <c r="AL4" s="1004" t="s">
        <v>340</v>
      </c>
      <c r="AM4" s="1005" t="s">
        <v>341</v>
      </c>
      <c r="AN4" s="1005" t="s">
        <v>342</v>
      </c>
      <c r="AO4" s="1006" t="s">
        <v>343</v>
      </c>
      <c r="AP4" s="1010" t="s">
        <v>12</v>
      </c>
      <c r="AQ4" s="1004" t="s">
        <v>340</v>
      </c>
      <c r="AR4" s="1005" t="s">
        <v>341</v>
      </c>
      <c r="AS4" s="1005" t="s">
        <v>342</v>
      </c>
      <c r="AT4" s="1006" t="s">
        <v>343</v>
      </c>
      <c r="AU4" s="1010" t="s">
        <v>12</v>
      </c>
      <c r="AV4" s="1004" t="s">
        <v>340</v>
      </c>
      <c r="AW4" s="1005" t="s">
        <v>341</v>
      </c>
      <c r="AX4" s="1005" t="s">
        <v>342</v>
      </c>
      <c r="AY4" s="1006" t="s">
        <v>343</v>
      </c>
      <c r="AZ4" s="1008" t="s">
        <v>12</v>
      </c>
      <c r="BA4" s="1004" t="s">
        <v>340</v>
      </c>
      <c r="BB4" s="1005" t="s">
        <v>341</v>
      </c>
      <c r="BC4" s="1005" t="s">
        <v>342</v>
      </c>
      <c r="BD4" s="1006" t="s">
        <v>343</v>
      </c>
      <c r="BE4" s="1008" t="s">
        <v>12</v>
      </c>
      <c r="BF4" s="1004" t="s">
        <v>340</v>
      </c>
      <c r="BG4" s="1005" t="s">
        <v>341</v>
      </c>
      <c r="BH4" s="1005" t="s">
        <v>342</v>
      </c>
      <c r="BI4" s="1006" t="s">
        <v>343</v>
      </c>
      <c r="BJ4" s="1008" t="s">
        <v>12</v>
      </c>
      <c r="BK4" s="1004" t="s">
        <v>340</v>
      </c>
      <c r="BL4" s="1005" t="s">
        <v>341</v>
      </c>
      <c r="BM4" s="1005" t="s">
        <v>342</v>
      </c>
      <c r="BN4" s="1006" t="s">
        <v>343</v>
      </c>
      <c r="BO4" s="1008" t="s">
        <v>12</v>
      </c>
      <c r="BP4" s="1004" t="s">
        <v>340</v>
      </c>
      <c r="BQ4" s="1005" t="s">
        <v>341</v>
      </c>
      <c r="BR4" s="1005" t="s">
        <v>342</v>
      </c>
      <c r="BS4" s="1006" t="s">
        <v>343</v>
      </c>
      <c r="BT4" s="1008" t="s">
        <v>12</v>
      </c>
      <c r="BU4" s="1004" t="s">
        <v>340</v>
      </c>
      <c r="BV4" s="1005" t="s">
        <v>341</v>
      </c>
      <c r="BW4" s="1005" t="s">
        <v>342</v>
      </c>
      <c r="BX4" s="1006" t="s">
        <v>343</v>
      </c>
      <c r="BY4" s="1008" t="s">
        <v>12</v>
      </c>
    </row>
    <row r="5" spans="1:77" ht="15" x14ac:dyDescent="0.2">
      <c r="A5" s="473"/>
      <c r="B5" s="473"/>
      <c r="C5" s="473"/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73"/>
      <c r="AM5" s="473"/>
      <c r="AN5" s="473"/>
      <c r="AO5" s="473"/>
      <c r="AP5" s="473"/>
      <c r="AQ5" s="473"/>
      <c r="AR5" s="473"/>
      <c r="AS5" s="473"/>
      <c r="AT5" s="473"/>
      <c r="AU5" s="473"/>
      <c r="AV5" s="473"/>
      <c r="AW5" s="473"/>
      <c r="AX5" s="473"/>
      <c r="AY5" s="473"/>
      <c r="AZ5" s="473"/>
      <c r="BA5" s="473"/>
      <c r="BB5" s="473"/>
      <c r="BC5" s="473"/>
      <c r="BD5" s="473"/>
      <c r="BE5" s="473"/>
      <c r="BF5" s="473"/>
      <c r="BG5" s="473"/>
      <c r="BH5" s="473"/>
      <c r="BI5" s="473"/>
      <c r="BJ5" s="473"/>
      <c r="BK5" s="473"/>
      <c r="BL5" s="473"/>
      <c r="BM5" s="473"/>
      <c r="BN5" s="473"/>
      <c r="BO5" s="473"/>
      <c r="BP5" s="473"/>
      <c r="BQ5" s="473"/>
      <c r="BR5" s="473"/>
      <c r="BS5" s="473"/>
      <c r="BT5" s="473"/>
      <c r="BU5" s="473"/>
      <c r="BV5" s="473"/>
      <c r="BW5" s="473"/>
      <c r="BX5" s="473"/>
      <c r="BY5" s="473"/>
    </row>
    <row r="6" spans="1:77" ht="15" x14ac:dyDescent="0.2">
      <c r="A6" s="7248" t="s">
        <v>161</v>
      </c>
      <c r="B6" s="1363" t="s">
        <v>5</v>
      </c>
      <c r="C6" s="474">
        <v>85</v>
      </c>
      <c r="D6" s="474">
        <v>10</v>
      </c>
      <c r="E6" s="474">
        <v>141</v>
      </c>
      <c r="F6" s="474">
        <v>108</v>
      </c>
      <c r="G6" s="475">
        <v>344</v>
      </c>
      <c r="H6" s="476">
        <v>84</v>
      </c>
      <c r="I6" s="476">
        <v>9</v>
      </c>
      <c r="J6" s="476">
        <v>135</v>
      </c>
      <c r="K6" s="476">
        <v>115</v>
      </c>
      <c r="L6" s="477">
        <v>343</v>
      </c>
      <c r="M6" s="476">
        <v>66</v>
      </c>
      <c r="N6" s="476">
        <v>10</v>
      </c>
      <c r="O6" s="476">
        <v>141</v>
      </c>
      <c r="P6" s="476">
        <v>125</v>
      </c>
      <c r="Q6" s="477">
        <v>342</v>
      </c>
      <c r="R6" s="476">
        <v>63</v>
      </c>
      <c r="S6" s="476">
        <v>9</v>
      </c>
      <c r="T6" s="476">
        <v>144</v>
      </c>
      <c r="U6" s="476">
        <v>127</v>
      </c>
      <c r="V6" s="477">
        <v>343</v>
      </c>
      <c r="W6" s="476">
        <v>54</v>
      </c>
      <c r="X6" s="476">
        <v>7</v>
      </c>
      <c r="Y6" s="476">
        <v>141</v>
      </c>
      <c r="Z6" s="476">
        <v>148</v>
      </c>
      <c r="AA6" s="477">
        <v>350</v>
      </c>
      <c r="AB6" s="478">
        <v>51</v>
      </c>
      <c r="AC6" s="476">
        <v>6</v>
      </c>
      <c r="AD6" s="476">
        <v>143</v>
      </c>
      <c r="AE6" s="476">
        <v>155</v>
      </c>
      <c r="AF6" s="477">
        <v>355</v>
      </c>
      <c r="AG6" s="478">
        <v>50</v>
      </c>
      <c r="AH6" s="476">
        <v>6</v>
      </c>
      <c r="AI6" s="476">
        <v>133</v>
      </c>
      <c r="AJ6" s="476">
        <v>153</v>
      </c>
      <c r="AK6" s="477">
        <v>342</v>
      </c>
      <c r="AL6" s="478">
        <v>50</v>
      </c>
      <c r="AM6" s="476">
        <v>6</v>
      </c>
      <c r="AN6" s="476">
        <v>135</v>
      </c>
      <c r="AO6" s="476">
        <v>155</v>
      </c>
      <c r="AP6" s="477">
        <f>SUM(AL6:AO6)</f>
        <v>346</v>
      </c>
      <c r="AQ6" s="712">
        <v>50</v>
      </c>
      <c r="AR6" s="713">
        <v>6</v>
      </c>
      <c r="AS6" s="713">
        <v>126</v>
      </c>
      <c r="AT6" s="713">
        <v>165</v>
      </c>
      <c r="AU6" s="714">
        <f>SUM(AQ6:AT6)</f>
        <v>347</v>
      </c>
      <c r="AV6" s="712">
        <v>48</v>
      </c>
      <c r="AW6" s="713">
        <v>5</v>
      </c>
      <c r="AX6" s="713">
        <v>132</v>
      </c>
      <c r="AY6" s="713">
        <v>189</v>
      </c>
      <c r="AZ6" s="714">
        <f>SUM(AV6:AY6)</f>
        <v>374</v>
      </c>
      <c r="BA6" s="712">
        <v>48</v>
      </c>
      <c r="BB6" s="713">
        <v>5</v>
      </c>
      <c r="BC6" s="713">
        <v>132</v>
      </c>
      <c r="BD6" s="713">
        <v>203</v>
      </c>
      <c r="BE6" s="714">
        <f>SUM(BA6:BD6)</f>
        <v>388</v>
      </c>
      <c r="BF6" s="712">
        <v>47</v>
      </c>
      <c r="BG6" s="713">
        <v>5</v>
      </c>
      <c r="BH6" s="713">
        <v>131</v>
      </c>
      <c r="BI6" s="713">
        <v>209</v>
      </c>
      <c r="BJ6" s="714">
        <f>SUM(BF6:BI6)</f>
        <v>392</v>
      </c>
      <c r="BK6" s="712">
        <v>47</v>
      </c>
      <c r="BL6" s="713">
        <v>5</v>
      </c>
      <c r="BM6" s="713">
        <v>134</v>
      </c>
      <c r="BN6" s="713">
        <v>213</v>
      </c>
      <c r="BO6" s="714">
        <f>SUM(BK6:BN6)</f>
        <v>399</v>
      </c>
      <c r="BP6" s="712">
        <v>43</v>
      </c>
      <c r="BQ6" s="713">
        <v>5</v>
      </c>
      <c r="BR6" s="713">
        <v>132</v>
      </c>
      <c r="BS6" s="713">
        <v>219</v>
      </c>
      <c r="BT6" s="714">
        <f>SUM(BP6:BS6)</f>
        <v>399</v>
      </c>
      <c r="BU6" s="712">
        <v>43</v>
      </c>
      <c r="BV6" s="713">
        <v>5</v>
      </c>
      <c r="BW6" s="713">
        <v>134</v>
      </c>
      <c r="BX6" s="713">
        <v>224</v>
      </c>
      <c r="BY6" s="714">
        <f>SUM(BU6:BX6)</f>
        <v>406</v>
      </c>
    </row>
    <row r="7" spans="1:77" ht="15" x14ac:dyDescent="0.2">
      <c r="A7" s="7249"/>
      <c r="B7" s="1364" t="s">
        <v>6</v>
      </c>
      <c r="C7" s="479">
        <v>133</v>
      </c>
      <c r="D7" s="479">
        <v>3</v>
      </c>
      <c r="E7" s="479">
        <v>108</v>
      </c>
      <c r="F7" s="479">
        <v>97</v>
      </c>
      <c r="G7" s="480">
        <v>341</v>
      </c>
      <c r="H7" s="481">
        <v>131</v>
      </c>
      <c r="I7" s="481">
        <v>3</v>
      </c>
      <c r="J7" s="481">
        <v>103</v>
      </c>
      <c r="K7" s="481">
        <v>104</v>
      </c>
      <c r="L7" s="482">
        <v>341</v>
      </c>
      <c r="M7" s="481">
        <v>103</v>
      </c>
      <c r="N7" s="481">
        <v>3</v>
      </c>
      <c r="O7" s="481">
        <v>108</v>
      </c>
      <c r="P7" s="481">
        <v>112</v>
      </c>
      <c r="Q7" s="482">
        <v>326</v>
      </c>
      <c r="R7" s="481">
        <v>103</v>
      </c>
      <c r="S7" s="481">
        <v>3</v>
      </c>
      <c r="T7" s="481">
        <v>112</v>
      </c>
      <c r="U7" s="481">
        <v>115</v>
      </c>
      <c r="V7" s="482">
        <v>333</v>
      </c>
      <c r="W7" s="481">
        <v>94</v>
      </c>
      <c r="X7" s="481">
        <v>3</v>
      </c>
      <c r="Y7" s="481">
        <v>115</v>
      </c>
      <c r="Z7" s="481">
        <v>115</v>
      </c>
      <c r="AA7" s="482">
        <v>327</v>
      </c>
      <c r="AB7" s="483">
        <v>90</v>
      </c>
      <c r="AC7" s="481">
        <v>3</v>
      </c>
      <c r="AD7" s="481">
        <v>114</v>
      </c>
      <c r="AE7" s="481">
        <v>118</v>
      </c>
      <c r="AF7" s="482">
        <v>325</v>
      </c>
      <c r="AG7" s="483">
        <v>86</v>
      </c>
      <c r="AH7" s="481">
        <v>3</v>
      </c>
      <c r="AI7" s="481">
        <v>110</v>
      </c>
      <c r="AJ7" s="481">
        <v>122</v>
      </c>
      <c r="AK7" s="482">
        <v>321</v>
      </c>
      <c r="AL7" s="483">
        <v>84</v>
      </c>
      <c r="AM7" s="481">
        <v>3</v>
      </c>
      <c r="AN7" s="481">
        <v>107</v>
      </c>
      <c r="AO7" s="481">
        <v>123</v>
      </c>
      <c r="AP7" s="482">
        <f>SUM(AL7:AO7)</f>
        <v>317</v>
      </c>
      <c r="AQ7" s="715">
        <v>83</v>
      </c>
      <c r="AR7" s="716">
        <v>1</v>
      </c>
      <c r="AS7" s="716">
        <v>110</v>
      </c>
      <c r="AT7" s="716">
        <v>126</v>
      </c>
      <c r="AU7" s="717">
        <f>SUM(AQ7:AT7)</f>
        <v>320</v>
      </c>
      <c r="AV7" s="715">
        <v>75</v>
      </c>
      <c r="AW7" s="716">
        <v>2</v>
      </c>
      <c r="AX7" s="716">
        <v>108</v>
      </c>
      <c r="AY7" s="716">
        <v>145</v>
      </c>
      <c r="AZ7" s="717">
        <f>SUM(AV7:AY7)</f>
        <v>330</v>
      </c>
      <c r="BA7" s="715">
        <v>69</v>
      </c>
      <c r="BB7" s="716">
        <v>2</v>
      </c>
      <c r="BC7" s="716">
        <v>110</v>
      </c>
      <c r="BD7" s="716">
        <v>159</v>
      </c>
      <c r="BE7" s="717">
        <f>SUM(BA7:BD7)</f>
        <v>340</v>
      </c>
      <c r="BF7" s="715">
        <v>67</v>
      </c>
      <c r="BG7" s="716">
        <v>2</v>
      </c>
      <c r="BH7" s="716">
        <v>112</v>
      </c>
      <c r="BI7" s="716">
        <v>164</v>
      </c>
      <c r="BJ7" s="717">
        <f>SUM(BF7:BI7)</f>
        <v>345</v>
      </c>
      <c r="BK7" s="715">
        <v>65</v>
      </c>
      <c r="BL7" s="716">
        <v>2</v>
      </c>
      <c r="BM7" s="716">
        <v>116</v>
      </c>
      <c r="BN7" s="716">
        <v>170</v>
      </c>
      <c r="BO7" s="717">
        <f>SUM(BK7:BN7)</f>
        <v>353</v>
      </c>
      <c r="BP7" s="715">
        <v>63</v>
      </c>
      <c r="BQ7" s="716">
        <v>2</v>
      </c>
      <c r="BR7" s="716">
        <v>119</v>
      </c>
      <c r="BS7" s="716">
        <v>175</v>
      </c>
      <c r="BT7" s="717">
        <f>SUM(BP7:BS7)</f>
        <v>359</v>
      </c>
      <c r="BU7" s="715">
        <v>63</v>
      </c>
      <c r="BV7" s="716">
        <v>2</v>
      </c>
      <c r="BW7" s="716">
        <v>120</v>
      </c>
      <c r="BX7" s="716">
        <v>177</v>
      </c>
      <c r="BY7" s="717">
        <f>SUM(BU7:BX7)</f>
        <v>362</v>
      </c>
    </row>
    <row r="8" spans="1:77" ht="15" x14ac:dyDescent="0.2">
      <c r="A8" s="7249"/>
      <c r="B8" s="1364" t="s">
        <v>7</v>
      </c>
      <c r="C8" s="479">
        <v>106</v>
      </c>
      <c r="D8" s="479">
        <v>9</v>
      </c>
      <c r="E8" s="479">
        <v>76</v>
      </c>
      <c r="F8" s="479">
        <v>24</v>
      </c>
      <c r="G8" s="480">
        <v>215</v>
      </c>
      <c r="H8" s="481">
        <v>105</v>
      </c>
      <c r="I8" s="481">
        <v>9</v>
      </c>
      <c r="J8" s="481">
        <v>73</v>
      </c>
      <c r="K8" s="481">
        <v>26</v>
      </c>
      <c r="L8" s="482">
        <v>213</v>
      </c>
      <c r="M8" s="481">
        <v>82</v>
      </c>
      <c r="N8" s="481">
        <v>11</v>
      </c>
      <c r="O8" s="481">
        <v>76</v>
      </c>
      <c r="P8" s="481">
        <v>27</v>
      </c>
      <c r="Q8" s="482">
        <v>196</v>
      </c>
      <c r="R8" s="481">
        <v>79</v>
      </c>
      <c r="S8" s="481">
        <v>10</v>
      </c>
      <c r="T8" s="481">
        <v>79</v>
      </c>
      <c r="U8" s="481">
        <v>31</v>
      </c>
      <c r="V8" s="482">
        <v>199</v>
      </c>
      <c r="W8" s="481">
        <v>67</v>
      </c>
      <c r="X8" s="481">
        <v>8</v>
      </c>
      <c r="Y8" s="481">
        <v>80</v>
      </c>
      <c r="Z8" s="481">
        <v>30</v>
      </c>
      <c r="AA8" s="482">
        <v>185</v>
      </c>
      <c r="AB8" s="483">
        <v>64</v>
      </c>
      <c r="AC8" s="481">
        <v>10</v>
      </c>
      <c r="AD8" s="481">
        <v>83</v>
      </c>
      <c r="AE8" s="481">
        <v>28</v>
      </c>
      <c r="AF8" s="482">
        <v>185</v>
      </c>
      <c r="AG8" s="483">
        <v>62</v>
      </c>
      <c r="AH8" s="481">
        <v>11</v>
      </c>
      <c r="AI8" s="481">
        <v>85</v>
      </c>
      <c r="AJ8" s="481">
        <v>27</v>
      </c>
      <c r="AK8" s="482">
        <v>185</v>
      </c>
      <c r="AL8" s="483">
        <v>64</v>
      </c>
      <c r="AM8" s="481">
        <v>11</v>
      </c>
      <c r="AN8" s="481">
        <v>94</v>
      </c>
      <c r="AO8" s="481">
        <v>30</v>
      </c>
      <c r="AP8" s="482">
        <f>SUM(AL8:AO8)</f>
        <v>199</v>
      </c>
      <c r="AQ8" s="715">
        <v>61</v>
      </c>
      <c r="AR8" s="716">
        <v>10</v>
      </c>
      <c r="AS8" s="716">
        <v>100</v>
      </c>
      <c r="AT8" s="716">
        <v>31</v>
      </c>
      <c r="AU8" s="717">
        <f>SUM(AQ8:AT8)</f>
        <v>202</v>
      </c>
      <c r="AV8" s="715">
        <v>51</v>
      </c>
      <c r="AW8" s="716">
        <v>11</v>
      </c>
      <c r="AX8" s="716">
        <v>103</v>
      </c>
      <c r="AY8" s="716">
        <v>43</v>
      </c>
      <c r="AZ8" s="717">
        <f>SUM(AV8:AY8)</f>
        <v>208</v>
      </c>
      <c r="BA8" s="715">
        <v>49</v>
      </c>
      <c r="BB8" s="716">
        <v>7</v>
      </c>
      <c r="BC8" s="716">
        <v>108</v>
      </c>
      <c r="BD8" s="716">
        <v>49</v>
      </c>
      <c r="BE8" s="717">
        <f>SUM(BA8:BD8)</f>
        <v>213</v>
      </c>
      <c r="BF8" s="715">
        <v>53</v>
      </c>
      <c r="BG8" s="716">
        <v>7</v>
      </c>
      <c r="BH8" s="716">
        <v>114</v>
      </c>
      <c r="BI8" s="716">
        <v>51</v>
      </c>
      <c r="BJ8" s="717">
        <f>SUM(BF8:BI8)</f>
        <v>225</v>
      </c>
      <c r="BK8" s="715">
        <v>52</v>
      </c>
      <c r="BL8" s="716">
        <v>7</v>
      </c>
      <c r="BM8" s="716">
        <v>120</v>
      </c>
      <c r="BN8" s="716">
        <v>51</v>
      </c>
      <c r="BO8" s="717">
        <f>SUM(BK8:BN8)</f>
        <v>230</v>
      </c>
      <c r="BP8" s="715">
        <v>48</v>
      </c>
      <c r="BQ8" s="716">
        <v>6</v>
      </c>
      <c r="BR8" s="716">
        <v>116</v>
      </c>
      <c r="BS8" s="716">
        <v>48</v>
      </c>
      <c r="BT8" s="717">
        <f>SUM(BP8:BS8)</f>
        <v>218</v>
      </c>
      <c r="BU8" s="715">
        <v>48</v>
      </c>
      <c r="BV8" s="716">
        <v>6</v>
      </c>
      <c r="BW8" s="716">
        <v>118</v>
      </c>
      <c r="BX8" s="716">
        <v>49</v>
      </c>
      <c r="BY8" s="717">
        <f>SUM(BU8:BX8)</f>
        <v>221</v>
      </c>
    </row>
    <row r="9" spans="1:77" ht="15" x14ac:dyDescent="0.2">
      <c r="A9" s="7250"/>
      <c r="B9" s="2612" t="s">
        <v>160</v>
      </c>
      <c r="C9" s="2643">
        <v>324</v>
      </c>
      <c r="D9" s="2644">
        <v>22</v>
      </c>
      <c r="E9" s="2644">
        <v>325</v>
      </c>
      <c r="F9" s="2644">
        <v>229</v>
      </c>
      <c r="G9" s="2644">
        <v>900</v>
      </c>
      <c r="H9" s="2645">
        <v>320</v>
      </c>
      <c r="I9" s="2646">
        <v>21</v>
      </c>
      <c r="J9" s="2646">
        <v>311</v>
      </c>
      <c r="K9" s="2646">
        <v>245</v>
      </c>
      <c r="L9" s="2647">
        <v>897</v>
      </c>
      <c r="M9" s="2645">
        <v>251</v>
      </c>
      <c r="N9" s="2646">
        <v>24</v>
      </c>
      <c r="O9" s="2646">
        <v>325</v>
      </c>
      <c r="P9" s="2646">
        <v>264</v>
      </c>
      <c r="Q9" s="2647">
        <v>864</v>
      </c>
      <c r="R9" s="2645">
        <v>245</v>
      </c>
      <c r="S9" s="2646">
        <v>22</v>
      </c>
      <c r="T9" s="2646">
        <v>335</v>
      </c>
      <c r="U9" s="2646">
        <v>273</v>
      </c>
      <c r="V9" s="2647">
        <v>875</v>
      </c>
      <c r="W9" s="2645">
        <v>215</v>
      </c>
      <c r="X9" s="2646">
        <v>18</v>
      </c>
      <c r="Y9" s="2646">
        <v>336</v>
      </c>
      <c r="Z9" s="2646">
        <v>293</v>
      </c>
      <c r="AA9" s="2647">
        <v>862</v>
      </c>
      <c r="AB9" s="2645">
        <v>205</v>
      </c>
      <c r="AC9" s="2646">
        <v>19</v>
      </c>
      <c r="AD9" s="2646">
        <v>340</v>
      </c>
      <c r="AE9" s="2646">
        <v>301</v>
      </c>
      <c r="AF9" s="2647">
        <v>865</v>
      </c>
      <c r="AG9" s="2645">
        <v>198</v>
      </c>
      <c r="AH9" s="2646">
        <v>20</v>
      </c>
      <c r="AI9" s="2646">
        <v>328</v>
      </c>
      <c r="AJ9" s="2646">
        <v>302</v>
      </c>
      <c r="AK9" s="2647">
        <v>848</v>
      </c>
      <c r="AL9" s="2645">
        <f>SUM(AL6:AL8)</f>
        <v>198</v>
      </c>
      <c r="AM9" s="2646">
        <f>SUM(AM6:AM8)</f>
        <v>20</v>
      </c>
      <c r="AN9" s="2646">
        <f>SUM(AN6:AN8)</f>
        <v>336</v>
      </c>
      <c r="AO9" s="2646">
        <f>SUM(AO6:AO8)</f>
        <v>308</v>
      </c>
      <c r="AP9" s="2647">
        <f>SUM(AL9:AO9)</f>
        <v>862</v>
      </c>
      <c r="AQ9" s="2648">
        <f>SUM(AQ6:AQ8)</f>
        <v>194</v>
      </c>
      <c r="AR9" s="2649">
        <f>SUM(AR6:AR8)</f>
        <v>17</v>
      </c>
      <c r="AS9" s="2649">
        <f>SUM(AS6:AS8)</f>
        <v>336</v>
      </c>
      <c r="AT9" s="2649">
        <f>SUM(AT6:AT8)</f>
        <v>322</v>
      </c>
      <c r="AU9" s="2650">
        <f>SUM(AQ9:AT9)</f>
        <v>869</v>
      </c>
      <c r="AV9" s="2648">
        <f>SUM(AV6:AV8)</f>
        <v>174</v>
      </c>
      <c r="AW9" s="2649">
        <f>SUM(AW6:AW8)</f>
        <v>18</v>
      </c>
      <c r="AX9" s="2649">
        <f>SUM(AX6:AX8)</f>
        <v>343</v>
      </c>
      <c r="AY9" s="2649">
        <f>SUM(AY6:AY8)</f>
        <v>377</v>
      </c>
      <c r="AZ9" s="2650">
        <f>SUM(AV9:AY9)</f>
        <v>912</v>
      </c>
      <c r="BA9" s="2648">
        <f t="shared" ref="BA9:BJ9" si="0">SUM(BA6:BA8)</f>
        <v>166</v>
      </c>
      <c r="BB9" s="2649">
        <f t="shared" si="0"/>
        <v>14</v>
      </c>
      <c r="BC9" s="2649">
        <f t="shared" si="0"/>
        <v>350</v>
      </c>
      <c r="BD9" s="2649">
        <f t="shared" si="0"/>
        <v>411</v>
      </c>
      <c r="BE9" s="2650">
        <f t="shared" si="0"/>
        <v>941</v>
      </c>
      <c r="BF9" s="2648">
        <f t="shared" si="0"/>
        <v>167</v>
      </c>
      <c r="BG9" s="2649">
        <f t="shared" si="0"/>
        <v>14</v>
      </c>
      <c r="BH9" s="2649">
        <f t="shared" si="0"/>
        <v>357</v>
      </c>
      <c r="BI9" s="2649">
        <f t="shared" si="0"/>
        <v>424</v>
      </c>
      <c r="BJ9" s="2650">
        <f t="shared" si="0"/>
        <v>962</v>
      </c>
      <c r="BK9" s="2648">
        <f t="shared" ref="BK9:BT9" si="1">SUM(BK6:BK8)</f>
        <v>164</v>
      </c>
      <c r="BL9" s="2649">
        <f t="shared" si="1"/>
        <v>14</v>
      </c>
      <c r="BM9" s="2649">
        <f t="shared" si="1"/>
        <v>370</v>
      </c>
      <c r="BN9" s="2649">
        <f t="shared" si="1"/>
        <v>434</v>
      </c>
      <c r="BO9" s="2650">
        <f t="shared" si="1"/>
        <v>982</v>
      </c>
      <c r="BP9" s="2648">
        <f t="shared" si="1"/>
        <v>154</v>
      </c>
      <c r="BQ9" s="2649">
        <f t="shared" si="1"/>
        <v>13</v>
      </c>
      <c r="BR9" s="2649">
        <f t="shared" si="1"/>
        <v>367</v>
      </c>
      <c r="BS9" s="2649">
        <f t="shared" si="1"/>
        <v>442</v>
      </c>
      <c r="BT9" s="2650">
        <f t="shared" si="1"/>
        <v>976</v>
      </c>
      <c r="BU9" s="2648">
        <f t="shared" ref="BU9:BY9" si="2">SUM(BU6:BU8)</f>
        <v>154</v>
      </c>
      <c r="BV9" s="2649">
        <f t="shared" si="2"/>
        <v>13</v>
      </c>
      <c r="BW9" s="2649">
        <f t="shared" si="2"/>
        <v>372</v>
      </c>
      <c r="BX9" s="2649">
        <f t="shared" si="2"/>
        <v>450</v>
      </c>
      <c r="BY9" s="2650">
        <f t="shared" si="2"/>
        <v>989</v>
      </c>
    </row>
    <row r="11" spans="1:77" ht="15" x14ac:dyDescent="0.2">
      <c r="A11" s="7251" t="s">
        <v>802</v>
      </c>
      <c r="B11" s="1363" t="s">
        <v>6</v>
      </c>
      <c r="C11" s="485"/>
      <c r="D11" s="474"/>
      <c r="E11" s="474"/>
      <c r="F11" s="474"/>
      <c r="G11" s="475"/>
      <c r="H11" s="476"/>
      <c r="I11" s="476"/>
      <c r="J11" s="476"/>
      <c r="K11" s="476"/>
      <c r="L11" s="486"/>
      <c r="M11" s="478"/>
      <c r="N11" s="476"/>
      <c r="O11" s="476">
        <v>2</v>
      </c>
      <c r="P11" s="476">
        <v>9</v>
      </c>
      <c r="Q11" s="477">
        <v>11</v>
      </c>
      <c r="R11" s="476"/>
      <c r="S11" s="476"/>
      <c r="T11" s="476">
        <v>2</v>
      </c>
      <c r="U11" s="476">
        <v>19</v>
      </c>
      <c r="V11" s="486">
        <v>21</v>
      </c>
      <c r="W11" s="478"/>
      <c r="X11" s="476"/>
      <c r="Y11" s="476"/>
      <c r="Z11" s="476">
        <v>28</v>
      </c>
      <c r="AA11" s="477">
        <v>28</v>
      </c>
      <c r="AB11" s="476"/>
      <c r="AC11" s="476"/>
      <c r="AD11" s="476"/>
      <c r="AE11" s="476">
        <v>36</v>
      </c>
      <c r="AF11" s="486">
        <v>36</v>
      </c>
      <c r="AG11" s="478"/>
      <c r="AH11" s="476"/>
      <c r="AI11" s="476"/>
      <c r="AJ11" s="476">
        <v>46</v>
      </c>
      <c r="AK11" s="477">
        <v>46</v>
      </c>
      <c r="AL11" s="478"/>
      <c r="AM11" s="476"/>
      <c r="AN11" s="476"/>
      <c r="AO11" s="476">
        <v>49</v>
      </c>
      <c r="AP11" s="477">
        <f>SUM(AL11:AO11)</f>
        <v>49</v>
      </c>
      <c r="AQ11" s="712"/>
      <c r="AR11" s="713"/>
      <c r="AS11" s="713"/>
      <c r="AT11" s="713">
        <v>58</v>
      </c>
      <c r="AU11" s="714">
        <f>SUM(AQ11:AT11)</f>
        <v>58</v>
      </c>
      <c r="AV11" s="712"/>
      <c r="AW11" s="713"/>
      <c r="AX11" s="713">
        <v>1</v>
      </c>
      <c r="AY11" s="713">
        <v>64</v>
      </c>
      <c r="AZ11" s="714">
        <f>SUM(AV11:AY11)</f>
        <v>65</v>
      </c>
      <c r="BA11" s="712"/>
      <c r="BB11" s="713"/>
      <c r="BC11" s="713">
        <v>1</v>
      </c>
      <c r="BD11" s="713">
        <v>63</v>
      </c>
      <c r="BE11" s="714">
        <f>SUM(BA11:BD11)</f>
        <v>64</v>
      </c>
      <c r="BF11" s="712"/>
      <c r="BG11" s="713"/>
      <c r="BH11" s="713">
        <v>1</v>
      </c>
      <c r="BI11" s="713">
        <v>67</v>
      </c>
      <c r="BJ11" s="714">
        <f>SUM(BF11:BI11)</f>
        <v>68</v>
      </c>
      <c r="BK11" s="712"/>
      <c r="BL11" s="713"/>
      <c r="BM11" s="713">
        <v>2</v>
      </c>
      <c r="BN11" s="713">
        <v>71</v>
      </c>
      <c r="BO11" s="714">
        <f>SUM(BK11:BN11)</f>
        <v>73</v>
      </c>
      <c r="BP11" s="712"/>
      <c r="BQ11" s="713"/>
      <c r="BR11" s="713">
        <v>2</v>
      </c>
      <c r="BS11" s="713">
        <v>72</v>
      </c>
      <c r="BT11" s="714">
        <f>SUM(BP11:BS11)</f>
        <v>74</v>
      </c>
      <c r="BU11" s="712"/>
      <c r="BV11" s="713"/>
      <c r="BW11" s="713">
        <v>2</v>
      </c>
      <c r="BX11" s="713">
        <v>74</v>
      </c>
      <c r="BY11" s="714">
        <f>SUM(BU11:BX11)</f>
        <v>76</v>
      </c>
    </row>
    <row r="12" spans="1:77" ht="15" x14ac:dyDescent="0.2">
      <c r="A12" s="7252"/>
      <c r="B12" s="1364" t="s">
        <v>9</v>
      </c>
      <c r="C12" s="487"/>
      <c r="D12" s="479"/>
      <c r="E12" s="479"/>
      <c r="F12" s="479"/>
      <c r="G12" s="480"/>
      <c r="H12" s="481"/>
      <c r="I12" s="481"/>
      <c r="J12" s="481"/>
      <c r="K12" s="481"/>
      <c r="L12" s="488"/>
      <c r="M12" s="483">
        <v>1</v>
      </c>
      <c r="N12" s="481"/>
      <c r="O12" s="481"/>
      <c r="P12" s="481">
        <v>3</v>
      </c>
      <c r="Q12" s="482">
        <v>4</v>
      </c>
      <c r="R12" s="481"/>
      <c r="S12" s="481"/>
      <c r="T12" s="481">
        <v>7</v>
      </c>
      <c r="U12" s="481">
        <v>13</v>
      </c>
      <c r="V12" s="488">
        <v>20</v>
      </c>
      <c r="W12" s="483"/>
      <c r="X12" s="481"/>
      <c r="Y12" s="481">
        <v>7</v>
      </c>
      <c r="Z12" s="481">
        <v>14</v>
      </c>
      <c r="AA12" s="482">
        <v>21</v>
      </c>
      <c r="AB12" s="481"/>
      <c r="AC12" s="481"/>
      <c r="AD12" s="481">
        <v>9</v>
      </c>
      <c r="AE12" s="481">
        <v>18</v>
      </c>
      <c r="AF12" s="488">
        <v>27</v>
      </c>
      <c r="AG12" s="483">
        <v>2</v>
      </c>
      <c r="AH12" s="481"/>
      <c r="AI12" s="481">
        <v>15</v>
      </c>
      <c r="AJ12" s="481">
        <v>28</v>
      </c>
      <c r="AK12" s="482">
        <v>45</v>
      </c>
      <c r="AL12" s="483">
        <v>3</v>
      </c>
      <c r="AM12" s="481"/>
      <c r="AN12" s="481">
        <v>19</v>
      </c>
      <c r="AO12" s="481">
        <v>33</v>
      </c>
      <c r="AP12" s="482">
        <f>SUM(AL12:AO12)</f>
        <v>55</v>
      </c>
      <c r="AQ12" s="715">
        <v>3</v>
      </c>
      <c r="AR12" s="716"/>
      <c r="AS12" s="716">
        <v>25</v>
      </c>
      <c r="AT12" s="716">
        <v>39</v>
      </c>
      <c r="AU12" s="717">
        <f>SUM(AQ12:AT12)</f>
        <v>67</v>
      </c>
      <c r="AV12" s="715">
        <v>4</v>
      </c>
      <c r="AW12" s="716">
        <v>1</v>
      </c>
      <c r="AX12" s="716">
        <v>21</v>
      </c>
      <c r="AY12" s="716">
        <v>43</v>
      </c>
      <c r="AZ12" s="717">
        <f>SUM(AV12:AY12)</f>
        <v>69</v>
      </c>
      <c r="BA12" s="715">
        <v>2</v>
      </c>
      <c r="BB12" s="716">
        <v>1</v>
      </c>
      <c r="BC12" s="716">
        <v>22</v>
      </c>
      <c r="BD12" s="716">
        <v>42</v>
      </c>
      <c r="BE12" s="717">
        <f>SUM(BA12:BD12)</f>
        <v>67</v>
      </c>
      <c r="BF12" s="715">
        <v>2</v>
      </c>
      <c r="BG12" s="716">
        <v>1</v>
      </c>
      <c r="BH12" s="716">
        <v>23</v>
      </c>
      <c r="BI12" s="716">
        <v>43</v>
      </c>
      <c r="BJ12" s="717">
        <f>SUM(BF12:BI12)</f>
        <v>69</v>
      </c>
      <c r="BK12" s="715">
        <v>2</v>
      </c>
      <c r="BL12" s="716">
        <v>1</v>
      </c>
      <c r="BM12" s="716">
        <v>26</v>
      </c>
      <c r="BN12" s="716">
        <v>46</v>
      </c>
      <c r="BO12" s="717">
        <f>SUM(BK12:BN12)</f>
        <v>75</v>
      </c>
      <c r="BP12" s="715">
        <v>2</v>
      </c>
      <c r="BQ12" s="716">
        <v>1</v>
      </c>
      <c r="BR12" s="716">
        <v>26</v>
      </c>
      <c r="BS12" s="716">
        <v>48</v>
      </c>
      <c r="BT12" s="717">
        <f>SUM(BP12:BS12)</f>
        <v>77</v>
      </c>
      <c r="BU12" s="715">
        <v>3</v>
      </c>
      <c r="BV12" s="716">
        <v>1</v>
      </c>
      <c r="BW12" s="716">
        <v>26</v>
      </c>
      <c r="BX12" s="716">
        <v>48</v>
      </c>
      <c r="BY12" s="717">
        <f>SUM(BU12:BX12)</f>
        <v>78</v>
      </c>
    </row>
    <row r="13" spans="1:77" ht="15" x14ac:dyDescent="0.2">
      <c r="A13" s="7252"/>
      <c r="B13" s="1364" t="s">
        <v>74</v>
      </c>
      <c r="C13" s="487"/>
      <c r="D13" s="479"/>
      <c r="E13" s="479"/>
      <c r="F13" s="479"/>
      <c r="G13" s="480"/>
      <c r="H13" s="481"/>
      <c r="I13" s="481"/>
      <c r="J13" s="481"/>
      <c r="K13" s="481"/>
      <c r="L13" s="488"/>
      <c r="M13" s="483"/>
      <c r="N13" s="481"/>
      <c r="O13" s="481"/>
      <c r="P13" s="481">
        <v>8</v>
      </c>
      <c r="Q13" s="482">
        <v>8</v>
      </c>
      <c r="R13" s="481"/>
      <c r="S13" s="481"/>
      <c r="T13" s="481">
        <v>1</v>
      </c>
      <c r="U13" s="481">
        <v>15</v>
      </c>
      <c r="V13" s="488">
        <v>16</v>
      </c>
      <c r="W13" s="483"/>
      <c r="X13" s="481"/>
      <c r="Y13" s="481"/>
      <c r="Z13" s="481">
        <v>26</v>
      </c>
      <c r="AA13" s="482">
        <v>26</v>
      </c>
      <c r="AB13" s="481"/>
      <c r="AC13" s="481"/>
      <c r="AD13" s="481"/>
      <c r="AE13" s="481">
        <v>29</v>
      </c>
      <c r="AF13" s="488">
        <v>29</v>
      </c>
      <c r="AG13" s="483"/>
      <c r="AH13" s="481"/>
      <c r="AI13" s="481">
        <v>2</v>
      </c>
      <c r="AJ13" s="481">
        <v>40</v>
      </c>
      <c r="AK13" s="482">
        <v>42</v>
      </c>
      <c r="AL13" s="483"/>
      <c r="AM13" s="481"/>
      <c r="AN13" s="481">
        <v>2</v>
      </c>
      <c r="AO13" s="481">
        <v>44</v>
      </c>
      <c r="AP13" s="482">
        <f>SUM(AL13:AO13)</f>
        <v>46</v>
      </c>
      <c r="AQ13" s="715"/>
      <c r="AR13" s="716"/>
      <c r="AS13" s="716">
        <v>2</v>
      </c>
      <c r="AT13" s="716">
        <v>51</v>
      </c>
      <c r="AU13" s="717">
        <f>SUM(AQ13:AT13)</f>
        <v>53</v>
      </c>
      <c r="AV13" s="715"/>
      <c r="AW13" s="716"/>
      <c r="AX13" s="716">
        <v>2</v>
      </c>
      <c r="AY13" s="716">
        <v>54</v>
      </c>
      <c r="AZ13" s="717">
        <f>SUM(AV13:AY13)</f>
        <v>56</v>
      </c>
      <c r="BA13" s="715"/>
      <c r="BB13" s="716"/>
      <c r="BC13" s="716">
        <v>2</v>
      </c>
      <c r="BD13" s="716">
        <v>61</v>
      </c>
      <c r="BE13" s="717">
        <f>SUM(BA13:BD13)</f>
        <v>63</v>
      </c>
      <c r="BF13" s="715"/>
      <c r="BG13" s="716"/>
      <c r="BH13" s="716">
        <v>3</v>
      </c>
      <c r="BI13" s="716">
        <v>69</v>
      </c>
      <c r="BJ13" s="717">
        <f>SUM(BF13:BI13)</f>
        <v>72</v>
      </c>
      <c r="BK13" s="715"/>
      <c r="BL13" s="716"/>
      <c r="BM13" s="716">
        <v>3</v>
      </c>
      <c r="BN13" s="716">
        <v>71</v>
      </c>
      <c r="BO13" s="717">
        <f>SUM(BK13:BN13)</f>
        <v>74</v>
      </c>
      <c r="BP13" s="715"/>
      <c r="BQ13" s="716"/>
      <c r="BR13" s="716">
        <v>4</v>
      </c>
      <c r="BS13" s="716">
        <v>67</v>
      </c>
      <c r="BT13" s="717">
        <f>SUM(BP13:BS13)</f>
        <v>71</v>
      </c>
      <c r="BU13" s="715"/>
      <c r="BV13" s="716"/>
      <c r="BW13" s="716">
        <v>4</v>
      </c>
      <c r="BX13" s="716">
        <v>74</v>
      </c>
      <c r="BY13" s="717">
        <f>SUM(BU13:BX13)</f>
        <v>78</v>
      </c>
    </row>
    <row r="14" spans="1:77" ht="15" x14ac:dyDescent="0.2">
      <c r="A14" s="7253"/>
      <c r="B14" s="2612" t="s">
        <v>160</v>
      </c>
      <c r="C14" s="2675"/>
      <c r="D14" s="2676"/>
      <c r="E14" s="2676"/>
      <c r="F14" s="2676"/>
      <c r="G14" s="2676"/>
      <c r="H14" s="2677"/>
      <c r="I14" s="2678"/>
      <c r="J14" s="2678"/>
      <c r="K14" s="2678"/>
      <c r="L14" s="2679"/>
      <c r="M14" s="2677">
        <v>1</v>
      </c>
      <c r="N14" s="2678"/>
      <c r="O14" s="2678">
        <v>2</v>
      </c>
      <c r="P14" s="2678">
        <v>20</v>
      </c>
      <c r="Q14" s="2679">
        <v>23</v>
      </c>
      <c r="R14" s="2677"/>
      <c r="S14" s="2678"/>
      <c r="T14" s="2678">
        <v>10</v>
      </c>
      <c r="U14" s="2678">
        <v>47</v>
      </c>
      <c r="V14" s="2679">
        <v>57</v>
      </c>
      <c r="W14" s="2677"/>
      <c r="X14" s="2678"/>
      <c r="Y14" s="2678">
        <v>7</v>
      </c>
      <c r="Z14" s="2678">
        <v>68</v>
      </c>
      <c r="AA14" s="2679">
        <v>75</v>
      </c>
      <c r="AB14" s="2677"/>
      <c r="AC14" s="2678"/>
      <c r="AD14" s="2678">
        <v>9</v>
      </c>
      <c r="AE14" s="2678">
        <v>83</v>
      </c>
      <c r="AF14" s="2679">
        <v>92</v>
      </c>
      <c r="AG14" s="2677">
        <v>2</v>
      </c>
      <c r="AH14" s="2678"/>
      <c r="AI14" s="2678">
        <v>17</v>
      </c>
      <c r="AJ14" s="2678">
        <v>114</v>
      </c>
      <c r="AK14" s="2679">
        <v>133</v>
      </c>
      <c r="AL14" s="2677">
        <f t="shared" ref="AL14:AU14" si="3">SUM(AL11:AL13)</f>
        <v>3</v>
      </c>
      <c r="AM14" s="2678"/>
      <c r="AN14" s="2678">
        <f t="shared" si="3"/>
        <v>21</v>
      </c>
      <c r="AO14" s="2678">
        <f t="shared" si="3"/>
        <v>126</v>
      </c>
      <c r="AP14" s="2679">
        <f t="shared" si="3"/>
        <v>150</v>
      </c>
      <c r="AQ14" s="2680">
        <f t="shared" si="3"/>
        <v>3</v>
      </c>
      <c r="AR14" s="2681"/>
      <c r="AS14" s="2681">
        <f t="shared" si="3"/>
        <v>27</v>
      </c>
      <c r="AT14" s="2681">
        <f t="shared" si="3"/>
        <v>148</v>
      </c>
      <c r="AU14" s="2682">
        <f t="shared" si="3"/>
        <v>178</v>
      </c>
      <c r="AV14" s="2680">
        <f t="shared" ref="AV14:BA14" si="4">SUM(AV11:AV13)</f>
        <v>4</v>
      </c>
      <c r="AW14" s="2681">
        <f t="shared" si="4"/>
        <v>1</v>
      </c>
      <c r="AX14" s="2681">
        <f t="shared" si="4"/>
        <v>24</v>
      </c>
      <c r="AY14" s="2681">
        <f t="shared" si="4"/>
        <v>161</v>
      </c>
      <c r="AZ14" s="2682">
        <f t="shared" si="4"/>
        <v>190</v>
      </c>
      <c r="BA14" s="2680">
        <f t="shared" si="4"/>
        <v>2</v>
      </c>
      <c r="BB14" s="2681">
        <f t="shared" ref="BB14:BJ14" si="5">SUM(BB11:BB13)</f>
        <v>1</v>
      </c>
      <c r="BC14" s="2681">
        <f t="shared" si="5"/>
        <v>25</v>
      </c>
      <c r="BD14" s="2681">
        <f t="shared" si="5"/>
        <v>166</v>
      </c>
      <c r="BE14" s="2682">
        <f t="shared" si="5"/>
        <v>194</v>
      </c>
      <c r="BF14" s="2680">
        <f t="shared" si="5"/>
        <v>2</v>
      </c>
      <c r="BG14" s="2681">
        <f t="shared" si="5"/>
        <v>1</v>
      </c>
      <c r="BH14" s="2681">
        <f t="shared" si="5"/>
        <v>27</v>
      </c>
      <c r="BI14" s="2681">
        <f t="shared" si="5"/>
        <v>179</v>
      </c>
      <c r="BJ14" s="2682">
        <f t="shared" si="5"/>
        <v>209</v>
      </c>
      <c r="BK14" s="2680">
        <f t="shared" ref="BK14:BT14" si="6">SUM(BK11:BK13)</f>
        <v>2</v>
      </c>
      <c r="BL14" s="2681">
        <f t="shared" si="6"/>
        <v>1</v>
      </c>
      <c r="BM14" s="2681">
        <f t="shared" si="6"/>
        <v>31</v>
      </c>
      <c r="BN14" s="2681">
        <f t="shared" si="6"/>
        <v>188</v>
      </c>
      <c r="BO14" s="2682">
        <f t="shared" si="6"/>
        <v>222</v>
      </c>
      <c r="BP14" s="2680">
        <f t="shared" si="6"/>
        <v>2</v>
      </c>
      <c r="BQ14" s="2681">
        <f t="shared" si="6"/>
        <v>1</v>
      </c>
      <c r="BR14" s="2681">
        <f t="shared" si="6"/>
        <v>32</v>
      </c>
      <c r="BS14" s="2681">
        <f t="shared" si="6"/>
        <v>187</v>
      </c>
      <c r="BT14" s="2682">
        <f t="shared" si="6"/>
        <v>222</v>
      </c>
      <c r="BU14" s="2680">
        <f t="shared" ref="BU14:BY14" si="7">SUM(BU11:BU13)</f>
        <v>3</v>
      </c>
      <c r="BV14" s="2681">
        <f t="shared" si="7"/>
        <v>1</v>
      </c>
      <c r="BW14" s="2681">
        <f t="shared" si="7"/>
        <v>32</v>
      </c>
      <c r="BX14" s="2681">
        <f t="shared" si="7"/>
        <v>196</v>
      </c>
      <c r="BY14" s="2682">
        <f t="shared" si="7"/>
        <v>232</v>
      </c>
    </row>
    <row r="15" spans="1:77" ht="15" x14ac:dyDescent="0.25">
      <c r="A15" s="250"/>
      <c r="B15" s="484"/>
      <c r="C15" s="484"/>
      <c r="D15" s="484"/>
      <c r="E15" s="484"/>
      <c r="F15" s="484"/>
      <c r="G15" s="484"/>
      <c r="H15" s="484"/>
      <c r="I15" s="484"/>
      <c r="J15" s="484"/>
      <c r="K15" s="484"/>
      <c r="L15" s="484"/>
      <c r="M15" s="484"/>
      <c r="N15" s="484"/>
      <c r="O15" s="484"/>
      <c r="P15" s="484"/>
      <c r="Q15" s="484"/>
      <c r="R15" s="484"/>
      <c r="S15" s="484"/>
      <c r="T15" s="484"/>
      <c r="U15" s="484"/>
      <c r="V15" s="484"/>
      <c r="W15" s="484"/>
      <c r="X15" s="484"/>
      <c r="Y15" s="484"/>
      <c r="Z15" s="484"/>
      <c r="AA15" s="484"/>
      <c r="AB15" s="484"/>
      <c r="AC15" s="484"/>
      <c r="AD15" s="484"/>
      <c r="AE15" s="484"/>
      <c r="AF15" s="484"/>
      <c r="AG15" s="484"/>
      <c r="AH15" s="484"/>
      <c r="AI15" s="484"/>
      <c r="AJ15" s="484"/>
      <c r="AK15" s="484"/>
      <c r="AL15" s="484"/>
      <c r="AM15" s="484"/>
      <c r="AN15" s="484"/>
      <c r="AO15" s="484"/>
      <c r="AP15" s="484"/>
      <c r="AQ15" s="484"/>
      <c r="AR15" s="484"/>
      <c r="AS15" s="484"/>
      <c r="AT15" s="484"/>
      <c r="AU15" s="484"/>
      <c r="AV15" s="484"/>
      <c r="AW15" s="484"/>
      <c r="AX15" s="484"/>
      <c r="AY15" s="484"/>
      <c r="AZ15" s="484"/>
      <c r="BA15" s="484"/>
      <c r="BB15" s="484"/>
      <c r="BC15" s="484"/>
      <c r="BD15" s="484"/>
      <c r="BE15" s="484"/>
      <c r="BF15" s="484"/>
      <c r="BG15" s="484"/>
      <c r="BH15" s="484"/>
      <c r="BI15" s="484"/>
      <c r="BJ15" s="484"/>
      <c r="BK15" s="484"/>
      <c r="BL15" s="484"/>
      <c r="BM15" s="484"/>
      <c r="BN15" s="484"/>
      <c r="BO15" s="484"/>
      <c r="BP15" s="484"/>
      <c r="BQ15" s="484"/>
      <c r="BR15" s="484"/>
      <c r="BS15" s="484"/>
      <c r="BT15" s="484"/>
      <c r="BU15" s="484"/>
      <c r="BV15" s="484"/>
      <c r="BW15" s="484"/>
      <c r="BX15" s="484"/>
      <c r="BY15" s="484"/>
    </row>
    <row r="16" spans="1:77" ht="15" x14ac:dyDescent="0.2">
      <c r="A16" s="7256" t="s">
        <v>162</v>
      </c>
      <c r="B16" s="1363" t="s">
        <v>5</v>
      </c>
      <c r="C16" s="474">
        <v>23</v>
      </c>
      <c r="D16" s="474">
        <v>1</v>
      </c>
      <c r="E16" s="474">
        <v>58</v>
      </c>
      <c r="F16" s="474">
        <v>182</v>
      </c>
      <c r="G16" s="475">
        <v>264</v>
      </c>
      <c r="H16" s="476">
        <v>23</v>
      </c>
      <c r="I16" s="476">
        <v>1</v>
      </c>
      <c r="J16" s="476">
        <v>56</v>
      </c>
      <c r="K16" s="476">
        <v>194</v>
      </c>
      <c r="L16" s="477">
        <v>274</v>
      </c>
      <c r="M16" s="476">
        <v>18</v>
      </c>
      <c r="N16" s="476">
        <v>1</v>
      </c>
      <c r="O16" s="476">
        <v>58</v>
      </c>
      <c r="P16" s="476">
        <v>212</v>
      </c>
      <c r="Q16" s="477">
        <v>289</v>
      </c>
      <c r="R16" s="476">
        <v>16</v>
      </c>
      <c r="S16" s="476">
        <v>1</v>
      </c>
      <c r="T16" s="476">
        <v>57</v>
      </c>
      <c r="U16" s="476">
        <v>215</v>
      </c>
      <c r="V16" s="477">
        <v>289</v>
      </c>
      <c r="W16" s="476">
        <v>15</v>
      </c>
      <c r="X16" s="476">
        <v>1</v>
      </c>
      <c r="Y16" s="476">
        <v>53</v>
      </c>
      <c r="Z16" s="476">
        <v>221</v>
      </c>
      <c r="AA16" s="477">
        <v>290</v>
      </c>
      <c r="AB16" s="478">
        <v>15</v>
      </c>
      <c r="AC16" s="476">
        <v>1</v>
      </c>
      <c r="AD16" s="476">
        <v>51</v>
      </c>
      <c r="AE16" s="476">
        <v>221</v>
      </c>
      <c r="AF16" s="486">
        <v>288</v>
      </c>
      <c r="AG16" s="478">
        <v>15</v>
      </c>
      <c r="AH16" s="476">
        <v>1</v>
      </c>
      <c r="AI16" s="476">
        <v>51</v>
      </c>
      <c r="AJ16" s="476">
        <v>227</v>
      </c>
      <c r="AK16" s="477">
        <v>294</v>
      </c>
      <c r="AL16" s="478">
        <v>15</v>
      </c>
      <c r="AM16" s="476">
        <v>1</v>
      </c>
      <c r="AN16" s="476">
        <v>49</v>
      </c>
      <c r="AO16" s="476">
        <v>234</v>
      </c>
      <c r="AP16" s="477">
        <f>SUM(AL16:AO16)</f>
        <v>299</v>
      </c>
      <c r="AQ16" s="712">
        <v>15</v>
      </c>
      <c r="AR16" s="713">
        <v>1</v>
      </c>
      <c r="AS16" s="713">
        <v>46</v>
      </c>
      <c r="AT16" s="713">
        <v>241</v>
      </c>
      <c r="AU16" s="714">
        <f>SUM(AQ16:AT16)</f>
        <v>303</v>
      </c>
      <c r="AV16" s="712">
        <v>15</v>
      </c>
      <c r="AW16" s="713">
        <v>1</v>
      </c>
      <c r="AX16" s="713">
        <v>44</v>
      </c>
      <c r="AY16" s="713">
        <v>246</v>
      </c>
      <c r="AZ16" s="714">
        <f>SUM(AV16:AY16)</f>
        <v>306</v>
      </c>
      <c r="BA16" s="712">
        <v>14</v>
      </c>
      <c r="BB16" s="713">
        <v>1</v>
      </c>
      <c r="BC16" s="713">
        <v>43</v>
      </c>
      <c r="BD16" s="713">
        <v>255</v>
      </c>
      <c r="BE16" s="714">
        <f>SUM(BA16:BD16)</f>
        <v>313</v>
      </c>
      <c r="BF16" s="712">
        <v>14</v>
      </c>
      <c r="BG16" s="713">
        <v>1</v>
      </c>
      <c r="BH16" s="713">
        <v>43</v>
      </c>
      <c r="BI16" s="713">
        <v>256</v>
      </c>
      <c r="BJ16" s="714">
        <f>SUM(BF16:BI16)</f>
        <v>314</v>
      </c>
      <c r="BK16" s="712">
        <v>14</v>
      </c>
      <c r="BL16" s="713">
        <v>1</v>
      </c>
      <c r="BM16" s="713">
        <v>43</v>
      </c>
      <c r="BN16" s="713">
        <v>261</v>
      </c>
      <c r="BO16" s="714">
        <f>SUM(BK16:BN16)</f>
        <v>319</v>
      </c>
      <c r="BP16" s="712">
        <v>14</v>
      </c>
      <c r="BQ16" s="713">
        <v>1</v>
      </c>
      <c r="BR16" s="713">
        <v>42</v>
      </c>
      <c r="BS16" s="713">
        <v>266</v>
      </c>
      <c r="BT16" s="714">
        <f>SUM(BP16:BS16)</f>
        <v>323</v>
      </c>
      <c r="BU16" s="712">
        <v>14</v>
      </c>
      <c r="BV16" s="713">
        <v>1</v>
      </c>
      <c r="BW16" s="713">
        <v>43</v>
      </c>
      <c r="BX16" s="713">
        <v>280</v>
      </c>
      <c r="BY16" s="714">
        <f>SUM(BU16:BX16)</f>
        <v>338</v>
      </c>
    </row>
    <row r="17" spans="1:77" ht="15" x14ac:dyDescent="0.2">
      <c r="A17" s="7257"/>
      <c r="B17" s="1364" t="s">
        <v>6</v>
      </c>
      <c r="C17" s="479">
        <v>71</v>
      </c>
      <c r="D17" s="479">
        <v>1</v>
      </c>
      <c r="E17" s="479">
        <v>102</v>
      </c>
      <c r="F17" s="479">
        <v>132</v>
      </c>
      <c r="G17" s="480">
        <v>306</v>
      </c>
      <c r="H17" s="481">
        <v>70</v>
      </c>
      <c r="I17" s="481">
        <v>1</v>
      </c>
      <c r="J17" s="481">
        <v>97</v>
      </c>
      <c r="K17" s="481">
        <v>142</v>
      </c>
      <c r="L17" s="482">
        <v>310</v>
      </c>
      <c r="M17" s="481">
        <v>55</v>
      </c>
      <c r="N17" s="481">
        <v>1</v>
      </c>
      <c r="O17" s="481">
        <v>100</v>
      </c>
      <c r="P17" s="481">
        <v>154</v>
      </c>
      <c r="Q17" s="482">
        <v>310</v>
      </c>
      <c r="R17" s="481">
        <v>54</v>
      </c>
      <c r="S17" s="481">
        <v>1</v>
      </c>
      <c r="T17" s="481">
        <v>92</v>
      </c>
      <c r="U17" s="481">
        <v>159</v>
      </c>
      <c r="V17" s="482">
        <v>306</v>
      </c>
      <c r="W17" s="481">
        <v>46</v>
      </c>
      <c r="X17" s="481">
        <v>2</v>
      </c>
      <c r="Y17" s="481">
        <v>93</v>
      </c>
      <c r="Z17" s="481">
        <v>162</v>
      </c>
      <c r="AA17" s="482">
        <v>303</v>
      </c>
      <c r="AB17" s="483">
        <v>43</v>
      </c>
      <c r="AC17" s="481">
        <v>2</v>
      </c>
      <c r="AD17" s="481">
        <v>90</v>
      </c>
      <c r="AE17" s="481">
        <v>170</v>
      </c>
      <c r="AF17" s="488">
        <v>305</v>
      </c>
      <c r="AG17" s="483">
        <v>39</v>
      </c>
      <c r="AH17" s="481">
        <v>2</v>
      </c>
      <c r="AI17" s="481">
        <v>95</v>
      </c>
      <c r="AJ17" s="481">
        <v>176</v>
      </c>
      <c r="AK17" s="482">
        <v>312</v>
      </c>
      <c r="AL17" s="483">
        <v>37</v>
      </c>
      <c r="AM17" s="481">
        <v>2</v>
      </c>
      <c r="AN17" s="481">
        <v>93</v>
      </c>
      <c r="AO17" s="481">
        <v>189</v>
      </c>
      <c r="AP17" s="482">
        <f>SUM(AL17:AO17)</f>
        <v>321</v>
      </c>
      <c r="AQ17" s="715">
        <v>36</v>
      </c>
      <c r="AR17" s="716">
        <v>2</v>
      </c>
      <c r="AS17" s="716">
        <v>78</v>
      </c>
      <c r="AT17" s="716">
        <v>204</v>
      </c>
      <c r="AU17" s="717">
        <f>SUM(AQ17:AT17)</f>
        <v>320</v>
      </c>
      <c r="AV17" s="715">
        <v>33</v>
      </c>
      <c r="AW17" s="716">
        <v>2</v>
      </c>
      <c r="AX17" s="716">
        <v>80</v>
      </c>
      <c r="AY17" s="716">
        <v>205</v>
      </c>
      <c r="AZ17" s="717">
        <f>SUM(AV17:AY17)</f>
        <v>320</v>
      </c>
      <c r="BA17" s="715">
        <v>33</v>
      </c>
      <c r="BB17" s="716">
        <v>1</v>
      </c>
      <c r="BC17" s="716">
        <v>78</v>
      </c>
      <c r="BD17" s="716">
        <v>214</v>
      </c>
      <c r="BE17" s="717">
        <f>SUM(BA17:BD17)</f>
        <v>326</v>
      </c>
      <c r="BF17" s="715">
        <v>33</v>
      </c>
      <c r="BG17" s="716">
        <v>1</v>
      </c>
      <c r="BH17" s="716">
        <v>78</v>
      </c>
      <c r="BI17" s="716">
        <v>216</v>
      </c>
      <c r="BJ17" s="717">
        <f>SUM(BF17:BI17)</f>
        <v>328</v>
      </c>
      <c r="BK17" s="715">
        <v>33</v>
      </c>
      <c r="BL17" s="716">
        <v>1</v>
      </c>
      <c r="BM17" s="716">
        <v>83</v>
      </c>
      <c r="BN17" s="716">
        <v>218</v>
      </c>
      <c r="BO17" s="717">
        <f>SUM(BK17:BN17)</f>
        <v>335</v>
      </c>
      <c r="BP17" s="715">
        <v>32</v>
      </c>
      <c r="BQ17" s="716">
        <v>1</v>
      </c>
      <c r="BR17" s="716">
        <v>82</v>
      </c>
      <c r="BS17" s="716">
        <v>223</v>
      </c>
      <c r="BT17" s="717">
        <f>SUM(BP17:BS17)</f>
        <v>338</v>
      </c>
      <c r="BU17" s="715">
        <v>32</v>
      </c>
      <c r="BV17" s="716">
        <v>1</v>
      </c>
      <c r="BW17" s="716">
        <v>83</v>
      </c>
      <c r="BX17" s="716">
        <v>229</v>
      </c>
      <c r="BY17" s="717">
        <f>SUM(BU17:BX17)</f>
        <v>345</v>
      </c>
    </row>
    <row r="18" spans="1:77" ht="15" x14ac:dyDescent="0.2">
      <c r="A18" s="7257"/>
      <c r="B18" s="1364" t="s">
        <v>11</v>
      </c>
      <c r="C18" s="479">
        <v>31</v>
      </c>
      <c r="D18" s="479">
        <v>8</v>
      </c>
      <c r="E18" s="479">
        <v>72</v>
      </c>
      <c r="F18" s="479">
        <v>103</v>
      </c>
      <c r="G18" s="480">
        <v>214</v>
      </c>
      <c r="H18" s="481">
        <v>31</v>
      </c>
      <c r="I18" s="481">
        <v>7</v>
      </c>
      <c r="J18" s="481">
        <v>69</v>
      </c>
      <c r="K18" s="481">
        <v>111</v>
      </c>
      <c r="L18" s="482">
        <v>218</v>
      </c>
      <c r="M18" s="481">
        <v>24</v>
      </c>
      <c r="N18" s="481">
        <v>8</v>
      </c>
      <c r="O18" s="481">
        <v>72</v>
      </c>
      <c r="P18" s="481">
        <v>120</v>
      </c>
      <c r="Q18" s="482">
        <v>224</v>
      </c>
      <c r="R18" s="481">
        <v>20</v>
      </c>
      <c r="S18" s="481">
        <v>6</v>
      </c>
      <c r="T18" s="481">
        <v>67</v>
      </c>
      <c r="U18" s="481">
        <v>126</v>
      </c>
      <c r="V18" s="482">
        <v>219</v>
      </c>
      <c r="W18" s="481">
        <v>19</v>
      </c>
      <c r="X18" s="481">
        <v>6</v>
      </c>
      <c r="Y18" s="481">
        <v>65</v>
      </c>
      <c r="Z18" s="481">
        <v>133</v>
      </c>
      <c r="AA18" s="482">
        <v>223</v>
      </c>
      <c r="AB18" s="483">
        <v>19</v>
      </c>
      <c r="AC18" s="481">
        <v>4</v>
      </c>
      <c r="AD18" s="481">
        <v>61</v>
      </c>
      <c r="AE18" s="481">
        <v>141</v>
      </c>
      <c r="AF18" s="488">
        <v>225</v>
      </c>
      <c r="AG18" s="483">
        <v>17</v>
      </c>
      <c r="AH18" s="481">
        <v>4</v>
      </c>
      <c r="AI18" s="481">
        <v>57</v>
      </c>
      <c r="AJ18" s="481">
        <v>149</v>
      </c>
      <c r="AK18" s="482">
        <v>227</v>
      </c>
      <c r="AL18" s="483">
        <v>17</v>
      </c>
      <c r="AM18" s="481">
        <v>4</v>
      </c>
      <c r="AN18" s="481">
        <v>54</v>
      </c>
      <c r="AO18" s="481">
        <v>166</v>
      </c>
      <c r="AP18" s="482">
        <f>SUM(AL18:AO18)</f>
        <v>241</v>
      </c>
      <c r="AQ18" s="715">
        <v>17</v>
      </c>
      <c r="AR18" s="716">
        <v>3</v>
      </c>
      <c r="AS18" s="716">
        <v>53</v>
      </c>
      <c r="AT18" s="716">
        <v>177</v>
      </c>
      <c r="AU18" s="717">
        <f>SUM(AQ18:AT18)</f>
        <v>250</v>
      </c>
      <c r="AV18" s="715">
        <v>17</v>
      </c>
      <c r="AW18" s="716">
        <v>3</v>
      </c>
      <c r="AX18" s="716">
        <v>56</v>
      </c>
      <c r="AY18" s="716">
        <v>175</v>
      </c>
      <c r="AZ18" s="717">
        <f>SUM(AV18:AY18)</f>
        <v>251</v>
      </c>
      <c r="BA18" s="715">
        <v>14</v>
      </c>
      <c r="BB18" s="716">
        <v>4</v>
      </c>
      <c r="BC18" s="716">
        <v>58</v>
      </c>
      <c r="BD18" s="716">
        <v>185</v>
      </c>
      <c r="BE18" s="717">
        <f>SUM(BA18:BD18)</f>
        <v>261</v>
      </c>
      <c r="BF18" s="715">
        <v>15</v>
      </c>
      <c r="BG18" s="716">
        <v>4</v>
      </c>
      <c r="BH18" s="716">
        <v>57</v>
      </c>
      <c r="BI18" s="716">
        <v>189</v>
      </c>
      <c r="BJ18" s="717">
        <f>SUM(BF18:BI18)</f>
        <v>265</v>
      </c>
      <c r="BK18" s="715">
        <v>15</v>
      </c>
      <c r="BL18" s="716">
        <v>4</v>
      </c>
      <c r="BM18" s="716">
        <v>57</v>
      </c>
      <c r="BN18" s="716">
        <v>191</v>
      </c>
      <c r="BO18" s="717">
        <f>SUM(BK18:BN18)</f>
        <v>267</v>
      </c>
      <c r="BP18" s="715">
        <v>15</v>
      </c>
      <c r="BQ18" s="716">
        <v>4</v>
      </c>
      <c r="BR18" s="716">
        <v>51</v>
      </c>
      <c r="BS18" s="716">
        <v>201</v>
      </c>
      <c r="BT18" s="717">
        <f>SUM(BP18:BS18)</f>
        <v>271</v>
      </c>
      <c r="BU18" s="715">
        <v>15</v>
      </c>
      <c r="BV18" s="716">
        <v>4</v>
      </c>
      <c r="BW18" s="716">
        <v>51</v>
      </c>
      <c r="BX18" s="716">
        <v>205</v>
      </c>
      <c r="BY18" s="717">
        <f>SUM(BU18:BX18)</f>
        <v>275</v>
      </c>
    </row>
    <row r="19" spans="1:77" ht="15" x14ac:dyDescent="0.2">
      <c r="A19" s="7258"/>
      <c r="B19" s="2612" t="s">
        <v>160</v>
      </c>
      <c r="C19" s="2667">
        <v>125</v>
      </c>
      <c r="D19" s="2668">
        <v>10</v>
      </c>
      <c r="E19" s="2668">
        <v>232</v>
      </c>
      <c r="F19" s="2668">
        <v>417</v>
      </c>
      <c r="G19" s="2668">
        <v>784</v>
      </c>
      <c r="H19" s="2669">
        <v>124</v>
      </c>
      <c r="I19" s="2670">
        <v>9</v>
      </c>
      <c r="J19" s="2670">
        <v>222</v>
      </c>
      <c r="K19" s="2670">
        <v>447</v>
      </c>
      <c r="L19" s="2671">
        <v>802</v>
      </c>
      <c r="M19" s="2669">
        <v>97</v>
      </c>
      <c r="N19" s="2670">
        <v>10</v>
      </c>
      <c r="O19" s="2670">
        <v>230</v>
      </c>
      <c r="P19" s="2670">
        <v>486</v>
      </c>
      <c r="Q19" s="2671">
        <v>823</v>
      </c>
      <c r="R19" s="2669">
        <v>90</v>
      </c>
      <c r="S19" s="2670">
        <v>8</v>
      </c>
      <c r="T19" s="2670">
        <v>216</v>
      </c>
      <c r="U19" s="2670">
        <v>500</v>
      </c>
      <c r="V19" s="2671">
        <v>814</v>
      </c>
      <c r="W19" s="2669">
        <v>80</v>
      </c>
      <c r="X19" s="2670">
        <v>9</v>
      </c>
      <c r="Y19" s="2670">
        <v>211</v>
      </c>
      <c r="Z19" s="2670">
        <v>516</v>
      </c>
      <c r="AA19" s="2671">
        <v>816</v>
      </c>
      <c r="AB19" s="2669">
        <v>77</v>
      </c>
      <c r="AC19" s="2670">
        <v>7</v>
      </c>
      <c r="AD19" s="2670">
        <v>202</v>
      </c>
      <c r="AE19" s="2670">
        <v>532</v>
      </c>
      <c r="AF19" s="2671">
        <v>818</v>
      </c>
      <c r="AG19" s="2669">
        <v>71</v>
      </c>
      <c r="AH19" s="2670">
        <v>7</v>
      </c>
      <c r="AI19" s="2670">
        <v>203</v>
      </c>
      <c r="AJ19" s="2670">
        <v>552</v>
      </c>
      <c r="AK19" s="2671">
        <v>833</v>
      </c>
      <c r="AL19" s="2669">
        <f>SUM(AL16:AL18)</f>
        <v>69</v>
      </c>
      <c r="AM19" s="2670">
        <f>SUM(AM16:AM18)</f>
        <v>7</v>
      </c>
      <c r="AN19" s="2670">
        <f>SUM(AN16:AN18)</f>
        <v>196</v>
      </c>
      <c r="AO19" s="2670">
        <f>SUM(AO16:AO18)</f>
        <v>589</v>
      </c>
      <c r="AP19" s="2671">
        <f>SUM(AL19:AO19)</f>
        <v>861</v>
      </c>
      <c r="AQ19" s="2672">
        <f>SUM(AQ16:AQ18)</f>
        <v>68</v>
      </c>
      <c r="AR19" s="2673">
        <f>SUM(AR16:AR18)</f>
        <v>6</v>
      </c>
      <c r="AS19" s="2673">
        <f>SUM(AS16:AS18)</f>
        <v>177</v>
      </c>
      <c r="AT19" s="2673">
        <f>SUM(AT16:AT18)</f>
        <v>622</v>
      </c>
      <c r="AU19" s="2674">
        <f>SUM(AQ19:AT19)</f>
        <v>873</v>
      </c>
      <c r="AV19" s="2672">
        <f>SUM(AV16:AV18)</f>
        <v>65</v>
      </c>
      <c r="AW19" s="2673">
        <f>SUM(AW16:AW18)</f>
        <v>6</v>
      </c>
      <c r="AX19" s="2673">
        <f>SUM(AX16:AX18)</f>
        <v>180</v>
      </c>
      <c r="AY19" s="2673">
        <f>SUM(AY16:AY18)</f>
        <v>626</v>
      </c>
      <c r="AZ19" s="2674">
        <f>SUM(AV19:AY19)</f>
        <v>877</v>
      </c>
      <c r="BA19" s="2672">
        <f t="shared" ref="BA19:BJ19" si="8">SUM(BA16:BA18)</f>
        <v>61</v>
      </c>
      <c r="BB19" s="2673">
        <f t="shared" si="8"/>
        <v>6</v>
      </c>
      <c r="BC19" s="2673">
        <f t="shared" si="8"/>
        <v>179</v>
      </c>
      <c r="BD19" s="2673">
        <f t="shared" si="8"/>
        <v>654</v>
      </c>
      <c r="BE19" s="2674">
        <f t="shared" si="8"/>
        <v>900</v>
      </c>
      <c r="BF19" s="2672">
        <f t="shared" si="8"/>
        <v>62</v>
      </c>
      <c r="BG19" s="2673">
        <f t="shared" si="8"/>
        <v>6</v>
      </c>
      <c r="BH19" s="2673">
        <f t="shared" si="8"/>
        <v>178</v>
      </c>
      <c r="BI19" s="2673">
        <f t="shared" si="8"/>
        <v>661</v>
      </c>
      <c r="BJ19" s="2674">
        <f t="shared" si="8"/>
        <v>907</v>
      </c>
      <c r="BK19" s="2672">
        <f t="shared" ref="BK19:BT19" si="9">SUM(BK16:BK18)</f>
        <v>62</v>
      </c>
      <c r="BL19" s="2673">
        <f t="shared" si="9"/>
        <v>6</v>
      </c>
      <c r="BM19" s="2673">
        <f t="shared" si="9"/>
        <v>183</v>
      </c>
      <c r="BN19" s="2673">
        <f t="shared" si="9"/>
        <v>670</v>
      </c>
      <c r="BO19" s="2674">
        <f t="shared" si="9"/>
        <v>921</v>
      </c>
      <c r="BP19" s="2672">
        <f t="shared" si="9"/>
        <v>61</v>
      </c>
      <c r="BQ19" s="2673">
        <f t="shared" si="9"/>
        <v>6</v>
      </c>
      <c r="BR19" s="2673">
        <f t="shared" si="9"/>
        <v>175</v>
      </c>
      <c r="BS19" s="2673">
        <f t="shared" si="9"/>
        <v>690</v>
      </c>
      <c r="BT19" s="2674">
        <f t="shared" si="9"/>
        <v>932</v>
      </c>
      <c r="BU19" s="2672">
        <f t="shared" ref="BU19:BY19" si="10">SUM(BU16:BU18)</f>
        <v>61</v>
      </c>
      <c r="BV19" s="2673">
        <f t="shared" si="10"/>
        <v>6</v>
      </c>
      <c r="BW19" s="2673">
        <f t="shared" si="10"/>
        <v>177</v>
      </c>
      <c r="BX19" s="2673">
        <f t="shared" si="10"/>
        <v>714</v>
      </c>
      <c r="BY19" s="2674">
        <f t="shared" si="10"/>
        <v>958</v>
      </c>
    </row>
    <row r="20" spans="1:77" ht="15" x14ac:dyDescent="0.2">
      <c r="B20" s="1682"/>
      <c r="C20" s="1682"/>
      <c r="D20" s="1682"/>
      <c r="E20" s="1682"/>
      <c r="F20" s="1682"/>
      <c r="G20" s="1682"/>
      <c r="H20" s="1682"/>
      <c r="I20" s="1682"/>
      <c r="J20" s="1682"/>
      <c r="K20" s="1682"/>
      <c r="L20" s="1682"/>
      <c r="M20" s="1682"/>
      <c r="N20" s="1682"/>
      <c r="O20" s="1682"/>
      <c r="P20" s="1682"/>
      <c r="Q20" s="1682"/>
      <c r="R20" s="1682"/>
      <c r="S20" s="1682"/>
      <c r="T20" s="1682"/>
      <c r="U20" s="1682"/>
      <c r="V20" s="1682"/>
      <c r="W20" s="1682"/>
      <c r="X20" s="1682"/>
      <c r="Y20" s="1682"/>
      <c r="Z20" s="1682"/>
      <c r="AA20" s="1682"/>
      <c r="AB20" s="1682"/>
      <c r="AC20" s="1682"/>
      <c r="AD20" s="1682"/>
      <c r="AE20" s="1682"/>
      <c r="AF20" s="1682"/>
      <c r="AG20" s="1682"/>
      <c r="AH20" s="1682"/>
      <c r="AI20" s="1682"/>
      <c r="AJ20" s="1682"/>
      <c r="AK20" s="1682"/>
      <c r="AL20" s="1682"/>
      <c r="AM20" s="1682"/>
      <c r="AN20" s="1682"/>
      <c r="AO20" s="1682"/>
      <c r="AP20" s="1682"/>
      <c r="AQ20" s="1682"/>
      <c r="AR20" s="1682"/>
      <c r="AS20" s="1682"/>
      <c r="AT20" s="1682"/>
      <c r="AU20" s="1682"/>
      <c r="AV20" s="1682"/>
      <c r="AW20" s="1682"/>
      <c r="AX20" s="1682"/>
      <c r="AY20" s="1682"/>
      <c r="AZ20" s="1682"/>
      <c r="BA20" s="1682"/>
      <c r="BB20" s="1682"/>
      <c r="BC20" s="1682"/>
      <c r="BD20" s="1682"/>
      <c r="BE20" s="1682"/>
      <c r="BF20" s="1682"/>
      <c r="BG20" s="1682"/>
      <c r="BH20" s="1682"/>
      <c r="BI20" s="1682"/>
      <c r="BJ20" s="1682"/>
      <c r="BK20" s="1682"/>
      <c r="BL20" s="1682"/>
      <c r="BM20" s="1682"/>
      <c r="BN20" s="1682"/>
      <c r="BO20" s="1682"/>
      <c r="BP20" s="1682"/>
      <c r="BQ20" s="1682"/>
      <c r="BR20" s="1682"/>
      <c r="BS20" s="1682"/>
      <c r="BT20" s="1682"/>
      <c r="BU20" s="1682"/>
      <c r="BV20" s="1682"/>
      <c r="BW20" s="1682"/>
      <c r="BX20" s="1682"/>
      <c r="BY20" s="1682"/>
    </row>
    <row r="21" spans="1:77" ht="15" x14ac:dyDescent="0.2">
      <c r="A21" s="7262" t="s">
        <v>408</v>
      </c>
      <c r="B21" s="1363" t="s">
        <v>5</v>
      </c>
      <c r="C21" s="474"/>
      <c r="D21" s="474"/>
      <c r="E21" s="474"/>
      <c r="F21" s="474"/>
      <c r="G21" s="475"/>
      <c r="H21" s="476"/>
      <c r="I21" s="476"/>
      <c r="J21" s="476"/>
      <c r="K21" s="476"/>
      <c r="L21" s="477"/>
      <c r="M21" s="476"/>
      <c r="N21" s="476"/>
      <c r="O21" s="476"/>
      <c r="P21" s="476"/>
      <c r="Q21" s="477"/>
      <c r="R21" s="476"/>
      <c r="S21" s="476"/>
      <c r="T21" s="476"/>
      <c r="U21" s="476"/>
      <c r="V21" s="477"/>
      <c r="W21" s="476"/>
      <c r="X21" s="476"/>
      <c r="Y21" s="476"/>
      <c r="Z21" s="476"/>
      <c r="AA21" s="477"/>
      <c r="AB21" s="478"/>
      <c r="AC21" s="476"/>
      <c r="AD21" s="476"/>
      <c r="AE21" s="476"/>
      <c r="AF21" s="486"/>
      <c r="AG21" s="478"/>
      <c r="AH21" s="476"/>
      <c r="AI21" s="476"/>
      <c r="AJ21" s="476"/>
      <c r="AK21" s="477"/>
      <c r="AL21" s="478"/>
      <c r="AM21" s="476"/>
      <c r="AN21" s="476"/>
      <c r="AO21" s="476"/>
      <c r="AP21" s="477"/>
      <c r="AQ21" s="712"/>
      <c r="AR21" s="713"/>
      <c r="AS21" s="713"/>
      <c r="AT21" s="713"/>
      <c r="AU21" s="714"/>
      <c r="AV21" s="712"/>
      <c r="AW21" s="713"/>
      <c r="AX21" s="713"/>
      <c r="AY21" s="713"/>
      <c r="AZ21" s="714"/>
      <c r="BA21" s="712"/>
      <c r="BB21" s="713"/>
      <c r="BC21" s="713">
        <v>1</v>
      </c>
      <c r="BD21" s="713">
        <v>7</v>
      </c>
      <c r="BE21" s="714">
        <f>SUM(BA21:BD21)</f>
        <v>8</v>
      </c>
      <c r="BF21" s="712"/>
      <c r="BG21" s="713"/>
      <c r="BH21" s="713">
        <v>2</v>
      </c>
      <c r="BI21" s="713">
        <v>9</v>
      </c>
      <c r="BJ21" s="714">
        <f>SUM(BF21:BI21)</f>
        <v>11</v>
      </c>
      <c r="BK21" s="712"/>
      <c r="BL21" s="713"/>
      <c r="BM21" s="713">
        <v>2</v>
      </c>
      <c r="BN21" s="713">
        <v>14</v>
      </c>
      <c r="BO21" s="714">
        <f>SUM(BK21:BN21)</f>
        <v>16</v>
      </c>
      <c r="BP21" s="712"/>
      <c r="BQ21" s="713"/>
      <c r="BR21" s="713">
        <v>2</v>
      </c>
      <c r="BS21" s="713">
        <v>14</v>
      </c>
      <c r="BT21" s="714">
        <f>SUM(BP21:BS21)</f>
        <v>16</v>
      </c>
      <c r="BU21" s="712"/>
      <c r="BV21" s="713"/>
      <c r="BW21" s="713">
        <v>2</v>
      </c>
      <c r="BX21" s="713">
        <v>17</v>
      </c>
      <c r="BY21" s="714">
        <f>SUM(BU21:BX21)</f>
        <v>19</v>
      </c>
    </row>
    <row r="22" spans="1:77" ht="15" x14ac:dyDescent="0.2">
      <c r="A22" s="7263"/>
      <c r="B22" s="1364" t="s">
        <v>6</v>
      </c>
      <c r="C22" s="479"/>
      <c r="D22" s="479"/>
      <c r="E22" s="479"/>
      <c r="F22" s="479"/>
      <c r="G22" s="480"/>
      <c r="H22" s="481"/>
      <c r="I22" s="481"/>
      <c r="J22" s="481"/>
      <c r="K22" s="481"/>
      <c r="L22" s="482"/>
      <c r="M22" s="481"/>
      <c r="N22" s="481"/>
      <c r="O22" s="481"/>
      <c r="P22" s="481"/>
      <c r="Q22" s="482"/>
      <c r="R22" s="481"/>
      <c r="S22" s="481"/>
      <c r="T22" s="481"/>
      <c r="U22" s="481"/>
      <c r="V22" s="482"/>
      <c r="W22" s="481"/>
      <c r="X22" s="481"/>
      <c r="Y22" s="481"/>
      <c r="Z22" s="481"/>
      <c r="AA22" s="482"/>
      <c r="AB22" s="483"/>
      <c r="AC22" s="481"/>
      <c r="AD22" s="481"/>
      <c r="AE22" s="481"/>
      <c r="AF22" s="488"/>
      <c r="AG22" s="483"/>
      <c r="AH22" s="481"/>
      <c r="AI22" s="481"/>
      <c r="AJ22" s="481"/>
      <c r="AK22" s="482"/>
      <c r="AL22" s="483"/>
      <c r="AM22" s="481"/>
      <c r="AN22" s="481"/>
      <c r="AO22" s="481"/>
      <c r="AP22" s="482"/>
      <c r="AQ22" s="715"/>
      <c r="AR22" s="716"/>
      <c r="AS22" s="716"/>
      <c r="AT22" s="716"/>
      <c r="AU22" s="717"/>
      <c r="AV22" s="715"/>
      <c r="AW22" s="716"/>
      <c r="AX22" s="716"/>
      <c r="AY22" s="716"/>
      <c r="AZ22" s="717"/>
      <c r="BA22" s="715"/>
      <c r="BB22" s="716"/>
      <c r="BC22" s="716">
        <v>3</v>
      </c>
      <c r="BD22" s="716">
        <v>4</v>
      </c>
      <c r="BE22" s="717">
        <f>SUM(BA22:BD22)</f>
        <v>7</v>
      </c>
      <c r="BF22" s="715"/>
      <c r="BG22" s="716"/>
      <c r="BH22" s="716">
        <v>5</v>
      </c>
      <c r="BI22" s="716">
        <v>6</v>
      </c>
      <c r="BJ22" s="717">
        <f>SUM(BF22:BI22)</f>
        <v>11</v>
      </c>
      <c r="BK22" s="715"/>
      <c r="BL22" s="716"/>
      <c r="BM22" s="716">
        <v>2</v>
      </c>
      <c r="BN22" s="716">
        <v>11</v>
      </c>
      <c r="BO22" s="717">
        <f>SUM(BK22:BN22)</f>
        <v>13</v>
      </c>
      <c r="BP22" s="715"/>
      <c r="BQ22" s="716"/>
      <c r="BR22" s="716">
        <v>3</v>
      </c>
      <c r="BS22" s="716">
        <v>18</v>
      </c>
      <c r="BT22" s="717">
        <f>SUM(BP22:BS22)</f>
        <v>21</v>
      </c>
      <c r="BU22" s="715"/>
      <c r="BV22" s="716"/>
      <c r="BW22" s="716">
        <v>7</v>
      </c>
      <c r="BX22" s="716">
        <v>20</v>
      </c>
      <c r="BY22" s="717">
        <f>SUM(BU22:BX22)</f>
        <v>27</v>
      </c>
    </row>
    <row r="23" spans="1:77" ht="15" x14ac:dyDescent="0.2">
      <c r="A23" s="7263"/>
      <c r="B23" s="1364" t="s">
        <v>11</v>
      </c>
      <c r="C23" s="479"/>
      <c r="D23" s="479"/>
      <c r="E23" s="479"/>
      <c r="F23" s="479"/>
      <c r="G23" s="480"/>
      <c r="H23" s="481"/>
      <c r="I23" s="481"/>
      <c r="J23" s="481"/>
      <c r="K23" s="481"/>
      <c r="L23" s="482"/>
      <c r="M23" s="481"/>
      <c r="N23" s="481"/>
      <c r="O23" s="481"/>
      <c r="P23" s="481"/>
      <c r="Q23" s="482"/>
      <c r="R23" s="481"/>
      <c r="S23" s="481"/>
      <c r="T23" s="481"/>
      <c r="U23" s="481"/>
      <c r="V23" s="482"/>
      <c r="W23" s="481"/>
      <c r="X23" s="481"/>
      <c r="Y23" s="481"/>
      <c r="Z23" s="481"/>
      <c r="AA23" s="482"/>
      <c r="AB23" s="483"/>
      <c r="AC23" s="481"/>
      <c r="AD23" s="481"/>
      <c r="AE23" s="481"/>
      <c r="AF23" s="488"/>
      <c r="AG23" s="483"/>
      <c r="AH23" s="481"/>
      <c r="AI23" s="481"/>
      <c r="AJ23" s="481"/>
      <c r="AK23" s="482"/>
      <c r="AL23" s="483"/>
      <c r="AM23" s="481"/>
      <c r="AN23" s="481"/>
      <c r="AO23" s="481"/>
      <c r="AP23" s="482"/>
      <c r="AQ23" s="715"/>
      <c r="AR23" s="716"/>
      <c r="AS23" s="716"/>
      <c r="AT23" s="716"/>
      <c r="AU23" s="717"/>
      <c r="AV23" s="715"/>
      <c r="AW23" s="716"/>
      <c r="AX23" s="716"/>
      <c r="AY23" s="716"/>
      <c r="AZ23" s="717"/>
      <c r="BA23" s="715">
        <v>1</v>
      </c>
      <c r="BB23" s="716"/>
      <c r="BC23" s="716"/>
      <c r="BD23" s="716">
        <v>13</v>
      </c>
      <c r="BE23" s="717">
        <f>SUM(BA23:BD23)</f>
        <v>14</v>
      </c>
      <c r="BF23" s="715"/>
      <c r="BG23" s="716"/>
      <c r="BH23" s="716"/>
      <c r="BI23" s="716">
        <v>14</v>
      </c>
      <c r="BJ23" s="717">
        <f>SUM(BF23:BI23)</f>
        <v>14</v>
      </c>
      <c r="BK23" s="715"/>
      <c r="BL23" s="716"/>
      <c r="BM23" s="716"/>
      <c r="BN23" s="716">
        <v>14</v>
      </c>
      <c r="BO23" s="717">
        <f>SUM(BK23:BN23)</f>
        <v>14</v>
      </c>
      <c r="BP23" s="715"/>
      <c r="BQ23" s="716"/>
      <c r="BR23" s="716"/>
      <c r="BS23" s="716">
        <v>18</v>
      </c>
      <c r="BT23" s="717">
        <f>SUM(BP23:BS23)</f>
        <v>18</v>
      </c>
      <c r="BU23" s="715"/>
      <c r="BV23" s="716"/>
      <c r="BW23" s="716"/>
      <c r="BX23" s="716">
        <v>20</v>
      </c>
      <c r="BY23" s="717">
        <f>SUM(BU23:BX23)</f>
        <v>20</v>
      </c>
    </row>
    <row r="24" spans="1:77" ht="15" x14ac:dyDescent="0.2">
      <c r="A24" s="7264"/>
      <c r="B24" s="2612" t="s">
        <v>160</v>
      </c>
      <c r="C24" s="2659"/>
      <c r="D24" s="2660"/>
      <c r="E24" s="2660"/>
      <c r="F24" s="2660"/>
      <c r="G24" s="2660"/>
      <c r="H24" s="2661"/>
      <c r="I24" s="2662"/>
      <c r="J24" s="2662"/>
      <c r="K24" s="2662"/>
      <c r="L24" s="2663"/>
      <c r="M24" s="2661"/>
      <c r="N24" s="2662"/>
      <c r="O24" s="2662"/>
      <c r="P24" s="2662"/>
      <c r="Q24" s="2663"/>
      <c r="R24" s="2661"/>
      <c r="S24" s="2662"/>
      <c r="T24" s="2662"/>
      <c r="U24" s="2662"/>
      <c r="V24" s="2663"/>
      <c r="W24" s="2661"/>
      <c r="X24" s="2662"/>
      <c r="Y24" s="2662"/>
      <c r="Z24" s="2662"/>
      <c r="AA24" s="2663"/>
      <c r="AB24" s="2661"/>
      <c r="AC24" s="2662"/>
      <c r="AD24" s="2662"/>
      <c r="AE24" s="2662"/>
      <c r="AF24" s="2663"/>
      <c r="AG24" s="2661"/>
      <c r="AH24" s="2662"/>
      <c r="AI24" s="2662"/>
      <c r="AJ24" s="2662"/>
      <c r="AK24" s="2663"/>
      <c r="AL24" s="2661"/>
      <c r="AM24" s="2662"/>
      <c r="AN24" s="2662"/>
      <c r="AO24" s="2662"/>
      <c r="AP24" s="2663"/>
      <c r="AQ24" s="2664"/>
      <c r="AR24" s="2665"/>
      <c r="AS24" s="2665"/>
      <c r="AT24" s="2665"/>
      <c r="AU24" s="2666"/>
      <c r="AV24" s="2664"/>
      <c r="AW24" s="2665"/>
      <c r="AX24" s="2665"/>
      <c r="AY24" s="2665"/>
      <c r="AZ24" s="2666"/>
      <c r="BA24" s="2664">
        <f t="shared" ref="BA24:BJ24" si="11">SUM(BA21:BA23)</f>
        <v>1</v>
      </c>
      <c r="BB24" s="3917"/>
      <c r="BC24" s="2665">
        <f t="shared" si="11"/>
        <v>4</v>
      </c>
      <c r="BD24" s="2665">
        <f t="shared" si="11"/>
        <v>24</v>
      </c>
      <c r="BE24" s="2666">
        <f t="shared" si="11"/>
        <v>29</v>
      </c>
      <c r="BF24" s="2664"/>
      <c r="BG24" s="2665"/>
      <c r="BH24" s="2665">
        <f t="shared" si="11"/>
        <v>7</v>
      </c>
      <c r="BI24" s="2665">
        <f t="shared" si="11"/>
        <v>29</v>
      </c>
      <c r="BJ24" s="2666">
        <f t="shared" si="11"/>
        <v>36</v>
      </c>
      <c r="BK24" s="2664"/>
      <c r="BL24" s="2665"/>
      <c r="BM24" s="2665">
        <f>SUM(BM21:BM23)</f>
        <v>4</v>
      </c>
      <c r="BN24" s="2665">
        <f>SUM(BN21:BN23)</f>
        <v>39</v>
      </c>
      <c r="BO24" s="2666">
        <f>SUM(BO21:BO23)</f>
        <v>43</v>
      </c>
      <c r="BP24" s="2664"/>
      <c r="BQ24" s="2665"/>
      <c r="BR24" s="2665">
        <f>SUM(BR21:BR23)</f>
        <v>5</v>
      </c>
      <c r="BS24" s="2665">
        <f>SUM(BS21:BS23)</f>
        <v>50</v>
      </c>
      <c r="BT24" s="2666">
        <f>SUM(BT21:BT23)</f>
        <v>55</v>
      </c>
      <c r="BU24" s="2664"/>
      <c r="BV24" s="2665"/>
      <c r="BW24" s="2665">
        <f>SUM(BW21:BW23)</f>
        <v>9</v>
      </c>
      <c r="BX24" s="2665">
        <f>SUM(BX21:BX23)</f>
        <v>57</v>
      </c>
      <c r="BY24" s="2666">
        <f>SUM(BY21:BY23)</f>
        <v>66</v>
      </c>
    </row>
    <row r="25" spans="1:77" ht="15" x14ac:dyDescent="0.25">
      <c r="A25" s="250"/>
      <c r="B25" s="484"/>
      <c r="C25" s="484"/>
      <c r="D25" s="484"/>
      <c r="E25" s="484"/>
      <c r="F25" s="484"/>
      <c r="G25" s="484"/>
      <c r="H25" s="484"/>
      <c r="I25" s="484"/>
      <c r="J25" s="484"/>
      <c r="K25" s="484"/>
      <c r="L25" s="484"/>
      <c r="M25" s="484"/>
      <c r="N25" s="484"/>
      <c r="O25" s="484"/>
      <c r="P25" s="484"/>
      <c r="Q25" s="484"/>
      <c r="R25" s="484"/>
      <c r="S25" s="484"/>
      <c r="T25" s="484"/>
      <c r="U25" s="484"/>
      <c r="V25" s="484"/>
      <c r="W25" s="484"/>
      <c r="X25" s="484"/>
      <c r="Y25" s="484"/>
      <c r="Z25" s="484"/>
      <c r="AA25" s="484"/>
      <c r="AB25" s="484"/>
      <c r="AC25" s="484"/>
      <c r="AD25" s="484"/>
      <c r="AE25" s="484"/>
      <c r="AF25" s="484"/>
      <c r="AG25" s="484"/>
      <c r="AH25" s="484"/>
      <c r="AI25" s="484"/>
      <c r="AJ25" s="484"/>
      <c r="AK25" s="484"/>
      <c r="AL25" s="484"/>
      <c r="AM25" s="484"/>
      <c r="AN25" s="484"/>
      <c r="AO25" s="484"/>
      <c r="AP25" s="484"/>
      <c r="AQ25" s="484"/>
      <c r="AR25" s="484"/>
      <c r="AS25" s="484"/>
      <c r="AT25" s="484"/>
      <c r="AU25" s="484"/>
      <c r="AV25" s="484"/>
      <c r="AW25" s="484"/>
      <c r="AX25" s="484"/>
      <c r="AY25" s="484"/>
      <c r="AZ25" s="484"/>
      <c r="BA25" s="484"/>
      <c r="BB25" s="484"/>
      <c r="BC25" s="484"/>
      <c r="BD25" s="484"/>
      <c r="BE25" s="484"/>
      <c r="BF25" s="484"/>
      <c r="BG25" s="484"/>
      <c r="BH25" s="484"/>
      <c r="BI25" s="484"/>
      <c r="BJ25" s="484"/>
      <c r="BK25" s="484"/>
      <c r="BL25" s="484"/>
      <c r="BM25" s="484"/>
      <c r="BN25" s="484"/>
      <c r="BO25" s="484"/>
      <c r="BP25" s="484"/>
      <c r="BQ25" s="484"/>
      <c r="BR25" s="484"/>
      <c r="BS25" s="484"/>
      <c r="BT25" s="484"/>
      <c r="BU25" s="484"/>
      <c r="BV25" s="484"/>
      <c r="BW25" s="484"/>
      <c r="BX25" s="484"/>
      <c r="BY25" s="484"/>
    </row>
    <row r="26" spans="1:77" ht="15" x14ac:dyDescent="0.2">
      <c r="A26" s="7259" t="s">
        <v>163</v>
      </c>
      <c r="B26" s="1363" t="s">
        <v>6</v>
      </c>
      <c r="C26" s="474">
        <v>129</v>
      </c>
      <c r="D26" s="474">
        <v>3</v>
      </c>
      <c r="E26" s="474">
        <v>154</v>
      </c>
      <c r="F26" s="474">
        <v>110</v>
      </c>
      <c r="G26" s="489">
        <v>396</v>
      </c>
      <c r="H26" s="478">
        <v>127</v>
      </c>
      <c r="I26" s="476">
        <v>3</v>
      </c>
      <c r="J26" s="476">
        <v>147</v>
      </c>
      <c r="K26" s="476">
        <v>117</v>
      </c>
      <c r="L26" s="477">
        <v>394</v>
      </c>
      <c r="M26" s="476">
        <v>99</v>
      </c>
      <c r="N26" s="476">
        <v>3</v>
      </c>
      <c r="O26" s="476">
        <v>153</v>
      </c>
      <c r="P26" s="476">
        <v>127</v>
      </c>
      <c r="Q26" s="486">
        <v>382</v>
      </c>
      <c r="R26" s="478">
        <v>98</v>
      </c>
      <c r="S26" s="476">
        <v>3</v>
      </c>
      <c r="T26" s="476">
        <v>153</v>
      </c>
      <c r="U26" s="476">
        <v>139</v>
      </c>
      <c r="V26" s="477">
        <v>393</v>
      </c>
      <c r="W26" s="476">
        <v>97</v>
      </c>
      <c r="X26" s="476">
        <v>2</v>
      </c>
      <c r="Y26" s="476">
        <v>143</v>
      </c>
      <c r="Z26" s="476">
        <v>134</v>
      </c>
      <c r="AA26" s="486">
        <v>376</v>
      </c>
      <c r="AB26" s="478">
        <v>88</v>
      </c>
      <c r="AC26" s="476">
        <v>2</v>
      </c>
      <c r="AD26" s="476">
        <v>139</v>
      </c>
      <c r="AE26" s="476">
        <v>160</v>
      </c>
      <c r="AF26" s="477">
        <v>389</v>
      </c>
      <c r="AG26" s="476">
        <v>80</v>
      </c>
      <c r="AH26" s="476">
        <v>3</v>
      </c>
      <c r="AI26" s="476">
        <v>133</v>
      </c>
      <c r="AJ26" s="476">
        <v>160</v>
      </c>
      <c r="AK26" s="477">
        <v>376</v>
      </c>
      <c r="AL26" s="476">
        <v>78</v>
      </c>
      <c r="AM26" s="476">
        <v>3</v>
      </c>
      <c r="AN26" s="476">
        <v>137</v>
      </c>
      <c r="AO26" s="476">
        <v>164</v>
      </c>
      <c r="AP26" s="477">
        <f>SUM(AL26:AO26)</f>
        <v>382</v>
      </c>
      <c r="AQ26" s="713">
        <v>77</v>
      </c>
      <c r="AR26" s="713">
        <v>3</v>
      </c>
      <c r="AS26" s="713">
        <v>132</v>
      </c>
      <c r="AT26" s="713">
        <v>181</v>
      </c>
      <c r="AU26" s="714">
        <f>SUM(AQ26:AT26)</f>
        <v>393</v>
      </c>
      <c r="AV26" s="713">
        <v>76</v>
      </c>
      <c r="AW26" s="713">
        <v>2</v>
      </c>
      <c r="AX26" s="713">
        <v>132</v>
      </c>
      <c r="AY26" s="713">
        <v>190</v>
      </c>
      <c r="AZ26" s="714">
        <f>SUM(AV26:AY26)</f>
        <v>400</v>
      </c>
      <c r="BA26" s="713">
        <v>69</v>
      </c>
      <c r="BB26" s="713">
        <v>4</v>
      </c>
      <c r="BC26" s="713">
        <v>128</v>
      </c>
      <c r="BD26" s="713">
        <v>204</v>
      </c>
      <c r="BE26" s="714">
        <f>SUM(BA26:BD26)</f>
        <v>405</v>
      </c>
      <c r="BF26" s="713">
        <v>69</v>
      </c>
      <c r="BG26" s="713">
        <v>4</v>
      </c>
      <c r="BH26" s="713">
        <v>129</v>
      </c>
      <c r="BI26" s="713">
        <v>206</v>
      </c>
      <c r="BJ26" s="714">
        <f>SUM(BF26:BI26)</f>
        <v>408</v>
      </c>
      <c r="BK26" s="713">
        <v>69</v>
      </c>
      <c r="BL26" s="713">
        <v>4</v>
      </c>
      <c r="BM26" s="713">
        <v>131</v>
      </c>
      <c r="BN26" s="713">
        <v>206</v>
      </c>
      <c r="BO26" s="714">
        <f>SUM(BK26:BN26)</f>
        <v>410</v>
      </c>
      <c r="BP26" s="713">
        <v>70</v>
      </c>
      <c r="BQ26" s="713">
        <v>4</v>
      </c>
      <c r="BR26" s="713">
        <v>131</v>
      </c>
      <c r="BS26" s="713">
        <v>207</v>
      </c>
      <c r="BT26" s="714">
        <f>SUM(BP26:BS26)</f>
        <v>412</v>
      </c>
      <c r="BU26" s="713">
        <v>70</v>
      </c>
      <c r="BV26" s="713">
        <v>4</v>
      </c>
      <c r="BW26" s="713">
        <v>132</v>
      </c>
      <c r="BX26" s="713">
        <v>211</v>
      </c>
      <c r="BY26" s="714">
        <f>SUM(BU26:BX26)</f>
        <v>417</v>
      </c>
    </row>
    <row r="27" spans="1:77" ht="15" x14ac:dyDescent="0.2">
      <c r="A27" s="7260"/>
      <c r="B27" s="1364" t="s">
        <v>11</v>
      </c>
      <c r="C27" s="479">
        <v>95</v>
      </c>
      <c r="D27" s="479">
        <v>8</v>
      </c>
      <c r="E27" s="479">
        <v>158</v>
      </c>
      <c r="F27" s="479">
        <v>98</v>
      </c>
      <c r="G27" s="490">
        <v>359</v>
      </c>
      <c r="H27" s="483">
        <v>94</v>
      </c>
      <c r="I27" s="481">
        <v>7</v>
      </c>
      <c r="J27" s="481">
        <v>150</v>
      </c>
      <c r="K27" s="481">
        <v>106</v>
      </c>
      <c r="L27" s="482">
        <v>357</v>
      </c>
      <c r="M27" s="481">
        <v>74</v>
      </c>
      <c r="N27" s="481">
        <v>8</v>
      </c>
      <c r="O27" s="481">
        <v>157</v>
      </c>
      <c r="P27" s="481">
        <v>113</v>
      </c>
      <c r="Q27" s="488">
        <v>352</v>
      </c>
      <c r="R27" s="483">
        <v>72</v>
      </c>
      <c r="S27" s="481">
        <v>12</v>
      </c>
      <c r="T27" s="481">
        <v>164</v>
      </c>
      <c r="U27" s="481">
        <v>127</v>
      </c>
      <c r="V27" s="482">
        <v>375</v>
      </c>
      <c r="W27" s="481">
        <v>68</v>
      </c>
      <c r="X27" s="481">
        <v>15</v>
      </c>
      <c r="Y27" s="481">
        <v>161</v>
      </c>
      <c r="Z27" s="481">
        <v>126</v>
      </c>
      <c r="AA27" s="488">
        <v>370</v>
      </c>
      <c r="AB27" s="483">
        <v>63</v>
      </c>
      <c r="AC27" s="481">
        <v>14</v>
      </c>
      <c r="AD27" s="481">
        <v>155</v>
      </c>
      <c r="AE27" s="481">
        <v>146</v>
      </c>
      <c r="AF27" s="482">
        <v>378</v>
      </c>
      <c r="AG27" s="481">
        <v>51</v>
      </c>
      <c r="AH27" s="481">
        <v>13</v>
      </c>
      <c r="AI27" s="481">
        <v>141</v>
      </c>
      <c r="AJ27" s="481">
        <v>150</v>
      </c>
      <c r="AK27" s="482">
        <v>355</v>
      </c>
      <c r="AL27" s="481">
        <v>51</v>
      </c>
      <c r="AM27" s="481">
        <v>13</v>
      </c>
      <c r="AN27" s="481">
        <v>141</v>
      </c>
      <c r="AO27" s="481">
        <v>152</v>
      </c>
      <c r="AP27" s="482">
        <f>SUM(AL27:AO27)</f>
        <v>357</v>
      </c>
      <c r="AQ27" s="716">
        <v>50</v>
      </c>
      <c r="AR27" s="716">
        <v>22</v>
      </c>
      <c r="AS27" s="716">
        <v>129</v>
      </c>
      <c r="AT27" s="716">
        <v>161</v>
      </c>
      <c r="AU27" s="717">
        <f>SUM(AQ27:AT27)</f>
        <v>362</v>
      </c>
      <c r="AV27" s="716">
        <v>49</v>
      </c>
      <c r="AW27" s="716">
        <v>11</v>
      </c>
      <c r="AX27" s="716">
        <v>135</v>
      </c>
      <c r="AY27" s="716">
        <v>173</v>
      </c>
      <c r="AZ27" s="717">
        <f>SUM(AV27:AY27)</f>
        <v>368</v>
      </c>
      <c r="BA27" s="716">
        <v>48</v>
      </c>
      <c r="BB27" s="716">
        <v>10</v>
      </c>
      <c r="BC27" s="716">
        <v>140</v>
      </c>
      <c r="BD27" s="716">
        <v>184</v>
      </c>
      <c r="BE27" s="717">
        <f>SUM(BA27:BD27)</f>
        <v>382</v>
      </c>
      <c r="BF27" s="716">
        <v>48</v>
      </c>
      <c r="BG27" s="716">
        <v>11</v>
      </c>
      <c r="BH27" s="716">
        <v>142</v>
      </c>
      <c r="BI27" s="716">
        <v>190</v>
      </c>
      <c r="BJ27" s="717">
        <f>SUM(BF27:BI27)</f>
        <v>391</v>
      </c>
      <c r="BK27" s="716">
        <v>48</v>
      </c>
      <c r="BL27" s="716">
        <v>11</v>
      </c>
      <c r="BM27" s="716">
        <v>145</v>
      </c>
      <c r="BN27" s="716">
        <v>192</v>
      </c>
      <c r="BO27" s="717">
        <f>SUM(BK27:BN27)</f>
        <v>396</v>
      </c>
      <c r="BP27" s="716">
        <v>48</v>
      </c>
      <c r="BQ27" s="716">
        <v>11</v>
      </c>
      <c r="BR27" s="716">
        <v>145</v>
      </c>
      <c r="BS27" s="716">
        <v>195</v>
      </c>
      <c r="BT27" s="717">
        <f>SUM(BP27:BS27)</f>
        <v>399</v>
      </c>
      <c r="BU27" s="716">
        <v>48</v>
      </c>
      <c r="BV27" s="716">
        <v>11</v>
      </c>
      <c r="BW27" s="716">
        <v>148</v>
      </c>
      <c r="BX27" s="716">
        <v>200</v>
      </c>
      <c r="BY27" s="717">
        <f>SUM(BU27:BX27)</f>
        <v>407</v>
      </c>
    </row>
    <row r="28" spans="1:77" ht="15" x14ac:dyDescent="0.2">
      <c r="A28" s="7260"/>
      <c r="B28" s="1364" t="s">
        <v>7</v>
      </c>
      <c r="C28" s="479">
        <v>92</v>
      </c>
      <c r="D28" s="479">
        <v>5</v>
      </c>
      <c r="E28" s="479">
        <v>62</v>
      </c>
      <c r="F28" s="479">
        <v>21</v>
      </c>
      <c r="G28" s="490">
        <v>180</v>
      </c>
      <c r="H28" s="483">
        <v>91</v>
      </c>
      <c r="I28" s="481">
        <v>4</v>
      </c>
      <c r="J28" s="481">
        <v>59</v>
      </c>
      <c r="K28" s="481">
        <v>23</v>
      </c>
      <c r="L28" s="482">
        <v>177</v>
      </c>
      <c r="M28" s="481">
        <v>71</v>
      </c>
      <c r="N28" s="481">
        <v>5</v>
      </c>
      <c r="O28" s="481">
        <v>62</v>
      </c>
      <c r="P28" s="481">
        <v>23</v>
      </c>
      <c r="Q28" s="488">
        <v>161</v>
      </c>
      <c r="R28" s="483">
        <v>69</v>
      </c>
      <c r="S28" s="481">
        <v>5</v>
      </c>
      <c r="T28" s="481">
        <v>63</v>
      </c>
      <c r="U28" s="481">
        <v>24</v>
      </c>
      <c r="V28" s="482">
        <v>161</v>
      </c>
      <c r="W28" s="481">
        <v>60</v>
      </c>
      <c r="X28" s="481">
        <v>2</v>
      </c>
      <c r="Y28" s="481">
        <v>63</v>
      </c>
      <c r="Z28" s="481">
        <v>25</v>
      </c>
      <c r="AA28" s="488">
        <v>150</v>
      </c>
      <c r="AB28" s="483">
        <v>60</v>
      </c>
      <c r="AC28" s="481">
        <v>2</v>
      </c>
      <c r="AD28" s="481">
        <v>63</v>
      </c>
      <c r="AE28" s="481">
        <v>29</v>
      </c>
      <c r="AF28" s="482">
        <v>154</v>
      </c>
      <c r="AG28" s="481">
        <v>60</v>
      </c>
      <c r="AH28" s="481">
        <v>2</v>
      </c>
      <c r="AI28" s="481">
        <v>59</v>
      </c>
      <c r="AJ28" s="481">
        <v>32</v>
      </c>
      <c r="AK28" s="482">
        <v>153</v>
      </c>
      <c r="AL28" s="481">
        <v>58</v>
      </c>
      <c r="AM28" s="481">
        <v>2</v>
      </c>
      <c r="AN28" s="481">
        <v>60</v>
      </c>
      <c r="AO28" s="481">
        <v>32</v>
      </c>
      <c r="AP28" s="482">
        <f>SUM(AL28:AO28)</f>
        <v>152</v>
      </c>
      <c r="AQ28" s="716">
        <v>57</v>
      </c>
      <c r="AR28" s="716">
        <v>2</v>
      </c>
      <c r="AS28" s="716">
        <v>64</v>
      </c>
      <c r="AT28" s="716">
        <v>33</v>
      </c>
      <c r="AU28" s="717">
        <f>SUM(AQ28:AT28)</f>
        <v>156</v>
      </c>
      <c r="AV28" s="716">
        <v>54</v>
      </c>
      <c r="AW28" s="716">
        <v>3</v>
      </c>
      <c r="AX28" s="716">
        <v>66</v>
      </c>
      <c r="AY28" s="716">
        <v>35</v>
      </c>
      <c r="AZ28" s="717">
        <f>SUM(AV28:AY28)</f>
        <v>158</v>
      </c>
      <c r="BA28" s="716">
        <v>49</v>
      </c>
      <c r="BB28" s="716">
        <v>3</v>
      </c>
      <c r="BC28" s="716">
        <v>69</v>
      </c>
      <c r="BD28" s="716">
        <v>39</v>
      </c>
      <c r="BE28" s="717">
        <f>SUM(BA28:BD28)</f>
        <v>160</v>
      </c>
      <c r="BF28" s="716">
        <v>49</v>
      </c>
      <c r="BG28" s="716">
        <v>3</v>
      </c>
      <c r="BH28" s="716">
        <v>71</v>
      </c>
      <c r="BI28" s="716">
        <v>39</v>
      </c>
      <c r="BJ28" s="717">
        <f>SUM(BF28:BI28)</f>
        <v>162</v>
      </c>
      <c r="BK28" s="716">
        <v>49</v>
      </c>
      <c r="BL28" s="716">
        <v>3</v>
      </c>
      <c r="BM28" s="716">
        <v>74</v>
      </c>
      <c r="BN28" s="716">
        <v>38</v>
      </c>
      <c r="BO28" s="717">
        <f>SUM(BK28:BN28)</f>
        <v>164</v>
      </c>
      <c r="BP28" s="716">
        <v>50</v>
      </c>
      <c r="BQ28" s="716">
        <v>3</v>
      </c>
      <c r="BR28" s="716">
        <v>75</v>
      </c>
      <c r="BS28" s="716">
        <v>39</v>
      </c>
      <c r="BT28" s="717">
        <f>SUM(BP28:BS28)</f>
        <v>167</v>
      </c>
      <c r="BU28" s="716">
        <v>50</v>
      </c>
      <c r="BV28" s="716">
        <v>3</v>
      </c>
      <c r="BW28" s="716">
        <v>79</v>
      </c>
      <c r="BX28" s="716">
        <v>41</v>
      </c>
      <c r="BY28" s="717">
        <f>SUM(BU28:BX28)</f>
        <v>173</v>
      </c>
    </row>
    <row r="29" spans="1:77" ht="15" x14ac:dyDescent="0.2">
      <c r="A29" s="7261"/>
      <c r="B29" s="2612" t="s">
        <v>160</v>
      </c>
      <c r="C29" s="2651">
        <v>316</v>
      </c>
      <c r="D29" s="2652">
        <v>16</v>
      </c>
      <c r="E29" s="2652">
        <v>374</v>
      </c>
      <c r="F29" s="2652">
        <v>229</v>
      </c>
      <c r="G29" s="2652">
        <v>935</v>
      </c>
      <c r="H29" s="2653">
        <v>312</v>
      </c>
      <c r="I29" s="2654">
        <v>14</v>
      </c>
      <c r="J29" s="2654">
        <v>356</v>
      </c>
      <c r="K29" s="2654">
        <v>246</v>
      </c>
      <c r="L29" s="2655">
        <v>928</v>
      </c>
      <c r="M29" s="2653">
        <v>244</v>
      </c>
      <c r="N29" s="2654">
        <v>16</v>
      </c>
      <c r="O29" s="2654">
        <v>372</v>
      </c>
      <c r="P29" s="2654">
        <v>263</v>
      </c>
      <c r="Q29" s="2655">
        <v>895</v>
      </c>
      <c r="R29" s="2653">
        <v>239</v>
      </c>
      <c r="S29" s="2654">
        <v>20</v>
      </c>
      <c r="T29" s="2654">
        <v>380</v>
      </c>
      <c r="U29" s="2654">
        <v>290</v>
      </c>
      <c r="V29" s="2655">
        <v>929</v>
      </c>
      <c r="W29" s="2653">
        <v>225</v>
      </c>
      <c r="X29" s="2654">
        <v>19</v>
      </c>
      <c r="Y29" s="2654">
        <v>367</v>
      </c>
      <c r="Z29" s="2654">
        <v>285</v>
      </c>
      <c r="AA29" s="2655">
        <v>896</v>
      </c>
      <c r="AB29" s="2653">
        <v>211</v>
      </c>
      <c r="AC29" s="2654">
        <v>18</v>
      </c>
      <c r="AD29" s="2654">
        <v>357</v>
      </c>
      <c r="AE29" s="2654">
        <v>335</v>
      </c>
      <c r="AF29" s="2655">
        <v>921</v>
      </c>
      <c r="AG29" s="2653">
        <v>191</v>
      </c>
      <c r="AH29" s="2654">
        <v>18</v>
      </c>
      <c r="AI29" s="2654">
        <v>333</v>
      </c>
      <c r="AJ29" s="2654">
        <v>342</v>
      </c>
      <c r="AK29" s="2655">
        <v>884</v>
      </c>
      <c r="AL29" s="2653">
        <f t="shared" ref="AL29:AU29" si="12">SUM(AL26:AL28)</f>
        <v>187</v>
      </c>
      <c r="AM29" s="2654">
        <f t="shared" si="12"/>
        <v>18</v>
      </c>
      <c r="AN29" s="2654">
        <f t="shared" si="12"/>
        <v>338</v>
      </c>
      <c r="AO29" s="2654">
        <f t="shared" si="12"/>
        <v>348</v>
      </c>
      <c r="AP29" s="2655">
        <f t="shared" si="12"/>
        <v>891</v>
      </c>
      <c r="AQ29" s="2656">
        <f t="shared" si="12"/>
        <v>184</v>
      </c>
      <c r="AR29" s="2657">
        <f t="shared" si="12"/>
        <v>27</v>
      </c>
      <c r="AS29" s="2657">
        <f t="shared" si="12"/>
        <v>325</v>
      </c>
      <c r="AT29" s="2657">
        <f t="shared" si="12"/>
        <v>375</v>
      </c>
      <c r="AU29" s="2658">
        <f t="shared" si="12"/>
        <v>911</v>
      </c>
      <c r="AV29" s="2656">
        <f t="shared" ref="AV29:BA29" si="13">SUM(AV26:AV28)</f>
        <v>179</v>
      </c>
      <c r="AW29" s="2657">
        <f t="shared" si="13"/>
        <v>16</v>
      </c>
      <c r="AX29" s="2657">
        <f t="shared" si="13"/>
        <v>333</v>
      </c>
      <c r="AY29" s="2657">
        <f t="shared" si="13"/>
        <v>398</v>
      </c>
      <c r="AZ29" s="2658">
        <f t="shared" si="13"/>
        <v>926</v>
      </c>
      <c r="BA29" s="2656">
        <f t="shared" si="13"/>
        <v>166</v>
      </c>
      <c r="BB29" s="2657">
        <f t="shared" ref="BB29:BJ29" si="14">SUM(BB26:BB28)</f>
        <v>17</v>
      </c>
      <c r="BC29" s="2657">
        <f t="shared" si="14"/>
        <v>337</v>
      </c>
      <c r="BD29" s="2657">
        <f t="shared" si="14"/>
        <v>427</v>
      </c>
      <c r="BE29" s="2658">
        <f t="shared" si="14"/>
        <v>947</v>
      </c>
      <c r="BF29" s="2656">
        <f t="shared" si="14"/>
        <v>166</v>
      </c>
      <c r="BG29" s="2657">
        <f t="shared" si="14"/>
        <v>18</v>
      </c>
      <c r="BH29" s="2657">
        <f t="shared" si="14"/>
        <v>342</v>
      </c>
      <c r="BI29" s="2657">
        <f t="shared" si="14"/>
        <v>435</v>
      </c>
      <c r="BJ29" s="2658">
        <f t="shared" si="14"/>
        <v>961</v>
      </c>
      <c r="BK29" s="2656">
        <f t="shared" ref="BK29:BT29" si="15">SUM(BK26:BK28)</f>
        <v>166</v>
      </c>
      <c r="BL29" s="2657">
        <f t="shared" si="15"/>
        <v>18</v>
      </c>
      <c r="BM29" s="2657">
        <f t="shared" si="15"/>
        <v>350</v>
      </c>
      <c r="BN29" s="2657">
        <f t="shared" si="15"/>
        <v>436</v>
      </c>
      <c r="BO29" s="2658">
        <f t="shared" si="15"/>
        <v>970</v>
      </c>
      <c r="BP29" s="2656">
        <f t="shared" si="15"/>
        <v>168</v>
      </c>
      <c r="BQ29" s="2657">
        <f t="shared" si="15"/>
        <v>18</v>
      </c>
      <c r="BR29" s="2657">
        <f t="shared" si="15"/>
        <v>351</v>
      </c>
      <c r="BS29" s="2657">
        <f t="shared" si="15"/>
        <v>441</v>
      </c>
      <c r="BT29" s="2658">
        <f t="shared" si="15"/>
        <v>978</v>
      </c>
      <c r="BU29" s="2656">
        <f t="shared" ref="BU29:BY29" si="16">SUM(BU26:BU28)</f>
        <v>168</v>
      </c>
      <c r="BV29" s="2657">
        <f t="shared" si="16"/>
        <v>18</v>
      </c>
      <c r="BW29" s="2657">
        <f t="shared" si="16"/>
        <v>359</v>
      </c>
      <c r="BX29" s="2657">
        <f t="shared" si="16"/>
        <v>452</v>
      </c>
      <c r="BY29" s="2658">
        <f t="shared" si="16"/>
        <v>997</v>
      </c>
    </row>
    <row r="30" spans="1:77" ht="15" x14ac:dyDescent="0.2">
      <c r="A30" s="473"/>
      <c r="B30" s="473"/>
      <c r="C30" s="473"/>
      <c r="D30" s="473"/>
      <c r="E30" s="473"/>
      <c r="F30" s="473"/>
      <c r="G30" s="473"/>
      <c r="H30" s="473"/>
      <c r="I30" s="473"/>
      <c r="J30" s="473"/>
      <c r="K30" s="473"/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73"/>
      <c r="AA30" s="473"/>
      <c r="AB30" s="473"/>
      <c r="AC30" s="473"/>
      <c r="AD30" s="473"/>
      <c r="AE30" s="473"/>
      <c r="AF30" s="473"/>
      <c r="AG30" s="473"/>
      <c r="AH30" s="473"/>
      <c r="AI30" s="473"/>
      <c r="AJ30" s="473"/>
      <c r="AK30" s="473"/>
      <c r="AL30" s="473"/>
      <c r="AM30" s="473"/>
      <c r="AN30" s="473"/>
      <c r="AO30" s="473"/>
      <c r="AP30" s="473"/>
      <c r="AQ30" s="473"/>
      <c r="AR30" s="473"/>
      <c r="AS30" s="473"/>
      <c r="AT30" s="473"/>
      <c r="AU30" s="473"/>
      <c r="AV30" s="473"/>
      <c r="AW30" s="473"/>
      <c r="AX30" s="473"/>
      <c r="AY30" s="473"/>
      <c r="AZ30" s="473"/>
      <c r="BA30" s="473"/>
      <c r="BB30" s="473"/>
      <c r="BC30" s="473"/>
      <c r="BD30" s="473"/>
      <c r="BE30" s="473"/>
      <c r="BF30" s="473"/>
      <c r="BG30" s="473"/>
      <c r="BH30" s="473"/>
      <c r="BI30" s="473"/>
      <c r="BJ30" s="473"/>
      <c r="BK30" s="473"/>
      <c r="BL30" s="473"/>
      <c r="BM30" s="473"/>
      <c r="BN30" s="473"/>
      <c r="BO30" s="473"/>
      <c r="BP30" s="473"/>
      <c r="BQ30" s="473"/>
      <c r="BR30" s="473"/>
      <c r="BS30" s="473"/>
      <c r="BT30" s="473"/>
      <c r="BU30" s="473"/>
      <c r="BV30" s="473"/>
      <c r="BW30" s="473"/>
      <c r="BX30" s="473"/>
      <c r="BY30" s="473"/>
    </row>
    <row r="31" spans="1:77" ht="15" x14ac:dyDescent="0.2">
      <c r="A31" s="7254" t="s">
        <v>573</v>
      </c>
      <c r="B31" s="7255"/>
      <c r="C31" s="690">
        <v>765</v>
      </c>
      <c r="D31" s="690">
        <v>48</v>
      </c>
      <c r="E31" s="690">
        <v>931</v>
      </c>
      <c r="F31" s="690">
        <v>875</v>
      </c>
      <c r="G31" s="690">
        <v>2619</v>
      </c>
      <c r="H31" s="691">
        <v>756</v>
      </c>
      <c r="I31" s="692">
        <v>44</v>
      </c>
      <c r="J31" s="692">
        <v>889</v>
      </c>
      <c r="K31" s="692">
        <v>938</v>
      </c>
      <c r="L31" s="693">
        <v>2627</v>
      </c>
      <c r="M31" s="691">
        <v>593</v>
      </c>
      <c r="N31" s="692">
        <v>50</v>
      </c>
      <c r="O31" s="692">
        <v>929</v>
      </c>
      <c r="P31" s="692">
        <v>1033</v>
      </c>
      <c r="Q31" s="693">
        <v>2605</v>
      </c>
      <c r="R31" s="691">
        <v>574</v>
      </c>
      <c r="S31" s="692">
        <v>50</v>
      </c>
      <c r="T31" s="692">
        <v>941</v>
      </c>
      <c r="U31" s="692">
        <v>1110</v>
      </c>
      <c r="V31" s="693">
        <v>2675</v>
      </c>
      <c r="W31" s="691">
        <v>520</v>
      </c>
      <c r="X31" s="692">
        <v>46</v>
      </c>
      <c r="Y31" s="692">
        <v>921</v>
      </c>
      <c r="Z31" s="692">
        <v>1162</v>
      </c>
      <c r="AA31" s="693">
        <v>2649</v>
      </c>
      <c r="AB31" s="691">
        <v>493</v>
      </c>
      <c r="AC31" s="692">
        <v>44</v>
      </c>
      <c r="AD31" s="692">
        <v>908</v>
      </c>
      <c r="AE31" s="692">
        <v>1251</v>
      </c>
      <c r="AF31" s="693">
        <v>2696</v>
      </c>
      <c r="AG31" s="691">
        <v>462</v>
      </c>
      <c r="AH31" s="692">
        <v>45</v>
      </c>
      <c r="AI31" s="692">
        <v>881</v>
      </c>
      <c r="AJ31" s="692">
        <v>1310</v>
      </c>
      <c r="AK31" s="693">
        <v>2698</v>
      </c>
      <c r="AL31" s="691">
        <f t="shared" ref="AL31:AZ31" si="17">SUM(AL9,AL14,AL19,AL29)</f>
        <v>457</v>
      </c>
      <c r="AM31" s="692">
        <f t="shared" si="17"/>
        <v>45</v>
      </c>
      <c r="AN31" s="692">
        <f t="shared" si="17"/>
        <v>891</v>
      </c>
      <c r="AO31" s="692">
        <f t="shared" si="17"/>
        <v>1371</v>
      </c>
      <c r="AP31" s="693">
        <f t="shared" si="17"/>
        <v>2764</v>
      </c>
      <c r="AQ31" s="718">
        <f t="shared" si="17"/>
        <v>449</v>
      </c>
      <c r="AR31" s="719">
        <f t="shared" si="17"/>
        <v>50</v>
      </c>
      <c r="AS31" s="719">
        <f t="shared" si="17"/>
        <v>865</v>
      </c>
      <c r="AT31" s="719">
        <f t="shared" si="17"/>
        <v>1467</v>
      </c>
      <c r="AU31" s="720">
        <f t="shared" si="17"/>
        <v>2831</v>
      </c>
      <c r="AV31" s="718">
        <f t="shared" si="17"/>
        <v>422</v>
      </c>
      <c r="AW31" s="719">
        <f t="shared" si="17"/>
        <v>41</v>
      </c>
      <c r="AX31" s="719">
        <f t="shared" si="17"/>
        <v>880</v>
      </c>
      <c r="AY31" s="719">
        <f t="shared" si="17"/>
        <v>1562</v>
      </c>
      <c r="AZ31" s="720">
        <f t="shared" si="17"/>
        <v>2905</v>
      </c>
      <c r="BA31" s="718">
        <f t="shared" ref="BA31:BJ31" si="18">SUM(BA9,BA14,BA19,BA24,BA29)</f>
        <v>396</v>
      </c>
      <c r="BB31" s="719">
        <f t="shared" si="18"/>
        <v>38</v>
      </c>
      <c r="BC31" s="719">
        <f t="shared" si="18"/>
        <v>895</v>
      </c>
      <c r="BD31" s="719">
        <f t="shared" si="18"/>
        <v>1682</v>
      </c>
      <c r="BE31" s="720">
        <f t="shared" si="18"/>
        <v>3011</v>
      </c>
      <c r="BF31" s="718">
        <f t="shared" si="18"/>
        <v>397</v>
      </c>
      <c r="BG31" s="719">
        <f t="shared" si="18"/>
        <v>39</v>
      </c>
      <c r="BH31" s="719">
        <f t="shared" si="18"/>
        <v>911</v>
      </c>
      <c r="BI31" s="719">
        <f t="shared" si="18"/>
        <v>1728</v>
      </c>
      <c r="BJ31" s="720">
        <f t="shared" si="18"/>
        <v>3075</v>
      </c>
      <c r="BK31" s="718">
        <f t="shared" ref="BK31:BT31" si="19">SUM(BK9,BK14,BK19,BK24,BK29)</f>
        <v>394</v>
      </c>
      <c r="BL31" s="719">
        <f t="shared" si="19"/>
        <v>39</v>
      </c>
      <c r="BM31" s="719">
        <f t="shared" si="19"/>
        <v>938</v>
      </c>
      <c r="BN31" s="719">
        <f t="shared" si="19"/>
        <v>1767</v>
      </c>
      <c r="BO31" s="720">
        <f t="shared" si="19"/>
        <v>3138</v>
      </c>
      <c r="BP31" s="718">
        <f t="shared" si="19"/>
        <v>385</v>
      </c>
      <c r="BQ31" s="719">
        <f t="shared" si="19"/>
        <v>38</v>
      </c>
      <c r="BR31" s="719">
        <f t="shared" si="19"/>
        <v>930</v>
      </c>
      <c r="BS31" s="719">
        <f t="shared" si="19"/>
        <v>1810</v>
      </c>
      <c r="BT31" s="720">
        <f t="shared" si="19"/>
        <v>3163</v>
      </c>
      <c r="BU31" s="718">
        <f t="shared" ref="BU31:BY31" si="20">SUM(BU9,BU14,BU19,BU24,BU29)</f>
        <v>386</v>
      </c>
      <c r="BV31" s="719">
        <f t="shared" si="20"/>
        <v>38</v>
      </c>
      <c r="BW31" s="719">
        <f t="shared" si="20"/>
        <v>949</v>
      </c>
      <c r="BX31" s="719">
        <f t="shared" si="20"/>
        <v>1869</v>
      </c>
      <c r="BY31" s="720">
        <f t="shared" si="20"/>
        <v>3242</v>
      </c>
    </row>
    <row r="33" spans="1:47" x14ac:dyDescent="0.2">
      <c r="A33" s="7239" t="s">
        <v>1636</v>
      </c>
      <c r="B33" s="7239"/>
      <c r="C33" s="7239"/>
      <c r="R33" s="445"/>
      <c r="S33" s="445"/>
      <c r="T33" s="445"/>
      <c r="U33" s="444"/>
      <c r="W33" s="445"/>
      <c r="X33" s="445"/>
      <c r="Y33" s="445"/>
      <c r="Z33" s="444"/>
      <c r="AB33" s="445"/>
      <c r="AC33" s="445"/>
      <c r="AD33" s="445"/>
      <c r="AE33" s="444"/>
      <c r="AG33" s="445"/>
      <c r="AH33" s="445"/>
      <c r="AI33" s="445"/>
      <c r="AJ33" s="444"/>
      <c r="AL33" s="445"/>
      <c r="AM33" s="445"/>
      <c r="AN33" s="445"/>
      <c r="AO33" s="444"/>
      <c r="AQ33" s="445"/>
      <c r="AR33" s="445"/>
      <c r="AS33" s="445"/>
      <c r="AT33" s="444"/>
      <c r="AU33" s="721"/>
    </row>
    <row r="34" spans="1:47" ht="15" x14ac:dyDescent="0.25">
      <c r="A34" s="87"/>
      <c r="B34" s="192"/>
      <c r="C34" s="192" t="s">
        <v>644</v>
      </c>
      <c r="AU34" s="144"/>
    </row>
    <row r="35" spans="1:47" ht="15" x14ac:dyDescent="0.25">
      <c r="A35" s="87"/>
      <c r="B35" s="192"/>
      <c r="C35" s="192" t="s">
        <v>645</v>
      </c>
      <c r="R35" s="443"/>
      <c r="S35" s="443"/>
      <c r="T35" s="443"/>
      <c r="U35" s="443"/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  <c r="AQ35" s="443"/>
      <c r="AR35" s="443"/>
      <c r="AS35" s="443"/>
      <c r="AT35" s="443"/>
      <c r="AU35" s="711"/>
    </row>
    <row r="36" spans="1:47" ht="15" x14ac:dyDescent="0.25">
      <c r="A36" s="87"/>
      <c r="B36" s="192"/>
      <c r="C36" s="192" t="s">
        <v>646</v>
      </c>
      <c r="AN36" s="748"/>
      <c r="AS36" s="443"/>
    </row>
    <row r="37" spans="1:47" ht="15" x14ac:dyDescent="0.25">
      <c r="C37" s="192" t="s">
        <v>647</v>
      </c>
    </row>
    <row r="39" spans="1:47" x14ac:dyDescent="0.2">
      <c r="AG39" s="3901">
        <v>2003</v>
      </c>
    </row>
    <row r="40" spans="1:47" x14ac:dyDescent="0.2">
      <c r="AG40" s="3901">
        <v>2004</v>
      </c>
    </row>
    <row r="41" spans="1:47" x14ac:dyDescent="0.2">
      <c r="AG41" s="3901">
        <v>2005</v>
      </c>
    </row>
    <row r="42" spans="1:47" x14ac:dyDescent="0.2">
      <c r="AG42" s="3901">
        <v>2006</v>
      </c>
    </row>
    <row r="43" spans="1:47" x14ac:dyDescent="0.2">
      <c r="AG43" s="3901">
        <v>2007</v>
      </c>
    </row>
    <row r="44" spans="1:47" x14ac:dyDescent="0.2">
      <c r="AG44" s="3901">
        <v>2008</v>
      </c>
    </row>
    <row r="45" spans="1:47" x14ac:dyDescent="0.2">
      <c r="AG45" s="3901">
        <v>2009</v>
      </c>
    </row>
    <row r="46" spans="1:47" x14ac:dyDescent="0.2">
      <c r="AG46" s="3901">
        <v>2010</v>
      </c>
    </row>
    <row r="47" spans="1:47" x14ac:dyDescent="0.2">
      <c r="AG47" s="3901">
        <v>2011</v>
      </c>
    </row>
    <row r="48" spans="1:47" x14ac:dyDescent="0.2">
      <c r="AG48" s="3901">
        <v>2012</v>
      </c>
    </row>
    <row r="49" spans="33:33" x14ac:dyDescent="0.2">
      <c r="AG49" s="3901">
        <v>2013</v>
      </c>
    </row>
    <row r="50" spans="33:33" x14ac:dyDescent="0.2">
      <c r="AG50" s="3901">
        <v>2014</v>
      </c>
    </row>
    <row r="51" spans="33:33" x14ac:dyDescent="0.2">
      <c r="AG51" s="3901">
        <v>2015</v>
      </c>
    </row>
    <row r="52" spans="33:33" x14ac:dyDescent="0.2">
      <c r="AG52" s="3901">
        <v>2016</v>
      </c>
    </row>
    <row r="53" spans="33:33" x14ac:dyDescent="0.2">
      <c r="AG53" s="3901">
        <v>2017</v>
      </c>
    </row>
    <row r="67" hidden="1" x14ac:dyDescent="0.2"/>
    <row r="68" hidden="1" x14ac:dyDescent="0.2"/>
    <row r="69" hidden="1" x14ac:dyDescent="0.2"/>
    <row r="70" hidden="1" x14ac:dyDescent="0.2"/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</sheetData>
  <mergeCells count="19">
    <mergeCell ref="A1:B1"/>
    <mergeCell ref="BF3:BJ3"/>
    <mergeCell ref="BA3:BE3"/>
    <mergeCell ref="AV3:AZ3"/>
    <mergeCell ref="AQ3:AU3"/>
    <mergeCell ref="BU3:BY3"/>
    <mergeCell ref="A33:C33"/>
    <mergeCell ref="AL3:AP3"/>
    <mergeCell ref="C3:G3"/>
    <mergeCell ref="A3:A4"/>
    <mergeCell ref="B3:B4"/>
    <mergeCell ref="A6:A9"/>
    <mergeCell ref="A11:A14"/>
    <mergeCell ref="A31:B31"/>
    <mergeCell ref="A16:A19"/>
    <mergeCell ref="A26:A29"/>
    <mergeCell ref="A21:A24"/>
    <mergeCell ref="BP3:BT3"/>
    <mergeCell ref="BK3:BO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51" pageOrder="overThenDown" orientation="landscape" r:id="rId1"/>
  <rowBreaks count="1" manualBreakCount="1">
    <brk id="37" max="16383" man="1"/>
  </rowBreaks>
  <colBreaks count="2" manualBreakCount="2">
    <brk id="32" max="1048575" man="1"/>
    <brk id="62" max="1048575" man="1"/>
  </colBreaks>
  <ignoredErrors>
    <ignoredError sqref="AP6:AP8 AP26:AP28 AP11:AP13" formulaRange="1"/>
    <ignoredError sqref="AP16:AP18" formula="1" formulaRange="1"/>
    <ignoredError sqref="AP15 AP19 AP9 AU9:AZ9 AU15:AZ19 AU11:AZ14" formula="1"/>
  </ignoredErrors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Y75"/>
  <sheetViews>
    <sheetView showGridLines="0" zoomScaleNormal="100" zoomScaleSheetLayoutView="70" workbookViewId="0">
      <pane xSplit="2" ySplit="5" topLeftCell="BB6" activePane="bottomRight" state="frozen"/>
      <selection activeCell="BZ10" sqref="BZ10"/>
      <selection pane="topRight" activeCell="BZ10" sqref="BZ10"/>
      <selection pane="bottomLeft" activeCell="BZ10" sqref="BZ10"/>
      <selection pane="bottomRight" activeCell="BZ10" sqref="BZ10"/>
    </sheetView>
  </sheetViews>
  <sheetFormatPr baseColWidth="10" defaultRowHeight="12.75" x14ac:dyDescent="0.2"/>
  <cols>
    <col min="1" max="1" width="15.28515625" style="916" customWidth="1"/>
    <col min="2" max="2" width="11.42578125" style="916"/>
    <col min="3" max="3" width="9.42578125" style="916" customWidth="1"/>
    <col min="4" max="4" width="9.7109375" style="916" customWidth="1"/>
    <col min="5" max="7" width="8.7109375" style="916" customWidth="1"/>
    <col min="8" max="8" width="9.42578125" style="916" bestFit="1" customWidth="1"/>
    <col min="9" max="9" width="9.7109375" style="916" customWidth="1"/>
    <col min="10" max="12" width="8.7109375" style="916" customWidth="1"/>
    <col min="13" max="13" width="9.42578125" style="916" bestFit="1" customWidth="1"/>
    <col min="14" max="14" width="9.7109375" style="916" customWidth="1"/>
    <col min="15" max="17" width="8.7109375" style="916" customWidth="1"/>
    <col min="18" max="18" width="9.42578125" style="916" bestFit="1" customWidth="1"/>
    <col min="19" max="19" width="9.7109375" style="916" customWidth="1"/>
    <col min="20" max="22" width="8.7109375" style="916" customWidth="1"/>
    <col min="23" max="23" width="9.42578125" style="916" bestFit="1" customWidth="1"/>
    <col min="24" max="24" width="9.7109375" style="916" customWidth="1"/>
    <col min="25" max="27" width="8.7109375" style="916" customWidth="1"/>
    <col min="28" max="28" width="9.42578125" style="916" bestFit="1" customWidth="1"/>
    <col min="29" max="29" width="9.7109375" style="916" customWidth="1"/>
    <col min="30" max="32" width="8.7109375" style="916" customWidth="1"/>
    <col min="33" max="33" width="9.42578125" style="916" bestFit="1" customWidth="1"/>
    <col min="34" max="34" width="9.7109375" style="916" customWidth="1"/>
    <col min="35" max="37" width="8.7109375" style="916" customWidth="1"/>
    <col min="38" max="38" width="9.42578125" style="916" bestFit="1" customWidth="1"/>
    <col min="39" max="39" width="9.7109375" style="916" customWidth="1"/>
    <col min="40" max="42" width="8.7109375" style="916" customWidth="1"/>
    <col min="43" max="43" width="9.42578125" style="916" bestFit="1" customWidth="1"/>
    <col min="44" max="44" width="9.7109375" style="916" customWidth="1"/>
    <col min="45" max="47" width="8.7109375" style="916" customWidth="1"/>
    <col min="48" max="48" width="9.42578125" style="916" bestFit="1" customWidth="1"/>
    <col min="49" max="49" width="9.7109375" style="916" customWidth="1"/>
    <col min="50" max="52" width="8.7109375" style="916" customWidth="1"/>
    <col min="53" max="53" width="9.42578125" style="916" bestFit="1" customWidth="1"/>
    <col min="54" max="54" width="9.7109375" style="916" customWidth="1"/>
    <col min="55" max="57" width="8.7109375" style="916" customWidth="1"/>
    <col min="58" max="58" width="9.42578125" style="916" bestFit="1" customWidth="1"/>
    <col min="59" max="59" width="9.7109375" style="916" customWidth="1"/>
    <col min="60" max="62" width="8.7109375" style="916" customWidth="1"/>
    <col min="63" max="63" width="9.42578125" style="916" bestFit="1" customWidth="1"/>
    <col min="64" max="64" width="9.7109375" style="916" customWidth="1"/>
    <col min="65" max="67" width="8.7109375" style="916" customWidth="1"/>
    <col min="68" max="68" width="9.42578125" style="916" bestFit="1" customWidth="1"/>
    <col min="69" max="69" width="9.7109375" style="916" customWidth="1"/>
    <col min="70" max="72" width="8.7109375" style="916" customWidth="1"/>
    <col min="73" max="73" width="9.42578125" style="916" bestFit="1" customWidth="1"/>
    <col min="74" max="74" width="11.42578125" style="916"/>
    <col min="75" max="77" width="8.7109375" style="916" customWidth="1"/>
    <col min="78" max="16384" width="11.42578125" style="916"/>
  </cols>
  <sheetData>
    <row r="1" spans="1:77" ht="74.25" customHeight="1" x14ac:dyDescent="0.2">
      <c r="A1" s="7285" t="s">
        <v>1500</v>
      </c>
      <c r="B1" s="7285"/>
      <c r="C1" s="1343"/>
      <c r="D1" s="1343"/>
      <c r="E1" s="1343"/>
      <c r="F1" s="1343"/>
      <c r="G1" s="1343"/>
      <c r="H1" s="1343"/>
      <c r="I1" s="1343"/>
      <c r="J1" s="1343"/>
      <c r="K1" s="1343"/>
      <c r="L1" s="1343"/>
      <c r="M1" s="1343"/>
      <c r="N1" s="1343"/>
      <c r="O1" s="1343"/>
      <c r="P1" s="1343"/>
      <c r="Q1" s="1343"/>
      <c r="R1" s="1343"/>
      <c r="S1" s="1343"/>
      <c r="T1" s="1343"/>
      <c r="U1" s="1343"/>
      <c r="V1" s="1343"/>
      <c r="W1" s="1343"/>
      <c r="X1" s="1343"/>
      <c r="Y1" s="1343"/>
      <c r="Z1" s="1343"/>
      <c r="AA1" s="1343"/>
      <c r="AB1" s="1343"/>
      <c r="AC1" s="1343"/>
      <c r="AD1" s="1343"/>
      <c r="AE1" s="1343"/>
      <c r="AF1" s="1343"/>
      <c r="AG1" s="1343"/>
    </row>
    <row r="3" spans="1:77" ht="15" x14ac:dyDescent="0.2">
      <c r="A3" s="7291" t="s">
        <v>16</v>
      </c>
      <c r="B3" s="7291" t="s">
        <v>4</v>
      </c>
      <c r="C3" s="7292">
        <v>2003</v>
      </c>
      <c r="D3" s="7293"/>
      <c r="E3" s="7293"/>
      <c r="F3" s="7293"/>
      <c r="G3" s="7294"/>
      <c r="H3" s="1344">
        <v>2004</v>
      </c>
      <c r="I3" s="1345"/>
      <c r="J3" s="1345"/>
      <c r="K3" s="1345"/>
      <c r="L3" s="1346"/>
      <c r="M3" s="1345">
        <v>2005</v>
      </c>
      <c r="N3" s="1345"/>
      <c r="O3" s="1345"/>
      <c r="P3" s="1345"/>
      <c r="Q3" s="1346"/>
      <c r="R3" s="1345">
        <v>2006</v>
      </c>
      <c r="S3" s="1345"/>
      <c r="T3" s="1345"/>
      <c r="U3" s="1345"/>
      <c r="V3" s="1346"/>
      <c r="W3" s="1345">
        <v>2007</v>
      </c>
      <c r="X3" s="1345"/>
      <c r="Y3" s="1345"/>
      <c r="Z3" s="1345"/>
      <c r="AA3" s="1346"/>
      <c r="AB3" s="1345">
        <v>2008</v>
      </c>
      <c r="AC3" s="1345"/>
      <c r="AD3" s="1345"/>
      <c r="AE3" s="1345"/>
      <c r="AF3" s="1346"/>
      <c r="AG3" s="1345">
        <v>2009</v>
      </c>
      <c r="AH3" s="1345"/>
      <c r="AI3" s="1345"/>
      <c r="AJ3" s="1345"/>
      <c r="AK3" s="1346"/>
      <c r="AL3" s="7236">
        <v>2010</v>
      </c>
      <c r="AM3" s="7295"/>
      <c r="AN3" s="7295"/>
      <c r="AO3" s="7295"/>
      <c r="AP3" s="7294"/>
      <c r="AQ3" s="7236">
        <v>2011</v>
      </c>
      <c r="AR3" s="7266"/>
      <c r="AS3" s="7266"/>
      <c r="AT3" s="7266"/>
      <c r="AU3" s="7267"/>
      <c r="AV3" s="7236">
        <v>2012</v>
      </c>
      <c r="AW3" s="7266"/>
      <c r="AX3" s="7266"/>
      <c r="AY3" s="7266"/>
      <c r="AZ3" s="7267"/>
      <c r="BA3" s="7236">
        <v>2013</v>
      </c>
      <c r="BB3" s="7266"/>
      <c r="BC3" s="7266"/>
      <c r="BD3" s="7266"/>
      <c r="BE3" s="7267"/>
      <c r="BF3" s="7236">
        <v>2014</v>
      </c>
      <c r="BG3" s="7266"/>
      <c r="BH3" s="7266"/>
      <c r="BI3" s="7266"/>
      <c r="BJ3" s="7267"/>
      <c r="BK3" s="7236">
        <v>2015</v>
      </c>
      <c r="BL3" s="7266"/>
      <c r="BM3" s="7266"/>
      <c r="BN3" s="7266"/>
      <c r="BO3" s="7267"/>
      <c r="BP3" s="7236">
        <v>2016</v>
      </c>
      <c r="BQ3" s="7266"/>
      <c r="BR3" s="7266"/>
      <c r="BS3" s="7266"/>
      <c r="BT3" s="7267"/>
      <c r="BU3" s="7236">
        <v>2017</v>
      </c>
      <c r="BV3" s="7266"/>
      <c r="BW3" s="7266"/>
      <c r="BX3" s="7266"/>
      <c r="BY3" s="7267"/>
    </row>
    <row r="4" spans="1:77" ht="15" x14ac:dyDescent="0.2">
      <c r="A4" s="7207"/>
      <c r="B4" s="7186"/>
      <c r="C4" s="2613" t="s">
        <v>681</v>
      </c>
      <c r="D4" s="2614" t="s">
        <v>801</v>
      </c>
      <c r="E4" s="2614" t="s">
        <v>616</v>
      </c>
      <c r="F4" s="2615" t="s">
        <v>617</v>
      </c>
      <c r="G4" s="1008" t="s">
        <v>12</v>
      </c>
      <c r="H4" s="2613" t="s">
        <v>681</v>
      </c>
      <c r="I4" s="2614" t="s">
        <v>801</v>
      </c>
      <c r="J4" s="2614" t="s">
        <v>616</v>
      </c>
      <c r="K4" s="2615" t="s">
        <v>617</v>
      </c>
      <c r="L4" s="1010" t="s">
        <v>12</v>
      </c>
      <c r="M4" s="2613" t="s">
        <v>681</v>
      </c>
      <c r="N4" s="2614" t="s">
        <v>801</v>
      </c>
      <c r="O4" s="2614" t="s">
        <v>616</v>
      </c>
      <c r="P4" s="2615" t="s">
        <v>617</v>
      </c>
      <c r="Q4" s="1010" t="s">
        <v>12</v>
      </c>
      <c r="R4" s="2613" t="s">
        <v>681</v>
      </c>
      <c r="S4" s="2614" t="s">
        <v>801</v>
      </c>
      <c r="T4" s="2614" t="s">
        <v>616</v>
      </c>
      <c r="U4" s="2615" t="s">
        <v>617</v>
      </c>
      <c r="V4" s="1010" t="s">
        <v>12</v>
      </c>
      <c r="W4" s="2613" t="s">
        <v>681</v>
      </c>
      <c r="X4" s="2614" t="s">
        <v>801</v>
      </c>
      <c r="Y4" s="2614" t="s">
        <v>616</v>
      </c>
      <c r="Z4" s="2615" t="s">
        <v>617</v>
      </c>
      <c r="AA4" s="1010" t="s">
        <v>12</v>
      </c>
      <c r="AB4" s="2613" t="s">
        <v>681</v>
      </c>
      <c r="AC4" s="2614" t="s">
        <v>801</v>
      </c>
      <c r="AD4" s="2614" t="s">
        <v>616</v>
      </c>
      <c r="AE4" s="2615" t="s">
        <v>617</v>
      </c>
      <c r="AF4" s="1010" t="s">
        <v>12</v>
      </c>
      <c r="AG4" s="2613" t="s">
        <v>681</v>
      </c>
      <c r="AH4" s="2614" t="s">
        <v>801</v>
      </c>
      <c r="AI4" s="2614" t="s">
        <v>616</v>
      </c>
      <c r="AJ4" s="2615" t="s">
        <v>617</v>
      </c>
      <c r="AK4" s="1010" t="s">
        <v>12</v>
      </c>
      <c r="AL4" s="2613" t="s">
        <v>681</v>
      </c>
      <c r="AM4" s="2614" t="s">
        <v>801</v>
      </c>
      <c r="AN4" s="2614" t="s">
        <v>616</v>
      </c>
      <c r="AO4" s="2615" t="s">
        <v>617</v>
      </c>
      <c r="AP4" s="1010" t="s">
        <v>12</v>
      </c>
      <c r="AQ4" s="2613" t="s">
        <v>681</v>
      </c>
      <c r="AR4" s="2614" t="s">
        <v>801</v>
      </c>
      <c r="AS4" s="2614" t="s">
        <v>616</v>
      </c>
      <c r="AT4" s="2615" t="s">
        <v>617</v>
      </c>
      <c r="AU4" s="1010" t="s">
        <v>12</v>
      </c>
      <c r="AV4" s="2613" t="s">
        <v>681</v>
      </c>
      <c r="AW4" s="2614" t="s">
        <v>801</v>
      </c>
      <c r="AX4" s="2614" t="s">
        <v>616</v>
      </c>
      <c r="AY4" s="2615" t="s">
        <v>617</v>
      </c>
      <c r="AZ4" s="1008" t="s">
        <v>12</v>
      </c>
      <c r="BA4" s="2613" t="s">
        <v>681</v>
      </c>
      <c r="BB4" s="2614" t="s">
        <v>801</v>
      </c>
      <c r="BC4" s="2614" t="s">
        <v>616</v>
      </c>
      <c r="BD4" s="2615" t="s">
        <v>617</v>
      </c>
      <c r="BE4" s="1008" t="s">
        <v>12</v>
      </c>
      <c r="BF4" s="2613" t="s">
        <v>681</v>
      </c>
      <c r="BG4" s="2614" t="s">
        <v>801</v>
      </c>
      <c r="BH4" s="2614" t="s">
        <v>616</v>
      </c>
      <c r="BI4" s="2615" t="s">
        <v>617</v>
      </c>
      <c r="BJ4" s="1008" t="s">
        <v>12</v>
      </c>
      <c r="BK4" s="2613" t="s">
        <v>681</v>
      </c>
      <c r="BL4" s="2614" t="s">
        <v>801</v>
      </c>
      <c r="BM4" s="2614" t="s">
        <v>616</v>
      </c>
      <c r="BN4" s="2615" t="s">
        <v>617</v>
      </c>
      <c r="BO4" s="1008" t="s">
        <v>12</v>
      </c>
      <c r="BP4" s="2613" t="s">
        <v>681</v>
      </c>
      <c r="BQ4" s="2614" t="s">
        <v>801</v>
      </c>
      <c r="BR4" s="2614" t="s">
        <v>616</v>
      </c>
      <c r="BS4" s="2615" t="s">
        <v>617</v>
      </c>
      <c r="BT4" s="1008" t="s">
        <v>12</v>
      </c>
      <c r="BU4" s="2613" t="s">
        <v>681</v>
      </c>
      <c r="BV4" s="2614" t="s">
        <v>801</v>
      </c>
      <c r="BW4" s="2614" t="s">
        <v>616</v>
      </c>
      <c r="BX4" s="2615" t="s">
        <v>617</v>
      </c>
      <c r="BY4" s="1008" t="s">
        <v>12</v>
      </c>
    </row>
    <row r="5" spans="1:77" ht="15" x14ac:dyDescent="0.2">
      <c r="A5" s="1347"/>
      <c r="B5" s="1347"/>
      <c r="C5" s="1347"/>
      <c r="D5" s="1347"/>
      <c r="E5" s="1347"/>
      <c r="F5" s="1347"/>
      <c r="G5" s="1347"/>
      <c r="H5" s="1347"/>
      <c r="I5" s="1347"/>
      <c r="J5" s="1347"/>
      <c r="K5" s="1347"/>
      <c r="L5" s="1347"/>
      <c r="M5" s="1347"/>
      <c r="N5" s="1347"/>
      <c r="O5" s="1347"/>
      <c r="P5" s="1347"/>
      <c r="Q5" s="1347"/>
      <c r="R5" s="1347"/>
      <c r="S5" s="1347"/>
      <c r="T5" s="1347"/>
      <c r="U5" s="1347"/>
      <c r="V5" s="1347"/>
      <c r="W5" s="1347"/>
      <c r="X5" s="1347"/>
      <c r="Y5" s="1347"/>
      <c r="Z5" s="1347"/>
      <c r="AA5" s="1347"/>
      <c r="AB5" s="1347"/>
      <c r="AC5" s="1347"/>
      <c r="AD5" s="1347"/>
      <c r="AE5" s="1347"/>
      <c r="AF5" s="1347"/>
      <c r="AG5" s="1347"/>
      <c r="AH5" s="1347"/>
      <c r="AI5" s="1347"/>
      <c r="AJ5" s="1347"/>
      <c r="AK5" s="1347"/>
      <c r="AL5" s="1347"/>
      <c r="AM5" s="1347"/>
      <c r="AN5" s="1347"/>
      <c r="AO5" s="1347"/>
      <c r="AP5" s="1347"/>
      <c r="AQ5" s="1347"/>
      <c r="AR5" s="1347"/>
      <c r="AS5" s="1347"/>
      <c r="AT5" s="1347"/>
      <c r="AU5" s="1347"/>
      <c r="AV5" s="1347"/>
      <c r="AW5" s="1347"/>
      <c r="AX5" s="1347"/>
      <c r="AY5" s="1347"/>
      <c r="AZ5" s="1347"/>
      <c r="BA5" s="1347"/>
      <c r="BB5" s="1347"/>
      <c r="BC5" s="1347"/>
      <c r="BD5" s="1347"/>
      <c r="BE5" s="1347"/>
      <c r="BF5" s="1347"/>
      <c r="BG5" s="1347"/>
      <c r="BH5" s="1347"/>
      <c r="BI5" s="1347"/>
      <c r="BJ5" s="1347"/>
      <c r="BK5" s="1347"/>
      <c r="BL5" s="1347"/>
      <c r="BM5" s="1347"/>
      <c r="BN5" s="1347"/>
      <c r="BO5" s="1347"/>
      <c r="BP5" s="1347"/>
      <c r="BQ5" s="1347"/>
      <c r="BR5" s="1347"/>
      <c r="BS5" s="1347"/>
      <c r="BT5" s="1347"/>
      <c r="BU5" s="1347"/>
      <c r="BV5" s="1347"/>
      <c r="BW5" s="1347"/>
      <c r="BX5" s="1347"/>
      <c r="BY5" s="1347"/>
    </row>
    <row r="6" spans="1:77" ht="15" x14ac:dyDescent="0.2">
      <c r="A6" s="7296" t="s">
        <v>3</v>
      </c>
      <c r="B6" s="7273" t="s">
        <v>5</v>
      </c>
      <c r="C6" s="1348">
        <v>85</v>
      </c>
      <c r="D6" s="1348">
        <v>10</v>
      </c>
      <c r="E6" s="1348">
        <v>141</v>
      </c>
      <c r="F6" s="1348">
        <v>108</v>
      </c>
      <c r="G6" s="475">
        <v>344</v>
      </c>
      <c r="H6" s="1349">
        <v>84</v>
      </c>
      <c r="I6" s="1349">
        <v>9</v>
      </c>
      <c r="J6" s="1349">
        <v>135</v>
      </c>
      <c r="K6" s="1349">
        <v>115</v>
      </c>
      <c r="L6" s="714">
        <v>343</v>
      </c>
      <c r="M6" s="1349">
        <v>66</v>
      </c>
      <c r="N6" s="1349">
        <v>10</v>
      </c>
      <c r="O6" s="1349">
        <v>141</v>
      </c>
      <c r="P6" s="1349">
        <v>125</v>
      </c>
      <c r="Q6" s="714">
        <v>342</v>
      </c>
      <c r="R6" s="1349">
        <v>63</v>
      </c>
      <c r="S6" s="1349">
        <v>9</v>
      </c>
      <c r="T6" s="1349">
        <v>144</v>
      </c>
      <c r="U6" s="1349">
        <v>127</v>
      </c>
      <c r="V6" s="714">
        <v>343</v>
      </c>
      <c r="W6" s="1349">
        <v>54</v>
      </c>
      <c r="X6" s="1349">
        <v>7</v>
      </c>
      <c r="Y6" s="1349">
        <v>141</v>
      </c>
      <c r="Z6" s="1349">
        <v>148</v>
      </c>
      <c r="AA6" s="714">
        <v>350</v>
      </c>
      <c r="AB6" s="1350">
        <v>51</v>
      </c>
      <c r="AC6" s="1349">
        <v>6</v>
      </c>
      <c r="AD6" s="1349">
        <v>143</v>
      </c>
      <c r="AE6" s="1349">
        <v>155</v>
      </c>
      <c r="AF6" s="714">
        <v>355</v>
      </c>
      <c r="AG6" s="1350">
        <v>50</v>
      </c>
      <c r="AH6" s="1349">
        <v>6</v>
      </c>
      <c r="AI6" s="1349">
        <v>133</v>
      </c>
      <c r="AJ6" s="1349">
        <v>153</v>
      </c>
      <c r="AK6" s="714">
        <v>342</v>
      </c>
      <c r="AL6" s="1350">
        <v>50</v>
      </c>
      <c r="AM6" s="1349">
        <v>6</v>
      </c>
      <c r="AN6" s="1349">
        <v>135</v>
      </c>
      <c r="AO6" s="1349">
        <v>155</v>
      </c>
      <c r="AP6" s="714">
        <v>346</v>
      </c>
      <c r="AQ6" s="1350">
        <v>50</v>
      </c>
      <c r="AR6" s="1349">
        <v>6</v>
      </c>
      <c r="AS6" s="1349">
        <v>126</v>
      </c>
      <c r="AT6" s="1349">
        <v>165</v>
      </c>
      <c r="AU6" s="714">
        <v>347</v>
      </c>
      <c r="AV6" s="1350">
        <v>48</v>
      </c>
      <c r="AW6" s="1349">
        <v>5</v>
      </c>
      <c r="AX6" s="1349">
        <v>132</v>
      </c>
      <c r="AY6" s="1349">
        <v>189</v>
      </c>
      <c r="AZ6" s="714">
        <v>374</v>
      </c>
      <c r="BA6" s="1350">
        <f>+'PTC-GRADO (1)'!BA6</f>
        <v>48</v>
      </c>
      <c r="BB6" s="1349">
        <f>+'PTC-GRADO (1)'!BB6</f>
        <v>5</v>
      </c>
      <c r="BC6" s="1349">
        <f>+'PTC-GRADO (1)'!BC6</f>
        <v>132</v>
      </c>
      <c r="BD6" s="1349">
        <f>+'PTC-GRADO (1)'!BD6</f>
        <v>203</v>
      </c>
      <c r="BE6" s="714">
        <f>SUM(BA6:BD6)</f>
        <v>388</v>
      </c>
      <c r="BF6" s="1350">
        <f>+'PTC-GRADO (1)'!BF6</f>
        <v>47</v>
      </c>
      <c r="BG6" s="1349">
        <f>+'PTC-GRADO (1)'!BG6</f>
        <v>5</v>
      </c>
      <c r="BH6" s="1349">
        <f>+'PTC-GRADO (1)'!BH6</f>
        <v>131</v>
      </c>
      <c r="BI6" s="1349">
        <f>+'PTC-GRADO (1)'!BI6</f>
        <v>209</v>
      </c>
      <c r="BJ6" s="714">
        <f t="shared" ref="BJ6:BJ11" si="0">SUM(BF6:BI6)</f>
        <v>392</v>
      </c>
      <c r="BK6" s="1350">
        <f>+'PTC-GRADO (1)'!BK6</f>
        <v>47</v>
      </c>
      <c r="BL6" s="1349">
        <f>+'PTC-GRADO (1)'!BL6</f>
        <v>5</v>
      </c>
      <c r="BM6" s="1349">
        <f>+'PTC-GRADO (1)'!BM6</f>
        <v>134</v>
      </c>
      <c r="BN6" s="1349">
        <f>+'PTC-GRADO (1)'!BN6</f>
        <v>213</v>
      </c>
      <c r="BO6" s="714">
        <f t="shared" ref="BO6:BO11" si="1">SUM(BK6:BN6)</f>
        <v>399</v>
      </c>
      <c r="BP6" s="1350">
        <f>+'PTC-GRADO (1)'!BP6</f>
        <v>43</v>
      </c>
      <c r="BQ6" s="1349">
        <f>+'PTC-GRADO (1)'!BQ6</f>
        <v>5</v>
      </c>
      <c r="BR6" s="1349">
        <f>+'PTC-GRADO (1)'!BR6</f>
        <v>132</v>
      </c>
      <c r="BS6" s="1349">
        <f>+'PTC-GRADO (1)'!BS6</f>
        <v>219</v>
      </c>
      <c r="BT6" s="714">
        <f t="shared" ref="BT6:BT11" si="2">SUM(BP6:BS6)</f>
        <v>399</v>
      </c>
      <c r="BU6" s="1350">
        <f>+'PTC-GRADO (1)'!BU6</f>
        <v>43</v>
      </c>
      <c r="BV6" s="1349">
        <f>+'PTC-GRADO (1)'!BV6</f>
        <v>5</v>
      </c>
      <c r="BW6" s="1349">
        <f>+'PTC-GRADO (1)'!BW6</f>
        <v>134</v>
      </c>
      <c r="BX6" s="1349">
        <f>+'PTC-GRADO (1)'!BX6</f>
        <v>224</v>
      </c>
      <c r="BY6" s="714">
        <f t="shared" ref="BY6:BY11" si="3">SUM(BU6:BX6)</f>
        <v>406</v>
      </c>
    </row>
    <row r="7" spans="1:77" ht="15" customHeight="1" x14ac:dyDescent="0.2">
      <c r="A7" s="7297"/>
      <c r="B7" s="7274"/>
      <c r="C7" s="1686">
        <v>0.24709302325581395</v>
      </c>
      <c r="D7" s="1686">
        <v>2.9069767441860465E-2</v>
      </c>
      <c r="E7" s="1686">
        <v>0.40988372093023256</v>
      </c>
      <c r="F7" s="1686">
        <v>0.31395348837209303</v>
      </c>
      <c r="G7" s="2616">
        <v>1</v>
      </c>
      <c r="H7" s="1686">
        <v>0.24489795918367346</v>
      </c>
      <c r="I7" s="1686">
        <v>2.6239067055393587E-2</v>
      </c>
      <c r="J7" s="1686">
        <v>0.39358600583090381</v>
      </c>
      <c r="K7" s="1686">
        <v>0.33527696793002915</v>
      </c>
      <c r="L7" s="2616">
        <v>1</v>
      </c>
      <c r="M7" s="1686">
        <v>0.19298245614035087</v>
      </c>
      <c r="N7" s="1686">
        <v>2.9239766081871343E-2</v>
      </c>
      <c r="O7" s="1686">
        <v>0.41228070175438597</v>
      </c>
      <c r="P7" s="1686">
        <v>0.36549707602339182</v>
      </c>
      <c r="Q7" s="2616">
        <v>1</v>
      </c>
      <c r="R7" s="1686">
        <v>0.18367346938775511</v>
      </c>
      <c r="S7" s="1686">
        <v>2.6239067055393587E-2</v>
      </c>
      <c r="T7" s="1686">
        <v>0.41982507288629739</v>
      </c>
      <c r="U7" s="1686">
        <v>0.37026239067055394</v>
      </c>
      <c r="V7" s="2616">
        <v>1</v>
      </c>
      <c r="W7" s="1686">
        <v>0.15428571428571428</v>
      </c>
      <c r="X7" s="1686">
        <v>0.02</v>
      </c>
      <c r="Y7" s="1686">
        <v>0.40285714285714286</v>
      </c>
      <c r="Z7" s="1686">
        <v>0.42285714285714288</v>
      </c>
      <c r="AA7" s="2617">
        <v>1</v>
      </c>
      <c r="AB7" s="2618">
        <v>0.14366197183098592</v>
      </c>
      <c r="AC7" s="1686">
        <v>1.6901408450704224E-2</v>
      </c>
      <c r="AD7" s="1686">
        <v>0.40281690140845072</v>
      </c>
      <c r="AE7" s="1686">
        <v>0.43661971830985913</v>
      </c>
      <c r="AF7" s="2616">
        <v>1</v>
      </c>
      <c r="AG7" s="2618">
        <v>0.14619883040935672</v>
      </c>
      <c r="AH7" s="1686">
        <v>1.7543859649122806E-2</v>
      </c>
      <c r="AI7" s="1686">
        <v>0.3888888888888889</v>
      </c>
      <c r="AJ7" s="1686">
        <v>0.44736842105263158</v>
      </c>
      <c r="AK7" s="2616">
        <v>1</v>
      </c>
      <c r="AL7" s="2618">
        <v>0.14450867052023122</v>
      </c>
      <c r="AM7" s="1686">
        <v>1.7341040462427744E-2</v>
      </c>
      <c r="AN7" s="1686">
        <v>0.39017341040462428</v>
      </c>
      <c r="AO7" s="1686">
        <v>0.44797687861271679</v>
      </c>
      <c r="AP7" s="2616">
        <v>1</v>
      </c>
      <c r="AQ7" s="2618">
        <v>0.14409221902017291</v>
      </c>
      <c r="AR7" s="1686">
        <v>1.7291066282420751E-2</v>
      </c>
      <c r="AS7" s="1686">
        <v>0.36311239193083572</v>
      </c>
      <c r="AT7" s="1686">
        <v>0.47550432276657062</v>
      </c>
      <c r="AU7" s="2616">
        <v>1</v>
      </c>
      <c r="AV7" s="2618">
        <v>0.12834224598930483</v>
      </c>
      <c r="AW7" s="1686">
        <v>1.3368983957219251E-2</v>
      </c>
      <c r="AX7" s="1686">
        <v>0.35294117647058826</v>
      </c>
      <c r="AY7" s="1686">
        <v>0.50534759358288772</v>
      </c>
      <c r="AZ7" s="2616">
        <v>1</v>
      </c>
      <c r="BA7" s="2618">
        <f>BA6/$BE$6</f>
        <v>0.12371134020618557</v>
      </c>
      <c r="BB7" s="1686">
        <f>BB6/$BE$6</f>
        <v>1.2886597938144329E-2</v>
      </c>
      <c r="BC7" s="1686">
        <f>BC6/$BE$6</f>
        <v>0.34020618556701032</v>
      </c>
      <c r="BD7" s="1686">
        <f>BD6/$BE$6</f>
        <v>0.52319587628865982</v>
      </c>
      <c r="BE7" s="2616">
        <f>BE6/$BE$6</f>
        <v>1</v>
      </c>
      <c r="BF7" s="2618">
        <f>BF6/$BJ$6</f>
        <v>0.11989795918367346</v>
      </c>
      <c r="BG7" s="1686">
        <f>BG6/$BJ$6</f>
        <v>1.2755102040816327E-2</v>
      </c>
      <c r="BH7" s="1686">
        <f>BH6/$BJ$6</f>
        <v>0.33418367346938777</v>
      </c>
      <c r="BI7" s="1686">
        <f>BI6/$BJ$6</f>
        <v>0.53316326530612246</v>
      </c>
      <c r="BJ7" s="2616">
        <f t="shared" si="0"/>
        <v>1</v>
      </c>
      <c r="BK7" s="2618">
        <f>BK6/$BO$6</f>
        <v>0.11779448621553884</v>
      </c>
      <c r="BL7" s="1686">
        <f>BL6/$BO$6</f>
        <v>1.2531328320802004E-2</v>
      </c>
      <c r="BM7" s="1686">
        <f>BM6/$BO$6</f>
        <v>0.33583959899749372</v>
      </c>
      <c r="BN7" s="1686">
        <f>BN6/$BO$6</f>
        <v>0.53383458646616544</v>
      </c>
      <c r="BO7" s="2616">
        <f t="shared" si="1"/>
        <v>1</v>
      </c>
      <c r="BP7" s="2618">
        <f>BP6/$BT$6</f>
        <v>0.10776942355889724</v>
      </c>
      <c r="BQ7" s="1686">
        <f>BQ6/$BT$6</f>
        <v>1.2531328320802004E-2</v>
      </c>
      <c r="BR7" s="1686">
        <f>BR6/$BT$6</f>
        <v>0.33082706766917291</v>
      </c>
      <c r="BS7" s="1686">
        <f>BS6/$BT$6</f>
        <v>0.54887218045112784</v>
      </c>
      <c r="BT7" s="2616">
        <f t="shared" si="2"/>
        <v>1</v>
      </c>
      <c r="BU7" s="2618">
        <f>BU6/$BY$6</f>
        <v>0.10591133004926108</v>
      </c>
      <c r="BV7" s="1686">
        <f t="shared" ref="BV7:BX7" si="4">BV6/$BY$6</f>
        <v>1.2315270935960592E-2</v>
      </c>
      <c r="BW7" s="1686">
        <f t="shared" si="4"/>
        <v>0.33004926108374383</v>
      </c>
      <c r="BX7" s="1686">
        <f t="shared" si="4"/>
        <v>0.55172413793103448</v>
      </c>
      <c r="BY7" s="2616">
        <f t="shared" si="3"/>
        <v>1</v>
      </c>
    </row>
    <row r="8" spans="1:77" ht="15" x14ac:dyDescent="0.2">
      <c r="A8" s="7297"/>
      <c r="B8" s="7274" t="s">
        <v>6</v>
      </c>
      <c r="C8" s="2619">
        <v>133</v>
      </c>
      <c r="D8" s="2619">
        <v>3</v>
      </c>
      <c r="E8" s="2619">
        <v>108</v>
      </c>
      <c r="F8" s="2619">
        <v>97</v>
      </c>
      <c r="G8" s="2620">
        <v>341</v>
      </c>
      <c r="H8" s="2621">
        <v>131</v>
      </c>
      <c r="I8" s="2621">
        <v>3</v>
      </c>
      <c r="J8" s="2621">
        <v>103</v>
      </c>
      <c r="K8" s="2621">
        <v>104</v>
      </c>
      <c r="L8" s="2622">
        <v>341</v>
      </c>
      <c r="M8" s="2621">
        <v>103</v>
      </c>
      <c r="N8" s="2621">
        <v>3</v>
      </c>
      <c r="O8" s="2621">
        <v>108</v>
      </c>
      <c r="P8" s="2621">
        <v>112</v>
      </c>
      <c r="Q8" s="2622">
        <v>326</v>
      </c>
      <c r="R8" s="2621">
        <v>103</v>
      </c>
      <c r="S8" s="2621">
        <v>3</v>
      </c>
      <c r="T8" s="2621">
        <v>112</v>
      </c>
      <c r="U8" s="2621">
        <v>115</v>
      </c>
      <c r="V8" s="2622">
        <v>333</v>
      </c>
      <c r="W8" s="2621">
        <v>94</v>
      </c>
      <c r="X8" s="2621">
        <v>3</v>
      </c>
      <c r="Y8" s="2621">
        <v>115</v>
      </c>
      <c r="Z8" s="2621">
        <v>115</v>
      </c>
      <c r="AA8" s="2622">
        <v>327</v>
      </c>
      <c r="AB8" s="2623">
        <v>90</v>
      </c>
      <c r="AC8" s="2621">
        <v>3</v>
      </c>
      <c r="AD8" s="2621">
        <v>114</v>
      </c>
      <c r="AE8" s="2621">
        <v>118</v>
      </c>
      <c r="AF8" s="2622">
        <v>325</v>
      </c>
      <c r="AG8" s="2623">
        <v>86</v>
      </c>
      <c r="AH8" s="2621">
        <v>3</v>
      </c>
      <c r="AI8" s="2621">
        <v>110</v>
      </c>
      <c r="AJ8" s="2621">
        <v>122</v>
      </c>
      <c r="AK8" s="2622">
        <v>321</v>
      </c>
      <c r="AL8" s="2623">
        <v>84</v>
      </c>
      <c r="AM8" s="2621">
        <v>3</v>
      </c>
      <c r="AN8" s="2621">
        <v>107</v>
      </c>
      <c r="AO8" s="2621">
        <v>123</v>
      </c>
      <c r="AP8" s="2622">
        <v>317</v>
      </c>
      <c r="AQ8" s="2623">
        <v>83</v>
      </c>
      <c r="AR8" s="2621">
        <v>1</v>
      </c>
      <c r="AS8" s="2621">
        <v>110</v>
      </c>
      <c r="AT8" s="2621">
        <v>126</v>
      </c>
      <c r="AU8" s="2622">
        <v>320</v>
      </c>
      <c r="AV8" s="2623">
        <v>75</v>
      </c>
      <c r="AW8" s="2621">
        <v>2</v>
      </c>
      <c r="AX8" s="2621">
        <v>108</v>
      </c>
      <c r="AY8" s="2621">
        <v>145</v>
      </c>
      <c r="AZ8" s="2622">
        <v>330</v>
      </c>
      <c r="BA8" s="2623">
        <f>+'PTC-GRADO (1)'!BA7</f>
        <v>69</v>
      </c>
      <c r="BB8" s="2621">
        <f>+'PTC-GRADO (1)'!BB7</f>
        <v>2</v>
      </c>
      <c r="BC8" s="2621">
        <f>+'PTC-GRADO (1)'!BC7</f>
        <v>110</v>
      </c>
      <c r="BD8" s="2621">
        <f>+'PTC-GRADO (1)'!BD7</f>
        <v>159</v>
      </c>
      <c r="BE8" s="2622">
        <f>SUM(BA8:BD8)</f>
        <v>340</v>
      </c>
      <c r="BF8" s="2623">
        <f>+'PTC-GRADO (1)'!BF7</f>
        <v>67</v>
      </c>
      <c r="BG8" s="2621">
        <f>+'PTC-GRADO (1)'!BG7</f>
        <v>2</v>
      </c>
      <c r="BH8" s="2621">
        <f>+'PTC-GRADO (1)'!BH7</f>
        <v>112</v>
      </c>
      <c r="BI8" s="2621">
        <f>+'PTC-GRADO (1)'!BI7</f>
        <v>164</v>
      </c>
      <c r="BJ8" s="2622">
        <f t="shared" si="0"/>
        <v>345</v>
      </c>
      <c r="BK8" s="2623">
        <f>+'PTC-GRADO (1)'!BK7</f>
        <v>65</v>
      </c>
      <c r="BL8" s="2621">
        <f>+'PTC-GRADO (1)'!BL7</f>
        <v>2</v>
      </c>
      <c r="BM8" s="2621">
        <f>+'PTC-GRADO (1)'!BM7</f>
        <v>116</v>
      </c>
      <c r="BN8" s="2621">
        <f>+'PTC-GRADO (1)'!BN7</f>
        <v>170</v>
      </c>
      <c r="BO8" s="2622">
        <f t="shared" si="1"/>
        <v>353</v>
      </c>
      <c r="BP8" s="2623">
        <f>+'PTC-GRADO (1)'!BP7</f>
        <v>63</v>
      </c>
      <c r="BQ8" s="2621">
        <f>+'PTC-GRADO (1)'!BQ7</f>
        <v>2</v>
      </c>
      <c r="BR8" s="2621">
        <f>+'PTC-GRADO (1)'!BR7</f>
        <v>119</v>
      </c>
      <c r="BS8" s="2621">
        <f>+'PTC-GRADO (1)'!BS7</f>
        <v>175</v>
      </c>
      <c r="BT8" s="2622">
        <f t="shared" si="2"/>
        <v>359</v>
      </c>
      <c r="BU8" s="2623">
        <f>+'PTC-GRADO (1)'!BU7</f>
        <v>63</v>
      </c>
      <c r="BV8" s="2621">
        <f>+'PTC-GRADO (1)'!BV7</f>
        <v>2</v>
      </c>
      <c r="BW8" s="2621">
        <f>+'PTC-GRADO (1)'!BW7</f>
        <v>120</v>
      </c>
      <c r="BX8" s="2621">
        <f>+'PTC-GRADO (1)'!BX7</f>
        <v>177</v>
      </c>
      <c r="BY8" s="2622">
        <f t="shared" si="3"/>
        <v>362</v>
      </c>
    </row>
    <row r="9" spans="1:77" ht="15" customHeight="1" x14ac:dyDescent="0.2">
      <c r="A9" s="7297"/>
      <c r="B9" s="7274"/>
      <c r="C9" s="2624">
        <v>0.39002932551319647</v>
      </c>
      <c r="D9" s="2624">
        <v>8.7976539589442824E-3</v>
      </c>
      <c r="E9" s="2624">
        <v>0.31671554252199413</v>
      </c>
      <c r="F9" s="2624">
        <v>0.28445747800586513</v>
      </c>
      <c r="G9" s="2625">
        <v>1</v>
      </c>
      <c r="H9" s="2624">
        <v>0.38416422287390029</v>
      </c>
      <c r="I9" s="2624">
        <v>8.7976539589442824E-3</v>
      </c>
      <c r="J9" s="2624">
        <v>0.30205278592375367</v>
      </c>
      <c r="K9" s="2624">
        <v>0.30498533724340177</v>
      </c>
      <c r="L9" s="2625">
        <v>1</v>
      </c>
      <c r="M9" s="2624">
        <v>0.31595092024539878</v>
      </c>
      <c r="N9" s="2624">
        <v>9.202453987730062E-3</v>
      </c>
      <c r="O9" s="2624">
        <v>0.33128834355828218</v>
      </c>
      <c r="P9" s="2624">
        <v>0.34355828220858897</v>
      </c>
      <c r="Q9" s="2625">
        <v>1</v>
      </c>
      <c r="R9" s="2624">
        <v>0.30930930930930933</v>
      </c>
      <c r="S9" s="2624">
        <v>9.0090090090090089E-3</v>
      </c>
      <c r="T9" s="2624">
        <v>0.33633633633633636</v>
      </c>
      <c r="U9" s="2624">
        <v>0.34534534534534533</v>
      </c>
      <c r="V9" s="2625">
        <v>1</v>
      </c>
      <c r="W9" s="2624">
        <v>0.28746177370030579</v>
      </c>
      <c r="X9" s="2624">
        <v>9.1743119266055051E-3</v>
      </c>
      <c r="Y9" s="2624">
        <v>0.35168195718654433</v>
      </c>
      <c r="Z9" s="2624">
        <v>0.35168195718654433</v>
      </c>
      <c r="AA9" s="2626">
        <v>1</v>
      </c>
      <c r="AB9" s="2627">
        <v>0.27692307692307694</v>
      </c>
      <c r="AC9" s="2624">
        <v>9.2307692307692316E-3</v>
      </c>
      <c r="AD9" s="2624">
        <v>0.35076923076923078</v>
      </c>
      <c r="AE9" s="2624">
        <v>0.36307692307692307</v>
      </c>
      <c r="AF9" s="2625">
        <v>1</v>
      </c>
      <c r="AG9" s="2627">
        <v>0.26791277258566976</v>
      </c>
      <c r="AH9" s="2624">
        <v>9.3457943925233638E-3</v>
      </c>
      <c r="AI9" s="2624">
        <v>0.34267912772585668</v>
      </c>
      <c r="AJ9" s="2624">
        <v>0.38006230529595014</v>
      </c>
      <c r="AK9" s="2625">
        <v>1</v>
      </c>
      <c r="AL9" s="2627">
        <v>0.26498422712933756</v>
      </c>
      <c r="AM9" s="2624">
        <v>9.4637223974763408E-3</v>
      </c>
      <c r="AN9" s="2624">
        <v>0.33753943217665616</v>
      </c>
      <c r="AO9" s="2624">
        <v>0.38801261829652994</v>
      </c>
      <c r="AP9" s="2625">
        <v>1</v>
      </c>
      <c r="AQ9" s="2627">
        <v>0.25937500000000002</v>
      </c>
      <c r="AR9" s="2624">
        <v>3.1250000000000002E-3</v>
      </c>
      <c r="AS9" s="2624">
        <v>0.34375</v>
      </c>
      <c r="AT9" s="2624">
        <v>0.39374999999999999</v>
      </c>
      <c r="AU9" s="2625">
        <v>1</v>
      </c>
      <c r="AV9" s="2627">
        <v>0.22727272727272727</v>
      </c>
      <c r="AW9" s="2624">
        <v>6.0606060606060606E-3</v>
      </c>
      <c r="AX9" s="2624">
        <v>0.32727272727272727</v>
      </c>
      <c r="AY9" s="2624">
        <v>0.43939393939393939</v>
      </c>
      <c r="AZ9" s="2625">
        <v>1</v>
      </c>
      <c r="BA9" s="2627">
        <f>BA8/$BE$8</f>
        <v>0.20294117647058824</v>
      </c>
      <c r="BB9" s="2624">
        <f>BB8/$BE$8</f>
        <v>5.8823529411764705E-3</v>
      </c>
      <c r="BC9" s="2624">
        <f>BC8/$BE$8</f>
        <v>0.3235294117647059</v>
      </c>
      <c r="BD9" s="2624">
        <f>BD8/$BE$8</f>
        <v>0.46764705882352942</v>
      </c>
      <c r="BE9" s="2625">
        <f>BE8/$BE$8</f>
        <v>1</v>
      </c>
      <c r="BF9" s="2627">
        <f>BF8/$BJ$8</f>
        <v>0.19420289855072465</v>
      </c>
      <c r="BG9" s="2624">
        <f>BG8/$BJ$8</f>
        <v>5.7971014492753624E-3</v>
      </c>
      <c r="BH9" s="2624">
        <f>BH8/$BJ$8</f>
        <v>0.32463768115942027</v>
      </c>
      <c r="BI9" s="2624">
        <f>BI8/$BJ$8</f>
        <v>0.47536231884057972</v>
      </c>
      <c r="BJ9" s="2625">
        <f t="shared" si="0"/>
        <v>1</v>
      </c>
      <c r="BK9" s="2627">
        <f>BK8/$BO$8</f>
        <v>0.18413597733711048</v>
      </c>
      <c r="BL9" s="2624">
        <f>BL8/$BO$8</f>
        <v>5.6657223796033997E-3</v>
      </c>
      <c r="BM9" s="2624">
        <f>BM8/$BO$8</f>
        <v>0.32861189801699719</v>
      </c>
      <c r="BN9" s="2624">
        <f>BN8/$BO$8</f>
        <v>0.48158640226628896</v>
      </c>
      <c r="BO9" s="2625">
        <f t="shared" si="1"/>
        <v>1</v>
      </c>
      <c r="BP9" s="2627">
        <f>BP8/$BT$8</f>
        <v>0.17548746518105848</v>
      </c>
      <c r="BQ9" s="2624">
        <f>BQ8/$BT$8</f>
        <v>5.5710306406685237E-3</v>
      </c>
      <c r="BR9" s="2624">
        <f>BR8/$BT$8</f>
        <v>0.33147632311977715</v>
      </c>
      <c r="BS9" s="2624">
        <f>BS8/$BT$8</f>
        <v>0.48746518105849584</v>
      </c>
      <c r="BT9" s="2625">
        <f t="shared" si="2"/>
        <v>1</v>
      </c>
      <c r="BU9" s="2627">
        <f>BU8/$BY$8</f>
        <v>0.17403314917127072</v>
      </c>
      <c r="BV9" s="2624">
        <f t="shared" ref="BV9:BX9" si="5">BV8/$BY$8</f>
        <v>5.5248618784530384E-3</v>
      </c>
      <c r="BW9" s="2624">
        <f t="shared" si="5"/>
        <v>0.33149171270718231</v>
      </c>
      <c r="BX9" s="2624">
        <f t="shared" si="5"/>
        <v>0.4889502762430939</v>
      </c>
      <c r="BY9" s="2625">
        <f t="shared" si="3"/>
        <v>1</v>
      </c>
    </row>
    <row r="10" spans="1:77" ht="15" x14ac:dyDescent="0.2">
      <c r="A10" s="7297"/>
      <c r="B10" s="7274" t="s">
        <v>7</v>
      </c>
      <c r="C10" s="1351">
        <v>106</v>
      </c>
      <c r="D10" s="1351">
        <v>9</v>
      </c>
      <c r="E10" s="1351">
        <v>76</v>
      </c>
      <c r="F10" s="1351">
        <v>24</v>
      </c>
      <c r="G10" s="480">
        <v>215</v>
      </c>
      <c r="H10" s="1352">
        <v>105</v>
      </c>
      <c r="I10" s="1352">
        <v>9</v>
      </c>
      <c r="J10" s="1352">
        <v>73</v>
      </c>
      <c r="K10" s="1352">
        <v>26</v>
      </c>
      <c r="L10" s="717">
        <v>213</v>
      </c>
      <c r="M10" s="1352">
        <v>82</v>
      </c>
      <c r="N10" s="1352">
        <v>11</v>
      </c>
      <c r="O10" s="1352">
        <v>76</v>
      </c>
      <c r="P10" s="1352">
        <v>27</v>
      </c>
      <c r="Q10" s="717">
        <v>196</v>
      </c>
      <c r="R10" s="1352">
        <v>79</v>
      </c>
      <c r="S10" s="1352">
        <v>10</v>
      </c>
      <c r="T10" s="1352">
        <v>79</v>
      </c>
      <c r="U10" s="1352">
        <v>31</v>
      </c>
      <c r="V10" s="717">
        <v>199</v>
      </c>
      <c r="W10" s="1352">
        <v>67</v>
      </c>
      <c r="X10" s="1352">
        <v>8</v>
      </c>
      <c r="Y10" s="1352">
        <v>80</v>
      </c>
      <c r="Z10" s="1352">
        <v>30</v>
      </c>
      <c r="AA10" s="717">
        <v>185</v>
      </c>
      <c r="AB10" s="1353">
        <v>64</v>
      </c>
      <c r="AC10" s="1352">
        <v>10</v>
      </c>
      <c r="AD10" s="1352">
        <v>83</v>
      </c>
      <c r="AE10" s="1352">
        <v>28</v>
      </c>
      <c r="AF10" s="717">
        <v>185</v>
      </c>
      <c r="AG10" s="1353">
        <v>62</v>
      </c>
      <c r="AH10" s="1352">
        <v>11</v>
      </c>
      <c r="AI10" s="1352">
        <v>85</v>
      </c>
      <c r="AJ10" s="1352">
        <v>27</v>
      </c>
      <c r="AK10" s="717">
        <v>185</v>
      </c>
      <c r="AL10" s="1353">
        <v>64</v>
      </c>
      <c r="AM10" s="1352">
        <v>11</v>
      </c>
      <c r="AN10" s="1352">
        <v>94</v>
      </c>
      <c r="AO10" s="1352">
        <v>30</v>
      </c>
      <c r="AP10" s="717">
        <v>199</v>
      </c>
      <c r="AQ10" s="1353">
        <v>61</v>
      </c>
      <c r="AR10" s="1352">
        <v>10</v>
      </c>
      <c r="AS10" s="1352">
        <v>100</v>
      </c>
      <c r="AT10" s="1352">
        <v>31</v>
      </c>
      <c r="AU10" s="717">
        <v>202</v>
      </c>
      <c r="AV10" s="1353">
        <v>51</v>
      </c>
      <c r="AW10" s="1352">
        <v>11</v>
      </c>
      <c r="AX10" s="1352">
        <v>103</v>
      </c>
      <c r="AY10" s="1352">
        <v>43</v>
      </c>
      <c r="AZ10" s="717">
        <v>208</v>
      </c>
      <c r="BA10" s="1353">
        <f>+'PTC-GRADO (1)'!BA8</f>
        <v>49</v>
      </c>
      <c r="BB10" s="1352">
        <f>+'PTC-GRADO (1)'!BB8</f>
        <v>7</v>
      </c>
      <c r="BC10" s="1352">
        <f>+'PTC-GRADO (1)'!BC8</f>
        <v>108</v>
      </c>
      <c r="BD10" s="1352">
        <f>+'PTC-GRADO (1)'!BD8</f>
        <v>49</v>
      </c>
      <c r="BE10" s="717">
        <f>SUM(BA10:BD10)</f>
        <v>213</v>
      </c>
      <c r="BF10" s="1353">
        <f>+'PTC-GRADO (1)'!BF8</f>
        <v>53</v>
      </c>
      <c r="BG10" s="1352">
        <f>+'PTC-GRADO (1)'!BG8</f>
        <v>7</v>
      </c>
      <c r="BH10" s="1352">
        <f>+'PTC-GRADO (1)'!BH8</f>
        <v>114</v>
      </c>
      <c r="BI10" s="1352">
        <f>+'PTC-GRADO (1)'!BI8</f>
        <v>51</v>
      </c>
      <c r="BJ10" s="717">
        <f t="shared" si="0"/>
        <v>225</v>
      </c>
      <c r="BK10" s="1353">
        <f>+'PTC-GRADO (1)'!BK8</f>
        <v>52</v>
      </c>
      <c r="BL10" s="1352">
        <f>+'PTC-GRADO (1)'!BL8</f>
        <v>7</v>
      </c>
      <c r="BM10" s="1352">
        <f>+'PTC-GRADO (1)'!BM8</f>
        <v>120</v>
      </c>
      <c r="BN10" s="1352">
        <f>+'PTC-GRADO (1)'!BN8</f>
        <v>51</v>
      </c>
      <c r="BO10" s="717">
        <f t="shared" si="1"/>
        <v>230</v>
      </c>
      <c r="BP10" s="1353">
        <f>+'PTC-GRADO (1)'!BP8</f>
        <v>48</v>
      </c>
      <c r="BQ10" s="1352">
        <f>+'PTC-GRADO (1)'!BQ8</f>
        <v>6</v>
      </c>
      <c r="BR10" s="1352">
        <f>+'PTC-GRADO (1)'!BR8</f>
        <v>116</v>
      </c>
      <c r="BS10" s="1352">
        <f>+'PTC-GRADO (1)'!BS8</f>
        <v>48</v>
      </c>
      <c r="BT10" s="717">
        <f t="shared" si="2"/>
        <v>218</v>
      </c>
      <c r="BU10" s="1353">
        <f>+'PTC-GRADO (1)'!BU8</f>
        <v>48</v>
      </c>
      <c r="BV10" s="1352">
        <f>+'PTC-GRADO (1)'!BV8</f>
        <v>6</v>
      </c>
      <c r="BW10" s="1352">
        <f>+'PTC-GRADO (1)'!BW8</f>
        <v>118</v>
      </c>
      <c r="BX10" s="1352">
        <f>+'PTC-GRADO (1)'!BX8</f>
        <v>49</v>
      </c>
      <c r="BY10" s="717">
        <f t="shared" si="3"/>
        <v>221</v>
      </c>
    </row>
    <row r="11" spans="1:77" ht="15" customHeight="1" x14ac:dyDescent="0.2">
      <c r="A11" s="7297"/>
      <c r="B11" s="7275"/>
      <c r="C11" s="1686">
        <v>0.49302325581395351</v>
      </c>
      <c r="D11" s="1686">
        <v>4.1860465116279069E-2</v>
      </c>
      <c r="E11" s="1686">
        <v>0.35348837209302325</v>
      </c>
      <c r="F11" s="1686">
        <v>0.11162790697674418</v>
      </c>
      <c r="G11" s="2616">
        <v>1</v>
      </c>
      <c r="H11" s="1686">
        <v>0.49295774647887325</v>
      </c>
      <c r="I11" s="1686">
        <v>4.2253521126760563E-2</v>
      </c>
      <c r="J11" s="1686">
        <v>0.34272300469483569</v>
      </c>
      <c r="K11" s="1686">
        <v>0.12206572769953052</v>
      </c>
      <c r="L11" s="2616">
        <v>1</v>
      </c>
      <c r="M11" s="1686">
        <v>0.41836734693877553</v>
      </c>
      <c r="N11" s="1686">
        <v>5.6122448979591837E-2</v>
      </c>
      <c r="O11" s="1686">
        <v>0.38775510204081631</v>
      </c>
      <c r="P11" s="1686">
        <v>0.13775510204081631</v>
      </c>
      <c r="Q11" s="2616">
        <v>1</v>
      </c>
      <c r="R11" s="1686">
        <v>0.39698492462311558</v>
      </c>
      <c r="S11" s="1686">
        <v>5.0251256281407038E-2</v>
      </c>
      <c r="T11" s="1686">
        <v>0.39698492462311558</v>
      </c>
      <c r="U11" s="1686">
        <v>0.15577889447236182</v>
      </c>
      <c r="V11" s="2616">
        <v>1</v>
      </c>
      <c r="W11" s="1686">
        <v>0.36216216216216218</v>
      </c>
      <c r="X11" s="1686">
        <v>4.3243243243243246E-2</v>
      </c>
      <c r="Y11" s="1686">
        <v>0.43243243243243246</v>
      </c>
      <c r="Z11" s="1686">
        <v>0.16216216216216217</v>
      </c>
      <c r="AA11" s="2617">
        <v>1</v>
      </c>
      <c r="AB11" s="2618">
        <v>0.34594594594594597</v>
      </c>
      <c r="AC11" s="1686">
        <v>5.4054054054054057E-2</v>
      </c>
      <c r="AD11" s="1686">
        <v>0.44864864864864867</v>
      </c>
      <c r="AE11" s="1686">
        <v>0.15135135135135136</v>
      </c>
      <c r="AF11" s="2616">
        <v>1</v>
      </c>
      <c r="AG11" s="2618">
        <v>0.33513513513513515</v>
      </c>
      <c r="AH11" s="1686">
        <v>5.9459459459459463E-2</v>
      </c>
      <c r="AI11" s="1686">
        <v>0.45945945945945948</v>
      </c>
      <c r="AJ11" s="1686">
        <v>0.14594594594594595</v>
      </c>
      <c r="AK11" s="2616">
        <v>1</v>
      </c>
      <c r="AL11" s="2618">
        <v>0.32160804020100503</v>
      </c>
      <c r="AM11" s="1686">
        <v>5.5276381909547742E-2</v>
      </c>
      <c r="AN11" s="1686">
        <v>0.47236180904522612</v>
      </c>
      <c r="AO11" s="1686">
        <v>0.15075376884422109</v>
      </c>
      <c r="AP11" s="2616">
        <v>1</v>
      </c>
      <c r="AQ11" s="2618">
        <v>0.30198019801980197</v>
      </c>
      <c r="AR11" s="1686">
        <v>4.9504950495049507E-2</v>
      </c>
      <c r="AS11" s="1686">
        <v>0.49504950495049505</v>
      </c>
      <c r="AT11" s="1686">
        <v>0.15346534653465346</v>
      </c>
      <c r="AU11" s="2616">
        <v>1</v>
      </c>
      <c r="AV11" s="2618">
        <v>0.24519230769230768</v>
      </c>
      <c r="AW11" s="1686">
        <v>5.2884615384615384E-2</v>
      </c>
      <c r="AX11" s="1686">
        <v>0.49519230769230771</v>
      </c>
      <c r="AY11" s="1686">
        <v>0.20673076923076922</v>
      </c>
      <c r="AZ11" s="2616">
        <v>1</v>
      </c>
      <c r="BA11" s="2618">
        <f>BA10/$BE$10</f>
        <v>0.2300469483568075</v>
      </c>
      <c r="BB11" s="1686">
        <f>BB10/$BE$10</f>
        <v>3.2863849765258218E-2</v>
      </c>
      <c r="BC11" s="1686">
        <f>BC10/$BE$10</f>
        <v>0.50704225352112675</v>
      </c>
      <c r="BD11" s="1686">
        <f>BD10/$BE$10</f>
        <v>0.2300469483568075</v>
      </c>
      <c r="BE11" s="2616">
        <f>BE10/$BE$10</f>
        <v>1</v>
      </c>
      <c r="BF11" s="2618">
        <f>BF10/$BJ$10</f>
        <v>0.23555555555555555</v>
      </c>
      <c r="BG11" s="1686">
        <f>BG10/$BJ$10</f>
        <v>3.111111111111111E-2</v>
      </c>
      <c r="BH11" s="1686">
        <f>BH10/$BJ$10</f>
        <v>0.50666666666666671</v>
      </c>
      <c r="BI11" s="1686">
        <f>BI10/$BJ$10</f>
        <v>0.22666666666666666</v>
      </c>
      <c r="BJ11" s="2616">
        <f t="shared" si="0"/>
        <v>1</v>
      </c>
      <c r="BK11" s="2618">
        <f>BK10/$BO$10</f>
        <v>0.22608695652173913</v>
      </c>
      <c r="BL11" s="1686">
        <f>BL10/$BO$10</f>
        <v>3.0434782608695653E-2</v>
      </c>
      <c r="BM11" s="1686">
        <f>BM10/$BO$10</f>
        <v>0.52173913043478259</v>
      </c>
      <c r="BN11" s="1686">
        <f>BN10/$BO$10</f>
        <v>0.22173913043478261</v>
      </c>
      <c r="BO11" s="2616">
        <f t="shared" si="1"/>
        <v>1</v>
      </c>
      <c r="BP11" s="2618">
        <f>BP10/$BT$10</f>
        <v>0.22018348623853212</v>
      </c>
      <c r="BQ11" s="1686">
        <f>BQ10/$BT$10</f>
        <v>2.7522935779816515E-2</v>
      </c>
      <c r="BR11" s="1686">
        <f>BR10/$BT$10</f>
        <v>0.5321100917431193</v>
      </c>
      <c r="BS11" s="1686">
        <f>BS10/$BT$10</f>
        <v>0.22018348623853212</v>
      </c>
      <c r="BT11" s="2616">
        <f t="shared" si="2"/>
        <v>1</v>
      </c>
      <c r="BU11" s="2618">
        <f>BU10/$BY$10</f>
        <v>0.21719457013574661</v>
      </c>
      <c r="BV11" s="1686">
        <f t="shared" ref="BV11:BX11" si="6">BV10/$BY$10</f>
        <v>2.7149321266968326E-2</v>
      </c>
      <c r="BW11" s="1686">
        <f t="shared" si="6"/>
        <v>0.5339366515837104</v>
      </c>
      <c r="BX11" s="1686">
        <f t="shared" si="6"/>
        <v>0.22171945701357465</v>
      </c>
      <c r="BY11" s="2616">
        <f t="shared" si="3"/>
        <v>1</v>
      </c>
    </row>
    <row r="12" spans="1:77" ht="15" x14ac:dyDescent="0.2">
      <c r="A12" s="7297"/>
      <c r="B12" s="7299" t="s">
        <v>12</v>
      </c>
      <c r="C12" s="2637">
        <v>324</v>
      </c>
      <c r="D12" s="2638">
        <v>22</v>
      </c>
      <c r="E12" s="2638">
        <v>325</v>
      </c>
      <c r="F12" s="2638">
        <v>229</v>
      </c>
      <c r="G12" s="2638">
        <v>900</v>
      </c>
      <c r="H12" s="2639">
        <v>320</v>
      </c>
      <c r="I12" s="2640">
        <v>21</v>
      </c>
      <c r="J12" s="2640">
        <v>311</v>
      </c>
      <c r="K12" s="2640">
        <v>245</v>
      </c>
      <c r="L12" s="2641">
        <v>897</v>
      </c>
      <c r="M12" s="2639">
        <v>251</v>
      </c>
      <c r="N12" s="2640">
        <v>24</v>
      </c>
      <c r="O12" s="2640">
        <v>325</v>
      </c>
      <c r="P12" s="2640">
        <v>264</v>
      </c>
      <c r="Q12" s="2641">
        <v>864</v>
      </c>
      <c r="R12" s="2639">
        <v>245</v>
      </c>
      <c r="S12" s="2640">
        <v>22</v>
      </c>
      <c r="T12" s="2640">
        <v>335</v>
      </c>
      <c r="U12" s="2640">
        <v>273</v>
      </c>
      <c r="V12" s="2641">
        <v>875</v>
      </c>
      <c r="W12" s="2639">
        <v>215</v>
      </c>
      <c r="X12" s="2640">
        <v>18</v>
      </c>
      <c r="Y12" s="2640">
        <v>336</v>
      </c>
      <c r="Z12" s="2640">
        <v>293</v>
      </c>
      <c r="AA12" s="2641">
        <v>862</v>
      </c>
      <c r="AB12" s="2639">
        <v>205</v>
      </c>
      <c r="AC12" s="2640">
        <v>19</v>
      </c>
      <c r="AD12" s="2640">
        <v>340</v>
      </c>
      <c r="AE12" s="2640">
        <v>301</v>
      </c>
      <c r="AF12" s="2641">
        <v>865</v>
      </c>
      <c r="AG12" s="2639">
        <v>198</v>
      </c>
      <c r="AH12" s="2640">
        <v>20</v>
      </c>
      <c r="AI12" s="2640">
        <v>328</v>
      </c>
      <c r="AJ12" s="2640">
        <v>302</v>
      </c>
      <c r="AK12" s="2641">
        <v>848</v>
      </c>
      <c r="AL12" s="2639">
        <v>198.40949289764956</v>
      </c>
      <c r="AM12" s="2640">
        <v>20.026804762859904</v>
      </c>
      <c r="AN12" s="2640">
        <v>336.7277128425813</v>
      </c>
      <c r="AO12" s="2640">
        <v>308.83598949690929</v>
      </c>
      <c r="AP12" s="2641">
        <v>864.00000000000011</v>
      </c>
      <c r="AQ12" s="2639">
        <v>194.40346721902017</v>
      </c>
      <c r="AR12" s="2640">
        <v>17.020416066282422</v>
      </c>
      <c r="AS12" s="2640">
        <v>336.70686239193083</v>
      </c>
      <c r="AT12" s="2640">
        <v>322.86925432276661</v>
      </c>
      <c r="AU12" s="2641">
        <v>871</v>
      </c>
      <c r="AV12" s="2639">
        <v>174.35561497326205</v>
      </c>
      <c r="AW12" s="2640">
        <v>18.019429590017825</v>
      </c>
      <c r="AX12" s="2640">
        <v>343.68021390374327</v>
      </c>
      <c r="AY12" s="2640">
        <v>377.94474153297682</v>
      </c>
      <c r="AZ12" s="2641">
        <v>914</v>
      </c>
      <c r="BA12" s="2639">
        <f t="shared" ref="BA12:BJ12" si="7">SUM(BA6,BA8,BA10)</f>
        <v>166</v>
      </c>
      <c r="BB12" s="2640">
        <f t="shared" si="7"/>
        <v>14</v>
      </c>
      <c r="BC12" s="2640">
        <f t="shared" si="7"/>
        <v>350</v>
      </c>
      <c r="BD12" s="2640">
        <f t="shared" si="7"/>
        <v>411</v>
      </c>
      <c r="BE12" s="2641">
        <f t="shared" si="7"/>
        <v>941</v>
      </c>
      <c r="BF12" s="2639">
        <f t="shared" si="7"/>
        <v>167</v>
      </c>
      <c r="BG12" s="2640">
        <f t="shared" si="7"/>
        <v>14</v>
      </c>
      <c r="BH12" s="2640">
        <f t="shared" si="7"/>
        <v>357</v>
      </c>
      <c r="BI12" s="2640">
        <f t="shared" si="7"/>
        <v>424</v>
      </c>
      <c r="BJ12" s="2641">
        <f t="shared" si="7"/>
        <v>962</v>
      </c>
      <c r="BK12" s="2639">
        <f t="shared" ref="BK12:BT12" si="8">SUM(BK6,BK8,BK10)</f>
        <v>164</v>
      </c>
      <c r="BL12" s="2640">
        <f t="shared" si="8"/>
        <v>14</v>
      </c>
      <c r="BM12" s="2640">
        <f t="shared" si="8"/>
        <v>370</v>
      </c>
      <c r="BN12" s="2640">
        <f t="shared" si="8"/>
        <v>434</v>
      </c>
      <c r="BO12" s="2641">
        <f t="shared" si="8"/>
        <v>982</v>
      </c>
      <c r="BP12" s="2639">
        <f t="shared" si="8"/>
        <v>154</v>
      </c>
      <c r="BQ12" s="2640">
        <f t="shared" si="8"/>
        <v>13</v>
      </c>
      <c r="BR12" s="2640">
        <f t="shared" si="8"/>
        <v>367</v>
      </c>
      <c r="BS12" s="2640">
        <f t="shared" si="8"/>
        <v>442</v>
      </c>
      <c r="BT12" s="2641">
        <f t="shared" si="8"/>
        <v>976</v>
      </c>
      <c r="BU12" s="2639">
        <f t="shared" ref="BU12:BY12" si="9">SUM(BU6,BU8,BU10)</f>
        <v>154</v>
      </c>
      <c r="BV12" s="2640">
        <f t="shared" si="9"/>
        <v>13</v>
      </c>
      <c r="BW12" s="2640">
        <f t="shared" si="9"/>
        <v>372</v>
      </c>
      <c r="BX12" s="2640">
        <f t="shared" si="9"/>
        <v>450</v>
      </c>
      <c r="BY12" s="2641">
        <f t="shared" si="9"/>
        <v>989</v>
      </c>
    </row>
    <row r="13" spans="1:77" ht="12.75" customHeight="1" x14ac:dyDescent="0.2">
      <c r="A13" s="7298"/>
      <c r="B13" s="7271"/>
      <c r="C13" s="2633">
        <v>0.36</v>
      </c>
      <c r="D13" s="2634">
        <v>2.4444444444444446E-2</v>
      </c>
      <c r="E13" s="2634">
        <v>0.3611111111111111</v>
      </c>
      <c r="F13" s="2634">
        <v>0.25444444444444442</v>
      </c>
      <c r="G13" s="2635">
        <v>1</v>
      </c>
      <c r="H13" s="2633">
        <v>0.35674470457079155</v>
      </c>
      <c r="I13" s="2634">
        <v>2.3411371237458192E-2</v>
      </c>
      <c r="J13" s="2634">
        <v>0.34671125975473799</v>
      </c>
      <c r="K13" s="2634">
        <v>0.27313266443701228</v>
      </c>
      <c r="L13" s="2635">
        <v>1</v>
      </c>
      <c r="M13" s="2633">
        <v>0.29050925925925924</v>
      </c>
      <c r="N13" s="2634">
        <v>2.7777777777777776E-2</v>
      </c>
      <c r="O13" s="2634">
        <v>0.37615740740740738</v>
      </c>
      <c r="P13" s="2634">
        <v>0.30555555555555558</v>
      </c>
      <c r="Q13" s="2635">
        <v>1</v>
      </c>
      <c r="R13" s="2633">
        <v>0.28000000000000003</v>
      </c>
      <c r="S13" s="2634">
        <v>2.5142857142857144E-2</v>
      </c>
      <c r="T13" s="2634">
        <v>0.38285714285714284</v>
      </c>
      <c r="U13" s="2634">
        <v>0.312</v>
      </c>
      <c r="V13" s="2635">
        <v>1</v>
      </c>
      <c r="W13" s="2633">
        <v>0.24941995359628771</v>
      </c>
      <c r="X13" s="2634">
        <v>2.0881670533642691E-2</v>
      </c>
      <c r="Y13" s="2634">
        <v>0.38979118329466356</v>
      </c>
      <c r="Z13" s="2634">
        <v>0.33990719257540603</v>
      </c>
      <c r="AA13" s="2635">
        <v>1</v>
      </c>
      <c r="AB13" s="2633">
        <v>0.23699421965317918</v>
      </c>
      <c r="AC13" s="2634">
        <v>2.1965317919075144E-2</v>
      </c>
      <c r="AD13" s="2634">
        <v>0.39306358381502893</v>
      </c>
      <c r="AE13" s="2634">
        <v>0.34797687861271676</v>
      </c>
      <c r="AF13" s="2635">
        <v>1</v>
      </c>
      <c r="AG13" s="2633">
        <v>0.23349056603773585</v>
      </c>
      <c r="AH13" s="2634">
        <v>2.358490566037736E-2</v>
      </c>
      <c r="AI13" s="2634">
        <v>0.3867924528301887</v>
      </c>
      <c r="AJ13" s="2634">
        <v>0.35613207547169812</v>
      </c>
      <c r="AK13" s="2635">
        <v>1</v>
      </c>
      <c r="AL13" s="2633">
        <v>0.22964061677968695</v>
      </c>
      <c r="AM13" s="2634">
        <v>2.3179172179235995E-2</v>
      </c>
      <c r="AN13" s="2634">
        <v>0.38973114912335793</v>
      </c>
      <c r="AO13" s="2634">
        <v>0.35744906191771902</v>
      </c>
      <c r="AP13" s="2635">
        <v>1</v>
      </c>
      <c r="AQ13" s="2633">
        <v>0.22319571437315749</v>
      </c>
      <c r="AR13" s="2634">
        <v>1.9541235437752495E-2</v>
      </c>
      <c r="AS13" s="2634">
        <v>0.38657504292988615</v>
      </c>
      <c r="AT13" s="2634">
        <v>0.37068800725920392</v>
      </c>
      <c r="AU13" s="2635">
        <v>1</v>
      </c>
      <c r="AV13" s="2633">
        <v>0.19076106671035234</v>
      </c>
      <c r="AW13" s="2634">
        <v>1.9714912024089523E-2</v>
      </c>
      <c r="AX13" s="2634">
        <v>0.37601773950081319</v>
      </c>
      <c r="AY13" s="2634">
        <v>0.41350628176474485</v>
      </c>
      <c r="AZ13" s="2635">
        <v>1</v>
      </c>
      <c r="BA13" s="1366">
        <f>BA12/$BE$12</f>
        <v>0.17640807651434645</v>
      </c>
      <c r="BB13" s="1365">
        <f>BB12/$BE$12</f>
        <v>1.487778958554729E-2</v>
      </c>
      <c r="BC13" s="1365">
        <f>BC12/$BE$12</f>
        <v>0.37194473963868224</v>
      </c>
      <c r="BD13" s="1365">
        <f>BD12/$BE$12</f>
        <v>0.43676939426142403</v>
      </c>
      <c r="BE13" s="2636">
        <f>BE12/$BE$12</f>
        <v>1</v>
      </c>
      <c r="BF13" s="1366">
        <f>BF12/$BJ$12</f>
        <v>0.17359667359667361</v>
      </c>
      <c r="BG13" s="1365">
        <f>BG12/$BJ$12</f>
        <v>1.4553014553014554E-2</v>
      </c>
      <c r="BH13" s="1365">
        <f>BH12/$BJ$12</f>
        <v>0.37110187110187109</v>
      </c>
      <c r="BI13" s="1365">
        <f>BI12/$BJ$12</f>
        <v>0.44074844074844077</v>
      </c>
      <c r="BJ13" s="2636">
        <f>SUM(BF13:BI13)</f>
        <v>1</v>
      </c>
      <c r="BK13" s="1366">
        <f>BK12/$BO$12</f>
        <v>0.16700610997963339</v>
      </c>
      <c r="BL13" s="1365">
        <f>BL12/$BO$12</f>
        <v>1.4256619144602852E-2</v>
      </c>
      <c r="BM13" s="1365">
        <f>BM12/$BO$12</f>
        <v>0.37678207739307534</v>
      </c>
      <c r="BN13" s="1365">
        <f>BN12/$BO$12</f>
        <v>0.44195519348268841</v>
      </c>
      <c r="BO13" s="2636">
        <f>SUM(BK13:BN13)</f>
        <v>1</v>
      </c>
      <c r="BP13" s="1366">
        <f>BP12/$BT$12</f>
        <v>0.15778688524590165</v>
      </c>
      <c r="BQ13" s="1365">
        <f>BQ12/$BT$12</f>
        <v>1.331967213114754E-2</v>
      </c>
      <c r="BR13" s="1365">
        <f>BR12/$BT$12</f>
        <v>0.37602459016393441</v>
      </c>
      <c r="BS13" s="1365">
        <f>BS12/$BT$12</f>
        <v>0.45286885245901637</v>
      </c>
      <c r="BT13" s="2636">
        <f>SUM(BP13:BS13)</f>
        <v>1</v>
      </c>
      <c r="BU13" s="1366">
        <f>BU12/$BY$12</f>
        <v>0.1557128412537917</v>
      </c>
      <c r="BV13" s="1365">
        <f t="shared" ref="BV13:BX13" si="10">BV12/$BY$12</f>
        <v>1.314459049544995E-2</v>
      </c>
      <c r="BW13" s="1365">
        <f t="shared" si="10"/>
        <v>0.37613751263902934</v>
      </c>
      <c r="BX13" s="1365">
        <f t="shared" si="10"/>
        <v>0.45500505561172899</v>
      </c>
      <c r="BY13" s="2636">
        <f>SUM(BU13:BX13)</f>
        <v>1</v>
      </c>
    </row>
    <row r="15" spans="1:77" ht="15" x14ac:dyDescent="0.2">
      <c r="A15" s="7282" t="s">
        <v>8</v>
      </c>
      <c r="B15" s="7273" t="s">
        <v>6</v>
      </c>
      <c r="C15" s="1348"/>
      <c r="D15" s="1348"/>
      <c r="E15" s="1348"/>
      <c r="F15" s="1348"/>
      <c r="G15" s="475"/>
      <c r="H15" s="1349"/>
      <c r="I15" s="1349"/>
      <c r="J15" s="1349"/>
      <c r="K15" s="1349"/>
      <c r="L15" s="714"/>
      <c r="M15" s="1349"/>
      <c r="N15" s="1349"/>
      <c r="O15" s="1349">
        <v>2</v>
      </c>
      <c r="P15" s="1349">
        <v>9</v>
      </c>
      <c r="Q15" s="714">
        <v>11</v>
      </c>
      <c r="R15" s="1349"/>
      <c r="S15" s="1349"/>
      <c r="T15" s="1349">
        <v>2</v>
      </c>
      <c r="U15" s="1349">
        <v>19</v>
      </c>
      <c r="V15" s="714">
        <v>21</v>
      </c>
      <c r="W15" s="1349"/>
      <c r="X15" s="1349"/>
      <c r="Y15" s="1349"/>
      <c r="Z15" s="1349">
        <v>28</v>
      </c>
      <c r="AA15" s="714">
        <v>28</v>
      </c>
      <c r="AB15" s="1350"/>
      <c r="AC15" s="1349"/>
      <c r="AD15" s="1349"/>
      <c r="AE15" s="1349">
        <v>36</v>
      </c>
      <c r="AF15" s="714">
        <v>36</v>
      </c>
      <c r="AG15" s="1350"/>
      <c r="AH15" s="1349"/>
      <c r="AI15" s="1349"/>
      <c r="AJ15" s="1349">
        <v>46</v>
      </c>
      <c r="AK15" s="714">
        <v>46</v>
      </c>
      <c r="AL15" s="1350"/>
      <c r="AM15" s="1349"/>
      <c r="AN15" s="1349"/>
      <c r="AO15" s="1349">
        <v>49</v>
      </c>
      <c r="AP15" s="714">
        <v>49</v>
      </c>
      <c r="AQ15" s="1350"/>
      <c r="AR15" s="1349"/>
      <c r="AS15" s="1349"/>
      <c r="AT15" s="1349">
        <v>58</v>
      </c>
      <c r="AU15" s="714">
        <v>58</v>
      </c>
      <c r="AV15" s="1350"/>
      <c r="AW15" s="1349"/>
      <c r="AX15" s="1349">
        <v>1</v>
      </c>
      <c r="AY15" s="1349">
        <v>64</v>
      </c>
      <c r="AZ15" s="714">
        <v>65</v>
      </c>
      <c r="BA15" s="1350">
        <f>+'PTC-GRADO (1)'!BA11</f>
        <v>0</v>
      </c>
      <c r="BB15" s="1349">
        <f>+'PTC-GRADO (1)'!BB11</f>
        <v>0</v>
      </c>
      <c r="BC15" s="1349">
        <f>+'PTC-GRADO (1)'!BC11</f>
        <v>1</v>
      </c>
      <c r="BD15" s="1349">
        <f>+'PTC-GRADO (1)'!BD11</f>
        <v>63</v>
      </c>
      <c r="BE15" s="714">
        <f>SUM(BA15:BD15)</f>
        <v>64</v>
      </c>
      <c r="BF15" s="1350">
        <f>+'PTC-GRADO (1)'!BF11</f>
        <v>0</v>
      </c>
      <c r="BG15" s="1349">
        <f>+'PTC-GRADO (1)'!BG11</f>
        <v>0</v>
      </c>
      <c r="BH15" s="1349">
        <f>+'PTC-GRADO (1)'!BH11</f>
        <v>1</v>
      </c>
      <c r="BI15" s="1349">
        <f>+'PTC-GRADO (1)'!BI11</f>
        <v>67</v>
      </c>
      <c r="BJ15" s="714">
        <f t="shared" ref="BJ15:BJ20" si="11">SUM(BF15:BI15)</f>
        <v>68</v>
      </c>
      <c r="BK15" s="1350">
        <f>+'PTC-GRADO (1)'!BK11</f>
        <v>0</v>
      </c>
      <c r="BL15" s="1349">
        <f>+'PTC-GRADO (1)'!BL11</f>
        <v>0</v>
      </c>
      <c r="BM15" s="1349">
        <f>+'PTC-GRADO (1)'!BM11</f>
        <v>2</v>
      </c>
      <c r="BN15" s="1349">
        <f>+'PTC-GRADO (1)'!BN11</f>
        <v>71</v>
      </c>
      <c r="BO15" s="714">
        <f t="shared" ref="BO15:BO20" si="12">SUM(BK15:BN15)</f>
        <v>73</v>
      </c>
      <c r="BP15" s="1350">
        <f>+'PTC-GRADO (1)'!BP11</f>
        <v>0</v>
      </c>
      <c r="BQ15" s="1349">
        <f>+'PTC-GRADO (1)'!BQ11</f>
        <v>0</v>
      </c>
      <c r="BR15" s="1349">
        <f>+'PTC-GRADO (1)'!BR11</f>
        <v>2</v>
      </c>
      <c r="BS15" s="1349">
        <f>+'PTC-GRADO (1)'!BS11</f>
        <v>72</v>
      </c>
      <c r="BT15" s="714">
        <f t="shared" ref="BT15:BT20" si="13">SUM(BP15:BS15)</f>
        <v>74</v>
      </c>
      <c r="BU15" s="1350">
        <f>+'PTC-GRADO (1)'!BU11</f>
        <v>0</v>
      </c>
      <c r="BV15" s="1349">
        <f>+'PTC-GRADO (1)'!BV11</f>
        <v>0</v>
      </c>
      <c r="BW15" s="1349">
        <f>+'PTC-GRADO (1)'!BW11</f>
        <v>2</v>
      </c>
      <c r="BX15" s="1349">
        <f>+'PTC-GRADO (1)'!BX11</f>
        <v>74</v>
      </c>
      <c r="BY15" s="714">
        <f t="shared" ref="BY15:BY20" si="14">SUM(BU15:BX15)</f>
        <v>76</v>
      </c>
    </row>
    <row r="16" spans="1:77" ht="15" customHeight="1" x14ac:dyDescent="0.2">
      <c r="A16" s="7283"/>
      <c r="B16" s="7274"/>
      <c r="C16" s="1686"/>
      <c r="D16" s="1686"/>
      <c r="E16" s="1686"/>
      <c r="F16" s="1686"/>
      <c r="G16" s="2616"/>
      <c r="H16" s="1686"/>
      <c r="I16" s="1686"/>
      <c r="J16" s="1686"/>
      <c r="K16" s="1686"/>
      <c r="L16" s="2616"/>
      <c r="M16" s="1686"/>
      <c r="N16" s="1686"/>
      <c r="O16" s="1686">
        <v>0.18181818181818182</v>
      </c>
      <c r="P16" s="1686">
        <v>0.81818181818181823</v>
      </c>
      <c r="Q16" s="2616">
        <v>1</v>
      </c>
      <c r="R16" s="1686"/>
      <c r="S16" s="1686"/>
      <c r="T16" s="1686">
        <v>9.5238095238095233E-2</v>
      </c>
      <c r="U16" s="1686">
        <v>0.90476190476190477</v>
      </c>
      <c r="V16" s="2616">
        <v>1</v>
      </c>
      <c r="W16" s="1686"/>
      <c r="X16" s="1686"/>
      <c r="Y16" s="1686"/>
      <c r="Z16" s="1686">
        <v>1</v>
      </c>
      <c r="AA16" s="2617">
        <v>1</v>
      </c>
      <c r="AB16" s="2618"/>
      <c r="AC16" s="1686"/>
      <c r="AD16" s="1686"/>
      <c r="AE16" s="1686">
        <f>+AE15/AF15</f>
        <v>1</v>
      </c>
      <c r="AF16" s="2616">
        <f>+AF15/AF15</f>
        <v>1</v>
      </c>
      <c r="AG16" s="2618"/>
      <c r="AH16" s="1686"/>
      <c r="AI16" s="1686"/>
      <c r="AJ16" s="1686">
        <v>1</v>
      </c>
      <c r="AK16" s="2616">
        <v>1</v>
      </c>
      <c r="AL16" s="2618"/>
      <c r="AM16" s="1686"/>
      <c r="AN16" s="1686"/>
      <c r="AO16" s="1686">
        <v>1</v>
      </c>
      <c r="AP16" s="2616">
        <v>1</v>
      </c>
      <c r="AQ16" s="2618"/>
      <c r="AR16" s="1686"/>
      <c r="AS16" s="1686"/>
      <c r="AT16" s="1686">
        <v>1</v>
      </c>
      <c r="AU16" s="2616">
        <v>1</v>
      </c>
      <c r="AV16" s="2618"/>
      <c r="AW16" s="1686"/>
      <c r="AX16" s="1686">
        <v>1.5384615384615385E-2</v>
      </c>
      <c r="AY16" s="1686">
        <v>0.98461538461538467</v>
      </c>
      <c r="AZ16" s="2616">
        <v>1</v>
      </c>
      <c r="BA16" s="2618">
        <f>BA15/$BE$15</f>
        <v>0</v>
      </c>
      <c r="BB16" s="1686">
        <f>BB15/$BE$15</f>
        <v>0</v>
      </c>
      <c r="BC16" s="1686">
        <f>BC15/$BE$15</f>
        <v>1.5625E-2</v>
      </c>
      <c r="BD16" s="1686">
        <f>BD15/$BE$15</f>
        <v>0.984375</v>
      </c>
      <c r="BE16" s="2616">
        <f>BE15/$BE$15</f>
        <v>1</v>
      </c>
      <c r="BF16" s="2618">
        <f>BF15/$BJ$15</f>
        <v>0</v>
      </c>
      <c r="BG16" s="1686">
        <f>BG15/$BJ$15</f>
        <v>0</v>
      </c>
      <c r="BH16" s="1686">
        <f>BH15/$BJ$15</f>
        <v>1.4705882352941176E-2</v>
      </c>
      <c r="BI16" s="1686">
        <f>BI15/$BJ$15</f>
        <v>0.98529411764705888</v>
      </c>
      <c r="BJ16" s="2616">
        <f t="shared" si="11"/>
        <v>1</v>
      </c>
      <c r="BK16" s="2618">
        <f>BK15/$BO$15</f>
        <v>0</v>
      </c>
      <c r="BL16" s="1686">
        <f>BL15/$BO$15</f>
        <v>0</v>
      </c>
      <c r="BM16" s="1686">
        <f>BM15/$BO$15</f>
        <v>2.7397260273972601E-2</v>
      </c>
      <c r="BN16" s="1686">
        <f>BN15/$BO$15</f>
        <v>0.9726027397260274</v>
      </c>
      <c r="BO16" s="2616">
        <f t="shared" si="12"/>
        <v>1</v>
      </c>
      <c r="BP16" s="2618">
        <f>BP15/$BT$15</f>
        <v>0</v>
      </c>
      <c r="BQ16" s="1686">
        <f>BQ15/$BT$15</f>
        <v>0</v>
      </c>
      <c r="BR16" s="1686">
        <f>BR15/$BT$15</f>
        <v>2.7027027027027029E-2</v>
      </c>
      <c r="BS16" s="1686">
        <f>BS15/$BT$15</f>
        <v>0.97297297297297303</v>
      </c>
      <c r="BT16" s="2616">
        <f t="shared" si="13"/>
        <v>1</v>
      </c>
      <c r="BU16" s="2618">
        <f>BU15/$BY$15</f>
        <v>0</v>
      </c>
      <c r="BV16" s="1686">
        <f t="shared" ref="BV16:BX16" si="15">BV15/$BY$15</f>
        <v>0</v>
      </c>
      <c r="BW16" s="1686">
        <f t="shared" si="15"/>
        <v>2.6315789473684209E-2</v>
      </c>
      <c r="BX16" s="1686">
        <f t="shared" si="15"/>
        <v>0.97368421052631582</v>
      </c>
      <c r="BY16" s="2616">
        <f t="shared" si="14"/>
        <v>1</v>
      </c>
    </row>
    <row r="17" spans="1:77" ht="15" x14ac:dyDescent="0.2">
      <c r="A17" s="7283"/>
      <c r="B17" s="7274" t="s">
        <v>9</v>
      </c>
      <c r="C17" s="2619"/>
      <c r="D17" s="2619"/>
      <c r="E17" s="2619"/>
      <c r="F17" s="2619"/>
      <c r="G17" s="2620"/>
      <c r="H17" s="2621"/>
      <c r="I17" s="2621"/>
      <c r="J17" s="2621"/>
      <c r="K17" s="2621"/>
      <c r="L17" s="2622"/>
      <c r="M17" s="2621">
        <v>1</v>
      </c>
      <c r="N17" s="2621"/>
      <c r="O17" s="2621"/>
      <c r="P17" s="2621">
        <v>3</v>
      </c>
      <c r="Q17" s="2622">
        <v>4</v>
      </c>
      <c r="R17" s="2621"/>
      <c r="S17" s="2621"/>
      <c r="T17" s="2621">
        <v>7</v>
      </c>
      <c r="U17" s="2621">
        <v>13</v>
      </c>
      <c r="V17" s="2622">
        <v>20</v>
      </c>
      <c r="W17" s="2621"/>
      <c r="X17" s="2621"/>
      <c r="Y17" s="2621">
        <v>7</v>
      </c>
      <c r="Z17" s="2621">
        <v>14</v>
      </c>
      <c r="AA17" s="2622">
        <v>21</v>
      </c>
      <c r="AB17" s="2623"/>
      <c r="AC17" s="2621"/>
      <c r="AD17" s="2621">
        <v>9</v>
      </c>
      <c r="AE17" s="2621">
        <v>18</v>
      </c>
      <c r="AF17" s="2622">
        <v>27</v>
      </c>
      <c r="AG17" s="2623">
        <v>2</v>
      </c>
      <c r="AH17" s="2621"/>
      <c r="AI17" s="2621">
        <v>15</v>
      </c>
      <c r="AJ17" s="2621">
        <v>28</v>
      </c>
      <c r="AK17" s="2622">
        <v>45</v>
      </c>
      <c r="AL17" s="2623">
        <v>3</v>
      </c>
      <c r="AM17" s="2621"/>
      <c r="AN17" s="2621">
        <v>19</v>
      </c>
      <c r="AO17" s="2621">
        <v>33</v>
      </c>
      <c r="AP17" s="2622">
        <v>55</v>
      </c>
      <c r="AQ17" s="2623">
        <v>3</v>
      </c>
      <c r="AR17" s="2621"/>
      <c r="AS17" s="2621">
        <v>25</v>
      </c>
      <c r="AT17" s="2621">
        <v>39</v>
      </c>
      <c r="AU17" s="2622">
        <v>67</v>
      </c>
      <c r="AV17" s="2623">
        <v>4</v>
      </c>
      <c r="AW17" s="2621">
        <v>1</v>
      </c>
      <c r="AX17" s="2621">
        <v>21</v>
      </c>
      <c r="AY17" s="2621">
        <v>43</v>
      </c>
      <c r="AZ17" s="2622">
        <v>69</v>
      </c>
      <c r="BA17" s="2623">
        <f>+'PTC-GRADO (1)'!BA12</f>
        <v>2</v>
      </c>
      <c r="BB17" s="2621">
        <f>+'PTC-GRADO (1)'!BB12</f>
        <v>1</v>
      </c>
      <c r="BC17" s="2621">
        <f>+'PTC-GRADO (1)'!BC12</f>
        <v>22</v>
      </c>
      <c r="BD17" s="2621">
        <f>+'PTC-GRADO (1)'!BD12</f>
        <v>42</v>
      </c>
      <c r="BE17" s="2622">
        <f>SUM(BA17:BD17)</f>
        <v>67</v>
      </c>
      <c r="BF17" s="2623">
        <f>+'PTC-GRADO (1)'!BF12</f>
        <v>2</v>
      </c>
      <c r="BG17" s="2621">
        <f>+'PTC-GRADO (1)'!BG12</f>
        <v>1</v>
      </c>
      <c r="BH17" s="2621">
        <f>+'PTC-GRADO (1)'!BH12</f>
        <v>23</v>
      </c>
      <c r="BI17" s="2621">
        <f>+'PTC-GRADO (1)'!BI12</f>
        <v>43</v>
      </c>
      <c r="BJ17" s="2622">
        <f t="shared" si="11"/>
        <v>69</v>
      </c>
      <c r="BK17" s="2623">
        <f>+'PTC-GRADO (1)'!BK12</f>
        <v>2</v>
      </c>
      <c r="BL17" s="2621">
        <f>+'PTC-GRADO (1)'!BL12</f>
        <v>1</v>
      </c>
      <c r="BM17" s="2621">
        <f>+'PTC-GRADO (1)'!BM12</f>
        <v>26</v>
      </c>
      <c r="BN17" s="2621">
        <f>+'PTC-GRADO (1)'!BN12</f>
        <v>46</v>
      </c>
      <c r="BO17" s="2622">
        <f t="shared" si="12"/>
        <v>75</v>
      </c>
      <c r="BP17" s="2623">
        <f>+'PTC-GRADO (1)'!BP12</f>
        <v>2</v>
      </c>
      <c r="BQ17" s="2621">
        <f>+'PTC-GRADO (1)'!BQ12</f>
        <v>1</v>
      </c>
      <c r="BR17" s="2621">
        <f>+'PTC-GRADO (1)'!BR12</f>
        <v>26</v>
      </c>
      <c r="BS17" s="2621">
        <f>+'PTC-GRADO (1)'!BS12</f>
        <v>48</v>
      </c>
      <c r="BT17" s="2622">
        <f t="shared" si="13"/>
        <v>77</v>
      </c>
      <c r="BU17" s="2623">
        <f>+'PTC-GRADO (1)'!BU12</f>
        <v>3</v>
      </c>
      <c r="BV17" s="2621">
        <f>+'PTC-GRADO (1)'!BV12</f>
        <v>1</v>
      </c>
      <c r="BW17" s="2621">
        <f>+'PTC-GRADO (1)'!BW12</f>
        <v>26</v>
      </c>
      <c r="BX17" s="2621">
        <f>+'PTC-GRADO (1)'!BX12</f>
        <v>48</v>
      </c>
      <c r="BY17" s="2622">
        <f t="shared" si="14"/>
        <v>78</v>
      </c>
    </row>
    <row r="18" spans="1:77" ht="15" customHeight="1" x14ac:dyDescent="0.2">
      <c r="A18" s="7283"/>
      <c r="B18" s="7274"/>
      <c r="C18" s="2624"/>
      <c r="D18" s="2624"/>
      <c r="E18" s="2624"/>
      <c r="F18" s="2624"/>
      <c r="G18" s="2625"/>
      <c r="H18" s="2624"/>
      <c r="I18" s="2624"/>
      <c r="J18" s="2624"/>
      <c r="K18" s="2624"/>
      <c r="L18" s="2625"/>
      <c r="M18" s="2624">
        <v>0.25</v>
      </c>
      <c r="N18" s="2624"/>
      <c r="O18" s="2624"/>
      <c r="P18" s="2624">
        <v>0.75</v>
      </c>
      <c r="Q18" s="2625">
        <v>1</v>
      </c>
      <c r="R18" s="2624"/>
      <c r="S18" s="2624"/>
      <c r="T18" s="2624">
        <v>0.35</v>
      </c>
      <c r="U18" s="2624">
        <v>0.65</v>
      </c>
      <c r="V18" s="2625">
        <v>1</v>
      </c>
      <c r="W18" s="2624"/>
      <c r="X18" s="2624"/>
      <c r="Y18" s="2624">
        <v>0.33333333333333331</v>
      </c>
      <c r="Z18" s="2624">
        <v>0.66666666666666663</v>
      </c>
      <c r="AA18" s="2626">
        <v>1</v>
      </c>
      <c r="AB18" s="2627"/>
      <c r="AC18" s="2624"/>
      <c r="AD18" s="2624">
        <v>0.33333333333333331</v>
      </c>
      <c r="AE18" s="2624">
        <v>0.66666666666666663</v>
      </c>
      <c r="AF18" s="2625">
        <v>1</v>
      </c>
      <c r="AG18" s="2627">
        <v>4.4444444444444446E-2</v>
      </c>
      <c r="AH18" s="2624"/>
      <c r="AI18" s="2624">
        <v>0.33333333333333331</v>
      </c>
      <c r="AJ18" s="2624">
        <v>0.62222222222222223</v>
      </c>
      <c r="AK18" s="2625">
        <v>1</v>
      </c>
      <c r="AL18" s="2627">
        <v>5.4545454545454543E-2</v>
      </c>
      <c r="AM18" s="2624"/>
      <c r="AN18" s="2624">
        <v>0.34545454545454546</v>
      </c>
      <c r="AO18" s="2624">
        <v>0.6</v>
      </c>
      <c r="AP18" s="2625">
        <v>1</v>
      </c>
      <c r="AQ18" s="2627">
        <v>4.4776119402985072E-2</v>
      </c>
      <c r="AR18" s="2624"/>
      <c r="AS18" s="2624">
        <v>0.37313432835820898</v>
      </c>
      <c r="AT18" s="2624">
        <v>1.7179487179487178</v>
      </c>
      <c r="AU18" s="2625">
        <v>1</v>
      </c>
      <c r="AV18" s="2627">
        <v>5.7971014492753624E-2</v>
      </c>
      <c r="AW18" s="2624">
        <v>1.4492753623188406E-2</v>
      </c>
      <c r="AX18" s="2624">
        <v>0.30434782608695654</v>
      </c>
      <c r="AY18" s="2624">
        <v>0.62318840579710144</v>
      </c>
      <c r="AZ18" s="2625">
        <v>1</v>
      </c>
      <c r="BA18" s="2627">
        <f>BA17/$BE$17</f>
        <v>2.9850746268656716E-2</v>
      </c>
      <c r="BB18" s="2624">
        <f>BB17/$BE$17</f>
        <v>1.4925373134328358E-2</v>
      </c>
      <c r="BC18" s="2624">
        <f>BC17/$BE$17</f>
        <v>0.32835820895522388</v>
      </c>
      <c r="BD18" s="2624">
        <f>BD17/$BE$17</f>
        <v>0.62686567164179108</v>
      </c>
      <c r="BE18" s="2625">
        <f>BE17/$BE$17</f>
        <v>1</v>
      </c>
      <c r="BF18" s="2627">
        <f>BF17/$BJ$17</f>
        <v>2.8985507246376812E-2</v>
      </c>
      <c r="BG18" s="2624">
        <f>BG17/$BJ$17</f>
        <v>1.4492753623188406E-2</v>
      </c>
      <c r="BH18" s="2624">
        <f>BH17/$BJ$17</f>
        <v>0.33333333333333331</v>
      </c>
      <c r="BI18" s="2624">
        <f>BI17/$BJ$17</f>
        <v>0.62318840579710144</v>
      </c>
      <c r="BJ18" s="2625">
        <f t="shared" si="11"/>
        <v>1</v>
      </c>
      <c r="BK18" s="2627">
        <f>BK17/$BO$17</f>
        <v>2.6666666666666668E-2</v>
      </c>
      <c r="BL18" s="2624">
        <f>BL17/$BO$17</f>
        <v>1.3333333333333334E-2</v>
      </c>
      <c r="BM18" s="2624">
        <f>BM17/$BO$17</f>
        <v>0.34666666666666668</v>
      </c>
      <c r="BN18" s="2624">
        <f>BN17/$BO$17</f>
        <v>0.61333333333333329</v>
      </c>
      <c r="BO18" s="2625">
        <f t="shared" si="12"/>
        <v>1</v>
      </c>
      <c r="BP18" s="2627">
        <f>BP17/$BT$17</f>
        <v>2.5974025974025976E-2</v>
      </c>
      <c r="BQ18" s="2624">
        <f>BQ17/$BT$17</f>
        <v>1.2987012987012988E-2</v>
      </c>
      <c r="BR18" s="2624">
        <f>BR17/$BT$17</f>
        <v>0.33766233766233766</v>
      </c>
      <c r="BS18" s="2624">
        <f>BS17/$BT$17</f>
        <v>0.62337662337662336</v>
      </c>
      <c r="BT18" s="2625">
        <f t="shared" si="13"/>
        <v>1</v>
      </c>
      <c r="BU18" s="2627">
        <f>BU17/$BY$17</f>
        <v>3.8461538461538464E-2</v>
      </c>
      <c r="BV18" s="2624">
        <f t="shared" ref="BV18:BX18" si="16">BV17/$BY$17</f>
        <v>1.282051282051282E-2</v>
      </c>
      <c r="BW18" s="2624">
        <f t="shared" si="16"/>
        <v>0.33333333333333331</v>
      </c>
      <c r="BX18" s="2624">
        <f t="shared" si="16"/>
        <v>0.61538461538461542</v>
      </c>
      <c r="BY18" s="2625">
        <f t="shared" si="14"/>
        <v>1</v>
      </c>
    </row>
    <row r="19" spans="1:77" ht="15" x14ac:dyDescent="0.2">
      <c r="A19" s="7283"/>
      <c r="B19" s="7274" t="s">
        <v>74</v>
      </c>
      <c r="C19" s="1351"/>
      <c r="D19" s="1351"/>
      <c r="E19" s="1351"/>
      <c r="F19" s="1351"/>
      <c r="G19" s="480"/>
      <c r="H19" s="1352"/>
      <c r="I19" s="1352"/>
      <c r="J19" s="1352"/>
      <c r="K19" s="1352"/>
      <c r="L19" s="717"/>
      <c r="M19" s="1352"/>
      <c r="N19" s="1352"/>
      <c r="O19" s="1352"/>
      <c r="P19" s="1352">
        <v>8</v>
      </c>
      <c r="Q19" s="717">
        <v>8</v>
      </c>
      <c r="R19" s="1352"/>
      <c r="S19" s="1352"/>
      <c r="T19" s="1352">
        <v>1</v>
      </c>
      <c r="U19" s="1352">
        <v>15</v>
      </c>
      <c r="V19" s="717">
        <v>16</v>
      </c>
      <c r="W19" s="1352"/>
      <c r="X19" s="1352"/>
      <c r="Y19" s="1352"/>
      <c r="Z19" s="1352">
        <v>26</v>
      </c>
      <c r="AA19" s="717">
        <v>26</v>
      </c>
      <c r="AB19" s="1353"/>
      <c r="AC19" s="1352"/>
      <c r="AD19" s="1352"/>
      <c r="AE19" s="1352">
        <v>29</v>
      </c>
      <c r="AF19" s="717">
        <v>29</v>
      </c>
      <c r="AG19" s="1353"/>
      <c r="AH19" s="1352"/>
      <c r="AI19" s="1352">
        <v>2</v>
      </c>
      <c r="AJ19" s="1352">
        <v>40</v>
      </c>
      <c r="AK19" s="717">
        <v>42</v>
      </c>
      <c r="AL19" s="1353"/>
      <c r="AM19" s="1352"/>
      <c r="AN19" s="1352">
        <v>2</v>
      </c>
      <c r="AO19" s="1352">
        <v>44</v>
      </c>
      <c r="AP19" s="717">
        <v>46</v>
      </c>
      <c r="AQ19" s="1353"/>
      <c r="AR19" s="1352"/>
      <c r="AS19" s="1352">
        <v>2</v>
      </c>
      <c r="AT19" s="1352">
        <v>51</v>
      </c>
      <c r="AU19" s="717">
        <v>53</v>
      </c>
      <c r="AV19" s="1353"/>
      <c r="AW19" s="1352"/>
      <c r="AX19" s="1352">
        <v>2</v>
      </c>
      <c r="AY19" s="1352">
        <v>54</v>
      </c>
      <c r="AZ19" s="717">
        <v>56</v>
      </c>
      <c r="BA19" s="1353">
        <f>+'PTC-GRADO (1)'!BA13</f>
        <v>0</v>
      </c>
      <c r="BB19" s="1352">
        <f>+'PTC-GRADO (1)'!BB13</f>
        <v>0</v>
      </c>
      <c r="BC19" s="1352">
        <f>+'PTC-GRADO (1)'!BC13</f>
        <v>2</v>
      </c>
      <c r="BD19" s="1352">
        <f>+'PTC-GRADO (1)'!BD13</f>
        <v>61</v>
      </c>
      <c r="BE19" s="717">
        <f>SUM(BA19:BD19)</f>
        <v>63</v>
      </c>
      <c r="BF19" s="1353">
        <f>+'PTC-GRADO (1)'!BF13</f>
        <v>0</v>
      </c>
      <c r="BG19" s="1352">
        <f>+'PTC-GRADO (1)'!BG13</f>
        <v>0</v>
      </c>
      <c r="BH19" s="1352">
        <f>+'PTC-GRADO (1)'!BH13</f>
        <v>3</v>
      </c>
      <c r="BI19" s="1352">
        <f>+'PTC-GRADO (1)'!BI13</f>
        <v>69</v>
      </c>
      <c r="BJ19" s="717">
        <f t="shared" si="11"/>
        <v>72</v>
      </c>
      <c r="BK19" s="1353">
        <f>+'PTC-GRADO (1)'!BK13</f>
        <v>0</v>
      </c>
      <c r="BL19" s="1352">
        <f>+'PTC-GRADO (1)'!BL13</f>
        <v>0</v>
      </c>
      <c r="BM19" s="1352">
        <f>+'PTC-GRADO (1)'!BM13</f>
        <v>3</v>
      </c>
      <c r="BN19" s="1352">
        <f>+'PTC-GRADO (1)'!BN13</f>
        <v>71</v>
      </c>
      <c r="BO19" s="717">
        <f t="shared" si="12"/>
        <v>74</v>
      </c>
      <c r="BP19" s="1353">
        <f>+'PTC-GRADO (1)'!BP13</f>
        <v>0</v>
      </c>
      <c r="BQ19" s="1352">
        <f>+'PTC-GRADO (1)'!BQ13</f>
        <v>0</v>
      </c>
      <c r="BR19" s="1352">
        <f>+'PTC-GRADO (1)'!BR13</f>
        <v>4</v>
      </c>
      <c r="BS19" s="1352">
        <f>+'PTC-GRADO (1)'!BS13</f>
        <v>67</v>
      </c>
      <c r="BT19" s="717">
        <f t="shared" si="13"/>
        <v>71</v>
      </c>
      <c r="BU19" s="1353">
        <f>+'PTC-GRADO (1)'!BU13</f>
        <v>0</v>
      </c>
      <c r="BV19" s="1352">
        <f>+'PTC-GRADO (1)'!BV13</f>
        <v>0</v>
      </c>
      <c r="BW19" s="1352">
        <f>+'PTC-GRADO (1)'!BW13</f>
        <v>4</v>
      </c>
      <c r="BX19" s="1352">
        <f>+'PTC-GRADO (1)'!BX13</f>
        <v>74</v>
      </c>
      <c r="BY19" s="717">
        <f t="shared" si="14"/>
        <v>78</v>
      </c>
    </row>
    <row r="20" spans="1:77" ht="15" customHeight="1" x14ac:dyDescent="0.2">
      <c r="A20" s="7283"/>
      <c r="B20" s="7275"/>
      <c r="C20" s="1686"/>
      <c r="D20" s="1686"/>
      <c r="E20" s="1686"/>
      <c r="F20" s="1686"/>
      <c r="G20" s="2616"/>
      <c r="H20" s="1686"/>
      <c r="I20" s="1686"/>
      <c r="J20" s="1686"/>
      <c r="K20" s="1686"/>
      <c r="L20" s="2616"/>
      <c r="M20" s="1686"/>
      <c r="N20" s="1686"/>
      <c r="O20" s="1686"/>
      <c r="P20" s="1686">
        <v>1</v>
      </c>
      <c r="Q20" s="2616">
        <v>1</v>
      </c>
      <c r="R20" s="1686"/>
      <c r="S20" s="1686"/>
      <c r="T20" s="1686">
        <v>6.25E-2</v>
      </c>
      <c r="U20" s="1686">
        <v>0.9375</v>
      </c>
      <c r="V20" s="2616">
        <v>1</v>
      </c>
      <c r="W20" s="1686"/>
      <c r="X20" s="1686"/>
      <c r="Y20" s="1686"/>
      <c r="Z20" s="1686">
        <v>1</v>
      </c>
      <c r="AA20" s="2617">
        <v>1</v>
      </c>
      <c r="AB20" s="2618"/>
      <c r="AC20" s="1686"/>
      <c r="AD20" s="1686"/>
      <c r="AE20" s="1686">
        <v>1</v>
      </c>
      <c r="AF20" s="2616">
        <v>1</v>
      </c>
      <c r="AG20" s="2618"/>
      <c r="AH20" s="1686"/>
      <c r="AI20" s="1686">
        <v>4.7619047619047616E-2</v>
      </c>
      <c r="AJ20" s="1686">
        <v>0.95238095238095233</v>
      </c>
      <c r="AK20" s="2616">
        <v>1</v>
      </c>
      <c r="AL20" s="2618"/>
      <c r="AM20" s="1686"/>
      <c r="AN20" s="1686">
        <v>4.3478260869565216E-2</v>
      </c>
      <c r="AO20" s="1686">
        <v>0.95652173913043481</v>
      </c>
      <c r="AP20" s="2616">
        <v>1</v>
      </c>
      <c r="AQ20" s="2618"/>
      <c r="AR20" s="1686"/>
      <c r="AS20" s="1686">
        <v>3.7735849056603772E-2</v>
      </c>
      <c r="AT20" s="1686">
        <v>0.96226415094339623</v>
      </c>
      <c r="AU20" s="2616">
        <v>1</v>
      </c>
      <c r="AV20" s="2618"/>
      <c r="AW20" s="1686"/>
      <c r="AX20" s="1686">
        <v>3.5714285714285712E-2</v>
      </c>
      <c r="AY20" s="1686">
        <v>0.9642857142857143</v>
      </c>
      <c r="AZ20" s="2616">
        <v>1</v>
      </c>
      <c r="BA20" s="2618">
        <f>BA19/$BE$19</f>
        <v>0</v>
      </c>
      <c r="BB20" s="1686">
        <f>BB19/$BE$19</f>
        <v>0</v>
      </c>
      <c r="BC20" s="1686">
        <f>BC19/$BE$19</f>
        <v>3.1746031746031744E-2</v>
      </c>
      <c r="BD20" s="1686">
        <f>BD19/$BE$19</f>
        <v>0.96825396825396826</v>
      </c>
      <c r="BE20" s="2616">
        <f>BE19/$BE$19</f>
        <v>1</v>
      </c>
      <c r="BF20" s="2618">
        <f>BF19/$BJ$19</f>
        <v>0</v>
      </c>
      <c r="BG20" s="1686">
        <f>BG19/$BJ$19</f>
        <v>0</v>
      </c>
      <c r="BH20" s="1686">
        <f>BH19/$BJ$19</f>
        <v>4.1666666666666664E-2</v>
      </c>
      <c r="BI20" s="1686">
        <f>BI19/$BJ$19</f>
        <v>0.95833333333333337</v>
      </c>
      <c r="BJ20" s="2616">
        <f t="shared" si="11"/>
        <v>1</v>
      </c>
      <c r="BK20" s="2618">
        <f>BK19/$BO$19</f>
        <v>0</v>
      </c>
      <c r="BL20" s="1686">
        <f>BL19/$BO$19</f>
        <v>0</v>
      </c>
      <c r="BM20" s="1686">
        <f>BM19/$BO$19</f>
        <v>4.0540540540540543E-2</v>
      </c>
      <c r="BN20" s="1686">
        <f>BN19/$BO$19</f>
        <v>0.95945945945945943</v>
      </c>
      <c r="BO20" s="2616">
        <f t="shared" si="12"/>
        <v>1</v>
      </c>
      <c r="BP20" s="2618">
        <f>BP19/$BT$19</f>
        <v>0</v>
      </c>
      <c r="BQ20" s="1686">
        <f>BQ19/$BT$19</f>
        <v>0</v>
      </c>
      <c r="BR20" s="1686">
        <f>BR19/$BT$19</f>
        <v>5.6338028169014086E-2</v>
      </c>
      <c r="BS20" s="1686">
        <f>BS19/$BT$19</f>
        <v>0.94366197183098588</v>
      </c>
      <c r="BT20" s="2616">
        <f t="shared" si="13"/>
        <v>1</v>
      </c>
      <c r="BU20" s="2618">
        <f>BU19/$BY$19</f>
        <v>0</v>
      </c>
      <c r="BV20" s="1686">
        <f t="shared" ref="BV20:BX20" si="17">BV19/$BY$19</f>
        <v>0</v>
      </c>
      <c r="BW20" s="1686">
        <f t="shared" si="17"/>
        <v>5.128205128205128E-2</v>
      </c>
      <c r="BX20" s="1686">
        <f t="shared" si="17"/>
        <v>0.94871794871794868</v>
      </c>
      <c r="BY20" s="2616">
        <f t="shared" si="14"/>
        <v>1</v>
      </c>
    </row>
    <row r="21" spans="1:77" ht="15" x14ac:dyDescent="0.2">
      <c r="A21" s="7283"/>
      <c r="B21" s="7271" t="s">
        <v>12</v>
      </c>
      <c r="C21" s="2637"/>
      <c r="D21" s="2638"/>
      <c r="E21" s="2638"/>
      <c r="F21" s="2638"/>
      <c r="G21" s="2638"/>
      <c r="H21" s="2639"/>
      <c r="I21" s="2640"/>
      <c r="J21" s="2640"/>
      <c r="K21" s="2640"/>
      <c r="L21" s="2641"/>
      <c r="M21" s="2639">
        <v>1</v>
      </c>
      <c r="N21" s="2640"/>
      <c r="O21" s="2640">
        <v>2</v>
      </c>
      <c r="P21" s="2640">
        <v>20</v>
      </c>
      <c r="Q21" s="2641">
        <v>23</v>
      </c>
      <c r="R21" s="2639"/>
      <c r="S21" s="2640"/>
      <c r="T21" s="2640">
        <v>10</v>
      </c>
      <c r="U21" s="2640">
        <v>47</v>
      </c>
      <c r="V21" s="2641">
        <v>57</v>
      </c>
      <c r="W21" s="2639"/>
      <c r="X21" s="2640"/>
      <c r="Y21" s="2640">
        <v>7</v>
      </c>
      <c r="Z21" s="2640">
        <v>68</v>
      </c>
      <c r="AA21" s="2641">
        <v>75</v>
      </c>
      <c r="AB21" s="2639"/>
      <c r="AC21" s="2640"/>
      <c r="AD21" s="2640">
        <v>9</v>
      </c>
      <c r="AE21" s="2640">
        <v>83</v>
      </c>
      <c r="AF21" s="2641">
        <v>92</v>
      </c>
      <c r="AG21" s="2639">
        <v>2</v>
      </c>
      <c r="AH21" s="2640"/>
      <c r="AI21" s="2640">
        <v>17</v>
      </c>
      <c r="AJ21" s="2640">
        <v>114</v>
      </c>
      <c r="AK21" s="2641">
        <v>133</v>
      </c>
      <c r="AL21" s="2639">
        <v>3.0545454545454547</v>
      </c>
      <c r="AM21" s="2640"/>
      <c r="AN21" s="2640">
        <v>21.345454545454544</v>
      </c>
      <c r="AO21" s="2640">
        <v>127.6</v>
      </c>
      <c r="AP21" s="2641">
        <v>152</v>
      </c>
      <c r="AQ21" s="2639">
        <v>3.044776119402985</v>
      </c>
      <c r="AR21" s="2640"/>
      <c r="AS21" s="2640">
        <v>27.373134328358208</v>
      </c>
      <c r="AT21" s="2640">
        <v>150.71794871794873</v>
      </c>
      <c r="AU21" s="2641">
        <v>180</v>
      </c>
      <c r="AV21" s="2639">
        <v>4.0579710144927539</v>
      </c>
      <c r="AW21" s="2640">
        <v>1.0144927536231885</v>
      </c>
      <c r="AX21" s="2640">
        <v>24.319732441471572</v>
      </c>
      <c r="AY21" s="2640">
        <v>162.60780379041248</v>
      </c>
      <c r="AZ21" s="2641">
        <v>192</v>
      </c>
      <c r="BA21" s="2639">
        <f t="shared" ref="BA21:BJ21" si="18">SUM(BA15,BA17,BA19)</f>
        <v>2</v>
      </c>
      <c r="BB21" s="2640">
        <f t="shared" si="18"/>
        <v>1</v>
      </c>
      <c r="BC21" s="2640">
        <f t="shared" si="18"/>
        <v>25</v>
      </c>
      <c r="BD21" s="2640">
        <f t="shared" si="18"/>
        <v>166</v>
      </c>
      <c r="BE21" s="2641">
        <f t="shared" si="18"/>
        <v>194</v>
      </c>
      <c r="BF21" s="2639">
        <f t="shared" si="18"/>
        <v>2</v>
      </c>
      <c r="BG21" s="2640">
        <f t="shared" si="18"/>
        <v>1</v>
      </c>
      <c r="BH21" s="2640">
        <f t="shared" si="18"/>
        <v>27</v>
      </c>
      <c r="BI21" s="2640">
        <f t="shared" si="18"/>
        <v>179</v>
      </c>
      <c r="BJ21" s="2641">
        <f t="shared" si="18"/>
        <v>209</v>
      </c>
      <c r="BK21" s="2639">
        <f t="shared" ref="BK21:BT21" si="19">SUM(BK15,BK17,BK19)</f>
        <v>2</v>
      </c>
      <c r="BL21" s="2640">
        <f t="shared" si="19"/>
        <v>1</v>
      </c>
      <c r="BM21" s="2640">
        <f t="shared" si="19"/>
        <v>31</v>
      </c>
      <c r="BN21" s="2640">
        <f t="shared" si="19"/>
        <v>188</v>
      </c>
      <c r="BO21" s="2641">
        <f t="shared" si="19"/>
        <v>222</v>
      </c>
      <c r="BP21" s="2639">
        <f t="shared" si="19"/>
        <v>2</v>
      </c>
      <c r="BQ21" s="2640">
        <f t="shared" si="19"/>
        <v>1</v>
      </c>
      <c r="BR21" s="2640">
        <f t="shared" si="19"/>
        <v>32</v>
      </c>
      <c r="BS21" s="2640">
        <f t="shared" si="19"/>
        <v>187</v>
      </c>
      <c r="BT21" s="2641">
        <f t="shared" si="19"/>
        <v>222</v>
      </c>
      <c r="BU21" s="2639">
        <f t="shared" ref="BU21:BY21" si="20">SUM(BU15,BU17,BU19)</f>
        <v>3</v>
      </c>
      <c r="BV21" s="2640">
        <f t="shared" si="20"/>
        <v>1</v>
      </c>
      <c r="BW21" s="2640">
        <f t="shared" si="20"/>
        <v>32</v>
      </c>
      <c r="BX21" s="2640">
        <f t="shared" si="20"/>
        <v>196</v>
      </c>
      <c r="BY21" s="2641">
        <f t="shared" si="20"/>
        <v>232</v>
      </c>
    </row>
    <row r="22" spans="1:77" x14ac:dyDescent="0.2">
      <c r="A22" s="7284"/>
      <c r="B22" s="7272"/>
      <c r="C22" s="2633"/>
      <c r="D22" s="2634"/>
      <c r="E22" s="2634"/>
      <c r="F22" s="2634"/>
      <c r="G22" s="2635"/>
      <c r="H22" s="2633"/>
      <c r="I22" s="2634"/>
      <c r="J22" s="2634"/>
      <c r="K22" s="2634"/>
      <c r="L22" s="2635"/>
      <c r="M22" s="2633">
        <v>4.3478260869565216E-2</v>
      </c>
      <c r="N22" s="2634"/>
      <c r="O22" s="2634">
        <v>8.6956521739130432E-2</v>
      </c>
      <c r="P22" s="2634">
        <v>0.86956521739130432</v>
      </c>
      <c r="Q22" s="2635">
        <v>1</v>
      </c>
      <c r="R22" s="2633"/>
      <c r="S22" s="2634"/>
      <c r="T22" s="2634">
        <v>0.17543859649122806</v>
      </c>
      <c r="U22" s="2634">
        <v>0.82456140350877194</v>
      </c>
      <c r="V22" s="2635">
        <v>1</v>
      </c>
      <c r="W22" s="2633"/>
      <c r="X22" s="2634"/>
      <c r="Y22" s="2634">
        <v>9.3333333333333338E-2</v>
      </c>
      <c r="Z22" s="2634">
        <v>0.90666666666666662</v>
      </c>
      <c r="AA22" s="2635">
        <v>1</v>
      </c>
      <c r="AB22" s="2633"/>
      <c r="AC22" s="2634"/>
      <c r="AD22" s="2634">
        <v>9.7826086956521743E-2</v>
      </c>
      <c r="AE22" s="2634">
        <v>0.90217391304347827</v>
      </c>
      <c r="AF22" s="2635">
        <v>1</v>
      </c>
      <c r="AG22" s="2633">
        <v>1.5037593984962405E-2</v>
      </c>
      <c r="AH22" s="2634"/>
      <c r="AI22" s="2634">
        <v>0.12781954887218044</v>
      </c>
      <c r="AJ22" s="2634">
        <v>0.8571428571428571</v>
      </c>
      <c r="AK22" s="2635">
        <v>1</v>
      </c>
      <c r="AL22" s="2633">
        <v>2.0095693779904306E-2</v>
      </c>
      <c r="AM22" s="2634"/>
      <c r="AN22" s="2634">
        <v>0.14043062200956938</v>
      </c>
      <c r="AO22" s="2634">
        <v>0.83947368421052626</v>
      </c>
      <c r="AP22" s="2635">
        <v>1</v>
      </c>
      <c r="AQ22" s="2633">
        <v>1.6915422885572139E-2</v>
      </c>
      <c r="AR22" s="2634">
        <v>0</v>
      </c>
      <c r="AS22" s="2634">
        <v>0.15207296849087892</v>
      </c>
      <c r="AT22" s="2634">
        <v>0.83732193732193738</v>
      </c>
      <c r="AU22" s="2635">
        <v>1</v>
      </c>
      <c r="AV22" s="2633">
        <v>2.1135265700483092E-2</v>
      </c>
      <c r="AW22" s="2634">
        <v>5.283816425120773E-3</v>
      </c>
      <c r="AX22" s="2634">
        <v>0.12666527313266443</v>
      </c>
      <c r="AY22" s="2634">
        <v>0.84691564474173164</v>
      </c>
      <c r="AZ22" s="2635">
        <v>1</v>
      </c>
      <c r="BA22" s="1366">
        <f>BA21/$BE$21</f>
        <v>1.0309278350515464E-2</v>
      </c>
      <c r="BB22" s="1365">
        <f>BB21/$BE$21</f>
        <v>5.1546391752577319E-3</v>
      </c>
      <c r="BC22" s="1365">
        <f>BC21/$BE$21</f>
        <v>0.12886597938144329</v>
      </c>
      <c r="BD22" s="1365">
        <f>BD21/$BE$21</f>
        <v>0.85567010309278346</v>
      </c>
      <c r="BE22" s="2636">
        <f>BE21/$BE$21</f>
        <v>1</v>
      </c>
      <c r="BF22" s="1366">
        <f>BF21/$BJ$21</f>
        <v>9.5693779904306216E-3</v>
      </c>
      <c r="BG22" s="1365">
        <f>BG21/$BJ$21</f>
        <v>4.7846889952153108E-3</v>
      </c>
      <c r="BH22" s="1365">
        <f>BH21/$BJ$21</f>
        <v>0.12918660287081341</v>
      </c>
      <c r="BI22" s="1365">
        <f>BI21/$BJ$21</f>
        <v>0.8564593301435407</v>
      </c>
      <c r="BJ22" s="2636">
        <f>BJ21/$BJ$21</f>
        <v>1</v>
      </c>
      <c r="BK22" s="1366">
        <f>BK21/$BO$21</f>
        <v>9.0090090090090089E-3</v>
      </c>
      <c r="BL22" s="1365">
        <f>BL21/$BO$21</f>
        <v>4.5045045045045045E-3</v>
      </c>
      <c r="BM22" s="1365">
        <f>BM21/$BO$21</f>
        <v>0.13963963963963963</v>
      </c>
      <c r="BN22" s="1365">
        <f>BN21/$BO$21</f>
        <v>0.84684684684684686</v>
      </c>
      <c r="BO22" s="2636">
        <f>SUM(BK22:BN22)</f>
        <v>1</v>
      </c>
      <c r="BP22" s="1366">
        <f>BP21/$BT$21</f>
        <v>9.0090090090090089E-3</v>
      </c>
      <c r="BQ22" s="1365">
        <f>BQ21/$BT$21</f>
        <v>4.5045045045045045E-3</v>
      </c>
      <c r="BR22" s="1365">
        <f>BR21/$BT$21</f>
        <v>0.14414414414414414</v>
      </c>
      <c r="BS22" s="1365">
        <f>BS21/$BT$21</f>
        <v>0.84234234234234229</v>
      </c>
      <c r="BT22" s="2636">
        <f>SUM(BP22:BS22)</f>
        <v>1</v>
      </c>
      <c r="BU22" s="1366">
        <f>BU21/$BY$21</f>
        <v>1.2931034482758621E-2</v>
      </c>
      <c r="BV22" s="1365">
        <f t="shared" ref="BV22:BX22" si="21">BV21/$BY$21</f>
        <v>4.3103448275862068E-3</v>
      </c>
      <c r="BW22" s="1365">
        <f t="shared" si="21"/>
        <v>0.13793103448275862</v>
      </c>
      <c r="BX22" s="1365">
        <f t="shared" si="21"/>
        <v>0.84482758620689657</v>
      </c>
      <c r="BY22" s="2636">
        <f>SUM(BU22:BX22)</f>
        <v>1</v>
      </c>
    </row>
    <row r="23" spans="1:77" ht="15" x14ac:dyDescent="0.2">
      <c r="A23" s="1354"/>
      <c r="B23" s="1354"/>
      <c r="C23" s="1354"/>
      <c r="D23" s="1354"/>
      <c r="E23" s="1354"/>
      <c r="F23" s="1354"/>
      <c r="G23" s="1354"/>
      <c r="H23" s="1354"/>
      <c r="I23" s="1354"/>
      <c r="J23" s="1354"/>
      <c r="K23" s="1354"/>
      <c r="L23" s="1354"/>
      <c r="M23" s="1354"/>
      <c r="N23" s="1354"/>
      <c r="O23" s="1354"/>
      <c r="P23" s="1354"/>
      <c r="Q23" s="1354"/>
      <c r="R23" s="1354"/>
      <c r="S23" s="1354"/>
      <c r="T23" s="1354"/>
      <c r="U23" s="1354"/>
      <c r="V23" s="1354"/>
      <c r="W23" s="1354"/>
      <c r="X23" s="1354"/>
      <c r="Y23" s="1354"/>
      <c r="Z23" s="1354"/>
      <c r="AA23" s="1354"/>
      <c r="AB23" s="1354"/>
      <c r="AC23" s="1354"/>
      <c r="AD23" s="1354"/>
      <c r="AE23" s="1354"/>
      <c r="AF23" s="1354"/>
      <c r="AG23" s="1354"/>
      <c r="AH23" s="1354"/>
      <c r="AI23" s="1354"/>
      <c r="AJ23" s="1354"/>
      <c r="AK23" s="1354"/>
      <c r="AL23" s="1354"/>
      <c r="AM23" s="1354"/>
      <c r="AN23" s="1354"/>
      <c r="AO23" s="1354"/>
      <c r="AP23" s="1354"/>
      <c r="AQ23" s="1354"/>
      <c r="AR23" s="1354"/>
      <c r="AS23" s="1354"/>
      <c r="AT23" s="1354"/>
      <c r="AU23" s="1354"/>
      <c r="AV23" s="1354"/>
      <c r="AW23" s="1354"/>
      <c r="AX23" s="1354"/>
      <c r="AY23" s="1354"/>
      <c r="AZ23" s="1354"/>
      <c r="BA23" s="1354"/>
      <c r="BB23" s="1354"/>
      <c r="BC23" s="1354"/>
      <c r="BD23" s="1354"/>
      <c r="BE23" s="1354"/>
      <c r="BF23" s="1354"/>
      <c r="BG23" s="1354"/>
      <c r="BH23" s="1354"/>
      <c r="BI23" s="1354"/>
      <c r="BJ23" s="1354"/>
      <c r="BK23" s="1354"/>
      <c r="BL23" s="1354"/>
      <c r="BM23" s="1354"/>
      <c r="BN23" s="1354"/>
      <c r="BO23" s="1354"/>
      <c r="BP23" s="1354"/>
      <c r="BQ23" s="1354"/>
      <c r="BR23" s="1354"/>
      <c r="BS23" s="1354"/>
      <c r="BT23" s="1354"/>
      <c r="BU23" s="1354"/>
      <c r="BV23" s="1354"/>
      <c r="BW23" s="1354"/>
      <c r="BX23" s="1354"/>
      <c r="BY23" s="1354"/>
    </row>
    <row r="24" spans="1:77" ht="15" x14ac:dyDescent="0.2">
      <c r="A24" s="7279" t="s">
        <v>75</v>
      </c>
      <c r="B24" s="7273" t="s">
        <v>5</v>
      </c>
      <c r="C24" s="1348">
        <v>23</v>
      </c>
      <c r="D24" s="1348">
        <v>1</v>
      </c>
      <c r="E24" s="1348">
        <v>58</v>
      </c>
      <c r="F24" s="1348">
        <v>182</v>
      </c>
      <c r="G24" s="475">
        <v>264</v>
      </c>
      <c r="H24" s="1349">
        <v>23</v>
      </c>
      <c r="I24" s="1349">
        <v>1</v>
      </c>
      <c r="J24" s="1349">
        <v>56</v>
      </c>
      <c r="K24" s="1349">
        <v>194</v>
      </c>
      <c r="L24" s="714">
        <v>274</v>
      </c>
      <c r="M24" s="1349">
        <v>18</v>
      </c>
      <c r="N24" s="1349">
        <v>1</v>
      </c>
      <c r="O24" s="1349">
        <v>58</v>
      </c>
      <c r="P24" s="1349">
        <v>212</v>
      </c>
      <c r="Q24" s="714">
        <v>289</v>
      </c>
      <c r="R24" s="1349">
        <v>16</v>
      </c>
      <c r="S24" s="1349">
        <v>1</v>
      </c>
      <c r="T24" s="1349">
        <v>57</v>
      </c>
      <c r="U24" s="1349">
        <v>215</v>
      </c>
      <c r="V24" s="714">
        <v>289</v>
      </c>
      <c r="W24" s="1349">
        <v>15</v>
      </c>
      <c r="X24" s="1349">
        <v>1</v>
      </c>
      <c r="Y24" s="1349">
        <v>53</v>
      </c>
      <c r="Z24" s="1349">
        <v>221</v>
      </c>
      <c r="AA24" s="714">
        <v>290</v>
      </c>
      <c r="AB24" s="1350">
        <v>15</v>
      </c>
      <c r="AC24" s="1349">
        <v>1</v>
      </c>
      <c r="AD24" s="1349">
        <v>51</v>
      </c>
      <c r="AE24" s="1349">
        <v>221</v>
      </c>
      <c r="AF24" s="714">
        <v>288</v>
      </c>
      <c r="AG24" s="1350">
        <v>15</v>
      </c>
      <c r="AH24" s="1349">
        <v>1</v>
      </c>
      <c r="AI24" s="1349">
        <v>51</v>
      </c>
      <c r="AJ24" s="1349">
        <v>227</v>
      </c>
      <c r="AK24" s="714">
        <v>294</v>
      </c>
      <c r="AL24" s="1350">
        <v>15</v>
      </c>
      <c r="AM24" s="1349">
        <v>1</v>
      </c>
      <c r="AN24" s="1349">
        <v>49</v>
      </c>
      <c r="AO24" s="1349">
        <v>234</v>
      </c>
      <c r="AP24" s="714">
        <v>299</v>
      </c>
      <c r="AQ24" s="1350">
        <v>15</v>
      </c>
      <c r="AR24" s="1349">
        <v>1</v>
      </c>
      <c r="AS24" s="1349">
        <v>46</v>
      </c>
      <c r="AT24" s="1349">
        <v>241</v>
      </c>
      <c r="AU24" s="714">
        <v>303</v>
      </c>
      <c r="AV24" s="1350">
        <v>15</v>
      </c>
      <c r="AW24" s="1349">
        <v>1</v>
      </c>
      <c r="AX24" s="1349">
        <v>44</v>
      </c>
      <c r="AY24" s="1349">
        <v>246</v>
      </c>
      <c r="AZ24" s="714">
        <v>306</v>
      </c>
      <c r="BA24" s="1350">
        <f>+'PTC-GRADO (1)'!BA16</f>
        <v>14</v>
      </c>
      <c r="BB24" s="1349">
        <f>+'PTC-GRADO (1)'!BB16</f>
        <v>1</v>
      </c>
      <c r="BC24" s="1349">
        <f>+'PTC-GRADO (1)'!BC16</f>
        <v>43</v>
      </c>
      <c r="BD24" s="1349">
        <f>+'PTC-GRADO (1)'!BD16</f>
        <v>255</v>
      </c>
      <c r="BE24" s="714">
        <f>SUM(BA24:BD24)</f>
        <v>313</v>
      </c>
      <c r="BF24" s="1350">
        <f>+'PTC-GRADO (1)'!BF16</f>
        <v>14</v>
      </c>
      <c r="BG24" s="1349">
        <f>+'PTC-GRADO (1)'!BG16</f>
        <v>1</v>
      </c>
      <c r="BH24" s="1349">
        <f>+'PTC-GRADO (1)'!BH16</f>
        <v>43</v>
      </c>
      <c r="BI24" s="1349">
        <f>+'PTC-GRADO (1)'!BI16</f>
        <v>256</v>
      </c>
      <c r="BJ24" s="714">
        <f t="shared" ref="BJ24:BJ29" si="22">SUM(BF24:BI24)</f>
        <v>314</v>
      </c>
      <c r="BK24" s="1350">
        <f>+'PTC-GRADO (1)'!BK16</f>
        <v>14</v>
      </c>
      <c r="BL24" s="1349">
        <f>+'PTC-GRADO (1)'!BL16</f>
        <v>1</v>
      </c>
      <c r="BM24" s="1349">
        <f>+'PTC-GRADO (1)'!BM16</f>
        <v>43</v>
      </c>
      <c r="BN24" s="1349">
        <f>+'PTC-GRADO (1)'!BN16</f>
        <v>261</v>
      </c>
      <c r="BO24" s="714">
        <f t="shared" ref="BO24:BO29" si="23">SUM(BK24:BN24)</f>
        <v>319</v>
      </c>
      <c r="BP24" s="1350">
        <f>+'PTC-GRADO (1)'!BP16</f>
        <v>14</v>
      </c>
      <c r="BQ24" s="1349">
        <f>+'PTC-GRADO (1)'!BQ16</f>
        <v>1</v>
      </c>
      <c r="BR24" s="1349">
        <f>+'PTC-GRADO (1)'!BR16</f>
        <v>42</v>
      </c>
      <c r="BS24" s="1349">
        <f>+'PTC-GRADO (1)'!BS16</f>
        <v>266</v>
      </c>
      <c r="BT24" s="714">
        <f t="shared" ref="BT24:BT29" si="24">SUM(BP24:BS24)</f>
        <v>323</v>
      </c>
      <c r="BU24" s="1350">
        <f>+'PTC-GRADO (1)'!BU16</f>
        <v>14</v>
      </c>
      <c r="BV24" s="1349">
        <f>+'PTC-GRADO (1)'!BV16</f>
        <v>1</v>
      </c>
      <c r="BW24" s="1349">
        <f>+'PTC-GRADO (1)'!BW16</f>
        <v>43</v>
      </c>
      <c r="BX24" s="1349">
        <f>+'PTC-GRADO (1)'!BX16</f>
        <v>280</v>
      </c>
      <c r="BY24" s="714">
        <f t="shared" ref="BY24:BY29" si="25">SUM(BU24:BX24)</f>
        <v>338</v>
      </c>
    </row>
    <row r="25" spans="1:77" ht="15" customHeight="1" x14ac:dyDescent="0.2">
      <c r="A25" s="7280"/>
      <c r="B25" s="7274"/>
      <c r="C25" s="1686">
        <v>8.7121212121212127E-2</v>
      </c>
      <c r="D25" s="1686">
        <v>3.787878787878788E-3</v>
      </c>
      <c r="E25" s="1686">
        <v>0.2196969696969697</v>
      </c>
      <c r="F25" s="1686">
        <v>0.68939393939393945</v>
      </c>
      <c r="G25" s="2616">
        <v>1</v>
      </c>
      <c r="H25" s="1686">
        <v>8.3941605839416053E-2</v>
      </c>
      <c r="I25" s="1686">
        <v>3.6496350364963502E-3</v>
      </c>
      <c r="J25" s="1686">
        <v>0.20437956204379562</v>
      </c>
      <c r="K25" s="1686">
        <v>0.70802919708029199</v>
      </c>
      <c r="L25" s="2616">
        <v>1</v>
      </c>
      <c r="M25" s="1686">
        <v>6.228373702422145E-2</v>
      </c>
      <c r="N25" s="1686">
        <v>3.4602076124567475E-3</v>
      </c>
      <c r="O25" s="1686">
        <v>0.20069204152249134</v>
      </c>
      <c r="P25" s="1686">
        <v>0.73356401384083048</v>
      </c>
      <c r="Q25" s="2616">
        <v>1</v>
      </c>
      <c r="R25" s="1686">
        <v>5.536332179930796E-2</v>
      </c>
      <c r="S25" s="1686">
        <v>3.4602076124567475E-3</v>
      </c>
      <c r="T25" s="1686">
        <v>0.1972318339100346</v>
      </c>
      <c r="U25" s="1686">
        <v>0.74394463667820065</v>
      </c>
      <c r="V25" s="2616">
        <v>1</v>
      </c>
      <c r="W25" s="1686">
        <v>5.1724137931034482E-2</v>
      </c>
      <c r="X25" s="1686">
        <v>3.4482758620689655E-3</v>
      </c>
      <c r="Y25" s="1686">
        <v>0.18275862068965518</v>
      </c>
      <c r="Z25" s="1686">
        <v>0.76206896551724135</v>
      </c>
      <c r="AA25" s="2617">
        <v>1</v>
      </c>
      <c r="AB25" s="2618">
        <v>5.2083333333333336E-2</v>
      </c>
      <c r="AC25" s="1686">
        <v>3.472222222222222E-3</v>
      </c>
      <c r="AD25" s="1686">
        <v>0.17708333333333334</v>
      </c>
      <c r="AE25" s="1686">
        <v>0.76736111111111116</v>
      </c>
      <c r="AF25" s="2616">
        <v>1</v>
      </c>
      <c r="AG25" s="2618">
        <v>5.1020408163265307E-2</v>
      </c>
      <c r="AH25" s="1686">
        <v>3.4013605442176869E-3</v>
      </c>
      <c r="AI25" s="1686">
        <v>0.17346938775510204</v>
      </c>
      <c r="AJ25" s="1686">
        <v>0.77210884353741494</v>
      </c>
      <c r="AK25" s="2616">
        <v>1</v>
      </c>
      <c r="AL25" s="2618">
        <v>5.016722408026756E-2</v>
      </c>
      <c r="AM25" s="1686">
        <v>3.3444816053511705E-3</v>
      </c>
      <c r="AN25" s="1686">
        <v>0.16387959866220736</v>
      </c>
      <c r="AO25" s="1686">
        <v>0.78260869565217395</v>
      </c>
      <c r="AP25" s="2616">
        <v>1</v>
      </c>
      <c r="AQ25" s="2618">
        <v>4.9504950495049507E-2</v>
      </c>
      <c r="AR25" s="1686">
        <v>3.3003300330033004E-3</v>
      </c>
      <c r="AS25" s="1686">
        <v>0.15181518151815182</v>
      </c>
      <c r="AT25" s="1686">
        <v>0.79537953795379535</v>
      </c>
      <c r="AU25" s="2616">
        <v>1</v>
      </c>
      <c r="AV25" s="2618">
        <v>4.9019607843137254E-2</v>
      </c>
      <c r="AW25" s="1686">
        <v>3.2679738562091504E-3</v>
      </c>
      <c r="AX25" s="1686">
        <v>0.1437908496732026</v>
      </c>
      <c r="AY25" s="1686">
        <v>0.80392156862745101</v>
      </c>
      <c r="AZ25" s="2616">
        <v>1</v>
      </c>
      <c r="BA25" s="2618">
        <f>BA24/$BE$24</f>
        <v>4.472843450479233E-2</v>
      </c>
      <c r="BB25" s="1686">
        <f>BB24/$BE$24</f>
        <v>3.1948881789137379E-3</v>
      </c>
      <c r="BC25" s="1686">
        <f>BC24/$BE$24</f>
        <v>0.13738019169329074</v>
      </c>
      <c r="BD25" s="1686">
        <f>BD24/$BE$24</f>
        <v>0.81469648562300323</v>
      </c>
      <c r="BE25" s="2616">
        <f>BE24/$BE$24</f>
        <v>1</v>
      </c>
      <c r="BF25" s="2618">
        <f>BF24/$BJ$24</f>
        <v>4.4585987261146494E-2</v>
      </c>
      <c r="BG25" s="1686">
        <f>BG24/$BJ$24</f>
        <v>3.1847133757961785E-3</v>
      </c>
      <c r="BH25" s="1686">
        <f>BH24/$BJ$24</f>
        <v>0.13694267515923567</v>
      </c>
      <c r="BI25" s="1686">
        <f>BI24/$BJ$24</f>
        <v>0.8152866242038217</v>
      </c>
      <c r="BJ25" s="2616">
        <f t="shared" si="22"/>
        <v>1</v>
      </c>
      <c r="BK25" s="2618">
        <f>BK24/$BO$24</f>
        <v>4.3887147335423198E-2</v>
      </c>
      <c r="BL25" s="1686">
        <f>BL24/$BO$24</f>
        <v>3.134796238244514E-3</v>
      </c>
      <c r="BM25" s="1686">
        <f>BM24/$BO$24</f>
        <v>0.13479623824451412</v>
      </c>
      <c r="BN25" s="1686">
        <f>BN24/$BO$24</f>
        <v>0.81818181818181823</v>
      </c>
      <c r="BO25" s="2616">
        <f t="shared" si="23"/>
        <v>1</v>
      </c>
      <c r="BP25" s="2618">
        <f>BP24/$BT$24</f>
        <v>4.3343653250773995E-2</v>
      </c>
      <c r="BQ25" s="1686">
        <f>BQ24/$BT$24</f>
        <v>3.0959752321981426E-3</v>
      </c>
      <c r="BR25" s="1686">
        <f>BR24/$BT$24</f>
        <v>0.13003095975232198</v>
      </c>
      <c r="BS25" s="1686">
        <f>BS24/$BT$24</f>
        <v>0.82352941176470584</v>
      </c>
      <c r="BT25" s="2616">
        <f t="shared" si="24"/>
        <v>1</v>
      </c>
      <c r="BU25" s="2618">
        <f>BU24/$BY$24</f>
        <v>4.142011834319527E-2</v>
      </c>
      <c r="BV25" s="1686">
        <f t="shared" ref="BV25:BX25" si="26">BV24/$BY$24</f>
        <v>2.9585798816568047E-3</v>
      </c>
      <c r="BW25" s="1686">
        <f t="shared" si="26"/>
        <v>0.12721893491124261</v>
      </c>
      <c r="BX25" s="1686">
        <f t="shared" si="26"/>
        <v>0.82840236686390534</v>
      </c>
      <c r="BY25" s="2616">
        <f t="shared" si="25"/>
        <v>1</v>
      </c>
    </row>
    <row r="26" spans="1:77" ht="15" x14ac:dyDescent="0.2">
      <c r="A26" s="7280"/>
      <c r="B26" s="7274" t="s">
        <v>6</v>
      </c>
      <c r="C26" s="2619">
        <v>71</v>
      </c>
      <c r="D26" s="2619">
        <v>1</v>
      </c>
      <c r="E26" s="2619">
        <v>102</v>
      </c>
      <c r="F26" s="2619">
        <v>132</v>
      </c>
      <c r="G26" s="2620">
        <v>306</v>
      </c>
      <c r="H26" s="2621">
        <v>70</v>
      </c>
      <c r="I26" s="2621">
        <v>1</v>
      </c>
      <c r="J26" s="2621">
        <v>97</v>
      </c>
      <c r="K26" s="2621">
        <v>142</v>
      </c>
      <c r="L26" s="2622">
        <v>310</v>
      </c>
      <c r="M26" s="2621">
        <v>55</v>
      </c>
      <c r="N26" s="2621">
        <v>1</v>
      </c>
      <c r="O26" s="2621">
        <v>100</v>
      </c>
      <c r="P26" s="2621">
        <v>154</v>
      </c>
      <c r="Q26" s="2622">
        <v>310</v>
      </c>
      <c r="R26" s="2621">
        <v>54</v>
      </c>
      <c r="S26" s="2621">
        <v>1</v>
      </c>
      <c r="T26" s="2621">
        <v>92</v>
      </c>
      <c r="U26" s="2621">
        <v>159</v>
      </c>
      <c r="V26" s="2622">
        <v>306</v>
      </c>
      <c r="W26" s="2621">
        <v>46</v>
      </c>
      <c r="X26" s="2621">
        <v>2</v>
      </c>
      <c r="Y26" s="2621">
        <v>93</v>
      </c>
      <c r="Z26" s="2621">
        <v>162</v>
      </c>
      <c r="AA26" s="2622">
        <v>303</v>
      </c>
      <c r="AB26" s="2623">
        <v>43</v>
      </c>
      <c r="AC26" s="2621">
        <v>2</v>
      </c>
      <c r="AD26" s="2621">
        <v>90</v>
      </c>
      <c r="AE26" s="2621">
        <v>170</v>
      </c>
      <c r="AF26" s="2622">
        <v>305</v>
      </c>
      <c r="AG26" s="2623">
        <v>39</v>
      </c>
      <c r="AH26" s="2621">
        <v>2</v>
      </c>
      <c r="AI26" s="2621">
        <v>95</v>
      </c>
      <c r="AJ26" s="2621">
        <v>176</v>
      </c>
      <c r="AK26" s="2622">
        <v>312</v>
      </c>
      <c r="AL26" s="2623">
        <v>37</v>
      </c>
      <c r="AM26" s="2621">
        <v>2</v>
      </c>
      <c r="AN26" s="2621">
        <v>93</v>
      </c>
      <c r="AO26" s="2621">
        <v>189</v>
      </c>
      <c r="AP26" s="2622">
        <v>321</v>
      </c>
      <c r="AQ26" s="2623">
        <v>36</v>
      </c>
      <c r="AR26" s="2621">
        <v>2</v>
      </c>
      <c r="AS26" s="2621">
        <v>78</v>
      </c>
      <c r="AT26" s="2621">
        <v>204</v>
      </c>
      <c r="AU26" s="2622">
        <v>320</v>
      </c>
      <c r="AV26" s="2623">
        <v>33</v>
      </c>
      <c r="AW26" s="2621">
        <v>2</v>
      </c>
      <c r="AX26" s="2621">
        <v>80</v>
      </c>
      <c r="AY26" s="2621">
        <v>205</v>
      </c>
      <c r="AZ26" s="2622">
        <v>320</v>
      </c>
      <c r="BA26" s="2623">
        <f>+'PTC-GRADO (1)'!BA17</f>
        <v>33</v>
      </c>
      <c r="BB26" s="2621">
        <f>+'PTC-GRADO (1)'!BB17</f>
        <v>1</v>
      </c>
      <c r="BC26" s="2621">
        <f>+'PTC-GRADO (1)'!BC17</f>
        <v>78</v>
      </c>
      <c r="BD26" s="2621">
        <f>+'PTC-GRADO (1)'!BD17</f>
        <v>214</v>
      </c>
      <c r="BE26" s="2622">
        <f>SUM(BA26:BD26)</f>
        <v>326</v>
      </c>
      <c r="BF26" s="2623">
        <f>+'PTC-GRADO (1)'!BF17</f>
        <v>33</v>
      </c>
      <c r="BG26" s="2621">
        <f>+'PTC-GRADO (1)'!BG17</f>
        <v>1</v>
      </c>
      <c r="BH26" s="2621">
        <f>+'PTC-GRADO (1)'!BH17</f>
        <v>78</v>
      </c>
      <c r="BI26" s="2621">
        <f>+'PTC-GRADO (1)'!BI17</f>
        <v>216</v>
      </c>
      <c r="BJ26" s="2622">
        <f t="shared" si="22"/>
        <v>328</v>
      </c>
      <c r="BK26" s="2623">
        <f>+'PTC-GRADO (1)'!BK17</f>
        <v>33</v>
      </c>
      <c r="BL26" s="2621">
        <f>+'PTC-GRADO (1)'!BL17</f>
        <v>1</v>
      </c>
      <c r="BM26" s="2621">
        <f>+'PTC-GRADO (1)'!BM17</f>
        <v>83</v>
      </c>
      <c r="BN26" s="2621">
        <f>+'PTC-GRADO (1)'!BN17</f>
        <v>218</v>
      </c>
      <c r="BO26" s="2622">
        <f t="shared" si="23"/>
        <v>335</v>
      </c>
      <c r="BP26" s="2623">
        <f>+'PTC-GRADO (1)'!BP17</f>
        <v>32</v>
      </c>
      <c r="BQ26" s="2621">
        <f>+'PTC-GRADO (1)'!BQ17</f>
        <v>1</v>
      </c>
      <c r="BR26" s="2621">
        <f>+'PTC-GRADO (1)'!BR17</f>
        <v>82</v>
      </c>
      <c r="BS26" s="2621">
        <f>+'PTC-GRADO (1)'!BS17</f>
        <v>223</v>
      </c>
      <c r="BT26" s="2622">
        <f t="shared" si="24"/>
        <v>338</v>
      </c>
      <c r="BU26" s="2623">
        <f>+'PTC-GRADO (1)'!BU17</f>
        <v>32</v>
      </c>
      <c r="BV26" s="2621">
        <f>+'PTC-GRADO (1)'!BV17</f>
        <v>1</v>
      </c>
      <c r="BW26" s="2621">
        <f>+'PTC-GRADO (1)'!BW17</f>
        <v>83</v>
      </c>
      <c r="BX26" s="2621">
        <f>+'PTC-GRADO (1)'!BX17</f>
        <v>229</v>
      </c>
      <c r="BY26" s="2622">
        <f t="shared" si="25"/>
        <v>345</v>
      </c>
    </row>
    <row r="27" spans="1:77" ht="15" customHeight="1" x14ac:dyDescent="0.2">
      <c r="A27" s="7280"/>
      <c r="B27" s="7274"/>
      <c r="C27" s="2624">
        <v>0.23202614379084968</v>
      </c>
      <c r="D27" s="2624">
        <v>3.2679738562091504E-3</v>
      </c>
      <c r="E27" s="2624">
        <v>0.33333333333333331</v>
      </c>
      <c r="F27" s="2624">
        <v>0.43137254901960786</v>
      </c>
      <c r="G27" s="2625">
        <v>1</v>
      </c>
      <c r="H27" s="2624">
        <v>0.22580645161290322</v>
      </c>
      <c r="I27" s="2624">
        <v>3.2258064516129032E-3</v>
      </c>
      <c r="J27" s="2624">
        <v>0.31290322580645163</v>
      </c>
      <c r="K27" s="2624">
        <v>0.45806451612903226</v>
      </c>
      <c r="L27" s="2625">
        <v>1</v>
      </c>
      <c r="M27" s="2624">
        <v>0.17741935483870969</v>
      </c>
      <c r="N27" s="2624">
        <v>3.2258064516129032E-3</v>
      </c>
      <c r="O27" s="2624">
        <v>0.32258064516129031</v>
      </c>
      <c r="P27" s="2624">
        <v>0.49677419354838709</v>
      </c>
      <c r="Q27" s="2625">
        <v>1</v>
      </c>
      <c r="R27" s="2624">
        <v>0.17647058823529413</v>
      </c>
      <c r="S27" s="2624">
        <v>3.2679738562091504E-3</v>
      </c>
      <c r="T27" s="2624">
        <v>0.30065359477124182</v>
      </c>
      <c r="U27" s="2624">
        <v>0.51960784313725494</v>
      </c>
      <c r="V27" s="2625">
        <v>1</v>
      </c>
      <c r="W27" s="2624">
        <v>0.15181518151815182</v>
      </c>
      <c r="X27" s="2624">
        <v>6.6006600660066007E-3</v>
      </c>
      <c r="Y27" s="2624">
        <v>0.30693069306930693</v>
      </c>
      <c r="Z27" s="2624">
        <v>0.53465346534653468</v>
      </c>
      <c r="AA27" s="2626">
        <v>1</v>
      </c>
      <c r="AB27" s="2627">
        <v>0.14098360655737704</v>
      </c>
      <c r="AC27" s="2624">
        <v>6.5573770491803279E-3</v>
      </c>
      <c r="AD27" s="2624">
        <v>0.29508196721311475</v>
      </c>
      <c r="AE27" s="2624">
        <v>0.55737704918032782</v>
      </c>
      <c r="AF27" s="2625">
        <v>1</v>
      </c>
      <c r="AG27" s="2627">
        <v>0.125</v>
      </c>
      <c r="AH27" s="2624">
        <f>+AH26/$AK$26</f>
        <v>6.41025641025641E-3</v>
      </c>
      <c r="AI27" s="2624">
        <f>+AI26/$AK$26</f>
        <v>0.30448717948717946</v>
      </c>
      <c r="AJ27" s="2624">
        <f>+AJ26/$AK$26</f>
        <v>0.5641025641025641</v>
      </c>
      <c r="AK27" s="2625">
        <f>+AK26/$AK$26</f>
        <v>1</v>
      </c>
      <c r="AL27" s="2627">
        <v>0.11526479750778816</v>
      </c>
      <c r="AM27" s="2624">
        <v>6.2305295950155761E-3</v>
      </c>
      <c r="AN27" s="2624">
        <v>0.28971962616822428</v>
      </c>
      <c r="AO27" s="2624">
        <v>0.58878504672897192</v>
      </c>
      <c r="AP27" s="2625">
        <v>1</v>
      </c>
      <c r="AQ27" s="2627">
        <v>0.1125</v>
      </c>
      <c r="AR27" s="2624">
        <v>6.2500000000000003E-3</v>
      </c>
      <c r="AS27" s="2624">
        <v>0.24374999999999999</v>
      </c>
      <c r="AT27" s="2624">
        <v>0.63749999999999996</v>
      </c>
      <c r="AU27" s="2625">
        <v>1</v>
      </c>
      <c r="AV27" s="2627">
        <v>0.10312499999999999</v>
      </c>
      <c r="AW27" s="2624">
        <v>6.2500000000000003E-3</v>
      </c>
      <c r="AX27" s="2624">
        <v>0.25</v>
      </c>
      <c r="AY27" s="2624">
        <v>0.640625</v>
      </c>
      <c r="AZ27" s="2625">
        <v>1</v>
      </c>
      <c r="BA27" s="2627">
        <f>BA26/$BE$26</f>
        <v>0.10122699386503067</v>
      </c>
      <c r="BB27" s="2624">
        <f>BB26/$BE$26</f>
        <v>3.0674846625766872E-3</v>
      </c>
      <c r="BC27" s="2624">
        <f>BC26/$BE$26</f>
        <v>0.2392638036809816</v>
      </c>
      <c r="BD27" s="2624">
        <f>BD26/$BE$26</f>
        <v>0.65644171779141103</v>
      </c>
      <c r="BE27" s="2625">
        <f>BE26/$BE$26</f>
        <v>1</v>
      </c>
      <c r="BF27" s="2627">
        <f>BF26/$BJ$26</f>
        <v>0.10060975609756098</v>
      </c>
      <c r="BG27" s="2624">
        <f>BG26/$BJ$26</f>
        <v>3.0487804878048782E-3</v>
      </c>
      <c r="BH27" s="2624">
        <f>BH26/$BJ$26</f>
        <v>0.23780487804878048</v>
      </c>
      <c r="BI27" s="2624">
        <f>BI26/$BJ$26</f>
        <v>0.65853658536585369</v>
      </c>
      <c r="BJ27" s="2625">
        <f t="shared" si="22"/>
        <v>1</v>
      </c>
      <c r="BK27" s="2627">
        <f>BK26/$BO$26</f>
        <v>9.8507462686567168E-2</v>
      </c>
      <c r="BL27" s="2624">
        <f>BL26/$BO$26</f>
        <v>2.9850746268656717E-3</v>
      </c>
      <c r="BM27" s="2624">
        <f>BM26/$BO$26</f>
        <v>0.24776119402985075</v>
      </c>
      <c r="BN27" s="2624">
        <f>BN26/$BO$26</f>
        <v>0.65074626865671636</v>
      </c>
      <c r="BO27" s="2625">
        <f t="shared" si="23"/>
        <v>1</v>
      </c>
      <c r="BP27" s="2627">
        <f>BP26/$BT$26</f>
        <v>9.4674556213017749E-2</v>
      </c>
      <c r="BQ27" s="2624">
        <f>BQ26/$BT$26</f>
        <v>2.9585798816568047E-3</v>
      </c>
      <c r="BR27" s="2624">
        <f>BR26/$BT$26</f>
        <v>0.24260355029585798</v>
      </c>
      <c r="BS27" s="2624">
        <f>BS26/$BT$26</f>
        <v>0.65976331360946749</v>
      </c>
      <c r="BT27" s="2625">
        <f t="shared" si="24"/>
        <v>1</v>
      </c>
      <c r="BU27" s="2627">
        <f>BU26/$BY$26</f>
        <v>9.2753623188405798E-2</v>
      </c>
      <c r="BV27" s="2624">
        <f t="shared" ref="BV27:BX27" si="27">BV26/$BY$26</f>
        <v>2.8985507246376812E-3</v>
      </c>
      <c r="BW27" s="2624">
        <f t="shared" si="27"/>
        <v>0.24057971014492754</v>
      </c>
      <c r="BX27" s="2624">
        <f t="shared" si="27"/>
        <v>0.663768115942029</v>
      </c>
      <c r="BY27" s="2625">
        <f t="shared" si="25"/>
        <v>1</v>
      </c>
    </row>
    <row r="28" spans="1:77" ht="15" x14ac:dyDescent="0.2">
      <c r="A28" s="7280"/>
      <c r="B28" s="7274" t="s">
        <v>11</v>
      </c>
      <c r="C28" s="1351">
        <v>31</v>
      </c>
      <c r="D28" s="1351">
        <v>8</v>
      </c>
      <c r="E28" s="1351">
        <v>72</v>
      </c>
      <c r="F28" s="1351">
        <v>103</v>
      </c>
      <c r="G28" s="480">
        <v>214</v>
      </c>
      <c r="H28" s="1352">
        <v>31</v>
      </c>
      <c r="I28" s="1352">
        <v>7</v>
      </c>
      <c r="J28" s="1352">
        <v>69</v>
      </c>
      <c r="K28" s="1352">
        <v>111</v>
      </c>
      <c r="L28" s="717">
        <v>218</v>
      </c>
      <c r="M28" s="1352">
        <v>24</v>
      </c>
      <c r="N28" s="1352">
        <v>8</v>
      </c>
      <c r="O28" s="1352">
        <v>72</v>
      </c>
      <c r="P28" s="1352">
        <v>120</v>
      </c>
      <c r="Q28" s="717">
        <v>224</v>
      </c>
      <c r="R28" s="1352">
        <v>20</v>
      </c>
      <c r="S28" s="1352">
        <v>6</v>
      </c>
      <c r="T28" s="1352">
        <v>67</v>
      </c>
      <c r="U28" s="1352">
        <v>126</v>
      </c>
      <c r="V28" s="717">
        <v>219</v>
      </c>
      <c r="W28" s="1352">
        <v>19</v>
      </c>
      <c r="X28" s="1352">
        <v>6</v>
      </c>
      <c r="Y28" s="1352">
        <v>65</v>
      </c>
      <c r="Z28" s="1352">
        <v>133</v>
      </c>
      <c r="AA28" s="717">
        <v>223</v>
      </c>
      <c r="AB28" s="1353">
        <v>19</v>
      </c>
      <c r="AC28" s="1352">
        <v>4</v>
      </c>
      <c r="AD28" s="1352">
        <v>61</v>
      </c>
      <c r="AE28" s="1352">
        <v>141</v>
      </c>
      <c r="AF28" s="717">
        <v>225</v>
      </c>
      <c r="AG28" s="1353">
        <v>17</v>
      </c>
      <c r="AH28" s="1352">
        <v>4</v>
      </c>
      <c r="AI28" s="1352">
        <v>57</v>
      </c>
      <c r="AJ28" s="1352">
        <v>149</v>
      </c>
      <c r="AK28" s="717">
        <v>227</v>
      </c>
      <c r="AL28" s="1353">
        <v>17</v>
      </c>
      <c r="AM28" s="1352">
        <v>4</v>
      </c>
      <c r="AN28" s="1352">
        <v>54</v>
      </c>
      <c r="AO28" s="1352">
        <v>166</v>
      </c>
      <c r="AP28" s="717">
        <v>241</v>
      </c>
      <c r="AQ28" s="1353">
        <v>17</v>
      </c>
      <c r="AR28" s="1352">
        <v>3</v>
      </c>
      <c r="AS28" s="1352">
        <v>53</v>
      </c>
      <c r="AT28" s="1352">
        <v>177</v>
      </c>
      <c r="AU28" s="717">
        <v>250</v>
      </c>
      <c r="AV28" s="1353">
        <v>17</v>
      </c>
      <c r="AW28" s="1352">
        <v>3</v>
      </c>
      <c r="AX28" s="1352">
        <v>56</v>
      </c>
      <c r="AY28" s="1352">
        <v>175</v>
      </c>
      <c r="AZ28" s="717">
        <v>251</v>
      </c>
      <c r="BA28" s="1353">
        <f>+'PTC-GRADO (1)'!BA18</f>
        <v>14</v>
      </c>
      <c r="BB28" s="1352">
        <f>+'PTC-GRADO (1)'!BB18</f>
        <v>4</v>
      </c>
      <c r="BC28" s="1352">
        <f>+'PTC-GRADO (1)'!BC18</f>
        <v>58</v>
      </c>
      <c r="BD28" s="1352">
        <f>+'PTC-GRADO (1)'!BD18</f>
        <v>185</v>
      </c>
      <c r="BE28" s="717">
        <f>SUM(BA28:BD28)</f>
        <v>261</v>
      </c>
      <c r="BF28" s="1353">
        <f>+'PTC-GRADO (1)'!BF18</f>
        <v>15</v>
      </c>
      <c r="BG28" s="1352">
        <f>+'PTC-GRADO (1)'!BG18</f>
        <v>4</v>
      </c>
      <c r="BH28" s="1352">
        <f>+'PTC-GRADO (1)'!BH18</f>
        <v>57</v>
      </c>
      <c r="BI28" s="1352">
        <f>+'PTC-GRADO (1)'!BI18</f>
        <v>189</v>
      </c>
      <c r="BJ28" s="717">
        <f t="shared" si="22"/>
        <v>265</v>
      </c>
      <c r="BK28" s="1353">
        <f>+'PTC-GRADO (1)'!BK18</f>
        <v>15</v>
      </c>
      <c r="BL28" s="1352">
        <f>+'PTC-GRADO (1)'!BL18</f>
        <v>4</v>
      </c>
      <c r="BM28" s="1352">
        <f>+'PTC-GRADO (1)'!BM18</f>
        <v>57</v>
      </c>
      <c r="BN28" s="1352">
        <f>+'PTC-GRADO (1)'!BN18</f>
        <v>191</v>
      </c>
      <c r="BO28" s="717">
        <f t="shared" si="23"/>
        <v>267</v>
      </c>
      <c r="BP28" s="1353">
        <f>+'PTC-GRADO (1)'!BP18</f>
        <v>15</v>
      </c>
      <c r="BQ28" s="1352">
        <f>+'PTC-GRADO (1)'!BQ18</f>
        <v>4</v>
      </c>
      <c r="BR28" s="1352">
        <f>+'PTC-GRADO (1)'!BR18</f>
        <v>51</v>
      </c>
      <c r="BS28" s="1352">
        <f>+'PTC-GRADO (1)'!BS18</f>
        <v>201</v>
      </c>
      <c r="BT28" s="717">
        <f t="shared" si="24"/>
        <v>271</v>
      </c>
      <c r="BU28" s="1353">
        <f>+'PTC-GRADO (1)'!BU18</f>
        <v>15</v>
      </c>
      <c r="BV28" s="1352">
        <f>+'PTC-GRADO (1)'!BV18</f>
        <v>4</v>
      </c>
      <c r="BW28" s="1352">
        <f>+'PTC-GRADO (1)'!BW18</f>
        <v>51</v>
      </c>
      <c r="BX28" s="1352">
        <f>+'PTC-GRADO (1)'!BX18</f>
        <v>205</v>
      </c>
      <c r="BY28" s="717">
        <f t="shared" si="25"/>
        <v>275</v>
      </c>
    </row>
    <row r="29" spans="1:77" ht="15" customHeight="1" x14ac:dyDescent="0.2">
      <c r="A29" s="7280"/>
      <c r="B29" s="7275"/>
      <c r="C29" s="1686">
        <v>0.14485981308411214</v>
      </c>
      <c r="D29" s="1686">
        <v>3.7383177570093455E-2</v>
      </c>
      <c r="E29" s="1686">
        <v>0.3364485981308411</v>
      </c>
      <c r="F29" s="1686">
        <v>0.48130841121495327</v>
      </c>
      <c r="G29" s="2616">
        <v>1</v>
      </c>
      <c r="H29" s="1686">
        <v>0.14220183486238533</v>
      </c>
      <c r="I29" s="1686">
        <v>3.2110091743119268E-2</v>
      </c>
      <c r="J29" s="1686">
        <v>0.3165137614678899</v>
      </c>
      <c r="K29" s="1686">
        <v>0.50917431192660545</v>
      </c>
      <c r="L29" s="2616">
        <v>1</v>
      </c>
      <c r="M29" s="1686">
        <v>0.10714285714285714</v>
      </c>
      <c r="N29" s="1686">
        <v>3.5714285714285712E-2</v>
      </c>
      <c r="O29" s="1686">
        <v>0.32142857142857145</v>
      </c>
      <c r="P29" s="1686">
        <v>0.5357142857142857</v>
      </c>
      <c r="Q29" s="2616">
        <v>1</v>
      </c>
      <c r="R29" s="1686">
        <v>9.1324200913242004E-2</v>
      </c>
      <c r="S29" s="1686">
        <v>2.7397260273972601E-2</v>
      </c>
      <c r="T29" s="1686">
        <v>0.30593607305936071</v>
      </c>
      <c r="U29" s="1686">
        <v>0.57534246575342463</v>
      </c>
      <c r="V29" s="2616">
        <v>1</v>
      </c>
      <c r="W29" s="1686">
        <v>8.520179372197309E-2</v>
      </c>
      <c r="X29" s="1686">
        <v>2.6905829596412557E-2</v>
      </c>
      <c r="Y29" s="1686">
        <v>0.2914798206278027</v>
      </c>
      <c r="Z29" s="1686">
        <v>0.5964125560538116</v>
      </c>
      <c r="AA29" s="2617">
        <v>1</v>
      </c>
      <c r="AB29" s="2618">
        <v>8.4444444444444447E-2</v>
      </c>
      <c r="AC29" s="1686">
        <v>1.7777777777777778E-2</v>
      </c>
      <c r="AD29" s="1686">
        <v>0.27111111111111114</v>
      </c>
      <c r="AE29" s="1686">
        <v>0.62666666666666671</v>
      </c>
      <c r="AF29" s="2616">
        <v>1</v>
      </c>
      <c r="AG29" s="2618">
        <v>7.4889867841409691E-2</v>
      </c>
      <c r="AH29" s="1686">
        <f>+AH28/$AK$28</f>
        <v>1.7621145374449341E-2</v>
      </c>
      <c r="AI29" s="1686">
        <f>+AI28/$AK$28</f>
        <v>0.25110132158590309</v>
      </c>
      <c r="AJ29" s="1686">
        <f>+AJ28/$AK$28</f>
        <v>0.65638766519823788</v>
      </c>
      <c r="AK29" s="2616">
        <f>+AK28/$AK$28</f>
        <v>1</v>
      </c>
      <c r="AL29" s="2618">
        <v>7.0539419087136929E-2</v>
      </c>
      <c r="AM29" s="1686">
        <v>1.6597510373443983E-2</v>
      </c>
      <c r="AN29" s="1686">
        <v>0.22406639004149378</v>
      </c>
      <c r="AO29" s="1686">
        <v>0.68879668049792531</v>
      </c>
      <c r="AP29" s="2616">
        <v>1</v>
      </c>
      <c r="AQ29" s="2618">
        <v>6.8000000000000005E-2</v>
      </c>
      <c r="AR29" s="1686">
        <v>1.2E-2</v>
      </c>
      <c r="AS29" s="1686">
        <v>0.21199999999999999</v>
      </c>
      <c r="AT29" s="1686">
        <v>0.70799999999999996</v>
      </c>
      <c r="AU29" s="2616">
        <v>1</v>
      </c>
      <c r="AV29" s="2618">
        <v>6.7729083665338641E-2</v>
      </c>
      <c r="AW29" s="1686">
        <v>1.1952191235059761E-2</v>
      </c>
      <c r="AX29" s="1686">
        <v>0.22310756972111553</v>
      </c>
      <c r="AY29" s="1686">
        <v>0.6972111553784861</v>
      </c>
      <c r="AZ29" s="2616">
        <v>1</v>
      </c>
      <c r="BA29" s="2618">
        <f>BA28/$BE$28</f>
        <v>5.3639846743295021E-2</v>
      </c>
      <c r="BB29" s="1686">
        <f>BB28/$BE$28</f>
        <v>1.532567049808429E-2</v>
      </c>
      <c r="BC29" s="1686">
        <f>BC28/$BE$28</f>
        <v>0.22222222222222221</v>
      </c>
      <c r="BD29" s="1686">
        <f>BD28/$BE$28</f>
        <v>0.70881226053639845</v>
      </c>
      <c r="BE29" s="2616">
        <f>BE28/$BE$28</f>
        <v>1</v>
      </c>
      <c r="BF29" s="2618">
        <f>BF28/$BJ$28</f>
        <v>5.6603773584905662E-2</v>
      </c>
      <c r="BG29" s="1686">
        <f>BG28/$BJ$28</f>
        <v>1.509433962264151E-2</v>
      </c>
      <c r="BH29" s="1686">
        <f>BH28/$BJ$28</f>
        <v>0.21509433962264152</v>
      </c>
      <c r="BI29" s="1686">
        <f>BI28/$BJ$28</f>
        <v>0.71320754716981127</v>
      </c>
      <c r="BJ29" s="2616">
        <f t="shared" si="22"/>
        <v>1</v>
      </c>
      <c r="BK29" s="2618">
        <f>BK28/$BO$28</f>
        <v>5.6179775280898875E-2</v>
      </c>
      <c r="BL29" s="1686">
        <f>BL28/$BO$28</f>
        <v>1.4981273408239701E-2</v>
      </c>
      <c r="BM29" s="1686">
        <f>BM28/$BO$28</f>
        <v>0.21348314606741572</v>
      </c>
      <c r="BN29" s="1686">
        <f>BN28/$BO$28</f>
        <v>0.71535580524344566</v>
      </c>
      <c r="BO29" s="2616">
        <f t="shared" si="23"/>
        <v>1</v>
      </c>
      <c r="BP29" s="2618">
        <f>BP28/$BT$28</f>
        <v>5.5350553505535055E-2</v>
      </c>
      <c r="BQ29" s="1686">
        <f>BQ28/$BT$28</f>
        <v>1.4760147601476014E-2</v>
      </c>
      <c r="BR29" s="1686">
        <f>BR28/$BT$28</f>
        <v>0.18819188191881919</v>
      </c>
      <c r="BS29" s="1686">
        <f>BS28/$BT$28</f>
        <v>0.74169741697416969</v>
      </c>
      <c r="BT29" s="2616">
        <f t="shared" si="24"/>
        <v>1</v>
      </c>
      <c r="BU29" s="2618">
        <f>BU28/$BY$28</f>
        <v>5.4545454545454543E-2</v>
      </c>
      <c r="BV29" s="1686">
        <f t="shared" ref="BV29:BX29" si="28">BV28/$BY$28</f>
        <v>1.4545454545454545E-2</v>
      </c>
      <c r="BW29" s="1686">
        <f t="shared" si="28"/>
        <v>0.18545454545454546</v>
      </c>
      <c r="BX29" s="1686">
        <f t="shared" si="28"/>
        <v>0.74545454545454548</v>
      </c>
      <c r="BY29" s="2616">
        <f t="shared" si="25"/>
        <v>1</v>
      </c>
    </row>
    <row r="30" spans="1:77" ht="15" x14ac:dyDescent="0.2">
      <c r="A30" s="7280"/>
      <c r="B30" s="7271" t="s">
        <v>12</v>
      </c>
      <c r="C30" s="2637">
        <v>125</v>
      </c>
      <c r="D30" s="2638">
        <v>10</v>
      </c>
      <c r="E30" s="2638">
        <v>232</v>
      </c>
      <c r="F30" s="2638">
        <v>417</v>
      </c>
      <c r="G30" s="2638">
        <v>784</v>
      </c>
      <c r="H30" s="2639">
        <v>124</v>
      </c>
      <c r="I30" s="2640">
        <v>9</v>
      </c>
      <c r="J30" s="2640">
        <v>222</v>
      </c>
      <c r="K30" s="2640">
        <v>447</v>
      </c>
      <c r="L30" s="2641">
        <v>802</v>
      </c>
      <c r="M30" s="2639">
        <v>97</v>
      </c>
      <c r="N30" s="2640">
        <v>10</v>
      </c>
      <c r="O30" s="2640">
        <v>230</v>
      </c>
      <c r="P30" s="2640">
        <v>486</v>
      </c>
      <c r="Q30" s="2641">
        <v>823</v>
      </c>
      <c r="R30" s="2639">
        <v>90</v>
      </c>
      <c r="S30" s="2640">
        <v>8</v>
      </c>
      <c r="T30" s="2640">
        <v>216</v>
      </c>
      <c r="U30" s="2640">
        <v>500</v>
      </c>
      <c r="V30" s="2641">
        <v>814</v>
      </c>
      <c r="W30" s="2639">
        <v>80</v>
      </c>
      <c r="X30" s="2640">
        <v>9</v>
      </c>
      <c r="Y30" s="2640">
        <v>211</v>
      </c>
      <c r="Z30" s="2640">
        <v>516</v>
      </c>
      <c r="AA30" s="2641">
        <v>816</v>
      </c>
      <c r="AB30" s="2639">
        <v>77</v>
      </c>
      <c r="AC30" s="2640">
        <v>7</v>
      </c>
      <c r="AD30" s="2640">
        <v>202</v>
      </c>
      <c r="AE30" s="2640">
        <v>532</v>
      </c>
      <c r="AF30" s="2641">
        <v>818</v>
      </c>
      <c r="AG30" s="2639">
        <v>71</v>
      </c>
      <c r="AH30" s="2640">
        <v>7</v>
      </c>
      <c r="AI30" s="2640">
        <v>203</v>
      </c>
      <c r="AJ30" s="2640">
        <v>552</v>
      </c>
      <c r="AK30" s="2641">
        <v>833</v>
      </c>
      <c r="AL30" s="2639">
        <v>69.16543202158806</v>
      </c>
      <c r="AM30" s="2640">
        <v>7.0095750112003667</v>
      </c>
      <c r="AN30" s="2640">
        <v>196.45359922483044</v>
      </c>
      <c r="AO30" s="2640">
        <v>590.37139374238109</v>
      </c>
      <c r="AP30" s="2641">
        <v>863</v>
      </c>
      <c r="AQ30" s="2639">
        <v>68.162004950495046</v>
      </c>
      <c r="AR30" s="2640">
        <v>6.0095503300330027</v>
      </c>
      <c r="AS30" s="2640">
        <v>177.39556518151815</v>
      </c>
      <c r="AT30" s="2640">
        <v>623.4328795379538</v>
      </c>
      <c r="AU30" s="2641">
        <v>875</v>
      </c>
      <c r="AV30" s="2639">
        <v>65.152144607843127</v>
      </c>
      <c r="AW30" s="2640">
        <v>6.0095179738562088</v>
      </c>
      <c r="AX30" s="2640">
        <v>180.39379084967319</v>
      </c>
      <c r="AY30" s="2640">
        <v>627.4445465686274</v>
      </c>
      <c r="AZ30" s="2641">
        <v>879</v>
      </c>
      <c r="BA30" s="2639">
        <f t="shared" ref="BA30:BJ30" si="29">SUM(BA24,BA26,BA28)</f>
        <v>61</v>
      </c>
      <c r="BB30" s="2640">
        <f t="shared" si="29"/>
        <v>6</v>
      </c>
      <c r="BC30" s="2640">
        <f t="shared" si="29"/>
        <v>179</v>
      </c>
      <c r="BD30" s="2640">
        <f t="shared" si="29"/>
        <v>654</v>
      </c>
      <c r="BE30" s="2641">
        <f t="shared" si="29"/>
        <v>900</v>
      </c>
      <c r="BF30" s="2639">
        <f t="shared" si="29"/>
        <v>62</v>
      </c>
      <c r="BG30" s="2640">
        <f t="shared" si="29"/>
        <v>6</v>
      </c>
      <c r="BH30" s="2640">
        <f t="shared" si="29"/>
        <v>178</v>
      </c>
      <c r="BI30" s="2640">
        <f t="shared" si="29"/>
        <v>661</v>
      </c>
      <c r="BJ30" s="2641">
        <f t="shared" si="29"/>
        <v>907</v>
      </c>
      <c r="BK30" s="2639">
        <f t="shared" ref="BK30:BT30" si="30">SUM(BK24,BK26,BK28)</f>
        <v>62</v>
      </c>
      <c r="BL30" s="2640">
        <f t="shared" si="30"/>
        <v>6</v>
      </c>
      <c r="BM30" s="2640">
        <f t="shared" si="30"/>
        <v>183</v>
      </c>
      <c r="BN30" s="2640">
        <f t="shared" si="30"/>
        <v>670</v>
      </c>
      <c r="BO30" s="2641">
        <f t="shared" si="30"/>
        <v>921</v>
      </c>
      <c r="BP30" s="2639">
        <f t="shared" si="30"/>
        <v>61</v>
      </c>
      <c r="BQ30" s="2640">
        <f t="shared" si="30"/>
        <v>6</v>
      </c>
      <c r="BR30" s="2640">
        <f t="shared" si="30"/>
        <v>175</v>
      </c>
      <c r="BS30" s="2640">
        <f t="shared" si="30"/>
        <v>690</v>
      </c>
      <c r="BT30" s="2641">
        <f t="shared" si="30"/>
        <v>932</v>
      </c>
      <c r="BU30" s="2639">
        <f t="shared" ref="BU30:BY30" si="31">SUM(BU24,BU26,BU28)</f>
        <v>61</v>
      </c>
      <c r="BV30" s="2640">
        <f t="shared" si="31"/>
        <v>6</v>
      </c>
      <c r="BW30" s="2640">
        <f t="shared" si="31"/>
        <v>177</v>
      </c>
      <c r="BX30" s="2640">
        <f t="shared" si="31"/>
        <v>714</v>
      </c>
      <c r="BY30" s="2641">
        <f t="shared" si="31"/>
        <v>958</v>
      </c>
    </row>
    <row r="31" spans="1:77" x14ac:dyDescent="0.2">
      <c r="A31" s="7281"/>
      <c r="B31" s="7272"/>
      <c r="C31" s="2633">
        <v>0.15943877551020408</v>
      </c>
      <c r="D31" s="2634">
        <v>1.2755102040816327E-2</v>
      </c>
      <c r="E31" s="2634">
        <v>0.29591836734693877</v>
      </c>
      <c r="F31" s="2634">
        <v>0.53188775510204078</v>
      </c>
      <c r="G31" s="2635">
        <v>1</v>
      </c>
      <c r="H31" s="2633">
        <v>0.15461346633416459</v>
      </c>
      <c r="I31" s="2634">
        <v>1.1221945137157107E-2</v>
      </c>
      <c r="J31" s="2634">
        <v>0.27680798004987534</v>
      </c>
      <c r="K31" s="2634">
        <v>0.55735660847880297</v>
      </c>
      <c r="L31" s="2635">
        <v>1</v>
      </c>
      <c r="M31" s="2633">
        <v>0.11786148238153099</v>
      </c>
      <c r="N31" s="2634">
        <v>1.2150668286755772E-2</v>
      </c>
      <c r="O31" s="2634">
        <v>0.27946537059538273</v>
      </c>
      <c r="P31" s="2634">
        <v>0.59052247873633046</v>
      </c>
      <c r="Q31" s="2635">
        <v>1</v>
      </c>
      <c r="R31" s="2633">
        <v>0.11056511056511056</v>
      </c>
      <c r="S31" s="2634">
        <v>9.8280098280098278E-3</v>
      </c>
      <c r="T31" s="2634">
        <v>0.26535626535626533</v>
      </c>
      <c r="U31" s="2634">
        <v>0.61425061425061422</v>
      </c>
      <c r="V31" s="2635">
        <v>1</v>
      </c>
      <c r="W31" s="2633">
        <v>9.8039215686274508E-2</v>
      </c>
      <c r="X31" s="2634">
        <v>1.1029411764705883E-2</v>
      </c>
      <c r="Y31" s="2634">
        <v>0.25857843137254904</v>
      </c>
      <c r="Z31" s="2634">
        <v>0.63235294117647056</v>
      </c>
      <c r="AA31" s="2635">
        <v>1</v>
      </c>
      <c r="AB31" s="2633">
        <v>9.4132029339853304E-2</v>
      </c>
      <c r="AC31" s="2634">
        <v>8.557457212713936E-3</v>
      </c>
      <c r="AD31" s="2634">
        <v>0.24694376528117359</v>
      </c>
      <c r="AE31" s="2634">
        <v>0.65036674816625917</v>
      </c>
      <c r="AF31" s="2635">
        <v>1</v>
      </c>
      <c r="AG31" s="2633">
        <v>8.5234093637454988E-2</v>
      </c>
      <c r="AH31" s="2634">
        <v>8.4033613445378148E-3</v>
      </c>
      <c r="AI31" s="2634">
        <v>0.24369747899159663</v>
      </c>
      <c r="AJ31" s="2634">
        <v>0.66266506602641051</v>
      </c>
      <c r="AK31" s="2635">
        <v>1</v>
      </c>
      <c r="AL31" s="2633">
        <v>8.0145344173334951E-2</v>
      </c>
      <c r="AM31" s="2634">
        <v>8.1223348913098108E-3</v>
      </c>
      <c r="AN31" s="2634">
        <v>0.22764032355136785</v>
      </c>
      <c r="AO31" s="2634">
        <v>0.6840919973839874</v>
      </c>
      <c r="AP31" s="2635">
        <v>1</v>
      </c>
      <c r="AQ31" s="2633">
        <v>7.7899434229137199E-2</v>
      </c>
      <c r="AR31" s="2634">
        <v>6.8680575200377172E-3</v>
      </c>
      <c r="AS31" s="2634">
        <v>0.20273778877887788</v>
      </c>
      <c r="AT31" s="2634">
        <v>0.7124947194719472</v>
      </c>
      <c r="AU31" s="2635">
        <v>1</v>
      </c>
      <c r="AV31" s="2633">
        <v>7.4120756095384668E-2</v>
      </c>
      <c r="AW31" s="2634">
        <v>6.8367667506896573E-3</v>
      </c>
      <c r="AX31" s="2634">
        <v>0.20522615568791033</v>
      </c>
      <c r="AY31" s="2634">
        <v>0.71381632146601526</v>
      </c>
      <c r="AZ31" s="2635">
        <v>1</v>
      </c>
      <c r="BA31" s="1366">
        <f>BA30/$BE$30</f>
        <v>6.7777777777777784E-2</v>
      </c>
      <c r="BB31" s="1365">
        <f>BB30/$BE$30</f>
        <v>6.6666666666666671E-3</v>
      </c>
      <c r="BC31" s="1365">
        <f>BC30/$BE$30</f>
        <v>0.19888888888888889</v>
      </c>
      <c r="BD31" s="1365">
        <f>BD30/$BE$30</f>
        <v>0.72666666666666668</v>
      </c>
      <c r="BE31" s="2636">
        <f>BE30/$BE$30</f>
        <v>1</v>
      </c>
      <c r="BF31" s="1366">
        <f>BF30/$BJ$30</f>
        <v>6.8357221609702312E-2</v>
      </c>
      <c r="BG31" s="1365">
        <f>BG30/$BJ$30</f>
        <v>6.615214994487321E-3</v>
      </c>
      <c r="BH31" s="1365">
        <f>BH30/$BJ$30</f>
        <v>0.19625137816979052</v>
      </c>
      <c r="BI31" s="1365">
        <f>BI30/$BJ$30</f>
        <v>0.72877618522601983</v>
      </c>
      <c r="BJ31" s="2636">
        <f>SUM(BF31:BI31)</f>
        <v>1</v>
      </c>
      <c r="BK31" s="1366">
        <f>BK30/$BO$30</f>
        <v>6.7318132464712271E-2</v>
      </c>
      <c r="BL31" s="1365">
        <f>BL30/$BO$30</f>
        <v>6.5146579804560263E-3</v>
      </c>
      <c r="BM31" s="1365">
        <f>BM30/$BO$30</f>
        <v>0.1986970684039088</v>
      </c>
      <c r="BN31" s="1365">
        <f>BN30/$BO$30</f>
        <v>0.7274701411509229</v>
      </c>
      <c r="BO31" s="2636">
        <f>SUM(BK31:BN31)</f>
        <v>1</v>
      </c>
      <c r="BP31" s="1366">
        <f>BP30/$BT$30</f>
        <v>6.5450643776824038E-2</v>
      </c>
      <c r="BQ31" s="1365">
        <f>BQ30/$BT$30</f>
        <v>6.4377682403433476E-3</v>
      </c>
      <c r="BR31" s="1365">
        <f>BR30/$BT$30</f>
        <v>0.18776824034334763</v>
      </c>
      <c r="BS31" s="1365">
        <f>BS30/$BT$30</f>
        <v>0.74034334763948495</v>
      </c>
      <c r="BT31" s="2636">
        <f>SUM(BP31:BS31)</f>
        <v>1</v>
      </c>
      <c r="BU31" s="1366">
        <f>BU30/$BY$30</f>
        <v>6.3674321503131528E-2</v>
      </c>
      <c r="BV31" s="1365">
        <f t="shared" ref="BV31:BX31" si="32">BV30/$BY$30</f>
        <v>6.2630480167014616E-3</v>
      </c>
      <c r="BW31" s="1365">
        <f t="shared" si="32"/>
        <v>0.1847599164926931</v>
      </c>
      <c r="BX31" s="1365">
        <f t="shared" si="32"/>
        <v>0.74530271398747394</v>
      </c>
      <c r="BY31" s="2636">
        <f>SUM(BU31:BX31)</f>
        <v>1</v>
      </c>
    </row>
    <row r="32" spans="1:77" ht="15" x14ac:dyDescent="0.2">
      <c r="A32" s="1355"/>
      <c r="B32" s="1355"/>
      <c r="C32" s="1683"/>
      <c r="D32" s="1683"/>
      <c r="E32" s="1683"/>
      <c r="F32" s="1683"/>
      <c r="G32" s="1684"/>
      <c r="H32" s="1683"/>
      <c r="I32" s="1683"/>
      <c r="J32" s="1683"/>
      <c r="K32" s="1683"/>
      <c r="L32" s="1684"/>
      <c r="M32" s="1683"/>
      <c r="N32" s="1683"/>
      <c r="O32" s="1683"/>
      <c r="P32" s="1683"/>
      <c r="Q32" s="1684"/>
      <c r="R32" s="1683"/>
      <c r="S32" s="1683"/>
      <c r="T32" s="1683"/>
      <c r="U32" s="1683"/>
      <c r="V32" s="1684"/>
      <c r="W32" s="1683"/>
      <c r="X32" s="1683"/>
      <c r="Y32" s="1683"/>
      <c r="Z32" s="1683"/>
      <c r="AA32" s="1684"/>
      <c r="AB32" s="1683"/>
      <c r="AC32" s="1683"/>
      <c r="AD32" s="1683"/>
      <c r="AE32" s="1683"/>
      <c r="AF32" s="1684"/>
      <c r="AG32" s="1683"/>
      <c r="AH32" s="1683"/>
      <c r="AI32" s="1683"/>
      <c r="AJ32" s="1683"/>
      <c r="AK32" s="1685"/>
      <c r="AL32" s="1683"/>
      <c r="AM32" s="1683"/>
      <c r="AN32" s="1683"/>
      <c r="AO32" s="1683"/>
      <c r="AP32" s="1684"/>
      <c r="AQ32" s="1683"/>
      <c r="AR32" s="1683"/>
      <c r="AS32" s="1683"/>
      <c r="AT32" s="1683"/>
      <c r="AU32" s="1685"/>
      <c r="AV32" s="1683"/>
      <c r="AW32" s="1683"/>
      <c r="AX32" s="1683"/>
      <c r="AY32" s="1683"/>
      <c r="AZ32" s="1683"/>
      <c r="BA32" s="1686"/>
      <c r="BB32" s="1686"/>
      <c r="BC32" s="1686"/>
      <c r="BD32" s="1686"/>
      <c r="BE32" s="1686"/>
      <c r="BF32" s="1686"/>
      <c r="BG32" s="1686"/>
      <c r="BH32" s="1686"/>
      <c r="BI32" s="1686"/>
      <c r="BJ32" s="1686"/>
      <c r="BK32" s="1686"/>
      <c r="BL32" s="1686"/>
      <c r="BM32" s="1686"/>
      <c r="BN32" s="1686"/>
      <c r="BO32" s="1686"/>
      <c r="BP32" s="1686"/>
      <c r="BQ32" s="1686"/>
      <c r="BR32" s="1686"/>
      <c r="BS32" s="1686"/>
      <c r="BT32" s="1686"/>
      <c r="BU32" s="1686"/>
      <c r="BV32" s="1686"/>
      <c r="BW32" s="1686"/>
      <c r="BX32" s="1686"/>
      <c r="BY32" s="1686"/>
    </row>
    <row r="33" spans="1:77" ht="15" x14ac:dyDescent="0.2">
      <c r="A33" s="7276" t="s">
        <v>325</v>
      </c>
      <c r="B33" s="7273" t="s">
        <v>5</v>
      </c>
      <c r="C33" s="1348"/>
      <c r="D33" s="1348"/>
      <c r="E33" s="1348"/>
      <c r="F33" s="1348"/>
      <c r="G33" s="475"/>
      <c r="H33" s="1349"/>
      <c r="I33" s="1349"/>
      <c r="J33" s="1349"/>
      <c r="K33" s="1349"/>
      <c r="L33" s="714"/>
      <c r="M33" s="1349"/>
      <c r="N33" s="1349"/>
      <c r="O33" s="1349"/>
      <c r="P33" s="1349"/>
      <c r="Q33" s="714"/>
      <c r="R33" s="1349"/>
      <c r="S33" s="1349"/>
      <c r="T33" s="1349"/>
      <c r="U33" s="1349"/>
      <c r="V33" s="714"/>
      <c r="W33" s="1349"/>
      <c r="X33" s="1349"/>
      <c r="Y33" s="1349"/>
      <c r="Z33" s="1349"/>
      <c r="AA33" s="714"/>
      <c r="AB33" s="1350"/>
      <c r="AC33" s="1349"/>
      <c r="AD33" s="1349"/>
      <c r="AE33" s="1349"/>
      <c r="AF33" s="714"/>
      <c r="AG33" s="1350"/>
      <c r="AH33" s="1349"/>
      <c r="AI33" s="1349"/>
      <c r="AJ33" s="1349"/>
      <c r="AK33" s="714"/>
      <c r="AL33" s="1350"/>
      <c r="AM33" s="1349"/>
      <c r="AN33" s="1349"/>
      <c r="AO33" s="1349"/>
      <c r="AP33" s="714"/>
      <c r="AQ33" s="1350"/>
      <c r="AR33" s="1349"/>
      <c r="AS33" s="1349"/>
      <c r="AT33" s="1349"/>
      <c r="AU33" s="714"/>
      <c r="AV33" s="1350"/>
      <c r="AW33" s="1349"/>
      <c r="AX33" s="1349"/>
      <c r="AY33" s="1349"/>
      <c r="AZ33" s="714"/>
      <c r="BA33" s="1350">
        <f>+'PTC-GRADO (1)'!BA21</f>
        <v>0</v>
      </c>
      <c r="BB33" s="1349">
        <f>+'PTC-GRADO (1)'!BB21</f>
        <v>0</v>
      </c>
      <c r="BC33" s="1349">
        <f>+'PTC-GRADO (1)'!BC21</f>
        <v>1</v>
      </c>
      <c r="BD33" s="1349">
        <f>+'PTC-GRADO (1)'!BD21</f>
        <v>7</v>
      </c>
      <c r="BE33" s="714">
        <f t="shared" ref="BE33:BE38" si="33">SUM(BA33:BD33)</f>
        <v>8</v>
      </c>
      <c r="BF33" s="1350">
        <f>+'PTC-GRADO (1)'!BF21</f>
        <v>0</v>
      </c>
      <c r="BG33" s="1349">
        <f>+'PTC-GRADO (1)'!BG21</f>
        <v>0</v>
      </c>
      <c r="BH33" s="1349">
        <f>+'PTC-GRADO (1)'!BH21</f>
        <v>2</v>
      </c>
      <c r="BI33" s="1349">
        <f>+'PTC-GRADO (1)'!BI21</f>
        <v>9</v>
      </c>
      <c r="BJ33" s="714">
        <f t="shared" ref="BJ33:BJ38" si="34">SUM(BF33:BI33)</f>
        <v>11</v>
      </c>
      <c r="BK33" s="1350">
        <f>+'PTC-GRADO (1)'!BK21</f>
        <v>0</v>
      </c>
      <c r="BL33" s="1349">
        <f>+'PTC-GRADO (1)'!BL21</f>
        <v>0</v>
      </c>
      <c r="BM33" s="1349">
        <f>+'PTC-GRADO (1)'!BM21</f>
        <v>2</v>
      </c>
      <c r="BN33" s="1349">
        <f>+'PTC-GRADO (1)'!BN21</f>
        <v>14</v>
      </c>
      <c r="BO33" s="714">
        <f t="shared" ref="BO33:BO38" si="35">SUM(BK33:BN33)</f>
        <v>16</v>
      </c>
      <c r="BP33" s="1350">
        <f>+'PTC-GRADO (1)'!BP21</f>
        <v>0</v>
      </c>
      <c r="BQ33" s="1349">
        <f>+'PTC-GRADO (1)'!BQ21</f>
        <v>0</v>
      </c>
      <c r="BR33" s="1349">
        <f>+'PTC-GRADO (1)'!BR21</f>
        <v>2</v>
      </c>
      <c r="BS33" s="1349">
        <f>+'PTC-GRADO (1)'!BS21</f>
        <v>14</v>
      </c>
      <c r="BT33" s="714">
        <f t="shared" ref="BT33:BT38" si="36">SUM(BP33:BS33)</f>
        <v>16</v>
      </c>
      <c r="BU33" s="1350">
        <f>+'PTC-GRADO (1)'!BU21</f>
        <v>0</v>
      </c>
      <c r="BV33" s="1349">
        <f>+'PTC-GRADO (1)'!BV21</f>
        <v>0</v>
      </c>
      <c r="BW33" s="1349">
        <f>+'PTC-GRADO (1)'!BW21</f>
        <v>2</v>
      </c>
      <c r="BX33" s="1349">
        <f>+'PTC-GRADO (1)'!BX21</f>
        <v>17</v>
      </c>
      <c r="BY33" s="714">
        <f t="shared" ref="BY33:BY38" si="37">SUM(BU33:BX33)</f>
        <v>19</v>
      </c>
    </row>
    <row r="34" spans="1:77" ht="15" customHeight="1" x14ac:dyDescent="0.2">
      <c r="A34" s="7277"/>
      <c r="B34" s="7274"/>
      <c r="C34" s="1686"/>
      <c r="D34" s="1686"/>
      <c r="E34" s="1686"/>
      <c r="F34" s="1686"/>
      <c r="G34" s="2616"/>
      <c r="H34" s="1686"/>
      <c r="I34" s="1686"/>
      <c r="J34" s="1686"/>
      <c r="K34" s="1686"/>
      <c r="L34" s="2616"/>
      <c r="M34" s="1686"/>
      <c r="N34" s="1686"/>
      <c r="O34" s="1686"/>
      <c r="P34" s="1686"/>
      <c r="Q34" s="2616"/>
      <c r="R34" s="1686"/>
      <c r="S34" s="1686"/>
      <c r="T34" s="1686"/>
      <c r="U34" s="1686"/>
      <c r="V34" s="2616"/>
      <c r="W34" s="1686"/>
      <c r="X34" s="1686"/>
      <c r="Y34" s="1686"/>
      <c r="Z34" s="1686"/>
      <c r="AA34" s="2617"/>
      <c r="AB34" s="2618"/>
      <c r="AC34" s="1686"/>
      <c r="AD34" s="1686"/>
      <c r="AE34" s="1686"/>
      <c r="AF34" s="2616"/>
      <c r="AG34" s="2618"/>
      <c r="AH34" s="1686"/>
      <c r="AI34" s="1686"/>
      <c r="AJ34" s="1686"/>
      <c r="AK34" s="2616"/>
      <c r="AL34" s="2618"/>
      <c r="AM34" s="1686"/>
      <c r="AN34" s="1686"/>
      <c r="AO34" s="1686"/>
      <c r="AP34" s="2616"/>
      <c r="AQ34" s="2618"/>
      <c r="AR34" s="1686"/>
      <c r="AS34" s="1686"/>
      <c r="AT34" s="1686"/>
      <c r="AU34" s="2616"/>
      <c r="AV34" s="2618"/>
      <c r="AW34" s="1686"/>
      <c r="AX34" s="1686"/>
      <c r="AY34" s="1686"/>
      <c r="AZ34" s="2616"/>
      <c r="BA34" s="2618">
        <f>BA33/$BE$33</f>
        <v>0</v>
      </c>
      <c r="BB34" s="1686">
        <f>BB33/$BE$33</f>
        <v>0</v>
      </c>
      <c r="BC34" s="1686">
        <f>BC33/$BE$33</f>
        <v>0.125</v>
      </c>
      <c r="BD34" s="1686">
        <f>BD33/$BE$33</f>
        <v>0.875</v>
      </c>
      <c r="BE34" s="2616">
        <f t="shared" si="33"/>
        <v>1</v>
      </c>
      <c r="BF34" s="2618">
        <f>BF33/$BJ$33</f>
        <v>0</v>
      </c>
      <c r="BG34" s="1686">
        <f>BG33/$BJ$33</f>
        <v>0</v>
      </c>
      <c r="BH34" s="1686">
        <f>BH33/$BJ$33</f>
        <v>0.18181818181818182</v>
      </c>
      <c r="BI34" s="1686">
        <f>BI33/$BJ$33</f>
        <v>0.81818181818181823</v>
      </c>
      <c r="BJ34" s="2616">
        <f t="shared" si="34"/>
        <v>1</v>
      </c>
      <c r="BK34" s="2618">
        <f>BK33/$BO$33</f>
        <v>0</v>
      </c>
      <c r="BL34" s="1686">
        <f>BL33/$BO$33</f>
        <v>0</v>
      </c>
      <c r="BM34" s="1686">
        <f>BM33/$BO$33</f>
        <v>0.125</v>
      </c>
      <c r="BN34" s="1686">
        <f>BN33/$BO$33</f>
        <v>0.875</v>
      </c>
      <c r="BO34" s="2616">
        <f t="shared" si="35"/>
        <v>1</v>
      </c>
      <c r="BP34" s="2618">
        <f>BP33/$BT$33</f>
        <v>0</v>
      </c>
      <c r="BQ34" s="1686">
        <f>BQ33/$BT$33</f>
        <v>0</v>
      </c>
      <c r="BR34" s="1686">
        <f>BR33/$BT$33</f>
        <v>0.125</v>
      </c>
      <c r="BS34" s="1686">
        <f>BS33/$BT$33</f>
        <v>0.875</v>
      </c>
      <c r="BT34" s="2616">
        <f t="shared" si="36"/>
        <v>1</v>
      </c>
      <c r="BU34" s="2618">
        <f>BU33/$BY$33</f>
        <v>0</v>
      </c>
      <c r="BV34" s="1686">
        <f t="shared" ref="BV34:BX34" si="38">BV33/$BY$33</f>
        <v>0</v>
      </c>
      <c r="BW34" s="1686">
        <f t="shared" si="38"/>
        <v>0.10526315789473684</v>
      </c>
      <c r="BX34" s="1686">
        <f t="shared" si="38"/>
        <v>0.89473684210526316</v>
      </c>
      <c r="BY34" s="2616">
        <f t="shared" si="37"/>
        <v>1</v>
      </c>
    </row>
    <row r="35" spans="1:77" ht="15" x14ac:dyDescent="0.2">
      <c r="A35" s="7277"/>
      <c r="B35" s="7274" t="s">
        <v>6</v>
      </c>
      <c r="C35" s="2619"/>
      <c r="D35" s="2619"/>
      <c r="E35" s="2619"/>
      <c r="F35" s="2619"/>
      <c r="G35" s="2620"/>
      <c r="H35" s="2621"/>
      <c r="I35" s="2621"/>
      <c r="J35" s="2621"/>
      <c r="K35" s="2621"/>
      <c r="L35" s="2622"/>
      <c r="M35" s="2621"/>
      <c r="N35" s="2621"/>
      <c r="O35" s="2621"/>
      <c r="P35" s="2621"/>
      <c r="Q35" s="2622"/>
      <c r="R35" s="2621"/>
      <c r="S35" s="2621"/>
      <c r="T35" s="2621"/>
      <c r="U35" s="2621"/>
      <c r="V35" s="2622"/>
      <c r="W35" s="2621"/>
      <c r="X35" s="2621"/>
      <c r="Y35" s="2621"/>
      <c r="Z35" s="2621"/>
      <c r="AA35" s="2622"/>
      <c r="AB35" s="2623"/>
      <c r="AC35" s="2621"/>
      <c r="AD35" s="2621"/>
      <c r="AE35" s="2621"/>
      <c r="AF35" s="2622"/>
      <c r="AG35" s="2623"/>
      <c r="AH35" s="2621"/>
      <c r="AI35" s="2621"/>
      <c r="AJ35" s="2621"/>
      <c r="AK35" s="2622"/>
      <c r="AL35" s="2623"/>
      <c r="AM35" s="2621"/>
      <c r="AN35" s="2621"/>
      <c r="AO35" s="2621"/>
      <c r="AP35" s="2622"/>
      <c r="AQ35" s="2623"/>
      <c r="AR35" s="2621"/>
      <c r="AS35" s="2621"/>
      <c r="AT35" s="2621"/>
      <c r="AU35" s="2622"/>
      <c r="AV35" s="2623"/>
      <c r="AW35" s="2621"/>
      <c r="AX35" s="2621"/>
      <c r="AY35" s="2621"/>
      <c r="AZ35" s="2622"/>
      <c r="BA35" s="2623">
        <f>+'PTC-GRADO (1)'!BA22</f>
        <v>0</v>
      </c>
      <c r="BB35" s="2621">
        <f>+'PTC-GRADO (1)'!BB22</f>
        <v>0</v>
      </c>
      <c r="BC35" s="2621">
        <f>+'PTC-GRADO (1)'!BC22</f>
        <v>3</v>
      </c>
      <c r="BD35" s="2621">
        <f>+'PTC-GRADO (1)'!BD22</f>
        <v>4</v>
      </c>
      <c r="BE35" s="2622">
        <f t="shared" si="33"/>
        <v>7</v>
      </c>
      <c r="BF35" s="2623">
        <f>+'PTC-GRADO (1)'!BF22</f>
        <v>0</v>
      </c>
      <c r="BG35" s="2621">
        <f>+'PTC-GRADO (1)'!BG22</f>
        <v>0</v>
      </c>
      <c r="BH35" s="2621">
        <f>+'PTC-GRADO (1)'!BH22</f>
        <v>5</v>
      </c>
      <c r="BI35" s="2621">
        <f>+'PTC-GRADO (1)'!BI22</f>
        <v>6</v>
      </c>
      <c r="BJ35" s="2622">
        <f t="shared" si="34"/>
        <v>11</v>
      </c>
      <c r="BK35" s="2623">
        <f>+'PTC-GRADO (1)'!BK22</f>
        <v>0</v>
      </c>
      <c r="BL35" s="2621">
        <f>+'PTC-GRADO (1)'!BL22</f>
        <v>0</v>
      </c>
      <c r="BM35" s="2621">
        <f>+'PTC-GRADO (1)'!BM22</f>
        <v>2</v>
      </c>
      <c r="BN35" s="2621">
        <f>+'PTC-GRADO (1)'!BN22</f>
        <v>11</v>
      </c>
      <c r="BO35" s="2622">
        <f t="shared" si="35"/>
        <v>13</v>
      </c>
      <c r="BP35" s="2623">
        <f>+'PTC-GRADO (1)'!BP22</f>
        <v>0</v>
      </c>
      <c r="BQ35" s="2621">
        <f>+'PTC-GRADO (1)'!BQ22</f>
        <v>0</v>
      </c>
      <c r="BR35" s="2621">
        <f>+'PTC-GRADO (1)'!BR22</f>
        <v>3</v>
      </c>
      <c r="BS35" s="2621">
        <f>+'PTC-GRADO (1)'!BS22</f>
        <v>18</v>
      </c>
      <c r="BT35" s="2622">
        <f t="shared" si="36"/>
        <v>21</v>
      </c>
      <c r="BU35" s="2623">
        <f>+'PTC-GRADO (1)'!BU22</f>
        <v>0</v>
      </c>
      <c r="BV35" s="2621">
        <f>+'PTC-GRADO (1)'!BV22</f>
        <v>0</v>
      </c>
      <c r="BW35" s="2621">
        <f>+'PTC-GRADO (1)'!BW22</f>
        <v>7</v>
      </c>
      <c r="BX35" s="2621">
        <f>+'PTC-GRADO (1)'!BX22</f>
        <v>20</v>
      </c>
      <c r="BY35" s="2622">
        <f t="shared" si="37"/>
        <v>27</v>
      </c>
    </row>
    <row r="36" spans="1:77" ht="15" customHeight="1" x14ac:dyDescent="0.2">
      <c r="A36" s="7277"/>
      <c r="B36" s="7274"/>
      <c r="C36" s="2624"/>
      <c r="D36" s="2624"/>
      <c r="E36" s="2624"/>
      <c r="F36" s="2624"/>
      <c r="G36" s="2625"/>
      <c r="H36" s="2624"/>
      <c r="I36" s="2624"/>
      <c r="J36" s="2624"/>
      <c r="K36" s="2624"/>
      <c r="L36" s="2625"/>
      <c r="M36" s="2624"/>
      <c r="N36" s="2624"/>
      <c r="O36" s="2624"/>
      <c r="P36" s="2624"/>
      <c r="Q36" s="2625"/>
      <c r="R36" s="2624"/>
      <c r="S36" s="2624"/>
      <c r="T36" s="2624"/>
      <c r="U36" s="2624"/>
      <c r="V36" s="2625"/>
      <c r="W36" s="2624"/>
      <c r="X36" s="2624"/>
      <c r="Y36" s="2624"/>
      <c r="Z36" s="2624"/>
      <c r="AA36" s="2626"/>
      <c r="AB36" s="2627"/>
      <c r="AC36" s="2624"/>
      <c r="AD36" s="2624"/>
      <c r="AE36" s="2624"/>
      <c r="AF36" s="2625"/>
      <c r="AG36" s="2627"/>
      <c r="AH36" s="2624"/>
      <c r="AI36" s="2624"/>
      <c r="AJ36" s="2624"/>
      <c r="AK36" s="2625"/>
      <c r="AL36" s="2627"/>
      <c r="AM36" s="2624"/>
      <c r="AN36" s="2624"/>
      <c r="AO36" s="2624"/>
      <c r="AP36" s="2625"/>
      <c r="AQ36" s="2627"/>
      <c r="AR36" s="2624"/>
      <c r="AS36" s="2624"/>
      <c r="AT36" s="2624"/>
      <c r="AU36" s="2625"/>
      <c r="AV36" s="2627"/>
      <c r="AW36" s="2624"/>
      <c r="AX36" s="2624"/>
      <c r="AY36" s="2624"/>
      <c r="AZ36" s="2625"/>
      <c r="BA36" s="2627">
        <f>BA35/$BE$35</f>
        <v>0</v>
      </c>
      <c r="BB36" s="2624">
        <f>BB35/$BE$35</f>
        <v>0</v>
      </c>
      <c r="BC36" s="2624">
        <f>BC35/$BE$35</f>
        <v>0.42857142857142855</v>
      </c>
      <c r="BD36" s="2624">
        <f>BD35/$BE$35</f>
        <v>0.5714285714285714</v>
      </c>
      <c r="BE36" s="2625">
        <f t="shared" si="33"/>
        <v>1</v>
      </c>
      <c r="BF36" s="2627">
        <f>BF35/$BJ$35</f>
        <v>0</v>
      </c>
      <c r="BG36" s="2624">
        <f>BG35/$BJ$35</f>
        <v>0</v>
      </c>
      <c r="BH36" s="2624">
        <f>BH35/$BJ$35</f>
        <v>0.45454545454545453</v>
      </c>
      <c r="BI36" s="2624">
        <f>BI35/$BJ$35</f>
        <v>0.54545454545454541</v>
      </c>
      <c r="BJ36" s="2625">
        <f t="shared" si="34"/>
        <v>1</v>
      </c>
      <c r="BK36" s="2627">
        <f>BK35/$BO$35</f>
        <v>0</v>
      </c>
      <c r="BL36" s="2624">
        <f>BL35/$BO$35</f>
        <v>0</v>
      </c>
      <c r="BM36" s="2624">
        <f>BM35/$BO$35</f>
        <v>0.15384615384615385</v>
      </c>
      <c r="BN36" s="2624">
        <f>BN35/$BO$35</f>
        <v>0.84615384615384615</v>
      </c>
      <c r="BO36" s="2625">
        <f t="shared" si="35"/>
        <v>1</v>
      </c>
      <c r="BP36" s="2627">
        <f>BP35/$BT$35</f>
        <v>0</v>
      </c>
      <c r="BQ36" s="2624">
        <f>BQ35/$BT$35</f>
        <v>0</v>
      </c>
      <c r="BR36" s="2624">
        <f>BR35/$BT$35</f>
        <v>0.14285714285714285</v>
      </c>
      <c r="BS36" s="2624">
        <f>BS35/$BT$35</f>
        <v>0.8571428571428571</v>
      </c>
      <c r="BT36" s="2625">
        <f t="shared" si="36"/>
        <v>1</v>
      </c>
      <c r="BU36" s="2627">
        <f>BU35/$BY$35</f>
        <v>0</v>
      </c>
      <c r="BV36" s="2624">
        <f t="shared" ref="BV36:BW36" si="39">BV35/$BY$35</f>
        <v>0</v>
      </c>
      <c r="BW36" s="2624">
        <f t="shared" si="39"/>
        <v>0.25925925925925924</v>
      </c>
      <c r="BX36" s="2624">
        <f>BX35/$BY$35</f>
        <v>0.7407407407407407</v>
      </c>
      <c r="BY36" s="2625">
        <f t="shared" si="37"/>
        <v>1</v>
      </c>
    </row>
    <row r="37" spans="1:77" ht="15" x14ac:dyDescent="0.2">
      <c r="A37" s="7277"/>
      <c r="B37" s="7274" t="s">
        <v>11</v>
      </c>
      <c r="C37" s="1351"/>
      <c r="D37" s="1351"/>
      <c r="E37" s="1351"/>
      <c r="F37" s="1351"/>
      <c r="G37" s="480"/>
      <c r="H37" s="1352"/>
      <c r="I37" s="1352"/>
      <c r="J37" s="1352"/>
      <c r="K37" s="1352"/>
      <c r="L37" s="717"/>
      <c r="M37" s="1352"/>
      <c r="N37" s="1352"/>
      <c r="O37" s="1352"/>
      <c r="P37" s="1352"/>
      <c r="Q37" s="717"/>
      <c r="R37" s="1352"/>
      <c r="S37" s="1352"/>
      <c r="T37" s="1352"/>
      <c r="U37" s="1352"/>
      <c r="V37" s="717"/>
      <c r="W37" s="1352"/>
      <c r="X37" s="1352"/>
      <c r="Y37" s="1352"/>
      <c r="Z37" s="1352"/>
      <c r="AA37" s="717"/>
      <c r="AB37" s="1353"/>
      <c r="AC37" s="1352"/>
      <c r="AD37" s="1352"/>
      <c r="AE37" s="1352"/>
      <c r="AF37" s="717"/>
      <c r="AG37" s="1353"/>
      <c r="AH37" s="1352"/>
      <c r="AI37" s="1352"/>
      <c r="AJ37" s="1352"/>
      <c r="AK37" s="717"/>
      <c r="AL37" s="1353"/>
      <c r="AM37" s="1352"/>
      <c r="AN37" s="1352"/>
      <c r="AO37" s="1352"/>
      <c r="AP37" s="717"/>
      <c r="AQ37" s="1353"/>
      <c r="AR37" s="1352"/>
      <c r="AS37" s="1352"/>
      <c r="AT37" s="1352"/>
      <c r="AU37" s="717"/>
      <c r="AV37" s="1353"/>
      <c r="AW37" s="1352"/>
      <c r="AX37" s="1352"/>
      <c r="AY37" s="1352"/>
      <c r="AZ37" s="717"/>
      <c r="BA37" s="1353">
        <f>+'PTC-GRADO (1)'!BA23</f>
        <v>1</v>
      </c>
      <c r="BB37" s="1352">
        <f>+'PTC-GRADO (1)'!BB23</f>
        <v>0</v>
      </c>
      <c r="BC37" s="1352">
        <f>+'PTC-GRADO (1)'!BC23</f>
        <v>0</v>
      </c>
      <c r="BD37" s="1352">
        <f>+'PTC-GRADO (1)'!BD23</f>
        <v>13</v>
      </c>
      <c r="BE37" s="717">
        <f t="shared" si="33"/>
        <v>14</v>
      </c>
      <c r="BF37" s="1353">
        <f>+'PTC-GRADO (1)'!BF23</f>
        <v>0</v>
      </c>
      <c r="BG37" s="1352">
        <f>+'PTC-GRADO (1)'!BG23</f>
        <v>0</v>
      </c>
      <c r="BH37" s="1352">
        <f>+'PTC-GRADO (1)'!BH23</f>
        <v>0</v>
      </c>
      <c r="BI37" s="1352">
        <f>+'PTC-GRADO (1)'!BI23</f>
        <v>14</v>
      </c>
      <c r="BJ37" s="717">
        <f t="shared" si="34"/>
        <v>14</v>
      </c>
      <c r="BK37" s="1353">
        <f>+'PTC-GRADO (1)'!BK23</f>
        <v>0</v>
      </c>
      <c r="BL37" s="1352">
        <f>+'PTC-GRADO (1)'!BL23</f>
        <v>0</v>
      </c>
      <c r="BM37" s="1352">
        <f>+'PTC-GRADO (1)'!BM23</f>
        <v>0</v>
      </c>
      <c r="BN37" s="1352">
        <f>+'PTC-GRADO (1)'!BN23</f>
        <v>14</v>
      </c>
      <c r="BO37" s="717">
        <f t="shared" si="35"/>
        <v>14</v>
      </c>
      <c r="BP37" s="1353">
        <f>+'PTC-GRADO (1)'!BP23</f>
        <v>0</v>
      </c>
      <c r="BQ37" s="1352">
        <f>+'PTC-GRADO (1)'!BQ23</f>
        <v>0</v>
      </c>
      <c r="BR37" s="1352">
        <f>+'PTC-GRADO (1)'!BR23</f>
        <v>0</v>
      </c>
      <c r="BS37" s="1352">
        <f>+'PTC-GRADO (1)'!BS23</f>
        <v>18</v>
      </c>
      <c r="BT37" s="717">
        <f t="shared" si="36"/>
        <v>18</v>
      </c>
      <c r="BU37" s="1353">
        <f>+'PTC-GRADO (1)'!BU23</f>
        <v>0</v>
      </c>
      <c r="BV37" s="1352">
        <f>+'PTC-GRADO (1)'!BV23</f>
        <v>0</v>
      </c>
      <c r="BW37" s="1352">
        <f>+'PTC-GRADO (1)'!BW23</f>
        <v>0</v>
      </c>
      <c r="BX37" s="1352">
        <f>+'PTC-GRADO (1)'!BX23</f>
        <v>20</v>
      </c>
      <c r="BY37" s="717">
        <f t="shared" si="37"/>
        <v>20</v>
      </c>
    </row>
    <row r="38" spans="1:77" ht="15" customHeight="1" x14ac:dyDescent="0.2">
      <c r="A38" s="7277"/>
      <c r="B38" s="7275"/>
      <c r="C38" s="1686"/>
      <c r="D38" s="1686"/>
      <c r="E38" s="1686"/>
      <c r="F38" s="1686"/>
      <c r="G38" s="2616"/>
      <c r="H38" s="1686"/>
      <c r="I38" s="1686"/>
      <c r="J38" s="1686"/>
      <c r="K38" s="1686"/>
      <c r="L38" s="2616"/>
      <c r="M38" s="1686"/>
      <c r="N38" s="1686"/>
      <c r="O38" s="1686"/>
      <c r="P38" s="1686"/>
      <c r="Q38" s="2616"/>
      <c r="R38" s="1686"/>
      <c r="S38" s="1686"/>
      <c r="T38" s="1686"/>
      <c r="U38" s="1686"/>
      <c r="V38" s="2616"/>
      <c r="W38" s="1686"/>
      <c r="X38" s="1686"/>
      <c r="Y38" s="1686"/>
      <c r="Z38" s="1686"/>
      <c r="AA38" s="2617"/>
      <c r="AB38" s="2618"/>
      <c r="AC38" s="1686"/>
      <c r="AD38" s="1686"/>
      <c r="AE38" s="1686"/>
      <c r="AF38" s="2616"/>
      <c r="AG38" s="2618"/>
      <c r="AH38" s="1686"/>
      <c r="AI38" s="1686"/>
      <c r="AJ38" s="1686"/>
      <c r="AK38" s="2616"/>
      <c r="AL38" s="2618"/>
      <c r="AM38" s="1686"/>
      <c r="AN38" s="1686"/>
      <c r="AO38" s="1686"/>
      <c r="AP38" s="2616"/>
      <c r="AQ38" s="2618"/>
      <c r="AR38" s="1686"/>
      <c r="AS38" s="1686"/>
      <c r="AT38" s="1686"/>
      <c r="AU38" s="2616"/>
      <c r="AV38" s="2618"/>
      <c r="AW38" s="1686"/>
      <c r="AX38" s="1686"/>
      <c r="AY38" s="1686"/>
      <c r="AZ38" s="2616"/>
      <c r="BA38" s="2618">
        <f>BA37/$BE$37</f>
        <v>7.1428571428571425E-2</v>
      </c>
      <c r="BB38" s="1686">
        <f>BB37/$BE$37</f>
        <v>0</v>
      </c>
      <c r="BC38" s="1686">
        <f>BC37/$BE$37</f>
        <v>0</v>
      </c>
      <c r="BD38" s="1686">
        <f>BD37/$BE$37</f>
        <v>0.9285714285714286</v>
      </c>
      <c r="BE38" s="2616">
        <f t="shared" si="33"/>
        <v>1</v>
      </c>
      <c r="BF38" s="2618">
        <f>BF37/$BJ$37</f>
        <v>0</v>
      </c>
      <c r="BG38" s="1686">
        <f>BG37/$BJ$37</f>
        <v>0</v>
      </c>
      <c r="BH38" s="1686">
        <f>BH37/$BJ$37</f>
        <v>0</v>
      </c>
      <c r="BI38" s="1686">
        <f>BI37/$BJ$37</f>
        <v>1</v>
      </c>
      <c r="BJ38" s="2616">
        <f t="shared" si="34"/>
        <v>1</v>
      </c>
      <c r="BK38" s="2618">
        <f>BK37/$BO$37</f>
        <v>0</v>
      </c>
      <c r="BL38" s="1686">
        <f>BL37/$BO$37</f>
        <v>0</v>
      </c>
      <c r="BM38" s="1686">
        <f>BM37/$BO$37</f>
        <v>0</v>
      </c>
      <c r="BN38" s="1686">
        <f>BN37/$BO$37</f>
        <v>1</v>
      </c>
      <c r="BO38" s="2616">
        <f t="shared" si="35"/>
        <v>1</v>
      </c>
      <c r="BP38" s="2618">
        <f>BP37/$BT$37</f>
        <v>0</v>
      </c>
      <c r="BQ38" s="1686">
        <f>BQ37/$BT$37</f>
        <v>0</v>
      </c>
      <c r="BR38" s="1686">
        <f>BR37/$BT$37</f>
        <v>0</v>
      </c>
      <c r="BS38" s="1686">
        <f>BS37/$BT$37</f>
        <v>1</v>
      </c>
      <c r="BT38" s="2616">
        <f t="shared" si="36"/>
        <v>1</v>
      </c>
      <c r="BU38" s="2618">
        <f>BU37/$BY$37</f>
        <v>0</v>
      </c>
      <c r="BV38" s="1686">
        <f t="shared" ref="BV38:BX38" si="40">BV37/$BY$37</f>
        <v>0</v>
      </c>
      <c r="BW38" s="1686">
        <f t="shared" si="40"/>
        <v>0</v>
      </c>
      <c r="BX38" s="1686">
        <f t="shared" si="40"/>
        <v>1</v>
      </c>
      <c r="BY38" s="2616">
        <f t="shared" si="37"/>
        <v>1</v>
      </c>
    </row>
    <row r="39" spans="1:77" ht="15" x14ac:dyDescent="0.2">
      <c r="A39" s="7277"/>
      <c r="B39" s="7271" t="s">
        <v>12</v>
      </c>
      <c r="C39" s="2637"/>
      <c r="D39" s="2638"/>
      <c r="E39" s="2638"/>
      <c r="F39" s="2638"/>
      <c r="G39" s="2638"/>
      <c r="H39" s="2639"/>
      <c r="I39" s="2640"/>
      <c r="J39" s="2640"/>
      <c r="K39" s="2640"/>
      <c r="L39" s="2641"/>
      <c r="M39" s="2639"/>
      <c r="N39" s="2640"/>
      <c r="O39" s="2640"/>
      <c r="P39" s="2640"/>
      <c r="Q39" s="2641"/>
      <c r="R39" s="2639"/>
      <c r="S39" s="2640"/>
      <c r="T39" s="2640"/>
      <c r="U39" s="2640"/>
      <c r="V39" s="2641"/>
      <c r="W39" s="2639"/>
      <c r="X39" s="2640"/>
      <c r="Y39" s="2640"/>
      <c r="Z39" s="2640"/>
      <c r="AA39" s="2641"/>
      <c r="AB39" s="2639"/>
      <c r="AC39" s="2640"/>
      <c r="AD39" s="2640"/>
      <c r="AE39" s="2640"/>
      <c r="AF39" s="2641"/>
      <c r="AG39" s="2639"/>
      <c r="AH39" s="2640"/>
      <c r="AI39" s="2640"/>
      <c r="AJ39" s="2640"/>
      <c r="AK39" s="2641"/>
      <c r="AL39" s="2639"/>
      <c r="AM39" s="2640"/>
      <c r="AN39" s="2640"/>
      <c r="AO39" s="2640"/>
      <c r="AP39" s="2641"/>
      <c r="AQ39" s="2639"/>
      <c r="AR39" s="2640"/>
      <c r="AS39" s="2640"/>
      <c r="AT39" s="2640"/>
      <c r="AU39" s="2641"/>
      <c r="AV39" s="2639"/>
      <c r="AW39" s="2640"/>
      <c r="AX39" s="2640"/>
      <c r="AY39" s="2640"/>
      <c r="AZ39" s="2641"/>
      <c r="BA39" s="2639">
        <f t="shared" ref="BA39:BJ39" si="41">SUM(BA33,BA35,BA37)</f>
        <v>1</v>
      </c>
      <c r="BB39" s="2640">
        <f t="shared" si="41"/>
        <v>0</v>
      </c>
      <c r="BC39" s="2640">
        <f t="shared" si="41"/>
        <v>4</v>
      </c>
      <c r="BD39" s="2640">
        <f t="shared" si="41"/>
        <v>24</v>
      </c>
      <c r="BE39" s="2641">
        <f t="shared" si="41"/>
        <v>29</v>
      </c>
      <c r="BF39" s="2639">
        <f t="shared" si="41"/>
        <v>0</v>
      </c>
      <c r="BG39" s="2640">
        <f t="shared" si="41"/>
        <v>0</v>
      </c>
      <c r="BH39" s="2640">
        <f t="shared" si="41"/>
        <v>7</v>
      </c>
      <c r="BI39" s="2640">
        <f t="shared" si="41"/>
        <v>29</v>
      </c>
      <c r="BJ39" s="2641">
        <f t="shared" si="41"/>
        <v>36</v>
      </c>
      <c r="BK39" s="2639">
        <f t="shared" ref="BK39:BT39" si="42">SUM(BK33,BK35,BK37)</f>
        <v>0</v>
      </c>
      <c r="BL39" s="2640">
        <f t="shared" si="42"/>
        <v>0</v>
      </c>
      <c r="BM39" s="2640">
        <f t="shared" si="42"/>
        <v>4</v>
      </c>
      <c r="BN39" s="2640">
        <f t="shared" si="42"/>
        <v>39</v>
      </c>
      <c r="BO39" s="2641">
        <f t="shared" si="42"/>
        <v>43</v>
      </c>
      <c r="BP39" s="2639">
        <f t="shared" si="42"/>
        <v>0</v>
      </c>
      <c r="BQ39" s="2640">
        <f t="shared" si="42"/>
        <v>0</v>
      </c>
      <c r="BR39" s="2640">
        <f t="shared" si="42"/>
        <v>5</v>
      </c>
      <c r="BS39" s="2640">
        <f t="shared" si="42"/>
        <v>50</v>
      </c>
      <c r="BT39" s="2641">
        <f t="shared" si="42"/>
        <v>55</v>
      </c>
      <c r="BU39" s="2639">
        <f t="shared" ref="BU39:BY39" si="43">SUM(BU33,BU35,BU37)</f>
        <v>0</v>
      </c>
      <c r="BV39" s="2640">
        <f t="shared" si="43"/>
        <v>0</v>
      </c>
      <c r="BW39" s="2640">
        <f t="shared" si="43"/>
        <v>9</v>
      </c>
      <c r="BX39" s="2640">
        <f t="shared" si="43"/>
        <v>57</v>
      </c>
      <c r="BY39" s="2641">
        <f t="shared" si="43"/>
        <v>66</v>
      </c>
    </row>
    <row r="40" spans="1:77" x14ac:dyDescent="0.2">
      <c r="A40" s="7278"/>
      <c r="B40" s="7272"/>
      <c r="C40" s="2633"/>
      <c r="D40" s="2634"/>
      <c r="E40" s="2634"/>
      <c r="F40" s="2634"/>
      <c r="G40" s="2635"/>
      <c r="H40" s="2633"/>
      <c r="I40" s="2634"/>
      <c r="J40" s="2634"/>
      <c r="K40" s="2634"/>
      <c r="L40" s="2635"/>
      <c r="M40" s="2633"/>
      <c r="N40" s="2634"/>
      <c r="O40" s="2634"/>
      <c r="P40" s="2634"/>
      <c r="Q40" s="2635"/>
      <c r="R40" s="2633"/>
      <c r="S40" s="2634"/>
      <c r="T40" s="2634"/>
      <c r="U40" s="2634"/>
      <c r="V40" s="2635"/>
      <c r="W40" s="2633"/>
      <c r="X40" s="2634"/>
      <c r="Y40" s="2634"/>
      <c r="Z40" s="2634"/>
      <c r="AA40" s="2635"/>
      <c r="AB40" s="2633"/>
      <c r="AC40" s="2634"/>
      <c r="AD40" s="2634"/>
      <c r="AE40" s="2634"/>
      <c r="AF40" s="2635"/>
      <c r="AG40" s="2633"/>
      <c r="AH40" s="2634"/>
      <c r="AI40" s="2634"/>
      <c r="AJ40" s="2634"/>
      <c r="AK40" s="2635"/>
      <c r="AL40" s="2633"/>
      <c r="AM40" s="2634"/>
      <c r="AN40" s="2634"/>
      <c r="AO40" s="2634"/>
      <c r="AP40" s="2635"/>
      <c r="AQ40" s="2633"/>
      <c r="AR40" s="2634"/>
      <c r="AS40" s="2634"/>
      <c r="AT40" s="2634"/>
      <c r="AU40" s="2635"/>
      <c r="AV40" s="2633"/>
      <c r="AW40" s="2634"/>
      <c r="AX40" s="2634"/>
      <c r="AY40" s="2634"/>
      <c r="AZ40" s="2635"/>
      <c r="BA40" s="1366">
        <f>BA39/$BE$39</f>
        <v>3.4482758620689655E-2</v>
      </c>
      <c r="BB40" s="1365">
        <f>BB39/$BE$39</f>
        <v>0</v>
      </c>
      <c r="BC40" s="1365">
        <f>BC39/$BE$39</f>
        <v>0.13793103448275862</v>
      </c>
      <c r="BD40" s="1365">
        <f>BD39/$BE$39</f>
        <v>0.82758620689655171</v>
      </c>
      <c r="BE40" s="2636">
        <f>SUM(BA40:BD40)</f>
        <v>1</v>
      </c>
      <c r="BF40" s="1366">
        <f>BF39/$BJ$39</f>
        <v>0</v>
      </c>
      <c r="BG40" s="1365">
        <f>BG39/$BJ$39</f>
        <v>0</v>
      </c>
      <c r="BH40" s="1365">
        <f>BH39/$BJ$39</f>
        <v>0.19444444444444445</v>
      </c>
      <c r="BI40" s="1365">
        <f>BI39/$BJ$39</f>
        <v>0.80555555555555558</v>
      </c>
      <c r="BJ40" s="2636">
        <f>SUM(BF40:BI40)</f>
        <v>1</v>
      </c>
      <c r="BK40" s="1366">
        <f>BK39/$BO$39</f>
        <v>0</v>
      </c>
      <c r="BL40" s="1365">
        <f>BL39/$BO$39</f>
        <v>0</v>
      </c>
      <c r="BM40" s="1365">
        <f>BM39/$BO$39</f>
        <v>9.3023255813953487E-2</v>
      </c>
      <c r="BN40" s="1365">
        <f>BN39/$BO$39</f>
        <v>0.90697674418604646</v>
      </c>
      <c r="BO40" s="2636">
        <f>SUM(BK40:BN40)</f>
        <v>1</v>
      </c>
      <c r="BP40" s="1366">
        <f>BP39/$BT$39</f>
        <v>0</v>
      </c>
      <c r="BQ40" s="1365">
        <f>BQ39/$BT$39</f>
        <v>0</v>
      </c>
      <c r="BR40" s="1365">
        <f>BR39/$BT$39</f>
        <v>9.0909090909090912E-2</v>
      </c>
      <c r="BS40" s="1365">
        <f>BS39/$BT$39</f>
        <v>0.90909090909090906</v>
      </c>
      <c r="BT40" s="2636">
        <f>SUM(BP40:BS40)</f>
        <v>1</v>
      </c>
      <c r="BU40" s="1366">
        <f>BU39/$BY$39</f>
        <v>0</v>
      </c>
      <c r="BV40" s="1365">
        <f t="shared" ref="BV40:BX40" si="44">BV39/$BY$39</f>
        <v>0</v>
      </c>
      <c r="BW40" s="1365">
        <f t="shared" si="44"/>
        <v>0.13636363636363635</v>
      </c>
      <c r="BX40" s="1365">
        <f t="shared" si="44"/>
        <v>0.86363636363636365</v>
      </c>
      <c r="BY40" s="2636">
        <f>SUM(BU40:BX40)</f>
        <v>1</v>
      </c>
    </row>
    <row r="41" spans="1:77" ht="15" x14ac:dyDescent="0.2">
      <c r="A41" s="1355"/>
      <c r="B41" s="1355"/>
      <c r="C41" s="1683"/>
      <c r="D41" s="1683"/>
      <c r="E41" s="1683"/>
      <c r="F41" s="1683"/>
      <c r="G41" s="1684"/>
      <c r="H41" s="1683"/>
      <c r="I41" s="1683"/>
      <c r="J41" s="1683"/>
      <c r="K41" s="1683"/>
      <c r="L41" s="1684"/>
      <c r="M41" s="1683"/>
      <c r="N41" s="1683"/>
      <c r="O41" s="1683"/>
      <c r="P41" s="1683"/>
      <c r="Q41" s="1684"/>
      <c r="R41" s="1683"/>
      <c r="S41" s="1683"/>
      <c r="T41" s="1683"/>
      <c r="U41" s="1683"/>
      <c r="V41" s="1684"/>
      <c r="W41" s="1683"/>
      <c r="X41" s="1683"/>
      <c r="Y41" s="1683"/>
      <c r="Z41" s="1683"/>
      <c r="AA41" s="1684"/>
      <c r="AB41" s="1683"/>
      <c r="AC41" s="1683"/>
      <c r="AD41" s="1683"/>
      <c r="AE41" s="1683"/>
      <c r="AF41" s="1684"/>
      <c r="AG41" s="1683"/>
      <c r="AH41" s="1683"/>
      <c r="AI41" s="1683"/>
      <c r="AJ41" s="1683"/>
      <c r="AK41" s="1685"/>
      <c r="AL41" s="1683"/>
      <c r="AM41" s="1683"/>
      <c r="AN41" s="1683"/>
      <c r="AO41" s="1683"/>
      <c r="AP41" s="1684"/>
      <c r="AQ41" s="1683"/>
      <c r="AR41" s="1683"/>
      <c r="AS41" s="1683"/>
      <c r="AT41" s="1683"/>
      <c r="AU41" s="1685"/>
      <c r="AV41" s="1683"/>
      <c r="AW41" s="1683"/>
      <c r="AX41" s="1683"/>
      <c r="AY41" s="1683"/>
      <c r="AZ41" s="1683"/>
      <c r="BA41" s="1686"/>
      <c r="BB41" s="1686"/>
      <c r="BC41" s="1686"/>
      <c r="BD41" s="1686"/>
      <c r="BE41" s="1686"/>
      <c r="BF41" s="1686"/>
      <c r="BG41" s="1686"/>
      <c r="BH41" s="1686"/>
      <c r="BI41" s="1686"/>
      <c r="BJ41" s="1686"/>
      <c r="BK41" s="1686"/>
      <c r="BL41" s="1686"/>
      <c r="BM41" s="1686"/>
      <c r="BN41" s="1686"/>
      <c r="BO41" s="1686"/>
      <c r="BP41" s="1686"/>
      <c r="BQ41" s="1686"/>
      <c r="BR41" s="1686"/>
      <c r="BS41" s="1686"/>
      <c r="BT41" s="1686"/>
      <c r="BU41" s="1686"/>
      <c r="BV41" s="1686"/>
      <c r="BW41" s="1686"/>
      <c r="BX41" s="1686"/>
      <c r="BY41" s="1686"/>
    </row>
    <row r="42" spans="1:77" ht="15" x14ac:dyDescent="0.2">
      <c r="A42" s="7268" t="s">
        <v>10</v>
      </c>
      <c r="B42" s="7273" t="s">
        <v>6</v>
      </c>
      <c r="C42" s="1348">
        <v>129</v>
      </c>
      <c r="D42" s="1348">
        <v>3</v>
      </c>
      <c r="E42" s="1348">
        <v>154</v>
      </c>
      <c r="F42" s="1348">
        <v>110</v>
      </c>
      <c r="G42" s="475">
        <v>396</v>
      </c>
      <c r="H42" s="1349">
        <v>127</v>
      </c>
      <c r="I42" s="1349">
        <v>3</v>
      </c>
      <c r="J42" s="1349">
        <v>147</v>
      </c>
      <c r="K42" s="1349">
        <v>117</v>
      </c>
      <c r="L42" s="714">
        <v>394</v>
      </c>
      <c r="M42" s="1349">
        <v>99</v>
      </c>
      <c r="N42" s="1349">
        <v>3</v>
      </c>
      <c r="O42" s="1349">
        <v>153</v>
      </c>
      <c r="P42" s="1349">
        <v>127</v>
      </c>
      <c r="Q42" s="714">
        <v>382</v>
      </c>
      <c r="R42" s="1349">
        <v>98</v>
      </c>
      <c r="S42" s="1349">
        <v>3</v>
      </c>
      <c r="T42" s="1349">
        <v>153</v>
      </c>
      <c r="U42" s="1349">
        <v>139</v>
      </c>
      <c r="V42" s="714">
        <v>393</v>
      </c>
      <c r="W42" s="1349">
        <v>97</v>
      </c>
      <c r="X42" s="1349">
        <v>2</v>
      </c>
      <c r="Y42" s="1349">
        <v>143</v>
      </c>
      <c r="Z42" s="1349">
        <v>134</v>
      </c>
      <c r="AA42" s="714">
        <v>376</v>
      </c>
      <c r="AB42" s="1350">
        <v>88</v>
      </c>
      <c r="AC42" s="1349">
        <v>2</v>
      </c>
      <c r="AD42" s="1349">
        <v>139</v>
      </c>
      <c r="AE42" s="1349">
        <v>160</v>
      </c>
      <c r="AF42" s="714">
        <v>389</v>
      </c>
      <c r="AG42" s="1350">
        <v>80</v>
      </c>
      <c r="AH42" s="1349">
        <v>3</v>
      </c>
      <c r="AI42" s="1349">
        <v>133</v>
      </c>
      <c r="AJ42" s="1349">
        <v>160</v>
      </c>
      <c r="AK42" s="714">
        <v>376</v>
      </c>
      <c r="AL42" s="1350">
        <v>78</v>
      </c>
      <c r="AM42" s="1349">
        <v>3</v>
      </c>
      <c r="AN42" s="1349">
        <v>137</v>
      </c>
      <c r="AO42" s="1349">
        <v>164</v>
      </c>
      <c r="AP42" s="714">
        <v>382</v>
      </c>
      <c r="AQ42" s="1350">
        <v>77</v>
      </c>
      <c r="AR42" s="1349">
        <v>3</v>
      </c>
      <c r="AS42" s="1349">
        <v>132</v>
      </c>
      <c r="AT42" s="1349">
        <v>181</v>
      </c>
      <c r="AU42" s="714">
        <v>393</v>
      </c>
      <c r="AV42" s="1350">
        <v>76</v>
      </c>
      <c r="AW42" s="1349">
        <v>2</v>
      </c>
      <c r="AX42" s="1349">
        <v>132</v>
      </c>
      <c r="AY42" s="1349">
        <v>190</v>
      </c>
      <c r="AZ42" s="714">
        <v>400</v>
      </c>
      <c r="BA42" s="1350">
        <f>+'PTC-GRADO (1)'!BA26</f>
        <v>69</v>
      </c>
      <c r="BB42" s="1349">
        <f>+'PTC-GRADO (1)'!BB26</f>
        <v>4</v>
      </c>
      <c r="BC42" s="1349">
        <f>+'PTC-GRADO (1)'!BC26</f>
        <v>128</v>
      </c>
      <c r="BD42" s="1349">
        <f>+'PTC-GRADO (1)'!BD26</f>
        <v>204</v>
      </c>
      <c r="BE42" s="714">
        <f>SUM(BA42:BD42)</f>
        <v>405</v>
      </c>
      <c r="BF42" s="1350">
        <f>+'PTC-GRADO (1)'!BF26</f>
        <v>69</v>
      </c>
      <c r="BG42" s="1349">
        <f>+'PTC-GRADO (1)'!BG26</f>
        <v>4</v>
      </c>
      <c r="BH42" s="1349">
        <f>+'PTC-GRADO (1)'!BH26</f>
        <v>129</v>
      </c>
      <c r="BI42" s="1349">
        <f>+'PTC-GRADO (1)'!BI26</f>
        <v>206</v>
      </c>
      <c r="BJ42" s="714">
        <f t="shared" ref="BJ42:BJ47" si="45">SUM(BF42:BI42)</f>
        <v>408</v>
      </c>
      <c r="BK42" s="1350">
        <f>+'PTC-GRADO (1)'!BK26</f>
        <v>69</v>
      </c>
      <c r="BL42" s="1349">
        <f>+'PTC-GRADO (1)'!BL26</f>
        <v>4</v>
      </c>
      <c r="BM42" s="1349">
        <f>+'PTC-GRADO (1)'!BM26</f>
        <v>131</v>
      </c>
      <c r="BN42" s="1349">
        <f>+'PTC-GRADO (1)'!BN26</f>
        <v>206</v>
      </c>
      <c r="BO42" s="714">
        <f t="shared" ref="BO42:BO47" si="46">SUM(BK42:BN42)</f>
        <v>410</v>
      </c>
      <c r="BP42" s="1350">
        <f>+'PTC-GRADO (1)'!BP26</f>
        <v>70</v>
      </c>
      <c r="BQ42" s="1349">
        <f>+'PTC-GRADO (1)'!BQ26</f>
        <v>4</v>
      </c>
      <c r="BR42" s="1349">
        <f>+'PTC-GRADO (1)'!BR26</f>
        <v>131</v>
      </c>
      <c r="BS42" s="1349">
        <f>+'PTC-GRADO (1)'!BS26</f>
        <v>207</v>
      </c>
      <c r="BT42" s="714">
        <f t="shared" ref="BT42:BT47" si="47">SUM(BP42:BS42)</f>
        <v>412</v>
      </c>
      <c r="BU42" s="1350">
        <f>+'PTC-GRADO (1)'!BU26</f>
        <v>70</v>
      </c>
      <c r="BV42" s="1349">
        <f>+'PTC-GRADO (1)'!BV26</f>
        <v>4</v>
      </c>
      <c r="BW42" s="1349">
        <f>+'PTC-GRADO (1)'!BW26</f>
        <v>132</v>
      </c>
      <c r="BX42" s="1349">
        <f>+'PTC-GRADO (1)'!BX26</f>
        <v>211</v>
      </c>
      <c r="BY42" s="714">
        <f t="shared" ref="BY42:BY47" si="48">SUM(BU42:BX42)</f>
        <v>417</v>
      </c>
    </row>
    <row r="43" spans="1:77" ht="15" customHeight="1" x14ac:dyDescent="0.2">
      <c r="A43" s="7269"/>
      <c r="B43" s="7274"/>
      <c r="C43" s="1686">
        <v>0.32575757575757575</v>
      </c>
      <c r="D43" s="1686">
        <v>7.575757575757576E-3</v>
      </c>
      <c r="E43" s="1686">
        <v>0.3888888888888889</v>
      </c>
      <c r="F43" s="1686">
        <v>0.27777777777777779</v>
      </c>
      <c r="G43" s="2616">
        <v>1</v>
      </c>
      <c r="H43" s="1686">
        <v>0.32233502538071068</v>
      </c>
      <c r="I43" s="1686">
        <v>7.6142131979695434E-3</v>
      </c>
      <c r="J43" s="1686">
        <v>0.37309644670050762</v>
      </c>
      <c r="K43" s="1686">
        <v>0.29695431472081218</v>
      </c>
      <c r="L43" s="2616">
        <v>1</v>
      </c>
      <c r="M43" s="1686">
        <v>0.25916230366492149</v>
      </c>
      <c r="N43" s="1686">
        <v>7.8534031413612562E-3</v>
      </c>
      <c r="O43" s="1686">
        <v>0.40052356020942409</v>
      </c>
      <c r="P43" s="1686">
        <v>0.33246073298429318</v>
      </c>
      <c r="Q43" s="2616">
        <v>1</v>
      </c>
      <c r="R43" s="1686">
        <v>0.24936386768447838</v>
      </c>
      <c r="S43" s="1686">
        <v>7.6335877862595417E-3</v>
      </c>
      <c r="T43" s="1686">
        <v>0.38931297709923662</v>
      </c>
      <c r="U43" s="1686">
        <v>0.35368956743002544</v>
      </c>
      <c r="V43" s="2616">
        <v>1</v>
      </c>
      <c r="W43" s="1686">
        <v>0.25797872340425532</v>
      </c>
      <c r="X43" s="1686">
        <v>5.3191489361702126E-3</v>
      </c>
      <c r="Y43" s="1686">
        <v>0.38031914893617019</v>
      </c>
      <c r="Z43" s="1686">
        <v>0.35638297872340424</v>
      </c>
      <c r="AA43" s="2617">
        <v>1</v>
      </c>
      <c r="AB43" s="2618">
        <v>0.2262210796915167</v>
      </c>
      <c r="AC43" s="1686">
        <v>5.1413881748071976E-3</v>
      </c>
      <c r="AD43" s="1686">
        <v>0.35732647814910024</v>
      </c>
      <c r="AE43" s="1686">
        <v>0.41131105398457585</v>
      </c>
      <c r="AF43" s="2616">
        <v>1</v>
      </c>
      <c r="AG43" s="2618">
        <v>0.21276595744680851</v>
      </c>
      <c r="AH43" s="1686">
        <v>7.9787234042553185E-3</v>
      </c>
      <c r="AI43" s="1686">
        <v>0.35372340425531917</v>
      </c>
      <c r="AJ43" s="1686">
        <v>0.42553191489361702</v>
      </c>
      <c r="AK43" s="2616">
        <v>1</v>
      </c>
      <c r="AL43" s="2618">
        <v>0.20418848167539266</v>
      </c>
      <c r="AM43" s="1686">
        <v>7.8534031413612562E-3</v>
      </c>
      <c r="AN43" s="1686">
        <v>0.3586387434554974</v>
      </c>
      <c r="AO43" s="1686">
        <v>0.4293193717277487</v>
      </c>
      <c r="AP43" s="2616">
        <v>1</v>
      </c>
      <c r="AQ43" s="2618">
        <v>0.19592875318066158</v>
      </c>
      <c r="AR43" s="1686">
        <v>7.6335877862595417E-3</v>
      </c>
      <c r="AS43" s="1686">
        <v>0.33587786259541985</v>
      </c>
      <c r="AT43" s="1686">
        <v>0.46055979643765904</v>
      </c>
      <c r="AU43" s="2616">
        <v>1</v>
      </c>
      <c r="AV43" s="2618">
        <v>0.19</v>
      </c>
      <c r="AW43" s="1686">
        <v>5.0000000000000001E-3</v>
      </c>
      <c r="AX43" s="1686">
        <v>0.33</v>
      </c>
      <c r="AY43" s="1686">
        <v>0.47499999999999998</v>
      </c>
      <c r="AZ43" s="2616">
        <v>1</v>
      </c>
      <c r="BA43" s="2618">
        <f>BA42/$BE$42</f>
        <v>0.17037037037037037</v>
      </c>
      <c r="BB43" s="1686">
        <f>BB42/$BE$42</f>
        <v>9.876543209876543E-3</v>
      </c>
      <c r="BC43" s="1686">
        <f>BC42/$BE$42</f>
        <v>0.31604938271604938</v>
      </c>
      <c r="BD43" s="1686">
        <f>BD42/$BE$42</f>
        <v>0.50370370370370365</v>
      </c>
      <c r="BE43" s="2616">
        <f>BE42/$BE$42</f>
        <v>1</v>
      </c>
      <c r="BF43" s="2618">
        <f>BF42/$BJ$42</f>
        <v>0.16911764705882354</v>
      </c>
      <c r="BG43" s="1686">
        <f>BG42/$BJ$42</f>
        <v>9.8039215686274508E-3</v>
      </c>
      <c r="BH43" s="1686">
        <f>BH42/$BJ$42</f>
        <v>0.31617647058823528</v>
      </c>
      <c r="BI43" s="1686">
        <f>BI42/$BJ$42</f>
        <v>0.50490196078431371</v>
      </c>
      <c r="BJ43" s="2616">
        <f t="shared" si="45"/>
        <v>1</v>
      </c>
      <c r="BK43" s="2618">
        <f>BK42/$BO$42</f>
        <v>0.16829268292682928</v>
      </c>
      <c r="BL43" s="1686">
        <f>BL42/$BO$42</f>
        <v>9.7560975609756097E-3</v>
      </c>
      <c r="BM43" s="1686">
        <f>BM42/$BO$42</f>
        <v>0.31951219512195123</v>
      </c>
      <c r="BN43" s="1686">
        <f>BN42/$BO$42</f>
        <v>0.5024390243902439</v>
      </c>
      <c r="BO43" s="2616">
        <f t="shared" si="46"/>
        <v>1</v>
      </c>
      <c r="BP43" s="2618">
        <f>BP42/$BT$42</f>
        <v>0.16990291262135923</v>
      </c>
      <c r="BQ43" s="1686">
        <f>BQ42/$BT$42</f>
        <v>9.7087378640776691E-3</v>
      </c>
      <c r="BR43" s="1686">
        <f>BR42/$BT$42</f>
        <v>0.31796116504854371</v>
      </c>
      <c r="BS43" s="1686">
        <f>BS42/$BT$42</f>
        <v>0.50242718446601942</v>
      </c>
      <c r="BT43" s="2616">
        <f t="shared" si="47"/>
        <v>1</v>
      </c>
      <c r="BU43" s="2618">
        <f>BU42/$BY$42</f>
        <v>0.16786570743405277</v>
      </c>
      <c r="BV43" s="1686">
        <f t="shared" ref="BV43:BX43" si="49">BV42/$BY$42</f>
        <v>9.5923261390887284E-3</v>
      </c>
      <c r="BW43" s="1686">
        <f t="shared" si="49"/>
        <v>0.31654676258992803</v>
      </c>
      <c r="BX43" s="1686">
        <f t="shared" si="49"/>
        <v>0.50599520383693042</v>
      </c>
      <c r="BY43" s="2616">
        <f t="shared" si="48"/>
        <v>1</v>
      </c>
    </row>
    <row r="44" spans="1:77" ht="15" x14ac:dyDescent="0.2">
      <c r="A44" s="7269"/>
      <c r="B44" s="7274" t="s">
        <v>11</v>
      </c>
      <c r="C44" s="2619">
        <v>95</v>
      </c>
      <c r="D44" s="2619">
        <v>8</v>
      </c>
      <c r="E44" s="2619">
        <v>158</v>
      </c>
      <c r="F44" s="2619">
        <v>98</v>
      </c>
      <c r="G44" s="2620">
        <v>359</v>
      </c>
      <c r="H44" s="2621">
        <v>94</v>
      </c>
      <c r="I44" s="2621">
        <v>7</v>
      </c>
      <c r="J44" s="2621">
        <v>150</v>
      </c>
      <c r="K44" s="2621">
        <v>106</v>
      </c>
      <c r="L44" s="2622">
        <v>357</v>
      </c>
      <c r="M44" s="2621">
        <v>74</v>
      </c>
      <c r="N44" s="2621">
        <v>8</v>
      </c>
      <c r="O44" s="2621">
        <v>157</v>
      </c>
      <c r="P44" s="2621">
        <v>113</v>
      </c>
      <c r="Q44" s="2622">
        <v>352</v>
      </c>
      <c r="R44" s="2621">
        <v>72</v>
      </c>
      <c r="S44" s="2621">
        <v>12</v>
      </c>
      <c r="T44" s="2621">
        <v>164</v>
      </c>
      <c r="U44" s="2621">
        <v>127</v>
      </c>
      <c r="V44" s="2622">
        <v>375</v>
      </c>
      <c r="W44" s="2621">
        <v>68</v>
      </c>
      <c r="X44" s="2621">
        <v>15</v>
      </c>
      <c r="Y44" s="2621">
        <v>161</v>
      </c>
      <c r="Z44" s="2621">
        <v>126</v>
      </c>
      <c r="AA44" s="2622">
        <v>370</v>
      </c>
      <c r="AB44" s="2623">
        <v>63</v>
      </c>
      <c r="AC44" s="2621">
        <v>14</v>
      </c>
      <c r="AD44" s="2621">
        <v>155</v>
      </c>
      <c r="AE44" s="2621">
        <v>146</v>
      </c>
      <c r="AF44" s="2622">
        <v>378</v>
      </c>
      <c r="AG44" s="2623">
        <v>51</v>
      </c>
      <c r="AH44" s="2621">
        <v>13</v>
      </c>
      <c r="AI44" s="2621">
        <v>141</v>
      </c>
      <c r="AJ44" s="2621">
        <v>150</v>
      </c>
      <c r="AK44" s="2622">
        <v>355</v>
      </c>
      <c r="AL44" s="2623">
        <v>51</v>
      </c>
      <c r="AM44" s="2621">
        <v>13</v>
      </c>
      <c r="AN44" s="2621">
        <v>141</v>
      </c>
      <c r="AO44" s="2621">
        <v>152</v>
      </c>
      <c r="AP44" s="2622">
        <v>357</v>
      </c>
      <c r="AQ44" s="2623">
        <v>50</v>
      </c>
      <c r="AR44" s="2621">
        <v>22</v>
      </c>
      <c r="AS44" s="2621">
        <v>129</v>
      </c>
      <c r="AT44" s="2621">
        <v>161</v>
      </c>
      <c r="AU44" s="2622">
        <v>362</v>
      </c>
      <c r="AV44" s="2623">
        <v>49</v>
      </c>
      <c r="AW44" s="2621">
        <v>11</v>
      </c>
      <c r="AX44" s="2621">
        <v>135</v>
      </c>
      <c r="AY44" s="2621">
        <v>173</v>
      </c>
      <c r="AZ44" s="2622">
        <v>368</v>
      </c>
      <c r="BA44" s="2623">
        <f>+'PTC-GRADO (1)'!BA27</f>
        <v>48</v>
      </c>
      <c r="BB44" s="2621">
        <f>+'PTC-GRADO (1)'!BB27</f>
        <v>10</v>
      </c>
      <c r="BC44" s="2621">
        <f>+'PTC-GRADO (1)'!BC27</f>
        <v>140</v>
      </c>
      <c r="BD44" s="2621">
        <f>+'PTC-GRADO (1)'!BD27</f>
        <v>184</v>
      </c>
      <c r="BE44" s="2622">
        <f>SUM(BA44:BD44)</f>
        <v>382</v>
      </c>
      <c r="BF44" s="2623">
        <f>+'PTC-GRADO (1)'!BF27</f>
        <v>48</v>
      </c>
      <c r="BG44" s="2621">
        <f>+'PTC-GRADO (1)'!BG27</f>
        <v>11</v>
      </c>
      <c r="BH44" s="2621">
        <f>+'PTC-GRADO (1)'!BH27</f>
        <v>142</v>
      </c>
      <c r="BI44" s="2621">
        <f>+'PTC-GRADO (1)'!BI27</f>
        <v>190</v>
      </c>
      <c r="BJ44" s="2622">
        <f t="shared" si="45"/>
        <v>391</v>
      </c>
      <c r="BK44" s="2623">
        <f>+'PTC-GRADO (1)'!BK27</f>
        <v>48</v>
      </c>
      <c r="BL44" s="2621">
        <f>+'PTC-GRADO (1)'!BL27</f>
        <v>11</v>
      </c>
      <c r="BM44" s="2621">
        <f>+'PTC-GRADO (1)'!BM27</f>
        <v>145</v>
      </c>
      <c r="BN44" s="2621">
        <f>+'PTC-GRADO (1)'!BN27</f>
        <v>192</v>
      </c>
      <c r="BO44" s="2622">
        <f t="shared" si="46"/>
        <v>396</v>
      </c>
      <c r="BP44" s="2623">
        <f>+'PTC-GRADO (1)'!BP27</f>
        <v>48</v>
      </c>
      <c r="BQ44" s="2621">
        <f>+'PTC-GRADO (1)'!BQ27</f>
        <v>11</v>
      </c>
      <c r="BR44" s="2621">
        <f>+'PTC-GRADO (1)'!BR27</f>
        <v>145</v>
      </c>
      <c r="BS44" s="2621">
        <f>+'PTC-GRADO (1)'!BS27</f>
        <v>195</v>
      </c>
      <c r="BT44" s="2622">
        <f t="shared" si="47"/>
        <v>399</v>
      </c>
      <c r="BU44" s="2623">
        <f>+'PTC-GRADO (1)'!BU27</f>
        <v>48</v>
      </c>
      <c r="BV44" s="2621">
        <f>+'PTC-GRADO (1)'!BV27</f>
        <v>11</v>
      </c>
      <c r="BW44" s="2621">
        <f>+'PTC-GRADO (1)'!BW27</f>
        <v>148</v>
      </c>
      <c r="BX44" s="2621">
        <f>+'PTC-GRADO (1)'!BX27</f>
        <v>200</v>
      </c>
      <c r="BY44" s="2622">
        <f t="shared" si="48"/>
        <v>407</v>
      </c>
    </row>
    <row r="45" spans="1:77" ht="15" customHeight="1" x14ac:dyDescent="0.2">
      <c r="A45" s="7269"/>
      <c r="B45" s="7274"/>
      <c r="C45" s="2624">
        <v>0.26462395543175488</v>
      </c>
      <c r="D45" s="2624">
        <v>2.2284122562674095E-2</v>
      </c>
      <c r="E45" s="2624">
        <v>0.44011142061281339</v>
      </c>
      <c r="F45" s="2624">
        <v>0.27298050139275765</v>
      </c>
      <c r="G45" s="2625">
        <v>1</v>
      </c>
      <c r="H45" s="2624">
        <v>0.26330532212885155</v>
      </c>
      <c r="I45" s="2624">
        <v>1.9607843137254902E-2</v>
      </c>
      <c r="J45" s="2624">
        <v>0.42016806722689076</v>
      </c>
      <c r="K45" s="2624">
        <v>0.2969187675070028</v>
      </c>
      <c r="L45" s="2625">
        <v>1</v>
      </c>
      <c r="M45" s="2624">
        <v>0.21022727272727273</v>
      </c>
      <c r="N45" s="2624">
        <v>2.2727272727272728E-2</v>
      </c>
      <c r="O45" s="2624">
        <v>0.44602272727272729</v>
      </c>
      <c r="P45" s="2624">
        <v>0.32102272727272729</v>
      </c>
      <c r="Q45" s="2625">
        <v>1</v>
      </c>
      <c r="R45" s="2624">
        <v>0.192</v>
      </c>
      <c r="S45" s="2624">
        <v>3.2000000000000001E-2</v>
      </c>
      <c r="T45" s="2624">
        <v>0.43733333333333335</v>
      </c>
      <c r="U45" s="2624">
        <v>0.33866666666666667</v>
      </c>
      <c r="V45" s="2625">
        <v>1</v>
      </c>
      <c r="W45" s="2624">
        <v>0.18378378378378379</v>
      </c>
      <c r="X45" s="2624">
        <v>4.0540540540540543E-2</v>
      </c>
      <c r="Y45" s="2624">
        <v>0.43513513513513513</v>
      </c>
      <c r="Z45" s="2624">
        <v>0.34054054054054056</v>
      </c>
      <c r="AA45" s="2626">
        <v>1</v>
      </c>
      <c r="AB45" s="2627">
        <v>0.16666666666666666</v>
      </c>
      <c r="AC45" s="2624">
        <v>3.7037037037037035E-2</v>
      </c>
      <c r="AD45" s="2624">
        <v>0.41005291005291006</v>
      </c>
      <c r="AE45" s="2624">
        <v>0.38624338624338622</v>
      </c>
      <c r="AF45" s="2625">
        <v>1</v>
      </c>
      <c r="AG45" s="2627">
        <v>0.14366197183098592</v>
      </c>
      <c r="AH45" s="2624">
        <v>3.6619718309859155E-2</v>
      </c>
      <c r="AI45" s="2624">
        <v>0.39718309859154932</v>
      </c>
      <c r="AJ45" s="2624">
        <v>0.42253521126760563</v>
      </c>
      <c r="AK45" s="2625">
        <v>1</v>
      </c>
      <c r="AL45" s="2627">
        <v>0.14285714285714285</v>
      </c>
      <c r="AM45" s="2624">
        <v>3.6414565826330535E-2</v>
      </c>
      <c r="AN45" s="2624">
        <v>0.3949579831932773</v>
      </c>
      <c r="AO45" s="2624">
        <v>0.42577030812324929</v>
      </c>
      <c r="AP45" s="2625">
        <v>1</v>
      </c>
      <c r="AQ45" s="2627">
        <v>0.13812154696132597</v>
      </c>
      <c r="AR45" s="2624">
        <v>6.0773480662983423E-2</v>
      </c>
      <c r="AS45" s="2624">
        <v>0.35635359116022097</v>
      </c>
      <c r="AT45" s="2624">
        <v>0.44475138121546959</v>
      </c>
      <c r="AU45" s="2625">
        <v>1</v>
      </c>
      <c r="AV45" s="2627">
        <v>0.13315217391304349</v>
      </c>
      <c r="AW45" s="2624">
        <v>2.9891304347826088E-2</v>
      </c>
      <c r="AX45" s="2624">
        <v>0.36684782608695654</v>
      </c>
      <c r="AY45" s="2624">
        <v>0.47010869565217389</v>
      </c>
      <c r="AZ45" s="2625">
        <v>1</v>
      </c>
      <c r="BA45" s="2627">
        <f>BA44/$BE$44</f>
        <v>0.1256544502617801</v>
      </c>
      <c r="BB45" s="2624">
        <f>BB44/$BE$44</f>
        <v>2.6178010471204188E-2</v>
      </c>
      <c r="BC45" s="2624">
        <f>BC44/$BE$44</f>
        <v>0.36649214659685864</v>
      </c>
      <c r="BD45" s="2624">
        <f>BD44/$BE$44</f>
        <v>0.48167539267015708</v>
      </c>
      <c r="BE45" s="2625">
        <f>BE44/$BE$44</f>
        <v>1</v>
      </c>
      <c r="BF45" s="2627">
        <f>BF44/$BJ$44</f>
        <v>0.12276214833759591</v>
      </c>
      <c r="BG45" s="2624">
        <f>BG44/$BJ$44</f>
        <v>2.8132992327365727E-2</v>
      </c>
      <c r="BH45" s="2624">
        <f>BH44/$BJ$44</f>
        <v>0.3631713554987212</v>
      </c>
      <c r="BI45" s="2624">
        <f>BI44/$BJ$44</f>
        <v>0.48593350383631712</v>
      </c>
      <c r="BJ45" s="2625">
        <f t="shared" si="45"/>
        <v>1</v>
      </c>
      <c r="BK45" s="2627">
        <f>BK44/$BO$44</f>
        <v>0.12121212121212122</v>
      </c>
      <c r="BL45" s="2624">
        <f>BL44/$BO$44</f>
        <v>2.7777777777777776E-2</v>
      </c>
      <c r="BM45" s="2624">
        <f>BM44/$BO$44</f>
        <v>0.36616161616161619</v>
      </c>
      <c r="BN45" s="2624">
        <f>BN44/$BO$44</f>
        <v>0.48484848484848486</v>
      </c>
      <c r="BO45" s="2625">
        <f t="shared" si="46"/>
        <v>1</v>
      </c>
      <c r="BP45" s="2627">
        <f>BP44/$BT$44</f>
        <v>0.12030075187969924</v>
      </c>
      <c r="BQ45" s="2624">
        <f>BQ44/$BT$44</f>
        <v>2.7568922305764409E-2</v>
      </c>
      <c r="BR45" s="2624">
        <f>BR44/$BT$44</f>
        <v>0.36340852130325813</v>
      </c>
      <c r="BS45" s="2624">
        <f>BS44/$BT$44</f>
        <v>0.48872180451127817</v>
      </c>
      <c r="BT45" s="2625">
        <f t="shared" si="47"/>
        <v>1</v>
      </c>
      <c r="BU45" s="2627">
        <f>BU44/$BY$44</f>
        <v>0.11793611793611794</v>
      </c>
      <c r="BV45" s="2624">
        <f t="shared" ref="BV45:BX45" si="50">BV44/$BY$44</f>
        <v>2.7027027027027029E-2</v>
      </c>
      <c r="BW45" s="2624">
        <f t="shared" si="50"/>
        <v>0.36363636363636365</v>
      </c>
      <c r="BX45" s="2624">
        <f t="shared" si="50"/>
        <v>0.49140049140049141</v>
      </c>
      <c r="BY45" s="2625">
        <f t="shared" si="48"/>
        <v>1</v>
      </c>
    </row>
    <row r="46" spans="1:77" ht="15" x14ac:dyDescent="0.2">
      <c r="A46" s="7269"/>
      <c r="B46" s="7274" t="s">
        <v>7</v>
      </c>
      <c r="C46" s="1351">
        <v>92</v>
      </c>
      <c r="D46" s="1351">
        <v>5</v>
      </c>
      <c r="E46" s="1351">
        <v>62</v>
      </c>
      <c r="F46" s="1351">
        <v>21</v>
      </c>
      <c r="G46" s="480">
        <v>180</v>
      </c>
      <c r="H46" s="1352">
        <v>91</v>
      </c>
      <c r="I46" s="1352">
        <v>4</v>
      </c>
      <c r="J46" s="1352">
        <v>59</v>
      </c>
      <c r="K46" s="1352">
        <v>23</v>
      </c>
      <c r="L46" s="717">
        <v>177</v>
      </c>
      <c r="M46" s="1352">
        <v>71</v>
      </c>
      <c r="N46" s="1352">
        <v>5</v>
      </c>
      <c r="O46" s="1352">
        <v>62</v>
      </c>
      <c r="P46" s="1352">
        <v>23</v>
      </c>
      <c r="Q46" s="717">
        <v>161</v>
      </c>
      <c r="R46" s="1352">
        <v>69</v>
      </c>
      <c r="S46" s="1352">
        <v>5</v>
      </c>
      <c r="T46" s="1352">
        <v>63</v>
      </c>
      <c r="U46" s="1352">
        <v>24</v>
      </c>
      <c r="V46" s="717">
        <v>161</v>
      </c>
      <c r="W46" s="1352">
        <v>60</v>
      </c>
      <c r="X46" s="1352">
        <v>2</v>
      </c>
      <c r="Y46" s="1352">
        <v>63</v>
      </c>
      <c r="Z46" s="1352">
        <v>25</v>
      </c>
      <c r="AA46" s="717">
        <v>150</v>
      </c>
      <c r="AB46" s="1353">
        <v>60</v>
      </c>
      <c r="AC46" s="1352">
        <v>2</v>
      </c>
      <c r="AD46" s="1352">
        <v>63</v>
      </c>
      <c r="AE46" s="1352">
        <v>29</v>
      </c>
      <c r="AF46" s="717">
        <v>154</v>
      </c>
      <c r="AG46" s="1353">
        <v>60</v>
      </c>
      <c r="AH46" s="1352">
        <v>2</v>
      </c>
      <c r="AI46" s="1352">
        <v>59</v>
      </c>
      <c r="AJ46" s="1352">
        <v>32</v>
      </c>
      <c r="AK46" s="717">
        <v>153</v>
      </c>
      <c r="AL46" s="1353">
        <v>58</v>
      </c>
      <c r="AM46" s="1352">
        <v>2</v>
      </c>
      <c r="AN46" s="1352">
        <v>60</v>
      </c>
      <c r="AO46" s="1352">
        <v>32</v>
      </c>
      <c r="AP46" s="717">
        <v>152</v>
      </c>
      <c r="AQ46" s="1353">
        <v>57</v>
      </c>
      <c r="AR46" s="1352">
        <v>2</v>
      </c>
      <c r="AS46" s="1352">
        <v>64</v>
      </c>
      <c r="AT46" s="1352">
        <v>33</v>
      </c>
      <c r="AU46" s="717">
        <v>156</v>
      </c>
      <c r="AV46" s="1353">
        <v>54</v>
      </c>
      <c r="AW46" s="1352">
        <v>3</v>
      </c>
      <c r="AX46" s="1352">
        <v>66</v>
      </c>
      <c r="AY46" s="1352">
        <v>35</v>
      </c>
      <c r="AZ46" s="717">
        <v>158</v>
      </c>
      <c r="BA46" s="1353">
        <f>+'PTC-GRADO (1)'!BA28</f>
        <v>49</v>
      </c>
      <c r="BB46" s="1352">
        <f>+'PTC-GRADO (1)'!BB28</f>
        <v>3</v>
      </c>
      <c r="BC46" s="1352">
        <f>+'PTC-GRADO (1)'!BC28</f>
        <v>69</v>
      </c>
      <c r="BD46" s="1352">
        <f>+'PTC-GRADO (1)'!BD28</f>
        <v>39</v>
      </c>
      <c r="BE46" s="717">
        <f>SUM(BA46:BD46)</f>
        <v>160</v>
      </c>
      <c r="BF46" s="1353">
        <f>+'PTC-GRADO (1)'!BF28</f>
        <v>49</v>
      </c>
      <c r="BG46" s="1352">
        <f>+'PTC-GRADO (1)'!BG28</f>
        <v>3</v>
      </c>
      <c r="BH46" s="1352">
        <f>+'PTC-GRADO (1)'!BH28</f>
        <v>71</v>
      </c>
      <c r="BI46" s="1352">
        <f>+'PTC-GRADO (1)'!BI28</f>
        <v>39</v>
      </c>
      <c r="BJ46" s="717">
        <f t="shared" si="45"/>
        <v>162</v>
      </c>
      <c r="BK46" s="1353">
        <f>+'PTC-GRADO (1)'!BK28</f>
        <v>49</v>
      </c>
      <c r="BL46" s="1352">
        <f>+'PTC-GRADO (1)'!BL28</f>
        <v>3</v>
      </c>
      <c r="BM46" s="1352">
        <f>+'PTC-GRADO (1)'!BM28</f>
        <v>74</v>
      </c>
      <c r="BN46" s="1352">
        <f>+'PTC-GRADO (1)'!BN28</f>
        <v>38</v>
      </c>
      <c r="BO46" s="717">
        <f t="shared" si="46"/>
        <v>164</v>
      </c>
      <c r="BP46" s="1353">
        <f>+'PTC-GRADO (1)'!BP28</f>
        <v>50</v>
      </c>
      <c r="BQ46" s="1352">
        <f>+'PTC-GRADO (1)'!BQ28</f>
        <v>3</v>
      </c>
      <c r="BR46" s="1352">
        <f>+'PTC-GRADO (1)'!BR28</f>
        <v>75</v>
      </c>
      <c r="BS46" s="1352">
        <f>+'PTC-GRADO (1)'!BS28</f>
        <v>39</v>
      </c>
      <c r="BT46" s="717">
        <f t="shared" si="47"/>
        <v>167</v>
      </c>
      <c r="BU46" s="1353">
        <f>+'PTC-GRADO (1)'!BU28</f>
        <v>50</v>
      </c>
      <c r="BV46" s="1352">
        <f>+'PTC-GRADO (1)'!BV28</f>
        <v>3</v>
      </c>
      <c r="BW46" s="1352">
        <f>+'PTC-GRADO (1)'!BW28</f>
        <v>79</v>
      </c>
      <c r="BX46" s="1352">
        <f>+'PTC-GRADO (1)'!BX28</f>
        <v>41</v>
      </c>
      <c r="BY46" s="717">
        <f t="shared" si="48"/>
        <v>173</v>
      </c>
    </row>
    <row r="47" spans="1:77" ht="15" customHeight="1" x14ac:dyDescent="0.2">
      <c r="A47" s="7269"/>
      <c r="B47" s="7275"/>
      <c r="C47" s="1686">
        <v>0.51111111111111107</v>
      </c>
      <c r="D47" s="1686">
        <v>2.7777777777777776E-2</v>
      </c>
      <c r="E47" s="1686">
        <v>0.34444444444444444</v>
      </c>
      <c r="F47" s="1686">
        <v>0.11666666666666667</v>
      </c>
      <c r="G47" s="2616">
        <v>1</v>
      </c>
      <c r="H47" s="1686">
        <v>0.51412429378531077</v>
      </c>
      <c r="I47" s="1686">
        <v>2.2598870056497175E-2</v>
      </c>
      <c r="J47" s="1686">
        <v>0.33333333333333331</v>
      </c>
      <c r="K47" s="1686">
        <v>0.12994350282485875</v>
      </c>
      <c r="L47" s="2616">
        <v>1</v>
      </c>
      <c r="M47" s="1686">
        <v>0.44099378881987578</v>
      </c>
      <c r="N47" s="1686">
        <v>3.1055900621118012E-2</v>
      </c>
      <c r="O47" s="1686">
        <v>0.38509316770186336</v>
      </c>
      <c r="P47" s="1686">
        <v>0.14285714285714285</v>
      </c>
      <c r="Q47" s="2616">
        <v>1</v>
      </c>
      <c r="R47" s="1686">
        <v>0.42857142857142855</v>
      </c>
      <c r="S47" s="1686">
        <v>3.1055900621118012E-2</v>
      </c>
      <c r="T47" s="1686">
        <v>0.39130434782608697</v>
      </c>
      <c r="U47" s="1686">
        <v>0.14906832298136646</v>
      </c>
      <c r="V47" s="2616">
        <v>1</v>
      </c>
      <c r="W47" s="1686">
        <v>0.4</v>
      </c>
      <c r="X47" s="1686">
        <v>1.3333333333333334E-2</v>
      </c>
      <c r="Y47" s="1686">
        <v>0.42</v>
      </c>
      <c r="Z47" s="1686">
        <v>0.16666666666666666</v>
      </c>
      <c r="AA47" s="2617">
        <v>1</v>
      </c>
      <c r="AB47" s="2618">
        <v>0.38961038961038963</v>
      </c>
      <c r="AC47" s="1686">
        <v>1.2987012987012988E-2</v>
      </c>
      <c r="AD47" s="1686">
        <v>0.40909090909090912</v>
      </c>
      <c r="AE47" s="1686">
        <v>0.18831168831168832</v>
      </c>
      <c r="AF47" s="2616">
        <v>1</v>
      </c>
      <c r="AG47" s="2618">
        <v>0.39215686274509803</v>
      </c>
      <c r="AH47" s="1686">
        <v>1.3071895424836602E-2</v>
      </c>
      <c r="AI47" s="1686">
        <v>0.38562091503267976</v>
      </c>
      <c r="AJ47" s="1686">
        <v>0.20915032679738563</v>
      </c>
      <c r="AK47" s="2616">
        <v>1</v>
      </c>
      <c r="AL47" s="2618">
        <v>0.38157894736842107</v>
      </c>
      <c r="AM47" s="1686">
        <v>1.3157894736842105E-2</v>
      </c>
      <c r="AN47" s="1686">
        <v>0.39473684210526316</v>
      </c>
      <c r="AO47" s="1686">
        <v>0.21052631578947367</v>
      </c>
      <c r="AP47" s="2616">
        <v>1</v>
      </c>
      <c r="AQ47" s="2618">
        <v>0.36538461538461536</v>
      </c>
      <c r="AR47" s="1686">
        <v>1.282051282051282E-2</v>
      </c>
      <c r="AS47" s="1686">
        <v>0.41025641025641024</v>
      </c>
      <c r="AT47" s="1686">
        <v>0.21153846153846154</v>
      </c>
      <c r="AU47" s="2616">
        <v>1</v>
      </c>
      <c r="AV47" s="2618">
        <v>0.34177215189873417</v>
      </c>
      <c r="AW47" s="1686">
        <v>1.8987341772151899E-2</v>
      </c>
      <c r="AX47" s="1686">
        <v>0.41772151898734178</v>
      </c>
      <c r="AY47" s="1686">
        <v>0.22151898734177214</v>
      </c>
      <c r="AZ47" s="2616">
        <v>1</v>
      </c>
      <c r="BA47" s="2618">
        <f>BA46/$BE$46</f>
        <v>0.30625000000000002</v>
      </c>
      <c r="BB47" s="1686">
        <f>BB46/$BE$46</f>
        <v>1.8749999999999999E-2</v>
      </c>
      <c r="BC47" s="1686">
        <f>BC46/$BE$46</f>
        <v>0.43125000000000002</v>
      </c>
      <c r="BD47" s="1686">
        <f>BD46/$BE$46</f>
        <v>0.24374999999999999</v>
      </c>
      <c r="BE47" s="2616">
        <f>BE46/$BE$46</f>
        <v>1</v>
      </c>
      <c r="BF47" s="2618">
        <f>BF46/$BJ$46</f>
        <v>0.30246913580246915</v>
      </c>
      <c r="BG47" s="1686">
        <f>BG46/$BJ$46</f>
        <v>1.8518518518518517E-2</v>
      </c>
      <c r="BH47" s="1686">
        <f>BH46/$BJ$46</f>
        <v>0.43827160493827161</v>
      </c>
      <c r="BI47" s="1686">
        <f>BI46/$BJ$46</f>
        <v>0.24074074074074073</v>
      </c>
      <c r="BJ47" s="2616">
        <f t="shared" si="45"/>
        <v>1</v>
      </c>
      <c r="BK47" s="2618">
        <f>BK46/$BO$46</f>
        <v>0.29878048780487804</v>
      </c>
      <c r="BL47" s="1686">
        <f>BL46/$BO$46</f>
        <v>1.8292682926829267E-2</v>
      </c>
      <c r="BM47" s="1686">
        <f>BM46/$BO$46</f>
        <v>0.45121951219512196</v>
      </c>
      <c r="BN47" s="1686">
        <f>BN46/$BO$46</f>
        <v>0.23170731707317074</v>
      </c>
      <c r="BO47" s="2616">
        <f t="shared" si="46"/>
        <v>1</v>
      </c>
      <c r="BP47" s="2618">
        <f>BP46/$BT$46</f>
        <v>0.29940119760479039</v>
      </c>
      <c r="BQ47" s="1686">
        <f>BQ46/$BT$46</f>
        <v>1.7964071856287425E-2</v>
      </c>
      <c r="BR47" s="1686">
        <f>BR46/$BT$46</f>
        <v>0.44910179640718562</v>
      </c>
      <c r="BS47" s="1686">
        <f>BS46/$BT$46</f>
        <v>0.23353293413173654</v>
      </c>
      <c r="BT47" s="2616">
        <f t="shared" si="47"/>
        <v>1</v>
      </c>
      <c r="BU47" s="2618">
        <f>BU46/$BY$46</f>
        <v>0.28901734104046245</v>
      </c>
      <c r="BV47" s="1686">
        <f t="shared" ref="BV47:BX47" si="51">BV46/$BY$46</f>
        <v>1.7341040462427744E-2</v>
      </c>
      <c r="BW47" s="1686">
        <f t="shared" si="51"/>
        <v>0.45664739884393063</v>
      </c>
      <c r="BX47" s="1686">
        <f t="shared" si="51"/>
        <v>0.23699421965317918</v>
      </c>
      <c r="BY47" s="2616">
        <f t="shared" si="48"/>
        <v>1</v>
      </c>
    </row>
    <row r="48" spans="1:77" ht="15" x14ac:dyDescent="0.2">
      <c r="A48" s="7269"/>
      <c r="B48" s="7271" t="s">
        <v>12</v>
      </c>
      <c r="C48" s="2637">
        <v>316</v>
      </c>
      <c r="D48" s="2638">
        <v>16</v>
      </c>
      <c r="E48" s="2638">
        <v>374</v>
      </c>
      <c r="F48" s="2638">
        <v>229</v>
      </c>
      <c r="G48" s="2638">
        <v>935</v>
      </c>
      <c r="H48" s="2639">
        <v>312</v>
      </c>
      <c r="I48" s="2640">
        <v>14</v>
      </c>
      <c r="J48" s="2640">
        <v>356</v>
      </c>
      <c r="K48" s="2640">
        <v>246</v>
      </c>
      <c r="L48" s="2641">
        <v>928</v>
      </c>
      <c r="M48" s="2639">
        <v>244</v>
      </c>
      <c r="N48" s="2640">
        <v>16</v>
      </c>
      <c r="O48" s="2640">
        <v>372</v>
      </c>
      <c r="P48" s="2640">
        <v>263</v>
      </c>
      <c r="Q48" s="2641">
        <v>895</v>
      </c>
      <c r="R48" s="2639">
        <v>239</v>
      </c>
      <c r="S48" s="2640">
        <v>20</v>
      </c>
      <c r="T48" s="2640">
        <v>380</v>
      </c>
      <c r="U48" s="2640">
        <v>290</v>
      </c>
      <c r="V48" s="2641">
        <v>929</v>
      </c>
      <c r="W48" s="2639">
        <v>225</v>
      </c>
      <c r="X48" s="2640">
        <v>19</v>
      </c>
      <c r="Y48" s="2640">
        <v>367</v>
      </c>
      <c r="Z48" s="2640">
        <v>285</v>
      </c>
      <c r="AA48" s="2641">
        <v>896</v>
      </c>
      <c r="AB48" s="2639">
        <v>211</v>
      </c>
      <c r="AC48" s="2640">
        <v>18</v>
      </c>
      <c r="AD48" s="2640">
        <v>357</v>
      </c>
      <c r="AE48" s="2640">
        <v>335</v>
      </c>
      <c r="AF48" s="2641">
        <v>921</v>
      </c>
      <c r="AG48" s="2639">
        <v>191</v>
      </c>
      <c r="AH48" s="2640">
        <v>18</v>
      </c>
      <c r="AI48" s="2640">
        <v>333</v>
      </c>
      <c r="AJ48" s="2640">
        <v>342</v>
      </c>
      <c r="AK48" s="2641">
        <v>884</v>
      </c>
      <c r="AL48" s="2639">
        <v>187.34704562453251</v>
      </c>
      <c r="AM48" s="2640">
        <v>18.044267968967691</v>
      </c>
      <c r="AN48" s="2640">
        <v>338.75359672664871</v>
      </c>
      <c r="AO48" s="2640">
        <v>348.85508967985101</v>
      </c>
      <c r="AP48" s="2641">
        <v>893</v>
      </c>
      <c r="AQ48" s="2639">
        <v>184.334050300142</v>
      </c>
      <c r="AR48" s="2640">
        <v>27.068407068449243</v>
      </c>
      <c r="AS48" s="2640">
        <v>325.69223145375565</v>
      </c>
      <c r="AT48" s="2640">
        <v>375.90531117765318</v>
      </c>
      <c r="AU48" s="2641">
        <v>913</v>
      </c>
      <c r="AV48" s="2639">
        <v>179.32315217391306</v>
      </c>
      <c r="AW48" s="2640">
        <v>16.034891304347823</v>
      </c>
      <c r="AX48" s="2640">
        <v>333.69684782608698</v>
      </c>
      <c r="AY48" s="2640">
        <v>398.94510869565221</v>
      </c>
      <c r="AZ48" s="2641">
        <v>928</v>
      </c>
      <c r="BA48" s="2639">
        <f t="shared" ref="BA48:BJ48" si="52">SUM(BA42,BA44,BA46)</f>
        <v>166</v>
      </c>
      <c r="BB48" s="2640">
        <f t="shared" si="52"/>
        <v>17</v>
      </c>
      <c r="BC48" s="2640">
        <f t="shared" si="52"/>
        <v>337</v>
      </c>
      <c r="BD48" s="2640">
        <f t="shared" si="52"/>
        <v>427</v>
      </c>
      <c r="BE48" s="2641">
        <f t="shared" si="52"/>
        <v>947</v>
      </c>
      <c r="BF48" s="2639">
        <f t="shared" si="52"/>
        <v>166</v>
      </c>
      <c r="BG48" s="2640">
        <f t="shared" si="52"/>
        <v>18</v>
      </c>
      <c r="BH48" s="2640">
        <f t="shared" si="52"/>
        <v>342</v>
      </c>
      <c r="BI48" s="2640">
        <f t="shared" si="52"/>
        <v>435</v>
      </c>
      <c r="BJ48" s="2641">
        <f t="shared" si="52"/>
        <v>961</v>
      </c>
      <c r="BK48" s="2639">
        <f t="shared" ref="BK48:BT48" si="53">SUM(BK42,BK44,BK46)</f>
        <v>166</v>
      </c>
      <c r="BL48" s="2640">
        <f t="shared" si="53"/>
        <v>18</v>
      </c>
      <c r="BM48" s="2640">
        <f t="shared" si="53"/>
        <v>350</v>
      </c>
      <c r="BN48" s="2640">
        <f t="shared" si="53"/>
        <v>436</v>
      </c>
      <c r="BO48" s="2641">
        <f t="shared" si="53"/>
        <v>970</v>
      </c>
      <c r="BP48" s="2639">
        <f t="shared" si="53"/>
        <v>168</v>
      </c>
      <c r="BQ48" s="2640">
        <f t="shared" si="53"/>
        <v>18</v>
      </c>
      <c r="BR48" s="2640">
        <f t="shared" si="53"/>
        <v>351</v>
      </c>
      <c r="BS48" s="2640">
        <f t="shared" si="53"/>
        <v>441</v>
      </c>
      <c r="BT48" s="2641">
        <f t="shared" si="53"/>
        <v>978</v>
      </c>
      <c r="BU48" s="2639">
        <f t="shared" ref="BU48:BY48" si="54">SUM(BU42,BU44,BU46)</f>
        <v>168</v>
      </c>
      <c r="BV48" s="2640">
        <f t="shared" si="54"/>
        <v>18</v>
      </c>
      <c r="BW48" s="2640">
        <f t="shared" si="54"/>
        <v>359</v>
      </c>
      <c r="BX48" s="2640">
        <f t="shared" si="54"/>
        <v>452</v>
      </c>
      <c r="BY48" s="2641">
        <f t="shared" si="54"/>
        <v>997</v>
      </c>
    </row>
    <row r="49" spans="1:77" x14ac:dyDescent="0.2">
      <c r="A49" s="7270"/>
      <c r="B49" s="7272"/>
      <c r="C49" s="2633">
        <v>0.33796791443850266</v>
      </c>
      <c r="D49" s="2634">
        <v>1.7112299465240642E-2</v>
      </c>
      <c r="E49" s="2634">
        <v>0.4</v>
      </c>
      <c r="F49" s="2634">
        <v>0.2449197860962567</v>
      </c>
      <c r="G49" s="2635">
        <v>1</v>
      </c>
      <c r="H49" s="2633">
        <v>0.33620689655172414</v>
      </c>
      <c r="I49" s="2634">
        <v>1.5086206896551725E-2</v>
      </c>
      <c r="J49" s="2634">
        <v>0.38362068965517243</v>
      </c>
      <c r="K49" s="2634">
        <v>0.26508620689655171</v>
      </c>
      <c r="L49" s="2635">
        <v>1</v>
      </c>
      <c r="M49" s="2633">
        <v>0.27262569832402234</v>
      </c>
      <c r="N49" s="2634">
        <v>1.7877094972067038E-2</v>
      </c>
      <c r="O49" s="2634">
        <v>0.41564245810055866</v>
      </c>
      <c r="P49" s="2634">
        <v>0.29385474860335198</v>
      </c>
      <c r="Q49" s="2635">
        <v>1</v>
      </c>
      <c r="R49" s="2633">
        <v>0.2572658772874058</v>
      </c>
      <c r="S49" s="2634">
        <v>2.1528525296017224E-2</v>
      </c>
      <c r="T49" s="2634">
        <v>0.40904198062432723</v>
      </c>
      <c r="U49" s="2634">
        <v>0.31216361679224974</v>
      </c>
      <c r="V49" s="2635">
        <v>1</v>
      </c>
      <c r="W49" s="2633">
        <v>0.25111607142857145</v>
      </c>
      <c r="X49" s="2634">
        <v>2.1205357142857144E-2</v>
      </c>
      <c r="Y49" s="2634">
        <v>0.4095982142857143</v>
      </c>
      <c r="Z49" s="2634">
        <v>0.31808035714285715</v>
      </c>
      <c r="AA49" s="2635">
        <v>1</v>
      </c>
      <c r="AB49" s="2633">
        <v>0.22909880564603691</v>
      </c>
      <c r="AC49" s="2634">
        <v>1.9543973941368076E-2</v>
      </c>
      <c r="AD49" s="2634">
        <v>0.38762214983713356</v>
      </c>
      <c r="AE49" s="2634">
        <v>0.36373507057546145</v>
      </c>
      <c r="AF49" s="2635">
        <v>1</v>
      </c>
      <c r="AG49" s="2633">
        <v>0.2160633484162896</v>
      </c>
      <c r="AH49" s="2634">
        <v>2.0361990950226245E-2</v>
      </c>
      <c r="AI49" s="2634">
        <v>0.37669683257918551</v>
      </c>
      <c r="AJ49" s="2634">
        <v>0.38687782805429866</v>
      </c>
      <c r="AK49" s="2635">
        <v>1</v>
      </c>
      <c r="AL49" s="2633">
        <v>0.20979512387965568</v>
      </c>
      <c r="AM49" s="2634">
        <v>2.0206347109706261E-2</v>
      </c>
      <c r="AN49" s="2634">
        <v>0.37934333340050247</v>
      </c>
      <c r="AO49" s="2634">
        <v>0.39065519561013551</v>
      </c>
      <c r="AP49" s="2635">
        <v>1</v>
      </c>
      <c r="AQ49" s="2633">
        <v>0.20189928839007887</v>
      </c>
      <c r="AR49" s="2634">
        <v>2.9647762396987121E-2</v>
      </c>
      <c r="AS49" s="2634">
        <v>0.35672752623631504</v>
      </c>
      <c r="AT49" s="2634">
        <v>0.41172542297661902</v>
      </c>
      <c r="AU49" s="2635">
        <v>1</v>
      </c>
      <c r="AV49" s="2633">
        <v>0.19323615535982011</v>
      </c>
      <c r="AW49" s="2634">
        <v>1.7278977698650673E-2</v>
      </c>
      <c r="AX49" s="2634">
        <v>0.35958712050224889</v>
      </c>
      <c r="AY49" s="2634">
        <v>0.42989774643928041</v>
      </c>
      <c r="AZ49" s="2635">
        <v>1</v>
      </c>
      <c r="BA49" s="1366">
        <f>BA48/$BE$48</f>
        <v>0.17529039070749736</v>
      </c>
      <c r="BB49" s="1365">
        <f>BB48/$BE$48</f>
        <v>1.7951425554382259E-2</v>
      </c>
      <c r="BC49" s="1365">
        <f>BC48/$BE$48</f>
        <v>0.35586061246040129</v>
      </c>
      <c r="BD49" s="1365">
        <f>BD48/$BE$48</f>
        <v>0.45089757127771912</v>
      </c>
      <c r="BE49" s="2636">
        <f>BE48/$BE$48</f>
        <v>1</v>
      </c>
      <c r="BF49" s="1366">
        <f>BF48/$BJ$48</f>
        <v>0.17273673257023933</v>
      </c>
      <c r="BG49" s="1365">
        <f>BG48/$BJ$48</f>
        <v>1.8730489073881373E-2</v>
      </c>
      <c r="BH49" s="1365">
        <f>BH48/$BJ$48</f>
        <v>0.35587929240374611</v>
      </c>
      <c r="BI49" s="1365">
        <f>BI48/$BJ$48</f>
        <v>0.45265348595213317</v>
      </c>
      <c r="BJ49" s="2636">
        <f>SUM(BF49:BI49)</f>
        <v>1</v>
      </c>
      <c r="BK49" s="1366">
        <f>BK48/$BO$48</f>
        <v>0.1711340206185567</v>
      </c>
      <c r="BL49" s="1365">
        <f>BL48/$BO$48</f>
        <v>1.8556701030927835E-2</v>
      </c>
      <c r="BM49" s="1365">
        <f>BM48/$BO$48</f>
        <v>0.36082474226804123</v>
      </c>
      <c r="BN49" s="1365">
        <f>BN48/$BO$48</f>
        <v>0.44948453608247424</v>
      </c>
      <c r="BO49" s="2636">
        <f>SUM(BK49:BN49)</f>
        <v>1</v>
      </c>
      <c r="BP49" s="1366">
        <f>BP48/$BT$48</f>
        <v>0.17177914110429449</v>
      </c>
      <c r="BQ49" s="1365">
        <f>BQ48/$BT$48</f>
        <v>1.8404907975460124E-2</v>
      </c>
      <c r="BR49" s="1365">
        <f>BR48/$BT$48</f>
        <v>0.35889570552147237</v>
      </c>
      <c r="BS49" s="1365">
        <f>BS48/$BT$48</f>
        <v>0.45092024539877301</v>
      </c>
      <c r="BT49" s="2636">
        <f>SUM(BP49:BS49)</f>
        <v>1</v>
      </c>
      <c r="BU49" s="1366">
        <f>BU48/$BY$48</f>
        <v>0.16850551654964896</v>
      </c>
      <c r="BV49" s="1365">
        <f t="shared" ref="BV49:BX49" si="55">BV48/$BY$48</f>
        <v>1.8054162487462388E-2</v>
      </c>
      <c r="BW49" s="1365">
        <f t="shared" si="55"/>
        <v>0.36008024072216649</v>
      </c>
      <c r="BX49" s="1365">
        <f t="shared" si="55"/>
        <v>0.45336008024072216</v>
      </c>
      <c r="BY49" s="2636">
        <f>SUM(BU49:BX49)</f>
        <v>1</v>
      </c>
    </row>
    <row r="50" spans="1:77" ht="15" x14ac:dyDescent="0.2">
      <c r="A50" s="1347"/>
      <c r="B50" s="1347"/>
      <c r="C50" s="1347"/>
      <c r="D50" s="1347"/>
      <c r="E50" s="1347"/>
      <c r="F50" s="1347"/>
      <c r="G50" s="1347"/>
      <c r="H50" s="1347"/>
      <c r="I50" s="1347"/>
      <c r="J50" s="1347"/>
      <c r="K50" s="1347"/>
      <c r="L50" s="1347"/>
      <c r="M50" s="1347"/>
      <c r="N50" s="1347"/>
      <c r="O50" s="1347"/>
      <c r="P50" s="1347"/>
      <c r="Q50" s="1347"/>
      <c r="R50" s="1347"/>
      <c r="S50" s="1347"/>
      <c r="T50" s="1347"/>
      <c r="U50" s="1347"/>
      <c r="V50" s="1347"/>
      <c r="W50" s="1347"/>
      <c r="X50" s="1347"/>
      <c r="Y50" s="1347"/>
      <c r="Z50" s="1347"/>
      <c r="AA50" s="1347"/>
      <c r="AB50" s="1347"/>
      <c r="AC50" s="1347"/>
      <c r="AD50" s="1347"/>
      <c r="AE50" s="1347"/>
      <c r="AF50" s="1347"/>
      <c r="AG50" s="1347"/>
      <c r="AH50" s="1347"/>
      <c r="AI50" s="1347"/>
      <c r="AJ50" s="1347"/>
      <c r="AK50" s="1347"/>
      <c r="AL50" s="1347"/>
      <c r="AM50" s="1347"/>
      <c r="AN50" s="1347"/>
      <c r="AO50" s="1347"/>
      <c r="AP50" s="1347"/>
      <c r="AQ50" s="1347"/>
      <c r="AR50" s="1347"/>
      <c r="AS50" s="1347"/>
      <c r="AT50" s="1347"/>
      <c r="AU50" s="1347"/>
      <c r="AV50" s="1347"/>
      <c r="AW50" s="1347"/>
      <c r="AX50" s="1347"/>
      <c r="AY50" s="1347"/>
      <c r="AZ50" s="1347"/>
      <c r="BA50" s="1347"/>
      <c r="BB50" s="1347"/>
      <c r="BC50" s="1347"/>
      <c r="BD50" s="1347"/>
      <c r="BE50" s="1347"/>
      <c r="BF50" s="1347"/>
      <c r="BG50" s="1347"/>
      <c r="BH50" s="1347"/>
      <c r="BI50" s="1347"/>
      <c r="BJ50" s="1347"/>
      <c r="BK50" s="1347"/>
      <c r="BL50" s="1347"/>
      <c r="BM50" s="1347"/>
      <c r="BN50" s="1347"/>
      <c r="BO50" s="1347"/>
      <c r="BP50" s="1347"/>
      <c r="BQ50" s="1347"/>
      <c r="BR50" s="1347"/>
      <c r="BS50" s="1347"/>
      <c r="BT50" s="1347"/>
      <c r="BU50" s="1347"/>
      <c r="BV50" s="1347"/>
      <c r="BW50" s="1347"/>
      <c r="BX50" s="1347"/>
      <c r="BY50" s="1347"/>
    </row>
    <row r="51" spans="1:77" ht="15" x14ac:dyDescent="0.2">
      <c r="A51" s="7287" t="s">
        <v>76</v>
      </c>
      <c r="B51" s="7288"/>
      <c r="C51" s="2628">
        <v>765</v>
      </c>
      <c r="D51" s="2629">
        <v>48</v>
      </c>
      <c r="E51" s="2629">
        <v>931</v>
      </c>
      <c r="F51" s="2629">
        <v>875</v>
      </c>
      <c r="G51" s="2629">
        <v>2619</v>
      </c>
      <c r="H51" s="2630">
        <v>756</v>
      </c>
      <c r="I51" s="2631">
        <v>44</v>
      </c>
      <c r="J51" s="2631">
        <v>889</v>
      </c>
      <c r="K51" s="2631">
        <v>938</v>
      </c>
      <c r="L51" s="2632">
        <v>2627</v>
      </c>
      <c r="M51" s="2630">
        <v>593</v>
      </c>
      <c r="N51" s="2631">
        <v>50</v>
      </c>
      <c r="O51" s="2631">
        <v>929</v>
      </c>
      <c r="P51" s="2631">
        <v>1033</v>
      </c>
      <c r="Q51" s="2632">
        <v>2605</v>
      </c>
      <c r="R51" s="2630">
        <v>574</v>
      </c>
      <c r="S51" s="2631">
        <v>50</v>
      </c>
      <c r="T51" s="2631">
        <v>941</v>
      </c>
      <c r="U51" s="2631">
        <v>1110</v>
      </c>
      <c r="V51" s="2632">
        <v>2675</v>
      </c>
      <c r="W51" s="2630">
        <v>520</v>
      </c>
      <c r="X51" s="2631">
        <v>46</v>
      </c>
      <c r="Y51" s="2631">
        <v>921</v>
      </c>
      <c r="Z51" s="2631">
        <v>1162</v>
      </c>
      <c r="AA51" s="2632">
        <v>2649</v>
      </c>
      <c r="AB51" s="2630">
        <v>493</v>
      </c>
      <c r="AC51" s="2631">
        <v>44</v>
      </c>
      <c r="AD51" s="2631">
        <v>908</v>
      </c>
      <c r="AE51" s="2631">
        <v>1251</v>
      </c>
      <c r="AF51" s="2632">
        <v>2696</v>
      </c>
      <c r="AG51" s="2630">
        <v>462</v>
      </c>
      <c r="AH51" s="2631">
        <v>45</v>
      </c>
      <c r="AI51" s="2631">
        <v>881</v>
      </c>
      <c r="AJ51" s="2631">
        <v>1310</v>
      </c>
      <c r="AK51" s="2632">
        <v>2698</v>
      </c>
      <c r="AL51" s="2630">
        <v>457.97651599831556</v>
      </c>
      <c r="AM51" s="2631">
        <v>45.080647743027967</v>
      </c>
      <c r="AN51" s="2631">
        <v>893.28036333951491</v>
      </c>
      <c r="AO51" s="2631">
        <v>1375.6624729191415</v>
      </c>
      <c r="AP51" s="2632">
        <v>2772</v>
      </c>
      <c r="AQ51" s="2630">
        <v>449.94429858906022</v>
      </c>
      <c r="AR51" s="2631">
        <v>50.098373464764663</v>
      </c>
      <c r="AS51" s="2631">
        <v>867.16779335556282</v>
      </c>
      <c r="AT51" s="2631">
        <v>1472.9253937563224</v>
      </c>
      <c r="AU51" s="2632">
        <v>2839</v>
      </c>
      <c r="AV51" s="2630">
        <v>422.88888276951099</v>
      </c>
      <c r="AW51" s="2631">
        <v>41.078331621845045</v>
      </c>
      <c r="AX51" s="2631">
        <v>882.09058502097491</v>
      </c>
      <c r="AY51" s="2631">
        <v>1566.9422005876688</v>
      </c>
      <c r="AZ51" s="2632">
        <v>2913</v>
      </c>
      <c r="BA51" s="2630">
        <f t="shared" ref="BA51:BJ51" si="56">SUM(BA12,BA21,BA30,BA39,BA48)</f>
        <v>396</v>
      </c>
      <c r="BB51" s="2631">
        <f t="shared" si="56"/>
        <v>38</v>
      </c>
      <c r="BC51" s="2631">
        <f t="shared" si="56"/>
        <v>895</v>
      </c>
      <c r="BD51" s="2631">
        <f t="shared" si="56"/>
        <v>1682</v>
      </c>
      <c r="BE51" s="2632">
        <f t="shared" si="56"/>
        <v>3011</v>
      </c>
      <c r="BF51" s="2630">
        <f t="shared" si="56"/>
        <v>397</v>
      </c>
      <c r="BG51" s="2631">
        <f t="shared" si="56"/>
        <v>39</v>
      </c>
      <c r="BH51" s="2631">
        <f t="shared" si="56"/>
        <v>911</v>
      </c>
      <c r="BI51" s="2631">
        <f t="shared" si="56"/>
        <v>1728</v>
      </c>
      <c r="BJ51" s="2632">
        <f t="shared" si="56"/>
        <v>3075</v>
      </c>
      <c r="BK51" s="2630">
        <f t="shared" ref="BK51:BT51" si="57">SUM(BK12,BK21,BK30,BK39,BK48)</f>
        <v>394</v>
      </c>
      <c r="BL51" s="2631">
        <f t="shared" si="57"/>
        <v>39</v>
      </c>
      <c r="BM51" s="2631">
        <f t="shared" si="57"/>
        <v>938</v>
      </c>
      <c r="BN51" s="2631">
        <f t="shared" si="57"/>
        <v>1767</v>
      </c>
      <c r="BO51" s="2632">
        <f t="shared" si="57"/>
        <v>3138</v>
      </c>
      <c r="BP51" s="2630">
        <f t="shared" si="57"/>
        <v>385</v>
      </c>
      <c r="BQ51" s="2631">
        <f t="shared" si="57"/>
        <v>38</v>
      </c>
      <c r="BR51" s="2631">
        <f t="shared" si="57"/>
        <v>930</v>
      </c>
      <c r="BS51" s="2631">
        <f t="shared" si="57"/>
        <v>1810</v>
      </c>
      <c r="BT51" s="2632">
        <f t="shared" si="57"/>
        <v>3163</v>
      </c>
      <c r="BU51" s="2630">
        <f t="shared" ref="BU51:BY51" si="58">SUM(BU12,BU21,BU30,BU39,BU48)</f>
        <v>386</v>
      </c>
      <c r="BV51" s="2631">
        <f t="shared" si="58"/>
        <v>38</v>
      </c>
      <c r="BW51" s="2631">
        <f t="shared" si="58"/>
        <v>949</v>
      </c>
      <c r="BX51" s="2631">
        <f t="shared" si="58"/>
        <v>1869</v>
      </c>
      <c r="BY51" s="2632">
        <f t="shared" si="58"/>
        <v>3242</v>
      </c>
    </row>
    <row r="52" spans="1:77" s="1356" customFormat="1" ht="15" x14ac:dyDescent="0.25">
      <c r="A52" s="7289"/>
      <c r="B52" s="7290"/>
      <c r="C52" s="2633">
        <v>0.29209621993127149</v>
      </c>
      <c r="D52" s="2634">
        <v>1.8327605956471937E-2</v>
      </c>
      <c r="E52" s="2634">
        <v>0.3554791905307369</v>
      </c>
      <c r="F52" s="2634">
        <v>0.33409698358151968</v>
      </c>
      <c r="G52" s="2635">
        <v>1</v>
      </c>
      <c r="H52" s="2633">
        <v>0.28778073848496383</v>
      </c>
      <c r="I52" s="2634">
        <v>1.6749143509706889E-2</v>
      </c>
      <c r="J52" s="2634">
        <v>0.33840883136657784</v>
      </c>
      <c r="K52" s="2634">
        <v>0.35706128663875142</v>
      </c>
      <c r="L52" s="2635">
        <v>1</v>
      </c>
      <c r="M52" s="2633">
        <v>0.22763915547024952</v>
      </c>
      <c r="N52" s="2634">
        <v>1.9193857965451054E-2</v>
      </c>
      <c r="O52" s="2634">
        <v>0.35662188099808062</v>
      </c>
      <c r="P52" s="2634">
        <v>0.3965451055662188</v>
      </c>
      <c r="Q52" s="2635">
        <v>1</v>
      </c>
      <c r="R52" s="2633">
        <v>0.21457943925233644</v>
      </c>
      <c r="S52" s="2634">
        <v>1.8691588785046728E-2</v>
      </c>
      <c r="T52" s="2634">
        <v>0.35177570093457944</v>
      </c>
      <c r="U52" s="2634">
        <v>0.41495327102803736</v>
      </c>
      <c r="V52" s="2635">
        <v>1</v>
      </c>
      <c r="W52" s="2633">
        <v>0.19630049075122688</v>
      </c>
      <c r="X52" s="2634">
        <v>1.7365043412608531E-2</v>
      </c>
      <c r="Y52" s="2634">
        <v>0.34767836919592299</v>
      </c>
      <c r="Z52" s="2634">
        <v>0.43865609664024158</v>
      </c>
      <c r="AA52" s="2635">
        <v>1</v>
      </c>
      <c r="AB52" s="2633">
        <v>0.18286350148367952</v>
      </c>
      <c r="AC52" s="2634">
        <v>1.6320474777448073E-2</v>
      </c>
      <c r="AD52" s="2634">
        <v>0.33679525222551931</v>
      </c>
      <c r="AE52" s="2634">
        <v>0.46402077151335314</v>
      </c>
      <c r="AF52" s="2635">
        <v>1</v>
      </c>
      <c r="AG52" s="2633">
        <v>0.17123795404002964</v>
      </c>
      <c r="AH52" s="2634">
        <v>1.6679021497405487E-2</v>
      </c>
      <c r="AI52" s="2634">
        <v>0.32653817642698296</v>
      </c>
      <c r="AJ52" s="2634">
        <v>0.4855448480355819</v>
      </c>
      <c r="AK52" s="2642">
        <v>1</v>
      </c>
      <c r="AL52" s="2633">
        <v>0.16521519336158569</v>
      </c>
      <c r="AM52" s="2634">
        <v>1.6262859936157274E-2</v>
      </c>
      <c r="AN52" s="2634">
        <v>0.32225121332594331</v>
      </c>
      <c r="AO52" s="2634">
        <v>0.49627073337631367</v>
      </c>
      <c r="AP52" s="2642">
        <v>1</v>
      </c>
      <c r="AQ52" s="2633">
        <v>0.15848689629766122</v>
      </c>
      <c r="AR52" s="2634">
        <v>1.7646485898120699E-2</v>
      </c>
      <c r="AS52" s="2634">
        <v>0.30544832453524579</v>
      </c>
      <c r="AT52" s="2634">
        <v>0.51881838455664753</v>
      </c>
      <c r="AU52" s="2635">
        <v>1</v>
      </c>
      <c r="AV52" s="2633">
        <v>0.14517297726382114</v>
      </c>
      <c r="AW52" s="2634">
        <v>1.4101727298951268E-2</v>
      </c>
      <c r="AX52" s="2634">
        <v>0.30281173533160827</v>
      </c>
      <c r="AY52" s="2634">
        <v>0.53791356010561919</v>
      </c>
      <c r="AZ52" s="2635">
        <v>1</v>
      </c>
      <c r="BA52" s="2633">
        <f>BA51/$BE$51</f>
        <v>0.1315177681833278</v>
      </c>
      <c r="BB52" s="2634">
        <f>BB51/$BE$51</f>
        <v>1.2620391896379941E-2</v>
      </c>
      <c r="BC52" s="2634">
        <f>BC51/$BE$51</f>
        <v>0.29724344071736963</v>
      </c>
      <c r="BD52" s="2634">
        <f>BD51/$BE$51</f>
        <v>0.55861839920292267</v>
      </c>
      <c r="BE52" s="2635">
        <f>BE51/$BE$51</f>
        <v>1</v>
      </c>
      <c r="BF52" s="2633">
        <f>BF51/$BJ$51</f>
        <v>0.12910569105691058</v>
      </c>
      <c r="BG52" s="2634">
        <f>BG51/$BJ$51</f>
        <v>1.2682926829268294E-2</v>
      </c>
      <c r="BH52" s="2634">
        <f>BH51/$BJ$51</f>
        <v>0.29626016260162602</v>
      </c>
      <c r="BI52" s="2634">
        <f>BI51/$BJ$51</f>
        <v>0.56195121951219518</v>
      </c>
      <c r="BJ52" s="2635">
        <f>SUM(BF52:BI52)</f>
        <v>1</v>
      </c>
      <c r="BK52" s="2633">
        <f>BK51/$BO$51</f>
        <v>0.12555768005098789</v>
      </c>
      <c r="BL52" s="2634">
        <f>BL51/$BO$51</f>
        <v>1.24282982791587E-2</v>
      </c>
      <c r="BM52" s="2634">
        <f>BM51/$BO$51</f>
        <v>0.29891650732950925</v>
      </c>
      <c r="BN52" s="2634">
        <f>BN51/$BO$51</f>
        <v>0.56309751434034416</v>
      </c>
      <c r="BO52" s="2635">
        <f>SUM(BK52:BN52)</f>
        <v>1</v>
      </c>
      <c r="BP52" s="2633">
        <f>BP51/$BT$51</f>
        <v>0.12171988618400253</v>
      </c>
      <c r="BQ52" s="2634">
        <f>BQ51/$BT$51</f>
        <v>1.2013910844135315E-2</v>
      </c>
      <c r="BR52" s="2634">
        <f>BR51/$BT$51</f>
        <v>0.29402466013278533</v>
      </c>
      <c r="BS52" s="2634">
        <f>BS51/$BT$51</f>
        <v>0.5722415428390768</v>
      </c>
      <c r="BT52" s="2635">
        <f>SUM(BP52:BS52)</f>
        <v>1</v>
      </c>
      <c r="BU52" s="2633">
        <f>BU51/$BY$51</f>
        <v>0.11906230721776681</v>
      </c>
      <c r="BV52" s="2634">
        <f t="shared" ref="BV52:BX52" si="59">BV51/$BY$51</f>
        <v>1.1721159777914868E-2</v>
      </c>
      <c r="BW52" s="2634">
        <f t="shared" si="59"/>
        <v>0.29272054287476867</v>
      </c>
      <c r="BX52" s="2634">
        <f t="shared" si="59"/>
        <v>0.57649599012954966</v>
      </c>
      <c r="BY52" s="2635">
        <f>SUM(BU52:BX52)</f>
        <v>1</v>
      </c>
    </row>
    <row r="53" spans="1:77" x14ac:dyDescent="0.2">
      <c r="C53" s="3731" t="s">
        <v>1283</v>
      </c>
      <c r="E53" s="3729">
        <f>SUM(D52:E52)</f>
        <v>0.37380679648720883</v>
      </c>
      <c r="F53" s="3729"/>
      <c r="G53" s="3729"/>
      <c r="H53" s="3729"/>
      <c r="I53" s="3729"/>
      <c r="J53" s="3729">
        <f>SUM(I52:J52)</f>
        <v>0.35515797487628475</v>
      </c>
      <c r="K53" s="3729"/>
      <c r="L53" s="3729"/>
      <c r="M53" s="3729"/>
      <c r="N53" s="3729"/>
      <c r="O53" s="3729">
        <f>SUM(N52:O52)</f>
        <v>0.37581573896353165</v>
      </c>
      <c r="P53" s="3729"/>
      <c r="Q53" s="3729"/>
      <c r="R53" s="3729"/>
      <c r="S53" s="3729"/>
      <c r="T53" s="3729">
        <f>SUM(S52:T52)</f>
        <v>0.37046728971962617</v>
      </c>
      <c r="U53" s="3729"/>
      <c r="V53" s="3729"/>
      <c r="W53" s="3729"/>
      <c r="X53" s="3729"/>
      <c r="Y53" s="3729">
        <f>SUM(X52:Y52)</f>
        <v>0.36504341260853151</v>
      </c>
      <c r="Z53" s="3729"/>
      <c r="AA53" s="3729"/>
      <c r="AB53" s="3729"/>
      <c r="AC53" s="3729"/>
      <c r="AD53" s="3729">
        <f>SUM(AC52:AD52)</f>
        <v>0.35311572700296739</v>
      </c>
      <c r="AE53" s="3729"/>
      <c r="AF53" s="3729"/>
      <c r="AG53" s="3729"/>
      <c r="AH53" s="3729"/>
      <c r="AI53" s="3729">
        <f>SUM(AH52:AI52)</f>
        <v>0.34321719792438843</v>
      </c>
      <c r="AJ53" s="3729"/>
      <c r="AK53" s="3729"/>
      <c r="AL53" s="3729"/>
      <c r="AM53" s="3729"/>
      <c r="AN53" s="3729">
        <f>SUM(AM52:AN52)</f>
        <v>0.33851407326210059</v>
      </c>
      <c r="AO53" s="3730"/>
      <c r="AP53" s="3731"/>
      <c r="AQ53" s="3732"/>
      <c r="AR53" s="3732"/>
      <c r="AS53" s="3729">
        <f>SUM(AR52:AS52)</f>
        <v>0.32309481043336646</v>
      </c>
      <c r="AT53" s="3730"/>
      <c r="AU53" s="3733"/>
      <c r="AV53" s="3731"/>
      <c r="AW53" s="3731"/>
      <c r="AX53" s="3729">
        <f>SUM(AW52:AX52)</f>
        <v>0.31691346263055953</v>
      </c>
      <c r="AY53" s="3731"/>
      <c r="AZ53" s="3731"/>
      <c r="BA53" s="3731"/>
      <c r="BB53" s="3731"/>
      <c r="BC53" s="3729">
        <f>SUM(BB52:BC52)</f>
        <v>0.30986383261374956</v>
      </c>
      <c r="BD53" s="3731"/>
      <c r="BE53" s="3731"/>
      <c r="BF53" s="3731"/>
      <c r="BG53" s="3731"/>
      <c r="BH53" s="3729">
        <f>SUM(BG52:BH52)</f>
        <v>0.30894308943089432</v>
      </c>
      <c r="BM53" s="3729">
        <f>SUM(BL52:BM52)</f>
        <v>0.31134480560866795</v>
      </c>
      <c r="BR53" s="3729">
        <f>SUM(BQ52:BR52)</f>
        <v>0.30603857097692067</v>
      </c>
      <c r="BW53" s="3729">
        <f>SUM(BV52:BW52)</f>
        <v>0.30444170265268355</v>
      </c>
    </row>
    <row r="54" spans="1:77" x14ac:dyDescent="0.2">
      <c r="A54" s="7286" t="s">
        <v>352</v>
      </c>
      <c r="B54" s="7286"/>
      <c r="C54" s="7286"/>
      <c r="R54" s="445"/>
      <c r="S54" s="445"/>
      <c r="T54" s="445"/>
      <c r="U54" s="1357"/>
      <c r="W54" s="445"/>
      <c r="X54" s="445"/>
      <c r="Y54" s="445"/>
      <c r="Z54" s="1357"/>
      <c r="AB54" s="445"/>
      <c r="AC54" s="445"/>
      <c r="AD54" s="445"/>
      <c r="AE54" s="1357"/>
      <c r="AG54" s="445"/>
      <c r="AH54" s="445"/>
      <c r="AI54" s="445"/>
      <c r="AJ54" s="1357"/>
      <c r="AL54" s="445"/>
      <c r="AM54" s="445"/>
      <c r="BM54" s="3729"/>
    </row>
    <row r="55" spans="1:77" x14ac:dyDescent="0.2">
      <c r="A55" s="1358"/>
      <c r="B55" s="917"/>
      <c r="AU55" s="1359"/>
    </row>
    <row r="56" spans="1:77" x14ac:dyDescent="0.2">
      <c r="A56" s="1358"/>
      <c r="B56" s="917"/>
      <c r="R56" s="443"/>
      <c r="S56" s="443"/>
      <c r="T56" s="443"/>
      <c r="U56" s="443"/>
      <c r="V56" s="443"/>
      <c r="W56" s="443"/>
      <c r="X56" s="443"/>
      <c r="Y56" s="443"/>
      <c r="Z56" s="443"/>
      <c r="AA56" s="443"/>
      <c r="AB56" s="443"/>
      <c r="AC56" s="443"/>
      <c r="AD56" s="443"/>
      <c r="AE56" s="443"/>
      <c r="AF56" s="443"/>
      <c r="AG56" s="443"/>
      <c r="AH56" s="443"/>
      <c r="AI56" s="443"/>
      <c r="AJ56" s="443"/>
      <c r="AK56" s="443"/>
      <c r="AL56" s="443"/>
      <c r="AM56" s="443"/>
      <c r="AN56" s="443"/>
      <c r="AO56" s="443"/>
      <c r="AQ56" s="443"/>
      <c r="AR56" s="443"/>
      <c r="AS56" s="443"/>
      <c r="AT56" s="443"/>
      <c r="AU56" s="1360"/>
    </row>
    <row r="57" spans="1:77" x14ac:dyDescent="0.2">
      <c r="A57" s="1358"/>
      <c r="B57" s="917"/>
      <c r="AN57" s="1361"/>
    </row>
    <row r="59" spans="1:77" ht="15" x14ac:dyDescent="0.25">
      <c r="A59" s="1362"/>
    </row>
    <row r="61" spans="1:77" x14ac:dyDescent="0.2">
      <c r="BJ61" s="3918">
        <v>2003</v>
      </c>
    </row>
    <row r="62" spans="1:77" x14ac:dyDescent="0.2">
      <c r="BJ62" s="3918">
        <v>2004</v>
      </c>
    </row>
    <row r="63" spans="1:77" x14ac:dyDescent="0.2">
      <c r="BJ63" s="3918">
        <v>2005</v>
      </c>
    </row>
    <row r="64" spans="1:77" x14ac:dyDescent="0.2">
      <c r="BJ64" s="3918">
        <v>2006</v>
      </c>
    </row>
    <row r="65" spans="62:62" x14ac:dyDescent="0.2">
      <c r="BJ65" s="3918">
        <v>2007</v>
      </c>
    </row>
    <row r="66" spans="62:62" x14ac:dyDescent="0.2">
      <c r="BJ66" s="3918">
        <v>2008</v>
      </c>
    </row>
    <row r="67" spans="62:62" x14ac:dyDescent="0.2">
      <c r="BJ67" s="3918">
        <v>2009</v>
      </c>
    </row>
    <row r="68" spans="62:62" x14ac:dyDescent="0.2">
      <c r="BJ68" s="3918">
        <v>2010</v>
      </c>
    </row>
    <row r="69" spans="62:62" x14ac:dyDescent="0.2">
      <c r="BJ69" s="3918">
        <v>2011</v>
      </c>
    </row>
    <row r="70" spans="62:62" x14ac:dyDescent="0.2">
      <c r="BJ70" s="3918">
        <v>2012</v>
      </c>
    </row>
    <row r="71" spans="62:62" x14ac:dyDescent="0.2">
      <c r="BJ71" s="3918">
        <v>2013</v>
      </c>
    </row>
    <row r="72" spans="62:62" x14ac:dyDescent="0.2">
      <c r="BJ72" s="3918">
        <v>2014</v>
      </c>
    </row>
    <row r="73" spans="62:62" x14ac:dyDescent="0.2">
      <c r="BJ73" s="3918">
        <v>2015</v>
      </c>
    </row>
    <row r="74" spans="62:62" x14ac:dyDescent="0.2">
      <c r="BJ74" s="3918">
        <v>2016</v>
      </c>
    </row>
    <row r="75" spans="62:62" x14ac:dyDescent="0.2">
      <c r="BJ75" s="3918">
        <v>2017</v>
      </c>
    </row>
  </sheetData>
  <mergeCells count="39">
    <mergeCell ref="BP3:BT3"/>
    <mergeCell ref="A1:B1"/>
    <mergeCell ref="BF3:BJ3"/>
    <mergeCell ref="A54:C54"/>
    <mergeCell ref="BA3:BE3"/>
    <mergeCell ref="A51:B52"/>
    <mergeCell ref="A3:A4"/>
    <mergeCell ref="B3:B4"/>
    <mergeCell ref="C3:G3"/>
    <mergeCell ref="AL3:AP3"/>
    <mergeCell ref="AQ3:AU3"/>
    <mergeCell ref="AV3:AZ3"/>
    <mergeCell ref="A6:A13"/>
    <mergeCell ref="B12:B13"/>
    <mergeCell ref="B6:B7"/>
    <mergeCell ref="B8:B9"/>
    <mergeCell ref="B28:B29"/>
    <mergeCell ref="B10:B11"/>
    <mergeCell ref="A15:A22"/>
    <mergeCell ref="B21:B22"/>
    <mergeCell ref="B15:B16"/>
    <mergeCell ref="B17:B18"/>
    <mergeCell ref="B19:B20"/>
    <mergeCell ref="BU3:BY3"/>
    <mergeCell ref="BK3:BO3"/>
    <mergeCell ref="A42:A49"/>
    <mergeCell ref="B48:B49"/>
    <mergeCell ref="B42:B43"/>
    <mergeCell ref="B44:B45"/>
    <mergeCell ref="B46:B47"/>
    <mergeCell ref="A33:A40"/>
    <mergeCell ref="B39:B40"/>
    <mergeCell ref="B33:B34"/>
    <mergeCell ref="B35:B36"/>
    <mergeCell ref="B37:B38"/>
    <mergeCell ref="A24:A31"/>
    <mergeCell ref="B30:B31"/>
    <mergeCell ref="B24:B25"/>
    <mergeCell ref="B26:B27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45" pageOrder="overThenDown" orientation="landscape" r:id="rId1"/>
  <rowBreaks count="1" manualBreakCount="1">
    <brk id="54" max="66" man="1"/>
  </rowBreaks>
  <colBreaks count="2" manualBreakCount="2">
    <brk id="27" max="85" man="1"/>
    <brk id="52" max="85" man="1"/>
  </colBreaks>
  <ignoredErrors>
    <ignoredError sqref="BE6 BE15 BE24 BE28 BE42 BE46" formulaRange="1"/>
    <ignoredError sqref="BE10 BE8 BE16:BE19 BE26 BE44" formula="1" formulaRange="1"/>
    <ignoredError sqref="BE7 BE9 BE11 BE20 BE25 BE27 BE43 BE45 BE39 BJ12 BJ30 BJ39 BJ48 BO48 BO39 BO12 BO21:BO30 BO6:BO11 BO31:BO38 BO13:BO20 BO40:BO47 BO49:BO52 BT12:BT52 BY21:BY51 BY12" formula="1"/>
  </ignoredErrors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T94"/>
  <sheetViews>
    <sheetView showGridLines="0" zoomScaleNormal="100" zoomScaleSheetLayoutView="70" workbookViewId="0"/>
  </sheetViews>
  <sheetFormatPr baseColWidth="10" defaultRowHeight="12.75" x14ac:dyDescent="0.2"/>
  <cols>
    <col min="1" max="1" width="17.140625" customWidth="1"/>
    <col min="3" max="7" width="11.42578125" customWidth="1"/>
    <col min="9" max="9" width="11.42578125" hidden="1" customWidth="1"/>
  </cols>
  <sheetData>
    <row r="1" spans="1:17" ht="15.75" x14ac:dyDescent="0.25">
      <c r="A1" s="990" t="s">
        <v>1574</v>
      </c>
      <c r="C1" s="925"/>
      <c r="D1" s="925"/>
      <c r="E1" s="925"/>
      <c r="F1" s="925"/>
      <c r="G1" s="925"/>
      <c r="H1" s="925"/>
      <c r="I1" s="925"/>
      <c r="J1" s="925"/>
      <c r="K1" s="925"/>
      <c r="L1" s="925"/>
    </row>
    <row r="2" spans="1:17" ht="39" customHeight="1" x14ac:dyDescent="0.2">
      <c r="A2" s="7300" t="s">
        <v>1503</v>
      </c>
      <c r="B2" s="7300"/>
      <c r="C2" s="7300"/>
      <c r="D2" s="7300"/>
      <c r="E2" s="7300"/>
      <c r="F2" s="7300"/>
      <c r="G2" s="7300"/>
      <c r="H2" s="7300"/>
      <c r="I2" s="7300"/>
      <c r="J2" s="7300"/>
      <c r="K2" s="7300"/>
      <c r="L2" s="7300"/>
      <c r="M2" s="7300"/>
      <c r="N2" s="7300"/>
      <c r="O2" s="7300"/>
    </row>
    <row r="3" spans="1:17" ht="23.25" customHeight="1" x14ac:dyDescent="0.2">
      <c r="A3" s="2160" t="s">
        <v>16</v>
      </c>
      <c r="B3" s="2160" t="s">
        <v>4</v>
      </c>
      <c r="C3" s="1514">
        <v>2004</v>
      </c>
      <c r="D3" s="1515">
        <v>2005</v>
      </c>
      <c r="E3" s="1516">
        <v>2006</v>
      </c>
      <c r="F3" s="1515">
        <v>2007</v>
      </c>
      <c r="G3" s="1515">
        <v>2008</v>
      </c>
      <c r="H3" s="1515">
        <v>2009</v>
      </c>
      <c r="I3" s="1517">
        <v>2009</v>
      </c>
      <c r="J3" s="1515">
        <v>2010</v>
      </c>
      <c r="K3" s="1515">
        <v>2011</v>
      </c>
      <c r="L3" s="1515">
        <v>2012</v>
      </c>
      <c r="M3" s="1515">
        <v>2013</v>
      </c>
      <c r="N3" s="1515">
        <v>2014</v>
      </c>
      <c r="O3" s="1515">
        <v>2015</v>
      </c>
      <c r="P3" s="1515">
        <v>2016</v>
      </c>
      <c r="Q3" s="1515">
        <v>2017</v>
      </c>
    </row>
    <row r="4" spans="1:17" ht="15.75" x14ac:dyDescent="0.25">
      <c r="A4" s="448"/>
      <c r="B4" s="448"/>
      <c r="C4" s="449"/>
      <c r="D4" s="448"/>
      <c r="E4" s="448"/>
      <c r="F4" s="448"/>
      <c r="G4" s="448"/>
      <c r="H4" s="448"/>
      <c r="I4" s="702"/>
      <c r="J4" s="448"/>
      <c r="K4" s="448"/>
      <c r="L4" s="448"/>
      <c r="M4" s="448"/>
      <c r="N4" s="448"/>
      <c r="O4" s="448"/>
      <c r="P4" s="448"/>
      <c r="Q4" s="448"/>
    </row>
    <row r="5" spans="1:17" ht="15" x14ac:dyDescent="0.25">
      <c r="A5" s="7248" t="s">
        <v>161</v>
      </c>
      <c r="B5" s="450" t="s">
        <v>5</v>
      </c>
      <c r="C5" s="451">
        <v>109</v>
      </c>
      <c r="D5" s="451">
        <v>113</v>
      </c>
      <c r="E5" s="451">
        <v>150</v>
      </c>
      <c r="F5" s="451">
        <v>147</v>
      </c>
      <c r="G5" s="451">
        <v>162</v>
      </c>
      <c r="H5" s="451">
        <v>182</v>
      </c>
      <c r="I5" s="703">
        <f>156</f>
        <v>156</v>
      </c>
      <c r="J5" s="451">
        <v>182</v>
      </c>
      <c r="K5" s="451">
        <v>167</v>
      </c>
      <c r="L5" s="451">
        <v>198</v>
      </c>
      <c r="M5" s="451">
        <v>214</v>
      </c>
      <c r="N5" s="451">
        <v>213</v>
      </c>
      <c r="O5" s="451">
        <v>191</v>
      </c>
      <c r="P5" s="451">
        <v>187</v>
      </c>
      <c r="Q5" s="451">
        <v>205</v>
      </c>
    </row>
    <row r="6" spans="1:17" ht="15" x14ac:dyDescent="0.25">
      <c r="A6" s="7249"/>
      <c r="B6" s="452" t="s">
        <v>6</v>
      </c>
      <c r="C6" s="451">
        <v>97</v>
      </c>
      <c r="D6" s="451">
        <v>110</v>
      </c>
      <c r="E6" s="451">
        <v>155</v>
      </c>
      <c r="F6" s="451">
        <v>159</v>
      </c>
      <c r="G6" s="451">
        <v>159</v>
      </c>
      <c r="H6" s="451">
        <v>171</v>
      </c>
      <c r="I6" s="703">
        <f>139</f>
        <v>139</v>
      </c>
      <c r="J6" s="451">
        <v>175</v>
      </c>
      <c r="K6" s="451">
        <v>167</v>
      </c>
      <c r="L6" s="451">
        <v>172</v>
      </c>
      <c r="M6" s="451">
        <v>182</v>
      </c>
      <c r="N6" s="451">
        <v>194</v>
      </c>
      <c r="O6" s="451">
        <v>174</v>
      </c>
      <c r="P6" s="451">
        <v>174</v>
      </c>
      <c r="Q6" s="451">
        <v>179</v>
      </c>
    </row>
    <row r="7" spans="1:17" ht="15" x14ac:dyDescent="0.25">
      <c r="A7" s="7249"/>
      <c r="B7" s="452" t="s">
        <v>7</v>
      </c>
      <c r="C7" s="451">
        <v>44</v>
      </c>
      <c r="D7" s="451">
        <v>53</v>
      </c>
      <c r="E7" s="451">
        <v>69</v>
      </c>
      <c r="F7" s="451">
        <v>70</v>
      </c>
      <c r="G7" s="451">
        <v>67</v>
      </c>
      <c r="H7" s="451">
        <v>79</v>
      </c>
      <c r="I7" s="703">
        <v>61</v>
      </c>
      <c r="J7" s="451">
        <v>90</v>
      </c>
      <c r="K7" s="451">
        <v>92</v>
      </c>
      <c r="L7" s="451">
        <v>103</v>
      </c>
      <c r="M7" s="451">
        <v>107</v>
      </c>
      <c r="N7" s="451">
        <v>108</v>
      </c>
      <c r="O7" s="451">
        <v>103</v>
      </c>
      <c r="P7" s="451">
        <v>106</v>
      </c>
      <c r="Q7" s="451">
        <v>117</v>
      </c>
    </row>
    <row r="8" spans="1:17" ht="15" x14ac:dyDescent="0.25">
      <c r="A8" s="7250"/>
      <c r="B8" s="2546" t="s">
        <v>12</v>
      </c>
      <c r="C8" s="2547">
        <f>SUM(C5:C7)</f>
        <v>250</v>
      </c>
      <c r="D8" s="2547">
        <f t="shared" ref="D8:M8" si="0">SUM(D5:D7)</f>
        <v>276</v>
      </c>
      <c r="E8" s="2547">
        <f t="shared" si="0"/>
        <v>374</v>
      </c>
      <c r="F8" s="2547">
        <f t="shared" si="0"/>
        <v>376</v>
      </c>
      <c r="G8" s="2547">
        <f t="shared" si="0"/>
        <v>388</v>
      </c>
      <c r="H8" s="2547">
        <f t="shared" si="0"/>
        <v>432</v>
      </c>
      <c r="I8" s="2547">
        <f t="shared" si="0"/>
        <v>356</v>
      </c>
      <c r="J8" s="2547">
        <f t="shared" si="0"/>
        <v>447</v>
      </c>
      <c r="K8" s="2547">
        <f t="shared" si="0"/>
        <v>426</v>
      </c>
      <c r="L8" s="2547">
        <f t="shared" si="0"/>
        <v>473</v>
      </c>
      <c r="M8" s="2547">
        <f t="shared" si="0"/>
        <v>503</v>
      </c>
      <c r="N8" s="2547">
        <f>SUM(N5:N7)</f>
        <v>515</v>
      </c>
      <c r="O8" s="2547">
        <f>SUM(O5:O7)</f>
        <v>468</v>
      </c>
      <c r="P8" s="2547">
        <f>SUM(P5:P7)</f>
        <v>467</v>
      </c>
      <c r="Q8" s="2547">
        <f>SUM(Q5:Q7)</f>
        <v>501</v>
      </c>
    </row>
    <row r="10" spans="1:17" ht="15" x14ac:dyDescent="0.25">
      <c r="A10" s="7251" t="s">
        <v>802</v>
      </c>
      <c r="B10" s="450" t="s">
        <v>6</v>
      </c>
      <c r="C10" s="454"/>
      <c r="D10" s="454">
        <v>6</v>
      </c>
      <c r="E10" s="454">
        <v>8</v>
      </c>
      <c r="F10" s="454">
        <v>24</v>
      </c>
      <c r="G10" s="454">
        <v>28</v>
      </c>
      <c r="H10" s="454">
        <v>32</v>
      </c>
      <c r="I10" s="705">
        <f>32</f>
        <v>32</v>
      </c>
      <c r="J10" s="454">
        <v>39</v>
      </c>
      <c r="K10" s="454">
        <v>43</v>
      </c>
      <c r="L10" s="454">
        <v>45</v>
      </c>
      <c r="M10" s="454">
        <v>45</v>
      </c>
      <c r="N10" s="454">
        <v>42</v>
      </c>
      <c r="O10" s="454">
        <v>34</v>
      </c>
      <c r="P10" s="454">
        <v>29</v>
      </c>
      <c r="Q10" s="454">
        <v>28</v>
      </c>
    </row>
    <row r="11" spans="1:17" ht="15" x14ac:dyDescent="0.25">
      <c r="A11" s="7252"/>
      <c r="B11" s="452" t="s">
        <v>9</v>
      </c>
      <c r="C11" s="451"/>
      <c r="D11" s="451">
        <v>4</v>
      </c>
      <c r="E11" s="451">
        <v>2</v>
      </c>
      <c r="F11" s="451">
        <v>7</v>
      </c>
      <c r="G11" s="451">
        <v>12</v>
      </c>
      <c r="H11" s="451">
        <v>15</v>
      </c>
      <c r="I11" s="703">
        <f>15</f>
        <v>15</v>
      </c>
      <c r="J11" s="451">
        <v>24</v>
      </c>
      <c r="K11" s="451">
        <v>28</v>
      </c>
      <c r="L11" s="451">
        <v>34</v>
      </c>
      <c r="M11" s="451">
        <v>32</v>
      </c>
      <c r="N11" s="451">
        <v>26</v>
      </c>
      <c r="O11" s="451">
        <v>34</v>
      </c>
      <c r="P11" s="451">
        <v>29</v>
      </c>
      <c r="Q11" s="451">
        <v>27</v>
      </c>
    </row>
    <row r="12" spans="1:17" ht="15" x14ac:dyDescent="0.25">
      <c r="A12" s="7252"/>
      <c r="B12" s="452" t="s">
        <v>74</v>
      </c>
      <c r="C12" s="455"/>
      <c r="D12" s="455">
        <v>1</v>
      </c>
      <c r="E12" s="455">
        <v>14</v>
      </c>
      <c r="F12" s="455">
        <v>16</v>
      </c>
      <c r="G12" s="455">
        <v>21</v>
      </c>
      <c r="H12" s="455">
        <v>23</v>
      </c>
      <c r="I12" s="706">
        <f>23</f>
        <v>23</v>
      </c>
      <c r="J12" s="455">
        <v>30</v>
      </c>
      <c r="K12" s="455">
        <v>39</v>
      </c>
      <c r="L12" s="455">
        <v>44</v>
      </c>
      <c r="M12" s="455">
        <v>47</v>
      </c>
      <c r="N12" s="455">
        <v>47</v>
      </c>
      <c r="O12" s="455">
        <v>46</v>
      </c>
      <c r="P12" s="455">
        <v>47</v>
      </c>
      <c r="Q12" s="455">
        <v>48</v>
      </c>
    </row>
    <row r="13" spans="1:17" ht="15" x14ac:dyDescent="0.25">
      <c r="A13" s="7253"/>
      <c r="B13" s="2544" t="s">
        <v>12</v>
      </c>
      <c r="C13" s="2545"/>
      <c r="D13" s="2545">
        <f>SUM(D10:D12)</f>
        <v>11</v>
      </c>
      <c r="E13" s="2545">
        <f t="shared" ref="E13:M13" si="1">SUM(E10:E12)</f>
        <v>24</v>
      </c>
      <c r="F13" s="2545">
        <f t="shared" si="1"/>
        <v>47</v>
      </c>
      <c r="G13" s="2545">
        <f t="shared" si="1"/>
        <v>61</v>
      </c>
      <c r="H13" s="2545">
        <f t="shared" si="1"/>
        <v>70</v>
      </c>
      <c r="I13" s="2545">
        <f t="shared" si="1"/>
        <v>70</v>
      </c>
      <c r="J13" s="2545">
        <f t="shared" si="1"/>
        <v>93</v>
      </c>
      <c r="K13" s="2545">
        <f t="shared" si="1"/>
        <v>110</v>
      </c>
      <c r="L13" s="2545">
        <f t="shared" si="1"/>
        <v>123</v>
      </c>
      <c r="M13" s="2545">
        <f t="shared" si="1"/>
        <v>124</v>
      </c>
      <c r="N13" s="2545">
        <f>SUM(N10:N12)</f>
        <v>115</v>
      </c>
      <c r="O13" s="2545">
        <f>SUM(O10:O12)</f>
        <v>114</v>
      </c>
      <c r="P13" s="2545">
        <f>SUM(P10:P12)</f>
        <v>105</v>
      </c>
      <c r="Q13" s="2545">
        <f>SUM(Q10:Q12)</f>
        <v>103</v>
      </c>
    </row>
    <row r="14" spans="1:17" ht="15" x14ac:dyDescent="0.25">
      <c r="A14" s="250"/>
      <c r="B14" s="453"/>
      <c r="C14" s="250"/>
      <c r="D14" s="250"/>
      <c r="E14" s="250"/>
      <c r="F14" s="250"/>
      <c r="G14" s="250"/>
      <c r="H14" s="250"/>
      <c r="I14" s="704"/>
      <c r="J14" s="250"/>
      <c r="K14" s="250"/>
      <c r="L14" s="250"/>
      <c r="M14" s="250"/>
      <c r="N14" s="250"/>
      <c r="O14" s="250"/>
      <c r="P14" s="250"/>
      <c r="Q14" s="250"/>
    </row>
    <row r="15" spans="1:17" ht="15" x14ac:dyDescent="0.25">
      <c r="A15" s="7256" t="s">
        <v>162</v>
      </c>
      <c r="B15" s="450" t="s">
        <v>5</v>
      </c>
      <c r="C15" s="454">
        <v>162</v>
      </c>
      <c r="D15" s="454">
        <v>172</v>
      </c>
      <c r="E15" s="454">
        <v>175</v>
      </c>
      <c r="F15" s="454">
        <v>159</v>
      </c>
      <c r="G15" s="454">
        <v>169</v>
      </c>
      <c r="H15" s="454">
        <v>178</v>
      </c>
      <c r="I15" s="705">
        <f>178</f>
        <v>178</v>
      </c>
      <c r="J15" s="454">
        <v>159</v>
      </c>
      <c r="K15" s="454">
        <v>159</v>
      </c>
      <c r="L15" s="454">
        <v>163</v>
      </c>
      <c r="M15" s="454">
        <v>172</v>
      </c>
      <c r="N15" s="454">
        <v>156</v>
      </c>
      <c r="O15" s="454">
        <v>109</v>
      </c>
      <c r="P15" s="454">
        <v>109</v>
      </c>
      <c r="Q15" s="454">
        <v>125</v>
      </c>
    </row>
    <row r="16" spans="1:17" ht="15" x14ac:dyDescent="0.25">
      <c r="A16" s="7257"/>
      <c r="B16" s="452" t="s">
        <v>6</v>
      </c>
      <c r="C16" s="451">
        <v>168</v>
      </c>
      <c r="D16" s="451">
        <v>139</v>
      </c>
      <c r="E16" s="451">
        <v>183</v>
      </c>
      <c r="F16" s="451">
        <v>169</v>
      </c>
      <c r="G16" s="451">
        <v>181</v>
      </c>
      <c r="H16" s="451">
        <v>195</v>
      </c>
      <c r="I16" s="703">
        <f>194+1</f>
        <v>195</v>
      </c>
      <c r="J16" s="451">
        <v>173</v>
      </c>
      <c r="K16" s="451">
        <v>156</v>
      </c>
      <c r="L16" s="451">
        <v>116</v>
      </c>
      <c r="M16" s="451">
        <v>123</v>
      </c>
      <c r="N16" s="451">
        <v>121</v>
      </c>
      <c r="O16" s="451">
        <v>96</v>
      </c>
      <c r="P16" s="451">
        <v>93</v>
      </c>
      <c r="Q16" s="451">
        <v>100</v>
      </c>
    </row>
    <row r="17" spans="1:20" ht="15" x14ac:dyDescent="0.25">
      <c r="A17" s="7257"/>
      <c r="B17" s="452" t="s">
        <v>11</v>
      </c>
      <c r="C17" s="455">
        <v>140</v>
      </c>
      <c r="D17" s="455">
        <v>181</v>
      </c>
      <c r="E17" s="455">
        <v>146</v>
      </c>
      <c r="F17" s="455">
        <v>139</v>
      </c>
      <c r="G17" s="455">
        <v>147</v>
      </c>
      <c r="H17" s="455">
        <v>152</v>
      </c>
      <c r="I17" s="706">
        <f>152</f>
        <v>152</v>
      </c>
      <c r="J17" s="455">
        <v>144</v>
      </c>
      <c r="K17" s="455">
        <v>143</v>
      </c>
      <c r="L17" s="455">
        <v>132</v>
      </c>
      <c r="M17" s="455">
        <v>135</v>
      </c>
      <c r="N17" s="455">
        <v>139</v>
      </c>
      <c r="O17" s="455">
        <v>126</v>
      </c>
      <c r="P17" s="455">
        <v>123</v>
      </c>
      <c r="Q17" s="455">
        <v>135</v>
      </c>
    </row>
    <row r="18" spans="1:20" ht="15" x14ac:dyDescent="0.25">
      <c r="A18" s="7258"/>
      <c r="B18" s="2542" t="s">
        <v>12</v>
      </c>
      <c r="C18" s="2543">
        <f>SUM(C15:C17)</f>
        <v>470</v>
      </c>
      <c r="D18" s="2543">
        <f t="shared" ref="D18:M18" si="2">SUM(D15:D17)</f>
        <v>492</v>
      </c>
      <c r="E18" s="2543">
        <f t="shared" si="2"/>
        <v>504</v>
      </c>
      <c r="F18" s="2543">
        <f t="shared" si="2"/>
        <v>467</v>
      </c>
      <c r="G18" s="2543">
        <f t="shared" si="2"/>
        <v>497</v>
      </c>
      <c r="H18" s="2543">
        <f t="shared" si="2"/>
        <v>525</v>
      </c>
      <c r="I18" s="2543">
        <f t="shared" si="2"/>
        <v>525</v>
      </c>
      <c r="J18" s="2543">
        <f t="shared" si="2"/>
        <v>476</v>
      </c>
      <c r="K18" s="2543">
        <f t="shared" si="2"/>
        <v>458</v>
      </c>
      <c r="L18" s="2543">
        <f t="shared" si="2"/>
        <v>411</v>
      </c>
      <c r="M18" s="2543">
        <f t="shared" si="2"/>
        <v>430</v>
      </c>
      <c r="N18" s="2543">
        <f>SUM(N15:N17)</f>
        <v>416</v>
      </c>
      <c r="O18" s="2543">
        <f>SUM(O15:O17)</f>
        <v>331</v>
      </c>
      <c r="P18" s="2543">
        <f>SUM(P15:P17)</f>
        <v>325</v>
      </c>
      <c r="Q18" s="2543">
        <f>SUM(Q15:Q17)</f>
        <v>360</v>
      </c>
    </row>
    <row r="20" spans="1:20" ht="15" x14ac:dyDescent="0.25">
      <c r="A20" s="7262" t="s">
        <v>408</v>
      </c>
      <c r="B20" s="450" t="s">
        <v>5</v>
      </c>
      <c r="C20" s="1673"/>
      <c r="D20" s="1674"/>
      <c r="E20" s="1674"/>
      <c r="F20" s="1674"/>
      <c r="G20" s="1674"/>
      <c r="H20" s="1674"/>
      <c r="I20" s="1675"/>
      <c r="J20" s="1674"/>
      <c r="K20" s="1674"/>
      <c r="L20" s="5586"/>
      <c r="M20" s="454">
        <v>4</v>
      </c>
      <c r="N20" s="454">
        <v>6</v>
      </c>
      <c r="O20" s="454">
        <v>8</v>
      </c>
      <c r="P20" s="454">
        <v>8</v>
      </c>
      <c r="Q20" s="454">
        <v>11</v>
      </c>
    </row>
    <row r="21" spans="1:20" ht="15" x14ac:dyDescent="0.25">
      <c r="A21" s="7263"/>
      <c r="B21" s="452" t="s">
        <v>6</v>
      </c>
      <c r="C21" s="1676"/>
      <c r="D21" s="1677"/>
      <c r="E21" s="1677"/>
      <c r="F21" s="1677"/>
      <c r="G21" s="1677"/>
      <c r="H21" s="1677"/>
      <c r="I21" s="1678"/>
      <c r="J21" s="1677"/>
      <c r="K21" s="1677"/>
      <c r="L21" s="451"/>
      <c r="M21" s="451">
        <v>1</v>
      </c>
      <c r="N21" s="451">
        <v>3</v>
      </c>
      <c r="O21" s="451">
        <v>9</v>
      </c>
      <c r="P21" s="451">
        <v>9</v>
      </c>
      <c r="Q21" s="451">
        <v>13</v>
      </c>
    </row>
    <row r="22" spans="1:20" ht="15" x14ac:dyDescent="0.25">
      <c r="A22" s="7263"/>
      <c r="B22" s="452" t="s">
        <v>11</v>
      </c>
      <c r="C22" s="1679"/>
      <c r="D22" s="1680"/>
      <c r="E22" s="1680"/>
      <c r="F22" s="1680"/>
      <c r="G22" s="1680"/>
      <c r="H22" s="1680"/>
      <c r="I22" s="1681"/>
      <c r="J22" s="1680"/>
      <c r="K22" s="1680"/>
      <c r="L22" s="455">
        <v>1</v>
      </c>
      <c r="M22" s="455">
        <v>5</v>
      </c>
      <c r="N22" s="455">
        <v>5</v>
      </c>
      <c r="O22" s="455">
        <v>9</v>
      </c>
      <c r="P22" s="455">
        <v>15</v>
      </c>
      <c r="Q22" s="455">
        <v>16</v>
      </c>
    </row>
    <row r="23" spans="1:20" ht="15" x14ac:dyDescent="0.25">
      <c r="A23" s="7264"/>
      <c r="B23" s="2538" t="s">
        <v>12</v>
      </c>
      <c r="C23" s="2539"/>
      <c r="D23" s="2540"/>
      <c r="E23" s="2540"/>
      <c r="F23" s="2540"/>
      <c r="G23" s="2540"/>
      <c r="H23" s="2540"/>
      <c r="I23" s="2540"/>
      <c r="J23" s="2540"/>
      <c r="K23" s="2540"/>
      <c r="L23" s="5587">
        <f t="shared" ref="L23:Q23" si="3">SUM(L20:L22)</f>
        <v>1</v>
      </c>
      <c r="M23" s="2541">
        <f t="shared" si="3"/>
        <v>10</v>
      </c>
      <c r="N23" s="2541">
        <f t="shared" si="3"/>
        <v>14</v>
      </c>
      <c r="O23" s="2541">
        <f t="shared" si="3"/>
        <v>26</v>
      </c>
      <c r="P23" s="2541">
        <f t="shared" si="3"/>
        <v>32</v>
      </c>
      <c r="Q23" s="2541">
        <f t="shared" si="3"/>
        <v>40</v>
      </c>
    </row>
    <row r="24" spans="1:20" ht="15" x14ac:dyDescent="0.25">
      <c r="A24" s="250"/>
      <c r="B24" s="453"/>
      <c r="C24" s="250"/>
      <c r="D24" s="250"/>
      <c r="E24" s="250"/>
      <c r="F24" s="250"/>
      <c r="G24" s="250"/>
      <c r="H24" s="250"/>
      <c r="I24" s="704"/>
      <c r="J24" s="250"/>
      <c r="K24" s="250"/>
      <c r="L24" s="250"/>
      <c r="M24" s="250"/>
      <c r="N24" s="250"/>
      <c r="O24" s="250"/>
      <c r="P24" s="250"/>
      <c r="Q24" s="250"/>
      <c r="T24" s="5418"/>
    </row>
    <row r="25" spans="1:20" ht="15" x14ac:dyDescent="0.25">
      <c r="A25" s="7259" t="s">
        <v>163</v>
      </c>
      <c r="B25" s="456" t="s">
        <v>6</v>
      </c>
      <c r="C25" s="454">
        <v>107</v>
      </c>
      <c r="D25" s="454">
        <v>150</v>
      </c>
      <c r="E25" s="454">
        <v>135</v>
      </c>
      <c r="F25" s="454">
        <v>122</v>
      </c>
      <c r="G25" s="454">
        <v>121</v>
      </c>
      <c r="H25" s="454">
        <v>143</v>
      </c>
      <c r="I25" s="705">
        <f>143</f>
        <v>143</v>
      </c>
      <c r="J25" s="454">
        <v>155</v>
      </c>
      <c r="K25" s="454">
        <v>154</v>
      </c>
      <c r="L25" s="454">
        <v>166</v>
      </c>
      <c r="M25" s="454">
        <v>165</v>
      </c>
      <c r="N25" s="454">
        <v>159</v>
      </c>
      <c r="O25" s="454">
        <v>143</v>
      </c>
      <c r="P25" s="454">
        <v>111</v>
      </c>
      <c r="Q25" s="454">
        <v>117</v>
      </c>
      <c r="T25" s="5418"/>
    </row>
    <row r="26" spans="1:20" ht="15" x14ac:dyDescent="0.25">
      <c r="A26" s="7260"/>
      <c r="B26" s="457" t="s">
        <v>11</v>
      </c>
      <c r="C26" s="451">
        <v>141</v>
      </c>
      <c r="D26" s="451">
        <v>119</v>
      </c>
      <c r="E26" s="451">
        <v>167</v>
      </c>
      <c r="F26" s="451">
        <v>154</v>
      </c>
      <c r="G26" s="451">
        <v>178</v>
      </c>
      <c r="H26" s="451">
        <v>190</v>
      </c>
      <c r="I26" s="703">
        <f>190</f>
        <v>190</v>
      </c>
      <c r="J26" s="451">
        <v>199</v>
      </c>
      <c r="K26" s="451">
        <v>185</v>
      </c>
      <c r="L26" s="451">
        <v>191</v>
      </c>
      <c r="M26" s="451">
        <v>195</v>
      </c>
      <c r="N26" s="451">
        <v>191</v>
      </c>
      <c r="O26" s="451">
        <v>187</v>
      </c>
      <c r="P26" s="451">
        <v>177</v>
      </c>
      <c r="Q26" s="451">
        <v>176</v>
      </c>
      <c r="T26" s="5418"/>
    </row>
    <row r="27" spans="1:20" ht="15" x14ac:dyDescent="0.25">
      <c r="A27" s="7260"/>
      <c r="B27" s="457" t="s">
        <v>7</v>
      </c>
      <c r="C27" s="455">
        <v>16</v>
      </c>
      <c r="D27" s="455">
        <v>18</v>
      </c>
      <c r="E27" s="455">
        <v>29</v>
      </c>
      <c r="F27" s="455">
        <v>24</v>
      </c>
      <c r="G27" s="455">
        <v>30</v>
      </c>
      <c r="H27" s="455">
        <v>36</v>
      </c>
      <c r="I27" s="706">
        <f>36</f>
        <v>36</v>
      </c>
      <c r="J27" s="455">
        <v>46</v>
      </c>
      <c r="K27" s="455">
        <v>41</v>
      </c>
      <c r="L27" s="455">
        <v>30</v>
      </c>
      <c r="M27" s="455">
        <v>37</v>
      </c>
      <c r="N27" s="455">
        <v>43</v>
      </c>
      <c r="O27" s="455">
        <v>41</v>
      </c>
      <c r="P27" s="455">
        <v>25</v>
      </c>
      <c r="Q27" s="455">
        <v>17</v>
      </c>
      <c r="T27" s="5585"/>
    </row>
    <row r="28" spans="1:20" ht="15" x14ac:dyDescent="0.25">
      <c r="A28" s="7261"/>
      <c r="B28" s="2536" t="s">
        <v>12</v>
      </c>
      <c r="C28" s="2537">
        <f>SUM(C25:C27)</f>
        <v>264</v>
      </c>
      <c r="D28" s="2537">
        <f t="shared" ref="D28:M28" si="4">SUM(D25:D27)</f>
        <v>287</v>
      </c>
      <c r="E28" s="2537">
        <f t="shared" si="4"/>
        <v>331</v>
      </c>
      <c r="F28" s="2537">
        <f t="shared" si="4"/>
        <v>300</v>
      </c>
      <c r="G28" s="2537">
        <f t="shared" si="4"/>
        <v>329</v>
      </c>
      <c r="H28" s="2537">
        <f t="shared" si="4"/>
        <v>369</v>
      </c>
      <c r="I28" s="2537">
        <f t="shared" si="4"/>
        <v>369</v>
      </c>
      <c r="J28" s="2537">
        <f t="shared" si="4"/>
        <v>400</v>
      </c>
      <c r="K28" s="2537">
        <f t="shared" si="4"/>
        <v>380</v>
      </c>
      <c r="L28" s="2537">
        <f t="shared" si="4"/>
        <v>387</v>
      </c>
      <c r="M28" s="2537">
        <f t="shared" si="4"/>
        <v>397</v>
      </c>
      <c r="N28" s="2537">
        <f>SUM(N25:N27)</f>
        <v>393</v>
      </c>
      <c r="O28" s="2537">
        <f>SUM(O25:O27)</f>
        <v>371</v>
      </c>
      <c r="P28" s="2537">
        <f>SUM(P25:P27)</f>
        <v>313</v>
      </c>
      <c r="Q28" s="2537">
        <f>SUM(Q25:Q27)</f>
        <v>310</v>
      </c>
    </row>
    <row r="29" spans="1:20" ht="15" x14ac:dyDescent="0.25">
      <c r="A29" s="250"/>
      <c r="B29" s="453"/>
      <c r="C29" s="250"/>
      <c r="D29" s="250"/>
      <c r="E29" s="250"/>
      <c r="F29" s="250"/>
      <c r="G29" s="250"/>
      <c r="H29" s="250"/>
      <c r="I29" s="704"/>
      <c r="J29" s="250"/>
      <c r="K29" s="250"/>
      <c r="L29" s="250"/>
      <c r="M29" s="250"/>
      <c r="N29" s="250"/>
      <c r="O29" s="250"/>
      <c r="P29" s="250"/>
      <c r="Q29" s="250"/>
    </row>
    <row r="30" spans="1:20" ht="15" x14ac:dyDescent="0.25">
      <c r="A30" s="6371" t="s">
        <v>60</v>
      </c>
      <c r="B30" s="458" t="s">
        <v>5</v>
      </c>
      <c r="C30" s="459">
        <f>SUM(C5,C15,C20)</f>
        <v>271</v>
      </c>
      <c r="D30" s="459">
        <f t="shared" ref="D30:M30" si="5">SUM(D5,D15,D20)</f>
        <v>285</v>
      </c>
      <c r="E30" s="459">
        <f t="shared" si="5"/>
        <v>325</v>
      </c>
      <c r="F30" s="459">
        <f t="shared" si="5"/>
        <v>306</v>
      </c>
      <c r="G30" s="459">
        <f t="shared" si="5"/>
        <v>331</v>
      </c>
      <c r="H30" s="459">
        <f t="shared" si="5"/>
        <v>360</v>
      </c>
      <c r="I30" s="459">
        <f t="shared" si="5"/>
        <v>334</v>
      </c>
      <c r="J30" s="459">
        <f t="shared" si="5"/>
        <v>341</v>
      </c>
      <c r="K30" s="459">
        <f t="shared" si="5"/>
        <v>326</v>
      </c>
      <c r="L30" s="459">
        <f t="shared" si="5"/>
        <v>361</v>
      </c>
      <c r="M30" s="459">
        <f t="shared" si="5"/>
        <v>390</v>
      </c>
      <c r="N30" s="459">
        <f>SUM(N5,N15,N20)</f>
        <v>375</v>
      </c>
      <c r="O30" s="459">
        <f>SUM(O5,O15,O20)</f>
        <v>308</v>
      </c>
      <c r="P30" s="459">
        <f>SUM(P5,P15,P20)</f>
        <v>304</v>
      </c>
      <c r="Q30" s="459">
        <f>SUM(Q5,Q15,Q20)</f>
        <v>341</v>
      </c>
    </row>
    <row r="31" spans="1:20" ht="15" x14ac:dyDescent="0.25">
      <c r="A31" s="6372"/>
      <c r="B31" s="460" t="s">
        <v>6</v>
      </c>
      <c r="C31" s="461">
        <f>SUM(C6,C10,C16,C21,C25)</f>
        <v>372</v>
      </c>
      <c r="D31" s="461">
        <f t="shared" ref="D31:M31" si="6">SUM(D6,D10,D16,D21,D25)</f>
        <v>405</v>
      </c>
      <c r="E31" s="461">
        <f t="shared" si="6"/>
        <v>481</v>
      </c>
      <c r="F31" s="461">
        <f t="shared" si="6"/>
        <v>474</v>
      </c>
      <c r="G31" s="461">
        <f t="shared" si="6"/>
        <v>489</v>
      </c>
      <c r="H31" s="461">
        <f t="shared" si="6"/>
        <v>541</v>
      </c>
      <c r="I31" s="461">
        <f t="shared" si="6"/>
        <v>509</v>
      </c>
      <c r="J31" s="461">
        <f t="shared" si="6"/>
        <v>542</v>
      </c>
      <c r="K31" s="461">
        <f t="shared" si="6"/>
        <v>520</v>
      </c>
      <c r="L31" s="461">
        <f t="shared" si="6"/>
        <v>499</v>
      </c>
      <c r="M31" s="461">
        <f t="shared" si="6"/>
        <v>516</v>
      </c>
      <c r="N31" s="461">
        <f>SUM(N6,N10,N16,N21,N25)</f>
        <v>519</v>
      </c>
      <c r="O31" s="461">
        <f>SUM(O6,O10,O16,O21,O25)</f>
        <v>456</v>
      </c>
      <c r="P31" s="461">
        <f>SUM(P6,P10,P16,P21,P25)</f>
        <v>416</v>
      </c>
      <c r="Q31" s="461">
        <f>SUM(Q6,Q10,Q16,Q21,Q25)</f>
        <v>437</v>
      </c>
    </row>
    <row r="32" spans="1:20" ht="15" x14ac:dyDescent="0.25">
      <c r="A32" s="6372"/>
      <c r="B32" s="460" t="s">
        <v>11</v>
      </c>
      <c r="C32" s="461">
        <f>SUM(C17,C22,C26)</f>
        <v>281</v>
      </c>
      <c r="D32" s="461">
        <f t="shared" ref="D32:M32" si="7">SUM(D17,D22,D26)</f>
        <v>300</v>
      </c>
      <c r="E32" s="461">
        <f t="shared" si="7"/>
        <v>313</v>
      </c>
      <c r="F32" s="461">
        <f t="shared" si="7"/>
        <v>293</v>
      </c>
      <c r="G32" s="461">
        <f t="shared" si="7"/>
        <v>325</v>
      </c>
      <c r="H32" s="461">
        <f t="shared" si="7"/>
        <v>342</v>
      </c>
      <c r="I32" s="461">
        <f t="shared" si="7"/>
        <v>342</v>
      </c>
      <c r="J32" s="461">
        <f t="shared" si="7"/>
        <v>343</v>
      </c>
      <c r="K32" s="461">
        <f t="shared" si="7"/>
        <v>328</v>
      </c>
      <c r="L32" s="461">
        <f t="shared" si="7"/>
        <v>324</v>
      </c>
      <c r="M32" s="461">
        <f t="shared" si="7"/>
        <v>335</v>
      </c>
      <c r="N32" s="461">
        <f>SUM(N17,N22,N26)</f>
        <v>335</v>
      </c>
      <c r="O32" s="461">
        <f>SUM(O17,O22,O26)</f>
        <v>322</v>
      </c>
      <c r="P32" s="461">
        <f>SUM(P17,P22,P26)</f>
        <v>315</v>
      </c>
      <c r="Q32" s="461">
        <f>SUM(Q17,Q22,Q26)</f>
        <v>327</v>
      </c>
    </row>
    <row r="33" spans="1:17" ht="15" x14ac:dyDescent="0.25">
      <c r="A33" s="6372"/>
      <c r="B33" s="460" t="s">
        <v>7</v>
      </c>
      <c r="C33" s="461">
        <f>SUM(C7,C27)</f>
        <v>60</v>
      </c>
      <c r="D33" s="461">
        <f t="shared" ref="D33:M33" si="8">SUM(D7,D27)</f>
        <v>71</v>
      </c>
      <c r="E33" s="461">
        <f t="shared" si="8"/>
        <v>98</v>
      </c>
      <c r="F33" s="461">
        <f t="shared" si="8"/>
        <v>94</v>
      </c>
      <c r="G33" s="461">
        <f t="shared" si="8"/>
        <v>97</v>
      </c>
      <c r="H33" s="461">
        <f t="shared" si="8"/>
        <v>115</v>
      </c>
      <c r="I33" s="461">
        <f t="shared" si="8"/>
        <v>97</v>
      </c>
      <c r="J33" s="461">
        <f t="shared" si="8"/>
        <v>136</v>
      </c>
      <c r="K33" s="461">
        <f t="shared" si="8"/>
        <v>133</v>
      </c>
      <c r="L33" s="461">
        <f t="shared" si="8"/>
        <v>133</v>
      </c>
      <c r="M33" s="461">
        <f t="shared" si="8"/>
        <v>144</v>
      </c>
      <c r="N33" s="461">
        <f>SUM(N7,N27)</f>
        <v>151</v>
      </c>
      <c r="O33" s="461">
        <f>SUM(O7,O27)</f>
        <v>144</v>
      </c>
      <c r="P33" s="461">
        <f>SUM(P7,P27)</f>
        <v>131</v>
      </c>
      <c r="Q33" s="461">
        <f>SUM(Q7,Q27)</f>
        <v>134</v>
      </c>
    </row>
    <row r="34" spans="1:17" ht="15" x14ac:dyDescent="0.25">
      <c r="A34" s="6372"/>
      <c r="B34" s="460" t="s">
        <v>9</v>
      </c>
      <c r="C34" s="461">
        <f>SUM(C11)</f>
        <v>0</v>
      </c>
      <c r="D34" s="461">
        <f t="shared" ref="D34:M34" si="9">SUM(D11)</f>
        <v>4</v>
      </c>
      <c r="E34" s="461">
        <f t="shared" si="9"/>
        <v>2</v>
      </c>
      <c r="F34" s="461">
        <f t="shared" si="9"/>
        <v>7</v>
      </c>
      <c r="G34" s="461">
        <f t="shared" si="9"/>
        <v>12</v>
      </c>
      <c r="H34" s="461">
        <f t="shared" si="9"/>
        <v>15</v>
      </c>
      <c r="I34" s="461">
        <f t="shared" si="9"/>
        <v>15</v>
      </c>
      <c r="J34" s="461">
        <f t="shared" si="9"/>
        <v>24</v>
      </c>
      <c r="K34" s="461">
        <f t="shared" si="9"/>
        <v>28</v>
      </c>
      <c r="L34" s="461">
        <f t="shared" si="9"/>
        <v>34</v>
      </c>
      <c r="M34" s="461">
        <f t="shared" si="9"/>
        <v>32</v>
      </c>
      <c r="N34" s="461">
        <f t="shared" ref="N34:P35" si="10">SUM(N11)</f>
        <v>26</v>
      </c>
      <c r="O34" s="461">
        <f t="shared" si="10"/>
        <v>34</v>
      </c>
      <c r="P34" s="461">
        <f t="shared" si="10"/>
        <v>29</v>
      </c>
      <c r="Q34" s="461">
        <f t="shared" ref="Q34" si="11">SUM(Q11)</f>
        <v>27</v>
      </c>
    </row>
    <row r="35" spans="1:17" ht="15" x14ac:dyDescent="0.25">
      <c r="A35" s="6372"/>
      <c r="B35" s="462" t="s">
        <v>74</v>
      </c>
      <c r="C35" s="463">
        <f>SUM(C12)</f>
        <v>0</v>
      </c>
      <c r="D35" s="463">
        <f t="shared" ref="D35:M35" si="12">SUM(D12)</f>
        <v>1</v>
      </c>
      <c r="E35" s="463">
        <f t="shared" si="12"/>
        <v>14</v>
      </c>
      <c r="F35" s="463">
        <f t="shared" si="12"/>
        <v>16</v>
      </c>
      <c r="G35" s="463">
        <f t="shared" si="12"/>
        <v>21</v>
      </c>
      <c r="H35" s="463">
        <f t="shared" si="12"/>
        <v>23</v>
      </c>
      <c r="I35" s="463">
        <f t="shared" si="12"/>
        <v>23</v>
      </c>
      <c r="J35" s="463">
        <f t="shared" si="12"/>
        <v>30</v>
      </c>
      <c r="K35" s="463">
        <f t="shared" si="12"/>
        <v>39</v>
      </c>
      <c r="L35" s="463">
        <f t="shared" si="12"/>
        <v>44</v>
      </c>
      <c r="M35" s="463">
        <f t="shared" si="12"/>
        <v>47</v>
      </c>
      <c r="N35" s="463">
        <f t="shared" si="10"/>
        <v>47</v>
      </c>
      <c r="O35" s="463">
        <f t="shared" si="10"/>
        <v>46</v>
      </c>
      <c r="P35" s="463">
        <f t="shared" si="10"/>
        <v>47</v>
      </c>
      <c r="Q35" s="463">
        <f t="shared" ref="Q35" si="13">SUM(Q12)</f>
        <v>48</v>
      </c>
    </row>
    <row r="36" spans="1:17" ht="15" x14ac:dyDescent="0.25">
      <c r="A36" s="6373"/>
      <c r="B36" s="695" t="s">
        <v>12</v>
      </c>
      <c r="C36" s="696">
        <f>SUM(C30:C35)</f>
        <v>984</v>
      </c>
      <c r="D36" s="696">
        <f t="shared" ref="D36:M36" si="14">SUM(D30:D35)</f>
        <v>1066</v>
      </c>
      <c r="E36" s="696">
        <f t="shared" si="14"/>
        <v>1233</v>
      </c>
      <c r="F36" s="696">
        <f t="shared" si="14"/>
        <v>1190</v>
      </c>
      <c r="G36" s="696">
        <f t="shared" si="14"/>
        <v>1275</v>
      </c>
      <c r="H36" s="696">
        <f t="shared" si="14"/>
        <v>1396</v>
      </c>
      <c r="I36" s="696">
        <f t="shared" si="14"/>
        <v>1320</v>
      </c>
      <c r="J36" s="696">
        <f t="shared" si="14"/>
        <v>1416</v>
      </c>
      <c r="K36" s="696">
        <f t="shared" si="14"/>
        <v>1374</v>
      </c>
      <c r="L36" s="696">
        <f t="shared" si="14"/>
        <v>1395</v>
      </c>
      <c r="M36" s="696">
        <f t="shared" si="14"/>
        <v>1464</v>
      </c>
      <c r="N36" s="696">
        <f>SUM(N30:N35)</f>
        <v>1453</v>
      </c>
      <c r="O36" s="696">
        <f>SUM(O30:O35)</f>
        <v>1310</v>
      </c>
      <c r="P36" s="696">
        <f>SUM(P30:P35)</f>
        <v>1242</v>
      </c>
      <c r="Q36" s="696">
        <f>SUM(Q30:Q35)</f>
        <v>1314</v>
      </c>
    </row>
    <row r="37" spans="1:17" x14ac:dyDescent="0.2">
      <c r="A37" s="2206" t="s">
        <v>353</v>
      </c>
      <c r="B37" s="3734"/>
      <c r="C37" s="3734"/>
      <c r="D37" s="434"/>
      <c r="E37" s="434"/>
      <c r="F37" s="434"/>
      <c r="G37" s="435"/>
      <c r="H37" s="192"/>
      <c r="I37" s="192"/>
      <c r="J37" s="192"/>
    </row>
    <row r="38" spans="1:17" ht="12.75" customHeight="1" x14ac:dyDescent="0.2">
      <c r="B38" s="192"/>
      <c r="C38" s="192"/>
      <c r="D38" s="192"/>
      <c r="E38" s="192"/>
      <c r="F38" s="192"/>
      <c r="G38" s="192"/>
      <c r="H38" s="192"/>
      <c r="I38" s="747" t="s">
        <v>351</v>
      </c>
      <c r="J38" s="747"/>
      <c r="M38" s="10"/>
    </row>
    <row r="39" spans="1:17" x14ac:dyDescent="0.2">
      <c r="A39" s="746"/>
      <c r="I39" s="747"/>
      <c r="J39" s="747"/>
    </row>
    <row r="40" spans="1:17" x14ac:dyDescent="0.2">
      <c r="I40" s="747"/>
      <c r="J40" s="747"/>
    </row>
    <row r="71" spans="4:4" hidden="1" x14ac:dyDescent="0.2"/>
    <row r="72" spans="4:4" hidden="1" x14ac:dyDescent="0.2"/>
    <row r="73" spans="4:4" hidden="1" x14ac:dyDescent="0.2"/>
    <row r="74" spans="4:4" hidden="1" x14ac:dyDescent="0.2">
      <c r="D74" s="192" t="s">
        <v>161</v>
      </c>
    </row>
    <row r="75" spans="4:4" hidden="1" x14ac:dyDescent="0.2">
      <c r="D75" s="192" t="s">
        <v>407</v>
      </c>
    </row>
    <row r="76" spans="4:4" hidden="1" x14ac:dyDescent="0.2">
      <c r="D76" s="192" t="s">
        <v>162</v>
      </c>
    </row>
    <row r="77" spans="4:4" hidden="1" x14ac:dyDescent="0.2">
      <c r="D77" s="192" t="s">
        <v>408</v>
      </c>
    </row>
    <row r="78" spans="4:4" hidden="1" x14ac:dyDescent="0.2">
      <c r="D78" s="192" t="s">
        <v>163</v>
      </c>
    </row>
    <row r="79" spans="4:4" hidden="1" x14ac:dyDescent="0.2"/>
    <row r="80" spans="4:4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</sheetData>
  <sheetProtection algorithmName="SHA-512" hashValue="3t+A13hAwjGxZ9JtOwNQyd82GDqo2wAW8dCUoKSS5C0Ehs3L0LA40EWuEKawIqWS2l5UbfroY0t1+Hhn4Url3A==" saltValue="++jCGMiXrx/3135pFsqSJA==" spinCount="100000" sheet="1" objects="1" scenarios="1"/>
  <mergeCells count="7">
    <mergeCell ref="A2:O2"/>
    <mergeCell ref="A30:A36"/>
    <mergeCell ref="A20:A23"/>
    <mergeCell ref="A5:A8"/>
    <mergeCell ref="A10:A13"/>
    <mergeCell ref="A15:A18"/>
    <mergeCell ref="A25:A28"/>
  </mergeCells>
  <printOptions horizontalCentered="1" verticalCentered="1"/>
  <pageMargins left="0.70866141732283472" right="0.70866141732283472" top="0.35433070866141736" bottom="0.35433070866141736" header="0.31496062992125984" footer="0.31496062992125984"/>
  <pageSetup scale="66" orientation="landscape" r:id="rId1"/>
  <rowBreaks count="1" manualBreakCount="1">
    <brk id="38" max="16" man="1"/>
  </rowBreaks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CM74"/>
  <sheetViews>
    <sheetView showGridLines="0" zoomScaleNormal="100" zoomScaleSheetLayoutView="70" workbookViewId="0">
      <pane xSplit="1" ySplit="6" topLeftCell="BF7" activePane="bottomRight" state="frozen"/>
      <selection sqref="A1:E1"/>
      <selection pane="topRight" sqref="A1:E1"/>
      <selection pane="bottomLeft" sqref="A1:E1"/>
      <selection pane="bottomRight" activeCell="BE67" sqref="BE67"/>
    </sheetView>
  </sheetViews>
  <sheetFormatPr baseColWidth="10" defaultRowHeight="12.75" x14ac:dyDescent="0.2"/>
  <cols>
    <col min="1" max="1" width="20.42578125" style="89" customWidth="1"/>
    <col min="2" max="16" width="6.28515625" style="89" customWidth="1"/>
    <col min="17" max="35" width="6.28515625" style="23" customWidth="1"/>
    <col min="36" max="36" width="6.28515625" style="33" customWidth="1"/>
    <col min="37" max="40" width="6.28515625" style="23" customWidth="1"/>
    <col min="41" max="41" width="6.28515625" style="33" customWidth="1"/>
    <col min="42" max="70" width="6.28515625" style="23" customWidth="1"/>
    <col min="71" max="71" width="7.28515625" style="23" bestFit="1" customWidth="1"/>
    <col min="72" max="75" width="6.28515625" style="23" customWidth="1"/>
    <col min="76" max="76" width="7.28515625" style="23" bestFit="1" customWidth="1"/>
    <col min="77" max="80" width="6.28515625" style="23" customWidth="1"/>
    <col min="81" max="81" width="7.28515625" style="23" bestFit="1" customWidth="1"/>
    <col min="82" max="85" width="6.28515625" style="23" customWidth="1"/>
    <col min="86" max="86" width="7.28515625" style="23" bestFit="1" customWidth="1"/>
    <col min="87" max="90" width="6.28515625" style="23" customWidth="1"/>
    <col min="91" max="91" width="7.28515625" style="23" bestFit="1" customWidth="1"/>
    <col min="92" max="16384" width="11.42578125" style="23"/>
  </cols>
  <sheetData>
    <row r="1" spans="1:91" ht="31.5" x14ac:dyDescent="0.2">
      <c r="A1" s="3735" t="s">
        <v>344</v>
      </c>
      <c r="C1" s="2203"/>
      <c r="D1" s="2203"/>
      <c r="E1" s="2203"/>
      <c r="F1" s="2203"/>
      <c r="G1" s="2203"/>
      <c r="H1" s="2203"/>
      <c r="I1" s="2203"/>
      <c r="J1" s="2203"/>
      <c r="K1" s="2203"/>
      <c r="L1" s="2203"/>
      <c r="M1" s="2203"/>
      <c r="N1" s="2203"/>
      <c r="O1" s="2203"/>
      <c r="P1" s="2203"/>
      <c r="Q1" s="2203"/>
      <c r="R1" s="2203"/>
      <c r="S1" s="2203"/>
      <c r="T1" s="2203"/>
      <c r="U1" s="2203"/>
      <c r="V1" s="2203"/>
      <c r="W1" s="2203"/>
      <c r="X1" s="2203"/>
      <c r="Y1" s="2203"/>
      <c r="Z1" s="2203"/>
      <c r="AA1" s="2203"/>
      <c r="AB1" s="2203"/>
      <c r="AC1" s="2203"/>
      <c r="AD1" s="2203"/>
      <c r="AE1" s="2203"/>
      <c r="AF1" s="2203"/>
      <c r="AG1" s="2203"/>
      <c r="AH1" s="2203"/>
      <c r="AI1" s="2203"/>
      <c r="AJ1" s="2203"/>
      <c r="AK1" s="2203"/>
      <c r="AL1" s="2203"/>
      <c r="AM1" s="2203"/>
      <c r="AN1" s="2203"/>
      <c r="AO1" s="2203"/>
      <c r="AP1" s="2203"/>
      <c r="AQ1" s="2203"/>
      <c r="AR1" s="2203"/>
      <c r="AS1" s="2203"/>
      <c r="AT1" s="2203"/>
      <c r="AU1" s="2203"/>
      <c r="AV1" s="2203"/>
      <c r="AW1" s="2203"/>
      <c r="AX1" s="2203"/>
      <c r="AY1" s="2203"/>
      <c r="AZ1" s="2203"/>
      <c r="BA1" s="2203"/>
      <c r="BB1" s="2203"/>
      <c r="BC1" s="2203"/>
      <c r="BD1" s="2203"/>
    </row>
    <row r="2" spans="1:91" ht="14.25" x14ac:dyDescent="0.2">
      <c r="A2" s="440"/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124"/>
      <c r="S2" s="124"/>
      <c r="T2" s="440"/>
      <c r="U2" s="124"/>
      <c r="V2" s="440"/>
      <c r="W2" s="124"/>
      <c r="X2" s="124"/>
      <c r="Y2" s="440"/>
      <c r="Z2" s="124"/>
      <c r="AA2" s="440"/>
      <c r="AB2" s="124"/>
      <c r="AC2" s="124"/>
      <c r="AD2" s="440"/>
      <c r="AE2" s="124"/>
      <c r="AF2" s="32"/>
      <c r="AG2" s="32"/>
      <c r="AH2" s="32"/>
      <c r="AI2" s="32"/>
      <c r="AJ2" s="125"/>
      <c r="AT2" s="1"/>
    </row>
    <row r="3" spans="1:91" ht="15.75" x14ac:dyDescent="0.2">
      <c r="A3" s="7308" t="s">
        <v>164</v>
      </c>
      <c r="B3" s="7311">
        <v>2000</v>
      </c>
      <c r="C3" s="7303"/>
      <c r="D3" s="7303"/>
      <c r="E3" s="7303"/>
      <c r="F3" s="7303"/>
      <c r="G3" s="7311">
        <v>2001</v>
      </c>
      <c r="H3" s="7303"/>
      <c r="I3" s="7303"/>
      <c r="J3" s="7303"/>
      <c r="K3" s="7303"/>
      <c r="L3" s="7311">
        <v>2002</v>
      </c>
      <c r="M3" s="7303"/>
      <c r="N3" s="7303"/>
      <c r="O3" s="7303"/>
      <c r="P3" s="7303"/>
      <c r="Q3" s="7311">
        <v>2003</v>
      </c>
      <c r="R3" s="7303"/>
      <c r="S3" s="7303"/>
      <c r="T3" s="7303"/>
      <c r="U3" s="7303"/>
      <c r="V3" s="7303">
        <v>2004</v>
      </c>
      <c r="W3" s="7303"/>
      <c r="X3" s="7303"/>
      <c r="Y3" s="7303"/>
      <c r="Z3" s="7303"/>
      <c r="AA3" s="7303">
        <v>2005</v>
      </c>
      <c r="AB3" s="7303"/>
      <c r="AC3" s="7303"/>
      <c r="AD3" s="7303"/>
      <c r="AE3" s="7303"/>
      <c r="AF3" s="7303">
        <v>2006</v>
      </c>
      <c r="AG3" s="7303"/>
      <c r="AH3" s="7303"/>
      <c r="AI3" s="7303"/>
      <c r="AJ3" s="7303"/>
      <c r="AK3" s="7303">
        <v>2007</v>
      </c>
      <c r="AL3" s="7303"/>
      <c r="AM3" s="7303"/>
      <c r="AN3" s="7303"/>
      <c r="AO3" s="7303"/>
      <c r="AP3" s="7303">
        <v>2008</v>
      </c>
      <c r="AQ3" s="7303"/>
      <c r="AR3" s="7303"/>
      <c r="AS3" s="7303"/>
      <c r="AT3" s="7303"/>
      <c r="AU3" s="7303">
        <v>2009</v>
      </c>
      <c r="AV3" s="7303"/>
      <c r="AW3" s="7303"/>
      <c r="AX3" s="7303"/>
      <c r="AY3" s="7303"/>
      <c r="AZ3" s="7303">
        <v>2010</v>
      </c>
      <c r="BA3" s="7303"/>
      <c r="BB3" s="7303"/>
      <c r="BC3" s="7303"/>
      <c r="BD3" s="7303"/>
      <c r="BE3" s="7303">
        <v>2011</v>
      </c>
      <c r="BF3" s="7303"/>
      <c r="BG3" s="7303"/>
      <c r="BH3" s="7303"/>
      <c r="BI3" s="7303"/>
      <c r="BJ3" s="7303">
        <v>2012</v>
      </c>
      <c r="BK3" s="7303"/>
      <c r="BL3" s="7303"/>
      <c r="BM3" s="7303"/>
      <c r="BN3" s="7303"/>
      <c r="BO3" s="7303">
        <v>2013</v>
      </c>
      <c r="BP3" s="7303"/>
      <c r="BQ3" s="7303"/>
      <c r="BR3" s="7303"/>
      <c r="BS3" s="7303"/>
      <c r="BT3" s="7303">
        <v>2014</v>
      </c>
      <c r="BU3" s="7303"/>
      <c r="BV3" s="7303"/>
      <c r="BW3" s="7303"/>
      <c r="BX3" s="7303"/>
      <c r="BY3" s="7303">
        <v>2015</v>
      </c>
      <c r="BZ3" s="7303"/>
      <c r="CA3" s="7303"/>
      <c r="CB3" s="7303"/>
      <c r="CC3" s="7303"/>
      <c r="CD3" s="7303">
        <v>2016</v>
      </c>
      <c r="CE3" s="7303"/>
      <c r="CF3" s="7303"/>
      <c r="CG3" s="7303"/>
      <c r="CH3" s="7303"/>
      <c r="CI3" s="7303">
        <v>2017</v>
      </c>
      <c r="CJ3" s="7303"/>
      <c r="CK3" s="7303"/>
      <c r="CL3" s="7303"/>
      <c r="CM3" s="7303"/>
    </row>
    <row r="4" spans="1:91" ht="12.75" customHeight="1" x14ac:dyDescent="0.2">
      <c r="A4" s="7309"/>
      <c r="B4" s="7304" t="s">
        <v>672</v>
      </c>
      <c r="C4" s="7305"/>
      <c r="D4" s="7305"/>
      <c r="E4" s="7306"/>
      <c r="F4" s="6711" t="s">
        <v>160</v>
      </c>
      <c r="G4" s="7304" t="s">
        <v>672</v>
      </c>
      <c r="H4" s="7305"/>
      <c r="I4" s="7305"/>
      <c r="J4" s="7306"/>
      <c r="K4" s="6711" t="s">
        <v>160</v>
      </c>
      <c r="L4" s="7304" t="s">
        <v>672</v>
      </c>
      <c r="M4" s="7305"/>
      <c r="N4" s="7305"/>
      <c r="O4" s="7306"/>
      <c r="P4" s="6711" t="s">
        <v>160</v>
      </c>
      <c r="Q4" s="7304" t="s">
        <v>672</v>
      </c>
      <c r="R4" s="7305"/>
      <c r="S4" s="7305"/>
      <c r="T4" s="7306"/>
      <c r="U4" s="6711" t="s">
        <v>160</v>
      </c>
      <c r="V4" s="7304" t="s">
        <v>672</v>
      </c>
      <c r="W4" s="7305"/>
      <c r="X4" s="7305"/>
      <c r="Y4" s="7306"/>
      <c r="Z4" s="6711" t="s">
        <v>160</v>
      </c>
      <c r="AA4" s="7304" t="s">
        <v>672</v>
      </c>
      <c r="AB4" s="7305"/>
      <c r="AC4" s="7305"/>
      <c r="AD4" s="7306"/>
      <c r="AE4" s="6711" t="s">
        <v>160</v>
      </c>
      <c r="AF4" s="7304" t="s">
        <v>672</v>
      </c>
      <c r="AG4" s="7305"/>
      <c r="AH4" s="7305"/>
      <c r="AI4" s="7306"/>
      <c r="AJ4" s="6711" t="s">
        <v>160</v>
      </c>
      <c r="AK4" s="7304" t="s">
        <v>672</v>
      </c>
      <c r="AL4" s="7305"/>
      <c r="AM4" s="7305"/>
      <c r="AN4" s="7306"/>
      <c r="AO4" s="6711" t="s">
        <v>160</v>
      </c>
      <c r="AP4" s="7304" t="s">
        <v>672</v>
      </c>
      <c r="AQ4" s="7305"/>
      <c r="AR4" s="7305"/>
      <c r="AS4" s="7306"/>
      <c r="AT4" s="6711" t="s">
        <v>160</v>
      </c>
      <c r="AU4" s="7304" t="s">
        <v>672</v>
      </c>
      <c r="AV4" s="7305"/>
      <c r="AW4" s="7305"/>
      <c r="AX4" s="7306"/>
      <c r="AY4" s="6711" t="s">
        <v>160</v>
      </c>
      <c r="AZ4" s="7304" t="s">
        <v>672</v>
      </c>
      <c r="BA4" s="7305"/>
      <c r="BB4" s="7305"/>
      <c r="BC4" s="7306"/>
      <c r="BD4" s="6711" t="s">
        <v>160</v>
      </c>
      <c r="BE4" s="7304" t="s">
        <v>672</v>
      </c>
      <c r="BF4" s="7305"/>
      <c r="BG4" s="7305"/>
      <c r="BH4" s="7306"/>
      <c r="BI4" s="6711" t="s">
        <v>160</v>
      </c>
      <c r="BJ4" s="7304" t="s">
        <v>672</v>
      </c>
      <c r="BK4" s="7305"/>
      <c r="BL4" s="7305"/>
      <c r="BM4" s="7306"/>
      <c r="BN4" s="6711" t="s">
        <v>160</v>
      </c>
      <c r="BO4" s="7304" t="s">
        <v>672</v>
      </c>
      <c r="BP4" s="7305"/>
      <c r="BQ4" s="7305"/>
      <c r="BR4" s="7306"/>
      <c r="BS4" s="6711" t="s">
        <v>160</v>
      </c>
      <c r="BT4" s="7304" t="s">
        <v>672</v>
      </c>
      <c r="BU4" s="7305"/>
      <c r="BV4" s="7305"/>
      <c r="BW4" s="7306"/>
      <c r="BX4" s="6711" t="s">
        <v>160</v>
      </c>
      <c r="BY4" s="7304" t="s">
        <v>672</v>
      </c>
      <c r="BZ4" s="7305"/>
      <c r="CA4" s="7305"/>
      <c r="CB4" s="7306"/>
      <c r="CC4" s="6711" t="s">
        <v>160</v>
      </c>
      <c r="CD4" s="7304" t="s">
        <v>672</v>
      </c>
      <c r="CE4" s="7305"/>
      <c r="CF4" s="7305"/>
      <c r="CG4" s="7306"/>
      <c r="CH4" s="6711" t="s">
        <v>160</v>
      </c>
      <c r="CI4" s="7304" t="s">
        <v>672</v>
      </c>
      <c r="CJ4" s="7305"/>
      <c r="CK4" s="7305"/>
      <c r="CL4" s="7306"/>
      <c r="CM4" s="6711" t="s">
        <v>160</v>
      </c>
    </row>
    <row r="5" spans="1:91" ht="15" x14ac:dyDescent="0.2">
      <c r="A5" s="7310"/>
      <c r="B5" s="3772" t="s">
        <v>145</v>
      </c>
      <c r="C5" s="3771">
        <v>1</v>
      </c>
      <c r="D5" s="3771">
        <v>2</v>
      </c>
      <c r="E5" s="3773">
        <v>3</v>
      </c>
      <c r="F5" s="7307"/>
      <c r="G5" s="3772" t="s">
        <v>145</v>
      </c>
      <c r="H5" s="3771">
        <v>1</v>
      </c>
      <c r="I5" s="3771">
        <v>2</v>
      </c>
      <c r="J5" s="3773">
        <v>3</v>
      </c>
      <c r="K5" s="7307"/>
      <c r="L5" s="3772" t="s">
        <v>145</v>
      </c>
      <c r="M5" s="3771">
        <v>1</v>
      </c>
      <c r="N5" s="3771">
        <v>2</v>
      </c>
      <c r="O5" s="3773">
        <v>3</v>
      </c>
      <c r="P5" s="7307"/>
      <c r="Q5" s="3772" t="s">
        <v>145</v>
      </c>
      <c r="R5" s="3771">
        <v>1</v>
      </c>
      <c r="S5" s="3771">
        <v>2</v>
      </c>
      <c r="T5" s="3773">
        <v>3</v>
      </c>
      <c r="U5" s="7307"/>
      <c r="V5" s="3772" t="s">
        <v>145</v>
      </c>
      <c r="W5" s="3771">
        <v>1</v>
      </c>
      <c r="X5" s="3771">
        <v>2</v>
      </c>
      <c r="Y5" s="3773">
        <v>3</v>
      </c>
      <c r="Z5" s="7307"/>
      <c r="AA5" s="3772" t="s">
        <v>145</v>
      </c>
      <c r="AB5" s="3771">
        <v>1</v>
      </c>
      <c r="AC5" s="3771">
        <v>2</v>
      </c>
      <c r="AD5" s="3773">
        <v>3</v>
      </c>
      <c r="AE5" s="7307"/>
      <c r="AF5" s="3772" t="s">
        <v>145</v>
      </c>
      <c r="AG5" s="3771">
        <v>1</v>
      </c>
      <c r="AH5" s="3771">
        <v>2</v>
      </c>
      <c r="AI5" s="3773">
        <v>3</v>
      </c>
      <c r="AJ5" s="7307"/>
      <c r="AK5" s="3772" t="s">
        <v>145</v>
      </c>
      <c r="AL5" s="3771">
        <v>1</v>
      </c>
      <c r="AM5" s="3771">
        <v>2</v>
      </c>
      <c r="AN5" s="3773">
        <v>3</v>
      </c>
      <c r="AO5" s="7307"/>
      <c r="AP5" s="3772" t="s">
        <v>145</v>
      </c>
      <c r="AQ5" s="3771">
        <v>1</v>
      </c>
      <c r="AR5" s="3771">
        <v>2</v>
      </c>
      <c r="AS5" s="3773">
        <v>3</v>
      </c>
      <c r="AT5" s="7307"/>
      <c r="AU5" s="3772" t="s">
        <v>145</v>
      </c>
      <c r="AV5" s="3771">
        <v>1</v>
      </c>
      <c r="AW5" s="3771">
        <v>2</v>
      </c>
      <c r="AX5" s="3773">
        <v>3</v>
      </c>
      <c r="AY5" s="7307"/>
      <c r="AZ5" s="3772" t="s">
        <v>145</v>
      </c>
      <c r="BA5" s="3771">
        <v>1</v>
      </c>
      <c r="BB5" s="3771">
        <v>2</v>
      </c>
      <c r="BC5" s="3773">
        <v>3</v>
      </c>
      <c r="BD5" s="7307"/>
      <c r="BE5" s="3772" t="s">
        <v>145</v>
      </c>
      <c r="BF5" s="3771">
        <v>1</v>
      </c>
      <c r="BG5" s="3771">
        <v>2</v>
      </c>
      <c r="BH5" s="3773">
        <v>3</v>
      </c>
      <c r="BI5" s="7307"/>
      <c r="BJ5" s="3772" t="s">
        <v>145</v>
      </c>
      <c r="BK5" s="3771">
        <v>1</v>
      </c>
      <c r="BL5" s="3771">
        <v>2</v>
      </c>
      <c r="BM5" s="3773">
        <v>3</v>
      </c>
      <c r="BN5" s="7307"/>
      <c r="BO5" s="3772" t="s">
        <v>145</v>
      </c>
      <c r="BP5" s="3771">
        <v>1</v>
      </c>
      <c r="BQ5" s="3771">
        <v>2</v>
      </c>
      <c r="BR5" s="3773">
        <v>3</v>
      </c>
      <c r="BS5" s="7307"/>
      <c r="BT5" s="3772" t="s">
        <v>145</v>
      </c>
      <c r="BU5" s="3771">
        <v>1</v>
      </c>
      <c r="BV5" s="3771">
        <v>2</v>
      </c>
      <c r="BW5" s="3773">
        <v>3</v>
      </c>
      <c r="BX5" s="7307"/>
      <c r="BY5" s="3772" t="s">
        <v>145</v>
      </c>
      <c r="BZ5" s="3771">
        <v>1</v>
      </c>
      <c r="CA5" s="3771">
        <v>2</v>
      </c>
      <c r="CB5" s="3773">
        <v>3</v>
      </c>
      <c r="CC5" s="7307"/>
      <c r="CD5" s="3772" t="s">
        <v>145</v>
      </c>
      <c r="CE5" s="3771">
        <v>1</v>
      </c>
      <c r="CF5" s="3771">
        <v>2</v>
      </c>
      <c r="CG5" s="3773">
        <v>3</v>
      </c>
      <c r="CH5" s="7307"/>
      <c r="CI5" s="3772" t="s">
        <v>145</v>
      </c>
      <c r="CJ5" s="3771">
        <v>1</v>
      </c>
      <c r="CK5" s="3771">
        <v>2</v>
      </c>
      <c r="CL5" s="3773">
        <v>3</v>
      </c>
      <c r="CM5" s="7307"/>
    </row>
    <row r="6" spans="1:91" ht="15" x14ac:dyDescent="0.2">
      <c r="A6" s="1788"/>
      <c r="B6" s="320"/>
      <c r="C6" s="320"/>
      <c r="D6" s="249"/>
      <c r="E6" s="249"/>
      <c r="F6" s="249"/>
      <c r="G6" s="320"/>
      <c r="H6" s="320"/>
      <c r="I6" s="249"/>
      <c r="J6" s="249"/>
      <c r="K6" s="249"/>
      <c r="L6" s="320"/>
      <c r="M6" s="320"/>
      <c r="N6" s="249"/>
      <c r="O6" s="249"/>
      <c r="P6" s="249"/>
      <c r="Q6" s="320"/>
      <c r="R6" s="320"/>
      <c r="S6" s="249"/>
      <c r="T6" s="249"/>
      <c r="U6" s="249"/>
      <c r="V6" s="320"/>
      <c r="W6" s="320"/>
      <c r="X6" s="249"/>
      <c r="Y6" s="249"/>
      <c r="Z6" s="249"/>
      <c r="AA6" s="320"/>
      <c r="AB6" s="320"/>
      <c r="AC6" s="249"/>
      <c r="AD6" s="249"/>
      <c r="AE6" s="249"/>
      <c r="AF6" s="320"/>
      <c r="AG6" s="320"/>
      <c r="AH6" s="249"/>
      <c r="AI6" s="249"/>
      <c r="AJ6" s="249"/>
      <c r="AK6" s="320"/>
      <c r="AL6" s="320"/>
      <c r="AM6" s="249"/>
      <c r="AN6" s="249"/>
      <c r="AO6" s="249"/>
      <c r="AP6" s="320"/>
      <c r="AQ6" s="320"/>
      <c r="AR6" s="249"/>
      <c r="AS6" s="249"/>
      <c r="AT6" s="249"/>
      <c r="AU6" s="320"/>
      <c r="AV6" s="320"/>
      <c r="AW6" s="249"/>
      <c r="AX6" s="249"/>
      <c r="AY6" s="249"/>
      <c r="AZ6" s="320"/>
      <c r="BA6" s="320"/>
      <c r="BB6" s="249"/>
      <c r="BC6" s="249"/>
      <c r="BD6" s="249"/>
      <c r="BE6" s="320"/>
      <c r="BF6" s="320"/>
      <c r="BG6" s="249"/>
      <c r="BH6" s="249"/>
      <c r="BI6" s="249"/>
      <c r="BJ6" s="320"/>
      <c r="BK6" s="320"/>
      <c r="BL6" s="249"/>
      <c r="BM6" s="249"/>
      <c r="BN6" s="249"/>
      <c r="BO6" s="320"/>
      <c r="BP6" s="320"/>
      <c r="BQ6" s="249"/>
      <c r="BR6" s="249"/>
      <c r="BS6" s="249"/>
      <c r="BT6" s="320"/>
      <c r="BU6" s="320"/>
      <c r="BV6" s="249"/>
      <c r="BW6" s="249"/>
      <c r="BX6" s="249"/>
      <c r="BY6" s="320"/>
      <c r="BZ6" s="320"/>
      <c r="CA6" s="249"/>
      <c r="CB6" s="249"/>
      <c r="CC6" s="249"/>
      <c r="CD6" s="320"/>
      <c r="CE6" s="320"/>
      <c r="CF6" s="249"/>
      <c r="CG6" s="249"/>
      <c r="CH6" s="249"/>
      <c r="CI6" s="320"/>
      <c r="CJ6" s="320"/>
      <c r="CK6" s="249"/>
      <c r="CL6" s="249"/>
      <c r="CM6" s="249"/>
    </row>
    <row r="7" spans="1:91" ht="14.1" customHeight="1" x14ac:dyDescent="0.2">
      <c r="A7" s="1789" t="s">
        <v>5</v>
      </c>
      <c r="B7" s="871">
        <v>14</v>
      </c>
      <c r="C7" s="872">
        <v>18</v>
      </c>
      <c r="D7" s="872">
        <v>4</v>
      </c>
      <c r="E7" s="872"/>
      <c r="F7" s="3774">
        <f>SUM(B7:E7)</f>
        <v>36</v>
      </c>
      <c r="G7" s="871">
        <v>9</v>
      </c>
      <c r="H7" s="872">
        <v>25</v>
      </c>
      <c r="I7" s="872">
        <v>5</v>
      </c>
      <c r="J7" s="872"/>
      <c r="K7" s="3774">
        <f>SUM(G7:J7)</f>
        <v>39</v>
      </c>
      <c r="L7" s="871">
        <v>10</v>
      </c>
      <c r="M7" s="872">
        <v>26</v>
      </c>
      <c r="N7" s="872">
        <v>7</v>
      </c>
      <c r="O7" s="872"/>
      <c r="P7" s="3774">
        <f>SUM(L7:O7)</f>
        <v>43</v>
      </c>
      <c r="Q7" s="871">
        <v>9</v>
      </c>
      <c r="R7" s="872">
        <v>26</v>
      </c>
      <c r="S7" s="872">
        <v>7</v>
      </c>
      <c r="T7" s="872"/>
      <c r="U7" s="3774">
        <f>SUM(Q7:T7)</f>
        <v>42</v>
      </c>
      <c r="V7" s="871">
        <v>11</v>
      </c>
      <c r="W7" s="872">
        <v>31</v>
      </c>
      <c r="X7" s="872">
        <v>7</v>
      </c>
      <c r="Y7" s="872"/>
      <c r="Z7" s="3774">
        <f>SUM(V7:Y7)</f>
        <v>49</v>
      </c>
      <c r="AA7" s="871">
        <v>13</v>
      </c>
      <c r="AB7" s="872">
        <v>32</v>
      </c>
      <c r="AC7" s="872">
        <v>7</v>
      </c>
      <c r="AD7" s="872"/>
      <c r="AE7" s="3774">
        <f>SUM(AA7:AD7)</f>
        <v>52</v>
      </c>
      <c r="AF7" s="871">
        <v>16</v>
      </c>
      <c r="AG7" s="872">
        <v>35</v>
      </c>
      <c r="AH7" s="872">
        <v>8</v>
      </c>
      <c r="AI7" s="872">
        <v>1</v>
      </c>
      <c r="AJ7" s="3774">
        <f>SUM(AF7:AI7)</f>
        <v>60</v>
      </c>
      <c r="AK7" s="871">
        <v>18</v>
      </c>
      <c r="AL7" s="872">
        <v>40</v>
      </c>
      <c r="AM7" s="872">
        <v>8</v>
      </c>
      <c r="AN7" s="872">
        <v>1</v>
      </c>
      <c r="AO7" s="3774">
        <f>SUM(AK7:AN7)</f>
        <v>67</v>
      </c>
      <c r="AP7" s="871">
        <v>13</v>
      </c>
      <c r="AQ7" s="872">
        <v>48</v>
      </c>
      <c r="AR7" s="872">
        <v>9</v>
      </c>
      <c r="AS7" s="872">
        <v>1</v>
      </c>
      <c r="AT7" s="3774">
        <f>SUM(AP7:AS7)</f>
        <v>71</v>
      </c>
      <c r="AU7" s="871">
        <v>12</v>
      </c>
      <c r="AV7" s="872">
        <v>48</v>
      </c>
      <c r="AW7" s="872">
        <v>10</v>
      </c>
      <c r="AX7" s="872">
        <v>1</v>
      </c>
      <c r="AY7" s="3774">
        <f>SUM(AU7:AX7)</f>
        <v>71</v>
      </c>
      <c r="AZ7" s="871">
        <v>14</v>
      </c>
      <c r="BA7" s="872">
        <v>55</v>
      </c>
      <c r="BB7" s="872">
        <v>18</v>
      </c>
      <c r="BC7" s="872">
        <v>1</v>
      </c>
      <c r="BD7" s="3774">
        <f>SUM(AZ7:BC7)</f>
        <v>88</v>
      </c>
      <c r="BE7" s="871">
        <v>20</v>
      </c>
      <c r="BF7" s="872">
        <v>55</v>
      </c>
      <c r="BG7" s="872">
        <v>18</v>
      </c>
      <c r="BH7" s="872">
        <v>1</v>
      </c>
      <c r="BI7" s="3774">
        <f>SUM(BE7:BH7)</f>
        <v>94</v>
      </c>
      <c r="BJ7" s="871">
        <v>22</v>
      </c>
      <c r="BK7" s="872">
        <v>54</v>
      </c>
      <c r="BL7" s="872">
        <v>19</v>
      </c>
      <c r="BM7" s="872">
        <v>1</v>
      </c>
      <c r="BN7" s="3774">
        <f>SUM(BJ7:BM7)</f>
        <v>96</v>
      </c>
      <c r="BO7" s="871">
        <v>27</v>
      </c>
      <c r="BP7" s="872">
        <v>59</v>
      </c>
      <c r="BQ7" s="872">
        <v>23</v>
      </c>
      <c r="BR7" s="872">
        <v>1</v>
      </c>
      <c r="BS7" s="3774">
        <f>SUM(BO7:BR7)</f>
        <v>110</v>
      </c>
      <c r="BT7" s="871">
        <v>18</v>
      </c>
      <c r="BU7" s="872">
        <v>65</v>
      </c>
      <c r="BV7" s="872">
        <v>25</v>
      </c>
      <c r="BW7" s="872">
        <v>3</v>
      </c>
      <c r="BX7" s="3774">
        <f>SUM(BT7:BW7)</f>
        <v>111</v>
      </c>
      <c r="BY7" s="871">
        <v>19</v>
      </c>
      <c r="BZ7" s="872">
        <v>62</v>
      </c>
      <c r="CA7" s="872">
        <v>26</v>
      </c>
      <c r="CB7" s="872">
        <v>3</v>
      </c>
      <c r="CC7" s="3774">
        <f>SUM(BY7:CB7)</f>
        <v>110</v>
      </c>
      <c r="CD7" s="871">
        <v>24</v>
      </c>
      <c r="CE7" s="872">
        <v>72</v>
      </c>
      <c r="CF7" s="872">
        <v>25</v>
      </c>
      <c r="CG7" s="872">
        <v>3</v>
      </c>
      <c r="CH7" s="3774">
        <f>SUM(CD7:CG7)</f>
        <v>124</v>
      </c>
      <c r="CI7" s="871">
        <v>21</v>
      </c>
      <c r="CJ7" s="872">
        <v>71</v>
      </c>
      <c r="CK7" s="872">
        <v>25</v>
      </c>
      <c r="CL7" s="872">
        <v>3</v>
      </c>
      <c r="CM7" s="3774">
        <f>SUM(CI7:CL7)</f>
        <v>120</v>
      </c>
    </row>
    <row r="8" spans="1:91" ht="14.1" customHeight="1" x14ac:dyDescent="0.2">
      <c r="A8" s="1790" t="s">
        <v>6</v>
      </c>
      <c r="B8" s="881">
        <v>4</v>
      </c>
      <c r="C8" s="882">
        <v>35</v>
      </c>
      <c r="D8" s="882">
        <v>4</v>
      </c>
      <c r="E8" s="882">
        <v>1</v>
      </c>
      <c r="F8" s="3775">
        <f>SUM(B8:E8)</f>
        <v>44</v>
      </c>
      <c r="G8" s="881">
        <v>4</v>
      </c>
      <c r="H8" s="882">
        <v>41</v>
      </c>
      <c r="I8" s="882">
        <v>8</v>
      </c>
      <c r="J8" s="882">
        <v>1</v>
      </c>
      <c r="K8" s="3775">
        <f>SUM(G8:J8)</f>
        <v>54</v>
      </c>
      <c r="L8" s="881">
        <v>2</v>
      </c>
      <c r="M8" s="882">
        <v>57</v>
      </c>
      <c r="N8" s="882">
        <v>7</v>
      </c>
      <c r="O8" s="882">
        <v>1</v>
      </c>
      <c r="P8" s="3775">
        <f>SUM(L8:O8)</f>
        <v>67</v>
      </c>
      <c r="Q8" s="881">
        <v>3</v>
      </c>
      <c r="R8" s="882">
        <v>56</v>
      </c>
      <c r="S8" s="882">
        <v>8</v>
      </c>
      <c r="T8" s="882">
        <v>1</v>
      </c>
      <c r="U8" s="3775">
        <f>SUM(Q8:T8)</f>
        <v>68</v>
      </c>
      <c r="V8" s="881">
        <v>2</v>
      </c>
      <c r="W8" s="882">
        <v>59</v>
      </c>
      <c r="X8" s="882">
        <v>8</v>
      </c>
      <c r="Y8" s="882">
        <v>1</v>
      </c>
      <c r="Z8" s="3775">
        <f>SUM(V8:Y8)</f>
        <v>70</v>
      </c>
      <c r="AA8" s="881">
        <v>1</v>
      </c>
      <c r="AB8" s="882">
        <v>63</v>
      </c>
      <c r="AC8" s="882">
        <v>9</v>
      </c>
      <c r="AD8" s="882">
        <v>2</v>
      </c>
      <c r="AE8" s="3775">
        <f t="shared" ref="AE8:AE29" si="0">SUM(AA8:AD8)</f>
        <v>75</v>
      </c>
      <c r="AF8" s="881">
        <v>3</v>
      </c>
      <c r="AG8" s="882">
        <v>63</v>
      </c>
      <c r="AH8" s="882">
        <v>18</v>
      </c>
      <c r="AI8" s="882">
        <v>2</v>
      </c>
      <c r="AJ8" s="3775">
        <f t="shared" ref="AJ8:AJ29" si="1">SUM(AF8:AI8)</f>
        <v>86</v>
      </c>
      <c r="AK8" s="881">
        <v>5</v>
      </c>
      <c r="AL8" s="882">
        <v>69</v>
      </c>
      <c r="AM8" s="882">
        <v>17</v>
      </c>
      <c r="AN8" s="882">
        <v>3</v>
      </c>
      <c r="AO8" s="3775">
        <f t="shared" ref="AO8:AO29" si="2">SUM(AK8:AN8)</f>
        <v>94</v>
      </c>
      <c r="AP8" s="881">
        <v>2</v>
      </c>
      <c r="AQ8" s="882">
        <v>64</v>
      </c>
      <c r="AR8" s="882">
        <v>25</v>
      </c>
      <c r="AS8" s="882">
        <v>4</v>
      </c>
      <c r="AT8" s="3775">
        <f t="shared" ref="AT8:AT29" si="3">SUM(AP8:AS8)</f>
        <v>95</v>
      </c>
      <c r="AU8" s="881">
        <v>2</v>
      </c>
      <c r="AV8" s="882">
        <v>65</v>
      </c>
      <c r="AW8" s="882">
        <v>26</v>
      </c>
      <c r="AX8" s="882">
        <v>4</v>
      </c>
      <c r="AY8" s="3775">
        <f t="shared" ref="AY8:AY29" si="4">SUM(AU8:AX8)</f>
        <v>97</v>
      </c>
      <c r="AZ8" s="881">
        <v>3</v>
      </c>
      <c r="BA8" s="882">
        <v>59</v>
      </c>
      <c r="BB8" s="882">
        <v>22</v>
      </c>
      <c r="BC8" s="882">
        <v>5</v>
      </c>
      <c r="BD8" s="3775">
        <f t="shared" ref="BD8:BD29" si="5">SUM(AZ8:BC8)</f>
        <v>89</v>
      </c>
      <c r="BE8" s="881">
        <v>2</v>
      </c>
      <c r="BF8" s="882">
        <v>60</v>
      </c>
      <c r="BG8" s="882">
        <v>22</v>
      </c>
      <c r="BH8" s="882">
        <v>4</v>
      </c>
      <c r="BI8" s="3775">
        <f t="shared" ref="BI8:BI29" si="6">SUM(BE8:BH8)</f>
        <v>88</v>
      </c>
      <c r="BJ8" s="881">
        <v>5</v>
      </c>
      <c r="BK8" s="882">
        <v>64</v>
      </c>
      <c r="BL8" s="882">
        <v>15</v>
      </c>
      <c r="BM8" s="882">
        <v>4</v>
      </c>
      <c r="BN8" s="3775">
        <f t="shared" ref="BN8:BN29" si="7">SUM(BJ8:BM8)</f>
        <v>88</v>
      </c>
      <c r="BO8" s="881">
        <v>6</v>
      </c>
      <c r="BP8" s="882">
        <v>77</v>
      </c>
      <c r="BQ8" s="882">
        <v>16</v>
      </c>
      <c r="BR8" s="882">
        <v>5</v>
      </c>
      <c r="BS8" s="3775">
        <f t="shared" ref="BS8:BS29" si="8">SUM(BO8:BR8)</f>
        <v>104</v>
      </c>
      <c r="BT8" s="881">
        <v>9</v>
      </c>
      <c r="BU8" s="882">
        <v>79</v>
      </c>
      <c r="BV8" s="882">
        <v>17</v>
      </c>
      <c r="BW8" s="882">
        <v>4</v>
      </c>
      <c r="BX8" s="3775">
        <f t="shared" ref="BX8:BX29" si="9">SUM(BT8:BW8)</f>
        <v>109</v>
      </c>
      <c r="BY8" s="881">
        <v>10</v>
      </c>
      <c r="BZ8" s="882">
        <v>75</v>
      </c>
      <c r="CA8" s="882">
        <v>20</v>
      </c>
      <c r="CB8" s="882">
        <v>6</v>
      </c>
      <c r="CC8" s="3775">
        <f>SUM(BY8:CB8)</f>
        <v>111</v>
      </c>
      <c r="CD8" s="881">
        <v>11</v>
      </c>
      <c r="CE8" s="882">
        <v>73</v>
      </c>
      <c r="CF8" s="882">
        <v>19</v>
      </c>
      <c r="CG8" s="882">
        <v>9</v>
      </c>
      <c r="CH8" s="3775">
        <f>SUM(CD8:CG8)</f>
        <v>112</v>
      </c>
      <c r="CI8" s="881">
        <v>14</v>
      </c>
      <c r="CJ8" s="882">
        <v>77</v>
      </c>
      <c r="CK8" s="882">
        <v>18</v>
      </c>
      <c r="CL8" s="882">
        <v>9</v>
      </c>
      <c r="CM8" s="3775">
        <f>SUM(CI8:CL8)</f>
        <v>118</v>
      </c>
    </row>
    <row r="9" spans="1:91" ht="14.1" customHeight="1" x14ac:dyDescent="0.2">
      <c r="A9" s="1792" t="s">
        <v>7</v>
      </c>
      <c r="B9" s="3786">
        <v>1</v>
      </c>
      <c r="C9" s="3776">
        <v>5</v>
      </c>
      <c r="D9" s="3776">
        <v>1</v>
      </c>
      <c r="E9" s="3776"/>
      <c r="F9" s="3777">
        <f>SUM(B9:E9)</f>
        <v>7</v>
      </c>
      <c r="G9" s="3786"/>
      <c r="H9" s="3776">
        <v>6</v>
      </c>
      <c r="I9" s="3776">
        <v>3</v>
      </c>
      <c r="J9" s="3776"/>
      <c r="K9" s="3777">
        <f>SUM(G9:J9)</f>
        <v>9</v>
      </c>
      <c r="L9" s="3786"/>
      <c r="M9" s="3776">
        <v>8</v>
      </c>
      <c r="N9" s="3776">
        <v>4</v>
      </c>
      <c r="O9" s="3776"/>
      <c r="P9" s="3777">
        <f>SUM(L9:O9)</f>
        <v>12</v>
      </c>
      <c r="Q9" s="3786"/>
      <c r="R9" s="3776">
        <v>8</v>
      </c>
      <c r="S9" s="3776">
        <v>3</v>
      </c>
      <c r="T9" s="3776"/>
      <c r="U9" s="3777">
        <f>SUM(Q9:T9)</f>
        <v>11</v>
      </c>
      <c r="V9" s="3786"/>
      <c r="W9" s="3776">
        <v>7</v>
      </c>
      <c r="X9" s="3776">
        <v>4</v>
      </c>
      <c r="Y9" s="3776"/>
      <c r="Z9" s="3777">
        <f>SUM(V9:Y9)</f>
        <v>11</v>
      </c>
      <c r="AA9" s="3786">
        <v>1</v>
      </c>
      <c r="AB9" s="3776">
        <v>7</v>
      </c>
      <c r="AC9" s="3776">
        <v>4</v>
      </c>
      <c r="AD9" s="3776"/>
      <c r="AE9" s="3777">
        <f t="shared" si="0"/>
        <v>12</v>
      </c>
      <c r="AF9" s="3786">
        <v>1</v>
      </c>
      <c r="AG9" s="3776">
        <v>5</v>
      </c>
      <c r="AH9" s="3776">
        <v>5</v>
      </c>
      <c r="AI9" s="3776"/>
      <c r="AJ9" s="3777">
        <f t="shared" si="1"/>
        <v>11</v>
      </c>
      <c r="AK9" s="3786">
        <v>1</v>
      </c>
      <c r="AL9" s="3776">
        <v>7</v>
      </c>
      <c r="AM9" s="3776">
        <v>4</v>
      </c>
      <c r="AN9" s="3776"/>
      <c r="AO9" s="3777">
        <f t="shared" si="2"/>
        <v>12</v>
      </c>
      <c r="AP9" s="3786"/>
      <c r="AQ9" s="3776">
        <v>5</v>
      </c>
      <c r="AR9" s="3776">
        <v>3</v>
      </c>
      <c r="AS9" s="3776"/>
      <c r="AT9" s="3777">
        <f t="shared" si="3"/>
        <v>8</v>
      </c>
      <c r="AU9" s="3786"/>
      <c r="AV9" s="3776">
        <v>5</v>
      </c>
      <c r="AW9" s="3776">
        <v>3</v>
      </c>
      <c r="AX9" s="3776"/>
      <c r="AY9" s="3777">
        <f t="shared" si="4"/>
        <v>8</v>
      </c>
      <c r="AZ9" s="3786">
        <v>1</v>
      </c>
      <c r="BA9" s="3776">
        <v>2</v>
      </c>
      <c r="BB9" s="3776">
        <v>3</v>
      </c>
      <c r="BC9" s="3776"/>
      <c r="BD9" s="3777">
        <f t="shared" si="5"/>
        <v>6</v>
      </c>
      <c r="BE9" s="3786">
        <v>1</v>
      </c>
      <c r="BF9" s="3776">
        <v>2</v>
      </c>
      <c r="BG9" s="3776">
        <v>3</v>
      </c>
      <c r="BH9" s="3776"/>
      <c r="BI9" s="3777">
        <f t="shared" si="6"/>
        <v>6</v>
      </c>
      <c r="BJ9" s="3786">
        <v>2</v>
      </c>
      <c r="BK9" s="3776">
        <v>1</v>
      </c>
      <c r="BL9" s="3776">
        <v>3</v>
      </c>
      <c r="BM9" s="3776"/>
      <c r="BN9" s="3777">
        <f t="shared" si="7"/>
        <v>6</v>
      </c>
      <c r="BO9" s="3786">
        <v>4</v>
      </c>
      <c r="BP9" s="3776">
        <v>2</v>
      </c>
      <c r="BQ9" s="3776">
        <v>2</v>
      </c>
      <c r="BR9" s="3776"/>
      <c r="BS9" s="3777">
        <f t="shared" si="8"/>
        <v>8</v>
      </c>
      <c r="BT9" s="3786">
        <v>4</v>
      </c>
      <c r="BU9" s="3776">
        <v>5</v>
      </c>
      <c r="BV9" s="3776">
        <v>2</v>
      </c>
      <c r="BW9" s="3776"/>
      <c r="BX9" s="3777">
        <f t="shared" si="9"/>
        <v>11</v>
      </c>
      <c r="BY9" s="3786">
        <v>4</v>
      </c>
      <c r="BZ9" s="3776">
        <v>7</v>
      </c>
      <c r="CA9" s="3776">
        <v>2</v>
      </c>
      <c r="CB9" s="3776"/>
      <c r="CC9" s="3777">
        <f>SUM(BY9:CB9)</f>
        <v>13</v>
      </c>
      <c r="CD9" s="3786">
        <v>4</v>
      </c>
      <c r="CE9" s="3776">
        <v>9</v>
      </c>
      <c r="CF9" s="3776">
        <v>2</v>
      </c>
      <c r="CG9" s="3776"/>
      <c r="CH9" s="3777">
        <f>SUM(CD9:CG9)</f>
        <v>15</v>
      </c>
      <c r="CI9" s="3786">
        <v>4</v>
      </c>
      <c r="CJ9" s="3776">
        <v>9</v>
      </c>
      <c r="CK9" s="3776">
        <v>2</v>
      </c>
      <c r="CL9" s="3776">
        <v>0</v>
      </c>
      <c r="CM9" s="3777">
        <f>SUM(CI9:CL9)</f>
        <v>15</v>
      </c>
    </row>
    <row r="10" spans="1:91" ht="15" customHeight="1" x14ac:dyDescent="0.2">
      <c r="A10" s="2607" t="s">
        <v>161</v>
      </c>
      <c r="B10" s="3787">
        <f>SUM(B7:B9)</f>
        <v>19</v>
      </c>
      <c r="C10" s="3778">
        <f t="shared" ref="C10:BN10" si="10">SUM(C7:C9)</f>
        <v>58</v>
      </c>
      <c r="D10" s="3778">
        <f t="shared" si="10"/>
        <v>9</v>
      </c>
      <c r="E10" s="3778">
        <f t="shared" si="10"/>
        <v>1</v>
      </c>
      <c r="F10" s="3779">
        <f t="shared" si="10"/>
        <v>87</v>
      </c>
      <c r="G10" s="3787">
        <f t="shared" si="10"/>
        <v>13</v>
      </c>
      <c r="H10" s="3778">
        <f t="shared" si="10"/>
        <v>72</v>
      </c>
      <c r="I10" s="3778">
        <f t="shared" si="10"/>
        <v>16</v>
      </c>
      <c r="J10" s="3778">
        <f t="shared" si="10"/>
        <v>1</v>
      </c>
      <c r="K10" s="3779">
        <f t="shared" si="10"/>
        <v>102</v>
      </c>
      <c r="L10" s="3787">
        <f t="shared" si="10"/>
        <v>12</v>
      </c>
      <c r="M10" s="3778">
        <f t="shared" si="10"/>
        <v>91</v>
      </c>
      <c r="N10" s="3778">
        <f t="shared" si="10"/>
        <v>18</v>
      </c>
      <c r="O10" s="3778">
        <f t="shared" si="10"/>
        <v>1</v>
      </c>
      <c r="P10" s="3779">
        <f t="shared" si="10"/>
        <v>122</v>
      </c>
      <c r="Q10" s="3787">
        <f t="shared" si="10"/>
        <v>12</v>
      </c>
      <c r="R10" s="3778">
        <f t="shared" si="10"/>
        <v>90</v>
      </c>
      <c r="S10" s="3778">
        <f t="shared" si="10"/>
        <v>18</v>
      </c>
      <c r="T10" s="3778">
        <f t="shared" si="10"/>
        <v>1</v>
      </c>
      <c r="U10" s="3779">
        <f t="shared" si="10"/>
        <v>121</v>
      </c>
      <c r="V10" s="3787">
        <f t="shared" si="10"/>
        <v>13</v>
      </c>
      <c r="W10" s="3778">
        <f t="shared" si="10"/>
        <v>97</v>
      </c>
      <c r="X10" s="3778">
        <f t="shared" si="10"/>
        <v>19</v>
      </c>
      <c r="Y10" s="3778">
        <f t="shared" si="10"/>
        <v>1</v>
      </c>
      <c r="Z10" s="3779">
        <f t="shared" si="10"/>
        <v>130</v>
      </c>
      <c r="AA10" s="3787">
        <f t="shared" si="10"/>
        <v>15</v>
      </c>
      <c r="AB10" s="3778">
        <f t="shared" si="10"/>
        <v>102</v>
      </c>
      <c r="AC10" s="3778">
        <f t="shared" si="10"/>
        <v>20</v>
      </c>
      <c r="AD10" s="3778">
        <f t="shared" si="10"/>
        <v>2</v>
      </c>
      <c r="AE10" s="3779">
        <f t="shared" si="10"/>
        <v>139</v>
      </c>
      <c r="AF10" s="3787">
        <f t="shared" si="10"/>
        <v>20</v>
      </c>
      <c r="AG10" s="3778">
        <f t="shared" si="10"/>
        <v>103</v>
      </c>
      <c r="AH10" s="3778">
        <f t="shared" si="10"/>
        <v>31</v>
      </c>
      <c r="AI10" s="3778">
        <f t="shared" si="10"/>
        <v>3</v>
      </c>
      <c r="AJ10" s="3779">
        <f t="shared" si="10"/>
        <v>157</v>
      </c>
      <c r="AK10" s="3787">
        <f t="shared" si="10"/>
        <v>24</v>
      </c>
      <c r="AL10" s="3778">
        <f t="shared" si="10"/>
        <v>116</v>
      </c>
      <c r="AM10" s="3778">
        <f t="shared" si="10"/>
        <v>29</v>
      </c>
      <c r="AN10" s="3778">
        <f t="shared" si="10"/>
        <v>4</v>
      </c>
      <c r="AO10" s="3779">
        <f t="shared" si="10"/>
        <v>173</v>
      </c>
      <c r="AP10" s="3787">
        <f t="shared" si="10"/>
        <v>15</v>
      </c>
      <c r="AQ10" s="3778">
        <f t="shared" si="10"/>
        <v>117</v>
      </c>
      <c r="AR10" s="3778">
        <f t="shared" si="10"/>
        <v>37</v>
      </c>
      <c r="AS10" s="3778">
        <f t="shared" si="10"/>
        <v>5</v>
      </c>
      <c r="AT10" s="3779">
        <f t="shared" si="10"/>
        <v>174</v>
      </c>
      <c r="AU10" s="3787">
        <f t="shared" si="10"/>
        <v>14</v>
      </c>
      <c r="AV10" s="3778">
        <f t="shared" si="10"/>
        <v>118</v>
      </c>
      <c r="AW10" s="3778">
        <f t="shared" si="10"/>
        <v>39</v>
      </c>
      <c r="AX10" s="3778">
        <f t="shared" si="10"/>
        <v>5</v>
      </c>
      <c r="AY10" s="3779">
        <f t="shared" si="10"/>
        <v>176</v>
      </c>
      <c r="AZ10" s="3787">
        <f t="shared" si="10"/>
        <v>18</v>
      </c>
      <c r="BA10" s="3778">
        <f t="shared" si="10"/>
        <v>116</v>
      </c>
      <c r="BB10" s="3778">
        <f t="shared" si="10"/>
        <v>43</v>
      </c>
      <c r="BC10" s="3778">
        <f t="shared" si="10"/>
        <v>6</v>
      </c>
      <c r="BD10" s="3779">
        <f t="shared" si="10"/>
        <v>183</v>
      </c>
      <c r="BE10" s="3787">
        <f t="shared" si="10"/>
        <v>23</v>
      </c>
      <c r="BF10" s="3778">
        <f t="shared" si="10"/>
        <v>117</v>
      </c>
      <c r="BG10" s="3778">
        <f t="shared" si="10"/>
        <v>43</v>
      </c>
      <c r="BH10" s="3778">
        <f t="shared" si="10"/>
        <v>5</v>
      </c>
      <c r="BI10" s="3779">
        <f t="shared" si="10"/>
        <v>188</v>
      </c>
      <c r="BJ10" s="3787">
        <f t="shared" si="10"/>
        <v>29</v>
      </c>
      <c r="BK10" s="3778">
        <f t="shared" si="10"/>
        <v>119</v>
      </c>
      <c r="BL10" s="3778">
        <f t="shared" si="10"/>
        <v>37</v>
      </c>
      <c r="BM10" s="3778">
        <f t="shared" si="10"/>
        <v>5</v>
      </c>
      <c r="BN10" s="3779">
        <f t="shared" si="10"/>
        <v>190</v>
      </c>
      <c r="BO10" s="3787">
        <f t="shared" ref="BO10:BX10" si="11">SUM(BO7:BO9)</f>
        <v>37</v>
      </c>
      <c r="BP10" s="3778">
        <f t="shared" si="11"/>
        <v>138</v>
      </c>
      <c r="BQ10" s="3778">
        <f t="shared" si="11"/>
        <v>41</v>
      </c>
      <c r="BR10" s="3778">
        <f t="shared" si="11"/>
        <v>6</v>
      </c>
      <c r="BS10" s="3779">
        <f t="shared" si="11"/>
        <v>222</v>
      </c>
      <c r="BT10" s="3787">
        <f t="shared" si="11"/>
        <v>31</v>
      </c>
      <c r="BU10" s="3778">
        <f t="shared" si="11"/>
        <v>149</v>
      </c>
      <c r="BV10" s="3778">
        <f t="shared" si="11"/>
        <v>44</v>
      </c>
      <c r="BW10" s="3778">
        <f t="shared" si="11"/>
        <v>7</v>
      </c>
      <c r="BX10" s="3779">
        <f t="shared" si="11"/>
        <v>231</v>
      </c>
      <c r="BY10" s="3787">
        <f t="shared" ref="BY10:CH10" si="12">SUM(BY7:BY9)</f>
        <v>33</v>
      </c>
      <c r="BZ10" s="3778">
        <f t="shared" si="12"/>
        <v>144</v>
      </c>
      <c r="CA10" s="3778">
        <f t="shared" si="12"/>
        <v>48</v>
      </c>
      <c r="CB10" s="3778">
        <f t="shared" si="12"/>
        <v>9</v>
      </c>
      <c r="CC10" s="3779">
        <f t="shared" si="12"/>
        <v>234</v>
      </c>
      <c r="CD10" s="3787">
        <f t="shared" si="12"/>
        <v>39</v>
      </c>
      <c r="CE10" s="3778">
        <f t="shared" si="12"/>
        <v>154</v>
      </c>
      <c r="CF10" s="3778">
        <f t="shared" si="12"/>
        <v>46</v>
      </c>
      <c r="CG10" s="3778">
        <f t="shared" si="12"/>
        <v>12</v>
      </c>
      <c r="CH10" s="3779">
        <f t="shared" si="12"/>
        <v>251</v>
      </c>
      <c r="CI10" s="3787">
        <f t="shared" ref="CI10:CM10" si="13">SUM(CI7:CI9)</f>
        <v>39</v>
      </c>
      <c r="CJ10" s="3778">
        <f t="shared" si="13"/>
        <v>157</v>
      </c>
      <c r="CK10" s="3778">
        <f t="shared" si="13"/>
        <v>45</v>
      </c>
      <c r="CL10" s="3778">
        <f t="shared" si="13"/>
        <v>12</v>
      </c>
      <c r="CM10" s="3779">
        <f t="shared" si="13"/>
        <v>253</v>
      </c>
    </row>
    <row r="11" spans="1:91" ht="15" customHeight="1" x14ac:dyDescent="0.2">
      <c r="A11" s="23"/>
      <c r="B11" s="4428"/>
      <c r="C11" s="4428"/>
      <c r="D11" s="4428"/>
      <c r="E11" s="4428"/>
      <c r="F11" s="4428"/>
      <c r="G11" s="4428"/>
      <c r="H11" s="4428"/>
      <c r="I11" s="4428"/>
      <c r="J11" s="4428"/>
      <c r="K11" s="4428"/>
      <c r="L11" s="4428"/>
      <c r="M11" s="4428"/>
      <c r="N11" s="4428"/>
      <c r="O11" s="4428"/>
      <c r="P11" s="4428"/>
      <c r="Q11" s="4428"/>
      <c r="R11" s="4428"/>
      <c r="S11" s="4428"/>
      <c r="T11" s="4428"/>
      <c r="U11" s="4428"/>
      <c r="V11" s="4428"/>
      <c r="W11" s="4428"/>
      <c r="X11" s="4428"/>
      <c r="Y11" s="4428"/>
      <c r="Z11" s="4428"/>
      <c r="AA11" s="4428"/>
      <c r="AB11" s="4428"/>
      <c r="AC11" s="4428"/>
      <c r="AD11" s="4428"/>
      <c r="AE11" s="4428"/>
      <c r="AF11" s="4428"/>
      <c r="AG11" s="4428"/>
      <c r="AH11" s="4428"/>
      <c r="AI11" s="4428"/>
      <c r="AJ11" s="4428"/>
      <c r="AK11" s="4428"/>
      <c r="AL11" s="4428"/>
      <c r="AM11" s="4428"/>
      <c r="AN11" s="4428"/>
      <c r="AO11" s="4428"/>
      <c r="AP11" s="4428"/>
      <c r="AQ11" s="4428"/>
      <c r="AR11" s="4428"/>
      <c r="AS11" s="4428"/>
      <c r="AT11" s="4428"/>
      <c r="AU11" s="4428"/>
      <c r="AV11" s="4428"/>
      <c r="AW11" s="4428"/>
      <c r="AX11" s="4428"/>
      <c r="AY11" s="4428"/>
      <c r="AZ11" s="4428"/>
      <c r="BA11" s="4428"/>
      <c r="BB11" s="4428"/>
      <c r="BC11" s="4428"/>
      <c r="BD11" s="4428"/>
      <c r="BE11" s="4428"/>
      <c r="BF11" s="4428"/>
      <c r="BG11" s="4428"/>
      <c r="BH11" s="4428"/>
      <c r="BI11" s="4428"/>
      <c r="BJ11" s="4428"/>
      <c r="BK11" s="4428"/>
      <c r="BL11" s="4428"/>
      <c r="BM11" s="4428"/>
      <c r="BN11" s="4428"/>
      <c r="BO11" s="4428"/>
      <c r="BP11" s="4428"/>
      <c r="BQ11" s="4428"/>
      <c r="BR11" s="4428"/>
      <c r="BS11" s="4428"/>
      <c r="BT11" s="4428"/>
      <c r="BU11" s="4428"/>
      <c r="BV11" s="4428"/>
      <c r="BW11" s="4428"/>
      <c r="BX11" s="4428"/>
      <c r="BY11" s="4428"/>
      <c r="BZ11" s="4428"/>
      <c r="CA11" s="4428"/>
      <c r="CB11" s="4428"/>
      <c r="CC11" s="4428"/>
      <c r="CD11" s="4428"/>
      <c r="CE11" s="4428"/>
      <c r="CF11" s="4428"/>
      <c r="CG11" s="4428"/>
      <c r="CH11" s="4428"/>
      <c r="CI11" s="4428"/>
      <c r="CJ11" s="4428"/>
      <c r="CK11" s="4428"/>
      <c r="CL11" s="4428"/>
      <c r="CM11" s="4428"/>
    </row>
    <row r="12" spans="1:91" ht="15" customHeight="1" x14ac:dyDescent="0.2">
      <c r="A12" s="1789" t="s">
        <v>6</v>
      </c>
      <c r="B12" s="871"/>
      <c r="C12" s="872"/>
      <c r="D12" s="872"/>
      <c r="E12" s="872"/>
      <c r="F12" s="3774"/>
      <c r="G12" s="871"/>
      <c r="H12" s="872"/>
      <c r="I12" s="872"/>
      <c r="J12" s="872"/>
      <c r="K12" s="3774"/>
      <c r="L12" s="871"/>
      <c r="M12" s="872"/>
      <c r="N12" s="872"/>
      <c r="O12" s="872"/>
      <c r="P12" s="3774"/>
      <c r="Q12" s="871"/>
      <c r="R12" s="872"/>
      <c r="S12" s="872"/>
      <c r="T12" s="872"/>
      <c r="U12" s="3774"/>
      <c r="V12" s="871"/>
      <c r="W12" s="872"/>
      <c r="X12" s="872"/>
      <c r="Y12" s="872"/>
      <c r="Z12" s="3774"/>
      <c r="AA12" s="871"/>
      <c r="AB12" s="872">
        <v>4</v>
      </c>
      <c r="AC12" s="872">
        <v>3</v>
      </c>
      <c r="AD12" s="872"/>
      <c r="AE12" s="3774">
        <f t="shared" si="0"/>
        <v>7</v>
      </c>
      <c r="AF12" s="871"/>
      <c r="AG12" s="872">
        <v>3</v>
      </c>
      <c r="AH12" s="872">
        <v>4</v>
      </c>
      <c r="AI12" s="872"/>
      <c r="AJ12" s="3774">
        <f t="shared" si="1"/>
        <v>7</v>
      </c>
      <c r="AK12" s="871">
        <v>7</v>
      </c>
      <c r="AL12" s="872">
        <v>6</v>
      </c>
      <c r="AM12" s="872">
        <v>3</v>
      </c>
      <c r="AN12" s="872"/>
      <c r="AO12" s="3774">
        <f t="shared" si="2"/>
        <v>16</v>
      </c>
      <c r="AP12" s="871">
        <v>16</v>
      </c>
      <c r="AQ12" s="872">
        <v>12</v>
      </c>
      <c r="AR12" s="872">
        <v>5</v>
      </c>
      <c r="AS12" s="872">
        <v>2</v>
      </c>
      <c r="AT12" s="3774">
        <f t="shared" si="3"/>
        <v>35</v>
      </c>
      <c r="AU12" s="871">
        <v>16</v>
      </c>
      <c r="AV12" s="872">
        <v>14</v>
      </c>
      <c r="AW12" s="872">
        <v>5</v>
      </c>
      <c r="AX12" s="872">
        <v>1</v>
      </c>
      <c r="AY12" s="3774">
        <f t="shared" si="4"/>
        <v>36</v>
      </c>
      <c r="AZ12" s="871">
        <v>11</v>
      </c>
      <c r="BA12" s="872">
        <v>22</v>
      </c>
      <c r="BB12" s="872">
        <v>5</v>
      </c>
      <c r="BC12" s="872">
        <v>1</v>
      </c>
      <c r="BD12" s="3774">
        <f t="shared" si="5"/>
        <v>39</v>
      </c>
      <c r="BE12" s="871">
        <v>13</v>
      </c>
      <c r="BF12" s="872">
        <v>23</v>
      </c>
      <c r="BG12" s="872">
        <v>6</v>
      </c>
      <c r="BH12" s="872">
        <v>1</v>
      </c>
      <c r="BI12" s="3774">
        <f t="shared" si="6"/>
        <v>43</v>
      </c>
      <c r="BJ12" s="871">
        <v>8</v>
      </c>
      <c r="BK12" s="872">
        <v>27</v>
      </c>
      <c r="BL12" s="872">
        <v>7</v>
      </c>
      <c r="BM12" s="872"/>
      <c r="BN12" s="3774">
        <f t="shared" si="7"/>
        <v>42</v>
      </c>
      <c r="BO12" s="871">
        <v>6</v>
      </c>
      <c r="BP12" s="872">
        <v>33</v>
      </c>
      <c r="BQ12" s="872">
        <v>7</v>
      </c>
      <c r="BR12" s="872"/>
      <c r="BS12" s="3774">
        <f t="shared" si="8"/>
        <v>46</v>
      </c>
      <c r="BT12" s="871">
        <v>6</v>
      </c>
      <c r="BU12" s="872">
        <v>30</v>
      </c>
      <c r="BV12" s="872">
        <v>8</v>
      </c>
      <c r="BW12" s="872"/>
      <c r="BX12" s="3774">
        <f t="shared" si="9"/>
        <v>44</v>
      </c>
      <c r="BY12" s="871">
        <v>6</v>
      </c>
      <c r="BZ12" s="872">
        <v>34</v>
      </c>
      <c r="CA12" s="872">
        <v>9</v>
      </c>
      <c r="CB12" s="872"/>
      <c r="CC12" s="3774">
        <f>SUM(BY12:CB12)</f>
        <v>49</v>
      </c>
      <c r="CD12" s="871">
        <v>8</v>
      </c>
      <c r="CE12" s="872">
        <v>36</v>
      </c>
      <c r="CF12" s="872">
        <v>11</v>
      </c>
      <c r="CG12" s="872"/>
      <c r="CH12" s="3774">
        <f>SUM(CD12:CG12)</f>
        <v>55</v>
      </c>
      <c r="CI12" s="871">
        <v>10</v>
      </c>
      <c r="CJ12" s="872">
        <v>31</v>
      </c>
      <c r="CK12" s="872">
        <v>10</v>
      </c>
      <c r="CL12" s="872">
        <v>1</v>
      </c>
      <c r="CM12" s="3774">
        <f>SUM(CI12:CL12)</f>
        <v>52</v>
      </c>
    </row>
    <row r="13" spans="1:91" ht="15" customHeight="1" x14ac:dyDescent="0.2">
      <c r="A13" s="1790" t="s">
        <v>9</v>
      </c>
      <c r="B13" s="881"/>
      <c r="C13" s="882"/>
      <c r="D13" s="882"/>
      <c r="E13" s="882"/>
      <c r="F13" s="3775"/>
      <c r="G13" s="881"/>
      <c r="H13" s="882"/>
      <c r="I13" s="882"/>
      <c r="J13" s="882"/>
      <c r="K13" s="3775"/>
      <c r="L13" s="881"/>
      <c r="M13" s="882"/>
      <c r="N13" s="882"/>
      <c r="O13" s="882"/>
      <c r="P13" s="3775"/>
      <c r="Q13" s="881"/>
      <c r="R13" s="882"/>
      <c r="S13" s="882"/>
      <c r="T13" s="882"/>
      <c r="U13" s="3775"/>
      <c r="V13" s="881"/>
      <c r="W13" s="882"/>
      <c r="X13" s="882"/>
      <c r="Y13" s="882"/>
      <c r="Z13" s="3775"/>
      <c r="AA13" s="881"/>
      <c r="AB13" s="882">
        <v>1</v>
      </c>
      <c r="AC13" s="882"/>
      <c r="AD13" s="882"/>
      <c r="AE13" s="3775">
        <f t="shared" si="0"/>
        <v>1</v>
      </c>
      <c r="AF13" s="881"/>
      <c r="AG13" s="882">
        <v>1</v>
      </c>
      <c r="AH13" s="882"/>
      <c r="AI13" s="882"/>
      <c r="AJ13" s="3775">
        <f t="shared" si="1"/>
        <v>1</v>
      </c>
      <c r="AK13" s="881"/>
      <c r="AL13" s="882">
        <v>1</v>
      </c>
      <c r="AM13" s="882"/>
      <c r="AN13" s="882"/>
      <c r="AO13" s="3775">
        <f t="shared" si="2"/>
        <v>1</v>
      </c>
      <c r="AP13" s="881">
        <v>3</v>
      </c>
      <c r="AQ13" s="882">
        <v>7</v>
      </c>
      <c r="AR13" s="882">
        <v>1</v>
      </c>
      <c r="AS13" s="882"/>
      <c r="AT13" s="3775">
        <f t="shared" si="3"/>
        <v>11</v>
      </c>
      <c r="AU13" s="881">
        <v>3</v>
      </c>
      <c r="AV13" s="882">
        <v>8</v>
      </c>
      <c r="AW13" s="882">
        <v>2</v>
      </c>
      <c r="AX13" s="882"/>
      <c r="AY13" s="3775">
        <f t="shared" si="4"/>
        <v>13</v>
      </c>
      <c r="AZ13" s="881">
        <v>5</v>
      </c>
      <c r="BA13" s="882">
        <v>7</v>
      </c>
      <c r="BB13" s="882">
        <v>2</v>
      </c>
      <c r="BC13" s="882">
        <v>1</v>
      </c>
      <c r="BD13" s="3775">
        <f t="shared" si="5"/>
        <v>15</v>
      </c>
      <c r="BE13" s="881">
        <v>5</v>
      </c>
      <c r="BF13" s="882">
        <v>7</v>
      </c>
      <c r="BG13" s="882">
        <v>2</v>
      </c>
      <c r="BH13" s="882">
        <v>1</v>
      </c>
      <c r="BI13" s="3775">
        <f t="shared" si="6"/>
        <v>15</v>
      </c>
      <c r="BJ13" s="881">
        <v>6</v>
      </c>
      <c r="BK13" s="882">
        <v>9</v>
      </c>
      <c r="BL13" s="882">
        <v>2</v>
      </c>
      <c r="BM13" s="882">
        <v>1</v>
      </c>
      <c r="BN13" s="3775">
        <f t="shared" si="7"/>
        <v>18</v>
      </c>
      <c r="BO13" s="881">
        <v>5</v>
      </c>
      <c r="BP13" s="882">
        <v>10</v>
      </c>
      <c r="BQ13" s="882">
        <v>2</v>
      </c>
      <c r="BR13" s="882">
        <v>1</v>
      </c>
      <c r="BS13" s="3775">
        <f t="shared" si="8"/>
        <v>18</v>
      </c>
      <c r="BT13" s="881">
        <v>2</v>
      </c>
      <c r="BU13" s="882">
        <v>15</v>
      </c>
      <c r="BV13" s="882">
        <v>1</v>
      </c>
      <c r="BW13" s="882">
        <v>1</v>
      </c>
      <c r="BX13" s="3775">
        <f t="shared" si="9"/>
        <v>19</v>
      </c>
      <c r="BY13" s="881">
        <v>3</v>
      </c>
      <c r="BZ13" s="882">
        <v>16</v>
      </c>
      <c r="CA13" s="882">
        <v>1</v>
      </c>
      <c r="CB13" s="882">
        <v>2</v>
      </c>
      <c r="CC13" s="3775">
        <f>SUM(BY13:CB13)</f>
        <v>22</v>
      </c>
      <c r="CD13" s="881">
        <v>1</v>
      </c>
      <c r="CE13" s="882">
        <v>14</v>
      </c>
      <c r="CF13" s="882">
        <v>2</v>
      </c>
      <c r="CG13" s="882">
        <v>2</v>
      </c>
      <c r="CH13" s="3775">
        <f>SUM(CD13:CG13)</f>
        <v>19</v>
      </c>
      <c r="CI13" s="881">
        <v>6</v>
      </c>
      <c r="CJ13" s="882">
        <v>10</v>
      </c>
      <c r="CK13" s="882">
        <v>3</v>
      </c>
      <c r="CL13" s="882">
        <v>2</v>
      </c>
      <c r="CM13" s="3775">
        <f>SUM(CI13:CL13)</f>
        <v>21</v>
      </c>
    </row>
    <row r="14" spans="1:91" ht="15" customHeight="1" x14ac:dyDescent="0.2">
      <c r="A14" s="1792" t="s">
        <v>74</v>
      </c>
      <c r="B14" s="3786"/>
      <c r="C14" s="3776"/>
      <c r="D14" s="3776"/>
      <c r="E14" s="3776"/>
      <c r="F14" s="3777"/>
      <c r="G14" s="3786"/>
      <c r="H14" s="3776"/>
      <c r="I14" s="3776"/>
      <c r="J14" s="3776"/>
      <c r="K14" s="3777"/>
      <c r="L14" s="3786"/>
      <c r="M14" s="3776"/>
      <c r="N14" s="3776"/>
      <c r="O14" s="3776"/>
      <c r="P14" s="3777"/>
      <c r="Q14" s="3786"/>
      <c r="R14" s="3776"/>
      <c r="S14" s="3776"/>
      <c r="T14" s="3776"/>
      <c r="U14" s="3777"/>
      <c r="V14" s="3786"/>
      <c r="W14" s="3776"/>
      <c r="X14" s="3776"/>
      <c r="Y14" s="3776"/>
      <c r="Z14" s="3777"/>
      <c r="AA14" s="3786">
        <v>1</v>
      </c>
      <c r="AB14" s="3776">
        <v>1</v>
      </c>
      <c r="AC14" s="3776">
        <v>1</v>
      </c>
      <c r="AD14" s="3776">
        <v>1</v>
      </c>
      <c r="AE14" s="3777">
        <f t="shared" si="0"/>
        <v>4</v>
      </c>
      <c r="AF14" s="3786">
        <v>2</v>
      </c>
      <c r="AG14" s="3776">
        <v>2</v>
      </c>
      <c r="AH14" s="3776">
        <v>1</v>
      </c>
      <c r="AI14" s="3776">
        <v>2</v>
      </c>
      <c r="AJ14" s="3777">
        <f t="shared" si="1"/>
        <v>7</v>
      </c>
      <c r="AK14" s="3786">
        <v>7</v>
      </c>
      <c r="AL14" s="3776">
        <v>9</v>
      </c>
      <c r="AM14" s="3776">
        <v>1</v>
      </c>
      <c r="AN14" s="3776">
        <v>1</v>
      </c>
      <c r="AO14" s="3777">
        <f t="shared" si="2"/>
        <v>18</v>
      </c>
      <c r="AP14" s="3786">
        <v>6</v>
      </c>
      <c r="AQ14" s="3776">
        <v>17</v>
      </c>
      <c r="AR14" s="3776"/>
      <c r="AS14" s="3776">
        <v>3</v>
      </c>
      <c r="AT14" s="3777">
        <f t="shared" si="3"/>
        <v>26</v>
      </c>
      <c r="AU14" s="3786">
        <v>7</v>
      </c>
      <c r="AV14" s="3776">
        <v>16</v>
      </c>
      <c r="AW14" s="3776"/>
      <c r="AX14" s="3776">
        <v>2</v>
      </c>
      <c r="AY14" s="3777">
        <f t="shared" si="4"/>
        <v>25</v>
      </c>
      <c r="AZ14" s="3786">
        <v>11</v>
      </c>
      <c r="BA14" s="3776">
        <v>25</v>
      </c>
      <c r="BB14" s="3776">
        <v>1</v>
      </c>
      <c r="BC14" s="3776">
        <v>3</v>
      </c>
      <c r="BD14" s="3777">
        <f t="shared" si="5"/>
        <v>40</v>
      </c>
      <c r="BE14" s="3786">
        <v>10</v>
      </c>
      <c r="BF14" s="3776">
        <v>25</v>
      </c>
      <c r="BG14" s="3776">
        <v>1</v>
      </c>
      <c r="BH14" s="3776">
        <v>3</v>
      </c>
      <c r="BI14" s="3777">
        <f t="shared" si="6"/>
        <v>39</v>
      </c>
      <c r="BJ14" s="3786">
        <v>12</v>
      </c>
      <c r="BK14" s="3776">
        <v>29</v>
      </c>
      <c r="BL14" s="3776">
        <v>2</v>
      </c>
      <c r="BM14" s="3776">
        <v>3</v>
      </c>
      <c r="BN14" s="3777">
        <f t="shared" si="7"/>
        <v>46</v>
      </c>
      <c r="BO14" s="3786">
        <v>13</v>
      </c>
      <c r="BP14" s="3776">
        <v>33</v>
      </c>
      <c r="BQ14" s="3776">
        <v>2</v>
      </c>
      <c r="BR14" s="3776">
        <v>3</v>
      </c>
      <c r="BS14" s="3777">
        <f t="shared" si="8"/>
        <v>51</v>
      </c>
      <c r="BT14" s="3786">
        <v>11</v>
      </c>
      <c r="BU14" s="3776">
        <v>33</v>
      </c>
      <c r="BV14" s="3776">
        <v>5</v>
      </c>
      <c r="BW14" s="3776">
        <v>3</v>
      </c>
      <c r="BX14" s="3777">
        <f t="shared" si="9"/>
        <v>52</v>
      </c>
      <c r="BY14" s="3786">
        <v>7</v>
      </c>
      <c r="BZ14" s="3776">
        <v>32</v>
      </c>
      <c r="CA14" s="3776">
        <v>5</v>
      </c>
      <c r="CB14" s="3776">
        <v>3</v>
      </c>
      <c r="CC14" s="3777">
        <f>SUM(BY14:CB14)</f>
        <v>47</v>
      </c>
      <c r="CD14" s="3786">
        <v>7</v>
      </c>
      <c r="CE14" s="3776">
        <v>33</v>
      </c>
      <c r="CF14" s="3776">
        <v>6</v>
      </c>
      <c r="CG14" s="3776">
        <v>3</v>
      </c>
      <c r="CH14" s="3777">
        <f>SUM(CD14:CG14)</f>
        <v>49</v>
      </c>
      <c r="CI14" s="3786">
        <v>6</v>
      </c>
      <c r="CJ14" s="3776">
        <v>29</v>
      </c>
      <c r="CK14" s="3776">
        <v>7</v>
      </c>
      <c r="CL14" s="3776">
        <v>3</v>
      </c>
      <c r="CM14" s="3777">
        <f>SUM(CI14:CL14)</f>
        <v>45</v>
      </c>
    </row>
    <row r="15" spans="1:91" ht="15" customHeight="1" x14ac:dyDescent="0.2">
      <c r="A15" s="2608" t="s">
        <v>407</v>
      </c>
      <c r="B15" s="3788"/>
      <c r="C15" s="3780"/>
      <c r="D15" s="3780"/>
      <c r="E15" s="3780"/>
      <c r="F15" s="3789"/>
      <c r="G15" s="3788"/>
      <c r="H15" s="3780"/>
      <c r="I15" s="3780"/>
      <c r="J15" s="3780"/>
      <c r="K15" s="3789"/>
      <c r="L15" s="3788"/>
      <c r="M15" s="3780"/>
      <c r="N15" s="3780"/>
      <c r="O15" s="3780"/>
      <c r="P15" s="3789"/>
      <c r="Q15" s="3788"/>
      <c r="R15" s="3780"/>
      <c r="S15" s="3780"/>
      <c r="T15" s="3780"/>
      <c r="U15" s="3789"/>
      <c r="V15" s="3788"/>
      <c r="W15" s="3780"/>
      <c r="X15" s="3780"/>
      <c r="Y15" s="3780"/>
      <c r="Z15" s="3789"/>
      <c r="AA15" s="3788">
        <f>SUM(AA12:AA14)</f>
        <v>1</v>
      </c>
      <c r="AB15" s="3780">
        <f t="shared" ref="AB15:BX15" si="14">SUM(AB12:AB14)</f>
        <v>6</v>
      </c>
      <c r="AC15" s="3780">
        <f t="shared" si="14"/>
        <v>4</v>
      </c>
      <c r="AD15" s="3780">
        <f t="shared" si="14"/>
        <v>1</v>
      </c>
      <c r="AE15" s="3789">
        <f t="shared" si="14"/>
        <v>12</v>
      </c>
      <c r="AF15" s="3788">
        <f t="shared" si="14"/>
        <v>2</v>
      </c>
      <c r="AG15" s="3780">
        <f t="shared" si="14"/>
        <v>6</v>
      </c>
      <c r="AH15" s="3780">
        <f t="shared" si="14"/>
        <v>5</v>
      </c>
      <c r="AI15" s="3780">
        <f t="shared" si="14"/>
        <v>2</v>
      </c>
      <c r="AJ15" s="3789">
        <f t="shared" si="14"/>
        <v>15</v>
      </c>
      <c r="AK15" s="3788">
        <f t="shared" si="14"/>
        <v>14</v>
      </c>
      <c r="AL15" s="3780">
        <f t="shared" si="14"/>
        <v>16</v>
      </c>
      <c r="AM15" s="3780">
        <f t="shared" si="14"/>
        <v>4</v>
      </c>
      <c r="AN15" s="3780">
        <f t="shared" si="14"/>
        <v>1</v>
      </c>
      <c r="AO15" s="3789">
        <f t="shared" si="14"/>
        <v>35</v>
      </c>
      <c r="AP15" s="3788">
        <f t="shared" si="14"/>
        <v>25</v>
      </c>
      <c r="AQ15" s="3780">
        <f t="shared" si="14"/>
        <v>36</v>
      </c>
      <c r="AR15" s="3780">
        <f t="shared" si="14"/>
        <v>6</v>
      </c>
      <c r="AS15" s="3780">
        <f t="shared" si="14"/>
        <v>5</v>
      </c>
      <c r="AT15" s="3789">
        <f t="shared" si="14"/>
        <v>72</v>
      </c>
      <c r="AU15" s="3788">
        <f t="shared" si="14"/>
        <v>26</v>
      </c>
      <c r="AV15" s="3780">
        <f t="shared" si="14"/>
        <v>38</v>
      </c>
      <c r="AW15" s="3780">
        <f t="shared" si="14"/>
        <v>7</v>
      </c>
      <c r="AX15" s="3780">
        <f t="shared" si="14"/>
        <v>3</v>
      </c>
      <c r="AY15" s="3789">
        <f t="shared" si="14"/>
        <v>74</v>
      </c>
      <c r="AZ15" s="3788">
        <f t="shared" si="14"/>
        <v>27</v>
      </c>
      <c r="BA15" s="3780">
        <f t="shared" si="14"/>
        <v>54</v>
      </c>
      <c r="BB15" s="3780">
        <f t="shared" si="14"/>
        <v>8</v>
      </c>
      <c r="BC15" s="3780">
        <f t="shared" si="14"/>
        <v>5</v>
      </c>
      <c r="BD15" s="3789">
        <f t="shared" si="14"/>
        <v>94</v>
      </c>
      <c r="BE15" s="3788">
        <f t="shared" si="14"/>
        <v>28</v>
      </c>
      <c r="BF15" s="3780">
        <f t="shared" si="14"/>
        <v>55</v>
      </c>
      <c r="BG15" s="3780">
        <f t="shared" si="14"/>
        <v>9</v>
      </c>
      <c r="BH15" s="3780">
        <f t="shared" si="14"/>
        <v>5</v>
      </c>
      <c r="BI15" s="3789">
        <f t="shared" si="14"/>
        <v>97</v>
      </c>
      <c r="BJ15" s="3788">
        <f t="shared" si="14"/>
        <v>26</v>
      </c>
      <c r="BK15" s="3780">
        <f t="shared" si="14"/>
        <v>65</v>
      </c>
      <c r="BL15" s="3780">
        <f t="shared" si="14"/>
        <v>11</v>
      </c>
      <c r="BM15" s="3780">
        <f t="shared" si="14"/>
        <v>4</v>
      </c>
      <c r="BN15" s="3789">
        <f t="shared" si="14"/>
        <v>106</v>
      </c>
      <c r="BO15" s="3788">
        <f t="shared" si="14"/>
        <v>24</v>
      </c>
      <c r="BP15" s="3780">
        <f t="shared" si="14"/>
        <v>76</v>
      </c>
      <c r="BQ15" s="3780">
        <f t="shared" si="14"/>
        <v>11</v>
      </c>
      <c r="BR15" s="3780">
        <f t="shared" si="14"/>
        <v>4</v>
      </c>
      <c r="BS15" s="3789">
        <f t="shared" si="14"/>
        <v>115</v>
      </c>
      <c r="BT15" s="3788">
        <f t="shared" si="14"/>
        <v>19</v>
      </c>
      <c r="BU15" s="3780">
        <f t="shared" si="14"/>
        <v>78</v>
      </c>
      <c r="BV15" s="3780">
        <f t="shared" si="14"/>
        <v>14</v>
      </c>
      <c r="BW15" s="3780">
        <f t="shared" si="14"/>
        <v>4</v>
      </c>
      <c r="BX15" s="3789">
        <f t="shared" si="14"/>
        <v>115</v>
      </c>
      <c r="BY15" s="3788">
        <f t="shared" ref="BY15:CH15" si="15">SUM(BY12:BY14)</f>
        <v>16</v>
      </c>
      <c r="BZ15" s="3780">
        <f t="shared" si="15"/>
        <v>82</v>
      </c>
      <c r="CA15" s="3780">
        <f t="shared" si="15"/>
        <v>15</v>
      </c>
      <c r="CB15" s="3780">
        <f t="shared" si="15"/>
        <v>5</v>
      </c>
      <c r="CC15" s="3789">
        <f t="shared" si="15"/>
        <v>118</v>
      </c>
      <c r="CD15" s="3788">
        <f t="shared" si="15"/>
        <v>16</v>
      </c>
      <c r="CE15" s="3780">
        <f t="shared" si="15"/>
        <v>83</v>
      </c>
      <c r="CF15" s="3780">
        <f t="shared" si="15"/>
        <v>19</v>
      </c>
      <c r="CG15" s="3780">
        <f t="shared" si="15"/>
        <v>5</v>
      </c>
      <c r="CH15" s="3789">
        <f t="shared" si="15"/>
        <v>123</v>
      </c>
      <c r="CI15" s="3788">
        <f t="shared" ref="CI15:CM15" si="16">SUM(CI12:CI14)</f>
        <v>22</v>
      </c>
      <c r="CJ15" s="3780">
        <f t="shared" si="16"/>
        <v>70</v>
      </c>
      <c r="CK15" s="3780">
        <f t="shared" si="16"/>
        <v>20</v>
      </c>
      <c r="CL15" s="3780">
        <f t="shared" si="16"/>
        <v>6</v>
      </c>
      <c r="CM15" s="3789">
        <f t="shared" si="16"/>
        <v>118</v>
      </c>
    </row>
    <row r="16" spans="1:91" ht="12.75" customHeight="1" x14ac:dyDescent="0.2">
      <c r="A16" s="1788"/>
      <c r="B16" s="4429"/>
      <c r="C16" s="4429"/>
      <c r="D16" s="4429"/>
      <c r="E16" s="4429"/>
      <c r="F16" s="4429"/>
      <c r="G16" s="4429"/>
      <c r="H16" s="4429"/>
      <c r="I16" s="4429"/>
      <c r="J16" s="4429"/>
      <c r="K16" s="4429"/>
      <c r="L16" s="4429"/>
      <c r="M16" s="4429"/>
      <c r="N16" s="4429"/>
      <c r="O16" s="4429"/>
      <c r="P16" s="4429"/>
      <c r="Q16" s="4429"/>
      <c r="R16" s="4429"/>
      <c r="S16" s="4429"/>
      <c r="T16" s="4429"/>
      <c r="U16" s="4429"/>
      <c r="V16" s="4429"/>
      <c r="W16" s="4429"/>
      <c r="X16" s="4429"/>
      <c r="Y16" s="4429"/>
      <c r="Z16" s="4429"/>
      <c r="AA16" s="4429"/>
      <c r="AB16" s="4429"/>
      <c r="AC16" s="4429"/>
      <c r="AD16" s="4429"/>
      <c r="AE16" s="4429"/>
      <c r="AF16" s="4429"/>
      <c r="AG16" s="4429"/>
      <c r="AH16" s="4429"/>
      <c r="AI16" s="4429"/>
      <c r="AJ16" s="4429"/>
      <c r="AK16" s="4429"/>
      <c r="AL16" s="4429"/>
      <c r="AM16" s="4429"/>
      <c r="AN16" s="4429"/>
      <c r="AO16" s="4429"/>
      <c r="AP16" s="4429"/>
      <c r="AQ16" s="4429"/>
      <c r="AR16" s="4429"/>
      <c r="AS16" s="4429"/>
      <c r="AT16" s="4429"/>
      <c r="AU16" s="4429"/>
      <c r="AV16" s="4429"/>
      <c r="AW16" s="4429"/>
      <c r="AX16" s="4429"/>
      <c r="AY16" s="4429"/>
      <c r="AZ16" s="4429"/>
      <c r="BA16" s="4429"/>
      <c r="BB16" s="4429"/>
      <c r="BC16" s="4429"/>
      <c r="BD16" s="4429"/>
      <c r="BE16" s="4429"/>
      <c r="BF16" s="4429"/>
      <c r="BG16" s="4429"/>
      <c r="BH16" s="4429"/>
      <c r="BI16" s="4429"/>
      <c r="BJ16" s="4429"/>
      <c r="BK16" s="4429"/>
      <c r="BL16" s="4429"/>
      <c r="BM16" s="4429"/>
      <c r="BN16" s="4429"/>
      <c r="BO16" s="4429"/>
      <c r="BP16" s="4429"/>
      <c r="BQ16" s="4429"/>
      <c r="BR16" s="4429"/>
      <c r="BS16" s="4429"/>
      <c r="BT16" s="4429"/>
      <c r="BU16" s="4429"/>
      <c r="BV16" s="4429"/>
      <c r="BW16" s="4429"/>
      <c r="BX16" s="4429"/>
      <c r="BY16" s="4429"/>
      <c r="BZ16" s="4429"/>
      <c r="CA16" s="4429"/>
      <c r="CB16" s="4429"/>
      <c r="CC16" s="4429"/>
      <c r="CD16" s="4429"/>
      <c r="CE16" s="4429"/>
      <c r="CF16" s="4429"/>
      <c r="CG16" s="4429"/>
      <c r="CH16" s="4429"/>
      <c r="CI16" s="4429"/>
      <c r="CJ16" s="4429"/>
      <c r="CK16" s="4429"/>
      <c r="CL16" s="4429"/>
      <c r="CM16" s="4429"/>
    </row>
    <row r="17" spans="1:91" ht="14.1" customHeight="1" x14ac:dyDescent="0.2">
      <c r="A17" s="1789" t="s">
        <v>5</v>
      </c>
      <c r="B17" s="871">
        <v>24</v>
      </c>
      <c r="C17" s="872">
        <v>69</v>
      </c>
      <c r="D17" s="872">
        <v>33</v>
      </c>
      <c r="E17" s="872">
        <v>20</v>
      </c>
      <c r="F17" s="3774"/>
      <c r="G17" s="871">
        <v>12</v>
      </c>
      <c r="H17" s="872">
        <v>66</v>
      </c>
      <c r="I17" s="872">
        <v>34</v>
      </c>
      <c r="J17" s="872">
        <v>22</v>
      </c>
      <c r="K17" s="3774">
        <f>SUM(G17:J17)</f>
        <v>134</v>
      </c>
      <c r="L17" s="871">
        <v>10</v>
      </c>
      <c r="M17" s="872">
        <v>71</v>
      </c>
      <c r="N17" s="872">
        <v>35</v>
      </c>
      <c r="O17" s="872">
        <v>23</v>
      </c>
      <c r="P17" s="3774">
        <f>SUM(L17:O17)</f>
        <v>139</v>
      </c>
      <c r="Q17" s="871">
        <v>10</v>
      </c>
      <c r="R17" s="872">
        <v>72</v>
      </c>
      <c r="S17" s="872">
        <v>35</v>
      </c>
      <c r="T17" s="872">
        <v>24</v>
      </c>
      <c r="U17" s="3774">
        <f>SUM(Q17:T17)</f>
        <v>141</v>
      </c>
      <c r="V17" s="871">
        <v>8</v>
      </c>
      <c r="W17" s="872">
        <v>78</v>
      </c>
      <c r="X17" s="872">
        <v>32</v>
      </c>
      <c r="Y17" s="872">
        <v>27</v>
      </c>
      <c r="Z17" s="3774">
        <f>SUM(V17:Y17)</f>
        <v>145</v>
      </c>
      <c r="AA17" s="871">
        <v>15</v>
      </c>
      <c r="AB17" s="872">
        <v>77</v>
      </c>
      <c r="AC17" s="872">
        <v>34</v>
      </c>
      <c r="AD17" s="872">
        <v>27</v>
      </c>
      <c r="AE17" s="3774">
        <f t="shared" si="0"/>
        <v>153</v>
      </c>
      <c r="AF17" s="871">
        <v>14</v>
      </c>
      <c r="AG17" s="872">
        <v>78</v>
      </c>
      <c r="AH17" s="872">
        <v>37</v>
      </c>
      <c r="AI17" s="872">
        <v>32</v>
      </c>
      <c r="AJ17" s="3774">
        <f t="shared" si="1"/>
        <v>161</v>
      </c>
      <c r="AK17" s="871">
        <v>13</v>
      </c>
      <c r="AL17" s="872">
        <v>77</v>
      </c>
      <c r="AM17" s="872">
        <v>38</v>
      </c>
      <c r="AN17" s="872">
        <v>33</v>
      </c>
      <c r="AO17" s="3774">
        <f t="shared" si="2"/>
        <v>161</v>
      </c>
      <c r="AP17" s="871">
        <v>10</v>
      </c>
      <c r="AQ17" s="872">
        <v>72</v>
      </c>
      <c r="AR17" s="872">
        <v>45</v>
      </c>
      <c r="AS17" s="872">
        <v>34</v>
      </c>
      <c r="AT17" s="3774">
        <f t="shared" si="3"/>
        <v>161</v>
      </c>
      <c r="AU17" s="871">
        <v>11</v>
      </c>
      <c r="AV17" s="872">
        <v>71</v>
      </c>
      <c r="AW17" s="872">
        <v>45</v>
      </c>
      <c r="AX17" s="872">
        <v>35</v>
      </c>
      <c r="AY17" s="3774">
        <f t="shared" si="4"/>
        <v>162</v>
      </c>
      <c r="AZ17" s="871">
        <v>8</v>
      </c>
      <c r="BA17" s="872">
        <v>72</v>
      </c>
      <c r="BB17" s="872">
        <v>41</v>
      </c>
      <c r="BC17" s="872">
        <v>42</v>
      </c>
      <c r="BD17" s="3774">
        <f t="shared" si="5"/>
        <v>163</v>
      </c>
      <c r="BE17" s="871">
        <v>9</v>
      </c>
      <c r="BF17" s="872">
        <v>71</v>
      </c>
      <c r="BG17" s="872">
        <v>41</v>
      </c>
      <c r="BH17" s="872">
        <v>40</v>
      </c>
      <c r="BI17" s="3774">
        <f t="shared" si="6"/>
        <v>161</v>
      </c>
      <c r="BJ17" s="871">
        <v>13</v>
      </c>
      <c r="BK17" s="872">
        <v>74</v>
      </c>
      <c r="BL17" s="872">
        <v>37</v>
      </c>
      <c r="BM17" s="872">
        <v>42</v>
      </c>
      <c r="BN17" s="3774">
        <f t="shared" si="7"/>
        <v>166</v>
      </c>
      <c r="BO17" s="871">
        <v>22</v>
      </c>
      <c r="BP17" s="872">
        <v>81</v>
      </c>
      <c r="BQ17" s="872">
        <v>40</v>
      </c>
      <c r="BR17" s="872">
        <v>50</v>
      </c>
      <c r="BS17" s="3774">
        <f t="shared" si="8"/>
        <v>193</v>
      </c>
      <c r="BT17" s="871">
        <v>25</v>
      </c>
      <c r="BU17" s="872">
        <v>85</v>
      </c>
      <c r="BV17" s="872">
        <v>40</v>
      </c>
      <c r="BW17" s="872">
        <v>51</v>
      </c>
      <c r="BX17" s="3774">
        <f t="shared" si="9"/>
        <v>201</v>
      </c>
      <c r="BY17" s="871">
        <v>25</v>
      </c>
      <c r="BZ17" s="872">
        <v>94</v>
      </c>
      <c r="CA17" s="872">
        <v>39</v>
      </c>
      <c r="CB17" s="872">
        <v>50</v>
      </c>
      <c r="CC17" s="3774">
        <f>SUM(BY17:CB17)</f>
        <v>208</v>
      </c>
      <c r="CD17" s="871">
        <v>27</v>
      </c>
      <c r="CE17" s="872">
        <v>108</v>
      </c>
      <c r="CF17" s="872">
        <v>39</v>
      </c>
      <c r="CG17" s="872">
        <v>51</v>
      </c>
      <c r="CH17" s="3774">
        <f>SUM(CD17:CG17)</f>
        <v>225</v>
      </c>
      <c r="CI17" s="871">
        <v>25</v>
      </c>
      <c r="CJ17" s="872">
        <v>101</v>
      </c>
      <c r="CK17" s="872">
        <v>36</v>
      </c>
      <c r="CL17" s="872">
        <v>53</v>
      </c>
      <c r="CM17" s="3774">
        <f>SUM(CI17:CL17)</f>
        <v>215</v>
      </c>
    </row>
    <row r="18" spans="1:91" ht="14.1" customHeight="1" x14ac:dyDescent="0.2">
      <c r="A18" s="1790" t="s">
        <v>6</v>
      </c>
      <c r="B18" s="881">
        <v>6</v>
      </c>
      <c r="C18" s="882">
        <v>54</v>
      </c>
      <c r="D18" s="882">
        <v>18</v>
      </c>
      <c r="E18" s="882">
        <v>4</v>
      </c>
      <c r="F18" s="3775">
        <f>SUM(B18:E18)</f>
        <v>82</v>
      </c>
      <c r="G18" s="881">
        <v>3</v>
      </c>
      <c r="H18" s="882">
        <v>56</v>
      </c>
      <c r="I18" s="882">
        <v>26</v>
      </c>
      <c r="J18" s="882">
        <v>5</v>
      </c>
      <c r="K18" s="3775">
        <f>SUM(G18:J18)</f>
        <v>90</v>
      </c>
      <c r="L18" s="881">
        <v>1</v>
      </c>
      <c r="M18" s="882">
        <v>64</v>
      </c>
      <c r="N18" s="882">
        <v>32</v>
      </c>
      <c r="O18" s="882">
        <v>7</v>
      </c>
      <c r="P18" s="3775">
        <f>SUM(L18:O18)</f>
        <v>104</v>
      </c>
      <c r="Q18" s="881">
        <v>2</v>
      </c>
      <c r="R18" s="882">
        <v>65</v>
      </c>
      <c r="S18" s="882">
        <v>33</v>
      </c>
      <c r="T18" s="882">
        <v>7</v>
      </c>
      <c r="U18" s="3775">
        <f>SUM(Q18:T18)</f>
        <v>107</v>
      </c>
      <c r="V18" s="881">
        <v>2</v>
      </c>
      <c r="W18" s="882">
        <v>63</v>
      </c>
      <c r="X18" s="882">
        <v>41</v>
      </c>
      <c r="Y18" s="882">
        <v>9</v>
      </c>
      <c r="Z18" s="3775">
        <f>SUM(V18:Y18)</f>
        <v>115</v>
      </c>
      <c r="AA18" s="881"/>
      <c r="AB18" s="882">
        <v>58</v>
      </c>
      <c r="AC18" s="882">
        <v>41</v>
      </c>
      <c r="AD18" s="882">
        <v>11</v>
      </c>
      <c r="AE18" s="3775">
        <f t="shared" si="0"/>
        <v>110</v>
      </c>
      <c r="AF18" s="881"/>
      <c r="AG18" s="882">
        <v>57</v>
      </c>
      <c r="AH18" s="882">
        <v>43</v>
      </c>
      <c r="AI18" s="882">
        <v>12</v>
      </c>
      <c r="AJ18" s="3775">
        <f t="shared" si="1"/>
        <v>112</v>
      </c>
      <c r="AK18" s="881">
        <v>1</v>
      </c>
      <c r="AL18" s="882">
        <v>60</v>
      </c>
      <c r="AM18" s="882">
        <v>44</v>
      </c>
      <c r="AN18" s="882">
        <v>12</v>
      </c>
      <c r="AO18" s="3775">
        <f t="shared" si="2"/>
        <v>117</v>
      </c>
      <c r="AP18" s="881">
        <v>6</v>
      </c>
      <c r="AQ18" s="882">
        <v>64</v>
      </c>
      <c r="AR18" s="882">
        <v>46</v>
      </c>
      <c r="AS18" s="882">
        <v>12</v>
      </c>
      <c r="AT18" s="3775">
        <f t="shared" si="3"/>
        <v>128</v>
      </c>
      <c r="AU18" s="881">
        <v>7</v>
      </c>
      <c r="AV18" s="882">
        <v>64</v>
      </c>
      <c r="AW18" s="882">
        <v>47</v>
      </c>
      <c r="AX18" s="882">
        <v>14</v>
      </c>
      <c r="AY18" s="3775">
        <f t="shared" si="4"/>
        <v>132</v>
      </c>
      <c r="AZ18" s="881">
        <v>6</v>
      </c>
      <c r="BA18" s="882">
        <v>66</v>
      </c>
      <c r="BB18" s="882">
        <v>48</v>
      </c>
      <c r="BC18" s="882">
        <v>17</v>
      </c>
      <c r="BD18" s="3775">
        <f t="shared" si="5"/>
        <v>137</v>
      </c>
      <c r="BE18" s="881">
        <v>4</v>
      </c>
      <c r="BF18" s="882">
        <v>67</v>
      </c>
      <c r="BG18" s="882">
        <v>47</v>
      </c>
      <c r="BH18" s="882">
        <v>16</v>
      </c>
      <c r="BI18" s="3775">
        <f t="shared" si="6"/>
        <v>134</v>
      </c>
      <c r="BJ18" s="881">
        <v>6</v>
      </c>
      <c r="BK18" s="882">
        <v>64</v>
      </c>
      <c r="BL18" s="882">
        <v>45</v>
      </c>
      <c r="BM18" s="882">
        <v>16</v>
      </c>
      <c r="BN18" s="3775">
        <f t="shared" si="7"/>
        <v>131</v>
      </c>
      <c r="BO18" s="881">
        <v>5</v>
      </c>
      <c r="BP18" s="882">
        <v>73</v>
      </c>
      <c r="BQ18" s="882">
        <v>43</v>
      </c>
      <c r="BR18" s="882">
        <v>16</v>
      </c>
      <c r="BS18" s="3775">
        <f t="shared" si="8"/>
        <v>137</v>
      </c>
      <c r="BT18" s="881">
        <v>9</v>
      </c>
      <c r="BU18" s="882">
        <v>72</v>
      </c>
      <c r="BV18" s="882">
        <v>40</v>
      </c>
      <c r="BW18" s="882">
        <v>18</v>
      </c>
      <c r="BX18" s="3775">
        <f t="shared" si="9"/>
        <v>139</v>
      </c>
      <c r="BY18" s="881">
        <v>11</v>
      </c>
      <c r="BZ18" s="882">
        <v>71</v>
      </c>
      <c r="CA18" s="882">
        <v>44</v>
      </c>
      <c r="CB18" s="882">
        <v>19</v>
      </c>
      <c r="CC18" s="3775">
        <f>SUM(BY18:CB18)</f>
        <v>145</v>
      </c>
      <c r="CD18" s="881">
        <v>13</v>
      </c>
      <c r="CE18" s="882">
        <v>68</v>
      </c>
      <c r="CF18" s="882">
        <v>48</v>
      </c>
      <c r="CG18" s="882">
        <v>20</v>
      </c>
      <c r="CH18" s="3775">
        <f>SUM(CD18:CG18)</f>
        <v>149</v>
      </c>
      <c r="CI18" s="881">
        <v>8</v>
      </c>
      <c r="CJ18" s="882">
        <v>69</v>
      </c>
      <c r="CK18" s="882">
        <v>49</v>
      </c>
      <c r="CL18" s="882">
        <v>22</v>
      </c>
      <c r="CM18" s="3775">
        <f>SUM(CI18:CL18)</f>
        <v>148</v>
      </c>
    </row>
    <row r="19" spans="1:91" ht="14.1" customHeight="1" x14ac:dyDescent="0.2">
      <c r="A19" s="1792" t="s">
        <v>11</v>
      </c>
      <c r="B19" s="3786">
        <v>17</v>
      </c>
      <c r="C19" s="3776">
        <v>23</v>
      </c>
      <c r="D19" s="3776">
        <v>9</v>
      </c>
      <c r="E19" s="3776">
        <v>2</v>
      </c>
      <c r="F19" s="3777">
        <f>SUM(B19:E19)</f>
        <v>51</v>
      </c>
      <c r="G19" s="3786">
        <v>9</v>
      </c>
      <c r="H19" s="3776">
        <v>34</v>
      </c>
      <c r="I19" s="3776">
        <v>10</v>
      </c>
      <c r="J19" s="3776">
        <v>2</v>
      </c>
      <c r="K19" s="3777">
        <f>SUM(G19:J19)</f>
        <v>55</v>
      </c>
      <c r="L19" s="3786">
        <v>10</v>
      </c>
      <c r="M19" s="3776">
        <v>41</v>
      </c>
      <c r="N19" s="3776">
        <v>12</v>
      </c>
      <c r="O19" s="3776">
        <v>2</v>
      </c>
      <c r="P19" s="3777">
        <f>SUM(L19:O19)</f>
        <v>65</v>
      </c>
      <c r="Q19" s="3786">
        <v>11</v>
      </c>
      <c r="R19" s="3776">
        <v>41</v>
      </c>
      <c r="S19" s="3776">
        <v>11</v>
      </c>
      <c r="T19" s="3776">
        <v>2</v>
      </c>
      <c r="U19" s="3777">
        <f>SUM(Q19:T19)</f>
        <v>65</v>
      </c>
      <c r="V19" s="3786">
        <v>12</v>
      </c>
      <c r="W19" s="3776">
        <v>43</v>
      </c>
      <c r="X19" s="3776">
        <v>12</v>
      </c>
      <c r="Y19" s="3776">
        <v>3</v>
      </c>
      <c r="Z19" s="3777">
        <f>SUM(V19:Y19)</f>
        <v>70</v>
      </c>
      <c r="AA19" s="3786">
        <v>14</v>
      </c>
      <c r="AB19" s="3776">
        <v>43</v>
      </c>
      <c r="AC19" s="3776">
        <v>10</v>
      </c>
      <c r="AD19" s="3776">
        <v>5</v>
      </c>
      <c r="AE19" s="3777">
        <f t="shared" si="0"/>
        <v>72</v>
      </c>
      <c r="AF19" s="3786">
        <v>8</v>
      </c>
      <c r="AG19" s="3776">
        <v>49</v>
      </c>
      <c r="AH19" s="3776">
        <v>11</v>
      </c>
      <c r="AI19" s="3776">
        <v>7</v>
      </c>
      <c r="AJ19" s="3777">
        <f t="shared" si="1"/>
        <v>75</v>
      </c>
      <c r="AK19" s="3786">
        <v>8</v>
      </c>
      <c r="AL19" s="3776">
        <v>59</v>
      </c>
      <c r="AM19" s="3776">
        <v>14</v>
      </c>
      <c r="AN19" s="3776">
        <v>7</v>
      </c>
      <c r="AO19" s="3777">
        <f t="shared" si="2"/>
        <v>88</v>
      </c>
      <c r="AP19" s="3786">
        <v>8</v>
      </c>
      <c r="AQ19" s="3776">
        <v>60</v>
      </c>
      <c r="AR19" s="3776">
        <v>15</v>
      </c>
      <c r="AS19" s="3776">
        <v>9</v>
      </c>
      <c r="AT19" s="3777">
        <f t="shared" si="3"/>
        <v>92</v>
      </c>
      <c r="AU19" s="3786">
        <v>8</v>
      </c>
      <c r="AV19" s="3776">
        <v>60</v>
      </c>
      <c r="AW19" s="3776">
        <v>15</v>
      </c>
      <c r="AX19" s="3776">
        <v>9</v>
      </c>
      <c r="AY19" s="3777">
        <f t="shared" si="4"/>
        <v>92</v>
      </c>
      <c r="AZ19" s="3786">
        <v>21</v>
      </c>
      <c r="BA19" s="3776">
        <v>68</v>
      </c>
      <c r="BB19" s="3776">
        <v>12</v>
      </c>
      <c r="BC19" s="3776">
        <v>13</v>
      </c>
      <c r="BD19" s="3777">
        <f t="shared" si="5"/>
        <v>114</v>
      </c>
      <c r="BE19" s="3786">
        <v>17</v>
      </c>
      <c r="BF19" s="3776">
        <v>68</v>
      </c>
      <c r="BG19" s="3776">
        <v>12</v>
      </c>
      <c r="BH19" s="3776">
        <v>13</v>
      </c>
      <c r="BI19" s="3777">
        <f t="shared" si="6"/>
        <v>110</v>
      </c>
      <c r="BJ19" s="3786">
        <v>16</v>
      </c>
      <c r="BK19" s="3776">
        <v>64</v>
      </c>
      <c r="BL19" s="3776">
        <v>17</v>
      </c>
      <c r="BM19" s="3776">
        <v>13</v>
      </c>
      <c r="BN19" s="3777">
        <f t="shared" si="7"/>
        <v>110</v>
      </c>
      <c r="BO19" s="3786">
        <v>19</v>
      </c>
      <c r="BP19" s="3776">
        <v>62</v>
      </c>
      <c r="BQ19" s="3776">
        <v>26</v>
      </c>
      <c r="BR19" s="3776">
        <v>13</v>
      </c>
      <c r="BS19" s="3777">
        <f t="shared" si="8"/>
        <v>120</v>
      </c>
      <c r="BT19" s="3786">
        <v>20</v>
      </c>
      <c r="BU19" s="3776">
        <v>61</v>
      </c>
      <c r="BV19" s="3776">
        <v>27</v>
      </c>
      <c r="BW19" s="3776">
        <v>13</v>
      </c>
      <c r="BX19" s="3777">
        <f t="shared" si="9"/>
        <v>121</v>
      </c>
      <c r="BY19" s="3786">
        <v>20</v>
      </c>
      <c r="BZ19" s="3776">
        <v>65</v>
      </c>
      <c r="CA19" s="3776">
        <v>25</v>
      </c>
      <c r="CB19" s="3776">
        <v>14</v>
      </c>
      <c r="CC19" s="3777">
        <f>SUM(BY19:CB19)</f>
        <v>124</v>
      </c>
      <c r="CD19" s="3786">
        <v>27</v>
      </c>
      <c r="CE19" s="3776">
        <v>61</v>
      </c>
      <c r="CF19" s="3776">
        <v>25</v>
      </c>
      <c r="CG19" s="3776">
        <v>14</v>
      </c>
      <c r="CH19" s="3777">
        <f>SUM(CD19:CG19)</f>
        <v>127</v>
      </c>
      <c r="CI19" s="3786">
        <v>24</v>
      </c>
      <c r="CJ19" s="3776">
        <v>62</v>
      </c>
      <c r="CK19" s="3776">
        <v>26</v>
      </c>
      <c r="CL19" s="3776">
        <v>17</v>
      </c>
      <c r="CM19" s="3777">
        <f>SUM(CI19:CL19)</f>
        <v>129</v>
      </c>
    </row>
    <row r="20" spans="1:91" ht="15" customHeight="1" x14ac:dyDescent="0.2">
      <c r="A20" s="2609" t="s">
        <v>162</v>
      </c>
      <c r="B20" s="3790">
        <f>SUM(B17:B19)</f>
        <v>47</v>
      </c>
      <c r="C20" s="3781">
        <f t="shared" ref="C20:BN20" si="17">SUM(C17:C19)</f>
        <v>146</v>
      </c>
      <c r="D20" s="3781">
        <f t="shared" si="17"/>
        <v>60</v>
      </c>
      <c r="E20" s="3781">
        <f t="shared" si="17"/>
        <v>26</v>
      </c>
      <c r="F20" s="3782">
        <f t="shared" si="17"/>
        <v>133</v>
      </c>
      <c r="G20" s="3790">
        <f t="shared" si="17"/>
        <v>24</v>
      </c>
      <c r="H20" s="3781">
        <f t="shared" si="17"/>
        <v>156</v>
      </c>
      <c r="I20" s="3781">
        <f t="shared" si="17"/>
        <v>70</v>
      </c>
      <c r="J20" s="3781">
        <f t="shared" si="17"/>
        <v>29</v>
      </c>
      <c r="K20" s="3782">
        <f t="shared" si="17"/>
        <v>279</v>
      </c>
      <c r="L20" s="3790">
        <f t="shared" si="17"/>
        <v>21</v>
      </c>
      <c r="M20" s="3781">
        <f t="shared" si="17"/>
        <v>176</v>
      </c>
      <c r="N20" s="3781">
        <f t="shared" si="17"/>
        <v>79</v>
      </c>
      <c r="O20" s="3781">
        <f t="shared" si="17"/>
        <v>32</v>
      </c>
      <c r="P20" s="3782">
        <f t="shared" si="17"/>
        <v>308</v>
      </c>
      <c r="Q20" s="3790">
        <f t="shared" si="17"/>
        <v>23</v>
      </c>
      <c r="R20" s="3781">
        <f t="shared" si="17"/>
        <v>178</v>
      </c>
      <c r="S20" s="3781">
        <f t="shared" si="17"/>
        <v>79</v>
      </c>
      <c r="T20" s="3781">
        <f t="shared" si="17"/>
        <v>33</v>
      </c>
      <c r="U20" s="3782">
        <f t="shared" si="17"/>
        <v>313</v>
      </c>
      <c r="V20" s="3790">
        <f t="shared" si="17"/>
        <v>22</v>
      </c>
      <c r="W20" s="3781">
        <f t="shared" si="17"/>
        <v>184</v>
      </c>
      <c r="X20" s="3781">
        <f t="shared" si="17"/>
        <v>85</v>
      </c>
      <c r="Y20" s="3781">
        <f t="shared" si="17"/>
        <v>39</v>
      </c>
      <c r="Z20" s="3782">
        <f t="shared" si="17"/>
        <v>330</v>
      </c>
      <c r="AA20" s="3790">
        <f t="shared" si="17"/>
        <v>29</v>
      </c>
      <c r="AB20" s="3781">
        <f t="shared" si="17"/>
        <v>178</v>
      </c>
      <c r="AC20" s="3781">
        <f t="shared" si="17"/>
        <v>85</v>
      </c>
      <c r="AD20" s="3781">
        <f t="shared" si="17"/>
        <v>43</v>
      </c>
      <c r="AE20" s="3782">
        <f t="shared" si="17"/>
        <v>335</v>
      </c>
      <c r="AF20" s="3790">
        <f t="shared" si="17"/>
        <v>22</v>
      </c>
      <c r="AG20" s="3781">
        <f t="shared" si="17"/>
        <v>184</v>
      </c>
      <c r="AH20" s="3781">
        <f t="shared" si="17"/>
        <v>91</v>
      </c>
      <c r="AI20" s="3781">
        <f t="shared" si="17"/>
        <v>51</v>
      </c>
      <c r="AJ20" s="3782">
        <f t="shared" si="17"/>
        <v>348</v>
      </c>
      <c r="AK20" s="3790">
        <f t="shared" si="17"/>
        <v>22</v>
      </c>
      <c r="AL20" s="3781">
        <f t="shared" si="17"/>
        <v>196</v>
      </c>
      <c r="AM20" s="3781">
        <f t="shared" si="17"/>
        <v>96</v>
      </c>
      <c r="AN20" s="3781">
        <f t="shared" si="17"/>
        <v>52</v>
      </c>
      <c r="AO20" s="3782">
        <f t="shared" si="17"/>
        <v>366</v>
      </c>
      <c r="AP20" s="3790">
        <f t="shared" si="17"/>
        <v>24</v>
      </c>
      <c r="AQ20" s="3781">
        <f t="shared" si="17"/>
        <v>196</v>
      </c>
      <c r="AR20" s="3781">
        <f t="shared" si="17"/>
        <v>106</v>
      </c>
      <c r="AS20" s="3781">
        <f t="shared" si="17"/>
        <v>55</v>
      </c>
      <c r="AT20" s="3782">
        <f t="shared" si="17"/>
        <v>381</v>
      </c>
      <c r="AU20" s="3790">
        <f t="shared" si="17"/>
        <v>26</v>
      </c>
      <c r="AV20" s="3781">
        <f t="shared" si="17"/>
        <v>195</v>
      </c>
      <c r="AW20" s="3781">
        <f t="shared" si="17"/>
        <v>107</v>
      </c>
      <c r="AX20" s="3781">
        <f t="shared" si="17"/>
        <v>58</v>
      </c>
      <c r="AY20" s="3782">
        <f t="shared" si="17"/>
        <v>386</v>
      </c>
      <c r="AZ20" s="3790">
        <f t="shared" si="17"/>
        <v>35</v>
      </c>
      <c r="BA20" s="3781">
        <f t="shared" si="17"/>
        <v>206</v>
      </c>
      <c r="BB20" s="3781">
        <f t="shared" si="17"/>
        <v>101</v>
      </c>
      <c r="BC20" s="3781">
        <f t="shared" si="17"/>
        <v>72</v>
      </c>
      <c r="BD20" s="3782">
        <f t="shared" si="17"/>
        <v>414</v>
      </c>
      <c r="BE20" s="3790">
        <f t="shared" si="17"/>
        <v>30</v>
      </c>
      <c r="BF20" s="3781">
        <f t="shared" si="17"/>
        <v>206</v>
      </c>
      <c r="BG20" s="3781">
        <f t="shared" si="17"/>
        <v>100</v>
      </c>
      <c r="BH20" s="3781">
        <f t="shared" si="17"/>
        <v>69</v>
      </c>
      <c r="BI20" s="3782">
        <f t="shared" si="17"/>
        <v>405</v>
      </c>
      <c r="BJ20" s="3790">
        <f t="shared" si="17"/>
        <v>35</v>
      </c>
      <c r="BK20" s="3781">
        <f t="shared" si="17"/>
        <v>202</v>
      </c>
      <c r="BL20" s="3781">
        <f t="shared" si="17"/>
        <v>99</v>
      </c>
      <c r="BM20" s="3781">
        <f t="shared" si="17"/>
        <v>71</v>
      </c>
      <c r="BN20" s="3782">
        <f t="shared" si="17"/>
        <v>407</v>
      </c>
      <c r="BO20" s="3790">
        <f t="shared" ref="BO20:BX20" si="18">SUM(BO17:BO19)</f>
        <v>46</v>
      </c>
      <c r="BP20" s="3781">
        <f t="shared" si="18"/>
        <v>216</v>
      </c>
      <c r="BQ20" s="3781">
        <f t="shared" si="18"/>
        <v>109</v>
      </c>
      <c r="BR20" s="3781">
        <f t="shared" si="18"/>
        <v>79</v>
      </c>
      <c r="BS20" s="3782">
        <f t="shared" si="18"/>
        <v>450</v>
      </c>
      <c r="BT20" s="3790">
        <f t="shared" si="18"/>
        <v>54</v>
      </c>
      <c r="BU20" s="3781">
        <f t="shared" si="18"/>
        <v>218</v>
      </c>
      <c r="BV20" s="3781">
        <f t="shared" si="18"/>
        <v>107</v>
      </c>
      <c r="BW20" s="3781">
        <f t="shared" si="18"/>
        <v>82</v>
      </c>
      <c r="BX20" s="3782">
        <f t="shared" si="18"/>
        <v>461</v>
      </c>
      <c r="BY20" s="3790">
        <f t="shared" ref="BY20:CH20" si="19">SUM(BY17:BY19)</f>
        <v>56</v>
      </c>
      <c r="BZ20" s="3781">
        <f t="shared" si="19"/>
        <v>230</v>
      </c>
      <c r="CA20" s="3781">
        <f t="shared" si="19"/>
        <v>108</v>
      </c>
      <c r="CB20" s="3781">
        <f t="shared" si="19"/>
        <v>83</v>
      </c>
      <c r="CC20" s="3782">
        <f t="shared" si="19"/>
        <v>477</v>
      </c>
      <c r="CD20" s="3790">
        <f t="shared" si="19"/>
        <v>67</v>
      </c>
      <c r="CE20" s="3781">
        <f t="shared" si="19"/>
        <v>237</v>
      </c>
      <c r="CF20" s="3781">
        <f t="shared" si="19"/>
        <v>112</v>
      </c>
      <c r="CG20" s="3781">
        <f t="shared" si="19"/>
        <v>85</v>
      </c>
      <c r="CH20" s="3782">
        <f t="shared" si="19"/>
        <v>501</v>
      </c>
      <c r="CI20" s="3790">
        <f t="shared" ref="CI20:CM20" si="20">SUM(CI17:CI19)</f>
        <v>57</v>
      </c>
      <c r="CJ20" s="3781">
        <f t="shared" si="20"/>
        <v>232</v>
      </c>
      <c r="CK20" s="3781">
        <f t="shared" si="20"/>
        <v>111</v>
      </c>
      <c r="CL20" s="3781">
        <f t="shared" si="20"/>
        <v>92</v>
      </c>
      <c r="CM20" s="3782">
        <f t="shared" si="20"/>
        <v>492</v>
      </c>
    </row>
    <row r="21" spans="1:91" ht="14.1" customHeight="1" x14ac:dyDescent="0.2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AJ21" s="23"/>
      <c r="AO21" s="23"/>
    </row>
    <row r="22" spans="1:91" ht="14.1" customHeight="1" x14ac:dyDescent="0.2">
      <c r="A22" s="1789" t="s">
        <v>5</v>
      </c>
      <c r="B22" s="871"/>
      <c r="C22" s="872"/>
      <c r="D22" s="872"/>
      <c r="E22" s="872"/>
      <c r="F22" s="3774"/>
      <c r="G22" s="871"/>
      <c r="H22" s="872"/>
      <c r="I22" s="872"/>
      <c r="J22" s="872"/>
      <c r="K22" s="3774"/>
      <c r="L22" s="871"/>
      <c r="M22" s="872"/>
      <c r="N22" s="872"/>
      <c r="O22" s="872"/>
      <c r="P22" s="3774"/>
      <c r="Q22" s="871"/>
      <c r="R22" s="872"/>
      <c r="S22" s="872"/>
      <c r="T22" s="872"/>
      <c r="U22" s="3774"/>
      <c r="V22" s="871"/>
      <c r="W22" s="872"/>
      <c r="X22" s="872"/>
      <c r="Y22" s="872"/>
      <c r="Z22" s="3774"/>
      <c r="AA22" s="871"/>
      <c r="AB22" s="872"/>
      <c r="AC22" s="872"/>
      <c r="AD22" s="872"/>
      <c r="AE22" s="3774"/>
      <c r="AF22" s="871"/>
      <c r="AG22" s="872"/>
      <c r="AH22" s="872"/>
      <c r="AI22" s="872"/>
      <c r="AJ22" s="3774"/>
      <c r="AK22" s="871"/>
      <c r="AL22" s="872"/>
      <c r="AM22" s="872"/>
      <c r="AN22" s="872"/>
      <c r="AO22" s="3774"/>
      <c r="AP22" s="871"/>
      <c r="AQ22" s="872"/>
      <c r="AR22" s="872"/>
      <c r="AS22" s="872"/>
      <c r="AT22" s="3774"/>
      <c r="AU22" s="871"/>
      <c r="AV22" s="872"/>
      <c r="AW22" s="872"/>
      <c r="AX22" s="872"/>
      <c r="AY22" s="3774"/>
      <c r="AZ22" s="871"/>
      <c r="BA22" s="872">
        <v>2</v>
      </c>
      <c r="BB22" s="872"/>
      <c r="BC22" s="872"/>
      <c r="BD22" s="3774">
        <f t="shared" si="5"/>
        <v>2</v>
      </c>
      <c r="BE22" s="871">
        <v>1</v>
      </c>
      <c r="BF22" s="872">
        <v>3</v>
      </c>
      <c r="BG22" s="872"/>
      <c r="BH22" s="872"/>
      <c r="BI22" s="3774">
        <f t="shared" si="6"/>
        <v>4</v>
      </c>
      <c r="BJ22" s="871">
        <v>1</v>
      </c>
      <c r="BK22" s="872">
        <v>3</v>
      </c>
      <c r="BL22" s="872"/>
      <c r="BM22" s="872"/>
      <c r="BN22" s="3774">
        <f t="shared" si="7"/>
        <v>4</v>
      </c>
      <c r="BO22" s="871">
        <v>1</v>
      </c>
      <c r="BP22" s="872">
        <v>8</v>
      </c>
      <c r="BQ22" s="872"/>
      <c r="BR22" s="872"/>
      <c r="BS22" s="3774">
        <f t="shared" si="8"/>
        <v>9</v>
      </c>
      <c r="BT22" s="871">
        <v>1</v>
      </c>
      <c r="BU22" s="872">
        <v>5</v>
      </c>
      <c r="BV22" s="872"/>
      <c r="BW22" s="872"/>
      <c r="BX22" s="3774">
        <f t="shared" si="9"/>
        <v>6</v>
      </c>
      <c r="BY22" s="871">
        <v>3</v>
      </c>
      <c r="BZ22" s="872">
        <v>4</v>
      </c>
      <c r="CA22" s="872">
        <v>1</v>
      </c>
      <c r="CB22" s="872"/>
      <c r="CC22" s="3774">
        <f>SUM(BY22:CB22)</f>
        <v>8</v>
      </c>
      <c r="CD22" s="871">
        <v>3</v>
      </c>
      <c r="CE22" s="872">
        <v>5</v>
      </c>
      <c r="CF22" s="872">
        <v>1</v>
      </c>
      <c r="CG22" s="872"/>
      <c r="CH22" s="3774">
        <f>SUM(CD22:CG22)</f>
        <v>9</v>
      </c>
      <c r="CI22" s="871">
        <v>5</v>
      </c>
      <c r="CJ22" s="872">
        <v>7</v>
      </c>
      <c r="CK22" s="872">
        <v>1</v>
      </c>
      <c r="CL22" s="872"/>
      <c r="CM22" s="3774">
        <f>SUM(CI22:CL22)</f>
        <v>13</v>
      </c>
    </row>
    <row r="23" spans="1:91" ht="14.1" customHeight="1" x14ac:dyDescent="0.2">
      <c r="A23" s="1790" t="s">
        <v>6</v>
      </c>
      <c r="B23" s="881"/>
      <c r="C23" s="882"/>
      <c r="D23" s="882"/>
      <c r="E23" s="882"/>
      <c r="F23" s="3775"/>
      <c r="G23" s="881"/>
      <c r="H23" s="882"/>
      <c r="I23" s="882"/>
      <c r="J23" s="882"/>
      <c r="K23" s="3775"/>
      <c r="L23" s="881"/>
      <c r="M23" s="882"/>
      <c r="N23" s="882"/>
      <c r="O23" s="882"/>
      <c r="P23" s="3775"/>
      <c r="Q23" s="881"/>
      <c r="R23" s="882"/>
      <c r="S23" s="882"/>
      <c r="T23" s="882"/>
      <c r="U23" s="3775"/>
      <c r="V23" s="881"/>
      <c r="W23" s="882"/>
      <c r="X23" s="882"/>
      <c r="Y23" s="882"/>
      <c r="Z23" s="3775"/>
      <c r="AA23" s="881"/>
      <c r="AB23" s="882"/>
      <c r="AC23" s="882"/>
      <c r="AD23" s="882"/>
      <c r="AE23" s="3775"/>
      <c r="AF23" s="881"/>
      <c r="AG23" s="882"/>
      <c r="AH23" s="882"/>
      <c r="AI23" s="882"/>
      <c r="AJ23" s="3775"/>
      <c r="AK23" s="881"/>
      <c r="AL23" s="882"/>
      <c r="AM23" s="882"/>
      <c r="AN23" s="882"/>
      <c r="AO23" s="3775"/>
      <c r="AP23" s="881"/>
      <c r="AQ23" s="882"/>
      <c r="AR23" s="882"/>
      <c r="AS23" s="882"/>
      <c r="AT23" s="3775"/>
      <c r="AU23" s="881"/>
      <c r="AV23" s="882"/>
      <c r="AW23" s="882"/>
      <c r="AX23" s="882"/>
      <c r="AY23" s="3775"/>
      <c r="AZ23" s="881"/>
      <c r="BA23" s="882"/>
      <c r="BB23" s="882"/>
      <c r="BC23" s="882"/>
      <c r="BD23" s="3775">
        <f t="shared" si="5"/>
        <v>0</v>
      </c>
      <c r="BE23" s="881"/>
      <c r="BF23" s="882"/>
      <c r="BG23" s="882"/>
      <c r="BH23" s="882"/>
      <c r="BI23" s="3775">
        <f t="shared" si="6"/>
        <v>0</v>
      </c>
      <c r="BJ23" s="881"/>
      <c r="BK23" s="882">
        <v>1</v>
      </c>
      <c r="BL23" s="882"/>
      <c r="BM23" s="882"/>
      <c r="BN23" s="3775">
        <f t="shared" si="7"/>
        <v>1</v>
      </c>
      <c r="BO23" s="881">
        <v>4</v>
      </c>
      <c r="BP23" s="882">
        <v>1</v>
      </c>
      <c r="BQ23" s="882"/>
      <c r="BR23" s="882"/>
      <c r="BS23" s="3775">
        <f t="shared" si="8"/>
        <v>5</v>
      </c>
      <c r="BT23" s="881">
        <v>5</v>
      </c>
      <c r="BU23" s="882">
        <v>1</v>
      </c>
      <c r="BV23" s="882">
        <v>1</v>
      </c>
      <c r="BW23" s="882"/>
      <c r="BX23" s="3775">
        <f t="shared" si="9"/>
        <v>7</v>
      </c>
      <c r="BY23" s="881">
        <v>6</v>
      </c>
      <c r="BZ23" s="882">
        <v>3</v>
      </c>
      <c r="CA23" s="882">
        <v>2</v>
      </c>
      <c r="CB23" s="882"/>
      <c r="CC23" s="3775">
        <f>SUM(BY23:CB23)</f>
        <v>11</v>
      </c>
      <c r="CD23" s="881">
        <v>5</v>
      </c>
      <c r="CE23" s="882">
        <v>7</v>
      </c>
      <c r="CF23" s="882">
        <v>2</v>
      </c>
      <c r="CG23" s="882"/>
      <c r="CH23" s="3775">
        <f>SUM(CD23:CG23)</f>
        <v>14</v>
      </c>
      <c r="CI23" s="881">
        <v>10</v>
      </c>
      <c r="CJ23" s="882">
        <v>9</v>
      </c>
      <c r="CK23" s="882">
        <v>2</v>
      </c>
      <c r="CL23" s="882"/>
      <c r="CM23" s="3775">
        <f>SUM(CI23:CL23)</f>
        <v>21</v>
      </c>
    </row>
    <row r="24" spans="1:91" ht="14.1" customHeight="1" x14ac:dyDescent="0.2">
      <c r="A24" s="1792" t="s">
        <v>11</v>
      </c>
      <c r="B24" s="3786"/>
      <c r="C24" s="3776"/>
      <c r="D24" s="3776"/>
      <c r="E24" s="3776"/>
      <c r="F24" s="3777"/>
      <c r="G24" s="3786"/>
      <c r="H24" s="3776"/>
      <c r="I24" s="3776"/>
      <c r="J24" s="3776"/>
      <c r="K24" s="3777"/>
      <c r="L24" s="3786"/>
      <c r="M24" s="3776"/>
      <c r="N24" s="3776"/>
      <c r="O24" s="3776"/>
      <c r="P24" s="3777"/>
      <c r="Q24" s="3786"/>
      <c r="R24" s="3776"/>
      <c r="S24" s="3776"/>
      <c r="T24" s="3776"/>
      <c r="U24" s="3777"/>
      <c r="V24" s="3786"/>
      <c r="W24" s="3776"/>
      <c r="X24" s="3776"/>
      <c r="Y24" s="3776"/>
      <c r="Z24" s="3777"/>
      <c r="AA24" s="3786"/>
      <c r="AB24" s="3776"/>
      <c r="AC24" s="3776"/>
      <c r="AD24" s="3776"/>
      <c r="AE24" s="3777"/>
      <c r="AF24" s="3786"/>
      <c r="AG24" s="3776"/>
      <c r="AH24" s="3776"/>
      <c r="AI24" s="3776"/>
      <c r="AJ24" s="3777"/>
      <c r="AK24" s="3786"/>
      <c r="AL24" s="3776"/>
      <c r="AM24" s="3776"/>
      <c r="AN24" s="3776"/>
      <c r="AO24" s="3777"/>
      <c r="AP24" s="3786"/>
      <c r="AQ24" s="3776"/>
      <c r="AR24" s="3776"/>
      <c r="AS24" s="3776"/>
      <c r="AT24" s="3777"/>
      <c r="AU24" s="3786"/>
      <c r="AV24" s="3776"/>
      <c r="AW24" s="3776"/>
      <c r="AX24" s="3776"/>
      <c r="AY24" s="3777"/>
      <c r="AZ24" s="3786"/>
      <c r="BA24" s="3776">
        <v>1</v>
      </c>
      <c r="BB24" s="3776">
        <v>1</v>
      </c>
      <c r="BC24" s="3776"/>
      <c r="BD24" s="3777">
        <f t="shared" si="5"/>
        <v>2</v>
      </c>
      <c r="BE24" s="3786">
        <v>1</v>
      </c>
      <c r="BF24" s="3776">
        <v>5</v>
      </c>
      <c r="BG24" s="3776">
        <v>1</v>
      </c>
      <c r="BH24" s="3776"/>
      <c r="BI24" s="3777">
        <f t="shared" si="6"/>
        <v>7</v>
      </c>
      <c r="BJ24" s="3786">
        <v>1</v>
      </c>
      <c r="BK24" s="3776">
        <v>5</v>
      </c>
      <c r="BL24" s="3776">
        <v>2</v>
      </c>
      <c r="BM24" s="3776"/>
      <c r="BN24" s="3777">
        <f t="shared" si="7"/>
        <v>8</v>
      </c>
      <c r="BO24" s="3786">
        <v>5</v>
      </c>
      <c r="BP24" s="3776">
        <v>8</v>
      </c>
      <c r="BQ24" s="3776">
        <v>4</v>
      </c>
      <c r="BR24" s="3776"/>
      <c r="BS24" s="3777">
        <f t="shared" si="8"/>
        <v>17</v>
      </c>
      <c r="BT24" s="3786">
        <v>5</v>
      </c>
      <c r="BU24" s="3776">
        <v>7</v>
      </c>
      <c r="BV24" s="3776">
        <v>3</v>
      </c>
      <c r="BW24" s="3776"/>
      <c r="BX24" s="3777">
        <f t="shared" si="9"/>
        <v>15</v>
      </c>
      <c r="BY24" s="3786">
        <v>6</v>
      </c>
      <c r="BZ24" s="3776">
        <v>6</v>
      </c>
      <c r="CA24" s="3776">
        <v>3</v>
      </c>
      <c r="CB24" s="3776"/>
      <c r="CC24" s="3777">
        <f>SUM(BY24:CB24)</f>
        <v>15</v>
      </c>
      <c r="CD24" s="3786">
        <v>4</v>
      </c>
      <c r="CE24" s="3776">
        <v>7</v>
      </c>
      <c r="CF24" s="3776">
        <v>3</v>
      </c>
      <c r="CG24" s="3776"/>
      <c r="CH24" s="3777">
        <f>SUM(CD24:CG24)</f>
        <v>14</v>
      </c>
      <c r="CI24" s="3786">
        <v>3</v>
      </c>
      <c r="CJ24" s="3776">
        <v>11</v>
      </c>
      <c r="CK24" s="3776">
        <v>3</v>
      </c>
      <c r="CL24" s="3776"/>
      <c r="CM24" s="3777">
        <f>SUM(CI24:CL24)</f>
        <v>17</v>
      </c>
    </row>
    <row r="25" spans="1:91" ht="15" customHeight="1" x14ac:dyDescent="0.2">
      <c r="A25" s="2610" t="s">
        <v>408</v>
      </c>
      <c r="B25" s="3791"/>
      <c r="C25" s="3783"/>
      <c r="D25" s="3783"/>
      <c r="E25" s="3783"/>
      <c r="F25" s="3792"/>
      <c r="G25" s="3791"/>
      <c r="H25" s="3783"/>
      <c r="I25" s="3783"/>
      <c r="J25" s="3783"/>
      <c r="K25" s="3792"/>
      <c r="L25" s="3791"/>
      <c r="M25" s="3783"/>
      <c r="N25" s="3783"/>
      <c r="O25" s="3783"/>
      <c r="P25" s="3792"/>
      <c r="Q25" s="3791"/>
      <c r="R25" s="3783"/>
      <c r="S25" s="3783"/>
      <c r="T25" s="3783"/>
      <c r="U25" s="3792"/>
      <c r="V25" s="3791"/>
      <c r="W25" s="3783"/>
      <c r="X25" s="3783"/>
      <c r="Y25" s="3783"/>
      <c r="Z25" s="3792"/>
      <c r="AA25" s="3791"/>
      <c r="AB25" s="3783"/>
      <c r="AC25" s="3783"/>
      <c r="AD25" s="3783"/>
      <c r="AE25" s="3792"/>
      <c r="AF25" s="3791"/>
      <c r="AG25" s="3783"/>
      <c r="AH25" s="3783"/>
      <c r="AI25" s="3783"/>
      <c r="AJ25" s="3792"/>
      <c r="AK25" s="3791"/>
      <c r="AL25" s="3783"/>
      <c r="AM25" s="3783"/>
      <c r="AN25" s="3783"/>
      <c r="AO25" s="3792"/>
      <c r="AP25" s="3791"/>
      <c r="AQ25" s="3783"/>
      <c r="AR25" s="3783"/>
      <c r="AS25" s="3783"/>
      <c r="AT25" s="3792"/>
      <c r="AU25" s="3791"/>
      <c r="AV25" s="3783"/>
      <c r="AW25" s="3783"/>
      <c r="AX25" s="3783"/>
      <c r="AY25" s="3792"/>
      <c r="AZ25" s="3791"/>
      <c r="BA25" s="3783">
        <f>SUM(BA22:BA24)</f>
        <v>3</v>
      </c>
      <c r="BB25" s="3783">
        <f t="shared" ref="BB25:BX25" si="21">SUM(BB22:BB24)</f>
        <v>1</v>
      </c>
      <c r="BC25" s="3783"/>
      <c r="BD25" s="3792">
        <f t="shared" si="21"/>
        <v>4</v>
      </c>
      <c r="BE25" s="3791">
        <f t="shared" si="21"/>
        <v>2</v>
      </c>
      <c r="BF25" s="3783">
        <f t="shared" si="21"/>
        <v>8</v>
      </c>
      <c r="BG25" s="3783">
        <f t="shared" si="21"/>
        <v>1</v>
      </c>
      <c r="BH25" s="3783"/>
      <c r="BI25" s="3792">
        <f t="shared" si="21"/>
        <v>11</v>
      </c>
      <c r="BJ25" s="3791">
        <f t="shared" si="21"/>
        <v>2</v>
      </c>
      <c r="BK25" s="3783">
        <f t="shared" si="21"/>
        <v>9</v>
      </c>
      <c r="BL25" s="3783">
        <f t="shared" si="21"/>
        <v>2</v>
      </c>
      <c r="BM25" s="3783"/>
      <c r="BN25" s="3792">
        <f t="shared" si="21"/>
        <v>13</v>
      </c>
      <c r="BO25" s="3791">
        <f t="shared" si="21"/>
        <v>10</v>
      </c>
      <c r="BP25" s="3783">
        <f t="shared" si="21"/>
        <v>17</v>
      </c>
      <c r="BQ25" s="3783">
        <f t="shared" si="21"/>
        <v>4</v>
      </c>
      <c r="BR25" s="3783"/>
      <c r="BS25" s="3792">
        <f t="shared" si="21"/>
        <v>31</v>
      </c>
      <c r="BT25" s="3791">
        <f t="shared" si="21"/>
        <v>11</v>
      </c>
      <c r="BU25" s="3783">
        <f t="shared" si="21"/>
        <v>13</v>
      </c>
      <c r="BV25" s="3783">
        <f t="shared" si="21"/>
        <v>4</v>
      </c>
      <c r="BW25" s="3783"/>
      <c r="BX25" s="3792">
        <f t="shared" si="21"/>
        <v>28</v>
      </c>
      <c r="BY25" s="3791">
        <f>SUM(BY22:BY24)</f>
        <v>15</v>
      </c>
      <c r="BZ25" s="3783">
        <f>SUM(BZ22:BZ24)</f>
        <v>13</v>
      </c>
      <c r="CA25" s="3783">
        <f>SUM(CA22:CA24)</f>
        <v>6</v>
      </c>
      <c r="CB25" s="3783"/>
      <c r="CC25" s="3792">
        <f>SUM(CC22:CC24)</f>
        <v>34</v>
      </c>
      <c r="CD25" s="3791">
        <f>SUM(CD22:CD24)</f>
        <v>12</v>
      </c>
      <c r="CE25" s="3783">
        <f>SUM(CE22:CE24)</f>
        <v>19</v>
      </c>
      <c r="CF25" s="3783">
        <f>SUM(CF22:CF24)</f>
        <v>6</v>
      </c>
      <c r="CG25" s="3783"/>
      <c r="CH25" s="3792">
        <f>SUM(CH22:CH24)</f>
        <v>37</v>
      </c>
      <c r="CI25" s="3791">
        <f>SUM(CI22:CI24)</f>
        <v>18</v>
      </c>
      <c r="CJ25" s="3783">
        <f>SUM(CJ22:CJ24)</f>
        <v>27</v>
      </c>
      <c r="CK25" s="3783">
        <f>SUM(CK22:CK24)</f>
        <v>6</v>
      </c>
      <c r="CL25" s="3783"/>
      <c r="CM25" s="3792">
        <f>SUM(CM22:CM24)</f>
        <v>51</v>
      </c>
    </row>
    <row r="26" spans="1:91" ht="15" customHeight="1" x14ac:dyDescent="0.2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AJ26" s="23"/>
      <c r="AO26" s="23"/>
    </row>
    <row r="27" spans="1:91" ht="15" customHeight="1" x14ac:dyDescent="0.2">
      <c r="A27" s="1789" t="s">
        <v>6</v>
      </c>
      <c r="B27" s="871">
        <v>8</v>
      </c>
      <c r="C27" s="872">
        <v>41</v>
      </c>
      <c r="D27" s="872">
        <v>5</v>
      </c>
      <c r="E27" s="872">
        <v>2</v>
      </c>
      <c r="F27" s="3774">
        <f>SUM(B27:E27)</f>
        <v>56</v>
      </c>
      <c r="G27" s="871">
        <v>5</v>
      </c>
      <c r="H27" s="872">
        <v>41</v>
      </c>
      <c r="I27" s="872">
        <v>14</v>
      </c>
      <c r="J27" s="872">
        <v>2</v>
      </c>
      <c r="K27" s="3774">
        <f>SUM(G27:J27)</f>
        <v>62</v>
      </c>
      <c r="L27" s="871">
        <v>1</v>
      </c>
      <c r="M27" s="872">
        <v>40</v>
      </c>
      <c r="N27" s="872">
        <v>20</v>
      </c>
      <c r="O27" s="872">
        <v>2</v>
      </c>
      <c r="P27" s="3774">
        <f>SUM(L27:O27)</f>
        <v>63</v>
      </c>
      <c r="Q27" s="871">
        <v>1</v>
      </c>
      <c r="R27" s="872">
        <v>41</v>
      </c>
      <c r="S27" s="872">
        <v>21</v>
      </c>
      <c r="T27" s="872">
        <v>2</v>
      </c>
      <c r="U27" s="3774">
        <f>SUM(Q27:T27)</f>
        <v>65</v>
      </c>
      <c r="V27" s="871"/>
      <c r="W27" s="872">
        <v>50</v>
      </c>
      <c r="X27" s="872">
        <v>24</v>
      </c>
      <c r="Y27" s="872">
        <v>2</v>
      </c>
      <c r="Z27" s="3774">
        <f>SUM(V27:Y27)</f>
        <v>76</v>
      </c>
      <c r="AA27" s="871"/>
      <c r="AB27" s="872">
        <v>50</v>
      </c>
      <c r="AC27" s="872">
        <v>25</v>
      </c>
      <c r="AD27" s="872">
        <v>5</v>
      </c>
      <c r="AE27" s="3774">
        <f t="shared" si="0"/>
        <v>80</v>
      </c>
      <c r="AF27" s="871">
        <v>1</v>
      </c>
      <c r="AG27" s="872">
        <v>53</v>
      </c>
      <c r="AH27" s="872">
        <v>31</v>
      </c>
      <c r="AI27" s="872">
        <v>5</v>
      </c>
      <c r="AJ27" s="3774">
        <f t="shared" si="1"/>
        <v>90</v>
      </c>
      <c r="AK27" s="871">
        <v>1</v>
      </c>
      <c r="AL27" s="872">
        <v>58</v>
      </c>
      <c r="AM27" s="872">
        <v>34</v>
      </c>
      <c r="AN27" s="872">
        <v>5</v>
      </c>
      <c r="AO27" s="3774">
        <f t="shared" si="2"/>
        <v>98</v>
      </c>
      <c r="AP27" s="871">
        <v>2</v>
      </c>
      <c r="AQ27" s="872">
        <v>65</v>
      </c>
      <c r="AR27" s="872">
        <v>38</v>
      </c>
      <c r="AS27" s="872">
        <v>7</v>
      </c>
      <c r="AT27" s="3774">
        <f t="shared" si="3"/>
        <v>112</v>
      </c>
      <c r="AU27" s="871">
        <v>2</v>
      </c>
      <c r="AV27" s="872">
        <v>65</v>
      </c>
      <c r="AW27" s="872">
        <v>38</v>
      </c>
      <c r="AX27" s="872">
        <v>7</v>
      </c>
      <c r="AY27" s="3774">
        <f t="shared" si="4"/>
        <v>112</v>
      </c>
      <c r="AZ27" s="871">
        <v>3</v>
      </c>
      <c r="BA27" s="872">
        <v>68</v>
      </c>
      <c r="BB27" s="872">
        <v>34</v>
      </c>
      <c r="BC27" s="872">
        <v>11</v>
      </c>
      <c r="BD27" s="3774">
        <f t="shared" si="5"/>
        <v>116</v>
      </c>
      <c r="BE27" s="871">
        <v>3</v>
      </c>
      <c r="BF27" s="872">
        <v>67</v>
      </c>
      <c r="BG27" s="872">
        <v>34</v>
      </c>
      <c r="BH27" s="872">
        <v>11</v>
      </c>
      <c r="BI27" s="3774">
        <f t="shared" si="6"/>
        <v>115</v>
      </c>
      <c r="BJ27" s="871">
        <v>8</v>
      </c>
      <c r="BK27" s="872">
        <v>65</v>
      </c>
      <c r="BL27" s="872">
        <v>35</v>
      </c>
      <c r="BM27" s="872">
        <v>12</v>
      </c>
      <c r="BN27" s="3774">
        <f t="shared" si="7"/>
        <v>120</v>
      </c>
      <c r="BO27" s="871">
        <v>15</v>
      </c>
      <c r="BP27" s="872">
        <v>63</v>
      </c>
      <c r="BQ27" s="872">
        <v>34</v>
      </c>
      <c r="BR27" s="872">
        <v>13</v>
      </c>
      <c r="BS27" s="3774">
        <f t="shared" si="8"/>
        <v>125</v>
      </c>
      <c r="BT27" s="871">
        <v>17</v>
      </c>
      <c r="BU27" s="872">
        <v>66</v>
      </c>
      <c r="BV27" s="872">
        <v>29</v>
      </c>
      <c r="BW27" s="872">
        <v>16</v>
      </c>
      <c r="BX27" s="3774">
        <f t="shared" si="9"/>
        <v>128</v>
      </c>
      <c r="BY27" s="871">
        <v>14</v>
      </c>
      <c r="BZ27" s="872">
        <v>60</v>
      </c>
      <c r="CA27" s="872">
        <v>32</v>
      </c>
      <c r="CB27" s="872">
        <v>17</v>
      </c>
      <c r="CC27" s="3774">
        <f>SUM(BY27:CB27)</f>
        <v>123</v>
      </c>
      <c r="CD27" s="871">
        <v>10</v>
      </c>
      <c r="CE27" s="872">
        <v>63</v>
      </c>
      <c r="CF27" s="872">
        <v>30</v>
      </c>
      <c r="CG27" s="872">
        <v>20</v>
      </c>
      <c r="CH27" s="3774">
        <f>SUM(CD27:CG27)</f>
        <v>123</v>
      </c>
      <c r="CI27" s="871">
        <v>6</v>
      </c>
      <c r="CJ27" s="872">
        <v>58</v>
      </c>
      <c r="CK27" s="872">
        <v>33</v>
      </c>
      <c r="CL27" s="872">
        <v>20</v>
      </c>
      <c r="CM27" s="3774">
        <f>SUM(CI27:CL27)</f>
        <v>117</v>
      </c>
    </row>
    <row r="28" spans="1:91" ht="15" customHeight="1" x14ac:dyDescent="0.2">
      <c r="A28" s="1790" t="s">
        <v>11</v>
      </c>
      <c r="B28" s="881">
        <v>2</v>
      </c>
      <c r="C28" s="882">
        <v>19</v>
      </c>
      <c r="D28" s="882">
        <v>1</v>
      </c>
      <c r="E28" s="882"/>
      <c r="F28" s="3775">
        <f>SUM(B28:E28)</f>
        <v>22</v>
      </c>
      <c r="G28" s="881">
        <v>5</v>
      </c>
      <c r="H28" s="882">
        <v>23</v>
      </c>
      <c r="I28" s="882"/>
      <c r="J28" s="882"/>
      <c r="K28" s="3775">
        <f>SUM(G28:J28)</f>
        <v>28</v>
      </c>
      <c r="L28" s="881">
        <v>4</v>
      </c>
      <c r="M28" s="882">
        <v>25</v>
      </c>
      <c r="N28" s="882">
        <v>2</v>
      </c>
      <c r="O28" s="882"/>
      <c r="P28" s="3775">
        <f>SUM(L28:O28)</f>
        <v>31</v>
      </c>
      <c r="Q28" s="881">
        <v>4</v>
      </c>
      <c r="R28" s="882">
        <v>27</v>
      </c>
      <c r="S28" s="882">
        <v>2</v>
      </c>
      <c r="T28" s="882"/>
      <c r="U28" s="3775">
        <f>SUM(Q28:T28)</f>
        <v>33</v>
      </c>
      <c r="V28" s="881">
        <v>7</v>
      </c>
      <c r="W28" s="882">
        <v>41</v>
      </c>
      <c r="X28" s="882">
        <v>4</v>
      </c>
      <c r="Y28" s="882"/>
      <c r="Z28" s="3775">
        <f>SUM(V28:Y28)</f>
        <v>52</v>
      </c>
      <c r="AA28" s="881">
        <v>4</v>
      </c>
      <c r="AB28" s="882">
        <v>45</v>
      </c>
      <c r="AC28" s="882">
        <v>4</v>
      </c>
      <c r="AD28" s="882"/>
      <c r="AE28" s="3775">
        <f t="shared" si="0"/>
        <v>53</v>
      </c>
      <c r="AF28" s="881">
        <v>3</v>
      </c>
      <c r="AG28" s="882">
        <v>45</v>
      </c>
      <c r="AH28" s="882">
        <v>4</v>
      </c>
      <c r="AI28" s="882">
        <v>2</v>
      </c>
      <c r="AJ28" s="3775">
        <f t="shared" si="1"/>
        <v>54</v>
      </c>
      <c r="AK28" s="881">
        <v>3</v>
      </c>
      <c r="AL28" s="882">
        <v>43</v>
      </c>
      <c r="AM28" s="882">
        <v>6</v>
      </c>
      <c r="AN28" s="882">
        <v>2</v>
      </c>
      <c r="AO28" s="3775">
        <f t="shared" si="2"/>
        <v>54</v>
      </c>
      <c r="AP28" s="881">
        <v>7</v>
      </c>
      <c r="AQ28" s="882">
        <v>55</v>
      </c>
      <c r="AR28" s="882">
        <v>12</v>
      </c>
      <c r="AS28" s="882">
        <v>2</v>
      </c>
      <c r="AT28" s="3775">
        <f t="shared" si="3"/>
        <v>76</v>
      </c>
      <c r="AU28" s="881">
        <v>7</v>
      </c>
      <c r="AV28" s="882">
        <v>55</v>
      </c>
      <c r="AW28" s="882">
        <v>12</v>
      </c>
      <c r="AX28" s="882">
        <v>2</v>
      </c>
      <c r="AY28" s="3775">
        <f t="shared" si="4"/>
        <v>76</v>
      </c>
      <c r="AZ28" s="881">
        <v>8</v>
      </c>
      <c r="BA28" s="882">
        <v>53</v>
      </c>
      <c r="BB28" s="882">
        <v>14</v>
      </c>
      <c r="BC28" s="882">
        <v>1</v>
      </c>
      <c r="BD28" s="3775">
        <f t="shared" si="5"/>
        <v>76</v>
      </c>
      <c r="BE28" s="881">
        <v>8</v>
      </c>
      <c r="BF28" s="882">
        <v>55</v>
      </c>
      <c r="BG28" s="882">
        <v>14</v>
      </c>
      <c r="BH28" s="882">
        <v>2</v>
      </c>
      <c r="BI28" s="3775">
        <f t="shared" si="6"/>
        <v>79</v>
      </c>
      <c r="BJ28" s="881">
        <v>9</v>
      </c>
      <c r="BK28" s="882">
        <v>61</v>
      </c>
      <c r="BL28" s="882">
        <v>14</v>
      </c>
      <c r="BM28" s="882">
        <v>2</v>
      </c>
      <c r="BN28" s="3775">
        <f t="shared" si="7"/>
        <v>86</v>
      </c>
      <c r="BO28" s="881">
        <v>14</v>
      </c>
      <c r="BP28" s="882">
        <v>66</v>
      </c>
      <c r="BQ28" s="882">
        <v>15</v>
      </c>
      <c r="BR28" s="882">
        <v>3</v>
      </c>
      <c r="BS28" s="3775">
        <f t="shared" si="8"/>
        <v>98</v>
      </c>
      <c r="BT28" s="881">
        <v>23</v>
      </c>
      <c r="BU28" s="882">
        <v>61</v>
      </c>
      <c r="BV28" s="882">
        <v>15</v>
      </c>
      <c r="BW28" s="882">
        <v>3</v>
      </c>
      <c r="BX28" s="3775">
        <f t="shared" si="9"/>
        <v>102</v>
      </c>
      <c r="BY28" s="881">
        <v>17</v>
      </c>
      <c r="BZ28" s="882">
        <v>67</v>
      </c>
      <c r="CA28" s="882">
        <v>20</v>
      </c>
      <c r="CB28" s="882">
        <v>4</v>
      </c>
      <c r="CC28" s="3775">
        <f>SUM(BY28:CB28)</f>
        <v>108</v>
      </c>
      <c r="CD28" s="881">
        <v>23</v>
      </c>
      <c r="CE28" s="882">
        <v>72</v>
      </c>
      <c r="CF28" s="882">
        <v>19</v>
      </c>
      <c r="CG28" s="882">
        <v>6</v>
      </c>
      <c r="CH28" s="3775">
        <f>SUM(CD28:CG28)</f>
        <v>120</v>
      </c>
      <c r="CI28" s="881">
        <v>20</v>
      </c>
      <c r="CJ28" s="882">
        <v>68</v>
      </c>
      <c r="CK28" s="882">
        <v>22</v>
      </c>
      <c r="CL28" s="882">
        <v>6</v>
      </c>
      <c r="CM28" s="3775">
        <f>SUM(CI28:CL28)</f>
        <v>116</v>
      </c>
    </row>
    <row r="29" spans="1:91" ht="15" customHeight="1" x14ac:dyDescent="0.2">
      <c r="A29" s="1792" t="s">
        <v>7</v>
      </c>
      <c r="B29" s="3786"/>
      <c r="C29" s="3776">
        <v>7</v>
      </c>
      <c r="D29" s="3776">
        <v>1</v>
      </c>
      <c r="E29" s="3776"/>
      <c r="F29" s="3777">
        <f>SUM(B29:E29)</f>
        <v>8</v>
      </c>
      <c r="G29" s="3786"/>
      <c r="H29" s="3776">
        <v>9</v>
      </c>
      <c r="I29" s="3776"/>
      <c r="J29" s="3776">
        <v>1</v>
      </c>
      <c r="K29" s="3777">
        <f>SUM(G29:J29)</f>
        <v>10</v>
      </c>
      <c r="L29" s="3786"/>
      <c r="M29" s="3776">
        <v>8</v>
      </c>
      <c r="N29" s="3776">
        <v>1</v>
      </c>
      <c r="O29" s="3776"/>
      <c r="P29" s="3777">
        <f>SUM(L29:O29)</f>
        <v>9</v>
      </c>
      <c r="Q29" s="3786"/>
      <c r="R29" s="3776">
        <v>8</v>
      </c>
      <c r="S29" s="3776">
        <v>1</v>
      </c>
      <c r="T29" s="3776"/>
      <c r="U29" s="3777">
        <f>SUM(Q29:T29)</f>
        <v>9</v>
      </c>
      <c r="V29" s="3786"/>
      <c r="W29" s="3776">
        <v>10</v>
      </c>
      <c r="X29" s="3776">
        <v>2</v>
      </c>
      <c r="Y29" s="3776"/>
      <c r="Z29" s="3777">
        <f>SUM(V29:Y29)</f>
        <v>12</v>
      </c>
      <c r="AA29" s="3786"/>
      <c r="AB29" s="3776">
        <v>10</v>
      </c>
      <c r="AC29" s="3776">
        <v>5</v>
      </c>
      <c r="AD29" s="3776"/>
      <c r="AE29" s="3777">
        <f t="shared" si="0"/>
        <v>15</v>
      </c>
      <c r="AF29" s="3786"/>
      <c r="AG29" s="3776">
        <v>12</v>
      </c>
      <c r="AH29" s="3776">
        <v>5</v>
      </c>
      <c r="AI29" s="3776"/>
      <c r="AJ29" s="3777">
        <f t="shared" si="1"/>
        <v>17</v>
      </c>
      <c r="AK29" s="3786"/>
      <c r="AL29" s="3776">
        <v>14</v>
      </c>
      <c r="AM29" s="3776">
        <v>6</v>
      </c>
      <c r="AN29" s="3776"/>
      <c r="AO29" s="3777">
        <f t="shared" si="2"/>
        <v>20</v>
      </c>
      <c r="AP29" s="3786"/>
      <c r="AQ29" s="3776">
        <v>9</v>
      </c>
      <c r="AR29" s="3776">
        <v>9</v>
      </c>
      <c r="AS29" s="3776"/>
      <c r="AT29" s="3777">
        <f t="shared" si="3"/>
        <v>18</v>
      </c>
      <c r="AU29" s="3786"/>
      <c r="AV29" s="3776">
        <v>9</v>
      </c>
      <c r="AW29" s="3776">
        <v>9</v>
      </c>
      <c r="AX29" s="3776"/>
      <c r="AY29" s="3777">
        <f t="shared" si="4"/>
        <v>18</v>
      </c>
      <c r="AZ29" s="3786">
        <v>1</v>
      </c>
      <c r="BA29" s="3776">
        <v>8</v>
      </c>
      <c r="BB29" s="3776">
        <v>9</v>
      </c>
      <c r="BC29" s="3776">
        <v>1</v>
      </c>
      <c r="BD29" s="3777">
        <f t="shared" si="5"/>
        <v>19</v>
      </c>
      <c r="BE29" s="3786">
        <v>1</v>
      </c>
      <c r="BF29" s="3776">
        <v>8</v>
      </c>
      <c r="BG29" s="3776">
        <v>9</v>
      </c>
      <c r="BH29" s="3776">
        <v>1</v>
      </c>
      <c r="BI29" s="3777">
        <f t="shared" si="6"/>
        <v>19</v>
      </c>
      <c r="BJ29" s="3786">
        <v>1</v>
      </c>
      <c r="BK29" s="3776">
        <v>9</v>
      </c>
      <c r="BL29" s="3776">
        <v>8</v>
      </c>
      <c r="BM29" s="3776">
        <v>1</v>
      </c>
      <c r="BN29" s="3777">
        <f t="shared" si="7"/>
        <v>19</v>
      </c>
      <c r="BO29" s="3786">
        <v>2</v>
      </c>
      <c r="BP29" s="3776">
        <v>11</v>
      </c>
      <c r="BQ29" s="3776">
        <v>5</v>
      </c>
      <c r="BR29" s="3776">
        <v>2</v>
      </c>
      <c r="BS29" s="3777">
        <f t="shared" si="8"/>
        <v>20</v>
      </c>
      <c r="BT29" s="3786">
        <v>1</v>
      </c>
      <c r="BU29" s="3776">
        <v>10</v>
      </c>
      <c r="BV29" s="3776">
        <v>6</v>
      </c>
      <c r="BW29" s="3776">
        <v>2</v>
      </c>
      <c r="BX29" s="3777">
        <f t="shared" si="9"/>
        <v>19</v>
      </c>
      <c r="BY29" s="3786"/>
      <c r="BZ29" s="3776">
        <v>9</v>
      </c>
      <c r="CA29" s="3776">
        <v>5</v>
      </c>
      <c r="CB29" s="3776">
        <v>2</v>
      </c>
      <c r="CC29" s="3777">
        <f>SUM(BY29:CB29)</f>
        <v>16</v>
      </c>
      <c r="CD29" s="3786">
        <v>0</v>
      </c>
      <c r="CE29" s="3776">
        <v>8</v>
      </c>
      <c r="CF29" s="3776">
        <v>5</v>
      </c>
      <c r="CG29" s="3776">
        <v>2</v>
      </c>
      <c r="CH29" s="3777">
        <f>SUM(CD29:CG29)</f>
        <v>15</v>
      </c>
      <c r="CI29" s="3786">
        <v>2</v>
      </c>
      <c r="CJ29" s="3776">
        <v>7</v>
      </c>
      <c r="CK29" s="3776">
        <v>5</v>
      </c>
      <c r="CL29" s="3776">
        <v>2</v>
      </c>
      <c r="CM29" s="3777">
        <f>SUM(CI29:CL29)</f>
        <v>16</v>
      </c>
    </row>
    <row r="30" spans="1:91" ht="15" customHeight="1" x14ac:dyDescent="0.2">
      <c r="A30" s="2611" t="s">
        <v>163</v>
      </c>
      <c r="B30" s="3793">
        <f>SUM(B27:B29)</f>
        <v>10</v>
      </c>
      <c r="C30" s="3784">
        <f t="shared" ref="C30:BN30" si="22">SUM(C27:C29)</f>
        <v>67</v>
      </c>
      <c r="D30" s="3784">
        <f t="shared" si="22"/>
        <v>7</v>
      </c>
      <c r="E30" s="3784">
        <f t="shared" si="22"/>
        <v>2</v>
      </c>
      <c r="F30" s="3785">
        <f t="shared" si="22"/>
        <v>86</v>
      </c>
      <c r="G30" s="3793">
        <f t="shared" si="22"/>
        <v>10</v>
      </c>
      <c r="H30" s="3784">
        <f t="shared" si="22"/>
        <v>73</v>
      </c>
      <c r="I30" s="3784">
        <f t="shared" si="22"/>
        <v>14</v>
      </c>
      <c r="J30" s="3784">
        <f t="shared" si="22"/>
        <v>3</v>
      </c>
      <c r="K30" s="3785">
        <f t="shared" si="22"/>
        <v>100</v>
      </c>
      <c r="L30" s="3793">
        <f t="shared" si="22"/>
        <v>5</v>
      </c>
      <c r="M30" s="3784">
        <f t="shared" si="22"/>
        <v>73</v>
      </c>
      <c r="N30" s="3784">
        <f t="shared" si="22"/>
        <v>23</v>
      </c>
      <c r="O30" s="3784">
        <f t="shared" si="22"/>
        <v>2</v>
      </c>
      <c r="P30" s="3785">
        <f t="shared" si="22"/>
        <v>103</v>
      </c>
      <c r="Q30" s="3793">
        <f t="shared" si="22"/>
        <v>5</v>
      </c>
      <c r="R30" s="3784">
        <f t="shared" si="22"/>
        <v>76</v>
      </c>
      <c r="S30" s="3784">
        <f t="shared" si="22"/>
        <v>24</v>
      </c>
      <c r="T30" s="3784">
        <f t="shared" si="22"/>
        <v>2</v>
      </c>
      <c r="U30" s="3785">
        <f t="shared" si="22"/>
        <v>107</v>
      </c>
      <c r="V30" s="3793">
        <f t="shared" si="22"/>
        <v>7</v>
      </c>
      <c r="W30" s="3784">
        <f t="shared" si="22"/>
        <v>101</v>
      </c>
      <c r="X30" s="3784">
        <f t="shared" si="22"/>
        <v>30</v>
      </c>
      <c r="Y30" s="3784">
        <f t="shared" si="22"/>
        <v>2</v>
      </c>
      <c r="Z30" s="3785">
        <f t="shared" si="22"/>
        <v>140</v>
      </c>
      <c r="AA30" s="3793">
        <f t="shared" si="22"/>
        <v>4</v>
      </c>
      <c r="AB30" s="3784">
        <f t="shared" si="22"/>
        <v>105</v>
      </c>
      <c r="AC30" s="3784">
        <f t="shared" si="22"/>
        <v>34</v>
      </c>
      <c r="AD30" s="3784">
        <f t="shared" si="22"/>
        <v>5</v>
      </c>
      <c r="AE30" s="3785">
        <f t="shared" si="22"/>
        <v>148</v>
      </c>
      <c r="AF30" s="3793">
        <f t="shared" si="22"/>
        <v>4</v>
      </c>
      <c r="AG30" s="3784">
        <f t="shared" si="22"/>
        <v>110</v>
      </c>
      <c r="AH30" s="3784">
        <f t="shared" si="22"/>
        <v>40</v>
      </c>
      <c r="AI30" s="3784">
        <f t="shared" si="22"/>
        <v>7</v>
      </c>
      <c r="AJ30" s="3785">
        <f t="shared" si="22"/>
        <v>161</v>
      </c>
      <c r="AK30" s="3793">
        <f t="shared" si="22"/>
        <v>4</v>
      </c>
      <c r="AL30" s="3784">
        <f t="shared" si="22"/>
        <v>115</v>
      </c>
      <c r="AM30" s="3784">
        <f t="shared" si="22"/>
        <v>46</v>
      </c>
      <c r="AN30" s="3784">
        <f t="shared" si="22"/>
        <v>7</v>
      </c>
      <c r="AO30" s="3785">
        <f t="shared" si="22"/>
        <v>172</v>
      </c>
      <c r="AP30" s="3793">
        <f t="shared" si="22"/>
        <v>9</v>
      </c>
      <c r="AQ30" s="3784">
        <f t="shared" si="22"/>
        <v>129</v>
      </c>
      <c r="AR30" s="3784">
        <f t="shared" si="22"/>
        <v>59</v>
      </c>
      <c r="AS30" s="3784">
        <f t="shared" si="22"/>
        <v>9</v>
      </c>
      <c r="AT30" s="3785">
        <f t="shared" si="22"/>
        <v>206</v>
      </c>
      <c r="AU30" s="3793">
        <f t="shared" si="22"/>
        <v>9</v>
      </c>
      <c r="AV30" s="3784">
        <f t="shared" si="22"/>
        <v>129</v>
      </c>
      <c r="AW30" s="3784">
        <f t="shared" si="22"/>
        <v>59</v>
      </c>
      <c r="AX30" s="3784">
        <f t="shared" si="22"/>
        <v>9</v>
      </c>
      <c r="AY30" s="3785">
        <f t="shared" si="22"/>
        <v>206</v>
      </c>
      <c r="AZ30" s="3793">
        <f t="shared" si="22"/>
        <v>12</v>
      </c>
      <c r="BA30" s="3784">
        <f t="shared" si="22"/>
        <v>129</v>
      </c>
      <c r="BB30" s="3784">
        <f t="shared" si="22"/>
        <v>57</v>
      </c>
      <c r="BC30" s="3784">
        <f t="shared" si="22"/>
        <v>13</v>
      </c>
      <c r="BD30" s="3785">
        <f t="shared" si="22"/>
        <v>211</v>
      </c>
      <c r="BE30" s="3793">
        <f t="shared" si="22"/>
        <v>12</v>
      </c>
      <c r="BF30" s="3784">
        <f t="shared" si="22"/>
        <v>130</v>
      </c>
      <c r="BG30" s="3784">
        <f t="shared" si="22"/>
        <v>57</v>
      </c>
      <c r="BH30" s="3784">
        <f t="shared" si="22"/>
        <v>14</v>
      </c>
      <c r="BI30" s="3785">
        <f t="shared" si="22"/>
        <v>213</v>
      </c>
      <c r="BJ30" s="3793">
        <f t="shared" si="22"/>
        <v>18</v>
      </c>
      <c r="BK30" s="3784">
        <f t="shared" si="22"/>
        <v>135</v>
      </c>
      <c r="BL30" s="3784">
        <f t="shared" si="22"/>
        <v>57</v>
      </c>
      <c r="BM30" s="3784">
        <f t="shared" si="22"/>
        <v>15</v>
      </c>
      <c r="BN30" s="3785">
        <f t="shared" si="22"/>
        <v>225</v>
      </c>
      <c r="BO30" s="3793">
        <f t="shared" ref="BO30:BX30" si="23">SUM(BO27:BO29)</f>
        <v>31</v>
      </c>
      <c r="BP30" s="3784">
        <f t="shared" si="23"/>
        <v>140</v>
      </c>
      <c r="BQ30" s="3784">
        <f t="shared" si="23"/>
        <v>54</v>
      </c>
      <c r="BR30" s="3784">
        <f t="shared" si="23"/>
        <v>18</v>
      </c>
      <c r="BS30" s="3785">
        <f t="shared" si="23"/>
        <v>243</v>
      </c>
      <c r="BT30" s="3793">
        <f t="shared" si="23"/>
        <v>41</v>
      </c>
      <c r="BU30" s="3784">
        <f t="shared" si="23"/>
        <v>137</v>
      </c>
      <c r="BV30" s="3784">
        <f t="shared" si="23"/>
        <v>50</v>
      </c>
      <c r="BW30" s="3784">
        <f t="shared" si="23"/>
        <v>21</v>
      </c>
      <c r="BX30" s="3785">
        <f t="shared" si="23"/>
        <v>249</v>
      </c>
      <c r="BY30" s="3793">
        <f t="shared" ref="BY30:CH30" si="24">SUM(BY27:BY29)</f>
        <v>31</v>
      </c>
      <c r="BZ30" s="3784">
        <f t="shared" si="24"/>
        <v>136</v>
      </c>
      <c r="CA30" s="3784">
        <f t="shared" si="24"/>
        <v>57</v>
      </c>
      <c r="CB30" s="3784">
        <f t="shared" si="24"/>
        <v>23</v>
      </c>
      <c r="CC30" s="3785">
        <f t="shared" si="24"/>
        <v>247</v>
      </c>
      <c r="CD30" s="3793">
        <f t="shared" si="24"/>
        <v>33</v>
      </c>
      <c r="CE30" s="3784">
        <f t="shared" si="24"/>
        <v>143</v>
      </c>
      <c r="CF30" s="3784">
        <f t="shared" si="24"/>
        <v>54</v>
      </c>
      <c r="CG30" s="3784">
        <f t="shared" si="24"/>
        <v>28</v>
      </c>
      <c r="CH30" s="3785">
        <f t="shared" si="24"/>
        <v>258</v>
      </c>
      <c r="CI30" s="3793">
        <f t="shared" ref="CI30:CM30" si="25">SUM(CI27:CI29)</f>
        <v>28</v>
      </c>
      <c r="CJ30" s="3784">
        <f t="shared" si="25"/>
        <v>133</v>
      </c>
      <c r="CK30" s="3784">
        <f t="shared" si="25"/>
        <v>60</v>
      </c>
      <c r="CL30" s="3784">
        <f t="shared" si="25"/>
        <v>28</v>
      </c>
      <c r="CM30" s="3785">
        <f t="shared" si="25"/>
        <v>249</v>
      </c>
    </row>
    <row r="31" spans="1:91" ht="14.1" customHeight="1" x14ac:dyDescent="0.2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AJ31" s="23"/>
      <c r="AO31" s="23"/>
    </row>
    <row r="32" spans="1:91" ht="14.1" customHeight="1" x14ac:dyDescent="0.2">
      <c r="A32" s="1789" t="s">
        <v>5</v>
      </c>
      <c r="B32" s="5490">
        <f>SUM(B7,B17,B22)</f>
        <v>38</v>
      </c>
      <c r="C32" s="5491">
        <f t="shared" ref="C32:BN32" si="26">SUM(C7,C17,C22)</f>
        <v>87</v>
      </c>
      <c r="D32" s="5491">
        <f t="shared" si="26"/>
        <v>37</v>
      </c>
      <c r="E32" s="5491">
        <f t="shared" si="26"/>
        <v>20</v>
      </c>
      <c r="F32" s="5548">
        <f t="shared" ref="F32:F37" si="27">SUM(B32:E32)</f>
        <v>182</v>
      </c>
      <c r="G32" s="5490">
        <f t="shared" si="26"/>
        <v>21</v>
      </c>
      <c r="H32" s="5491">
        <f t="shared" si="26"/>
        <v>91</v>
      </c>
      <c r="I32" s="5491">
        <f t="shared" si="26"/>
        <v>39</v>
      </c>
      <c r="J32" s="5491">
        <f t="shared" si="26"/>
        <v>22</v>
      </c>
      <c r="K32" s="5548">
        <f t="shared" si="26"/>
        <v>173</v>
      </c>
      <c r="L32" s="5490">
        <f t="shared" si="26"/>
        <v>20</v>
      </c>
      <c r="M32" s="5491">
        <f t="shared" si="26"/>
        <v>97</v>
      </c>
      <c r="N32" s="5491">
        <f t="shared" si="26"/>
        <v>42</v>
      </c>
      <c r="O32" s="5491">
        <f t="shared" si="26"/>
        <v>23</v>
      </c>
      <c r="P32" s="5548">
        <f t="shared" si="26"/>
        <v>182</v>
      </c>
      <c r="Q32" s="5490">
        <f t="shared" si="26"/>
        <v>19</v>
      </c>
      <c r="R32" s="5491">
        <f t="shared" si="26"/>
        <v>98</v>
      </c>
      <c r="S32" s="5491">
        <f t="shared" si="26"/>
        <v>42</v>
      </c>
      <c r="T32" s="5491">
        <f t="shared" si="26"/>
        <v>24</v>
      </c>
      <c r="U32" s="5548">
        <f t="shared" si="26"/>
        <v>183</v>
      </c>
      <c r="V32" s="5490">
        <f t="shared" si="26"/>
        <v>19</v>
      </c>
      <c r="W32" s="5491">
        <f t="shared" si="26"/>
        <v>109</v>
      </c>
      <c r="X32" s="5491">
        <f t="shared" si="26"/>
        <v>39</v>
      </c>
      <c r="Y32" s="5491">
        <f t="shared" si="26"/>
        <v>27</v>
      </c>
      <c r="Z32" s="5548">
        <f t="shared" si="26"/>
        <v>194</v>
      </c>
      <c r="AA32" s="5490">
        <f t="shared" si="26"/>
        <v>28</v>
      </c>
      <c r="AB32" s="5491">
        <f t="shared" si="26"/>
        <v>109</v>
      </c>
      <c r="AC32" s="5491">
        <f t="shared" si="26"/>
        <v>41</v>
      </c>
      <c r="AD32" s="5491">
        <f t="shared" si="26"/>
        <v>27</v>
      </c>
      <c r="AE32" s="5548">
        <f t="shared" si="26"/>
        <v>205</v>
      </c>
      <c r="AF32" s="5490">
        <f t="shared" si="26"/>
        <v>30</v>
      </c>
      <c r="AG32" s="5491">
        <f t="shared" si="26"/>
        <v>113</v>
      </c>
      <c r="AH32" s="5491">
        <f t="shared" si="26"/>
        <v>45</v>
      </c>
      <c r="AI32" s="5491">
        <f t="shared" si="26"/>
        <v>33</v>
      </c>
      <c r="AJ32" s="5548">
        <f t="shared" si="26"/>
        <v>221</v>
      </c>
      <c r="AK32" s="5490">
        <f t="shared" si="26"/>
        <v>31</v>
      </c>
      <c r="AL32" s="5491">
        <f t="shared" si="26"/>
        <v>117</v>
      </c>
      <c r="AM32" s="5491">
        <f t="shared" si="26"/>
        <v>46</v>
      </c>
      <c r="AN32" s="5491">
        <f t="shared" si="26"/>
        <v>34</v>
      </c>
      <c r="AO32" s="5548">
        <f t="shared" si="26"/>
        <v>228</v>
      </c>
      <c r="AP32" s="5490">
        <f t="shared" si="26"/>
        <v>23</v>
      </c>
      <c r="AQ32" s="5491">
        <f t="shared" si="26"/>
        <v>120</v>
      </c>
      <c r="AR32" s="5491">
        <f t="shared" si="26"/>
        <v>54</v>
      </c>
      <c r="AS32" s="5491">
        <f t="shared" si="26"/>
        <v>35</v>
      </c>
      <c r="AT32" s="5548">
        <f t="shared" si="26"/>
        <v>232</v>
      </c>
      <c r="AU32" s="5490">
        <f t="shared" si="26"/>
        <v>23</v>
      </c>
      <c r="AV32" s="5491">
        <f t="shared" si="26"/>
        <v>119</v>
      </c>
      <c r="AW32" s="5491">
        <f t="shared" si="26"/>
        <v>55</v>
      </c>
      <c r="AX32" s="5491">
        <f t="shared" si="26"/>
        <v>36</v>
      </c>
      <c r="AY32" s="5548">
        <f t="shared" si="26"/>
        <v>233</v>
      </c>
      <c r="AZ32" s="5490">
        <f t="shared" si="26"/>
        <v>22</v>
      </c>
      <c r="BA32" s="5491">
        <f t="shared" si="26"/>
        <v>129</v>
      </c>
      <c r="BB32" s="5491">
        <f t="shared" si="26"/>
        <v>59</v>
      </c>
      <c r="BC32" s="5491">
        <f t="shared" si="26"/>
        <v>43</v>
      </c>
      <c r="BD32" s="5548">
        <f t="shared" si="26"/>
        <v>253</v>
      </c>
      <c r="BE32" s="5490">
        <f t="shared" si="26"/>
        <v>30</v>
      </c>
      <c r="BF32" s="5491">
        <f t="shared" si="26"/>
        <v>129</v>
      </c>
      <c r="BG32" s="5491">
        <f t="shared" si="26"/>
        <v>59</v>
      </c>
      <c r="BH32" s="5491">
        <f t="shared" si="26"/>
        <v>41</v>
      </c>
      <c r="BI32" s="5548">
        <f t="shared" si="26"/>
        <v>259</v>
      </c>
      <c r="BJ32" s="5490">
        <f t="shared" si="26"/>
        <v>36</v>
      </c>
      <c r="BK32" s="5491">
        <f t="shared" si="26"/>
        <v>131</v>
      </c>
      <c r="BL32" s="5491">
        <f t="shared" si="26"/>
        <v>56</v>
      </c>
      <c r="BM32" s="5491">
        <f t="shared" si="26"/>
        <v>43</v>
      </c>
      <c r="BN32" s="5548">
        <f t="shared" si="26"/>
        <v>266</v>
      </c>
      <c r="BO32" s="5490">
        <f t="shared" ref="BO32:BX32" si="28">SUM(BO7,BO17,BO22)</f>
        <v>50</v>
      </c>
      <c r="BP32" s="5491">
        <f t="shared" si="28"/>
        <v>148</v>
      </c>
      <c r="BQ32" s="5491">
        <f t="shared" si="28"/>
        <v>63</v>
      </c>
      <c r="BR32" s="5491">
        <f t="shared" si="28"/>
        <v>51</v>
      </c>
      <c r="BS32" s="5548">
        <f t="shared" si="28"/>
        <v>312</v>
      </c>
      <c r="BT32" s="5490">
        <f t="shared" si="28"/>
        <v>44</v>
      </c>
      <c r="BU32" s="5491">
        <f t="shared" si="28"/>
        <v>155</v>
      </c>
      <c r="BV32" s="5491">
        <f t="shared" si="28"/>
        <v>65</v>
      </c>
      <c r="BW32" s="5491">
        <f t="shared" si="28"/>
        <v>54</v>
      </c>
      <c r="BX32" s="5548">
        <f t="shared" si="28"/>
        <v>318</v>
      </c>
      <c r="BY32" s="5490">
        <f t="shared" ref="BY32:CH32" si="29">SUM(BY7,BY17,BY22)</f>
        <v>47</v>
      </c>
      <c r="BZ32" s="5491">
        <f t="shared" si="29"/>
        <v>160</v>
      </c>
      <c r="CA32" s="5491">
        <f t="shared" si="29"/>
        <v>66</v>
      </c>
      <c r="CB32" s="5491">
        <f t="shared" si="29"/>
        <v>53</v>
      </c>
      <c r="CC32" s="5548">
        <f t="shared" si="29"/>
        <v>326</v>
      </c>
      <c r="CD32" s="5490">
        <f t="shared" si="29"/>
        <v>54</v>
      </c>
      <c r="CE32" s="5491">
        <f t="shared" si="29"/>
        <v>185</v>
      </c>
      <c r="CF32" s="5491">
        <f t="shared" si="29"/>
        <v>65</v>
      </c>
      <c r="CG32" s="5491">
        <f t="shared" si="29"/>
        <v>54</v>
      </c>
      <c r="CH32" s="5548">
        <f t="shared" si="29"/>
        <v>358</v>
      </c>
      <c r="CI32" s="5490">
        <f t="shared" ref="CI32:CM32" si="30">SUM(CI7,CI17,CI22)</f>
        <v>51</v>
      </c>
      <c r="CJ32" s="5491">
        <f t="shared" si="30"/>
        <v>179</v>
      </c>
      <c r="CK32" s="5491">
        <f t="shared" si="30"/>
        <v>62</v>
      </c>
      <c r="CL32" s="5491">
        <f t="shared" si="30"/>
        <v>56</v>
      </c>
      <c r="CM32" s="5548">
        <f t="shared" si="30"/>
        <v>348</v>
      </c>
    </row>
    <row r="33" spans="1:91" ht="14.1" customHeight="1" x14ac:dyDescent="0.2">
      <c r="A33" s="1792" t="s">
        <v>6</v>
      </c>
      <c r="B33" s="5493">
        <f>SUM(B8,B12,B18,B23,B27)</f>
        <v>18</v>
      </c>
      <c r="C33" s="5494">
        <f t="shared" ref="C33:BN33" si="31">SUM(C8,C12,C18,C23,C27)</f>
        <v>130</v>
      </c>
      <c r="D33" s="5494">
        <f t="shared" si="31"/>
        <v>27</v>
      </c>
      <c r="E33" s="5494">
        <f t="shared" si="31"/>
        <v>7</v>
      </c>
      <c r="F33" s="5549">
        <f t="shared" si="27"/>
        <v>182</v>
      </c>
      <c r="G33" s="5493">
        <f t="shared" si="31"/>
        <v>12</v>
      </c>
      <c r="H33" s="5494">
        <f t="shared" si="31"/>
        <v>138</v>
      </c>
      <c r="I33" s="5494">
        <f t="shared" si="31"/>
        <v>48</v>
      </c>
      <c r="J33" s="5494">
        <f t="shared" si="31"/>
        <v>8</v>
      </c>
      <c r="K33" s="5549">
        <f t="shared" si="31"/>
        <v>206</v>
      </c>
      <c r="L33" s="5493">
        <f t="shared" si="31"/>
        <v>4</v>
      </c>
      <c r="M33" s="5494">
        <f t="shared" si="31"/>
        <v>161</v>
      </c>
      <c r="N33" s="5494">
        <f t="shared" si="31"/>
        <v>59</v>
      </c>
      <c r="O33" s="5494">
        <f t="shared" si="31"/>
        <v>10</v>
      </c>
      <c r="P33" s="5549">
        <f t="shared" si="31"/>
        <v>234</v>
      </c>
      <c r="Q33" s="5493">
        <f t="shared" si="31"/>
        <v>6</v>
      </c>
      <c r="R33" s="5494">
        <f t="shared" si="31"/>
        <v>162</v>
      </c>
      <c r="S33" s="5494">
        <f t="shared" si="31"/>
        <v>62</v>
      </c>
      <c r="T33" s="5494">
        <f t="shared" si="31"/>
        <v>10</v>
      </c>
      <c r="U33" s="5549">
        <f t="shared" si="31"/>
        <v>240</v>
      </c>
      <c r="V33" s="5493">
        <f t="shared" si="31"/>
        <v>4</v>
      </c>
      <c r="W33" s="5494">
        <f t="shared" si="31"/>
        <v>172</v>
      </c>
      <c r="X33" s="5494">
        <f t="shared" si="31"/>
        <v>73</v>
      </c>
      <c r="Y33" s="5494">
        <f t="shared" si="31"/>
        <v>12</v>
      </c>
      <c r="Z33" s="5549">
        <f t="shared" si="31"/>
        <v>261</v>
      </c>
      <c r="AA33" s="5493">
        <f t="shared" si="31"/>
        <v>1</v>
      </c>
      <c r="AB33" s="5494">
        <f t="shared" si="31"/>
        <v>175</v>
      </c>
      <c r="AC33" s="5494">
        <f t="shared" si="31"/>
        <v>78</v>
      </c>
      <c r="AD33" s="5494">
        <f t="shared" si="31"/>
        <v>18</v>
      </c>
      <c r="AE33" s="5549">
        <f t="shared" si="31"/>
        <v>272</v>
      </c>
      <c r="AF33" s="5493">
        <f t="shared" si="31"/>
        <v>4</v>
      </c>
      <c r="AG33" s="5494">
        <f t="shared" si="31"/>
        <v>176</v>
      </c>
      <c r="AH33" s="5494">
        <f t="shared" si="31"/>
        <v>96</v>
      </c>
      <c r="AI33" s="5494">
        <f t="shared" si="31"/>
        <v>19</v>
      </c>
      <c r="AJ33" s="5549">
        <f t="shared" si="31"/>
        <v>295</v>
      </c>
      <c r="AK33" s="5493">
        <f t="shared" si="31"/>
        <v>14</v>
      </c>
      <c r="AL33" s="5494">
        <f t="shared" si="31"/>
        <v>193</v>
      </c>
      <c r="AM33" s="5494">
        <f t="shared" si="31"/>
        <v>98</v>
      </c>
      <c r="AN33" s="5494">
        <f t="shared" si="31"/>
        <v>20</v>
      </c>
      <c r="AO33" s="5549">
        <f t="shared" si="31"/>
        <v>325</v>
      </c>
      <c r="AP33" s="5493">
        <f t="shared" si="31"/>
        <v>26</v>
      </c>
      <c r="AQ33" s="5494">
        <f t="shared" si="31"/>
        <v>205</v>
      </c>
      <c r="AR33" s="5494">
        <f t="shared" si="31"/>
        <v>114</v>
      </c>
      <c r="AS33" s="5494">
        <f t="shared" si="31"/>
        <v>25</v>
      </c>
      <c r="AT33" s="5549">
        <f t="shared" si="31"/>
        <v>370</v>
      </c>
      <c r="AU33" s="5493">
        <f t="shared" si="31"/>
        <v>27</v>
      </c>
      <c r="AV33" s="5494">
        <f t="shared" si="31"/>
        <v>208</v>
      </c>
      <c r="AW33" s="5494">
        <f t="shared" si="31"/>
        <v>116</v>
      </c>
      <c r="AX33" s="5494">
        <f t="shared" si="31"/>
        <v>26</v>
      </c>
      <c r="AY33" s="5549">
        <f t="shared" si="31"/>
        <v>377</v>
      </c>
      <c r="AZ33" s="5493">
        <f t="shared" si="31"/>
        <v>23</v>
      </c>
      <c r="BA33" s="5494">
        <f t="shared" si="31"/>
        <v>215</v>
      </c>
      <c r="BB33" s="5494">
        <f t="shared" si="31"/>
        <v>109</v>
      </c>
      <c r="BC33" s="5494">
        <f t="shared" si="31"/>
        <v>34</v>
      </c>
      <c r="BD33" s="5549">
        <f t="shared" si="31"/>
        <v>381</v>
      </c>
      <c r="BE33" s="5493">
        <f t="shared" si="31"/>
        <v>22</v>
      </c>
      <c r="BF33" s="5494">
        <f t="shared" si="31"/>
        <v>217</v>
      </c>
      <c r="BG33" s="5494">
        <f t="shared" si="31"/>
        <v>109</v>
      </c>
      <c r="BH33" s="5494">
        <f t="shared" si="31"/>
        <v>32</v>
      </c>
      <c r="BI33" s="5549">
        <f t="shared" si="31"/>
        <v>380</v>
      </c>
      <c r="BJ33" s="5493">
        <f t="shared" si="31"/>
        <v>27</v>
      </c>
      <c r="BK33" s="5494">
        <f t="shared" si="31"/>
        <v>221</v>
      </c>
      <c r="BL33" s="5494">
        <f t="shared" si="31"/>
        <v>102</v>
      </c>
      <c r="BM33" s="5494">
        <f t="shared" si="31"/>
        <v>32</v>
      </c>
      <c r="BN33" s="5549">
        <f t="shared" si="31"/>
        <v>382</v>
      </c>
      <c r="BO33" s="5493">
        <f t="shared" ref="BO33:BX33" si="32">SUM(BO8,BO12,BO18,BO23,BO27)</f>
        <v>36</v>
      </c>
      <c r="BP33" s="5494">
        <f t="shared" si="32"/>
        <v>247</v>
      </c>
      <c r="BQ33" s="5494">
        <f t="shared" si="32"/>
        <v>100</v>
      </c>
      <c r="BR33" s="5494">
        <f t="shared" si="32"/>
        <v>34</v>
      </c>
      <c r="BS33" s="5549">
        <f t="shared" si="32"/>
        <v>417</v>
      </c>
      <c r="BT33" s="5493">
        <f t="shared" si="32"/>
        <v>46</v>
      </c>
      <c r="BU33" s="5494">
        <f t="shared" si="32"/>
        <v>248</v>
      </c>
      <c r="BV33" s="5494">
        <f t="shared" si="32"/>
        <v>95</v>
      </c>
      <c r="BW33" s="5494">
        <f t="shared" si="32"/>
        <v>38</v>
      </c>
      <c r="BX33" s="5549">
        <f t="shared" si="32"/>
        <v>427</v>
      </c>
      <c r="BY33" s="5493">
        <f t="shared" ref="BY33:CH33" si="33">SUM(BY8,BY12,BY18,BY23,BY27)</f>
        <v>47</v>
      </c>
      <c r="BZ33" s="5494">
        <f t="shared" si="33"/>
        <v>243</v>
      </c>
      <c r="CA33" s="5494">
        <f t="shared" si="33"/>
        <v>107</v>
      </c>
      <c r="CB33" s="5494">
        <f t="shared" si="33"/>
        <v>42</v>
      </c>
      <c r="CC33" s="5549">
        <f t="shared" si="33"/>
        <v>439</v>
      </c>
      <c r="CD33" s="5493">
        <f t="shared" si="33"/>
        <v>47</v>
      </c>
      <c r="CE33" s="5494">
        <f t="shared" si="33"/>
        <v>247</v>
      </c>
      <c r="CF33" s="5494">
        <f t="shared" si="33"/>
        <v>110</v>
      </c>
      <c r="CG33" s="5494">
        <f t="shared" si="33"/>
        <v>49</v>
      </c>
      <c r="CH33" s="5549">
        <f t="shared" si="33"/>
        <v>453</v>
      </c>
      <c r="CI33" s="5493">
        <f t="shared" ref="CI33:CM33" si="34">SUM(CI8,CI12,CI18,CI23,CI27)</f>
        <v>48</v>
      </c>
      <c r="CJ33" s="5494">
        <f t="shared" si="34"/>
        <v>244</v>
      </c>
      <c r="CK33" s="5494">
        <f t="shared" si="34"/>
        <v>112</v>
      </c>
      <c r="CL33" s="5494">
        <f t="shared" si="34"/>
        <v>52</v>
      </c>
      <c r="CM33" s="5549">
        <f t="shared" si="34"/>
        <v>456</v>
      </c>
    </row>
    <row r="34" spans="1:91" ht="14.1" customHeight="1" x14ac:dyDescent="0.2">
      <c r="A34" s="1793" t="s">
        <v>11</v>
      </c>
      <c r="B34" s="5493">
        <f>SUM(B19,B24,B28)</f>
        <v>19</v>
      </c>
      <c r="C34" s="5494">
        <f t="shared" ref="C34:BN34" si="35">SUM(C19,C24,C28)</f>
        <v>42</v>
      </c>
      <c r="D34" s="5494">
        <f t="shared" si="35"/>
        <v>10</v>
      </c>
      <c r="E34" s="5494">
        <f t="shared" si="35"/>
        <v>2</v>
      </c>
      <c r="F34" s="5549">
        <f t="shared" si="27"/>
        <v>73</v>
      </c>
      <c r="G34" s="5493">
        <f t="shared" si="35"/>
        <v>14</v>
      </c>
      <c r="H34" s="5494">
        <f t="shared" si="35"/>
        <v>57</v>
      </c>
      <c r="I34" s="5494">
        <f t="shared" si="35"/>
        <v>10</v>
      </c>
      <c r="J34" s="5494">
        <f t="shared" si="35"/>
        <v>2</v>
      </c>
      <c r="K34" s="5549">
        <f t="shared" si="35"/>
        <v>83</v>
      </c>
      <c r="L34" s="5493">
        <f t="shared" si="35"/>
        <v>14</v>
      </c>
      <c r="M34" s="5494">
        <f t="shared" si="35"/>
        <v>66</v>
      </c>
      <c r="N34" s="5494">
        <f t="shared" si="35"/>
        <v>14</v>
      </c>
      <c r="O34" s="5494">
        <f t="shared" si="35"/>
        <v>2</v>
      </c>
      <c r="P34" s="5549">
        <f t="shared" si="35"/>
        <v>96</v>
      </c>
      <c r="Q34" s="5493">
        <f t="shared" si="35"/>
        <v>15</v>
      </c>
      <c r="R34" s="5494">
        <f t="shared" si="35"/>
        <v>68</v>
      </c>
      <c r="S34" s="5494">
        <f t="shared" si="35"/>
        <v>13</v>
      </c>
      <c r="T34" s="5494">
        <f t="shared" si="35"/>
        <v>2</v>
      </c>
      <c r="U34" s="5549">
        <f t="shared" si="35"/>
        <v>98</v>
      </c>
      <c r="V34" s="5493">
        <f t="shared" si="35"/>
        <v>19</v>
      </c>
      <c r="W34" s="5494">
        <f t="shared" si="35"/>
        <v>84</v>
      </c>
      <c r="X34" s="5494">
        <f t="shared" si="35"/>
        <v>16</v>
      </c>
      <c r="Y34" s="5494">
        <f t="shared" si="35"/>
        <v>3</v>
      </c>
      <c r="Z34" s="5549">
        <f t="shared" si="35"/>
        <v>122</v>
      </c>
      <c r="AA34" s="5493">
        <f t="shared" si="35"/>
        <v>18</v>
      </c>
      <c r="AB34" s="5494">
        <f t="shared" si="35"/>
        <v>88</v>
      </c>
      <c r="AC34" s="5494">
        <f t="shared" si="35"/>
        <v>14</v>
      </c>
      <c r="AD34" s="5494">
        <f t="shared" si="35"/>
        <v>5</v>
      </c>
      <c r="AE34" s="5549">
        <f t="shared" si="35"/>
        <v>125</v>
      </c>
      <c r="AF34" s="5493">
        <f t="shared" si="35"/>
        <v>11</v>
      </c>
      <c r="AG34" s="5494">
        <f t="shared" si="35"/>
        <v>94</v>
      </c>
      <c r="AH34" s="5494">
        <f t="shared" si="35"/>
        <v>15</v>
      </c>
      <c r="AI34" s="5494">
        <f t="shared" si="35"/>
        <v>9</v>
      </c>
      <c r="AJ34" s="5549">
        <f t="shared" si="35"/>
        <v>129</v>
      </c>
      <c r="AK34" s="5493">
        <f t="shared" si="35"/>
        <v>11</v>
      </c>
      <c r="AL34" s="5494">
        <f t="shared" si="35"/>
        <v>102</v>
      </c>
      <c r="AM34" s="5494">
        <f t="shared" si="35"/>
        <v>20</v>
      </c>
      <c r="AN34" s="5494">
        <f t="shared" si="35"/>
        <v>9</v>
      </c>
      <c r="AO34" s="5549">
        <f t="shared" si="35"/>
        <v>142</v>
      </c>
      <c r="AP34" s="5493">
        <f t="shared" si="35"/>
        <v>15</v>
      </c>
      <c r="AQ34" s="5494">
        <f t="shared" si="35"/>
        <v>115</v>
      </c>
      <c r="AR34" s="5494">
        <f t="shared" si="35"/>
        <v>27</v>
      </c>
      <c r="AS34" s="5494">
        <f t="shared" si="35"/>
        <v>11</v>
      </c>
      <c r="AT34" s="5549">
        <f t="shared" si="35"/>
        <v>168</v>
      </c>
      <c r="AU34" s="5493">
        <f t="shared" si="35"/>
        <v>15</v>
      </c>
      <c r="AV34" s="5494">
        <f t="shared" si="35"/>
        <v>115</v>
      </c>
      <c r="AW34" s="5494">
        <f t="shared" si="35"/>
        <v>27</v>
      </c>
      <c r="AX34" s="5494">
        <f t="shared" si="35"/>
        <v>11</v>
      </c>
      <c r="AY34" s="5549">
        <f t="shared" si="35"/>
        <v>168</v>
      </c>
      <c r="AZ34" s="5493">
        <f t="shared" si="35"/>
        <v>29</v>
      </c>
      <c r="BA34" s="5494">
        <f t="shared" si="35"/>
        <v>122</v>
      </c>
      <c r="BB34" s="5494">
        <f t="shared" si="35"/>
        <v>27</v>
      </c>
      <c r="BC34" s="5494">
        <f t="shared" si="35"/>
        <v>14</v>
      </c>
      <c r="BD34" s="5549">
        <f t="shared" si="35"/>
        <v>192</v>
      </c>
      <c r="BE34" s="5493">
        <f t="shared" si="35"/>
        <v>26</v>
      </c>
      <c r="BF34" s="5494">
        <f t="shared" si="35"/>
        <v>128</v>
      </c>
      <c r="BG34" s="5494">
        <f t="shared" si="35"/>
        <v>27</v>
      </c>
      <c r="BH34" s="5494">
        <f t="shared" si="35"/>
        <v>15</v>
      </c>
      <c r="BI34" s="5549">
        <f t="shared" si="35"/>
        <v>196</v>
      </c>
      <c r="BJ34" s="5493">
        <f t="shared" si="35"/>
        <v>26</v>
      </c>
      <c r="BK34" s="5494">
        <f t="shared" si="35"/>
        <v>130</v>
      </c>
      <c r="BL34" s="5494">
        <f t="shared" si="35"/>
        <v>33</v>
      </c>
      <c r="BM34" s="5494">
        <f t="shared" si="35"/>
        <v>15</v>
      </c>
      <c r="BN34" s="5549">
        <f t="shared" si="35"/>
        <v>204</v>
      </c>
      <c r="BO34" s="5493">
        <f t="shared" ref="BO34:BX34" si="36">SUM(BO19,BO24,BO28)</f>
        <v>38</v>
      </c>
      <c r="BP34" s="5494">
        <f t="shared" si="36"/>
        <v>136</v>
      </c>
      <c r="BQ34" s="5494">
        <f t="shared" si="36"/>
        <v>45</v>
      </c>
      <c r="BR34" s="5494">
        <f t="shared" si="36"/>
        <v>16</v>
      </c>
      <c r="BS34" s="5549">
        <f t="shared" si="36"/>
        <v>235</v>
      </c>
      <c r="BT34" s="5493">
        <f t="shared" si="36"/>
        <v>48</v>
      </c>
      <c r="BU34" s="5494">
        <f t="shared" si="36"/>
        <v>129</v>
      </c>
      <c r="BV34" s="5494">
        <f t="shared" si="36"/>
        <v>45</v>
      </c>
      <c r="BW34" s="5494">
        <f t="shared" si="36"/>
        <v>16</v>
      </c>
      <c r="BX34" s="5549">
        <f t="shared" si="36"/>
        <v>238</v>
      </c>
      <c r="BY34" s="5493">
        <f t="shared" ref="BY34:CH34" si="37">SUM(BY19,BY24,BY28)</f>
        <v>43</v>
      </c>
      <c r="BZ34" s="5494">
        <f t="shared" si="37"/>
        <v>138</v>
      </c>
      <c r="CA34" s="5494">
        <f t="shared" si="37"/>
        <v>48</v>
      </c>
      <c r="CB34" s="5494">
        <f t="shared" si="37"/>
        <v>18</v>
      </c>
      <c r="CC34" s="5549">
        <f t="shared" si="37"/>
        <v>247</v>
      </c>
      <c r="CD34" s="5493">
        <f t="shared" si="37"/>
        <v>54</v>
      </c>
      <c r="CE34" s="5494">
        <f t="shared" si="37"/>
        <v>140</v>
      </c>
      <c r="CF34" s="5494">
        <f t="shared" si="37"/>
        <v>47</v>
      </c>
      <c r="CG34" s="5494">
        <f t="shared" si="37"/>
        <v>20</v>
      </c>
      <c r="CH34" s="5549">
        <f t="shared" si="37"/>
        <v>261</v>
      </c>
      <c r="CI34" s="5493">
        <f t="shared" ref="CI34:CM34" si="38">SUM(CI19,CI24,CI28)</f>
        <v>47</v>
      </c>
      <c r="CJ34" s="5494">
        <f t="shared" si="38"/>
        <v>141</v>
      </c>
      <c r="CK34" s="5494">
        <f t="shared" si="38"/>
        <v>51</v>
      </c>
      <c r="CL34" s="5494">
        <f t="shared" si="38"/>
        <v>23</v>
      </c>
      <c r="CM34" s="5549">
        <f t="shared" si="38"/>
        <v>262</v>
      </c>
    </row>
    <row r="35" spans="1:91" ht="14.1" customHeight="1" x14ac:dyDescent="0.2">
      <c r="A35" s="1794" t="s">
        <v>7</v>
      </c>
      <c r="B35" s="5493">
        <f>SUM(B9,B29)</f>
        <v>1</v>
      </c>
      <c r="C35" s="5494">
        <f t="shared" ref="C35:BN35" si="39">SUM(C9,C29)</f>
        <v>12</v>
      </c>
      <c r="D35" s="5494">
        <f t="shared" si="39"/>
        <v>2</v>
      </c>
      <c r="E35" s="5494">
        <f t="shared" si="39"/>
        <v>0</v>
      </c>
      <c r="F35" s="5549">
        <f t="shared" si="27"/>
        <v>15</v>
      </c>
      <c r="G35" s="5493">
        <f t="shared" si="39"/>
        <v>0</v>
      </c>
      <c r="H35" s="5494">
        <f t="shared" si="39"/>
        <v>15</v>
      </c>
      <c r="I35" s="5494">
        <f t="shared" si="39"/>
        <v>3</v>
      </c>
      <c r="J35" s="5494">
        <f t="shared" si="39"/>
        <v>1</v>
      </c>
      <c r="K35" s="5549">
        <f t="shared" si="39"/>
        <v>19</v>
      </c>
      <c r="L35" s="5493">
        <f t="shared" si="39"/>
        <v>0</v>
      </c>
      <c r="M35" s="5494">
        <f t="shared" si="39"/>
        <v>16</v>
      </c>
      <c r="N35" s="5494">
        <f t="shared" si="39"/>
        <v>5</v>
      </c>
      <c r="O35" s="5494">
        <f t="shared" si="39"/>
        <v>0</v>
      </c>
      <c r="P35" s="5549">
        <f t="shared" si="39"/>
        <v>21</v>
      </c>
      <c r="Q35" s="5493">
        <f t="shared" si="39"/>
        <v>0</v>
      </c>
      <c r="R35" s="5494">
        <f t="shared" si="39"/>
        <v>16</v>
      </c>
      <c r="S35" s="5494">
        <f t="shared" si="39"/>
        <v>4</v>
      </c>
      <c r="T35" s="5494">
        <f t="shared" si="39"/>
        <v>0</v>
      </c>
      <c r="U35" s="5549">
        <f t="shared" si="39"/>
        <v>20</v>
      </c>
      <c r="V35" s="5493">
        <f t="shared" si="39"/>
        <v>0</v>
      </c>
      <c r="W35" s="5494">
        <f t="shared" si="39"/>
        <v>17</v>
      </c>
      <c r="X35" s="5494">
        <f t="shared" si="39"/>
        <v>6</v>
      </c>
      <c r="Y35" s="5494">
        <f t="shared" si="39"/>
        <v>0</v>
      </c>
      <c r="Z35" s="5549">
        <f t="shared" si="39"/>
        <v>23</v>
      </c>
      <c r="AA35" s="5493">
        <f t="shared" si="39"/>
        <v>1</v>
      </c>
      <c r="AB35" s="5494">
        <f t="shared" si="39"/>
        <v>17</v>
      </c>
      <c r="AC35" s="5494">
        <f t="shared" si="39"/>
        <v>9</v>
      </c>
      <c r="AD35" s="5494">
        <f t="shared" si="39"/>
        <v>0</v>
      </c>
      <c r="AE35" s="5549">
        <f t="shared" si="39"/>
        <v>27</v>
      </c>
      <c r="AF35" s="5493">
        <f t="shared" si="39"/>
        <v>1</v>
      </c>
      <c r="AG35" s="5494">
        <f t="shared" si="39"/>
        <v>17</v>
      </c>
      <c r="AH35" s="5494">
        <f t="shared" si="39"/>
        <v>10</v>
      </c>
      <c r="AI35" s="5494">
        <f t="shared" si="39"/>
        <v>0</v>
      </c>
      <c r="AJ35" s="5549">
        <f t="shared" si="39"/>
        <v>28</v>
      </c>
      <c r="AK35" s="5493">
        <f t="shared" si="39"/>
        <v>1</v>
      </c>
      <c r="AL35" s="5494">
        <f t="shared" si="39"/>
        <v>21</v>
      </c>
      <c r="AM35" s="5494">
        <f t="shared" si="39"/>
        <v>10</v>
      </c>
      <c r="AN35" s="5494">
        <f t="shared" si="39"/>
        <v>0</v>
      </c>
      <c r="AO35" s="5549">
        <f t="shared" si="39"/>
        <v>32</v>
      </c>
      <c r="AP35" s="5493">
        <f t="shared" si="39"/>
        <v>0</v>
      </c>
      <c r="AQ35" s="5494">
        <f t="shared" si="39"/>
        <v>14</v>
      </c>
      <c r="AR35" s="5494">
        <f t="shared" si="39"/>
        <v>12</v>
      </c>
      <c r="AS35" s="5494">
        <f t="shared" si="39"/>
        <v>0</v>
      </c>
      <c r="AT35" s="5549">
        <f t="shared" si="39"/>
        <v>26</v>
      </c>
      <c r="AU35" s="5493">
        <f t="shared" si="39"/>
        <v>0</v>
      </c>
      <c r="AV35" s="5494">
        <f t="shared" si="39"/>
        <v>14</v>
      </c>
      <c r="AW35" s="5494">
        <f t="shared" si="39"/>
        <v>12</v>
      </c>
      <c r="AX35" s="5494">
        <f t="shared" si="39"/>
        <v>0</v>
      </c>
      <c r="AY35" s="5549">
        <f t="shared" si="39"/>
        <v>26</v>
      </c>
      <c r="AZ35" s="5493">
        <f t="shared" si="39"/>
        <v>2</v>
      </c>
      <c r="BA35" s="5494">
        <f t="shared" si="39"/>
        <v>10</v>
      </c>
      <c r="BB35" s="5494">
        <f t="shared" si="39"/>
        <v>12</v>
      </c>
      <c r="BC35" s="5494">
        <f t="shared" si="39"/>
        <v>1</v>
      </c>
      <c r="BD35" s="5549">
        <f t="shared" si="39"/>
        <v>25</v>
      </c>
      <c r="BE35" s="5493">
        <f t="shared" si="39"/>
        <v>2</v>
      </c>
      <c r="BF35" s="5494">
        <f t="shared" si="39"/>
        <v>10</v>
      </c>
      <c r="BG35" s="5494">
        <f t="shared" si="39"/>
        <v>12</v>
      </c>
      <c r="BH35" s="5494">
        <f t="shared" si="39"/>
        <v>1</v>
      </c>
      <c r="BI35" s="5549">
        <f t="shared" si="39"/>
        <v>25</v>
      </c>
      <c r="BJ35" s="5493">
        <f t="shared" si="39"/>
        <v>3</v>
      </c>
      <c r="BK35" s="5494">
        <f t="shared" si="39"/>
        <v>10</v>
      </c>
      <c r="BL35" s="5494">
        <f t="shared" si="39"/>
        <v>11</v>
      </c>
      <c r="BM35" s="5494">
        <f t="shared" si="39"/>
        <v>1</v>
      </c>
      <c r="BN35" s="5549">
        <f t="shared" si="39"/>
        <v>25</v>
      </c>
      <c r="BO35" s="5493">
        <f t="shared" ref="BO35:BX35" si="40">SUM(BO9,BO29)</f>
        <v>6</v>
      </c>
      <c r="BP35" s="5494">
        <f t="shared" si="40"/>
        <v>13</v>
      </c>
      <c r="BQ35" s="5494">
        <f t="shared" si="40"/>
        <v>7</v>
      </c>
      <c r="BR35" s="5494">
        <f t="shared" si="40"/>
        <v>2</v>
      </c>
      <c r="BS35" s="5549">
        <f t="shared" si="40"/>
        <v>28</v>
      </c>
      <c r="BT35" s="5493">
        <f t="shared" si="40"/>
        <v>5</v>
      </c>
      <c r="BU35" s="5494">
        <f t="shared" si="40"/>
        <v>15</v>
      </c>
      <c r="BV35" s="5494">
        <f t="shared" si="40"/>
        <v>8</v>
      </c>
      <c r="BW35" s="5494">
        <f t="shared" si="40"/>
        <v>2</v>
      </c>
      <c r="BX35" s="5549">
        <f t="shared" si="40"/>
        <v>30</v>
      </c>
      <c r="BY35" s="5493">
        <f t="shared" ref="BY35:CH35" si="41">SUM(BY9,BY29)</f>
        <v>4</v>
      </c>
      <c r="BZ35" s="5494">
        <f t="shared" si="41"/>
        <v>16</v>
      </c>
      <c r="CA35" s="5494">
        <f t="shared" si="41"/>
        <v>7</v>
      </c>
      <c r="CB35" s="5494">
        <f t="shared" si="41"/>
        <v>2</v>
      </c>
      <c r="CC35" s="5549">
        <f t="shared" si="41"/>
        <v>29</v>
      </c>
      <c r="CD35" s="5493">
        <f t="shared" si="41"/>
        <v>4</v>
      </c>
      <c r="CE35" s="5494">
        <f t="shared" si="41"/>
        <v>17</v>
      </c>
      <c r="CF35" s="5494">
        <f t="shared" si="41"/>
        <v>7</v>
      </c>
      <c r="CG35" s="5494">
        <f t="shared" si="41"/>
        <v>2</v>
      </c>
      <c r="CH35" s="5549">
        <f t="shared" si="41"/>
        <v>30</v>
      </c>
      <c r="CI35" s="5493">
        <f t="shared" ref="CI35:CM35" si="42">SUM(CI9,CI29)</f>
        <v>6</v>
      </c>
      <c r="CJ35" s="5494">
        <f t="shared" si="42"/>
        <v>16</v>
      </c>
      <c r="CK35" s="5494">
        <f t="shared" si="42"/>
        <v>7</v>
      </c>
      <c r="CL35" s="5494">
        <f t="shared" si="42"/>
        <v>2</v>
      </c>
      <c r="CM35" s="5549">
        <f t="shared" si="42"/>
        <v>31</v>
      </c>
    </row>
    <row r="36" spans="1:91" ht="14.1" customHeight="1" x14ac:dyDescent="0.2">
      <c r="A36" s="1790" t="s">
        <v>9</v>
      </c>
      <c r="B36" s="5493">
        <f>SUM(B13)</f>
        <v>0</v>
      </c>
      <c r="C36" s="5494">
        <f t="shared" ref="C36:BN36" si="43">SUM(C13)</f>
        <v>0</v>
      </c>
      <c r="D36" s="5494">
        <f t="shared" si="43"/>
        <v>0</v>
      </c>
      <c r="E36" s="5494">
        <f t="shared" si="43"/>
        <v>0</v>
      </c>
      <c r="F36" s="5549">
        <f t="shared" si="27"/>
        <v>0</v>
      </c>
      <c r="G36" s="5493">
        <f t="shared" si="43"/>
        <v>0</v>
      </c>
      <c r="H36" s="5494">
        <f t="shared" si="43"/>
        <v>0</v>
      </c>
      <c r="I36" s="5494">
        <f t="shared" si="43"/>
        <v>0</v>
      </c>
      <c r="J36" s="5494">
        <f t="shared" si="43"/>
        <v>0</v>
      </c>
      <c r="K36" s="5549">
        <f t="shared" si="43"/>
        <v>0</v>
      </c>
      <c r="L36" s="5493">
        <f t="shared" si="43"/>
        <v>0</v>
      </c>
      <c r="M36" s="5494">
        <f t="shared" si="43"/>
        <v>0</v>
      </c>
      <c r="N36" s="5494">
        <f t="shared" si="43"/>
        <v>0</v>
      </c>
      <c r="O36" s="5494">
        <f t="shared" si="43"/>
        <v>0</v>
      </c>
      <c r="P36" s="5549">
        <f t="shared" si="43"/>
        <v>0</v>
      </c>
      <c r="Q36" s="5493">
        <f t="shared" si="43"/>
        <v>0</v>
      </c>
      <c r="R36" s="5494">
        <f t="shared" si="43"/>
        <v>0</v>
      </c>
      <c r="S36" s="5494">
        <f t="shared" si="43"/>
        <v>0</v>
      </c>
      <c r="T36" s="5494">
        <f t="shared" si="43"/>
        <v>0</v>
      </c>
      <c r="U36" s="5549">
        <f t="shared" si="43"/>
        <v>0</v>
      </c>
      <c r="V36" s="5493">
        <f t="shared" si="43"/>
        <v>0</v>
      </c>
      <c r="W36" s="5494">
        <f t="shared" si="43"/>
        <v>0</v>
      </c>
      <c r="X36" s="5494">
        <f t="shared" si="43"/>
        <v>0</v>
      </c>
      <c r="Y36" s="5494">
        <f t="shared" si="43"/>
        <v>0</v>
      </c>
      <c r="Z36" s="5549">
        <f t="shared" si="43"/>
        <v>0</v>
      </c>
      <c r="AA36" s="5493">
        <f t="shared" si="43"/>
        <v>0</v>
      </c>
      <c r="AB36" s="5494">
        <f t="shared" si="43"/>
        <v>1</v>
      </c>
      <c r="AC36" s="5494">
        <f t="shared" si="43"/>
        <v>0</v>
      </c>
      <c r="AD36" s="5494">
        <f t="shared" si="43"/>
        <v>0</v>
      </c>
      <c r="AE36" s="5549">
        <f t="shared" si="43"/>
        <v>1</v>
      </c>
      <c r="AF36" s="5493">
        <f t="shared" si="43"/>
        <v>0</v>
      </c>
      <c r="AG36" s="5494">
        <f t="shared" si="43"/>
        <v>1</v>
      </c>
      <c r="AH36" s="5494">
        <f t="shared" si="43"/>
        <v>0</v>
      </c>
      <c r="AI36" s="5494">
        <f t="shared" si="43"/>
        <v>0</v>
      </c>
      <c r="AJ36" s="5549">
        <f t="shared" si="43"/>
        <v>1</v>
      </c>
      <c r="AK36" s="5493">
        <f t="shared" si="43"/>
        <v>0</v>
      </c>
      <c r="AL36" s="5494">
        <f t="shared" si="43"/>
        <v>1</v>
      </c>
      <c r="AM36" s="5494">
        <f t="shared" si="43"/>
        <v>0</v>
      </c>
      <c r="AN36" s="5494">
        <f t="shared" si="43"/>
        <v>0</v>
      </c>
      <c r="AO36" s="5549">
        <f t="shared" si="43"/>
        <v>1</v>
      </c>
      <c r="AP36" s="5493">
        <f t="shared" si="43"/>
        <v>3</v>
      </c>
      <c r="AQ36" s="5494">
        <f t="shared" si="43"/>
        <v>7</v>
      </c>
      <c r="AR36" s="5494">
        <f t="shared" si="43"/>
        <v>1</v>
      </c>
      <c r="AS36" s="5494">
        <f t="shared" si="43"/>
        <v>0</v>
      </c>
      <c r="AT36" s="5549">
        <f t="shared" si="43"/>
        <v>11</v>
      </c>
      <c r="AU36" s="5493">
        <f t="shared" si="43"/>
        <v>3</v>
      </c>
      <c r="AV36" s="5494">
        <f t="shared" si="43"/>
        <v>8</v>
      </c>
      <c r="AW36" s="5494">
        <f t="shared" si="43"/>
        <v>2</v>
      </c>
      <c r="AX36" s="5494">
        <f t="shared" si="43"/>
        <v>0</v>
      </c>
      <c r="AY36" s="5549">
        <f t="shared" si="43"/>
        <v>13</v>
      </c>
      <c r="AZ36" s="5493">
        <f t="shared" si="43"/>
        <v>5</v>
      </c>
      <c r="BA36" s="5494">
        <f t="shared" si="43"/>
        <v>7</v>
      </c>
      <c r="BB36" s="5494">
        <f t="shared" si="43"/>
        <v>2</v>
      </c>
      <c r="BC36" s="5494">
        <f t="shared" si="43"/>
        <v>1</v>
      </c>
      <c r="BD36" s="5549">
        <f t="shared" si="43"/>
        <v>15</v>
      </c>
      <c r="BE36" s="5493">
        <f t="shared" si="43"/>
        <v>5</v>
      </c>
      <c r="BF36" s="5494">
        <f t="shared" si="43"/>
        <v>7</v>
      </c>
      <c r="BG36" s="5494">
        <f t="shared" si="43"/>
        <v>2</v>
      </c>
      <c r="BH36" s="5494">
        <f t="shared" si="43"/>
        <v>1</v>
      </c>
      <c r="BI36" s="5549">
        <f t="shared" si="43"/>
        <v>15</v>
      </c>
      <c r="BJ36" s="5493">
        <f t="shared" si="43"/>
        <v>6</v>
      </c>
      <c r="BK36" s="5494">
        <f t="shared" si="43"/>
        <v>9</v>
      </c>
      <c r="BL36" s="5494">
        <f t="shared" si="43"/>
        <v>2</v>
      </c>
      <c r="BM36" s="5494">
        <f t="shared" si="43"/>
        <v>1</v>
      </c>
      <c r="BN36" s="5549">
        <f t="shared" si="43"/>
        <v>18</v>
      </c>
      <c r="BO36" s="5493">
        <f t="shared" ref="BO36:BX36" si="44">SUM(BO13)</f>
        <v>5</v>
      </c>
      <c r="BP36" s="5494">
        <f t="shared" si="44"/>
        <v>10</v>
      </c>
      <c r="BQ36" s="5494">
        <f t="shared" si="44"/>
        <v>2</v>
      </c>
      <c r="BR36" s="5494">
        <f t="shared" si="44"/>
        <v>1</v>
      </c>
      <c r="BS36" s="5549">
        <f t="shared" si="44"/>
        <v>18</v>
      </c>
      <c r="BT36" s="5493">
        <f t="shared" si="44"/>
        <v>2</v>
      </c>
      <c r="BU36" s="5494">
        <f t="shared" si="44"/>
        <v>15</v>
      </c>
      <c r="BV36" s="5494">
        <f t="shared" si="44"/>
        <v>1</v>
      </c>
      <c r="BW36" s="5494">
        <f t="shared" si="44"/>
        <v>1</v>
      </c>
      <c r="BX36" s="5549">
        <f t="shared" si="44"/>
        <v>19</v>
      </c>
      <c r="BY36" s="5493">
        <f t="shared" ref="BY36:CH36" si="45">SUM(BY13)</f>
        <v>3</v>
      </c>
      <c r="BZ36" s="5494">
        <f t="shared" si="45"/>
        <v>16</v>
      </c>
      <c r="CA36" s="5494">
        <f t="shared" si="45"/>
        <v>1</v>
      </c>
      <c r="CB36" s="5494">
        <f t="shared" si="45"/>
        <v>2</v>
      </c>
      <c r="CC36" s="5549">
        <f t="shared" si="45"/>
        <v>22</v>
      </c>
      <c r="CD36" s="5493">
        <f t="shared" si="45"/>
        <v>1</v>
      </c>
      <c r="CE36" s="5494">
        <f t="shared" si="45"/>
        <v>14</v>
      </c>
      <c r="CF36" s="5494">
        <f t="shared" si="45"/>
        <v>2</v>
      </c>
      <c r="CG36" s="5494">
        <f t="shared" si="45"/>
        <v>2</v>
      </c>
      <c r="CH36" s="5549">
        <f t="shared" si="45"/>
        <v>19</v>
      </c>
      <c r="CI36" s="5493">
        <f t="shared" ref="CI36:CM36" si="46">SUM(CI13)</f>
        <v>6</v>
      </c>
      <c r="CJ36" s="5494">
        <f t="shared" si="46"/>
        <v>10</v>
      </c>
      <c r="CK36" s="5494">
        <f t="shared" si="46"/>
        <v>3</v>
      </c>
      <c r="CL36" s="5494">
        <f t="shared" si="46"/>
        <v>2</v>
      </c>
      <c r="CM36" s="5549">
        <f t="shared" si="46"/>
        <v>21</v>
      </c>
    </row>
    <row r="37" spans="1:91" ht="14.1" customHeight="1" x14ac:dyDescent="0.2">
      <c r="A37" s="1792" t="s">
        <v>74</v>
      </c>
      <c r="B37" s="5497">
        <f>SUM(B14)</f>
        <v>0</v>
      </c>
      <c r="C37" s="5498">
        <f t="shared" ref="C37:BN37" si="47">SUM(C14)</f>
        <v>0</v>
      </c>
      <c r="D37" s="5498">
        <f t="shared" si="47"/>
        <v>0</v>
      </c>
      <c r="E37" s="5498">
        <f t="shared" si="47"/>
        <v>0</v>
      </c>
      <c r="F37" s="5550">
        <f t="shared" si="27"/>
        <v>0</v>
      </c>
      <c r="G37" s="5497">
        <f t="shared" si="47"/>
        <v>0</v>
      </c>
      <c r="H37" s="5498">
        <f t="shared" si="47"/>
        <v>0</v>
      </c>
      <c r="I37" s="5498">
        <f t="shared" si="47"/>
        <v>0</v>
      </c>
      <c r="J37" s="5498">
        <f t="shared" si="47"/>
        <v>0</v>
      </c>
      <c r="K37" s="5550">
        <f t="shared" si="47"/>
        <v>0</v>
      </c>
      <c r="L37" s="5497">
        <f t="shared" si="47"/>
        <v>0</v>
      </c>
      <c r="M37" s="5498">
        <f t="shared" si="47"/>
        <v>0</v>
      </c>
      <c r="N37" s="5498">
        <f t="shared" si="47"/>
        <v>0</v>
      </c>
      <c r="O37" s="5498">
        <f t="shared" si="47"/>
        <v>0</v>
      </c>
      <c r="P37" s="5550">
        <f t="shared" si="47"/>
        <v>0</v>
      </c>
      <c r="Q37" s="5497">
        <f t="shared" si="47"/>
        <v>0</v>
      </c>
      <c r="R37" s="5498">
        <f t="shared" si="47"/>
        <v>0</v>
      </c>
      <c r="S37" s="5498">
        <f t="shared" si="47"/>
        <v>0</v>
      </c>
      <c r="T37" s="5498">
        <f t="shared" si="47"/>
        <v>0</v>
      </c>
      <c r="U37" s="5550">
        <f t="shared" si="47"/>
        <v>0</v>
      </c>
      <c r="V37" s="5497">
        <f t="shared" si="47"/>
        <v>0</v>
      </c>
      <c r="W37" s="5498">
        <f t="shared" si="47"/>
        <v>0</v>
      </c>
      <c r="X37" s="5498">
        <f t="shared" si="47"/>
        <v>0</v>
      </c>
      <c r="Y37" s="5498">
        <f t="shared" si="47"/>
        <v>0</v>
      </c>
      <c r="Z37" s="5550">
        <f t="shared" si="47"/>
        <v>0</v>
      </c>
      <c r="AA37" s="5497">
        <f t="shared" si="47"/>
        <v>1</v>
      </c>
      <c r="AB37" s="5498">
        <f t="shared" si="47"/>
        <v>1</v>
      </c>
      <c r="AC37" s="5498">
        <f t="shared" si="47"/>
        <v>1</v>
      </c>
      <c r="AD37" s="5498">
        <f t="shared" si="47"/>
        <v>1</v>
      </c>
      <c r="AE37" s="5550">
        <f t="shared" si="47"/>
        <v>4</v>
      </c>
      <c r="AF37" s="5497">
        <f t="shared" si="47"/>
        <v>2</v>
      </c>
      <c r="AG37" s="5498">
        <f t="shared" si="47"/>
        <v>2</v>
      </c>
      <c r="AH37" s="5498">
        <f t="shared" si="47"/>
        <v>1</v>
      </c>
      <c r="AI37" s="5498">
        <f t="shared" si="47"/>
        <v>2</v>
      </c>
      <c r="AJ37" s="5550">
        <f t="shared" si="47"/>
        <v>7</v>
      </c>
      <c r="AK37" s="5497">
        <f t="shared" si="47"/>
        <v>7</v>
      </c>
      <c r="AL37" s="5498">
        <f t="shared" si="47"/>
        <v>9</v>
      </c>
      <c r="AM37" s="5498">
        <f t="shared" si="47"/>
        <v>1</v>
      </c>
      <c r="AN37" s="5498">
        <f t="shared" si="47"/>
        <v>1</v>
      </c>
      <c r="AO37" s="5550">
        <f t="shared" si="47"/>
        <v>18</v>
      </c>
      <c r="AP37" s="5497">
        <f t="shared" si="47"/>
        <v>6</v>
      </c>
      <c r="AQ37" s="5498">
        <f t="shared" si="47"/>
        <v>17</v>
      </c>
      <c r="AR37" s="5498">
        <f t="shared" si="47"/>
        <v>0</v>
      </c>
      <c r="AS37" s="5498">
        <f t="shared" si="47"/>
        <v>3</v>
      </c>
      <c r="AT37" s="5550">
        <f t="shared" si="47"/>
        <v>26</v>
      </c>
      <c r="AU37" s="5497">
        <f t="shared" si="47"/>
        <v>7</v>
      </c>
      <c r="AV37" s="5498">
        <f t="shared" si="47"/>
        <v>16</v>
      </c>
      <c r="AW37" s="5498">
        <f t="shared" si="47"/>
        <v>0</v>
      </c>
      <c r="AX37" s="5498">
        <f t="shared" si="47"/>
        <v>2</v>
      </c>
      <c r="AY37" s="5550">
        <f t="shared" si="47"/>
        <v>25</v>
      </c>
      <c r="AZ37" s="5497">
        <f t="shared" si="47"/>
        <v>11</v>
      </c>
      <c r="BA37" s="5498">
        <f t="shared" si="47"/>
        <v>25</v>
      </c>
      <c r="BB37" s="5498">
        <f t="shared" si="47"/>
        <v>1</v>
      </c>
      <c r="BC37" s="5498">
        <f t="shared" si="47"/>
        <v>3</v>
      </c>
      <c r="BD37" s="5550">
        <f t="shared" si="47"/>
        <v>40</v>
      </c>
      <c r="BE37" s="5497">
        <f t="shared" si="47"/>
        <v>10</v>
      </c>
      <c r="BF37" s="5498">
        <f t="shared" si="47"/>
        <v>25</v>
      </c>
      <c r="BG37" s="5498">
        <f t="shared" si="47"/>
        <v>1</v>
      </c>
      <c r="BH37" s="5498">
        <f t="shared" si="47"/>
        <v>3</v>
      </c>
      <c r="BI37" s="5550">
        <f t="shared" si="47"/>
        <v>39</v>
      </c>
      <c r="BJ37" s="5497">
        <f t="shared" si="47"/>
        <v>12</v>
      </c>
      <c r="BK37" s="5498">
        <f t="shared" si="47"/>
        <v>29</v>
      </c>
      <c r="BL37" s="5498">
        <f t="shared" si="47"/>
        <v>2</v>
      </c>
      <c r="BM37" s="5498">
        <f t="shared" si="47"/>
        <v>3</v>
      </c>
      <c r="BN37" s="5550">
        <f t="shared" si="47"/>
        <v>46</v>
      </c>
      <c r="BO37" s="5497">
        <f t="shared" ref="BO37:BX37" si="48">SUM(BO14)</f>
        <v>13</v>
      </c>
      <c r="BP37" s="5498">
        <f t="shared" si="48"/>
        <v>33</v>
      </c>
      <c r="BQ37" s="5498">
        <f t="shared" si="48"/>
        <v>2</v>
      </c>
      <c r="BR37" s="5498">
        <f t="shared" si="48"/>
        <v>3</v>
      </c>
      <c r="BS37" s="5550">
        <f t="shared" si="48"/>
        <v>51</v>
      </c>
      <c r="BT37" s="5497">
        <f t="shared" si="48"/>
        <v>11</v>
      </c>
      <c r="BU37" s="5498">
        <f t="shared" si="48"/>
        <v>33</v>
      </c>
      <c r="BV37" s="5498">
        <f t="shared" si="48"/>
        <v>5</v>
      </c>
      <c r="BW37" s="5498">
        <f t="shared" si="48"/>
        <v>3</v>
      </c>
      <c r="BX37" s="5550">
        <f t="shared" si="48"/>
        <v>52</v>
      </c>
      <c r="BY37" s="5497">
        <f t="shared" ref="BY37:CH37" si="49">SUM(BY14)</f>
        <v>7</v>
      </c>
      <c r="BZ37" s="5498">
        <f t="shared" si="49"/>
        <v>32</v>
      </c>
      <c r="CA37" s="5498">
        <f t="shared" si="49"/>
        <v>5</v>
      </c>
      <c r="CB37" s="5498">
        <f t="shared" si="49"/>
        <v>3</v>
      </c>
      <c r="CC37" s="5550">
        <f t="shared" si="49"/>
        <v>47</v>
      </c>
      <c r="CD37" s="5497">
        <f t="shared" si="49"/>
        <v>7</v>
      </c>
      <c r="CE37" s="5498">
        <f t="shared" si="49"/>
        <v>33</v>
      </c>
      <c r="CF37" s="5498">
        <f t="shared" si="49"/>
        <v>6</v>
      </c>
      <c r="CG37" s="5498">
        <f t="shared" si="49"/>
        <v>3</v>
      </c>
      <c r="CH37" s="5550">
        <f t="shared" si="49"/>
        <v>49</v>
      </c>
      <c r="CI37" s="5497">
        <f t="shared" ref="CI37:CM37" si="50">SUM(CI14)</f>
        <v>6</v>
      </c>
      <c r="CJ37" s="5498">
        <f t="shared" si="50"/>
        <v>29</v>
      </c>
      <c r="CK37" s="5498">
        <f t="shared" si="50"/>
        <v>7</v>
      </c>
      <c r="CL37" s="5498">
        <f t="shared" si="50"/>
        <v>3</v>
      </c>
      <c r="CM37" s="5550">
        <f t="shared" si="50"/>
        <v>45</v>
      </c>
    </row>
    <row r="38" spans="1:91" ht="15" customHeight="1" x14ac:dyDescent="0.2">
      <c r="A38" s="2612" t="s">
        <v>573</v>
      </c>
      <c r="B38" s="673">
        <f>SUM(B32:B37)</f>
        <v>76</v>
      </c>
      <c r="C38" s="674">
        <f t="shared" ref="C38:BN38" si="51">SUM(C32:C37)</f>
        <v>271</v>
      </c>
      <c r="D38" s="674">
        <f t="shared" si="51"/>
        <v>76</v>
      </c>
      <c r="E38" s="674">
        <f t="shared" si="51"/>
        <v>29</v>
      </c>
      <c r="F38" s="675">
        <f t="shared" si="51"/>
        <v>452</v>
      </c>
      <c r="G38" s="673">
        <f t="shared" si="51"/>
        <v>47</v>
      </c>
      <c r="H38" s="674">
        <f t="shared" si="51"/>
        <v>301</v>
      </c>
      <c r="I38" s="674">
        <f t="shared" si="51"/>
        <v>100</v>
      </c>
      <c r="J38" s="674">
        <f t="shared" si="51"/>
        <v>33</v>
      </c>
      <c r="K38" s="675">
        <f t="shared" si="51"/>
        <v>481</v>
      </c>
      <c r="L38" s="673">
        <f t="shared" si="51"/>
        <v>38</v>
      </c>
      <c r="M38" s="674">
        <f t="shared" si="51"/>
        <v>340</v>
      </c>
      <c r="N38" s="674">
        <f t="shared" si="51"/>
        <v>120</v>
      </c>
      <c r="O38" s="674">
        <f t="shared" si="51"/>
        <v>35</v>
      </c>
      <c r="P38" s="675">
        <f t="shared" si="51"/>
        <v>533</v>
      </c>
      <c r="Q38" s="673">
        <f t="shared" si="51"/>
        <v>40</v>
      </c>
      <c r="R38" s="674">
        <f t="shared" si="51"/>
        <v>344</v>
      </c>
      <c r="S38" s="674">
        <f t="shared" si="51"/>
        <v>121</v>
      </c>
      <c r="T38" s="674">
        <f t="shared" si="51"/>
        <v>36</v>
      </c>
      <c r="U38" s="675">
        <f t="shared" si="51"/>
        <v>541</v>
      </c>
      <c r="V38" s="673">
        <f t="shared" si="51"/>
        <v>42</v>
      </c>
      <c r="W38" s="674">
        <f t="shared" si="51"/>
        <v>382</v>
      </c>
      <c r="X38" s="674">
        <f t="shared" si="51"/>
        <v>134</v>
      </c>
      <c r="Y38" s="674">
        <f t="shared" si="51"/>
        <v>42</v>
      </c>
      <c r="Z38" s="675">
        <f t="shared" si="51"/>
        <v>600</v>
      </c>
      <c r="AA38" s="673">
        <f t="shared" si="51"/>
        <v>49</v>
      </c>
      <c r="AB38" s="674">
        <f t="shared" si="51"/>
        <v>391</v>
      </c>
      <c r="AC38" s="674">
        <f t="shared" si="51"/>
        <v>143</v>
      </c>
      <c r="AD38" s="674">
        <f t="shared" si="51"/>
        <v>51</v>
      </c>
      <c r="AE38" s="675">
        <f t="shared" si="51"/>
        <v>634</v>
      </c>
      <c r="AF38" s="673">
        <f t="shared" si="51"/>
        <v>48</v>
      </c>
      <c r="AG38" s="674">
        <f t="shared" si="51"/>
        <v>403</v>
      </c>
      <c r="AH38" s="674">
        <f t="shared" si="51"/>
        <v>167</v>
      </c>
      <c r="AI38" s="674">
        <f t="shared" si="51"/>
        <v>63</v>
      </c>
      <c r="AJ38" s="675">
        <f t="shared" si="51"/>
        <v>681</v>
      </c>
      <c r="AK38" s="673">
        <f t="shared" si="51"/>
        <v>64</v>
      </c>
      <c r="AL38" s="674">
        <f t="shared" si="51"/>
        <v>443</v>
      </c>
      <c r="AM38" s="674">
        <f t="shared" si="51"/>
        <v>175</v>
      </c>
      <c r="AN38" s="674">
        <f t="shared" si="51"/>
        <v>64</v>
      </c>
      <c r="AO38" s="675">
        <f t="shared" si="51"/>
        <v>746</v>
      </c>
      <c r="AP38" s="673">
        <f t="shared" si="51"/>
        <v>73</v>
      </c>
      <c r="AQ38" s="674">
        <f t="shared" si="51"/>
        <v>478</v>
      </c>
      <c r="AR38" s="674">
        <f t="shared" si="51"/>
        <v>208</v>
      </c>
      <c r="AS38" s="674">
        <f t="shared" si="51"/>
        <v>74</v>
      </c>
      <c r="AT38" s="675">
        <f t="shared" si="51"/>
        <v>833</v>
      </c>
      <c r="AU38" s="673">
        <f t="shared" si="51"/>
        <v>75</v>
      </c>
      <c r="AV38" s="674">
        <f t="shared" si="51"/>
        <v>480</v>
      </c>
      <c r="AW38" s="674">
        <f t="shared" si="51"/>
        <v>212</v>
      </c>
      <c r="AX38" s="674">
        <f t="shared" si="51"/>
        <v>75</v>
      </c>
      <c r="AY38" s="675">
        <f t="shared" si="51"/>
        <v>842</v>
      </c>
      <c r="AZ38" s="673">
        <f t="shared" si="51"/>
        <v>92</v>
      </c>
      <c r="BA38" s="674">
        <f t="shared" si="51"/>
        <v>508</v>
      </c>
      <c r="BB38" s="674">
        <f t="shared" si="51"/>
        <v>210</v>
      </c>
      <c r="BC38" s="674">
        <f t="shared" si="51"/>
        <v>96</v>
      </c>
      <c r="BD38" s="675">
        <f t="shared" si="51"/>
        <v>906</v>
      </c>
      <c r="BE38" s="673">
        <f t="shared" si="51"/>
        <v>95</v>
      </c>
      <c r="BF38" s="674">
        <f t="shared" si="51"/>
        <v>516</v>
      </c>
      <c r="BG38" s="674">
        <f t="shared" si="51"/>
        <v>210</v>
      </c>
      <c r="BH38" s="674">
        <f t="shared" si="51"/>
        <v>93</v>
      </c>
      <c r="BI38" s="675">
        <f t="shared" si="51"/>
        <v>914</v>
      </c>
      <c r="BJ38" s="673">
        <f t="shared" si="51"/>
        <v>110</v>
      </c>
      <c r="BK38" s="674">
        <f t="shared" si="51"/>
        <v>530</v>
      </c>
      <c r="BL38" s="674">
        <f t="shared" si="51"/>
        <v>206</v>
      </c>
      <c r="BM38" s="674">
        <f t="shared" si="51"/>
        <v>95</v>
      </c>
      <c r="BN38" s="675">
        <f t="shared" si="51"/>
        <v>941</v>
      </c>
      <c r="BO38" s="673">
        <f t="shared" ref="BO38:BX38" si="52">SUM(BO32:BO37)</f>
        <v>148</v>
      </c>
      <c r="BP38" s="674">
        <f t="shared" si="52"/>
        <v>587</v>
      </c>
      <c r="BQ38" s="674">
        <f t="shared" si="52"/>
        <v>219</v>
      </c>
      <c r="BR38" s="674">
        <f t="shared" si="52"/>
        <v>107</v>
      </c>
      <c r="BS38" s="675">
        <f t="shared" si="52"/>
        <v>1061</v>
      </c>
      <c r="BT38" s="673">
        <f t="shared" si="52"/>
        <v>156</v>
      </c>
      <c r="BU38" s="674">
        <f t="shared" si="52"/>
        <v>595</v>
      </c>
      <c r="BV38" s="674">
        <f t="shared" si="52"/>
        <v>219</v>
      </c>
      <c r="BW38" s="674">
        <f t="shared" si="52"/>
        <v>114</v>
      </c>
      <c r="BX38" s="675">
        <f t="shared" si="52"/>
        <v>1084</v>
      </c>
      <c r="BY38" s="673">
        <f t="shared" ref="BY38:CH38" si="53">SUM(BY32:BY37)</f>
        <v>151</v>
      </c>
      <c r="BZ38" s="674">
        <f t="shared" si="53"/>
        <v>605</v>
      </c>
      <c r="CA38" s="674">
        <f t="shared" si="53"/>
        <v>234</v>
      </c>
      <c r="CB38" s="674">
        <f t="shared" si="53"/>
        <v>120</v>
      </c>
      <c r="CC38" s="675">
        <f t="shared" si="53"/>
        <v>1110</v>
      </c>
      <c r="CD38" s="673">
        <f t="shared" si="53"/>
        <v>167</v>
      </c>
      <c r="CE38" s="674">
        <f t="shared" si="53"/>
        <v>636</v>
      </c>
      <c r="CF38" s="674">
        <f t="shared" si="53"/>
        <v>237</v>
      </c>
      <c r="CG38" s="674">
        <f t="shared" si="53"/>
        <v>130</v>
      </c>
      <c r="CH38" s="675">
        <f t="shared" si="53"/>
        <v>1170</v>
      </c>
      <c r="CI38" s="673">
        <f t="shared" ref="CI38:CM38" si="54">SUM(CI32:CI37)</f>
        <v>164</v>
      </c>
      <c r="CJ38" s="674">
        <f t="shared" si="54"/>
        <v>619</v>
      </c>
      <c r="CK38" s="674">
        <f t="shared" si="54"/>
        <v>242</v>
      </c>
      <c r="CL38" s="674">
        <f t="shared" si="54"/>
        <v>138</v>
      </c>
      <c r="CM38" s="675">
        <f t="shared" si="54"/>
        <v>1163</v>
      </c>
    </row>
    <row r="39" spans="1:91" x14ac:dyDescent="0.2">
      <c r="Q39" s="89"/>
      <c r="R39" s="89"/>
      <c r="S39" s="89"/>
      <c r="T39" s="89"/>
      <c r="V39" s="89"/>
      <c r="W39" s="89"/>
      <c r="X39" s="89"/>
      <c r="Y39" s="89"/>
      <c r="AA39" s="89"/>
      <c r="AB39" s="89"/>
      <c r="AC39" s="89"/>
      <c r="AD39" s="89"/>
      <c r="AF39" s="89"/>
      <c r="AG39" s="89"/>
      <c r="AH39" s="89"/>
      <c r="AI39" s="89"/>
      <c r="AK39" s="89"/>
      <c r="AL39" s="89"/>
      <c r="AM39" s="89"/>
      <c r="AN39" s="89"/>
    </row>
    <row r="40" spans="1:91" ht="12.75" customHeight="1" x14ac:dyDescent="0.2">
      <c r="A40" s="442" t="s">
        <v>1573</v>
      </c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BT40" s="7302" t="s">
        <v>1679</v>
      </c>
      <c r="BU40" s="7302"/>
      <c r="BV40" s="7302"/>
      <c r="BW40" s="7302"/>
      <c r="BX40" s="7302"/>
      <c r="CD40" s="7301" t="s">
        <v>1706</v>
      </c>
      <c r="CE40" s="7301"/>
      <c r="CF40" s="7301"/>
      <c r="CG40" s="7301"/>
      <c r="CH40" s="5237"/>
      <c r="CI40" s="7301" t="s">
        <v>1707</v>
      </c>
      <c r="CJ40" s="7301"/>
      <c r="CK40" s="7301"/>
      <c r="CL40" s="7301"/>
      <c r="CM40" s="5237"/>
    </row>
    <row r="41" spans="1:91" x14ac:dyDescent="0.2">
      <c r="A41" s="441" t="s">
        <v>146</v>
      </c>
      <c r="BT41" s="7302"/>
      <c r="BU41" s="7302"/>
      <c r="BV41" s="7302"/>
      <c r="BW41" s="7302"/>
      <c r="BX41" s="7302"/>
      <c r="CD41" s="7301"/>
      <c r="CE41" s="7301"/>
      <c r="CF41" s="7301"/>
      <c r="CG41" s="7301"/>
      <c r="CH41" s="5237"/>
      <c r="CI41" s="7301"/>
      <c r="CJ41" s="7301"/>
      <c r="CK41" s="7301"/>
      <c r="CL41" s="7301"/>
      <c r="CM41" s="5237"/>
    </row>
    <row r="42" spans="1:91" x14ac:dyDescent="0.2">
      <c r="A42" s="2199"/>
      <c r="BT42" s="7302"/>
      <c r="BU42" s="7302"/>
      <c r="BV42" s="7302"/>
      <c r="BW42" s="7302"/>
      <c r="BX42" s="7302"/>
    </row>
    <row r="43" spans="1:91" x14ac:dyDescent="0.2">
      <c r="A43" s="2201"/>
    </row>
    <row r="47" spans="1:91" x14ac:dyDescent="0.2">
      <c r="CH47" s="5544"/>
    </row>
    <row r="54" spans="37:62" ht="15" x14ac:dyDescent="0.2">
      <c r="BJ54" s="4062">
        <v>2000</v>
      </c>
    </row>
    <row r="55" spans="37:62" ht="15" x14ac:dyDescent="0.2">
      <c r="BJ55" s="4062">
        <v>2001</v>
      </c>
    </row>
    <row r="56" spans="37:62" ht="15" x14ac:dyDescent="0.2">
      <c r="BJ56" s="4062">
        <v>2002</v>
      </c>
    </row>
    <row r="57" spans="37:62" ht="15" x14ac:dyDescent="0.2">
      <c r="BJ57" s="4062">
        <v>2003</v>
      </c>
    </row>
    <row r="58" spans="37:62" ht="15" x14ac:dyDescent="0.2">
      <c r="BJ58" s="4062">
        <v>2004</v>
      </c>
    </row>
    <row r="59" spans="37:62" ht="15" x14ac:dyDescent="0.2">
      <c r="AK59" s="3737"/>
      <c r="BJ59" s="4062">
        <v>2005</v>
      </c>
    </row>
    <row r="60" spans="37:62" ht="15" x14ac:dyDescent="0.2">
      <c r="BJ60" s="4062">
        <v>2006</v>
      </c>
    </row>
    <row r="61" spans="37:62" ht="15" x14ac:dyDescent="0.2">
      <c r="BJ61" s="4062">
        <v>2007</v>
      </c>
    </row>
    <row r="62" spans="37:62" ht="15" x14ac:dyDescent="0.2">
      <c r="BJ62" s="4062">
        <v>2008</v>
      </c>
    </row>
    <row r="63" spans="37:62" ht="15" x14ac:dyDescent="0.2">
      <c r="BJ63" s="4062">
        <v>2009</v>
      </c>
    </row>
    <row r="64" spans="37:62" ht="15" x14ac:dyDescent="0.2">
      <c r="BJ64" s="4062">
        <v>2010</v>
      </c>
    </row>
    <row r="65" spans="62:63" ht="15" x14ac:dyDescent="0.2">
      <c r="BJ65" s="4062">
        <v>2011</v>
      </c>
    </row>
    <row r="66" spans="62:63" ht="15" x14ac:dyDescent="0.2">
      <c r="BJ66" s="4062">
        <v>2012</v>
      </c>
    </row>
    <row r="67" spans="62:63" ht="15" x14ac:dyDescent="0.2">
      <c r="BJ67" s="4062">
        <v>2013</v>
      </c>
    </row>
    <row r="68" spans="62:63" ht="15" x14ac:dyDescent="0.2">
      <c r="BJ68" s="4062">
        <v>2014</v>
      </c>
    </row>
    <row r="69" spans="62:63" ht="15" x14ac:dyDescent="0.2">
      <c r="BJ69" s="4062">
        <v>2015</v>
      </c>
    </row>
    <row r="70" spans="62:63" ht="15" x14ac:dyDescent="0.2">
      <c r="BJ70" s="4062">
        <v>2016</v>
      </c>
    </row>
    <row r="71" spans="62:63" ht="15" x14ac:dyDescent="0.2">
      <c r="BJ71" s="4062">
        <v>2017</v>
      </c>
      <c r="BK71" s="3738" t="s">
        <v>654</v>
      </c>
    </row>
    <row r="72" spans="62:63" x14ac:dyDescent="0.2">
      <c r="BK72" s="3738" t="s">
        <v>655</v>
      </c>
    </row>
    <row r="73" spans="62:63" x14ac:dyDescent="0.2">
      <c r="BK73" s="3738" t="s">
        <v>656</v>
      </c>
    </row>
    <row r="74" spans="62:63" x14ac:dyDescent="0.2">
      <c r="BK74" s="3738" t="s">
        <v>657</v>
      </c>
    </row>
  </sheetData>
  <sheetProtection algorithmName="SHA-512" hashValue="OejcJj93bH80nwNs9rQv//ZAK688rCkf+0j4CszPtPBxH2F0oQum3zsQVemvFyzPbuW32vp93dWwfFj3Jhh4ug==" saltValue="Vgz30DlNM+yoXBmOt8xiiQ==" spinCount="100000" sheet="1" objects="1" scenarios="1"/>
  <mergeCells count="58">
    <mergeCell ref="BN4:BN5"/>
    <mergeCell ref="BO4:BR4"/>
    <mergeCell ref="BT3:BX3"/>
    <mergeCell ref="BO3:BS3"/>
    <mergeCell ref="BJ3:BN3"/>
    <mergeCell ref="BT4:BW4"/>
    <mergeCell ref="BX4:BX5"/>
    <mergeCell ref="BS4:BS5"/>
    <mergeCell ref="BJ4:BM4"/>
    <mergeCell ref="BE3:BI3"/>
    <mergeCell ref="AP4:AS4"/>
    <mergeCell ref="AT4:AT5"/>
    <mergeCell ref="AU4:AX4"/>
    <mergeCell ref="AY4:AY5"/>
    <mergeCell ref="AZ4:BC4"/>
    <mergeCell ref="BD4:BD5"/>
    <mergeCell ref="BE4:BH4"/>
    <mergeCell ref="BI4:BI5"/>
    <mergeCell ref="AZ3:BD3"/>
    <mergeCell ref="AU3:AY3"/>
    <mergeCell ref="AP3:AT3"/>
    <mergeCell ref="A3:A5"/>
    <mergeCell ref="V3:Z3"/>
    <mergeCell ref="Q4:T4"/>
    <mergeCell ref="U4:U5"/>
    <mergeCell ref="V4:Y4"/>
    <mergeCell ref="B3:F3"/>
    <mergeCell ref="B4:E4"/>
    <mergeCell ref="F4:F5"/>
    <mergeCell ref="Q3:U3"/>
    <mergeCell ref="Z4:Z5"/>
    <mergeCell ref="L3:P3"/>
    <mergeCell ref="L4:O4"/>
    <mergeCell ref="P4:P5"/>
    <mergeCell ref="G3:K3"/>
    <mergeCell ref="G4:J4"/>
    <mergeCell ref="K4:K5"/>
    <mergeCell ref="AA3:AE3"/>
    <mergeCell ref="AF3:AJ3"/>
    <mergeCell ref="AK3:AO3"/>
    <mergeCell ref="AA4:AD4"/>
    <mergeCell ref="AE4:AE5"/>
    <mergeCell ref="AF4:AI4"/>
    <mergeCell ref="AJ4:AJ5"/>
    <mergeCell ref="AK4:AN4"/>
    <mergeCell ref="AO4:AO5"/>
    <mergeCell ref="CD40:CG41"/>
    <mergeCell ref="CI40:CL41"/>
    <mergeCell ref="BT40:BX42"/>
    <mergeCell ref="CI3:CM3"/>
    <mergeCell ref="CI4:CL4"/>
    <mergeCell ref="CM4:CM5"/>
    <mergeCell ref="CD3:CH3"/>
    <mergeCell ref="CD4:CG4"/>
    <mergeCell ref="CH4:CH5"/>
    <mergeCell ref="BY3:CC3"/>
    <mergeCell ref="BY4:CB4"/>
    <mergeCell ref="CC4:CC5"/>
  </mergeCells>
  <printOptions horizontalCentered="1" verticalCentered="1"/>
  <pageMargins left="0.55118110236220474" right="0.55118110236220474" top="0.59055118110236227" bottom="0.59055118110236227" header="0" footer="0"/>
  <pageSetup scale="60" pageOrder="overThenDown" orientation="landscape" r:id="rId1"/>
  <headerFooter alignWithMargins="0"/>
  <rowBreaks count="1" manualBreakCount="1">
    <brk id="41" max="75" man="1"/>
  </rowBreaks>
  <colBreaks count="2" manualBreakCount="2">
    <brk id="31" max="165" man="1"/>
    <brk id="61" max="165" man="1"/>
  </colBreaks>
  <ignoredErrors>
    <ignoredError sqref="AE39 F32:F37 K7:BX20 CC25 CC30 K27:BX30 K22:BX25" formula="1"/>
  </ignoredError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BI150"/>
  <sheetViews>
    <sheetView showGridLines="0" zoomScaleNormal="100" workbookViewId="0">
      <pane xSplit="1" ySplit="5" topLeftCell="AE45" activePane="bottomRight" state="frozen"/>
      <selection sqref="A1:E1"/>
      <selection pane="topRight" sqref="A1:E1"/>
      <selection pane="bottomLeft" sqref="A1:E1"/>
      <selection pane="bottomRight" activeCell="AM45" sqref="AM45"/>
    </sheetView>
  </sheetViews>
  <sheetFormatPr baseColWidth="10" defaultRowHeight="15" x14ac:dyDescent="0.2"/>
  <cols>
    <col min="1" max="1" width="24.28515625" style="446" customWidth="1"/>
    <col min="2" max="2" width="6.28515625" style="253" customWidth="1"/>
    <col min="3" max="3" width="7.5703125" style="253" customWidth="1"/>
    <col min="4" max="4" width="8" style="253" customWidth="1"/>
    <col min="5" max="5" width="7.85546875" style="253" customWidth="1"/>
    <col min="6" max="6" width="6.28515625" style="253" customWidth="1"/>
    <col min="7" max="7" width="7.5703125" style="253" customWidth="1"/>
    <col min="8" max="8" width="8.140625" style="253" customWidth="1"/>
    <col min="9" max="9" width="7.85546875" style="253" customWidth="1"/>
    <col min="10" max="10" width="6.28515625" style="253" customWidth="1"/>
    <col min="11" max="11" width="7.5703125" style="253" customWidth="1"/>
    <col min="12" max="12" width="8.140625" style="253" customWidth="1"/>
    <col min="13" max="13" width="7.85546875" style="253" customWidth="1"/>
    <col min="14" max="14" width="6.7109375" style="253" customWidth="1"/>
    <col min="15" max="15" width="7.5703125" style="253" customWidth="1"/>
    <col min="16" max="16" width="8.140625" style="253" customWidth="1"/>
    <col min="17" max="17" width="7.85546875" style="253" customWidth="1"/>
    <col min="18" max="18" width="6.7109375" style="253" customWidth="1"/>
    <col min="19" max="19" width="7.5703125" style="253" customWidth="1"/>
    <col min="20" max="20" width="8.140625" style="253" customWidth="1"/>
    <col min="21" max="21" width="7.85546875" style="253" customWidth="1"/>
    <col min="22" max="23" width="6.7109375" style="253" customWidth="1"/>
    <col min="24" max="24" width="7.7109375" style="253" customWidth="1"/>
    <col min="25" max="25" width="7.85546875" style="253" customWidth="1"/>
    <col min="26" max="27" width="6.7109375" style="253" customWidth="1"/>
    <col min="28" max="28" width="7.5703125" style="253" customWidth="1"/>
    <col min="29" max="29" width="7.85546875" style="253" customWidth="1"/>
    <col min="30" max="30" width="6.85546875" style="253" customWidth="1"/>
    <col min="31" max="31" width="6.7109375" style="253" customWidth="1"/>
    <col min="32" max="32" width="7.5703125" style="253" customWidth="1"/>
    <col min="33" max="33" width="7.85546875" style="253" customWidth="1"/>
    <col min="34" max="36" width="6.7109375" style="253" customWidth="1"/>
    <col min="37" max="37" width="7.85546875" style="253" customWidth="1"/>
    <col min="38" max="40" width="6.7109375" style="253" customWidth="1"/>
    <col min="41" max="41" width="8" style="253" customWidth="1"/>
    <col min="42" max="44" width="6.7109375" style="253" customWidth="1"/>
    <col min="45" max="45" width="8.140625" style="253" bestFit="1" customWidth="1"/>
    <col min="46" max="61" width="6.7109375" style="253" customWidth="1"/>
    <col min="62" max="255" width="11.42578125" style="253"/>
    <col min="256" max="256" width="15.28515625" style="253" customWidth="1"/>
    <col min="257" max="257" width="13" style="253" bestFit="1" customWidth="1"/>
    <col min="258" max="258" width="6.28515625" style="253" customWidth="1"/>
    <col min="259" max="259" width="7.5703125" style="253" customWidth="1"/>
    <col min="260" max="260" width="8" style="253" customWidth="1"/>
    <col min="261" max="261" width="10.7109375" style="253" customWidth="1"/>
    <col min="262" max="262" width="6.28515625" style="253" customWidth="1"/>
    <col min="263" max="263" width="7.5703125" style="253" customWidth="1"/>
    <col min="264" max="264" width="8.140625" style="253" customWidth="1"/>
    <col min="265" max="265" width="10.7109375" style="253" customWidth="1"/>
    <col min="266" max="266" width="6.28515625" style="253" customWidth="1"/>
    <col min="267" max="267" width="7.5703125" style="253" customWidth="1"/>
    <col min="268" max="268" width="8.140625" style="253" customWidth="1"/>
    <col min="269" max="269" width="10.7109375" style="253" customWidth="1"/>
    <col min="270" max="270" width="6.7109375" style="253" customWidth="1"/>
    <col min="271" max="271" width="7.5703125" style="253" customWidth="1"/>
    <col min="272" max="272" width="8.140625" style="253" customWidth="1"/>
    <col min="273" max="273" width="10.7109375" style="253" customWidth="1"/>
    <col min="274" max="274" width="6.7109375" style="253" customWidth="1"/>
    <col min="275" max="275" width="7.5703125" style="253" customWidth="1"/>
    <col min="276" max="276" width="8.140625" style="253" customWidth="1"/>
    <col min="277" max="277" width="10.7109375" style="253" customWidth="1"/>
    <col min="278" max="280" width="6.7109375" style="253" customWidth="1"/>
    <col min="281" max="281" width="11.42578125" style="253" customWidth="1"/>
    <col min="282" max="284" width="6.7109375" style="253" customWidth="1"/>
    <col min="285" max="285" width="11.42578125" style="253"/>
    <col min="286" max="286" width="1.5703125" style="253" customWidth="1"/>
    <col min="287" max="511" width="11.42578125" style="253"/>
    <col min="512" max="512" width="15.28515625" style="253" customWidth="1"/>
    <col min="513" max="513" width="13" style="253" bestFit="1" customWidth="1"/>
    <col min="514" max="514" width="6.28515625" style="253" customWidth="1"/>
    <col min="515" max="515" width="7.5703125" style="253" customWidth="1"/>
    <col min="516" max="516" width="8" style="253" customWidth="1"/>
    <col min="517" max="517" width="10.7109375" style="253" customWidth="1"/>
    <col min="518" max="518" width="6.28515625" style="253" customWidth="1"/>
    <col min="519" max="519" width="7.5703125" style="253" customWidth="1"/>
    <col min="520" max="520" width="8.140625" style="253" customWidth="1"/>
    <col min="521" max="521" width="10.7109375" style="253" customWidth="1"/>
    <col min="522" max="522" width="6.28515625" style="253" customWidth="1"/>
    <col min="523" max="523" width="7.5703125" style="253" customWidth="1"/>
    <col min="524" max="524" width="8.140625" style="253" customWidth="1"/>
    <col min="525" max="525" width="10.7109375" style="253" customWidth="1"/>
    <col min="526" max="526" width="6.7109375" style="253" customWidth="1"/>
    <col min="527" max="527" width="7.5703125" style="253" customWidth="1"/>
    <col min="528" max="528" width="8.140625" style="253" customWidth="1"/>
    <col min="529" max="529" width="10.7109375" style="253" customWidth="1"/>
    <col min="530" max="530" width="6.7109375" style="253" customWidth="1"/>
    <col min="531" max="531" width="7.5703125" style="253" customWidth="1"/>
    <col min="532" max="532" width="8.140625" style="253" customWidth="1"/>
    <col min="533" max="533" width="10.7109375" style="253" customWidth="1"/>
    <col min="534" max="536" width="6.7109375" style="253" customWidth="1"/>
    <col min="537" max="537" width="11.42578125" style="253" customWidth="1"/>
    <col min="538" max="540" width="6.7109375" style="253" customWidth="1"/>
    <col min="541" max="541" width="11.42578125" style="253"/>
    <col min="542" max="542" width="1.5703125" style="253" customWidth="1"/>
    <col min="543" max="767" width="11.42578125" style="253"/>
    <col min="768" max="768" width="15.28515625" style="253" customWidth="1"/>
    <col min="769" max="769" width="13" style="253" bestFit="1" customWidth="1"/>
    <col min="770" max="770" width="6.28515625" style="253" customWidth="1"/>
    <col min="771" max="771" width="7.5703125" style="253" customWidth="1"/>
    <col min="772" max="772" width="8" style="253" customWidth="1"/>
    <col min="773" max="773" width="10.7109375" style="253" customWidth="1"/>
    <col min="774" max="774" width="6.28515625" style="253" customWidth="1"/>
    <col min="775" max="775" width="7.5703125" style="253" customWidth="1"/>
    <col min="776" max="776" width="8.140625" style="253" customWidth="1"/>
    <col min="777" max="777" width="10.7109375" style="253" customWidth="1"/>
    <col min="778" max="778" width="6.28515625" style="253" customWidth="1"/>
    <col min="779" max="779" width="7.5703125" style="253" customWidth="1"/>
    <col min="780" max="780" width="8.140625" style="253" customWidth="1"/>
    <col min="781" max="781" width="10.7109375" style="253" customWidth="1"/>
    <col min="782" max="782" width="6.7109375" style="253" customWidth="1"/>
    <col min="783" max="783" width="7.5703125" style="253" customWidth="1"/>
    <col min="784" max="784" width="8.140625" style="253" customWidth="1"/>
    <col min="785" max="785" width="10.7109375" style="253" customWidth="1"/>
    <col min="786" max="786" width="6.7109375" style="253" customWidth="1"/>
    <col min="787" max="787" width="7.5703125" style="253" customWidth="1"/>
    <col min="788" max="788" width="8.140625" style="253" customWidth="1"/>
    <col min="789" max="789" width="10.7109375" style="253" customWidth="1"/>
    <col min="790" max="792" width="6.7109375" style="253" customWidth="1"/>
    <col min="793" max="793" width="11.42578125" style="253" customWidth="1"/>
    <col min="794" max="796" width="6.7109375" style="253" customWidth="1"/>
    <col min="797" max="797" width="11.42578125" style="253"/>
    <col min="798" max="798" width="1.5703125" style="253" customWidth="1"/>
    <col min="799" max="1023" width="11.42578125" style="253"/>
    <col min="1024" max="1024" width="15.28515625" style="253" customWidth="1"/>
    <col min="1025" max="1025" width="13" style="253" bestFit="1" customWidth="1"/>
    <col min="1026" max="1026" width="6.28515625" style="253" customWidth="1"/>
    <col min="1027" max="1027" width="7.5703125" style="253" customWidth="1"/>
    <col min="1028" max="1028" width="8" style="253" customWidth="1"/>
    <col min="1029" max="1029" width="10.7109375" style="253" customWidth="1"/>
    <col min="1030" max="1030" width="6.28515625" style="253" customWidth="1"/>
    <col min="1031" max="1031" width="7.5703125" style="253" customWidth="1"/>
    <col min="1032" max="1032" width="8.140625" style="253" customWidth="1"/>
    <col min="1033" max="1033" width="10.7109375" style="253" customWidth="1"/>
    <col min="1034" max="1034" width="6.28515625" style="253" customWidth="1"/>
    <col min="1035" max="1035" width="7.5703125" style="253" customWidth="1"/>
    <col min="1036" max="1036" width="8.140625" style="253" customWidth="1"/>
    <col min="1037" max="1037" width="10.7109375" style="253" customWidth="1"/>
    <col min="1038" max="1038" width="6.7109375" style="253" customWidth="1"/>
    <col min="1039" max="1039" width="7.5703125" style="253" customWidth="1"/>
    <col min="1040" max="1040" width="8.140625" style="253" customWidth="1"/>
    <col min="1041" max="1041" width="10.7109375" style="253" customWidth="1"/>
    <col min="1042" max="1042" width="6.7109375" style="253" customWidth="1"/>
    <col min="1043" max="1043" width="7.5703125" style="253" customWidth="1"/>
    <col min="1044" max="1044" width="8.140625" style="253" customWidth="1"/>
    <col min="1045" max="1045" width="10.7109375" style="253" customWidth="1"/>
    <col min="1046" max="1048" width="6.7109375" style="253" customWidth="1"/>
    <col min="1049" max="1049" width="11.42578125" style="253" customWidth="1"/>
    <col min="1050" max="1052" width="6.7109375" style="253" customWidth="1"/>
    <col min="1053" max="1053" width="11.42578125" style="253"/>
    <col min="1054" max="1054" width="1.5703125" style="253" customWidth="1"/>
    <col min="1055" max="1279" width="11.42578125" style="253"/>
    <col min="1280" max="1280" width="15.28515625" style="253" customWidth="1"/>
    <col min="1281" max="1281" width="13" style="253" bestFit="1" customWidth="1"/>
    <col min="1282" max="1282" width="6.28515625" style="253" customWidth="1"/>
    <col min="1283" max="1283" width="7.5703125" style="253" customWidth="1"/>
    <col min="1284" max="1284" width="8" style="253" customWidth="1"/>
    <col min="1285" max="1285" width="10.7109375" style="253" customWidth="1"/>
    <col min="1286" max="1286" width="6.28515625" style="253" customWidth="1"/>
    <col min="1287" max="1287" width="7.5703125" style="253" customWidth="1"/>
    <col min="1288" max="1288" width="8.140625" style="253" customWidth="1"/>
    <col min="1289" max="1289" width="10.7109375" style="253" customWidth="1"/>
    <col min="1290" max="1290" width="6.28515625" style="253" customWidth="1"/>
    <col min="1291" max="1291" width="7.5703125" style="253" customWidth="1"/>
    <col min="1292" max="1292" width="8.140625" style="253" customWidth="1"/>
    <col min="1293" max="1293" width="10.7109375" style="253" customWidth="1"/>
    <col min="1294" max="1294" width="6.7109375" style="253" customWidth="1"/>
    <col min="1295" max="1295" width="7.5703125" style="253" customWidth="1"/>
    <col min="1296" max="1296" width="8.140625" style="253" customWidth="1"/>
    <col min="1297" max="1297" width="10.7109375" style="253" customWidth="1"/>
    <col min="1298" max="1298" width="6.7109375" style="253" customWidth="1"/>
    <col min="1299" max="1299" width="7.5703125" style="253" customWidth="1"/>
    <col min="1300" max="1300" width="8.140625" style="253" customWidth="1"/>
    <col min="1301" max="1301" width="10.7109375" style="253" customWidth="1"/>
    <col min="1302" max="1304" width="6.7109375" style="253" customWidth="1"/>
    <col min="1305" max="1305" width="11.42578125" style="253" customWidth="1"/>
    <col min="1306" max="1308" width="6.7109375" style="253" customWidth="1"/>
    <col min="1309" max="1309" width="11.42578125" style="253"/>
    <col min="1310" max="1310" width="1.5703125" style="253" customWidth="1"/>
    <col min="1311" max="1535" width="11.42578125" style="253"/>
    <col min="1536" max="1536" width="15.28515625" style="253" customWidth="1"/>
    <col min="1537" max="1537" width="13" style="253" bestFit="1" customWidth="1"/>
    <col min="1538" max="1538" width="6.28515625" style="253" customWidth="1"/>
    <col min="1539" max="1539" width="7.5703125" style="253" customWidth="1"/>
    <col min="1540" max="1540" width="8" style="253" customWidth="1"/>
    <col min="1541" max="1541" width="10.7109375" style="253" customWidth="1"/>
    <col min="1542" max="1542" width="6.28515625" style="253" customWidth="1"/>
    <col min="1543" max="1543" width="7.5703125" style="253" customWidth="1"/>
    <col min="1544" max="1544" width="8.140625" style="253" customWidth="1"/>
    <col min="1545" max="1545" width="10.7109375" style="253" customWidth="1"/>
    <col min="1546" max="1546" width="6.28515625" style="253" customWidth="1"/>
    <col min="1547" max="1547" width="7.5703125" style="253" customWidth="1"/>
    <col min="1548" max="1548" width="8.140625" style="253" customWidth="1"/>
    <col min="1549" max="1549" width="10.7109375" style="253" customWidth="1"/>
    <col min="1550" max="1550" width="6.7109375" style="253" customWidth="1"/>
    <col min="1551" max="1551" width="7.5703125" style="253" customWidth="1"/>
    <col min="1552" max="1552" width="8.140625" style="253" customWidth="1"/>
    <col min="1553" max="1553" width="10.7109375" style="253" customWidth="1"/>
    <col min="1554" max="1554" width="6.7109375" style="253" customWidth="1"/>
    <col min="1555" max="1555" width="7.5703125" style="253" customWidth="1"/>
    <col min="1556" max="1556" width="8.140625" style="253" customWidth="1"/>
    <col min="1557" max="1557" width="10.7109375" style="253" customWidth="1"/>
    <col min="1558" max="1560" width="6.7109375" style="253" customWidth="1"/>
    <col min="1561" max="1561" width="11.42578125" style="253" customWidth="1"/>
    <col min="1562" max="1564" width="6.7109375" style="253" customWidth="1"/>
    <col min="1565" max="1565" width="11.42578125" style="253"/>
    <col min="1566" max="1566" width="1.5703125" style="253" customWidth="1"/>
    <col min="1567" max="1791" width="11.42578125" style="253"/>
    <col min="1792" max="1792" width="15.28515625" style="253" customWidth="1"/>
    <col min="1793" max="1793" width="13" style="253" bestFit="1" customWidth="1"/>
    <col min="1794" max="1794" width="6.28515625" style="253" customWidth="1"/>
    <col min="1795" max="1795" width="7.5703125" style="253" customWidth="1"/>
    <col min="1796" max="1796" width="8" style="253" customWidth="1"/>
    <col min="1797" max="1797" width="10.7109375" style="253" customWidth="1"/>
    <col min="1798" max="1798" width="6.28515625" style="253" customWidth="1"/>
    <col min="1799" max="1799" width="7.5703125" style="253" customWidth="1"/>
    <col min="1800" max="1800" width="8.140625" style="253" customWidth="1"/>
    <col min="1801" max="1801" width="10.7109375" style="253" customWidth="1"/>
    <col min="1802" max="1802" width="6.28515625" style="253" customWidth="1"/>
    <col min="1803" max="1803" width="7.5703125" style="253" customWidth="1"/>
    <col min="1804" max="1804" width="8.140625" style="253" customWidth="1"/>
    <col min="1805" max="1805" width="10.7109375" style="253" customWidth="1"/>
    <col min="1806" max="1806" width="6.7109375" style="253" customWidth="1"/>
    <col min="1807" max="1807" width="7.5703125" style="253" customWidth="1"/>
    <col min="1808" max="1808" width="8.140625" style="253" customWidth="1"/>
    <col min="1809" max="1809" width="10.7109375" style="253" customWidth="1"/>
    <col min="1810" max="1810" width="6.7109375" style="253" customWidth="1"/>
    <col min="1811" max="1811" width="7.5703125" style="253" customWidth="1"/>
    <col min="1812" max="1812" width="8.140625" style="253" customWidth="1"/>
    <col min="1813" max="1813" width="10.7109375" style="253" customWidth="1"/>
    <col min="1814" max="1816" width="6.7109375" style="253" customWidth="1"/>
    <col min="1817" max="1817" width="11.42578125" style="253" customWidth="1"/>
    <col min="1818" max="1820" width="6.7109375" style="253" customWidth="1"/>
    <col min="1821" max="1821" width="11.42578125" style="253"/>
    <col min="1822" max="1822" width="1.5703125" style="253" customWidth="1"/>
    <col min="1823" max="2047" width="11.42578125" style="253"/>
    <col min="2048" max="2048" width="15.28515625" style="253" customWidth="1"/>
    <col min="2049" max="2049" width="13" style="253" bestFit="1" customWidth="1"/>
    <col min="2050" max="2050" width="6.28515625" style="253" customWidth="1"/>
    <col min="2051" max="2051" width="7.5703125" style="253" customWidth="1"/>
    <col min="2052" max="2052" width="8" style="253" customWidth="1"/>
    <col min="2053" max="2053" width="10.7109375" style="253" customWidth="1"/>
    <col min="2054" max="2054" width="6.28515625" style="253" customWidth="1"/>
    <col min="2055" max="2055" width="7.5703125" style="253" customWidth="1"/>
    <col min="2056" max="2056" width="8.140625" style="253" customWidth="1"/>
    <col min="2057" max="2057" width="10.7109375" style="253" customWidth="1"/>
    <col min="2058" max="2058" width="6.28515625" style="253" customWidth="1"/>
    <col min="2059" max="2059" width="7.5703125" style="253" customWidth="1"/>
    <col min="2060" max="2060" width="8.140625" style="253" customWidth="1"/>
    <col min="2061" max="2061" width="10.7109375" style="253" customWidth="1"/>
    <col min="2062" max="2062" width="6.7109375" style="253" customWidth="1"/>
    <col min="2063" max="2063" width="7.5703125" style="253" customWidth="1"/>
    <col min="2064" max="2064" width="8.140625" style="253" customWidth="1"/>
    <col min="2065" max="2065" width="10.7109375" style="253" customWidth="1"/>
    <col min="2066" max="2066" width="6.7109375" style="253" customWidth="1"/>
    <col min="2067" max="2067" width="7.5703125" style="253" customWidth="1"/>
    <col min="2068" max="2068" width="8.140625" style="253" customWidth="1"/>
    <col min="2069" max="2069" width="10.7109375" style="253" customWidth="1"/>
    <col min="2070" max="2072" width="6.7109375" style="253" customWidth="1"/>
    <col min="2073" max="2073" width="11.42578125" style="253" customWidth="1"/>
    <col min="2074" max="2076" width="6.7109375" style="253" customWidth="1"/>
    <col min="2077" max="2077" width="11.42578125" style="253"/>
    <col min="2078" max="2078" width="1.5703125" style="253" customWidth="1"/>
    <col min="2079" max="2303" width="11.42578125" style="253"/>
    <col min="2304" max="2304" width="15.28515625" style="253" customWidth="1"/>
    <col min="2305" max="2305" width="13" style="253" bestFit="1" customWidth="1"/>
    <col min="2306" max="2306" width="6.28515625" style="253" customWidth="1"/>
    <col min="2307" max="2307" width="7.5703125" style="253" customWidth="1"/>
    <col min="2308" max="2308" width="8" style="253" customWidth="1"/>
    <col min="2309" max="2309" width="10.7109375" style="253" customWidth="1"/>
    <col min="2310" max="2310" width="6.28515625" style="253" customWidth="1"/>
    <col min="2311" max="2311" width="7.5703125" style="253" customWidth="1"/>
    <col min="2312" max="2312" width="8.140625" style="253" customWidth="1"/>
    <col min="2313" max="2313" width="10.7109375" style="253" customWidth="1"/>
    <col min="2314" max="2314" width="6.28515625" style="253" customWidth="1"/>
    <col min="2315" max="2315" width="7.5703125" style="253" customWidth="1"/>
    <col min="2316" max="2316" width="8.140625" style="253" customWidth="1"/>
    <col min="2317" max="2317" width="10.7109375" style="253" customWidth="1"/>
    <col min="2318" max="2318" width="6.7109375" style="253" customWidth="1"/>
    <col min="2319" max="2319" width="7.5703125" style="253" customWidth="1"/>
    <col min="2320" max="2320" width="8.140625" style="253" customWidth="1"/>
    <col min="2321" max="2321" width="10.7109375" style="253" customWidth="1"/>
    <col min="2322" max="2322" width="6.7109375" style="253" customWidth="1"/>
    <col min="2323" max="2323" width="7.5703125" style="253" customWidth="1"/>
    <col min="2324" max="2324" width="8.140625" style="253" customWidth="1"/>
    <col min="2325" max="2325" width="10.7109375" style="253" customWidth="1"/>
    <col min="2326" max="2328" width="6.7109375" style="253" customWidth="1"/>
    <col min="2329" max="2329" width="11.42578125" style="253" customWidth="1"/>
    <col min="2330" max="2332" width="6.7109375" style="253" customWidth="1"/>
    <col min="2333" max="2333" width="11.42578125" style="253"/>
    <col min="2334" max="2334" width="1.5703125" style="253" customWidth="1"/>
    <col min="2335" max="2559" width="11.42578125" style="253"/>
    <col min="2560" max="2560" width="15.28515625" style="253" customWidth="1"/>
    <col min="2561" max="2561" width="13" style="253" bestFit="1" customWidth="1"/>
    <col min="2562" max="2562" width="6.28515625" style="253" customWidth="1"/>
    <col min="2563" max="2563" width="7.5703125" style="253" customWidth="1"/>
    <col min="2564" max="2564" width="8" style="253" customWidth="1"/>
    <col min="2565" max="2565" width="10.7109375" style="253" customWidth="1"/>
    <col min="2566" max="2566" width="6.28515625" style="253" customWidth="1"/>
    <col min="2567" max="2567" width="7.5703125" style="253" customWidth="1"/>
    <col min="2568" max="2568" width="8.140625" style="253" customWidth="1"/>
    <col min="2569" max="2569" width="10.7109375" style="253" customWidth="1"/>
    <col min="2570" max="2570" width="6.28515625" style="253" customWidth="1"/>
    <col min="2571" max="2571" width="7.5703125" style="253" customWidth="1"/>
    <col min="2572" max="2572" width="8.140625" style="253" customWidth="1"/>
    <col min="2573" max="2573" width="10.7109375" style="253" customWidth="1"/>
    <col min="2574" max="2574" width="6.7109375" style="253" customWidth="1"/>
    <col min="2575" max="2575" width="7.5703125" style="253" customWidth="1"/>
    <col min="2576" max="2576" width="8.140625" style="253" customWidth="1"/>
    <col min="2577" max="2577" width="10.7109375" style="253" customWidth="1"/>
    <col min="2578" max="2578" width="6.7109375" style="253" customWidth="1"/>
    <col min="2579" max="2579" width="7.5703125" style="253" customWidth="1"/>
    <col min="2580" max="2580" width="8.140625" style="253" customWidth="1"/>
    <col min="2581" max="2581" width="10.7109375" style="253" customWidth="1"/>
    <col min="2582" max="2584" width="6.7109375" style="253" customWidth="1"/>
    <col min="2585" max="2585" width="11.42578125" style="253" customWidth="1"/>
    <col min="2586" max="2588" width="6.7109375" style="253" customWidth="1"/>
    <col min="2589" max="2589" width="11.42578125" style="253"/>
    <col min="2590" max="2590" width="1.5703125" style="253" customWidth="1"/>
    <col min="2591" max="2815" width="11.42578125" style="253"/>
    <col min="2816" max="2816" width="15.28515625" style="253" customWidth="1"/>
    <col min="2817" max="2817" width="13" style="253" bestFit="1" customWidth="1"/>
    <col min="2818" max="2818" width="6.28515625" style="253" customWidth="1"/>
    <col min="2819" max="2819" width="7.5703125" style="253" customWidth="1"/>
    <col min="2820" max="2820" width="8" style="253" customWidth="1"/>
    <col min="2821" max="2821" width="10.7109375" style="253" customWidth="1"/>
    <col min="2822" max="2822" width="6.28515625" style="253" customWidth="1"/>
    <col min="2823" max="2823" width="7.5703125" style="253" customWidth="1"/>
    <col min="2824" max="2824" width="8.140625" style="253" customWidth="1"/>
    <col min="2825" max="2825" width="10.7109375" style="253" customWidth="1"/>
    <col min="2826" max="2826" width="6.28515625" style="253" customWidth="1"/>
    <col min="2827" max="2827" width="7.5703125" style="253" customWidth="1"/>
    <col min="2828" max="2828" width="8.140625" style="253" customWidth="1"/>
    <col min="2829" max="2829" width="10.7109375" style="253" customWidth="1"/>
    <col min="2830" max="2830" width="6.7109375" style="253" customWidth="1"/>
    <col min="2831" max="2831" width="7.5703125" style="253" customWidth="1"/>
    <col min="2832" max="2832" width="8.140625" style="253" customWidth="1"/>
    <col min="2833" max="2833" width="10.7109375" style="253" customWidth="1"/>
    <col min="2834" max="2834" width="6.7109375" style="253" customWidth="1"/>
    <col min="2835" max="2835" width="7.5703125" style="253" customWidth="1"/>
    <col min="2836" max="2836" width="8.140625" style="253" customWidth="1"/>
    <col min="2837" max="2837" width="10.7109375" style="253" customWidth="1"/>
    <col min="2838" max="2840" width="6.7109375" style="253" customWidth="1"/>
    <col min="2841" max="2841" width="11.42578125" style="253" customWidth="1"/>
    <col min="2842" max="2844" width="6.7109375" style="253" customWidth="1"/>
    <col min="2845" max="2845" width="11.42578125" style="253"/>
    <col min="2846" max="2846" width="1.5703125" style="253" customWidth="1"/>
    <col min="2847" max="3071" width="11.42578125" style="253"/>
    <col min="3072" max="3072" width="15.28515625" style="253" customWidth="1"/>
    <col min="3073" max="3073" width="13" style="253" bestFit="1" customWidth="1"/>
    <col min="3074" max="3074" width="6.28515625" style="253" customWidth="1"/>
    <col min="3075" max="3075" width="7.5703125" style="253" customWidth="1"/>
    <col min="3076" max="3076" width="8" style="253" customWidth="1"/>
    <col min="3077" max="3077" width="10.7109375" style="253" customWidth="1"/>
    <col min="3078" max="3078" width="6.28515625" style="253" customWidth="1"/>
    <col min="3079" max="3079" width="7.5703125" style="253" customWidth="1"/>
    <col min="3080" max="3080" width="8.140625" style="253" customWidth="1"/>
    <col min="3081" max="3081" width="10.7109375" style="253" customWidth="1"/>
    <col min="3082" max="3082" width="6.28515625" style="253" customWidth="1"/>
    <col min="3083" max="3083" width="7.5703125" style="253" customWidth="1"/>
    <col min="3084" max="3084" width="8.140625" style="253" customWidth="1"/>
    <col min="3085" max="3085" width="10.7109375" style="253" customWidth="1"/>
    <col min="3086" max="3086" width="6.7109375" style="253" customWidth="1"/>
    <col min="3087" max="3087" width="7.5703125" style="253" customWidth="1"/>
    <col min="3088" max="3088" width="8.140625" style="253" customWidth="1"/>
    <col min="3089" max="3089" width="10.7109375" style="253" customWidth="1"/>
    <col min="3090" max="3090" width="6.7109375" style="253" customWidth="1"/>
    <col min="3091" max="3091" width="7.5703125" style="253" customWidth="1"/>
    <col min="3092" max="3092" width="8.140625" style="253" customWidth="1"/>
    <col min="3093" max="3093" width="10.7109375" style="253" customWidth="1"/>
    <col min="3094" max="3096" width="6.7109375" style="253" customWidth="1"/>
    <col min="3097" max="3097" width="11.42578125" style="253" customWidth="1"/>
    <col min="3098" max="3100" width="6.7109375" style="253" customWidth="1"/>
    <col min="3101" max="3101" width="11.42578125" style="253"/>
    <col min="3102" max="3102" width="1.5703125" style="253" customWidth="1"/>
    <col min="3103" max="3327" width="11.42578125" style="253"/>
    <col min="3328" max="3328" width="15.28515625" style="253" customWidth="1"/>
    <col min="3329" max="3329" width="13" style="253" bestFit="1" customWidth="1"/>
    <col min="3330" max="3330" width="6.28515625" style="253" customWidth="1"/>
    <col min="3331" max="3331" width="7.5703125" style="253" customWidth="1"/>
    <col min="3332" max="3332" width="8" style="253" customWidth="1"/>
    <col min="3333" max="3333" width="10.7109375" style="253" customWidth="1"/>
    <col min="3334" max="3334" width="6.28515625" style="253" customWidth="1"/>
    <col min="3335" max="3335" width="7.5703125" style="253" customWidth="1"/>
    <col min="3336" max="3336" width="8.140625" style="253" customWidth="1"/>
    <col min="3337" max="3337" width="10.7109375" style="253" customWidth="1"/>
    <col min="3338" max="3338" width="6.28515625" style="253" customWidth="1"/>
    <col min="3339" max="3339" width="7.5703125" style="253" customWidth="1"/>
    <col min="3340" max="3340" width="8.140625" style="253" customWidth="1"/>
    <col min="3341" max="3341" width="10.7109375" style="253" customWidth="1"/>
    <col min="3342" max="3342" width="6.7109375" style="253" customWidth="1"/>
    <col min="3343" max="3343" width="7.5703125" style="253" customWidth="1"/>
    <col min="3344" max="3344" width="8.140625" style="253" customWidth="1"/>
    <col min="3345" max="3345" width="10.7109375" style="253" customWidth="1"/>
    <col min="3346" max="3346" width="6.7109375" style="253" customWidth="1"/>
    <col min="3347" max="3347" width="7.5703125" style="253" customWidth="1"/>
    <col min="3348" max="3348" width="8.140625" style="253" customWidth="1"/>
    <col min="3349" max="3349" width="10.7109375" style="253" customWidth="1"/>
    <col min="3350" max="3352" width="6.7109375" style="253" customWidth="1"/>
    <col min="3353" max="3353" width="11.42578125" style="253" customWidth="1"/>
    <col min="3354" max="3356" width="6.7109375" style="253" customWidth="1"/>
    <col min="3357" max="3357" width="11.42578125" style="253"/>
    <col min="3358" max="3358" width="1.5703125" style="253" customWidth="1"/>
    <col min="3359" max="3583" width="11.42578125" style="253"/>
    <col min="3584" max="3584" width="15.28515625" style="253" customWidth="1"/>
    <col min="3585" max="3585" width="13" style="253" bestFit="1" customWidth="1"/>
    <col min="3586" max="3586" width="6.28515625" style="253" customWidth="1"/>
    <col min="3587" max="3587" width="7.5703125" style="253" customWidth="1"/>
    <col min="3588" max="3588" width="8" style="253" customWidth="1"/>
    <col min="3589" max="3589" width="10.7109375" style="253" customWidth="1"/>
    <col min="3590" max="3590" width="6.28515625" style="253" customWidth="1"/>
    <col min="3591" max="3591" width="7.5703125" style="253" customWidth="1"/>
    <col min="3592" max="3592" width="8.140625" style="253" customWidth="1"/>
    <col min="3593" max="3593" width="10.7109375" style="253" customWidth="1"/>
    <col min="3594" max="3594" width="6.28515625" style="253" customWidth="1"/>
    <col min="3595" max="3595" width="7.5703125" style="253" customWidth="1"/>
    <col min="3596" max="3596" width="8.140625" style="253" customWidth="1"/>
    <col min="3597" max="3597" width="10.7109375" style="253" customWidth="1"/>
    <col min="3598" max="3598" width="6.7109375" style="253" customWidth="1"/>
    <col min="3599" max="3599" width="7.5703125" style="253" customWidth="1"/>
    <col min="3600" max="3600" width="8.140625" style="253" customWidth="1"/>
    <col min="3601" max="3601" width="10.7109375" style="253" customWidth="1"/>
    <col min="3602" max="3602" width="6.7109375" style="253" customWidth="1"/>
    <col min="3603" max="3603" width="7.5703125" style="253" customWidth="1"/>
    <col min="3604" max="3604" width="8.140625" style="253" customWidth="1"/>
    <col min="3605" max="3605" width="10.7109375" style="253" customWidth="1"/>
    <col min="3606" max="3608" width="6.7109375" style="253" customWidth="1"/>
    <col min="3609" max="3609" width="11.42578125" style="253" customWidth="1"/>
    <col min="3610" max="3612" width="6.7109375" style="253" customWidth="1"/>
    <col min="3613" max="3613" width="11.42578125" style="253"/>
    <col min="3614" max="3614" width="1.5703125" style="253" customWidth="1"/>
    <col min="3615" max="3839" width="11.42578125" style="253"/>
    <col min="3840" max="3840" width="15.28515625" style="253" customWidth="1"/>
    <col min="3841" max="3841" width="13" style="253" bestFit="1" customWidth="1"/>
    <col min="3842" max="3842" width="6.28515625" style="253" customWidth="1"/>
    <col min="3843" max="3843" width="7.5703125" style="253" customWidth="1"/>
    <col min="3844" max="3844" width="8" style="253" customWidth="1"/>
    <col min="3845" max="3845" width="10.7109375" style="253" customWidth="1"/>
    <col min="3846" max="3846" width="6.28515625" style="253" customWidth="1"/>
    <col min="3847" max="3847" width="7.5703125" style="253" customWidth="1"/>
    <col min="3848" max="3848" width="8.140625" style="253" customWidth="1"/>
    <col min="3849" max="3849" width="10.7109375" style="253" customWidth="1"/>
    <col min="3850" max="3850" width="6.28515625" style="253" customWidth="1"/>
    <col min="3851" max="3851" width="7.5703125" style="253" customWidth="1"/>
    <col min="3852" max="3852" width="8.140625" style="253" customWidth="1"/>
    <col min="3853" max="3853" width="10.7109375" style="253" customWidth="1"/>
    <col min="3854" max="3854" width="6.7109375" style="253" customWidth="1"/>
    <col min="3855" max="3855" width="7.5703125" style="253" customWidth="1"/>
    <col min="3856" max="3856" width="8.140625" style="253" customWidth="1"/>
    <col min="3857" max="3857" width="10.7109375" style="253" customWidth="1"/>
    <col min="3858" max="3858" width="6.7109375" style="253" customWidth="1"/>
    <col min="3859" max="3859" width="7.5703125" style="253" customWidth="1"/>
    <col min="3860" max="3860" width="8.140625" style="253" customWidth="1"/>
    <col min="3861" max="3861" width="10.7109375" style="253" customWidth="1"/>
    <col min="3862" max="3864" width="6.7109375" style="253" customWidth="1"/>
    <col min="3865" max="3865" width="11.42578125" style="253" customWidth="1"/>
    <col min="3866" max="3868" width="6.7109375" style="253" customWidth="1"/>
    <col min="3869" max="3869" width="11.42578125" style="253"/>
    <col min="3870" max="3870" width="1.5703125" style="253" customWidth="1"/>
    <col min="3871" max="4095" width="11.42578125" style="253"/>
    <col min="4096" max="4096" width="15.28515625" style="253" customWidth="1"/>
    <col min="4097" max="4097" width="13" style="253" bestFit="1" customWidth="1"/>
    <col min="4098" max="4098" width="6.28515625" style="253" customWidth="1"/>
    <col min="4099" max="4099" width="7.5703125" style="253" customWidth="1"/>
    <col min="4100" max="4100" width="8" style="253" customWidth="1"/>
    <col min="4101" max="4101" width="10.7109375" style="253" customWidth="1"/>
    <col min="4102" max="4102" width="6.28515625" style="253" customWidth="1"/>
    <col min="4103" max="4103" width="7.5703125" style="253" customWidth="1"/>
    <col min="4104" max="4104" width="8.140625" style="253" customWidth="1"/>
    <col min="4105" max="4105" width="10.7109375" style="253" customWidth="1"/>
    <col min="4106" max="4106" width="6.28515625" style="253" customWidth="1"/>
    <col min="4107" max="4107" width="7.5703125" style="253" customWidth="1"/>
    <col min="4108" max="4108" width="8.140625" style="253" customWidth="1"/>
    <col min="4109" max="4109" width="10.7109375" style="253" customWidth="1"/>
    <col min="4110" max="4110" width="6.7109375" style="253" customWidth="1"/>
    <col min="4111" max="4111" width="7.5703125" style="253" customWidth="1"/>
    <col min="4112" max="4112" width="8.140625" style="253" customWidth="1"/>
    <col min="4113" max="4113" width="10.7109375" style="253" customWidth="1"/>
    <col min="4114" max="4114" width="6.7109375" style="253" customWidth="1"/>
    <col min="4115" max="4115" width="7.5703125" style="253" customWidth="1"/>
    <col min="4116" max="4116" width="8.140625" style="253" customWidth="1"/>
    <col min="4117" max="4117" width="10.7109375" style="253" customWidth="1"/>
    <col min="4118" max="4120" width="6.7109375" style="253" customWidth="1"/>
    <col min="4121" max="4121" width="11.42578125" style="253" customWidth="1"/>
    <col min="4122" max="4124" width="6.7109375" style="253" customWidth="1"/>
    <col min="4125" max="4125" width="11.42578125" style="253"/>
    <col min="4126" max="4126" width="1.5703125" style="253" customWidth="1"/>
    <col min="4127" max="4351" width="11.42578125" style="253"/>
    <col min="4352" max="4352" width="15.28515625" style="253" customWidth="1"/>
    <col min="4353" max="4353" width="13" style="253" bestFit="1" customWidth="1"/>
    <col min="4354" max="4354" width="6.28515625" style="253" customWidth="1"/>
    <col min="4355" max="4355" width="7.5703125" style="253" customWidth="1"/>
    <col min="4356" max="4356" width="8" style="253" customWidth="1"/>
    <col min="4357" max="4357" width="10.7109375" style="253" customWidth="1"/>
    <col min="4358" max="4358" width="6.28515625" style="253" customWidth="1"/>
    <col min="4359" max="4359" width="7.5703125" style="253" customWidth="1"/>
    <col min="4360" max="4360" width="8.140625" style="253" customWidth="1"/>
    <col min="4361" max="4361" width="10.7109375" style="253" customWidth="1"/>
    <col min="4362" max="4362" width="6.28515625" style="253" customWidth="1"/>
    <col min="4363" max="4363" width="7.5703125" style="253" customWidth="1"/>
    <col min="4364" max="4364" width="8.140625" style="253" customWidth="1"/>
    <col min="4365" max="4365" width="10.7109375" style="253" customWidth="1"/>
    <col min="4366" max="4366" width="6.7109375" style="253" customWidth="1"/>
    <col min="4367" max="4367" width="7.5703125" style="253" customWidth="1"/>
    <col min="4368" max="4368" width="8.140625" style="253" customWidth="1"/>
    <col min="4369" max="4369" width="10.7109375" style="253" customWidth="1"/>
    <col min="4370" max="4370" width="6.7109375" style="253" customWidth="1"/>
    <col min="4371" max="4371" width="7.5703125" style="253" customWidth="1"/>
    <col min="4372" max="4372" width="8.140625" style="253" customWidth="1"/>
    <col min="4373" max="4373" width="10.7109375" style="253" customWidth="1"/>
    <col min="4374" max="4376" width="6.7109375" style="253" customWidth="1"/>
    <col min="4377" max="4377" width="11.42578125" style="253" customWidth="1"/>
    <col min="4378" max="4380" width="6.7109375" style="253" customWidth="1"/>
    <col min="4381" max="4381" width="11.42578125" style="253"/>
    <col min="4382" max="4382" width="1.5703125" style="253" customWidth="1"/>
    <col min="4383" max="4607" width="11.42578125" style="253"/>
    <col min="4608" max="4608" width="15.28515625" style="253" customWidth="1"/>
    <col min="4609" max="4609" width="13" style="253" bestFit="1" customWidth="1"/>
    <col min="4610" max="4610" width="6.28515625" style="253" customWidth="1"/>
    <col min="4611" max="4611" width="7.5703125" style="253" customWidth="1"/>
    <col min="4612" max="4612" width="8" style="253" customWidth="1"/>
    <col min="4613" max="4613" width="10.7109375" style="253" customWidth="1"/>
    <col min="4614" max="4614" width="6.28515625" style="253" customWidth="1"/>
    <col min="4615" max="4615" width="7.5703125" style="253" customWidth="1"/>
    <col min="4616" max="4616" width="8.140625" style="253" customWidth="1"/>
    <col min="4617" max="4617" width="10.7109375" style="253" customWidth="1"/>
    <col min="4618" max="4618" width="6.28515625" style="253" customWidth="1"/>
    <col min="4619" max="4619" width="7.5703125" style="253" customWidth="1"/>
    <col min="4620" max="4620" width="8.140625" style="253" customWidth="1"/>
    <col min="4621" max="4621" width="10.7109375" style="253" customWidth="1"/>
    <col min="4622" max="4622" width="6.7109375" style="253" customWidth="1"/>
    <col min="4623" max="4623" width="7.5703125" style="253" customWidth="1"/>
    <col min="4624" max="4624" width="8.140625" style="253" customWidth="1"/>
    <col min="4625" max="4625" width="10.7109375" style="253" customWidth="1"/>
    <col min="4626" max="4626" width="6.7109375" style="253" customWidth="1"/>
    <col min="4627" max="4627" width="7.5703125" style="253" customWidth="1"/>
    <col min="4628" max="4628" width="8.140625" style="253" customWidth="1"/>
    <col min="4629" max="4629" width="10.7109375" style="253" customWidth="1"/>
    <col min="4630" max="4632" width="6.7109375" style="253" customWidth="1"/>
    <col min="4633" max="4633" width="11.42578125" style="253" customWidth="1"/>
    <col min="4634" max="4636" width="6.7109375" style="253" customWidth="1"/>
    <col min="4637" max="4637" width="11.42578125" style="253"/>
    <col min="4638" max="4638" width="1.5703125" style="253" customWidth="1"/>
    <col min="4639" max="4863" width="11.42578125" style="253"/>
    <col min="4864" max="4864" width="15.28515625" style="253" customWidth="1"/>
    <col min="4865" max="4865" width="13" style="253" bestFit="1" customWidth="1"/>
    <col min="4866" max="4866" width="6.28515625" style="253" customWidth="1"/>
    <col min="4867" max="4867" width="7.5703125" style="253" customWidth="1"/>
    <col min="4868" max="4868" width="8" style="253" customWidth="1"/>
    <col min="4869" max="4869" width="10.7109375" style="253" customWidth="1"/>
    <col min="4870" max="4870" width="6.28515625" style="253" customWidth="1"/>
    <col min="4871" max="4871" width="7.5703125" style="253" customWidth="1"/>
    <col min="4872" max="4872" width="8.140625" style="253" customWidth="1"/>
    <col min="4873" max="4873" width="10.7109375" style="253" customWidth="1"/>
    <col min="4874" max="4874" width="6.28515625" style="253" customWidth="1"/>
    <col min="4875" max="4875" width="7.5703125" style="253" customWidth="1"/>
    <col min="4876" max="4876" width="8.140625" style="253" customWidth="1"/>
    <col min="4877" max="4877" width="10.7109375" style="253" customWidth="1"/>
    <col min="4878" max="4878" width="6.7109375" style="253" customWidth="1"/>
    <col min="4879" max="4879" width="7.5703125" style="253" customWidth="1"/>
    <col min="4880" max="4880" width="8.140625" style="253" customWidth="1"/>
    <col min="4881" max="4881" width="10.7109375" style="253" customWidth="1"/>
    <col min="4882" max="4882" width="6.7109375" style="253" customWidth="1"/>
    <col min="4883" max="4883" width="7.5703125" style="253" customWidth="1"/>
    <col min="4884" max="4884" width="8.140625" style="253" customWidth="1"/>
    <col min="4885" max="4885" width="10.7109375" style="253" customWidth="1"/>
    <col min="4886" max="4888" width="6.7109375" style="253" customWidth="1"/>
    <col min="4889" max="4889" width="11.42578125" style="253" customWidth="1"/>
    <col min="4890" max="4892" width="6.7109375" style="253" customWidth="1"/>
    <col min="4893" max="4893" width="11.42578125" style="253"/>
    <col min="4894" max="4894" width="1.5703125" style="253" customWidth="1"/>
    <col min="4895" max="5119" width="11.42578125" style="253"/>
    <col min="5120" max="5120" width="15.28515625" style="253" customWidth="1"/>
    <col min="5121" max="5121" width="13" style="253" bestFit="1" customWidth="1"/>
    <col min="5122" max="5122" width="6.28515625" style="253" customWidth="1"/>
    <col min="5123" max="5123" width="7.5703125" style="253" customWidth="1"/>
    <col min="5124" max="5124" width="8" style="253" customWidth="1"/>
    <col min="5125" max="5125" width="10.7109375" style="253" customWidth="1"/>
    <col min="5126" max="5126" width="6.28515625" style="253" customWidth="1"/>
    <col min="5127" max="5127" width="7.5703125" style="253" customWidth="1"/>
    <col min="5128" max="5128" width="8.140625" style="253" customWidth="1"/>
    <col min="5129" max="5129" width="10.7109375" style="253" customWidth="1"/>
    <col min="5130" max="5130" width="6.28515625" style="253" customWidth="1"/>
    <col min="5131" max="5131" width="7.5703125" style="253" customWidth="1"/>
    <col min="5132" max="5132" width="8.140625" style="253" customWidth="1"/>
    <col min="5133" max="5133" width="10.7109375" style="253" customWidth="1"/>
    <col min="5134" max="5134" width="6.7109375" style="253" customWidth="1"/>
    <col min="5135" max="5135" width="7.5703125" style="253" customWidth="1"/>
    <col min="5136" max="5136" width="8.140625" style="253" customWidth="1"/>
    <col min="5137" max="5137" width="10.7109375" style="253" customWidth="1"/>
    <col min="5138" max="5138" width="6.7109375" style="253" customWidth="1"/>
    <col min="5139" max="5139" width="7.5703125" style="253" customWidth="1"/>
    <col min="5140" max="5140" width="8.140625" style="253" customWidth="1"/>
    <col min="5141" max="5141" width="10.7109375" style="253" customWidth="1"/>
    <col min="5142" max="5144" width="6.7109375" style="253" customWidth="1"/>
    <col min="5145" max="5145" width="11.42578125" style="253" customWidth="1"/>
    <col min="5146" max="5148" width="6.7109375" style="253" customWidth="1"/>
    <col min="5149" max="5149" width="11.42578125" style="253"/>
    <col min="5150" max="5150" width="1.5703125" style="253" customWidth="1"/>
    <col min="5151" max="5375" width="11.42578125" style="253"/>
    <col min="5376" max="5376" width="15.28515625" style="253" customWidth="1"/>
    <col min="5377" max="5377" width="13" style="253" bestFit="1" customWidth="1"/>
    <col min="5378" max="5378" width="6.28515625" style="253" customWidth="1"/>
    <col min="5379" max="5379" width="7.5703125" style="253" customWidth="1"/>
    <col min="5380" max="5380" width="8" style="253" customWidth="1"/>
    <col min="5381" max="5381" width="10.7109375" style="253" customWidth="1"/>
    <col min="5382" max="5382" width="6.28515625" style="253" customWidth="1"/>
    <col min="5383" max="5383" width="7.5703125" style="253" customWidth="1"/>
    <col min="5384" max="5384" width="8.140625" style="253" customWidth="1"/>
    <col min="5385" max="5385" width="10.7109375" style="253" customWidth="1"/>
    <col min="5386" max="5386" width="6.28515625" style="253" customWidth="1"/>
    <col min="5387" max="5387" width="7.5703125" style="253" customWidth="1"/>
    <col min="5388" max="5388" width="8.140625" style="253" customWidth="1"/>
    <col min="5389" max="5389" width="10.7109375" style="253" customWidth="1"/>
    <col min="5390" max="5390" width="6.7109375" style="253" customWidth="1"/>
    <col min="5391" max="5391" width="7.5703125" style="253" customWidth="1"/>
    <col min="5392" max="5392" width="8.140625" style="253" customWidth="1"/>
    <col min="5393" max="5393" width="10.7109375" style="253" customWidth="1"/>
    <col min="5394" max="5394" width="6.7109375" style="253" customWidth="1"/>
    <col min="5395" max="5395" width="7.5703125" style="253" customWidth="1"/>
    <col min="5396" max="5396" width="8.140625" style="253" customWidth="1"/>
    <col min="5397" max="5397" width="10.7109375" style="253" customWidth="1"/>
    <col min="5398" max="5400" width="6.7109375" style="253" customWidth="1"/>
    <col min="5401" max="5401" width="11.42578125" style="253" customWidth="1"/>
    <col min="5402" max="5404" width="6.7109375" style="253" customWidth="1"/>
    <col min="5405" max="5405" width="11.42578125" style="253"/>
    <col min="5406" max="5406" width="1.5703125" style="253" customWidth="1"/>
    <col min="5407" max="5631" width="11.42578125" style="253"/>
    <col min="5632" max="5632" width="15.28515625" style="253" customWidth="1"/>
    <col min="5633" max="5633" width="13" style="253" bestFit="1" customWidth="1"/>
    <col min="5634" max="5634" width="6.28515625" style="253" customWidth="1"/>
    <col min="5635" max="5635" width="7.5703125" style="253" customWidth="1"/>
    <col min="5636" max="5636" width="8" style="253" customWidth="1"/>
    <col min="5637" max="5637" width="10.7109375" style="253" customWidth="1"/>
    <col min="5638" max="5638" width="6.28515625" style="253" customWidth="1"/>
    <col min="5639" max="5639" width="7.5703125" style="253" customWidth="1"/>
    <col min="5640" max="5640" width="8.140625" style="253" customWidth="1"/>
    <col min="5641" max="5641" width="10.7109375" style="253" customWidth="1"/>
    <col min="5642" max="5642" width="6.28515625" style="253" customWidth="1"/>
    <col min="5643" max="5643" width="7.5703125" style="253" customWidth="1"/>
    <col min="5644" max="5644" width="8.140625" style="253" customWidth="1"/>
    <col min="5645" max="5645" width="10.7109375" style="253" customWidth="1"/>
    <col min="5646" max="5646" width="6.7109375" style="253" customWidth="1"/>
    <col min="5647" max="5647" width="7.5703125" style="253" customWidth="1"/>
    <col min="5648" max="5648" width="8.140625" style="253" customWidth="1"/>
    <col min="5649" max="5649" width="10.7109375" style="253" customWidth="1"/>
    <col min="5650" max="5650" width="6.7109375" style="253" customWidth="1"/>
    <col min="5651" max="5651" width="7.5703125" style="253" customWidth="1"/>
    <col min="5652" max="5652" width="8.140625" style="253" customWidth="1"/>
    <col min="5653" max="5653" width="10.7109375" style="253" customWidth="1"/>
    <col min="5654" max="5656" width="6.7109375" style="253" customWidth="1"/>
    <col min="5657" max="5657" width="11.42578125" style="253" customWidth="1"/>
    <col min="5658" max="5660" width="6.7109375" style="253" customWidth="1"/>
    <col min="5661" max="5661" width="11.42578125" style="253"/>
    <col min="5662" max="5662" width="1.5703125" style="253" customWidth="1"/>
    <col min="5663" max="5887" width="11.42578125" style="253"/>
    <col min="5888" max="5888" width="15.28515625" style="253" customWidth="1"/>
    <col min="5889" max="5889" width="13" style="253" bestFit="1" customWidth="1"/>
    <col min="5890" max="5890" width="6.28515625" style="253" customWidth="1"/>
    <col min="5891" max="5891" width="7.5703125" style="253" customWidth="1"/>
    <col min="5892" max="5892" width="8" style="253" customWidth="1"/>
    <col min="5893" max="5893" width="10.7109375" style="253" customWidth="1"/>
    <col min="5894" max="5894" width="6.28515625" style="253" customWidth="1"/>
    <col min="5895" max="5895" width="7.5703125" style="253" customWidth="1"/>
    <col min="5896" max="5896" width="8.140625" style="253" customWidth="1"/>
    <col min="5897" max="5897" width="10.7109375" style="253" customWidth="1"/>
    <col min="5898" max="5898" width="6.28515625" style="253" customWidth="1"/>
    <col min="5899" max="5899" width="7.5703125" style="253" customWidth="1"/>
    <col min="5900" max="5900" width="8.140625" style="253" customWidth="1"/>
    <col min="5901" max="5901" width="10.7109375" style="253" customWidth="1"/>
    <col min="5902" max="5902" width="6.7109375" style="253" customWidth="1"/>
    <col min="5903" max="5903" width="7.5703125" style="253" customWidth="1"/>
    <col min="5904" max="5904" width="8.140625" style="253" customWidth="1"/>
    <col min="5905" max="5905" width="10.7109375" style="253" customWidth="1"/>
    <col min="5906" max="5906" width="6.7109375" style="253" customWidth="1"/>
    <col min="5907" max="5907" width="7.5703125" style="253" customWidth="1"/>
    <col min="5908" max="5908" width="8.140625" style="253" customWidth="1"/>
    <col min="5909" max="5909" width="10.7109375" style="253" customWidth="1"/>
    <col min="5910" max="5912" width="6.7109375" style="253" customWidth="1"/>
    <col min="5913" max="5913" width="11.42578125" style="253" customWidth="1"/>
    <col min="5914" max="5916" width="6.7109375" style="253" customWidth="1"/>
    <col min="5917" max="5917" width="11.42578125" style="253"/>
    <col min="5918" max="5918" width="1.5703125" style="253" customWidth="1"/>
    <col min="5919" max="6143" width="11.42578125" style="253"/>
    <col min="6144" max="6144" width="15.28515625" style="253" customWidth="1"/>
    <col min="6145" max="6145" width="13" style="253" bestFit="1" customWidth="1"/>
    <col min="6146" max="6146" width="6.28515625" style="253" customWidth="1"/>
    <col min="6147" max="6147" width="7.5703125" style="253" customWidth="1"/>
    <col min="6148" max="6148" width="8" style="253" customWidth="1"/>
    <col min="6149" max="6149" width="10.7109375" style="253" customWidth="1"/>
    <col min="6150" max="6150" width="6.28515625" style="253" customWidth="1"/>
    <col min="6151" max="6151" width="7.5703125" style="253" customWidth="1"/>
    <col min="6152" max="6152" width="8.140625" style="253" customWidth="1"/>
    <col min="6153" max="6153" width="10.7109375" style="253" customWidth="1"/>
    <col min="6154" max="6154" width="6.28515625" style="253" customWidth="1"/>
    <col min="6155" max="6155" width="7.5703125" style="253" customWidth="1"/>
    <col min="6156" max="6156" width="8.140625" style="253" customWidth="1"/>
    <col min="6157" max="6157" width="10.7109375" style="253" customWidth="1"/>
    <col min="6158" max="6158" width="6.7109375" style="253" customWidth="1"/>
    <col min="6159" max="6159" width="7.5703125" style="253" customWidth="1"/>
    <col min="6160" max="6160" width="8.140625" style="253" customWidth="1"/>
    <col min="6161" max="6161" width="10.7109375" style="253" customWidth="1"/>
    <col min="6162" max="6162" width="6.7109375" style="253" customWidth="1"/>
    <col min="6163" max="6163" width="7.5703125" style="253" customWidth="1"/>
    <col min="6164" max="6164" width="8.140625" style="253" customWidth="1"/>
    <col min="6165" max="6165" width="10.7109375" style="253" customWidth="1"/>
    <col min="6166" max="6168" width="6.7109375" style="253" customWidth="1"/>
    <col min="6169" max="6169" width="11.42578125" style="253" customWidth="1"/>
    <col min="6170" max="6172" width="6.7109375" style="253" customWidth="1"/>
    <col min="6173" max="6173" width="11.42578125" style="253"/>
    <col min="6174" max="6174" width="1.5703125" style="253" customWidth="1"/>
    <col min="6175" max="6399" width="11.42578125" style="253"/>
    <col min="6400" max="6400" width="15.28515625" style="253" customWidth="1"/>
    <col min="6401" max="6401" width="13" style="253" bestFit="1" customWidth="1"/>
    <col min="6402" max="6402" width="6.28515625" style="253" customWidth="1"/>
    <col min="6403" max="6403" width="7.5703125" style="253" customWidth="1"/>
    <col min="6404" max="6404" width="8" style="253" customWidth="1"/>
    <col min="6405" max="6405" width="10.7109375" style="253" customWidth="1"/>
    <col min="6406" max="6406" width="6.28515625" style="253" customWidth="1"/>
    <col min="6407" max="6407" width="7.5703125" style="253" customWidth="1"/>
    <col min="6408" max="6408" width="8.140625" style="253" customWidth="1"/>
    <col min="6409" max="6409" width="10.7109375" style="253" customWidth="1"/>
    <col min="6410" max="6410" width="6.28515625" style="253" customWidth="1"/>
    <col min="6411" max="6411" width="7.5703125" style="253" customWidth="1"/>
    <col min="6412" max="6412" width="8.140625" style="253" customWidth="1"/>
    <col min="6413" max="6413" width="10.7109375" style="253" customWidth="1"/>
    <col min="6414" max="6414" width="6.7109375" style="253" customWidth="1"/>
    <col min="6415" max="6415" width="7.5703125" style="253" customWidth="1"/>
    <col min="6416" max="6416" width="8.140625" style="253" customWidth="1"/>
    <col min="6417" max="6417" width="10.7109375" style="253" customWidth="1"/>
    <col min="6418" max="6418" width="6.7109375" style="253" customWidth="1"/>
    <col min="6419" max="6419" width="7.5703125" style="253" customWidth="1"/>
    <col min="6420" max="6420" width="8.140625" style="253" customWidth="1"/>
    <col min="6421" max="6421" width="10.7109375" style="253" customWidth="1"/>
    <col min="6422" max="6424" width="6.7109375" style="253" customWidth="1"/>
    <col min="6425" max="6425" width="11.42578125" style="253" customWidth="1"/>
    <col min="6426" max="6428" width="6.7109375" style="253" customWidth="1"/>
    <col min="6429" max="6429" width="11.42578125" style="253"/>
    <col min="6430" max="6430" width="1.5703125" style="253" customWidth="1"/>
    <col min="6431" max="6655" width="11.42578125" style="253"/>
    <col min="6656" max="6656" width="15.28515625" style="253" customWidth="1"/>
    <col min="6657" max="6657" width="13" style="253" bestFit="1" customWidth="1"/>
    <col min="6658" max="6658" width="6.28515625" style="253" customWidth="1"/>
    <col min="6659" max="6659" width="7.5703125" style="253" customWidth="1"/>
    <col min="6660" max="6660" width="8" style="253" customWidth="1"/>
    <col min="6661" max="6661" width="10.7109375" style="253" customWidth="1"/>
    <col min="6662" max="6662" width="6.28515625" style="253" customWidth="1"/>
    <col min="6663" max="6663" width="7.5703125" style="253" customWidth="1"/>
    <col min="6664" max="6664" width="8.140625" style="253" customWidth="1"/>
    <col min="6665" max="6665" width="10.7109375" style="253" customWidth="1"/>
    <col min="6666" max="6666" width="6.28515625" style="253" customWidth="1"/>
    <col min="6667" max="6667" width="7.5703125" style="253" customWidth="1"/>
    <col min="6668" max="6668" width="8.140625" style="253" customWidth="1"/>
    <col min="6669" max="6669" width="10.7109375" style="253" customWidth="1"/>
    <col min="6670" max="6670" width="6.7109375" style="253" customWidth="1"/>
    <col min="6671" max="6671" width="7.5703125" style="253" customWidth="1"/>
    <col min="6672" max="6672" width="8.140625" style="253" customWidth="1"/>
    <col min="6673" max="6673" width="10.7109375" style="253" customWidth="1"/>
    <col min="6674" max="6674" width="6.7109375" style="253" customWidth="1"/>
    <col min="6675" max="6675" width="7.5703125" style="253" customWidth="1"/>
    <col min="6676" max="6676" width="8.140625" style="253" customWidth="1"/>
    <col min="6677" max="6677" width="10.7109375" style="253" customWidth="1"/>
    <col min="6678" max="6680" width="6.7109375" style="253" customWidth="1"/>
    <col min="6681" max="6681" width="11.42578125" style="253" customWidth="1"/>
    <col min="6682" max="6684" width="6.7109375" style="253" customWidth="1"/>
    <col min="6685" max="6685" width="11.42578125" style="253"/>
    <col min="6686" max="6686" width="1.5703125" style="253" customWidth="1"/>
    <col min="6687" max="6911" width="11.42578125" style="253"/>
    <col min="6912" max="6912" width="15.28515625" style="253" customWidth="1"/>
    <col min="6913" max="6913" width="13" style="253" bestFit="1" customWidth="1"/>
    <col min="6914" max="6914" width="6.28515625" style="253" customWidth="1"/>
    <col min="6915" max="6915" width="7.5703125" style="253" customWidth="1"/>
    <col min="6916" max="6916" width="8" style="253" customWidth="1"/>
    <col min="6917" max="6917" width="10.7109375" style="253" customWidth="1"/>
    <col min="6918" max="6918" width="6.28515625" style="253" customWidth="1"/>
    <col min="6919" max="6919" width="7.5703125" style="253" customWidth="1"/>
    <col min="6920" max="6920" width="8.140625" style="253" customWidth="1"/>
    <col min="6921" max="6921" width="10.7109375" style="253" customWidth="1"/>
    <col min="6922" max="6922" width="6.28515625" style="253" customWidth="1"/>
    <col min="6923" max="6923" width="7.5703125" style="253" customWidth="1"/>
    <col min="6924" max="6924" width="8.140625" style="253" customWidth="1"/>
    <col min="6925" max="6925" width="10.7109375" style="253" customWidth="1"/>
    <col min="6926" max="6926" width="6.7109375" style="253" customWidth="1"/>
    <col min="6927" max="6927" width="7.5703125" style="253" customWidth="1"/>
    <col min="6928" max="6928" width="8.140625" style="253" customWidth="1"/>
    <col min="6929" max="6929" width="10.7109375" style="253" customWidth="1"/>
    <col min="6930" max="6930" width="6.7109375" style="253" customWidth="1"/>
    <col min="6931" max="6931" width="7.5703125" style="253" customWidth="1"/>
    <col min="6932" max="6932" width="8.140625" style="253" customWidth="1"/>
    <col min="6933" max="6933" width="10.7109375" style="253" customWidth="1"/>
    <col min="6934" max="6936" width="6.7109375" style="253" customWidth="1"/>
    <col min="6937" max="6937" width="11.42578125" style="253" customWidth="1"/>
    <col min="6938" max="6940" width="6.7109375" style="253" customWidth="1"/>
    <col min="6941" max="6941" width="11.42578125" style="253"/>
    <col min="6942" max="6942" width="1.5703125" style="253" customWidth="1"/>
    <col min="6943" max="7167" width="11.42578125" style="253"/>
    <col min="7168" max="7168" width="15.28515625" style="253" customWidth="1"/>
    <col min="7169" max="7169" width="13" style="253" bestFit="1" customWidth="1"/>
    <col min="7170" max="7170" width="6.28515625" style="253" customWidth="1"/>
    <col min="7171" max="7171" width="7.5703125" style="253" customWidth="1"/>
    <col min="7172" max="7172" width="8" style="253" customWidth="1"/>
    <col min="7173" max="7173" width="10.7109375" style="253" customWidth="1"/>
    <col min="7174" max="7174" width="6.28515625" style="253" customWidth="1"/>
    <col min="7175" max="7175" width="7.5703125" style="253" customWidth="1"/>
    <col min="7176" max="7176" width="8.140625" style="253" customWidth="1"/>
    <col min="7177" max="7177" width="10.7109375" style="253" customWidth="1"/>
    <col min="7178" max="7178" width="6.28515625" style="253" customWidth="1"/>
    <col min="7179" max="7179" width="7.5703125" style="253" customWidth="1"/>
    <col min="7180" max="7180" width="8.140625" style="253" customWidth="1"/>
    <col min="7181" max="7181" width="10.7109375" style="253" customWidth="1"/>
    <col min="7182" max="7182" width="6.7109375" style="253" customWidth="1"/>
    <col min="7183" max="7183" width="7.5703125" style="253" customWidth="1"/>
    <col min="7184" max="7184" width="8.140625" style="253" customWidth="1"/>
    <col min="7185" max="7185" width="10.7109375" style="253" customWidth="1"/>
    <col min="7186" max="7186" width="6.7109375" style="253" customWidth="1"/>
    <col min="7187" max="7187" width="7.5703125" style="253" customWidth="1"/>
    <col min="7188" max="7188" width="8.140625" style="253" customWidth="1"/>
    <col min="7189" max="7189" width="10.7109375" style="253" customWidth="1"/>
    <col min="7190" max="7192" width="6.7109375" style="253" customWidth="1"/>
    <col min="7193" max="7193" width="11.42578125" style="253" customWidth="1"/>
    <col min="7194" max="7196" width="6.7109375" style="253" customWidth="1"/>
    <col min="7197" max="7197" width="11.42578125" style="253"/>
    <col min="7198" max="7198" width="1.5703125" style="253" customWidth="1"/>
    <col min="7199" max="7423" width="11.42578125" style="253"/>
    <col min="7424" max="7424" width="15.28515625" style="253" customWidth="1"/>
    <col min="7425" max="7425" width="13" style="253" bestFit="1" customWidth="1"/>
    <col min="7426" max="7426" width="6.28515625" style="253" customWidth="1"/>
    <col min="7427" max="7427" width="7.5703125" style="253" customWidth="1"/>
    <col min="7428" max="7428" width="8" style="253" customWidth="1"/>
    <col min="7429" max="7429" width="10.7109375" style="253" customWidth="1"/>
    <col min="7430" max="7430" width="6.28515625" style="253" customWidth="1"/>
    <col min="7431" max="7431" width="7.5703125" style="253" customWidth="1"/>
    <col min="7432" max="7432" width="8.140625" style="253" customWidth="1"/>
    <col min="7433" max="7433" width="10.7109375" style="253" customWidth="1"/>
    <col min="7434" max="7434" width="6.28515625" style="253" customWidth="1"/>
    <col min="7435" max="7435" width="7.5703125" style="253" customWidth="1"/>
    <col min="7436" max="7436" width="8.140625" style="253" customWidth="1"/>
    <col min="7437" max="7437" width="10.7109375" style="253" customWidth="1"/>
    <col min="7438" max="7438" width="6.7109375" style="253" customWidth="1"/>
    <col min="7439" max="7439" width="7.5703125" style="253" customWidth="1"/>
    <col min="7440" max="7440" width="8.140625" style="253" customWidth="1"/>
    <col min="7441" max="7441" width="10.7109375" style="253" customWidth="1"/>
    <col min="7442" max="7442" width="6.7109375" style="253" customWidth="1"/>
    <col min="7443" max="7443" width="7.5703125" style="253" customWidth="1"/>
    <col min="7444" max="7444" width="8.140625" style="253" customWidth="1"/>
    <col min="7445" max="7445" width="10.7109375" style="253" customWidth="1"/>
    <col min="7446" max="7448" width="6.7109375" style="253" customWidth="1"/>
    <col min="7449" max="7449" width="11.42578125" style="253" customWidth="1"/>
    <col min="7450" max="7452" width="6.7109375" style="253" customWidth="1"/>
    <col min="7453" max="7453" width="11.42578125" style="253"/>
    <col min="7454" max="7454" width="1.5703125" style="253" customWidth="1"/>
    <col min="7455" max="7679" width="11.42578125" style="253"/>
    <col min="7680" max="7680" width="15.28515625" style="253" customWidth="1"/>
    <col min="7681" max="7681" width="13" style="253" bestFit="1" customWidth="1"/>
    <col min="7682" max="7682" width="6.28515625" style="253" customWidth="1"/>
    <col min="7683" max="7683" width="7.5703125" style="253" customWidth="1"/>
    <col min="7684" max="7684" width="8" style="253" customWidth="1"/>
    <col min="7685" max="7685" width="10.7109375" style="253" customWidth="1"/>
    <col min="7686" max="7686" width="6.28515625" style="253" customWidth="1"/>
    <col min="7687" max="7687" width="7.5703125" style="253" customWidth="1"/>
    <col min="7688" max="7688" width="8.140625" style="253" customWidth="1"/>
    <col min="7689" max="7689" width="10.7109375" style="253" customWidth="1"/>
    <col min="7690" max="7690" width="6.28515625" style="253" customWidth="1"/>
    <col min="7691" max="7691" width="7.5703125" style="253" customWidth="1"/>
    <col min="7692" max="7692" width="8.140625" style="253" customWidth="1"/>
    <col min="7693" max="7693" width="10.7109375" style="253" customWidth="1"/>
    <col min="7694" max="7694" width="6.7109375" style="253" customWidth="1"/>
    <col min="7695" max="7695" width="7.5703125" style="253" customWidth="1"/>
    <col min="7696" max="7696" width="8.140625" style="253" customWidth="1"/>
    <col min="7697" max="7697" width="10.7109375" style="253" customWidth="1"/>
    <col min="7698" max="7698" width="6.7109375" style="253" customWidth="1"/>
    <col min="7699" max="7699" width="7.5703125" style="253" customWidth="1"/>
    <col min="7700" max="7700" width="8.140625" style="253" customWidth="1"/>
    <col min="7701" max="7701" width="10.7109375" style="253" customWidth="1"/>
    <col min="7702" max="7704" width="6.7109375" style="253" customWidth="1"/>
    <col min="7705" max="7705" width="11.42578125" style="253" customWidth="1"/>
    <col min="7706" max="7708" width="6.7109375" style="253" customWidth="1"/>
    <col min="7709" max="7709" width="11.42578125" style="253"/>
    <col min="7710" max="7710" width="1.5703125" style="253" customWidth="1"/>
    <col min="7711" max="7935" width="11.42578125" style="253"/>
    <col min="7936" max="7936" width="15.28515625" style="253" customWidth="1"/>
    <col min="7937" max="7937" width="13" style="253" bestFit="1" customWidth="1"/>
    <col min="7938" max="7938" width="6.28515625" style="253" customWidth="1"/>
    <col min="7939" max="7939" width="7.5703125" style="253" customWidth="1"/>
    <col min="7940" max="7940" width="8" style="253" customWidth="1"/>
    <col min="7941" max="7941" width="10.7109375" style="253" customWidth="1"/>
    <col min="7942" max="7942" width="6.28515625" style="253" customWidth="1"/>
    <col min="7943" max="7943" width="7.5703125" style="253" customWidth="1"/>
    <col min="7944" max="7944" width="8.140625" style="253" customWidth="1"/>
    <col min="7945" max="7945" width="10.7109375" style="253" customWidth="1"/>
    <col min="7946" max="7946" width="6.28515625" style="253" customWidth="1"/>
    <col min="7947" max="7947" width="7.5703125" style="253" customWidth="1"/>
    <col min="7948" max="7948" width="8.140625" style="253" customWidth="1"/>
    <col min="7949" max="7949" width="10.7109375" style="253" customWidth="1"/>
    <col min="7950" max="7950" width="6.7109375" style="253" customWidth="1"/>
    <col min="7951" max="7951" width="7.5703125" style="253" customWidth="1"/>
    <col min="7952" max="7952" width="8.140625" style="253" customWidth="1"/>
    <col min="7953" max="7953" width="10.7109375" style="253" customWidth="1"/>
    <col min="7954" max="7954" width="6.7109375" style="253" customWidth="1"/>
    <col min="7955" max="7955" width="7.5703125" style="253" customWidth="1"/>
    <col min="7956" max="7956" width="8.140625" style="253" customWidth="1"/>
    <col min="7957" max="7957" width="10.7109375" style="253" customWidth="1"/>
    <col min="7958" max="7960" width="6.7109375" style="253" customWidth="1"/>
    <col min="7961" max="7961" width="11.42578125" style="253" customWidth="1"/>
    <col min="7962" max="7964" width="6.7109375" style="253" customWidth="1"/>
    <col min="7965" max="7965" width="11.42578125" style="253"/>
    <col min="7966" max="7966" width="1.5703125" style="253" customWidth="1"/>
    <col min="7967" max="8191" width="11.42578125" style="253"/>
    <col min="8192" max="8192" width="15.28515625" style="253" customWidth="1"/>
    <col min="8193" max="8193" width="13" style="253" bestFit="1" customWidth="1"/>
    <col min="8194" max="8194" width="6.28515625" style="253" customWidth="1"/>
    <col min="8195" max="8195" width="7.5703125" style="253" customWidth="1"/>
    <col min="8196" max="8196" width="8" style="253" customWidth="1"/>
    <col min="8197" max="8197" width="10.7109375" style="253" customWidth="1"/>
    <col min="8198" max="8198" width="6.28515625" style="253" customWidth="1"/>
    <col min="8199" max="8199" width="7.5703125" style="253" customWidth="1"/>
    <col min="8200" max="8200" width="8.140625" style="253" customWidth="1"/>
    <col min="8201" max="8201" width="10.7109375" style="253" customWidth="1"/>
    <col min="8202" max="8202" width="6.28515625" style="253" customWidth="1"/>
    <col min="8203" max="8203" width="7.5703125" style="253" customWidth="1"/>
    <col min="8204" max="8204" width="8.140625" style="253" customWidth="1"/>
    <col min="8205" max="8205" width="10.7109375" style="253" customWidth="1"/>
    <col min="8206" max="8206" width="6.7109375" style="253" customWidth="1"/>
    <col min="8207" max="8207" width="7.5703125" style="253" customWidth="1"/>
    <col min="8208" max="8208" width="8.140625" style="253" customWidth="1"/>
    <col min="8209" max="8209" width="10.7109375" style="253" customWidth="1"/>
    <col min="8210" max="8210" width="6.7109375" style="253" customWidth="1"/>
    <col min="8211" max="8211" width="7.5703125" style="253" customWidth="1"/>
    <col min="8212" max="8212" width="8.140625" style="253" customWidth="1"/>
    <col min="8213" max="8213" width="10.7109375" style="253" customWidth="1"/>
    <col min="8214" max="8216" width="6.7109375" style="253" customWidth="1"/>
    <col min="8217" max="8217" width="11.42578125" style="253" customWidth="1"/>
    <col min="8218" max="8220" width="6.7109375" style="253" customWidth="1"/>
    <col min="8221" max="8221" width="11.42578125" style="253"/>
    <col min="8222" max="8222" width="1.5703125" style="253" customWidth="1"/>
    <col min="8223" max="8447" width="11.42578125" style="253"/>
    <col min="8448" max="8448" width="15.28515625" style="253" customWidth="1"/>
    <col min="8449" max="8449" width="13" style="253" bestFit="1" customWidth="1"/>
    <col min="8450" max="8450" width="6.28515625" style="253" customWidth="1"/>
    <col min="8451" max="8451" width="7.5703125" style="253" customWidth="1"/>
    <col min="8452" max="8452" width="8" style="253" customWidth="1"/>
    <col min="8453" max="8453" width="10.7109375" style="253" customWidth="1"/>
    <col min="8454" max="8454" width="6.28515625" style="253" customWidth="1"/>
    <col min="8455" max="8455" width="7.5703125" style="253" customWidth="1"/>
    <col min="8456" max="8456" width="8.140625" style="253" customWidth="1"/>
    <col min="8457" max="8457" width="10.7109375" style="253" customWidth="1"/>
    <col min="8458" max="8458" width="6.28515625" style="253" customWidth="1"/>
    <col min="8459" max="8459" width="7.5703125" style="253" customWidth="1"/>
    <col min="8460" max="8460" width="8.140625" style="253" customWidth="1"/>
    <col min="8461" max="8461" width="10.7109375" style="253" customWidth="1"/>
    <col min="8462" max="8462" width="6.7109375" style="253" customWidth="1"/>
    <col min="8463" max="8463" width="7.5703125" style="253" customWidth="1"/>
    <col min="8464" max="8464" width="8.140625" style="253" customWidth="1"/>
    <col min="8465" max="8465" width="10.7109375" style="253" customWidth="1"/>
    <col min="8466" max="8466" width="6.7109375" style="253" customWidth="1"/>
    <col min="8467" max="8467" width="7.5703125" style="253" customWidth="1"/>
    <col min="8468" max="8468" width="8.140625" style="253" customWidth="1"/>
    <col min="8469" max="8469" width="10.7109375" style="253" customWidth="1"/>
    <col min="8470" max="8472" width="6.7109375" style="253" customWidth="1"/>
    <col min="8473" max="8473" width="11.42578125" style="253" customWidth="1"/>
    <col min="8474" max="8476" width="6.7109375" style="253" customWidth="1"/>
    <col min="8477" max="8477" width="11.42578125" style="253"/>
    <col min="8478" max="8478" width="1.5703125" style="253" customWidth="1"/>
    <col min="8479" max="8703" width="11.42578125" style="253"/>
    <col min="8704" max="8704" width="15.28515625" style="253" customWidth="1"/>
    <col min="8705" max="8705" width="13" style="253" bestFit="1" customWidth="1"/>
    <col min="8706" max="8706" width="6.28515625" style="253" customWidth="1"/>
    <col min="8707" max="8707" width="7.5703125" style="253" customWidth="1"/>
    <col min="8708" max="8708" width="8" style="253" customWidth="1"/>
    <col min="8709" max="8709" width="10.7109375" style="253" customWidth="1"/>
    <col min="8710" max="8710" width="6.28515625" style="253" customWidth="1"/>
    <col min="8711" max="8711" width="7.5703125" style="253" customWidth="1"/>
    <col min="8712" max="8712" width="8.140625" style="253" customWidth="1"/>
    <col min="8713" max="8713" width="10.7109375" style="253" customWidth="1"/>
    <col min="8714" max="8714" width="6.28515625" style="253" customWidth="1"/>
    <col min="8715" max="8715" width="7.5703125" style="253" customWidth="1"/>
    <col min="8716" max="8716" width="8.140625" style="253" customWidth="1"/>
    <col min="8717" max="8717" width="10.7109375" style="253" customWidth="1"/>
    <col min="8718" max="8718" width="6.7109375" style="253" customWidth="1"/>
    <col min="8719" max="8719" width="7.5703125" style="253" customWidth="1"/>
    <col min="8720" max="8720" width="8.140625" style="253" customWidth="1"/>
    <col min="8721" max="8721" width="10.7109375" style="253" customWidth="1"/>
    <col min="8722" max="8722" width="6.7109375" style="253" customWidth="1"/>
    <col min="8723" max="8723" width="7.5703125" style="253" customWidth="1"/>
    <col min="8724" max="8724" width="8.140625" style="253" customWidth="1"/>
    <col min="8725" max="8725" width="10.7109375" style="253" customWidth="1"/>
    <col min="8726" max="8728" width="6.7109375" style="253" customWidth="1"/>
    <col min="8729" max="8729" width="11.42578125" style="253" customWidth="1"/>
    <col min="8730" max="8732" width="6.7109375" style="253" customWidth="1"/>
    <col min="8733" max="8733" width="11.42578125" style="253"/>
    <col min="8734" max="8734" width="1.5703125" style="253" customWidth="1"/>
    <col min="8735" max="8959" width="11.42578125" style="253"/>
    <col min="8960" max="8960" width="15.28515625" style="253" customWidth="1"/>
    <col min="8961" max="8961" width="13" style="253" bestFit="1" customWidth="1"/>
    <col min="8962" max="8962" width="6.28515625" style="253" customWidth="1"/>
    <col min="8963" max="8963" width="7.5703125" style="253" customWidth="1"/>
    <col min="8964" max="8964" width="8" style="253" customWidth="1"/>
    <col min="8965" max="8965" width="10.7109375" style="253" customWidth="1"/>
    <col min="8966" max="8966" width="6.28515625" style="253" customWidth="1"/>
    <col min="8967" max="8967" width="7.5703125" style="253" customWidth="1"/>
    <col min="8968" max="8968" width="8.140625" style="253" customWidth="1"/>
    <col min="8969" max="8969" width="10.7109375" style="253" customWidth="1"/>
    <col min="8970" max="8970" width="6.28515625" style="253" customWidth="1"/>
    <col min="8971" max="8971" width="7.5703125" style="253" customWidth="1"/>
    <col min="8972" max="8972" width="8.140625" style="253" customWidth="1"/>
    <col min="8973" max="8973" width="10.7109375" style="253" customWidth="1"/>
    <col min="8974" max="8974" width="6.7109375" style="253" customWidth="1"/>
    <col min="8975" max="8975" width="7.5703125" style="253" customWidth="1"/>
    <col min="8976" max="8976" width="8.140625" style="253" customWidth="1"/>
    <col min="8977" max="8977" width="10.7109375" style="253" customWidth="1"/>
    <col min="8978" max="8978" width="6.7109375" style="253" customWidth="1"/>
    <col min="8979" max="8979" width="7.5703125" style="253" customWidth="1"/>
    <col min="8980" max="8980" width="8.140625" style="253" customWidth="1"/>
    <col min="8981" max="8981" width="10.7109375" style="253" customWidth="1"/>
    <col min="8982" max="8984" width="6.7109375" style="253" customWidth="1"/>
    <col min="8985" max="8985" width="11.42578125" style="253" customWidth="1"/>
    <col min="8986" max="8988" width="6.7109375" style="253" customWidth="1"/>
    <col min="8989" max="8989" width="11.42578125" style="253"/>
    <col min="8990" max="8990" width="1.5703125" style="253" customWidth="1"/>
    <col min="8991" max="9215" width="11.42578125" style="253"/>
    <col min="9216" max="9216" width="15.28515625" style="253" customWidth="1"/>
    <col min="9217" max="9217" width="13" style="253" bestFit="1" customWidth="1"/>
    <col min="9218" max="9218" width="6.28515625" style="253" customWidth="1"/>
    <col min="9219" max="9219" width="7.5703125" style="253" customWidth="1"/>
    <col min="9220" max="9220" width="8" style="253" customWidth="1"/>
    <col min="9221" max="9221" width="10.7109375" style="253" customWidth="1"/>
    <col min="9222" max="9222" width="6.28515625" style="253" customWidth="1"/>
    <col min="9223" max="9223" width="7.5703125" style="253" customWidth="1"/>
    <col min="9224" max="9224" width="8.140625" style="253" customWidth="1"/>
    <col min="9225" max="9225" width="10.7109375" style="253" customWidth="1"/>
    <col min="9226" max="9226" width="6.28515625" style="253" customWidth="1"/>
    <col min="9227" max="9227" width="7.5703125" style="253" customWidth="1"/>
    <col min="9228" max="9228" width="8.140625" style="253" customWidth="1"/>
    <col min="9229" max="9229" width="10.7109375" style="253" customWidth="1"/>
    <col min="9230" max="9230" width="6.7109375" style="253" customWidth="1"/>
    <col min="9231" max="9231" width="7.5703125" style="253" customWidth="1"/>
    <col min="9232" max="9232" width="8.140625" style="253" customWidth="1"/>
    <col min="9233" max="9233" width="10.7109375" style="253" customWidth="1"/>
    <col min="9234" max="9234" width="6.7109375" style="253" customWidth="1"/>
    <col min="9235" max="9235" width="7.5703125" style="253" customWidth="1"/>
    <col min="9236" max="9236" width="8.140625" style="253" customWidth="1"/>
    <col min="9237" max="9237" width="10.7109375" style="253" customWidth="1"/>
    <col min="9238" max="9240" width="6.7109375" style="253" customWidth="1"/>
    <col min="9241" max="9241" width="11.42578125" style="253" customWidth="1"/>
    <col min="9242" max="9244" width="6.7109375" style="253" customWidth="1"/>
    <col min="9245" max="9245" width="11.42578125" style="253"/>
    <col min="9246" max="9246" width="1.5703125" style="253" customWidth="1"/>
    <col min="9247" max="9471" width="11.42578125" style="253"/>
    <col min="9472" max="9472" width="15.28515625" style="253" customWidth="1"/>
    <col min="9473" max="9473" width="13" style="253" bestFit="1" customWidth="1"/>
    <col min="9474" max="9474" width="6.28515625" style="253" customWidth="1"/>
    <col min="9475" max="9475" width="7.5703125" style="253" customWidth="1"/>
    <col min="9476" max="9476" width="8" style="253" customWidth="1"/>
    <col min="9477" max="9477" width="10.7109375" style="253" customWidth="1"/>
    <col min="9478" max="9478" width="6.28515625" style="253" customWidth="1"/>
    <col min="9479" max="9479" width="7.5703125" style="253" customWidth="1"/>
    <col min="9480" max="9480" width="8.140625" style="253" customWidth="1"/>
    <col min="9481" max="9481" width="10.7109375" style="253" customWidth="1"/>
    <col min="9482" max="9482" width="6.28515625" style="253" customWidth="1"/>
    <col min="9483" max="9483" width="7.5703125" style="253" customWidth="1"/>
    <col min="9484" max="9484" width="8.140625" style="253" customWidth="1"/>
    <col min="9485" max="9485" width="10.7109375" style="253" customWidth="1"/>
    <col min="9486" max="9486" width="6.7109375" style="253" customWidth="1"/>
    <col min="9487" max="9487" width="7.5703125" style="253" customWidth="1"/>
    <col min="9488" max="9488" width="8.140625" style="253" customWidth="1"/>
    <col min="9489" max="9489" width="10.7109375" style="253" customWidth="1"/>
    <col min="9490" max="9490" width="6.7109375" style="253" customWidth="1"/>
    <col min="9491" max="9491" width="7.5703125" style="253" customWidth="1"/>
    <col min="9492" max="9492" width="8.140625" style="253" customWidth="1"/>
    <col min="9493" max="9493" width="10.7109375" style="253" customWidth="1"/>
    <col min="9494" max="9496" width="6.7109375" style="253" customWidth="1"/>
    <col min="9497" max="9497" width="11.42578125" style="253" customWidth="1"/>
    <col min="9498" max="9500" width="6.7109375" style="253" customWidth="1"/>
    <col min="9501" max="9501" width="11.42578125" style="253"/>
    <col min="9502" max="9502" width="1.5703125" style="253" customWidth="1"/>
    <col min="9503" max="9727" width="11.42578125" style="253"/>
    <col min="9728" max="9728" width="15.28515625" style="253" customWidth="1"/>
    <col min="9729" max="9729" width="13" style="253" bestFit="1" customWidth="1"/>
    <col min="9730" max="9730" width="6.28515625" style="253" customWidth="1"/>
    <col min="9731" max="9731" width="7.5703125" style="253" customWidth="1"/>
    <col min="9732" max="9732" width="8" style="253" customWidth="1"/>
    <col min="9733" max="9733" width="10.7109375" style="253" customWidth="1"/>
    <col min="9734" max="9734" width="6.28515625" style="253" customWidth="1"/>
    <col min="9735" max="9735" width="7.5703125" style="253" customWidth="1"/>
    <col min="9736" max="9736" width="8.140625" style="253" customWidth="1"/>
    <col min="9737" max="9737" width="10.7109375" style="253" customWidth="1"/>
    <col min="9738" max="9738" width="6.28515625" style="253" customWidth="1"/>
    <col min="9739" max="9739" width="7.5703125" style="253" customWidth="1"/>
    <col min="9740" max="9740" width="8.140625" style="253" customWidth="1"/>
    <col min="9741" max="9741" width="10.7109375" style="253" customWidth="1"/>
    <col min="9742" max="9742" width="6.7109375" style="253" customWidth="1"/>
    <col min="9743" max="9743" width="7.5703125" style="253" customWidth="1"/>
    <col min="9744" max="9744" width="8.140625" style="253" customWidth="1"/>
    <col min="9745" max="9745" width="10.7109375" style="253" customWidth="1"/>
    <col min="9746" max="9746" width="6.7109375" style="253" customWidth="1"/>
    <col min="9747" max="9747" width="7.5703125" style="253" customWidth="1"/>
    <col min="9748" max="9748" width="8.140625" style="253" customWidth="1"/>
    <col min="9749" max="9749" width="10.7109375" style="253" customWidth="1"/>
    <col min="9750" max="9752" width="6.7109375" style="253" customWidth="1"/>
    <col min="9753" max="9753" width="11.42578125" style="253" customWidth="1"/>
    <col min="9754" max="9756" width="6.7109375" style="253" customWidth="1"/>
    <col min="9757" max="9757" width="11.42578125" style="253"/>
    <col min="9758" max="9758" width="1.5703125" style="253" customWidth="1"/>
    <col min="9759" max="9983" width="11.42578125" style="253"/>
    <col min="9984" max="9984" width="15.28515625" style="253" customWidth="1"/>
    <col min="9985" max="9985" width="13" style="253" bestFit="1" customWidth="1"/>
    <col min="9986" max="9986" width="6.28515625" style="253" customWidth="1"/>
    <col min="9987" max="9987" width="7.5703125" style="253" customWidth="1"/>
    <col min="9988" max="9988" width="8" style="253" customWidth="1"/>
    <col min="9989" max="9989" width="10.7109375" style="253" customWidth="1"/>
    <col min="9990" max="9990" width="6.28515625" style="253" customWidth="1"/>
    <col min="9991" max="9991" width="7.5703125" style="253" customWidth="1"/>
    <col min="9992" max="9992" width="8.140625" style="253" customWidth="1"/>
    <col min="9993" max="9993" width="10.7109375" style="253" customWidth="1"/>
    <col min="9994" max="9994" width="6.28515625" style="253" customWidth="1"/>
    <col min="9995" max="9995" width="7.5703125" style="253" customWidth="1"/>
    <col min="9996" max="9996" width="8.140625" style="253" customWidth="1"/>
    <col min="9997" max="9997" width="10.7109375" style="253" customWidth="1"/>
    <col min="9998" max="9998" width="6.7109375" style="253" customWidth="1"/>
    <col min="9999" max="9999" width="7.5703125" style="253" customWidth="1"/>
    <col min="10000" max="10000" width="8.140625" style="253" customWidth="1"/>
    <col min="10001" max="10001" width="10.7109375" style="253" customWidth="1"/>
    <col min="10002" max="10002" width="6.7109375" style="253" customWidth="1"/>
    <col min="10003" max="10003" width="7.5703125" style="253" customWidth="1"/>
    <col min="10004" max="10004" width="8.140625" style="253" customWidth="1"/>
    <col min="10005" max="10005" width="10.7109375" style="253" customWidth="1"/>
    <col min="10006" max="10008" width="6.7109375" style="253" customWidth="1"/>
    <col min="10009" max="10009" width="11.42578125" style="253" customWidth="1"/>
    <col min="10010" max="10012" width="6.7109375" style="253" customWidth="1"/>
    <col min="10013" max="10013" width="11.42578125" style="253"/>
    <col min="10014" max="10014" width="1.5703125" style="253" customWidth="1"/>
    <col min="10015" max="10239" width="11.42578125" style="253"/>
    <col min="10240" max="10240" width="15.28515625" style="253" customWidth="1"/>
    <col min="10241" max="10241" width="13" style="253" bestFit="1" customWidth="1"/>
    <col min="10242" max="10242" width="6.28515625" style="253" customWidth="1"/>
    <col min="10243" max="10243" width="7.5703125" style="253" customWidth="1"/>
    <col min="10244" max="10244" width="8" style="253" customWidth="1"/>
    <col min="10245" max="10245" width="10.7109375" style="253" customWidth="1"/>
    <col min="10246" max="10246" width="6.28515625" style="253" customWidth="1"/>
    <col min="10247" max="10247" width="7.5703125" style="253" customWidth="1"/>
    <col min="10248" max="10248" width="8.140625" style="253" customWidth="1"/>
    <col min="10249" max="10249" width="10.7109375" style="253" customWidth="1"/>
    <col min="10250" max="10250" width="6.28515625" style="253" customWidth="1"/>
    <col min="10251" max="10251" width="7.5703125" style="253" customWidth="1"/>
    <col min="10252" max="10252" width="8.140625" style="253" customWidth="1"/>
    <col min="10253" max="10253" width="10.7109375" style="253" customWidth="1"/>
    <col min="10254" max="10254" width="6.7109375" style="253" customWidth="1"/>
    <col min="10255" max="10255" width="7.5703125" style="253" customWidth="1"/>
    <col min="10256" max="10256" width="8.140625" style="253" customWidth="1"/>
    <col min="10257" max="10257" width="10.7109375" style="253" customWidth="1"/>
    <col min="10258" max="10258" width="6.7109375" style="253" customWidth="1"/>
    <col min="10259" max="10259" width="7.5703125" style="253" customWidth="1"/>
    <col min="10260" max="10260" width="8.140625" style="253" customWidth="1"/>
    <col min="10261" max="10261" width="10.7109375" style="253" customWidth="1"/>
    <col min="10262" max="10264" width="6.7109375" style="253" customWidth="1"/>
    <col min="10265" max="10265" width="11.42578125" style="253" customWidth="1"/>
    <col min="10266" max="10268" width="6.7109375" style="253" customWidth="1"/>
    <col min="10269" max="10269" width="11.42578125" style="253"/>
    <col min="10270" max="10270" width="1.5703125" style="253" customWidth="1"/>
    <col min="10271" max="10495" width="11.42578125" style="253"/>
    <col min="10496" max="10496" width="15.28515625" style="253" customWidth="1"/>
    <col min="10497" max="10497" width="13" style="253" bestFit="1" customWidth="1"/>
    <col min="10498" max="10498" width="6.28515625" style="253" customWidth="1"/>
    <col min="10499" max="10499" width="7.5703125" style="253" customWidth="1"/>
    <col min="10500" max="10500" width="8" style="253" customWidth="1"/>
    <col min="10501" max="10501" width="10.7109375" style="253" customWidth="1"/>
    <col min="10502" max="10502" width="6.28515625" style="253" customWidth="1"/>
    <col min="10503" max="10503" width="7.5703125" style="253" customWidth="1"/>
    <col min="10504" max="10504" width="8.140625" style="253" customWidth="1"/>
    <col min="10505" max="10505" width="10.7109375" style="253" customWidth="1"/>
    <col min="10506" max="10506" width="6.28515625" style="253" customWidth="1"/>
    <col min="10507" max="10507" width="7.5703125" style="253" customWidth="1"/>
    <col min="10508" max="10508" width="8.140625" style="253" customWidth="1"/>
    <col min="10509" max="10509" width="10.7109375" style="253" customWidth="1"/>
    <col min="10510" max="10510" width="6.7109375" style="253" customWidth="1"/>
    <col min="10511" max="10511" width="7.5703125" style="253" customWidth="1"/>
    <col min="10512" max="10512" width="8.140625" style="253" customWidth="1"/>
    <col min="10513" max="10513" width="10.7109375" style="253" customWidth="1"/>
    <col min="10514" max="10514" width="6.7109375" style="253" customWidth="1"/>
    <col min="10515" max="10515" width="7.5703125" style="253" customWidth="1"/>
    <col min="10516" max="10516" width="8.140625" style="253" customWidth="1"/>
    <col min="10517" max="10517" width="10.7109375" style="253" customWidth="1"/>
    <col min="10518" max="10520" width="6.7109375" style="253" customWidth="1"/>
    <col min="10521" max="10521" width="11.42578125" style="253" customWidth="1"/>
    <col min="10522" max="10524" width="6.7109375" style="253" customWidth="1"/>
    <col min="10525" max="10525" width="11.42578125" style="253"/>
    <col min="10526" max="10526" width="1.5703125" style="253" customWidth="1"/>
    <col min="10527" max="10751" width="11.42578125" style="253"/>
    <col min="10752" max="10752" width="15.28515625" style="253" customWidth="1"/>
    <col min="10753" max="10753" width="13" style="253" bestFit="1" customWidth="1"/>
    <col min="10754" max="10754" width="6.28515625" style="253" customWidth="1"/>
    <col min="10755" max="10755" width="7.5703125" style="253" customWidth="1"/>
    <col min="10756" max="10756" width="8" style="253" customWidth="1"/>
    <col min="10757" max="10757" width="10.7109375" style="253" customWidth="1"/>
    <col min="10758" max="10758" width="6.28515625" style="253" customWidth="1"/>
    <col min="10759" max="10759" width="7.5703125" style="253" customWidth="1"/>
    <col min="10760" max="10760" width="8.140625" style="253" customWidth="1"/>
    <col min="10761" max="10761" width="10.7109375" style="253" customWidth="1"/>
    <col min="10762" max="10762" width="6.28515625" style="253" customWidth="1"/>
    <col min="10763" max="10763" width="7.5703125" style="253" customWidth="1"/>
    <col min="10764" max="10764" width="8.140625" style="253" customWidth="1"/>
    <col min="10765" max="10765" width="10.7109375" style="253" customWidth="1"/>
    <col min="10766" max="10766" width="6.7109375" style="253" customWidth="1"/>
    <col min="10767" max="10767" width="7.5703125" style="253" customWidth="1"/>
    <col min="10768" max="10768" width="8.140625" style="253" customWidth="1"/>
    <col min="10769" max="10769" width="10.7109375" style="253" customWidth="1"/>
    <col min="10770" max="10770" width="6.7109375" style="253" customWidth="1"/>
    <col min="10771" max="10771" width="7.5703125" style="253" customWidth="1"/>
    <col min="10772" max="10772" width="8.140625" style="253" customWidth="1"/>
    <col min="10773" max="10773" width="10.7109375" style="253" customWidth="1"/>
    <col min="10774" max="10776" width="6.7109375" style="253" customWidth="1"/>
    <col min="10777" max="10777" width="11.42578125" style="253" customWidth="1"/>
    <col min="10778" max="10780" width="6.7109375" style="253" customWidth="1"/>
    <col min="10781" max="10781" width="11.42578125" style="253"/>
    <col min="10782" max="10782" width="1.5703125" style="253" customWidth="1"/>
    <col min="10783" max="11007" width="11.42578125" style="253"/>
    <col min="11008" max="11008" width="15.28515625" style="253" customWidth="1"/>
    <col min="11009" max="11009" width="13" style="253" bestFit="1" customWidth="1"/>
    <col min="11010" max="11010" width="6.28515625" style="253" customWidth="1"/>
    <col min="11011" max="11011" width="7.5703125" style="253" customWidth="1"/>
    <col min="11012" max="11012" width="8" style="253" customWidth="1"/>
    <col min="11013" max="11013" width="10.7109375" style="253" customWidth="1"/>
    <col min="11014" max="11014" width="6.28515625" style="253" customWidth="1"/>
    <col min="11015" max="11015" width="7.5703125" style="253" customWidth="1"/>
    <col min="11016" max="11016" width="8.140625" style="253" customWidth="1"/>
    <col min="11017" max="11017" width="10.7109375" style="253" customWidth="1"/>
    <col min="11018" max="11018" width="6.28515625" style="253" customWidth="1"/>
    <col min="11019" max="11019" width="7.5703125" style="253" customWidth="1"/>
    <col min="11020" max="11020" width="8.140625" style="253" customWidth="1"/>
    <col min="11021" max="11021" width="10.7109375" style="253" customWidth="1"/>
    <col min="11022" max="11022" width="6.7109375" style="253" customWidth="1"/>
    <col min="11023" max="11023" width="7.5703125" style="253" customWidth="1"/>
    <col min="11024" max="11024" width="8.140625" style="253" customWidth="1"/>
    <col min="11025" max="11025" width="10.7109375" style="253" customWidth="1"/>
    <col min="11026" max="11026" width="6.7109375" style="253" customWidth="1"/>
    <col min="11027" max="11027" width="7.5703125" style="253" customWidth="1"/>
    <col min="11028" max="11028" width="8.140625" style="253" customWidth="1"/>
    <col min="11029" max="11029" width="10.7109375" style="253" customWidth="1"/>
    <col min="11030" max="11032" width="6.7109375" style="253" customWidth="1"/>
    <col min="11033" max="11033" width="11.42578125" style="253" customWidth="1"/>
    <col min="11034" max="11036" width="6.7109375" style="253" customWidth="1"/>
    <col min="11037" max="11037" width="11.42578125" style="253"/>
    <col min="11038" max="11038" width="1.5703125" style="253" customWidth="1"/>
    <col min="11039" max="11263" width="11.42578125" style="253"/>
    <col min="11264" max="11264" width="15.28515625" style="253" customWidth="1"/>
    <col min="11265" max="11265" width="13" style="253" bestFit="1" customWidth="1"/>
    <col min="11266" max="11266" width="6.28515625" style="253" customWidth="1"/>
    <col min="11267" max="11267" width="7.5703125" style="253" customWidth="1"/>
    <col min="11268" max="11268" width="8" style="253" customWidth="1"/>
    <col min="11269" max="11269" width="10.7109375" style="253" customWidth="1"/>
    <col min="11270" max="11270" width="6.28515625" style="253" customWidth="1"/>
    <col min="11271" max="11271" width="7.5703125" style="253" customWidth="1"/>
    <col min="11272" max="11272" width="8.140625" style="253" customWidth="1"/>
    <col min="11273" max="11273" width="10.7109375" style="253" customWidth="1"/>
    <col min="11274" max="11274" width="6.28515625" style="253" customWidth="1"/>
    <col min="11275" max="11275" width="7.5703125" style="253" customWidth="1"/>
    <col min="11276" max="11276" width="8.140625" style="253" customWidth="1"/>
    <col min="11277" max="11277" width="10.7109375" style="253" customWidth="1"/>
    <col min="11278" max="11278" width="6.7109375" style="253" customWidth="1"/>
    <col min="11279" max="11279" width="7.5703125" style="253" customWidth="1"/>
    <col min="11280" max="11280" width="8.140625" style="253" customWidth="1"/>
    <col min="11281" max="11281" width="10.7109375" style="253" customWidth="1"/>
    <col min="11282" max="11282" width="6.7109375" style="253" customWidth="1"/>
    <col min="11283" max="11283" width="7.5703125" style="253" customWidth="1"/>
    <col min="11284" max="11284" width="8.140625" style="253" customWidth="1"/>
    <col min="11285" max="11285" width="10.7109375" style="253" customWidth="1"/>
    <col min="11286" max="11288" width="6.7109375" style="253" customWidth="1"/>
    <col min="11289" max="11289" width="11.42578125" style="253" customWidth="1"/>
    <col min="11290" max="11292" width="6.7109375" style="253" customWidth="1"/>
    <col min="11293" max="11293" width="11.42578125" style="253"/>
    <col min="11294" max="11294" width="1.5703125" style="253" customWidth="1"/>
    <col min="11295" max="11519" width="11.42578125" style="253"/>
    <col min="11520" max="11520" width="15.28515625" style="253" customWidth="1"/>
    <col min="11521" max="11521" width="13" style="253" bestFit="1" customWidth="1"/>
    <col min="11522" max="11522" width="6.28515625" style="253" customWidth="1"/>
    <col min="11523" max="11523" width="7.5703125" style="253" customWidth="1"/>
    <col min="11524" max="11524" width="8" style="253" customWidth="1"/>
    <col min="11525" max="11525" width="10.7109375" style="253" customWidth="1"/>
    <col min="11526" max="11526" width="6.28515625" style="253" customWidth="1"/>
    <col min="11527" max="11527" width="7.5703125" style="253" customWidth="1"/>
    <col min="11528" max="11528" width="8.140625" style="253" customWidth="1"/>
    <col min="11529" max="11529" width="10.7109375" style="253" customWidth="1"/>
    <col min="11530" max="11530" width="6.28515625" style="253" customWidth="1"/>
    <col min="11531" max="11531" width="7.5703125" style="253" customWidth="1"/>
    <col min="11532" max="11532" width="8.140625" style="253" customWidth="1"/>
    <col min="11533" max="11533" width="10.7109375" style="253" customWidth="1"/>
    <col min="11534" max="11534" width="6.7109375" style="253" customWidth="1"/>
    <col min="11535" max="11535" width="7.5703125" style="253" customWidth="1"/>
    <col min="11536" max="11536" width="8.140625" style="253" customWidth="1"/>
    <col min="11537" max="11537" width="10.7109375" style="253" customWidth="1"/>
    <col min="11538" max="11538" width="6.7109375" style="253" customWidth="1"/>
    <col min="11539" max="11539" width="7.5703125" style="253" customWidth="1"/>
    <col min="11540" max="11540" width="8.140625" style="253" customWidth="1"/>
    <col min="11541" max="11541" width="10.7109375" style="253" customWidth="1"/>
    <col min="11542" max="11544" width="6.7109375" style="253" customWidth="1"/>
    <col min="11545" max="11545" width="11.42578125" style="253" customWidth="1"/>
    <col min="11546" max="11548" width="6.7109375" style="253" customWidth="1"/>
    <col min="11549" max="11549" width="11.42578125" style="253"/>
    <col min="11550" max="11550" width="1.5703125" style="253" customWidth="1"/>
    <col min="11551" max="11775" width="11.42578125" style="253"/>
    <col min="11776" max="11776" width="15.28515625" style="253" customWidth="1"/>
    <col min="11777" max="11777" width="13" style="253" bestFit="1" customWidth="1"/>
    <col min="11778" max="11778" width="6.28515625" style="253" customWidth="1"/>
    <col min="11779" max="11779" width="7.5703125" style="253" customWidth="1"/>
    <col min="11780" max="11780" width="8" style="253" customWidth="1"/>
    <col min="11781" max="11781" width="10.7109375" style="253" customWidth="1"/>
    <col min="11782" max="11782" width="6.28515625" style="253" customWidth="1"/>
    <col min="11783" max="11783" width="7.5703125" style="253" customWidth="1"/>
    <col min="11784" max="11784" width="8.140625" style="253" customWidth="1"/>
    <col min="11785" max="11785" width="10.7109375" style="253" customWidth="1"/>
    <col min="11786" max="11786" width="6.28515625" style="253" customWidth="1"/>
    <col min="11787" max="11787" width="7.5703125" style="253" customWidth="1"/>
    <col min="11788" max="11788" width="8.140625" style="253" customWidth="1"/>
    <col min="11789" max="11789" width="10.7109375" style="253" customWidth="1"/>
    <col min="11790" max="11790" width="6.7109375" style="253" customWidth="1"/>
    <col min="11791" max="11791" width="7.5703125" style="253" customWidth="1"/>
    <col min="11792" max="11792" width="8.140625" style="253" customWidth="1"/>
    <col min="11793" max="11793" width="10.7109375" style="253" customWidth="1"/>
    <col min="11794" max="11794" width="6.7109375" style="253" customWidth="1"/>
    <col min="11795" max="11795" width="7.5703125" style="253" customWidth="1"/>
    <col min="11796" max="11796" width="8.140625" style="253" customWidth="1"/>
    <col min="11797" max="11797" width="10.7109375" style="253" customWidth="1"/>
    <col min="11798" max="11800" width="6.7109375" style="253" customWidth="1"/>
    <col min="11801" max="11801" width="11.42578125" style="253" customWidth="1"/>
    <col min="11802" max="11804" width="6.7109375" style="253" customWidth="1"/>
    <col min="11805" max="11805" width="11.42578125" style="253"/>
    <col min="11806" max="11806" width="1.5703125" style="253" customWidth="1"/>
    <col min="11807" max="12031" width="11.42578125" style="253"/>
    <col min="12032" max="12032" width="15.28515625" style="253" customWidth="1"/>
    <col min="12033" max="12033" width="13" style="253" bestFit="1" customWidth="1"/>
    <col min="12034" max="12034" width="6.28515625" style="253" customWidth="1"/>
    <col min="12035" max="12035" width="7.5703125" style="253" customWidth="1"/>
    <col min="12036" max="12036" width="8" style="253" customWidth="1"/>
    <col min="12037" max="12037" width="10.7109375" style="253" customWidth="1"/>
    <col min="12038" max="12038" width="6.28515625" style="253" customWidth="1"/>
    <col min="12039" max="12039" width="7.5703125" style="253" customWidth="1"/>
    <col min="12040" max="12040" width="8.140625" style="253" customWidth="1"/>
    <col min="12041" max="12041" width="10.7109375" style="253" customWidth="1"/>
    <col min="12042" max="12042" width="6.28515625" style="253" customWidth="1"/>
    <col min="12043" max="12043" width="7.5703125" style="253" customWidth="1"/>
    <col min="12044" max="12044" width="8.140625" style="253" customWidth="1"/>
    <col min="12045" max="12045" width="10.7109375" style="253" customWidth="1"/>
    <col min="12046" max="12046" width="6.7109375" style="253" customWidth="1"/>
    <col min="12047" max="12047" width="7.5703125" style="253" customWidth="1"/>
    <col min="12048" max="12048" width="8.140625" style="253" customWidth="1"/>
    <col min="12049" max="12049" width="10.7109375" style="253" customWidth="1"/>
    <col min="12050" max="12050" width="6.7109375" style="253" customWidth="1"/>
    <col min="12051" max="12051" width="7.5703125" style="253" customWidth="1"/>
    <col min="12052" max="12052" width="8.140625" style="253" customWidth="1"/>
    <col min="12053" max="12053" width="10.7109375" style="253" customWidth="1"/>
    <col min="12054" max="12056" width="6.7109375" style="253" customWidth="1"/>
    <col min="12057" max="12057" width="11.42578125" style="253" customWidth="1"/>
    <col min="12058" max="12060" width="6.7109375" style="253" customWidth="1"/>
    <col min="12061" max="12061" width="11.42578125" style="253"/>
    <col min="12062" max="12062" width="1.5703125" style="253" customWidth="1"/>
    <col min="12063" max="12287" width="11.42578125" style="253"/>
    <col min="12288" max="12288" width="15.28515625" style="253" customWidth="1"/>
    <col min="12289" max="12289" width="13" style="253" bestFit="1" customWidth="1"/>
    <col min="12290" max="12290" width="6.28515625" style="253" customWidth="1"/>
    <col min="12291" max="12291" width="7.5703125" style="253" customWidth="1"/>
    <col min="12292" max="12292" width="8" style="253" customWidth="1"/>
    <col min="12293" max="12293" width="10.7109375" style="253" customWidth="1"/>
    <col min="12294" max="12294" width="6.28515625" style="253" customWidth="1"/>
    <col min="12295" max="12295" width="7.5703125" style="253" customWidth="1"/>
    <col min="12296" max="12296" width="8.140625" style="253" customWidth="1"/>
    <col min="12297" max="12297" width="10.7109375" style="253" customWidth="1"/>
    <col min="12298" max="12298" width="6.28515625" style="253" customWidth="1"/>
    <col min="12299" max="12299" width="7.5703125" style="253" customWidth="1"/>
    <col min="12300" max="12300" width="8.140625" style="253" customWidth="1"/>
    <col min="12301" max="12301" width="10.7109375" style="253" customWidth="1"/>
    <col min="12302" max="12302" width="6.7109375" style="253" customWidth="1"/>
    <col min="12303" max="12303" width="7.5703125" style="253" customWidth="1"/>
    <col min="12304" max="12304" width="8.140625" style="253" customWidth="1"/>
    <col min="12305" max="12305" width="10.7109375" style="253" customWidth="1"/>
    <col min="12306" max="12306" width="6.7109375" style="253" customWidth="1"/>
    <col min="12307" max="12307" width="7.5703125" style="253" customWidth="1"/>
    <col min="12308" max="12308" width="8.140625" style="253" customWidth="1"/>
    <col min="12309" max="12309" width="10.7109375" style="253" customWidth="1"/>
    <col min="12310" max="12312" width="6.7109375" style="253" customWidth="1"/>
    <col min="12313" max="12313" width="11.42578125" style="253" customWidth="1"/>
    <col min="12314" max="12316" width="6.7109375" style="253" customWidth="1"/>
    <col min="12317" max="12317" width="11.42578125" style="253"/>
    <col min="12318" max="12318" width="1.5703125" style="253" customWidth="1"/>
    <col min="12319" max="12543" width="11.42578125" style="253"/>
    <col min="12544" max="12544" width="15.28515625" style="253" customWidth="1"/>
    <col min="12545" max="12545" width="13" style="253" bestFit="1" customWidth="1"/>
    <col min="12546" max="12546" width="6.28515625" style="253" customWidth="1"/>
    <col min="12547" max="12547" width="7.5703125" style="253" customWidth="1"/>
    <col min="12548" max="12548" width="8" style="253" customWidth="1"/>
    <col min="12549" max="12549" width="10.7109375" style="253" customWidth="1"/>
    <col min="12550" max="12550" width="6.28515625" style="253" customWidth="1"/>
    <col min="12551" max="12551" width="7.5703125" style="253" customWidth="1"/>
    <col min="12552" max="12552" width="8.140625" style="253" customWidth="1"/>
    <col min="12553" max="12553" width="10.7109375" style="253" customWidth="1"/>
    <col min="12554" max="12554" width="6.28515625" style="253" customWidth="1"/>
    <col min="12555" max="12555" width="7.5703125" style="253" customWidth="1"/>
    <col min="12556" max="12556" width="8.140625" style="253" customWidth="1"/>
    <col min="12557" max="12557" width="10.7109375" style="253" customWidth="1"/>
    <col min="12558" max="12558" width="6.7109375" style="253" customWidth="1"/>
    <col min="12559" max="12559" width="7.5703125" style="253" customWidth="1"/>
    <col min="12560" max="12560" width="8.140625" style="253" customWidth="1"/>
    <col min="12561" max="12561" width="10.7109375" style="253" customWidth="1"/>
    <col min="12562" max="12562" width="6.7109375" style="253" customWidth="1"/>
    <col min="12563" max="12563" width="7.5703125" style="253" customWidth="1"/>
    <col min="12564" max="12564" width="8.140625" style="253" customWidth="1"/>
    <col min="12565" max="12565" width="10.7109375" style="253" customWidth="1"/>
    <col min="12566" max="12568" width="6.7109375" style="253" customWidth="1"/>
    <col min="12569" max="12569" width="11.42578125" style="253" customWidth="1"/>
    <col min="12570" max="12572" width="6.7109375" style="253" customWidth="1"/>
    <col min="12573" max="12573" width="11.42578125" style="253"/>
    <col min="12574" max="12574" width="1.5703125" style="253" customWidth="1"/>
    <col min="12575" max="12799" width="11.42578125" style="253"/>
    <col min="12800" max="12800" width="15.28515625" style="253" customWidth="1"/>
    <col min="12801" max="12801" width="13" style="253" bestFit="1" customWidth="1"/>
    <col min="12802" max="12802" width="6.28515625" style="253" customWidth="1"/>
    <col min="12803" max="12803" width="7.5703125" style="253" customWidth="1"/>
    <col min="12804" max="12804" width="8" style="253" customWidth="1"/>
    <col min="12805" max="12805" width="10.7109375" style="253" customWidth="1"/>
    <col min="12806" max="12806" width="6.28515625" style="253" customWidth="1"/>
    <col min="12807" max="12807" width="7.5703125" style="253" customWidth="1"/>
    <col min="12808" max="12808" width="8.140625" style="253" customWidth="1"/>
    <col min="12809" max="12809" width="10.7109375" style="253" customWidth="1"/>
    <col min="12810" max="12810" width="6.28515625" style="253" customWidth="1"/>
    <col min="12811" max="12811" width="7.5703125" style="253" customWidth="1"/>
    <col min="12812" max="12812" width="8.140625" style="253" customWidth="1"/>
    <col min="12813" max="12813" width="10.7109375" style="253" customWidth="1"/>
    <col min="12814" max="12814" width="6.7109375" style="253" customWidth="1"/>
    <col min="12815" max="12815" width="7.5703125" style="253" customWidth="1"/>
    <col min="12816" max="12816" width="8.140625" style="253" customWidth="1"/>
    <col min="12817" max="12817" width="10.7109375" style="253" customWidth="1"/>
    <col min="12818" max="12818" width="6.7109375" style="253" customWidth="1"/>
    <col min="12819" max="12819" width="7.5703125" style="253" customWidth="1"/>
    <col min="12820" max="12820" width="8.140625" style="253" customWidth="1"/>
    <col min="12821" max="12821" width="10.7109375" style="253" customWidth="1"/>
    <col min="12822" max="12824" width="6.7109375" style="253" customWidth="1"/>
    <col min="12825" max="12825" width="11.42578125" style="253" customWidth="1"/>
    <col min="12826" max="12828" width="6.7109375" style="253" customWidth="1"/>
    <col min="12829" max="12829" width="11.42578125" style="253"/>
    <col min="12830" max="12830" width="1.5703125" style="253" customWidth="1"/>
    <col min="12831" max="13055" width="11.42578125" style="253"/>
    <col min="13056" max="13056" width="15.28515625" style="253" customWidth="1"/>
    <col min="13057" max="13057" width="13" style="253" bestFit="1" customWidth="1"/>
    <col min="13058" max="13058" width="6.28515625" style="253" customWidth="1"/>
    <col min="13059" max="13059" width="7.5703125" style="253" customWidth="1"/>
    <col min="13060" max="13060" width="8" style="253" customWidth="1"/>
    <col min="13061" max="13061" width="10.7109375" style="253" customWidth="1"/>
    <col min="13062" max="13062" width="6.28515625" style="253" customWidth="1"/>
    <col min="13063" max="13063" width="7.5703125" style="253" customWidth="1"/>
    <col min="13064" max="13064" width="8.140625" style="253" customWidth="1"/>
    <col min="13065" max="13065" width="10.7109375" style="253" customWidth="1"/>
    <col min="13066" max="13066" width="6.28515625" style="253" customWidth="1"/>
    <col min="13067" max="13067" width="7.5703125" style="253" customWidth="1"/>
    <col min="13068" max="13068" width="8.140625" style="253" customWidth="1"/>
    <col min="13069" max="13069" width="10.7109375" style="253" customWidth="1"/>
    <col min="13070" max="13070" width="6.7109375" style="253" customWidth="1"/>
    <col min="13071" max="13071" width="7.5703125" style="253" customWidth="1"/>
    <col min="13072" max="13072" width="8.140625" style="253" customWidth="1"/>
    <col min="13073" max="13073" width="10.7109375" style="253" customWidth="1"/>
    <col min="13074" max="13074" width="6.7109375" style="253" customWidth="1"/>
    <col min="13075" max="13075" width="7.5703125" style="253" customWidth="1"/>
    <col min="13076" max="13076" width="8.140625" style="253" customWidth="1"/>
    <col min="13077" max="13077" width="10.7109375" style="253" customWidth="1"/>
    <col min="13078" max="13080" width="6.7109375" style="253" customWidth="1"/>
    <col min="13081" max="13081" width="11.42578125" style="253" customWidth="1"/>
    <col min="13082" max="13084" width="6.7109375" style="253" customWidth="1"/>
    <col min="13085" max="13085" width="11.42578125" style="253"/>
    <col min="13086" max="13086" width="1.5703125" style="253" customWidth="1"/>
    <col min="13087" max="13311" width="11.42578125" style="253"/>
    <col min="13312" max="13312" width="15.28515625" style="253" customWidth="1"/>
    <col min="13313" max="13313" width="13" style="253" bestFit="1" customWidth="1"/>
    <col min="13314" max="13314" width="6.28515625" style="253" customWidth="1"/>
    <col min="13315" max="13315" width="7.5703125" style="253" customWidth="1"/>
    <col min="13316" max="13316" width="8" style="253" customWidth="1"/>
    <col min="13317" max="13317" width="10.7109375" style="253" customWidth="1"/>
    <col min="13318" max="13318" width="6.28515625" style="253" customWidth="1"/>
    <col min="13319" max="13319" width="7.5703125" style="253" customWidth="1"/>
    <col min="13320" max="13320" width="8.140625" style="253" customWidth="1"/>
    <col min="13321" max="13321" width="10.7109375" style="253" customWidth="1"/>
    <col min="13322" max="13322" width="6.28515625" style="253" customWidth="1"/>
    <col min="13323" max="13323" width="7.5703125" style="253" customWidth="1"/>
    <col min="13324" max="13324" width="8.140625" style="253" customWidth="1"/>
    <col min="13325" max="13325" width="10.7109375" style="253" customWidth="1"/>
    <col min="13326" max="13326" width="6.7109375" style="253" customWidth="1"/>
    <col min="13327" max="13327" width="7.5703125" style="253" customWidth="1"/>
    <col min="13328" max="13328" width="8.140625" style="253" customWidth="1"/>
    <col min="13329" max="13329" width="10.7109375" style="253" customWidth="1"/>
    <col min="13330" max="13330" width="6.7109375" style="253" customWidth="1"/>
    <col min="13331" max="13331" width="7.5703125" style="253" customWidth="1"/>
    <col min="13332" max="13332" width="8.140625" style="253" customWidth="1"/>
    <col min="13333" max="13333" width="10.7109375" style="253" customWidth="1"/>
    <col min="13334" max="13336" width="6.7109375" style="253" customWidth="1"/>
    <col min="13337" max="13337" width="11.42578125" style="253" customWidth="1"/>
    <col min="13338" max="13340" width="6.7109375" style="253" customWidth="1"/>
    <col min="13341" max="13341" width="11.42578125" style="253"/>
    <col min="13342" max="13342" width="1.5703125" style="253" customWidth="1"/>
    <col min="13343" max="13567" width="11.42578125" style="253"/>
    <col min="13568" max="13568" width="15.28515625" style="253" customWidth="1"/>
    <col min="13569" max="13569" width="13" style="253" bestFit="1" customWidth="1"/>
    <col min="13570" max="13570" width="6.28515625" style="253" customWidth="1"/>
    <col min="13571" max="13571" width="7.5703125" style="253" customWidth="1"/>
    <col min="13572" max="13572" width="8" style="253" customWidth="1"/>
    <col min="13573" max="13573" width="10.7109375" style="253" customWidth="1"/>
    <col min="13574" max="13574" width="6.28515625" style="253" customWidth="1"/>
    <col min="13575" max="13575" width="7.5703125" style="253" customWidth="1"/>
    <col min="13576" max="13576" width="8.140625" style="253" customWidth="1"/>
    <col min="13577" max="13577" width="10.7109375" style="253" customWidth="1"/>
    <col min="13578" max="13578" width="6.28515625" style="253" customWidth="1"/>
    <col min="13579" max="13579" width="7.5703125" style="253" customWidth="1"/>
    <col min="13580" max="13580" width="8.140625" style="253" customWidth="1"/>
    <col min="13581" max="13581" width="10.7109375" style="253" customWidth="1"/>
    <col min="13582" max="13582" width="6.7109375" style="253" customWidth="1"/>
    <col min="13583" max="13583" width="7.5703125" style="253" customWidth="1"/>
    <col min="13584" max="13584" width="8.140625" style="253" customWidth="1"/>
    <col min="13585" max="13585" width="10.7109375" style="253" customWidth="1"/>
    <col min="13586" max="13586" width="6.7109375" style="253" customWidth="1"/>
    <col min="13587" max="13587" width="7.5703125" style="253" customWidth="1"/>
    <col min="13588" max="13588" width="8.140625" style="253" customWidth="1"/>
    <col min="13589" max="13589" width="10.7109375" style="253" customWidth="1"/>
    <col min="13590" max="13592" width="6.7109375" style="253" customWidth="1"/>
    <col min="13593" max="13593" width="11.42578125" style="253" customWidth="1"/>
    <col min="13594" max="13596" width="6.7109375" style="253" customWidth="1"/>
    <col min="13597" max="13597" width="11.42578125" style="253"/>
    <col min="13598" max="13598" width="1.5703125" style="253" customWidth="1"/>
    <col min="13599" max="13823" width="11.42578125" style="253"/>
    <col min="13824" max="13824" width="15.28515625" style="253" customWidth="1"/>
    <col min="13825" max="13825" width="13" style="253" bestFit="1" customWidth="1"/>
    <col min="13826" max="13826" width="6.28515625" style="253" customWidth="1"/>
    <col min="13827" max="13827" width="7.5703125" style="253" customWidth="1"/>
    <col min="13828" max="13828" width="8" style="253" customWidth="1"/>
    <col min="13829" max="13829" width="10.7109375" style="253" customWidth="1"/>
    <col min="13830" max="13830" width="6.28515625" style="253" customWidth="1"/>
    <col min="13831" max="13831" width="7.5703125" style="253" customWidth="1"/>
    <col min="13832" max="13832" width="8.140625" style="253" customWidth="1"/>
    <col min="13833" max="13833" width="10.7109375" style="253" customWidth="1"/>
    <col min="13834" max="13834" width="6.28515625" style="253" customWidth="1"/>
    <col min="13835" max="13835" width="7.5703125" style="253" customWidth="1"/>
    <col min="13836" max="13836" width="8.140625" style="253" customWidth="1"/>
    <col min="13837" max="13837" width="10.7109375" style="253" customWidth="1"/>
    <col min="13838" max="13838" width="6.7109375" style="253" customWidth="1"/>
    <col min="13839" max="13839" width="7.5703125" style="253" customWidth="1"/>
    <col min="13840" max="13840" width="8.140625" style="253" customWidth="1"/>
    <col min="13841" max="13841" width="10.7109375" style="253" customWidth="1"/>
    <col min="13842" max="13842" width="6.7109375" style="253" customWidth="1"/>
    <col min="13843" max="13843" width="7.5703125" style="253" customWidth="1"/>
    <col min="13844" max="13844" width="8.140625" style="253" customWidth="1"/>
    <col min="13845" max="13845" width="10.7109375" style="253" customWidth="1"/>
    <col min="13846" max="13848" width="6.7109375" style="253" customWidth="1"/>
    <col min="13849" max="13849" width="11.42578125" style="253" customWidth="1"/>
    <col min="13850" max="13852" width="6.7109375" style="253" customWidth="1"/>
    <col min="13853" max="13853" width="11.42578125" style="253"/>
    <col min="13854" max="13854" width="1.5703125" style="253" customWidth="1"/>
    <col min="13855" max="14079" width="11.42578125" style="253"/>
    <col min="14080" max="14080" width="15.28515625" style="253" customWidth="1"/>
    <col min="14081" max="14081" width="13" style="253" bestFit="1" customWidth="1"/>
    <col min="14082" max="14082" width="6.28515625" style="253" customWidth="1"/>
    <col min="14083" max="14083" width="7.5703125" style="253" customWidth="1"/>
    <col min="14084" max="14084" width="8" style="253" customWidth="1"/>
    <col min="14085" max="14085" width="10.7109375" style="253" customWidth="1"/>
    <col min="14086" max="14086" width="6.28515625" style="253" customWidth="1"/>
    <col min="14087" max="14087" width="7.5703125" style="253" customWidth="1"/>
    <col min="14088" max="14088" width="8.140625" style="253" customWidth="1"/>
    <col min="14089" max="14089" width="10.7109375" style="253" customWidth="1"/>
    <col min="14090" max="14090" width="6.28515625" style="253" customWidth="1"/>
    <col min="14091" max="14091" width="7.5703125" style="253" customWidth="1"/>
    <col min="14092" max="14092" width="8.140625" style="253" customWidth="1"/>
    <col min="14093" max="14093" width="10.7109375" style="253" customWidth="1"/>
    <col min="14094" max="14094" width="6.7109375" style="253" customWidth="1"/>
    <col min="14095" max="14095" width="7.5703125" style="253" customWidth="1"/>
    <col min="14096" max="14096" width="8.140625" style="253" customWidth="1"/>
    <col min="14097" max="14097" width="10.7109375" style="253" customWidth="1"/>
    <col min="14098" max="14098" width="6.7109375" style="253" customWidth="1"/>
    <col min="14099" max="14099" width="7.5703125" style="253" customWidth="1"/>
    <col min="14100" max="14100" width="8.140625" style="253" customWidth="1"/>
    <col min="14101" max="14101" width="10.7109375" style="253" customWidth="1"/>
    <col min="14102" max="14104" width="6.7109375" style="253" customWidth="1"/>
    <col min="14105" max="14105" width="11.42578125" style="253" customWidth="1"/>
    <col min="14106" max="14108" width="6.7109375" style="253" customWidth="1"/>
    <col min="14109" max="14109" width="11.42578125" style="253"/>
    <col min="14110" max="14110" width="1.5703125" style="253" customWidth="1"/>
    <col min="14111" max="14335" width="11.42578125" style="253"/>
    <col min="14336" max="14336" width="15.28515625" style="253" customWidth="1"/>
    <col min="14337" max="14337" width="13" style="253" bestFit="1" customWidth="1"/>
    <col min="14338" max="14338" width="6.28515625" style="253" customWidth="1"/>
    <col min="14339" max="14339" width="7.5703125" style="253" customWidth="1"/>
    <col min="14340" max="14340" width="8" style="253" customWidth="1"/>
    <col min="14341" max="14341" width="10.7109375" style="253" customWidth="1"/>
    <col min="14342" max="14342" width="6.28515625" style="253" customWidth="1"/>
    <col min="14343" max="14343" width="7.5703125" style="253" customWidth="1"/>
    <col min="14344" max="14344" width="8.140625" style="253" customWidth="1"/>
    <col min="14345" max="14345" width="10.7109375" style="253" customWidth="1"/>
    <col min="14346" max="14346" width="6.28515625" style="253" customWidth="1"/>
    <col min="14347" max="14347" width="7.5703125" style="253" customWidth="1"/>
    <col min="14348" max="14348" width="8.140625" style="253" customWidth="1"/>
    <col min="14349" max="14349" width="10.7109375" style="253" customWidth="1"/>
    <col min="14350" max="14350" width="6.7109375" style="253" customWidth="1"/>
    <col min="14351" max="14351" width="7.5703125" style="253" customWidth="1"/>
    <col min="14352" max="14352" width="8.140625" style="253" customWidth="1"/>
    <col min="14353" max="14353" width="10.7109375" style="253" customWidth="1"/>
    <col min="14354" max="14354" width="6.7109375" style="253" customWidth="1"/>
    <col min="14355" max="14355" width="7.5703125" style="253" customWidth="1"/>
    <col min="14356" max="14356" width="8.140625" style="253" customWidth="1"/>
    <col min="14357" max="14357" width="10.7109375" style="253" customWidth="1"/>
    <col min="14358" max="14360" width="6.7109375" style="253" customWidth="1"/>
    <col min="14361" max="14361" width="11.42578125" style="253" customWidth="1"/>
    <col min="14362" max="14364" width="6.7109375" style="253" customWidth="1"/>
    <col min="14365" max="14365" width="11.42578125" style="253"/>
    <col min="14366" max="14366" width="1.5703125" style="253" customWidth="1"/>
    <col min="14367" max="14591" width="11.42578125" style="253"/>
    <col min="14592" max="14592" width="15.28515625" style="253" customWidth="1"/>
    <col min="14593" max="14593" width="13" style="253" bestFit="1" customWidth="1"/>
    <col min="14594" max="14594" width="6.28515625" style="253" customWidth="1"/>
    <col min="14595" max="14595" width="7.5703125" style="253" customWidth="1"/>
    <col min="14596" max="14596" width="8" style="253" customWidth="1"/>
    <col min="14597" max="14597" width="10.7109375" style="253" customWidth="1"/>
    <col min="14598" max="14598" width="6.28515625" style="253" customWidth="1"/>
    <col min="14599" max="14599" width="7.5703125" style="253" customWidth="1"/>
    <col min="14600" max="14600" width="8.140625" style="253" customWidth="1"/>
    <col min="14601" max="14601" width="10.7109375" style="253" customWidth="1"/>
    <col min="14602" max="14602" width="6.28515625" style="253" customWidth="1"/>
    <col min="14603" max="14603" width="7.5703125" style="253" customWidth="1"/>
    <col min="14604" max="14604" width="8.140625" style="253" customWidth="1"/>
    <col min="14605" max="14605" width="10.7109375" style="253" customWidth="1"/>
    <col min="14606" max="14606" width="6.7109375" style="253" customWidth="1"/>
    <col min="14607" max="14607" width="7.5703125" style="253" customWidth="1"/>
    <col min="14608" max="14608" width="8.140625" style="253" customWidth="1"/>
    <col min="14609" max="14609" width="10.7109375" style="253" customWidth="1"/>
    <col min="14610" max="14610" width="6.7109375" style="253" customWidth="1"/>
    <col min="14611" max="14611" width="7.5703125" style="253" customWidth="1"/>
    <col min="14612" max="14612" width="8.140625" style="253" customWidth="1"/>
    <col min="14613" max="14613" width="10.7109375" style="253" customWidth="1"/>
    <col min="14614" max="14616" width="6.7109375" style="253" customWidth="1"/>
    <col min="14617" max="14617" width="11.42578125" style="253" customWidth="1"/>
    <col min="14618" max="14620" width="6.7109375" style="253" customWidth="1"/>
    <col min="14621" max="14621" width="11.42578125" style="253"/>
    <col min="14622" max="14622" width="1.5703125" style="253" customWidth="1"/>
    <col min="14623" max="14847" width="11.42578125" style="253"/>
    <col min="14848" max="14848" width="15.28515625" style="253" customWidth="1"/>
    <col min="14849" max="14849" width="13" style="253" bestFit="1" customWidth="1"/>
    <col min="14850" max="14850" width="6.28515625" style="253" customWidth="1"/>
    <col min="14851" max="14851" width="7.5703125" style="253" customWidth="1"/>
    <col min="14852" max="14852" width="8" style="253" customWidth="1"/>
    <col min="14853" max="14853" width="10.7109375" style="253" customWidth="1"/>
    <col min="14854" max="14854" width="6.28515625" style="253" customWidth="1"/>
    <col min="14855" max="14855" width="7.5703125" style="253" customWidth="1"/>
    <col min="14856" max="14856" width="8.140625" style="253" customWidth="1"/>
    <col min="14857" max="14857" width="10.7109375" style="253" customWidth="1"/>
    <col min="14858" max="14858" width="6.28515625" style="253" customWidth="1"/>
    <col min="14859" max="14859" width="7.5703125" style="253" customWidth="1"/>
    <col min="14860" max="14860" width="8.140625" style="253" customWidth="1"/>
    <col min="14861" max="14861" width="10.7109375" style="253" customWidth="1"/>
    <col min="14862" max="14862" width="6.7109375" style="253" customWidth="1"/>
    <col min="14863" max="14863" width="7.5703125" style="253" customWidth="1"/>
    <col min="14864" max="14864" width="8.140625" style="253" customWidth="1"/>
    <col min="14865" max="14865" width="10.7109375" style="253" customWidth="1"/>
    <col min="14866" max="14866" width="6.7109375" style="253" customWidth="1"/>
    <col min="14867" max="14867" width="7.5703125" style="253" customWidth="1"/>
    <col min="14868" max="14868" width="8.140625" style="253" customWidth="1"/>
    <col min="14869" max="14869" width="10.7109375" style="253" customWidth="1"/>
    <col min="14870" max="14872" width="6.7109375" style="253" customWidth="1"/>
    <col min="14873" max="14873" width="11.42578125" style="253" customWidth="1"/>
    <col min="14874" max="14876" width="6.7109375" style="253" customWidth="1"/>
    <col min="14877" max="14877" width="11.42578125" style="253"/>
    <col min="14878" max="14878" width="1.5703125" style="253" customWidth="1"/>
    <col min="14879" max="15103" width="11.42578125" style="253"/>
    <col min="15104" max="15104" width="15.28515625" style="253" customWidth="1"/>
    <col min="15105" max="15105" width="13" style="253" bestFit="1" customWidth="1"/>
    <col min="15106" max="15106" width="6.28515625" style="253" customWidth="1"/>
    <col min="15107" max="15107" width="7.5703125" style="253" customWidth="1"/>
    <col min="15108" max="15108" width="8" style="253" customWidth="1"/>
    <col min="15109" max="15109" width="10.7109375" style="253" customWidth="1"/>
    <col min="15110" max="15110" width="6.28515625" style="253" customWidth="1"/>
    <col min="15111" max="15111" width="7.5703125" style="253" customWidth="1"/>
    <col min="15112" max="15112" width="8.140625" style="253" customWidth="1"/>
    <col min="15113" max="15113" width="10.7109375" style="253" customWidth="1"/>
    <col min="15114" max="15114" width="6.28515625" style="253" customWidth="1"/>
    <col min="15115" max="15115" width="7.5703125" style="253" customWidth="1"/>
    <col min="15116" max="15116" width="8.140625" style="253" customWidth="1"/>
    <col min="15117" max="15117" width="10.7109375" style="253" customWidth="1"/>
    <col min="15118" max="15118" width="6.7109375" style="253" customWidth="1"/>
    <col min="15119" max="15119" width="7.5703125" style="253" customWidth="1"/>
    <col min="15120" max="15120" width="8.140625" style="253" customWidth="1"/>
    <col min="15121" max="15121" width="10.7109375" style="253" customWidth="1"/>
    <col min="15122" max="15122" width="6.7109375" style="253" customWidth="1"/>
    <col min="15123" max="15123" width="7.5703125" style="253" customWidth="1"/>
    <col min="15124" max="15124" width="8.140625" style="253" customWidth="1"/>
    <col min="15125" max="15125" width="10.7109375" style="253" customWidth="1"/>
    <col min="15126" max="15128" width="6.7109375" style="253" customWidth="1"/>
    <col min="15129" max="15129" width="11.42578125" style="253" customWidth="1"/>
    <col min="15130" max="15132" width="6.7109375" style="253" customWidth="1"/>
    <col min="15133" max="15133" width="11.42578125" style="253"/>
    <col min="15134" max="15134" width="1.5703125" style="253" customWidth="1"/>
    <col min="15135" max="15359" width="11.42578125" style="253"/>
    <col min="15360" max="15360" width="15.28515625" style="253" customWidth="1"/>
    <col min="15361" max="15361" width="13" style="253" bestFit="1" customWidth="1"/>
    <col min="15362" max="15362" width="6.28515625" style="253" customWidth="1"/>
    <col min="15363" max="15363" width="7.5703125" style="253" customWidth="1"/>
    <col min="15364" max="15364" width="8" style="253" customWidth="1"/>
    <col min="15365" max="15365" width="10.7109375" style="253" customWidth="1"/>
    <col min="15366" max="15366" width="6.28515625" style="253" customWidth="1"/>
    <col min="15367" max="15367" width="7.5703125" style="253" customWidth="1"/>
    <col min="15368" max="15368" width="8.140625" style="253" customWidth="1"/>
    <col min="15369" max="15369" width="10.7109375" style="253" customWidth="1"/>
    <col min="15370" max="15370" width="6.28515625" style="253" customWidth="1"/>
    <col min="15371" max="15371" width="7.5703125" style="253" customWidth="1"/>
    <col min="15372" max="15372" width="8.140625" style="253" customWidth="1"/>
    <col min="15373" max="15373" width="10.7109375" style="253" customWidth="1"/>
    <col min="15374" max="15374" width="6.7109375" style="253" customWidth="1"/>
    <col min="15375" max="15375" width="7.5703125" style="253" customWidth="1"/>
    <col min="15376" max="15376" width="8.140625" style="253" customWidth="1"/>
    <col min="15377" max="15377" width="10.7109375" style="253" customWidth="1"/>
    <col min="15378" max="15378" width="6.7109375" style="253" customWidth="1"/>
    <col min="15379" max="15379" width="7.5703125" style="253" customWidth="1"/>
    <col min="15380" max="15380" width="8.140625" style="253" customWidth="1"/>
    <col min="15381" max="15381" width="10.7109375" style="253" customWidth="1"/>
    <col min="15382" max="15384" width="6.7109375" style="253" customWidth="1"/>
    <col min="15385" max="15385" width="11.42578125" style="253" customWidth="1"/>
    <col min="15386" max="15388" width="6.7109375" style="253" customWidth="1"/>
    <col min="15389" max="15389" width="11.42578125" style="253"/>
    <col min="15390" max="15390" width="1.5703125" style="253" customWidth="1"/>
    <col min="15391" max="15615" width="11.42578125" style="253"/>
    <col min="15616" max="15616" width="15.28515625" style="253" customWidth="1"/>
    <col min="15617" max="15617" width="13" style="253" bestFit="1" customWidth="1"/>
    <col min="15618" max="15618" width="6.28515625" style="253" customWidth="1"/>
    <col min="15619" max="15619" width="7.5703125" style="253" customWidth="1"/>
    <col min="15620" max="15620" width="8" style="253" customWidth="1"/>
    <col min="15621" max="15621" width="10.7109375" style="253" customWidth="1"/>
    <col min="15622" max="15622" width="6.28515625" style="253" customWidth="1"/>
    <col min="15623" max="15623" width="7.5703125" style="253" customWidth="1"/>
    <col min="15624" max="15624" width="8.140625" style="253" customWidth="1"/>
    <col min="15625" max="15625" width="10.7109375" style="253" customWidth="1"/>
    <col min="15626" max="15626" width="6.28515625" style="253" customWidth="1"/>
    <col min="15627" max="15627" width="7.5703125" style="253" customWidth="1"/>
    <col min="15628" max="15628" width="8.140625" style="253" customWidth="1"/>
    <col min="15629" max="15629" width="10.7109375" style="253" customWidth="1"/>
    <col min="15630" max="15630" width="6.7109375" style="253" customWidth="1"/>
    <col min="15631" max="15631" width="7.5703125" style="253" customWidth="1"/>
    <col min="15632" max="15632" width="8.140625" style="253" customWidth="1"/>
    <col min="15633" max="15633" width="10.7109375" style="253" customWidth="1"/>
    <col min="15634" max="15634" width="6.7109375" style="253" customWidth="1"/>
    <col min="15635" max="15635" width="7.5703125" style="253" customWidth="1"/>
    <col min="15636" max="15636" width="8.140625" style="253" customWidth="1"/>
    <col min="15637" max="15637" width="10.7109375" style="253" customWidth="1"/>
    <col min="15638" max="15640" width="6.7109375" style="253" customWidth="1"/>
    <col min="15641" max="15641" width="11.42578125" style="253" customWidth="1"/>
    <col min="15642" max="15644" width="6.7109375" style="253" customWidth="1"/>
    <col min="15645" max="15645" width="11.42578125" style="253"/>
    <col min="15646" max="15646" width="1.5703125" style="253" customWidth="1"/>
    <col min="15647" max="15871" width="11.42578125" style="253"/>
    <col min="15872" max="15872" width="15.28515625" style="253" customWidth="1"/>
    <col min="15873" max="15873" width="13" style="253" bestFit="1" customWidth="1"/>
    <col min="15874" max="15874" width="6.28515625" style="253" customWidth="1"/>
    <col min="15875" max="15875" width="7.5703125" style="253" customWidth="1"/>
    <col min="15876" max="15876" width="8" style="253" customWidth="1"/>
    <col min="15877" max="15877" width="10.7109375" style="253" customWidth="1"/>
    <col min="15878" max="15878" width="6.28515625" style="253" customWidth="1"/>
    <col min="15879" max="15879" width="7.5703125" style="253" customWidth="1"/>
    <col min="15880" max="15880" width="8.140625" style="253" customWidth="1"/>
    <col min="15881" max="15881" width="10.7109375" style="253" customWidth="1"/>
    <col min="15882" max="15882" width="6.28515625" style="253" customWidth="1"/>
    <col min="15883" max="15883" width="7.5703125" style="253" customWidth="1"/>
    <col min="15884" max="15884" width="8.140625" style="253" customWidth="1"/>
    <col min="15885" max="15885" width="10.7109375" style="253" customWidth="1"/>
    <col min="15886" max="15886" width="6.7109375" style="253" customWidth="1"/>
    <col min="15887" max="15887" width="7.5703125" style="253" customWidth="1"/>
    <col min="15888" max="15888" width="8.140625" style="253" customWidth="1"/>
    <col min="15889" max="15889" width="10.7109375" style="253" customWidth="1"/>
    <col min="15890" max="15890" width="6.7109375" style="253" customWidth="1"/>
    <col min="15891" max="15891" width="7.5703125" style="253" customWidth="1"/>
    <col min="15892" max="15892" width="8.140625" style="253" customWidth="1"/>
    <col min="15893" max="15893" width="10.7109375" style="253" customWidth="1"/>
    <col min="15894" max="15896" width="6.7109375" style="253" customWidth="1"/>
    <col min="15897" max="15897" width="11.42578125" style="253" customWidth="1"/>
    <col min="15898" max="15900" width="6.7109375" style="253" customWidth="1"/>
    <col min="15901" max="15901" width="11.42578125" style="253"/>
    <col min="15902" max="15902" width="1.5703125" style="253" customWidth="1"/>
    <col min="15903" max="16127" width="11.42578125" style="253"/>
    <col min="16128" max="16128" width="15.28515625" style="253" customWidth="1"/>
    <col min="16129" max="16129" width="13" style="253" bestFit="1" customWidth="1"/>
    <col min="16130" max="16130" width="6.28515625" style="253" customWidth="1"/>
    <col min="16131" max="16131" width="7.5703125" style="253" customWidth="1"/>
    <col min="16132" max="16132" width="8" style="253" customWidth="1"/>
    <col min="16133" max="16133" width="10.7109375" style="253" customWidth="1"/>
    <col min="16134" max="16134" width="6.28515625" style="253" customWidth="1"/>
    <col min="16135" max="16135" width="7.5703125" style="253" customWidth="1"/>
    <col min="16136" max="16136" width="8.140625" style="253" customWidth="1"/>
    <col min="16137" max="16137" width="10.7109375" style="253" customWidth="1"/>
    <col min="16138" max="16138" width="6.28515625" style="253" customWidth="1"/>
    <col min="16139" max="16139" width="7.5703125" style="253" customWidth="1"/>
    <col min="16140" max="16140" width="8.140625" style="253" customWidth="1"/>
    <col min="16141" max="16141" width="10.7109375" style="253" customWidth="1"/>
    <col min="16142" max="16142" width="6.7109375" style="253" customWidth="1"/>
    <col min="16143" max="16143" width="7.5703125" style="253" customWidth="1"/>
    <col min="16144" max="16144" width="8.140625" style="253" customWidth="1"/>
    <col min="16145" max="16145" width="10.7109375" style="253" customWidth="1"/>
    <col min="16146" max="16146" width="6.7109375" style="253" customWidth="1"/>
    <col min="16147" max="16147" width="7.5703125" style="253" customWidth="1"/>
    <col min="16148" max="16148" width="8.140625" style="253" customWidth="1"/>
    <col min="16149" max="16149" width="10.7109375" style="253" customWidth="1"/>
    <col min="16150" max="16152" width="6.7109375" style="253" customWidth="1"/>
    <col min="16153" max="16153" width="11.42578125" style="253" customWidth="1"/>
    <col min="16154" max="16156" width="6.7109375" style="253" customWidth="1"/>
    <col min="16157" max="16157" width="11.42578125" style="253"/>
    <col min="16158" max="16158" width="1.5703125" style="253" customWidth="1"/>
    <col min="16159" max="16384" width="11.42578125" style="253"/>
  </cols>
  <sheetData>
    <row r="1" spans="1:61" ht="43.5" customHeight="1" x14ac:dyDescent="0.2">
      <c r="A1" s="3743" t="s">
        <v>1635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</row>
    <row r="2" spans="1:61" ht="11.25" customHeight="1" x14ac:dyDescent="0.2">
      <c r="C2" s="2204"/>
      <c r="D2" s="2204"/>
      <c r="E2" s="2204"/>
      <c r="F2" s="2204"/>
      <c r="G2" s="2204"/>
      <c r="H2" s="2204"/>
      <c r="I2" s="2204"/>
      <c r="J2" s="2204"/>
      <c r="K2" s="2204"/>
      <c r="L2" s="2204"/>
      <c r="M2" s="2204"/>
      <c r="N2" s="2204"/>
      <c r="O2" s="2204"/>
      <c r="P2" s="2204"/>
      <c r="Q2" s="2204"/>
      <c r="R2" s="2204"/>
      <c r="S2" s="1513"/>
      <c r="T2" s="1513"/>
      <c r="U2" s="1513"/>
      <c r="V2" s="1513"/>
      <c r="W2" s="1513"/>
      <c r="X2" s="1513"/>
      <c r="Y2" s="1513"/>
      <c r="Z2" s="1513"/>
      <c r="AA2" s="1513"/>
      <c r="AB2" s="1513"/>
      <c r="AC2" s="1513"/>
      <c r="AD2" s="1513"/>
      <c r="AE2" s="1513"/>
      <c r="AF2" s="1513"/>
      <c r="AG2" s="1513"/>
      <c r="AH2" s="1513"/>
      <c r="AI2" s="1513"/>
      <c r="AJ2" s="1513"/>
      <c r="AK2" s="1513"/>
      <c r="AL2" s="1513"/>
      <c r="AM2" s="1513"/>
      <c r="AN2" s="1513"/>
      <c r="AO2" s="1513"/>
      <c r="AP2" s="1513"/>
      <c r="AQ2" s="1513"/>
      <c r="AR2" s="1513"/>
      <c r="AS2" s="1513"/>
    </row>
    <row r="3" spans="1:61" x14ac:dyDescent="0.2">
      <c r="A3" s="7312" t="s">
        <v>164</v>
      </c>
      <c r="B3" s="7314" t="s">
        <v>158</v>
      </c>
      <c r="C3" s="7315"/>
      <c r="D3" s="7315"/>
      <c r="E3" s="7316"/>
      <c r="F3" s="7314">
        <v>2004</v>
      </c>
      <c r="G3" s="7315"/>
      <c r="H3" s="7315"/>
      <c r="I3" s="7316"/>
      <c r="J3" s="7314">
        <v>2005</v>
      </c>
      <c r="K3" s="7315"/>
      <c r="L3" s="7315"/>
      <c r="M3" s="7316"/>
      <c r="N3" s="7314">
        <v>2006</v>
      </c>
      <c r="O3" s="7315"/>
      <c r="P3" s="7315"/>
      <c r="Q3" s="7316"/>
      <c r="R3" s="7314">
        <v>2007</v>
      </c>
      <c r="S3" s="7315"/>
      <c r="T3" s="7315"/>
      <c r="U3" s="7316"/>
      <c r="V3" s="7314">
        <v>2008</v>
      </c>
      <c r="W3" s="7315"/>
      <c r="X3" s="7315"/>
      <c r="Y3" s="7316"/>
      <c r="Z3" s="7314">
        <v>2009</v>
      </c>
      <c r="AA3" s="7315"/>
      <c r="AB3" s="7315"/>
      <c r="AC3" s="7316"/>
      <c r="AD3" s="7314">
        <v>2010</v>
      </c>
      <c r="AE3" s="7315"/>
      <c r="AF3" s="7315"/>
      <c r="AG3" s="7316"/>
      <c r="AH3" s="7314">
        <v>2011</v>
      </c>
      <c r="AI3" s="7315"/>
      <c r="AJ3" s="7315"/>
      <c r="AK3" s="7316"/>
      <c r="AL3" s="7314">
        <v>2012</v>
      </c>
      <c r="AM3" s="7315"/>
      <c r="AN3" s="7315"/>
      <c r="AO3" s="7316"/>
      <c r="AP3" s="7314">
        <v>2013</v>
      </c>
      <c r="AQ3" s="7315"/>
      <c r="AR3" s="7315"/>
      <c r="AS3" s="7316"/>
      <c r="AT3" s="7314">
        <v>2014</v>
      </c>
      <c r="AU3" s="7315"/>
      <c r="AV3" s="7315"/>
      <c r="AW3" s="7316"/>
      <c r="AX3" s="7314">
        <v>2015</v>
      </c>
      <c r="AY3" s="7315"/>
      <c r="AZ3" s="7315"/>
      <c r="BA3" s="7316"/>
      <c r="BB3" s="7314">
        <v>2016</v>
      </c>
      <c r="BC3" s="7315"/>
      <c r="BD3" s="7315"/>
      <c r="BE3" s="7316"/>
      <c r="BF3" s="7314">
        <v>2017</v>
      </c>
      <c r="BG3" s="7315"/>
      <c r="BH3" s="7315"/>
      <c r="BI3" s="7316"/>
    </row>
    <row r="4" spans="1:61" x14ac:dyDescent="0.2">
      <c r="A4" s="7313"/>
      <c r="B4" s="1816" t="s">
        <v>52</v>
      </c>
      <c r="C4" s="1817" t="s">
        <v>53</v>
      </c>
      <c r="D4" s="1818" t="s">
        <v>54</v>
      </c>
      <c r="E4" s="1795" t="s">
        <v>160</v>
      </c>
      <c r="F4" s="1816" t="s">
        <v>52</v>
      </c>
      <c r="G4" s="1817" t="s">
        <v>53</v>
      </c>
      <c r="H4" s="1818" t="s">
        <v>54</v>
      </c>
      <c r="I4" s="1795" t="s">
        <v>160</v>
      </c>
      <c r="J4" s="1816" t="s">
        <v>52</v>
      </c>
      <c r="K4" s="1817" t="s">
        <v>53</v>
      </c>
      <c r="L4" s="1818" t="s">
        <v>54</v>
      </c>
      <c r="M4" s="1795" t="s">
        <v>160</v>
      </c>
      <c r="N4" s="1816" t="s">
        <v>52</v>
      </c>
      <c r="O4" s="1817" t="s">
        <v>53</v>
      </c>
      <c r="P4" s="1818" t="s">
        <v>54</v>
      </c>
      <c r="Q4" s="1795" t="s">
        <v>160</v>
      </c>
      <c r="R4" s="1816" t="s">
        <v>52</v>
      </c>
      <c r="S4" s="1817" t="s">
        <v>53</v>
      </c>
      <c r="T4" s="1818" t="s">
        <v>54</v>
      </c>
      <c r="U4" s="1795" t="s">
        <v>160</v>
      </c>
      <c r="V4" s="1816" t="s">
        <v>52</v>
      </c>
      <c r="W4" s="1817" t="s">
        <v>53</v>
      </c>
      <c r="X4" s="1818" t="s">
        <v>54</v>
      </c>
      <c r="Y4" s="1795" t="s">
        <v>160</v>
      </c>
      <c r="Z4" s="1816" t="s">
        <v>52</v>
      </c>
      <c r="AA4" s="1817" t="s">
        <v>53</v>
      </c>
      <c r="AB4" s="1818" t="s">
        <v>54</v>
      </c>
      <c r="AC4" s="1795" t="s">
        <v>160</v>
      </c>
      <c r="AD4" s="1816" t="s">
        <v>52</v>
      </c>
      <c r="AE4" s="1817" t="s">
        <v>53</v>
      </c>
      <c r="AF4" s="1818" t="s">
        <v>54</v>
      </c>
      <c r="AG4" s="1795" t="s">
        <v>160</v>
      </c>
      <c r="AH4" s="1816" t="s">
        <v>52</v>
      </c>
      <c r="AI4" s="1817" t="s">
        <v>53</v>
      </c>
      <c r="AJ4" s="1818" t="s">
        <v>54</v>
      </c>
      <c r="AK4" s="1795" t="s">
        <v>160</v>
      </c>
      <c r="AL4" s="1816" t="s">
        <v>52</v>
      </c>
      <c r="AM4" s="1817" t="s">
        <v>53</v>
      </c>
      <c r="AN4" s="1818" t="s">
        <v>54</v>
      </c>
      <c r="AO4" s="1795" t="s">
        <v>160</v>
      </c>
      <c r="AP4" s="1816" t="s">
        <v>52</v>
      </c>
      <c r="AQ4" s="1817" t="s">
        <v>53</v>
      </c>
      <c r="AR4" s="1818" t="s">
        <v>54</v>
      </c>
      <c r="AS4" s="1795" t="s">
        <v>160</v>
      </c>
      <c r="AT4" s="1816" t="s">
        <v>52</v>
      </c>
      <c r="AU4" s="1817" t="s">
        <v>53</v>
      </c>
      <c r="AV4" s="1818" t="s">
        <v>54</v>
      </c>
      <c r="AW4" s="1795" t="s">
        <v>160</v>
      </c>
      <c r="AX4" s="1816" t="s">
        <v>52</v>
      </c>
      <c r="AY4" s="1817" t="s">
        <v>53</v>
      </c>
      <c r="AZ4" s="1818" t="s">
        <v>54</v>
      </c>
      <c r="BA4" s="1795" t="s">
        <v>160</v>
      </c>
      <c r="BB4" s="1816" t="s">
        <v>52</v>
      </c>
      <c r="BC4" s="1817" t="s">
        <v>53</v>
      </c>
      <c r="BD4" s="1818" t="s">
        <v>54</v>
      </c>
      <c r="BE4" s="1795" t="s">
        <v>160</v>
      </c>
      <c r="BF4" s="1816" t="s">
        <v>52</v>
      </c>
      <c r="BG4" s="1817" t="s">
        <v>53</v>
      </c>
      <c r="BH4" s="1818" t="s">
        <v>54</v>
      </c>
      <c r="BI4" s="1795" t="s">
        <v>160</v>
      </c>
    </row>
    <row r="5" spans="1:61" x14ac:dyDescent="0.2">
      <c r="A5" s="1796"/>
      <c r="B5" s="1797"/>
      <c r="C5" s="1797"/>
      <c r="D5" s="1797"/>
      <c r="E5" s="1797"/>
      <c r="F5" s="1797"/>
      <c r="G5" s="1797"/>
      <c r="H5" s="1797"/>
      <c r="I5" s="1797"/>
      <c r="J5" s="1797"/>
      <c r="K5" s="1797"/>
      <c r="L5" s="1797"/>
      <c r="M5" s="1797"/>
      <c r="N5" s="1797"/>
      <c r="O5" s="1797"/>
      <c r="P5" s="1797"/>
      <c r="Q5" s="1797"/>
      <c r="R5" s="1797"/>
      <c r="S5" s="1797"/>
      <c r="T5" s="1797"/>
      <c r="U5" s="1797"/>
      <c r="V5" s="1797"/>
      <c r="W5" s="1797"/>
      <c r="X5" s="1797"/>
      <c r="Y5" s="1797"/>
      <c r="Z5" s="1797"/>
      <c r="AA5" s="1797"/>
      <c r="AB5" s="1797"/>
      <c r="AC5" s="1797"/>
      <c r="AD5" s="1797"/>
      <c r="AE5" s="1797"/>
      <c r="AF5" s="1797"/>
      <c r="AG5" s="1797"/>
      <c r="AH5" s="1797"/>
      <c r="AI5" s="1797"/>
      <c r="AJ5" s="1797"/>
      <c r="AK5" s="1797"/>
      <c r="AL5" s="1797"/>
      <c r="AM5" s="1797"/>
      <c r="AN5" s="1797"/>
      <c r="AO5" s="1797"/>
      <c r="AP5" s="1797"/>
      <c r="AQ5" s="1797"/>
      <c r="AR5" s="1797"/>
      <c r="AS5" s="1797"/>
      <c r="AT5" s="1797"/>
      <c r="AU5" s="1797"/>
      <c r="AV5" s="1797"/>
      <c r="AW5" s="1797"/>
      <c r="AX5" s="1797"/>
      <c r="AY5" s="1797"/>
      <c r="AZ5" s="1797"/>
      <c r="BA5" s="1797"/>
      <c r="BB5" s="1797"/>
      <c r="BC5" s="1797"/>
      <c r="BD5" s="1797"/>
      <c r="BE5" s="1797"/>
      <c r="BF5" s="1797"/>
      <c r="BG5" s="1797"/>
      <c r="BH5" s="1797"/>
      <c r="BI5" s="1797"/>
    </row>
    <row r="6" spans="1:61" ht="15" customHeight="1" x14ac:dyDescent="0.2">
      <c r="A6" s="1789" t="s">
        <v>5</v>
      </c>
      <c r="B6" s="1798"/>
      <c r="C6" s="1799"/>
      <c r="D6" s="1800"/>
      <c r="E6" s="1801"/>
      <c r="F6" s="1798"/>
      <c r="G6" s="1800">
        <v>6</v>
      </c>
      <c r="H6" s="1800">
        <v>30</v>
      </c>
      <c r="I6" s="1801">
        <v>36</v>
      </c>
      <c r="J6" s="1798"/>
      <c r="K6" s="1800">
        <v>7</v>
      </c>
      <c r="L6" s="1800">
        <v>32</v>
      </c>
      <c r="M6" s="1801">
        <v>39</v>
      </c>
      <c r="N6" s="1798">
        <v>1</v>
      </c>
      <c r="O6" s="1800">
        <v>10</v>
      </c>
      <c r="P6" s="1800">
        <v>30</v>
      </c>
      <c r="Q6" s="1801">
        <v>41</v>
      </c>
      <c r="R6" s="1798">
        <v>1</v>
      </c>
      <c r="S6" s="1800">
        <v>14</v>
      </c>
      <c r="T6" s="1800">
        <v>25</v>
      </c>
      <c r="U6" s="1801">
        <v>40</v>
      </c>
      <c r="V6" s="1798">
        <v>2</v>
      </c>
      <c r="W6" s="1800">
        <v>13</v>
      </c>
      <c r="X6" s="1800">
        <v>25</v>
      </c>
      <c r="Y6" s="1801">
        <v>40</v>
      </c>
      <c r="Z6" s="1798">
        <v>4</v>
      </c>
      <c r="AA6" s="1800">
        <v>13</v>
      </c>
      <c r="AB6" s="1800">
        <v>22</v>
      </c>
      <c r="AC6" s="1801">
        <v>39</v>
      </c>
      <c r="AD6" s="1798">
        <v>6</v>
      </c>
      <c r="AE6" s="1800">
        <v>12</v>
      </c>
      <c r="AF6" s="1800">
        <v>12</v>
      </c>
      <c r="AG6" s="1801">
        <f>SUM(AD6:AF6)</f>
        <v>30</v>
      </c>
      <c r="AH6" s="1798">
        <v>8</v>
      </c>
      <c r="AI6" s="1800">
        <v>9</v>
      </c>
      <c r="AJ6" s="1800">
        <v>10</v>
      </c>
      <c r="AK6" s="1801">
        <f>SUM(AH6:AJ6)</f>
        <v>27</v>
      </c>
      <c r="AL6" s="1798">
        <v>8</v>
      </c>
      <c r="AM6" s="1800">
        <v>11</v>
      </c>
      <c r="AN6" s="1800">
        <v>9</v>
      </c>
      <c r="AO6" s="1801">
        <f>SUM(AL6:AN6)</f>
        <v>28</v>
      </c>
      <c r="AP6" s="1798">
        <v>8</v>
      </c>
      <c r="AQ6" s="1800">
        <v>11</v>
      </c>
      <c r="AR6" s="1800">
        <v>9</v>
      </c>
      <c r="AS6" s="1801">
        <f t="shared" ref="AS6:AS13" si="0">SUM(AP6:AR6)</f>
        <v>28</v>
      </c>
      <c r="AT6" s="1798">
        <v>8</v>
      </c>
      <c r="AU6" s="1800">
        <v>10</v>
      </c>
      <c r="AV6" s="1800">
        <v>8</v>
      </c>
      <c r="AW6" s="1801">
        <f>SUM(AT6:AV6)</f>
        <v>26</v>
      </c>
      <c r="AX6" s="1798">
        <v>11</v>
      </c>
      <c r="AY6" s="1800">
        <v>4</v>
      </c>
      <c r="AZ6" s="1800">
        <v>12</v>
      </c>
      <c r="BA6" s="1801">
        <f>SUM(AX6:AZ6)</f>
        <v>27</v>
      </c>
      <c r="BB6" s="1798">
        <v>11</v>
      </c>
      <c r="BC6" s="1800">
        <v>3</v>
      </c>
      <c r="BD6" s="1800">
        <v>13</v>
      </c>
      <c r="BE6" s="1801">
        <f>SUM(BB6:BD6)</f>
        <v>27</v>
      </c>
      <c r="BF6" s="1798">
        <v>10</v>
      </c>
      <c r="BG6" s="1800">
        <v>4</v>
      </c>
      <c r="BH6" s="1800">
        <v>14</v>
      </c>
      <c r="BI6" s="1801">
        <f>SUM(BF6:BH6)</f>
        <v>28</v>
      </c>
    </row>
    <row r="7" spans="1:61" ht="15" customHeight="1" x14ac:dyDescent="0.2">
      <c r="A7" s="1790" t="s">
        <v>6</v>
      </c>
      <c r="B7" s="1802"/>
      <c r="C7" s="1803"/>
      <c r="D7" s="1803"/>
      <c r="E7" s="1804"/>
      <c r="F7" s="1802"/>
      <c r="G7" s="1803">
        <v>2</v>
      </c>
      <c r="H7" s="1803">
        <v>28</v>
      </c>
      <c r="I7" s="1804">
        <v>30</v>
      </c>
      <c r="J7" s="1802"/>
      <c r="K7" s="1803">
        <v>2</v>
      </c>
      <c r="L7" s="1803">
        <v>31</v>
      </c>
      <c r="M7" s="1804">
        <v>33</v>
      </c>
      <c r="N7" s="1802">
        <v>3</v>
      </c>
      <c r="O7" s="1803">
        <v>7</v>
      </c>
      <c r="P7" s="1803">
        <v>27</v>
      </c>
      <c r="Q7" s="1804">
        <v>37</v>
      </c>
      <c r="R7" s="1802">
        <v>4</v>
      </c>
      <c r="S7" s="1803">
        <v>11</v>
      </c>
      <c r="T7" s="1803">
        <v>28</v>
      </c>
      <c r="U7" s="1804">
        <v>43</v>
      </c>
      <c r="V7" s="1802">
        <v>4</v>
      </c>
      <c r="W7" s="1803">
        <v>11</v>
      </c>
      <c r="X7" s="1803">
        <v>28</v>
      </c>
      <c r="Y7" s="1804">
        <v>43</v>
      </c>
      <c r="Z7" s="1802">
        <v>4</v>
      </c>
      <c r="AA7" s="1803">
        <v>16</v>
      </c>
      <c r="AB7" s="1803">
        <v>22</v>
      </c>
      <c r="AC7" s="1804">
        <v>42</v>
      </c>
      <c r="AD7" s="1802">
        <v>6</v>
      </c>
      <c r="AE7" s="1803">
        <v>16</v>
      </c>
      <c r="AF7" s="1803">
        <v>12</v>
      </c>
      <c r="AG7" s="1804">
        <f>SUM(AD7:AF7)</f>
        <v>34</v>
      </c>
      <c r="AH7" s="1802">
        <v>6</v>
      </c>
      <c r="AI7" s="1803">
        <v>17</v>
      </c>
      <c r="AJ7" s="1803">
        <v>11</v>
      </c>
      <c r="AK7" s="1804">
        <f>SUM(AH7:AJ7)</f>
        <v>34</v>
      </c>
      <c r="AL7" s="1802">
        <v>6</v>
      </c>
      <c r="AM7" s="1803">
        <v>15</v>
      </c>
      <c r="AN7" s="1803">
        <v>9</v>
      </c>
      <c r="AO7" s="1804">
        <f>SUM(AL7:AN7)</f>
        <v>30</v>
      </c>
      <c r="AP7" s="1802">
        <v>6</v>
      </c>
      <c r="AQ7" s="1803">
        <v>15</v>
      </c>
      <c r="AR7" s="1803">
        <v>10</v>
      </c>
      <c r="AS7" s="1804">
        <f t="shared" si="0"/>
        <v>31</v>
      </c>
      <c r="AT7" s="1802">
        <v>7</v>
      </c>
      <c r="AU7" s="1803">
        <v>11</v>
      </c>
      <c r="AV7" s="1803">
        <v>12</v>
      </c>
      <c r="AW7" s="1804">
        <f>SUM(AT7:AV7)</f>
        <v>30</v>
      </c>
      <c r="AX7" s="1802">
        <v>7</v>
      </c>
      <c r="AY7" s="1803">
        <v>10</v>
      </c>
      <c r="AZ7" s="1803">
        <v>13</v>
      </c>
      <c r="BA7" s="1804">
        <f>SUM(AX7:AZ7)</f>
        <v>30</v>
      </c>
      <c r="BB7" s="1802">
        <v>8</v>
      </c>
      <c r="BC7" s="1803">
        <v>10</v>
      </c>
      <c r="BD7" s="1803">
        <v>8</v>
      </c>
      <c r="BE7" s="1804">
        <f>SUM(BB7:BD7)</f>
        <v>26</v>
      </c>
      <c r="BF7" s="1802">
        <v>10</v>
      </c>
      <c r="BG7" s="1803">
        <v>8</v>
      </c>
      <c r="BH7" s="1803">
        <v>6</v>
      </c>
      <c r="BI7" s="1804">
        <f>SUM(BF7:BH7)</f>
        <v>24</v>
      </c>
    </row>
    <row r="8" spans="1:61" ht="15" customHeight="1" x14ac:dyDescent="0.2">
      <c r="A8" s="1791" t="s">
        <v>7</v>
      </c>
      <c r="B8" s="1805"/>
      <c r="C8" s="1806"/>
      <c r="D8" s="1806"/>
      <c r="E8" s="1807"/>
      <c r="F8" s="1805"/>
      <c r="G8" s="1806">
        <v>1</v>
      </c>
      <c r="H8" s="1806">
        <v>16</v>
      </c>
      <c r="I8" s="1807">
        <v>17</v>
      </c>
      <c r="J8" s="1805"/>
      <c r="K8" s="1806">
        <v>1</v>
      </c>
      <c r="L8" s="1806">
        <v>17</v>
      </c>
      <c r="M8" s="1807">
        <v>18</v>
      </c>
      <c r="N8" s="1805"/>
      <c r="O8" s="1806">
        <v>4</v>
      </c>
      <c r="P8" s="1806">
        <v>15</v>
      </c>
      <c r="Q8" s="1807">
        <v>19</v>
      </c>
      <c r="R8" s="1805">
        <v>1</v>
      </c>
      <c r="S8" s="1806">
        <v>3</v>
      </c>
      <c r="T8" s="1806">
        <v>14</v>
      </c>
      <c r="U8" s="1807">
        <v>18</v>
      </c>
      <c r="V8" s="1805">
        <v>1</v>
      </c>
      <c r="W8" s="1806">
        <v>3</v>
      </c>
      <c r="X8" s="1806">
        <v>14</v>
      </c>
      <c r="Y8" s="1807">
        <v>18</v>
      </c>
      <c r="Z8" s="1805">
        <v>1</v>
      </c>
      <c r="AA8" s="1806">
        <v>3</v>
      </c>
      <c r="AB8" s="1806">
        <v>14</v>
      </c>
      <c r="AC8" s="1807">
        <v>18</v>
      </c>
      <c r="AD8" s="1805">
        <v>1</v>
      </c>
      <c r="AE8" s="1806">
        <v>4</v>
      </c>
      <c r="AF8" s="1806">
        <v>12</v>
      </c>
      <c r="AG8" s="1807">
        <f>SUM(AD8:AF8)</f>
        <v>17</v>
      </c>
      <c r="AH8" s="1805">
        <v>1</v>
      </c>
      <c r="AI8" s="1806">
        <v>3</v>
      </c>
      <c r="AJ8" s="1806">
        <v>15</v>
      </c>
      <c r="AK8" s="1807">
        <f>SUM(AH8:AJ8)</f>
        <v>19</v>
      </c>
      <c r="AL8" s="1805">
        <v>1</v>
      </c>
      <c r="AM8" s="1806">
        <v>3</v>
      </c>
      <c r="AN8" s="1806">
        <v>16</v>
      </c>
      <c r="AO8" s="1807">
        <f>SUM(AL8:AN8)</f>
        <v>20</v>
      </c>
      <c r="AP8" s="1805">
        <v>1</v>
      </c>
      <c r="AQ8" s="1806">
        <v>3</v>
      </c>
      <c r="AR8" s="1806">
        <v>16</v>
      </c>
      <c r="AS8" s="1807">
        <f t="shared" si="0"/>
        <v>20</v>
      </c>
      <c r="AT8" s="1805">
        <v>1</v>
      </c>
      <c r="AU8" s="1806">
        <v>3</v>
      </c>
      <c r="AV8" s="1806">
        <v>16</v>
      </c>
      <c r="AW8" s="1807">
        <f>SUM(AT8:AV8)</f>
        <v>20</v>
      </c>
      <c r="AX8" s="1805">
        <v>1</v>
      </c>
      <c r="AY8" s="1806">
        <v>6</v>
      </c>
      <c r="AZ8" s="1806">
        <v>19</v>
      </c>
      <c r="BA8" s="1807">
        <f>SUM(AX8:AZ8)</f>
        <v>26</v>
      </c>
      <c r="BB8" s="1805">
        <v>1</v>
      </c>
      <c r="BC8" s="1806">
        <v>7</v>
      </c>
      <c r="BD8" s="1806">
        <v>17</v>
      </c>
      <c r="BE8" s="1807">
        <f>SUM(BB8:BD8)</f>
        <v>25</v>
      </c>
      <c r="BF8" s="1805">
        <v>2</v>
      </c>
      <c r="BG8" s="1806">
        <v>5</v>
      </c>
      <c r="BH8" s="1806">
        <v>16</v>
      </c>
      <c r="BI8" s="1807">
        <f>SUM(BF8:BH8)</f>
        <v>23</v>
      </c>
    </row>
    <row r="9" spans="1:61" ht="15" customHeight="1" x14ac:dyDescent="0.2">
      <c r="A9" s="3739" t="s">
        <v>161</v>
      </c>
      <c r="B9" s="2171">
        <v>0</v>
      </c>
      <c r="C9" s="2172">
        <v>5</v>
      </c>
      <c r="D9" s="2172">
        <v>62</v>
      </c>
      <c r="E9" s="2173">
        <v>67</v>
      </c>
      <c r="F9" s="2171">
        <v>0</v>
      </c>
      <c r="G9" s="2172">
        <v>9</v>
      </c>
      <c r="H9" s="2172">
        <v>74</v>
      </c>
      <c r="I9" s="2173">
        <v>83</v>
      </c>
      <c r="J9" s="2171">
        <v>0</v>
      </c>
      <c r="K9" s="2172">
        <v>10</v>
      </c>
      <c r="L9" s="2172">
        <v>80</v>
      </c>
      <c r="M9" s="2173">
        <v>90</v>
      </c>
      <c r="N9" s="2171">
        <v>4</v>
      </c>
      <c r="O9" s="2172">
        <v>21</v>
      </c>
      <c r="P9" s="2172">
        <v>72</v>
      </c>
      <c r="Q9" s="2173">
        <v>97</v>
      </c>
      <c r="R9" s="2171">
        <v>6</v>
      </c>
      <c r="S9" s="2172">
        <v>28</v>
      </c>
      <c r="T9" s="2172">
        <v>67</v>
      </c>
      <c r="U9" s="2173">
        <v>101</v>
      </c>
      <c r="V9" s="2171">
        <v>7</v>
      </c>
      <c r="W9" s="2172">
        <v>27</v>
      </c>
      <c r="X9" s="2172">
        <v>67</v>
      </c>
      <c r="Y9" s="2173">
        <v>101</v>
      </c>
      <c r="Z9" s="2171">
        <v>9</v>
      </c>
      <c r="AA9" s="2172">
        <v>32</v>
      </c>
      <c r="AB9" s="2172">
        <v>58</v>
      </c>
      <c r="AC9" s="2173">
        <v>99</v>
      </c>
      <c r="AD9" s="2171">
        <f>SUM(AD6:AD8)</f>
        <v>13</v>
      </c>
      <c r="AE9" s="2172">
        <f>SUM(AE6:AE8)</f>
        <v>32</v>
      </c>
      <c r="AF9" s="2172">
        <f>SUM(AF6:AF8)</f>
        <v>36</v>
      </c>
      <c r="AG9" s="2173">
        <f>SUM(AD9:AF9)</f>
        <v>81</v>
      </c>
      <c r="AH9" s="2171">
        <f>SUM(AH6:AH8)</f>
        <v>15</v>
      </c>
      <c r="AI9" s="2172">
        <f>SUM(AI6:AI8)</f>
        <v>29</v>
      </c>
      <c r="AJ9" s="2172">
        <f>SUM(AJ6:AJ8)</f>
        <v>36</v>
      </c>
      <c r="AK9" s="2173">
        <f>SUM(AH9:AJ9)</f>
        <v>80</v>
      </c>
      <c r="AL9" s="2171">
        <f>SUM(AL6:AL8)</f>
        <v>15</v>
      </c>
      <c r="AM9" s="2172">
        <f>SUM(AM6:AM8)</f>
        <v>29</v>
      </c>
      <c r="AN9" s="2172">
        <f>SUM(AN6:AN8)</f>
        <v>34</v>
      </c>
      <c r="AO9" s="2173">
        <f>SUM(AL9:AN9)</f>
        <v>78</v>
      </c>
      <c r="AP9" s="2171">
        <f>SUM(AP6:AP8)</f>
        <v>15</v>
      </c>
      <c r="AQ9" s="2172">
        <f>SUM(AQ6:AQ8)</f>
        <v>29</v>
      </c>
      <c r="AR9" s="2172">
        <f>SUM(AR6:AR8)</f>
        <v>35</v>
      </c>
      <c r="AS9" s="2173">
        <f t="shared" si="0"/>
        <v>79</v>
      </c>
      <c r="AT9" s="2171">
        <f>SUM(AT6:AT8)</f>
        <v>16</v>
      </c>
      <c r="AU9" s="2172">
        <f>SUM(AU6:AU8)</f>
        <v>24</v>
      </c>
      <c r="AV9" s="2172">
        <f>SUM(AV6:AV8)</f>
        <v>36</v>
      </c>
      <c r="AW9" s="2173">
        <f>SUM(AT9:AV9)</f>
        <v>76</v>
      </c>
      <c r="AX9" s="2171">
        <f>SUM(AX6:AX8)</f>
        <v>19</v>
      </c>
      <c r="AY9" s="2172">
        <f>SUM(AY6:AY8)</f>
        <v>20</v>
      </c>
      <c r="AZ9" s="2172">
        <f>SUM(AZ6:AZ8)</f>
        <v>44</v>
      </c>
      <c r="BA9" s="2173">
        <f>SUM(AX9:AZ9)</f>
        <v>83</v>
      </c>
      <c r="BB9" s="2171">
        <f>SUM(BB6:BB8)</f>
        <v>20</v>
      </c>
      <c r="BC9" s="2172">
        <f>SUM(BC6:BC8)</f>
        <v>20</v>
      </c>
      <c r="BD9" s="2172">
        <f>SUM(BD6:BD8)</f>
        <v>38</v>
      </c>
      <c r="BE9" s="2173">
        <f>SUM(BB9:BD9)</f>
        <v>78</v>
      </c>
      <c r="BF9" s="2171">
        <f>SUM(BF6:BF8)</f>
        <v>22</v>
      </c>
      <c r="BG9" s="2172">
        <f>SUM(BG6:BG8)</f>
        <v>17</v>
      </c>
      <c r="BH9" s="2172">
        <f>SUM(BH6:BH8)</f>
        <v>36</v>
      </c>
      <c r="BI9" s="2173">
        <f>SUM(BF9:BH9)</f>
        <v>75</v>
      </c>
    </row>
    <row r="10" spans="1:61" ht="15" customHeight="1" x14ac:dyDescent="0.2">
      <c r="A10" s="249"/>
      <c r="B10" s="1797"/>
      <c r="C10" s="1797"/>
      <c r="D10" s="1797"/>
      <c r="E10" s="1797"/>
      <c r="F10" s="1797"/>
      <c r="G10" s="1797"/>
      <c r="H10" s="1797"/>
      <c r="I10" s="1797"/>
      <c r="J10" s="1797"/>
      <c r="K10" s="1797"/>
      <c r="L10" s="1797"/>
      <c r="M10" s="1797"/>
      <c r="N10" s="1797"/>
      <c r="O10" s="1797"/>
      <c r="P10" s="1797"/>
      <c r="Q10" s="1797"/>
      <c r="R10" s="1797"/>
      <c r="S10" s="1797"/>
      <c r="T10" s="1797"/>
      <c r="U10" s="1797"/>
      <c r="V10" s="1797"/>
      <c r="W10" s="1797"/>
      <c r="X10" s="1797"/>
      <c r="Y10" s="1797"/>
      <c r="Z10" s="1797"/>
      <c r="AA10" s="1797"/>
      <c r="AB10" s="1797"/>
      <c r="AC10" s="1797"/>
      <c r="AD10" s="1797"/>
      <c r="AE10" s="1797"/>
      <c r="AF10" s="1797"/>
      <c r="AG10" s="1797"/>
      <c r="AH10" s="1797"/>
      <c r="AI10" s="1797"/>
      <c r="AJ10" s="1797"/>
      <c r="AK10" s="1797"/>
      <c r="AL10" s="1797"/>
      <c r="AM10" s="1797"/>
      <c r="AN10" s="1797"/>
      <c r="AO10" s="1797"/>
      <c r="AP10" s="1797"/>
      <c r="AQ10" s="1797"/>
      <c r="AR10" s="1797"/>
      <c r="AS10" s="1797"/>
      <c r="AT10" s="1797"/>
      <c r="AU10" s="1797"/>
      <c r="AV10" s="1797"/>
      <c r="AW10" s="1797"/>
      <c r="AX10" s="1797"/>
      <c r="AY10" s="1797"/>
      <c r="AZ10" s="1797"/>
      <c r="BA10" s="1797"/>
      <c r="BB10" s="1797"/>
      <c r="BC10" s="1797"/>
      <c r="BD10" s="1797"/>
      <c r="BE10" s="1797"/>
      <c r="BF10" s="1797"/>
      <c r="BG10" s="1797"/>
      <c r="BH10" s="1797"/>
      <c r="BI10" s="1797"/>
    </row>
    <row r="11" spans="1:61" ht="15" customHeight="1" x14ac:dyDescent="0.2">
      <c r="A11" s="1789" t="s">
        <v>6</v>
      </c>
      <c r="B11" s="1798"/>
      <c r="C11" s="1799"/>
      <c r="D11" s="1800"/>
      <c r="E11" s="1801"/>
      <c r="F11" s="1798"/>
      <c r="G11" s="1800"/>
      <c r="H11" s="1800"/>
      <c r="I11" s="1801"/>
      <c r="J11" s="1798"/>
      <c r="K11" s="1800"/>
      <c r="L11" s="1800"/>
      <c r="M11" s="1801"/>
      <c r="N11" s="1798"/>
      <c r="O11" s="1800"/>
      <c r="P11" s="1800">
        <v>3</v>
      </c>
      <c r="Q11" s="1801">
        <v>3</v>
      </c>
      <c r="R11" s="1798"/>
      <c r="S11" s="1800"/>
      <c r="T11" s="1800">
        <v>5</v>
      </c>
      <c r="U11" s="1801">
        <v>5</v>
      </c>
      <c r="V11" s="1798"/>
      <c r="W11" s="1800">
        <v>2</v>
      </c>
      <c r="X11" s="1800">
        <v>6</v>
      </c>
      <c r="Y11" s="1801">
        <v>8</v>
      </c>
      <c r="Z11" s="1798">
        <v>1</v>
      </c>
      <c r="AA11" s="1800">
        <v>3</v>
      </c>
      <c r="AB11" s="1800">
        <v>6</v>
      </c>
      <c r="AC11" s="1801">
        <v>10</v>
      </c>
      <c r="AD11" s="1798">
        <v>1</v>
      </c>
      <c r="AE11" s="1800">
        <v>4</v>
      </c>
      <c r="AF11" s="1800">
        <v>5</v>
      </c>
      <c r="AG11" s="1801">
        <f>SUM(AD11:AF11)</f>
        <v>10</v>
      </c>
      <c r="AH11" s="1798">
        <v>1</v>
      </c>
      <c r="AI11" s="1800">
        <v>4</v>
      </c>
      <c r="AJ11" s="1800">
        <v>6</v>
      </c>
      <c r="AK11" s="1801">
        <f>SUM(AH11:AJ11)</f>
        <v>11</v>
      </c>
      <c r="AL11" s="1798">
        <v>2</v>
      </c>
      <c r="AM11" s="1800">
        <v>3</v>
      </c>
      <c r="AN11" s="1800">
        <v>7</v>
      </c>
      <c r="AO11" s="1801">
        <f>SUM(AL11:AN11)</f>
        <v>12</v>
      </c>
      <c r="AP11" s="1798">
        <v>2</v>
      </c>
      <c r="AQ11" s="1800">
        <v>3</v>
      </c>
      <c r="AR11" s="1800">
        <v>7</v>
      </c>
      <c r="AS11" s="1801">
        <f t="shared" si="0"/>
        <v>12</v>
      </c>
      <c r="AT11" s="1798">
        <v>3</v>
      </c>
      <c r="AU11" s="1800">
        <v>2</v>
      </c>
      <c r="AV11" s="1800">
        <v>5</v>
      </c>
      <c r="AW11" s="1801">
        <f>SUM(AT11:AV11)</f>
        <v>10</v>
      </c>
      <c r="AX11" s="1798">
        <v>3</v>
      </c>
      <c r="AY11" s="1800">
        <v>4</v>
      </c>
      <c r="AZ11" s="1800">
        <v>3</v>
      </c>
      <c r="BA11" s="1801">
        <f>SUM(AX11:AZ11)</f>
        <v>10</v>
      </c>
      <c r="BB11" s="1798">
        <v>3</v>
      </c>
      <c r="BC11" s="1800">
        <v>4</v>
      </c>
      <c r="BD11" s="1800">
        <v>4</v>
      </c>
      <c r="BE11" s="1801">
        <f>SUM(BB11:BD11)</f>
        <v>11</v>
      </c>
      <c r="BF11" s="1798">
        <v>2</v>
      </c>
      <c r="BG11" s="1800">
        <v>3</v>
      </c>
      <c r="BH11" s="1800">
        <v>5</v>
      </c>
      <c r="BI11" s="1801">
        <f>SUM(BF11:BH11)</f>
        <v>10</v>
      </c>
    </row>
    <row r="12" spans="1:61" ht="15" customHeight="1" x14ac:dyDescent="0.2">
      <c r="A12" s="1790" t="s">
        <v>9</v>
      </c>
      <c r="B12" s="1802"/>
      <c r="C12" s="1803"/>
      <c r="D12" s="1803"/>
      <c r="E12" s="1804"/>
      <c r="F12" s="1802"/>
      <c r="G12" s="1803"/>
      <c r="H12" s="1803"/>
      <c r="I12" s="1804"/>
      <c r="J12" s="1802"/>
      <c r="K12" s="1803"/>
      <c r="L12" s="1803"/>
      <c r="M12" s="1804"/>
      <c r="N12" s="1802"/>
      <c r="O12" s="1803"/>
      <c r="P12" s="1803">
        <v>3</v>
      </c>
      <c r="Q12" s="1804">
        <v>3</v>
      </c>
      <c r="R12" s="1802"/>
      <c r="S12" s="1803"/>
      <c r="T12" s="1803">
        <v>3</v>
      </c>
      <c r="U12" s="1804">
        <v>3</v>
      </c>
      <c r="V12" s="1802"/>
      <c r="W12" s="1803"/>
      <c r="X12" s="1803">
        <v>3</v>
      </c>
      <c r="Y12" s="1804">
        <v>3</v>
      </c>
      <c r="Z12" s="1802">
        <v>1</v>
      </c>
      <c r="AA12" s="1803"/>
      <c r="AB12" s="1803">
        <v>3</v>
      </c>
      <c r="AC12" s="1804">
        <v>4</v>
      </c>
      <c r="AD12" s="1802">
        <v>1</v>
      </c>
      <c r="AE12" s="1803"/>
      <c r="AF12" s="1803">
        <v>4</v>
      </c>
      <c r="AG12" s="1804">
        <f>SUM(AD12:AF12)</f>
        <v>5</v>
      </c>
      <c r="AH12" s="1802">
        <v>1</v>
      </c>
      <c r="AI12" s="1803"/>
      <c r="AJ12" s="1803">
        <v>8</v>
      </c>
      <c r="AK12" s="1804">
        <f>SUM(AH12:AJ12)</f>
        <v>9</v>
      </c>
      <c r="AL12" s="1802">
        <v>1</v>
      </c>
      <c r="AM12" s="1803"/>
      <c r="AN12" s="1803">
        <v>9</v>
      </c>
      <c r="AO12" s="1804">
        <f>SUM(AL12:AN12)</f>
        <v>10</v>
      </c>
      <c r="AP12" s="1802">
        <v>1</v>
      </c>
      <c r="AQ12" s="1803"/>
      <c r="AR12" s="1803">
        <v>8</v>
      </c>
      <c r="AS12" s="1804">
        <f t="shared" si="0"/>
        <v>9</v>
      </c>
      <c r="AT12" s="1802">
        <v>1</v>
      </c>
      <c r="AU12" s="1803">
        <v>1</v>
      </c>
      <c r="AV12" s="1803">
        <v>7</v>
      </c>
      <c r="AW12" s="1804">
        <f>SUM(AT12:AV12)</f>
        <v>9</v>
      </c>
      <c r="AX12" s="1802">
        <v>1</v>
      </c>
      <c r="AY12" s="1803">
        <v>1</v>
      </c>
      <c r="AZ12" s="1803">
        <v>8</v>
      </c>
      <c r="BA12" s="1804">
        <f>SUM(AX12:AZ12)</f>
        <v>10</v>
      </c>
      <c r="BB12" s="1802">
        <v>1</v>
      </c>
      <c r="BC12" s="1803">
        <v>1</v>
      </c>
      <c r="BD12" s="1803">
        <v>8</v>
      </c>
      <c r="BE12" s="1804">
        <f>SUM(BB12:BD12)</f>
        <v>10</v>
      </c>
      <c r="BF12" s="1802">
        <v>1</v>
      </c>
      <c r="BG12" s="1803">
        <v>1</v>
      </c>
      <c r="BH12" s="1803">
        <v>6</v>
      </c>
      <c r="BI12" s="1804">
        <f>SUM(BF12:BH12)</f>
        <v>8</v>
      </c>
    </row>
    <row r="13" spans="1:61" ht="15" customHeight="1" x14ac:dyDescent="0.2">
      <c r="A13" s="1791" t="s">
        <v>74</v>
      </c>
      <c r="B13" s="1805"/>
      <c r="C13" s="1806"/>
      <c r="D13" s="1806"/>
      <c r="E13" s="1807"/>
      <c r="F13" s="1805"/>
      <c r="G13" s="1806"/>
      <c r="H13" s="1806"/>
      <c r="I13" s="1807"/>
      <c r="J13" s="1805"/>
      <c r="K13" s="1806"/>
      <c r="L13" s="1806"/>
      <c r="M13" s="1807"/>
      <c r="N13" s="1805"/>
      <c r="O13" s="1806"/>
      <c r="P13" s="1806">
        <v>1</v>
      </c>
      <c r="Q13" s="1807">
        <v>1</v>
      </c>
      <c r="R13" s="1805"/>
      <c r="S13" s="1806"/>
      <c r="T13" s="1806">
        <v>1</v>
      </c>
      <c r="U13" s="1807">
        <v>1</v>
      </c>
      <c r="V13" s="1805"/>
      <c r="W13" s="1806"/>
      <c r="X13" s="1806">
        <v>4</v>
      </c>
      <c r="Y13" s="1807">
        <v>4</v>
      </c>
      <c r="Z13" s="1805"/>
      <c r="AA13" s="1806"/>
      <c r="AB13" s="1806">
        <v>4</v>
      </c>
      <c r="AC13" s="1807">
        <v>4</v>
      </c>
      <c r="AD13" s="1805"/>
      <c r="AE13" s="1806"/>
      <c r="AF13" s="1806">
        <v>5</v>
      </c>
      <c r="AG13" s="1807">
        <f>SUM(AD13:AF13)</f>
        <v>5</v>
      </c>
      <c r="AH13" s="1805">
        <v>1</v>
      </c>
      <c r="AI13" s="1806">
        <v>1</v>
      </c>
      <c r="AJ13" s="1806">
        <v>5</v>
      </c>
      <c r="AK13" s="1807">
        <f>SUM(AH13:AJ13)</f>
        <v>7</v>
      </c>
      <c r="AL13" s="1805">
        <v>1</v>
      </c>
      <c r="AM13" s="1806">
        <v>2</v>
      </c>
      <c r="AN13" s="1806">
        <v>5</v>
      </c>
      <c r="AO13" s="1807">
        <f>SUM(AL13:AN13)</f>
        <v>8</v>
      </c>
      <c r="AP13" s="1805">
        <v>1</v>
      </c>
      <c r="AQ13" s="1806">
        <v>2</v>
      </c>
      <c r="AR13" s="1806">
        <v>5</v>
      </c>
      <c r="AS13" s="1807">
        <f t="shared" si="0"/>
        <v>8</v>
      </c>
      <c r="AT13" s="1805">
        <v>1</v>
      </c>
      <c r="AU13" s="1806">
        <v>4</v>
      </c>
      <c r="AV13" s="1806">
        <v>4</v>
      </c>
      <c r="AW13" s="1807">
        <f>SUM(AT13:AV13)</f>
        <v>9</v>
      </c>
      <c r="AX13" s="1805">
        <v>1</v>
      </c>
      <c r="AY13" s="1806">
        <v>6</v>
      </c>
      <c r="AZ13" s="1806">
        <v>4</v>
      </c>
      <c r="BA13" s="1807">
        <f>SUM(AX13:AZ13)</f>
        <v>11</v>
      </c>
      <c r="BB13" s="1805">
        <v>2</v>
      </c>
      <c r="BC13" s="1806">
        <v>5</v>
      </c>
      <c r="BD13" s="1806">
        <v>4</v>
      </c>
      <c r="BE13" s="1807">
        <f>SUM(BB13:BD13)</f>
        <v>11</v>
      </c>
      <c r="BF13" s="1805">
        <v>3</v>
      </c>
      <c r="BG13" s="1806">
        <v>5</v>
      </c>
      <c r="BH13" s="1806">
        <v>2</v>
      </c>
      <c r="BI13" s="1807">
        <f>SUM(BF13:BH13)</f>
        <v>10</v>
      </c>
    </row>
    <row r="14" spans="1:61" ht="15" customHeight="1" x14ac:dyDescent="0.2">
      <c r="A14" s="3740" t="s">
        <v>407</v>
      </c>
      <c r="B14" s="2168"/>
      <c r="C14" s="2169"/>
      <c r="D14" s="2169"/>
      <c r="E14" s="2170"/>
      <c r="F14" s="2168"/>
      <c r="G14" s="2169"/>
      <c r="H14" s="2169"/>
      <c r="I14" s="2170"/>
      <c r="J14" s="2168"/>
      <c r="K14" s="2169"/>
      <c r="L14" s="2169"/>
      <c r="M14" s="2170"/>
      <c r="N14" s="2168">
        <v>0</v>
      </c>
      <c r="O14" s="2169">
        <v>0</v>
      </c>
      <c r="P14" s="2169">
        <v>7</v>
      </c>
      <c r="Q14" s="2170">
        <v>7</v>
      </c>
      <c r="R14" s="2168">
        <v>0</v>
      </c>
      <c r="S14" s="2169">
        <v>0</v>
      </c>
      <c r="T14" s="2169">
        <v>9</v>
      </c>
      <c r="U14" s="2170">
        <v>9</v>
      </c>
      <c r="V14" s="2168">
        <v>0</v>
      </c>
      <c r="W14" s="2169">
        <v>2</v>
      </c>
      <c r="X14" s="2169">
        <v>13</v>
      </c>
      <c r="Y14" s="2170">
        <v>15</v>
      </c>
      <c r="Z14" s="2168">
        <v>2</v>
      </c>
      <c r="AA14" s="2169">
        <v>3</v>
      </c>
      <c r="AB14" s="2169">
        <v>13</v>
      </c>
      <c r="AC14" s="2170">
        <v>18</v>
      </c>
      <c r="AD14" s="2168">
        <f t="shared" ref="AD14:AK14" si="1">SUM(AD11:AD13)</f>
        <v>2</v>
      </c>
      <c r="AE14" s="2169">
        <f t="shared" si="1"/>
        <v>4</v>
      </c>
      <c r="AF14" s="2169">
        <f t="shared" si="1"/>
        <v>14</v>
      </c>
      <c r="AG14" s="2170">
        <f t="shared" si="1"/>
        <v>20</v>
      </c>
      <c r="AH14" s="2168">
        <f t="shared" si="1"/>
        <v>3</v>
      </c>
      <c r="AI14" s="2169">
        <f t="shared" si="1"/>
        <v>5</v>
      </c>
      <c r="AJ14" s="2169">
        <f t="shared" si="1"/>
        <v>19</v>
      </c>
      <c r="AK14" s="2170">
        <f t="shared" si="1"/>
        <v>27</v>
      </c>
      <c r="AL14" s="2168">
        <f t="shared" ref="AL14:AS14" si="2">SUM(AL11:AL13)</f>
        <v>4</v>
      </c>
      <c r="AM14" s="2169">
        <f t="shared" si="2"/>
        <v>5</v>
      </c>
      <c r="AN14" s="2169">
        <f t="shared" si="2"/>
        <v>21</v>
      </c>
      <c r="AO14" s="2170">
        <f t="shared" si="2"/>
        <v>30</v>
      </c>
      <c r="AP14" s="2168">
        <f t="shared" si="2"/>
        <v>4</v>
      </c>
      <c r="AQ14" s="2169">
        <f t="shared" si="2"/>
        <v>5</v>
      </c>
      <c r="AR14" s="2169">
        <f t="shared" si="2"/>
        <v>20</v>
      </c>
      <c r="AS14" s="2170">
        <f t="shared" si="2"/>
        <v>29</v>
      </c>
      <c r="AT14" s="2168">
        <f t="shared" ref="AT14:BA14" si="3">SUM(AT11:AT13)</f>
        <v>5</v>
      </c>
      <c r="AU14" s="2169">
        <f t="shared" si="3"/>
        <v>7</v>
      </c>
      <c r="AV14" s="2169">
        <f t="shared" si="3"/>
        <v>16</v>
      </c>
      <c r="AW14" s="2170">
        <f t="shared" si="3"/>
        <v>28</v>
      </c>
      <c r="AX14" s="2168">
        <f t="shared" si="3"/>
        <v>5</v>
      </c>
      <c r="AY14" s="2169">
        <f t="shared" si="3"/>
        <v>11</v>
      </c>
      <c r="AZ14" s="2169">
        <f t="shared" si="3"/>
        <v>15</v>
      </c>
      <c r="BA14" s="2170">
        <f t="shared" si="3"/>
        <v>31</v>
      </c>
      <c r="BB14" s="2168">
        <f t="shared" ref="BB14:BI14" si="4">SUM(BB11:BB13)</f>
        <v>6</v>
      </c>
      <c r="BC14" s="2169">
        <f t="shared" si="4"/>
        <v>10</v>
      </c>
      <c r="BD14" s="2169">
        <f t="shared" si="4"/>
        <v>16</v>
      </c>
      <c r="BE14" s="2170">
        <f t="shared" si="4"/>
        <v>32</v>
      </c>
      <c r="BF14" s="2168">
        <f t="shared" si="4"/>
        <v>6</v>
      </c>
      <c r="BG14" s="2169">
        <f t="shared" si="4"/>
        <v>9</v>
      </c>
      <c r="BH14" s="2169">
        <f t="shared" si="4"/>
        <v>13</v>
      </c>
      <c r="BI14" s="2170">
        <f t="shared" si="4"/>
        <v>28</v>
      </c>
    </row>
    <row r="15" spans="1:61" x14ac:dyDescent="0.2">
      <c r="A15" s="1788"/>
      <c r="B15" s="1797"/>
      <c r="C15" s="1797"/>
      <c r="D15" s="1797"/>
      <c r="E15" s="1797"/>
      <c r="F15" s="1797"/>
      <c r="G15" s="1797"/>
      <c r="H15" s="1797"/>
      <c r="I15" s="1797"/>
      <c r="J15" s="1797"/>
      <c r="K15" s="1797"/>
      <c r="L15" s="1797"/>
      <c r="M15" s="1797"/>
      <c r="N15" s="1797"/>
      <c r="O15" s="1797"/>
      <c r="P15" s="1797"/>
      <c r="Q15" s="1797"/>
      <c r="R15" s="1797"/>
      <c r="S15" s="1797"/>
      <c r="T15" s="1797"/>
      <c r="U15" s="1797"/>
      <c r="V15" s="1797"/>
      <c r="W15" s="1797"/>
      <c r="X15" s="1797"/>
      <c r="Y15" s="1797"/>
      <c r="Z15" s="1797"/>
      <c r="AA15" s="1797"/>
      <c r="AB15" s="1797"/>
      <c r="AC15" s="1797"/>
      <c r="AD15" s="1797"/>
      <c r="AE15" s="1797"/>
      <c r="AF15" s="1797"/>
      <c r="AG15" s="1797"/>
      <c r="AH15" s="1797"/>
      <c r="AI15" s="1797"/>
      <c r="AJ15" s="1797"/>
      <c r="AK15" s="1797"/>
      <c r="AL15" s="1797"/>
      <c r="AM15" s="1797"/>
      <c r="AN15" s="1797"/>
      <c r="AO15" s="1797"/>
      <c r="AP15" s="1797"/>
      <c r="AQ15" s="1797"/>
      <c r="AR15" s="1797"/>
      <c r="AS15" s="1797"/>
      <c r="AT15" s="1797"/>
      <c r="AU15" s="1797"/>
      <c r="AV15" s="1797"/>
      <c r="AW15" s="1797"/>
      <c r="AX15" s="1797"/>
      <c r="AY15" s="1797"/>
      <c r="AZ15" s="1797"/>
      <c r="BA15" s="1797"/>
      <c r="BB15" s="1797"/>
      <c r="BC15" s="1797"/>
      <c r="BD15" s="1797"/>
      <c r="BE15" s="1797"/>
      <c r="BF15" s="1797"/>
      <c r="BG15" s="1797"/>
      <c r="BH15" s="1797"/>
      <c r="BI15" s="1797"/>
    </row>
    <row r="16" spans="1:61" ht="15" customHeight="1" x14ac:dyDescent="0.2">
      <c r="A16" s="1789" t="s">
        <v>5</v>
      </c>
      <c r="B16" s="1798"/>
      <c r="C16" s="1799"/>
      <c r="D16" s="1800"/>
      <c r="E16" s="1801"/>
      <c r="F16" s="1798">
        <v>8</v>
      </c>
      <c r="G16" s="1800">
        <v>11</v>
      </c>
      <c r="H16" s="1800">
        <v>9</v>
      </c>
      <c r="I16" s="1801">
        <v>28</v>
      </c>
      <c r="J16" s="1798">
        <v>13</v>
      </c>
      <c r="K16" s="1800">
        <v>11</v>
      </c>
      <c r="L16" s="1800">
        <v>13</v>
      </c>
      <c r="M16" s="1801">
        <v>37</v>
      </c>
      <c r="N16" s="1798">
        <v>19</v>
      </c>
      <c r="O16" s="1800">
        <v>13</v>
      </c>
      <c r="P16" s="1800">
        <v>9</v>
      </c>
      <c r="Q16" s="1801">
        <v>41</v>
      </c>
      <c r="R16" s="1798">
        <v>20</v>
      </c>
      <c r="S16" s="1800">
        <v>12</v>
      </c>
      <c r="T16" s="1800">
        <v>8</v>
      </c>
      <c r="U16" s="1801">
        <v>40</v>
      </c>
      <c r="V16" s="1798">
        <v>20</v>
      </c>
      <c r="W16" s="1800">
        <v>12</v>
      </c>
      <c r="X16" s="1800">
        <v>8</v>
      </c>
      <c r="Y16" s="1801">
        <v>40</v>
      </c>
      <c r="Z16" s="1798">
        <v>17</v>
      </c>
      <c r="AA16" s="1800">
        <v>16</v>
      </c>
      <c r="AB16" s="1800">
        <v>6</v>
      </c>
      <c r="AC16" s="1801">
        <v>39</v>
      </c>
      <c r="AD16" s="1798">
        <v>16</v>
      </c>
      <c r="AE16" s="1800">
        <v>18</v>
      </c>
      <c r="AF16" s="1800">
        <v>3</v>
      </c>
      <c r="AG16" s="1801">
        <f>SUM(AD16:AF16)</f>
        <v>37</v>
      </c>
      <c r="AH16" s="1798">
        <v>16</v>
      </c>
      <c r="AI16" s="1800">
        <v>19</v>
      </c>
      <c r="AJ16" s="1800">
        <v>4</v>
      </c>
      <c r="AK16" s="1801">
        <f>SUM(AH16:AJ16)</f>
        <v>39</v>
      </c>
      <c r="AL16" s="1798">
        <v>17</v>
      </c>
      <c r="AM16" s="1800">
        <v>17</v>
      </c>
      <c r="AN16" s="1800">
        <v>3</v>
      </c>
      <c r="AO16" s="1801">
        <f>SUM(AL16:AN16)</f>
        <v>37</v>
      </c>
      <c r="AP16" s="1798">
        <v>17</v>
      </c>
      <c r="AQ16" s="1800">
        <v>16</v>
      </c>
      <c r="AR16" s="1800">
        <v>3</v>
      </c>
      <c r="AS16" s="1801">
        <f>SUM(AP16:AR16)</f>
        <v>36</v>
      </c>
      <c r="AT16" s="1798">
        <v>18</v>
      </c>
      <c r="AU16" s="1800">
        <v>16</v>
      </c>
      <c r="AV16" s="1800">
        <v>3</v>
      </c>
      <c r="AW16" s="1801">
        <f>SUM(AT16:AV16)</f>
        <v>37</v>
      </c>
      <c r="AX16" s="1798">
        <v>17</v>
      </c>
      <c r="AY16" s="1800">
        <v>14</v>
      </c>
      <c r="AZ16" s="1800">
        <v>5</v>
      </c>
      <c r="BA16" s="1801">
        <f>SUM(AX16:AZ16)</f>
        <v>36</v>
      </c>
      <c r="BB16" s="1798">
        <v>14</v>
      </c>
      <c r="BC16" s="1800">
        <v>16</v>
      </c>
      <c r="BD16" s="1800">
        <v>7</v>
      </c>
      <c r="BE16" s="1801">
        <f>SUM(BB16:BD16)</f>
        <v>37</v>
      </c>
      <c r="BF16" s="1798">
        <v>14</v>
      </c>
      <c r="BG16" s="1800">
        <v>16</v>
      </c>
      <c r="BH16" s="1800">
        <v>4</v>
      </c>
      <c r="BI16" s="1801">
        <f>SUM(BF16:BH16)</f>
        <v>34</v>
      </c>
    </row>
    <row r="17" spans="1:61" ht="15" customHeight="1" x14ac:dyDescent="0.2">
      <c r="A17" s="1790" t="s">
        <v>6</v>
      </c>
      <c r="B17" s="1802"/>
      <c r="C17" s="1803"/>
      <c r="D17" s="1803"/>
      <c r="E17" s="1804"/>
      <c r="F17" s="1802">
        <v>1</v>
      </c>
      <c r="G17" s="1803">
        <v>10</v>
      </c>
      <c r="H17" s="1803">
        <v>23</v>
      </c>
      <c r="I17" s="1804">
        <v>34</v>
      </c>
      <c r="J17" s="1802">
        <v>1</v>
      </c>
      <c r="K17" s="1803">
        <v>9</v>
      </c>
      <c r="L17" s="1803">
        <v>26</v>
      </c>
      <c r="M17" s="1804">
        <v>36</v>
      </c>
      <c r="N17" s="1802">
        <v>8</v>
      </c>
      <c r="O17" s="1803">
        <v>11</v>
      </c>
      <c r="P17" s="1803">
        <v>20</v>
      </c>
      <c r="Q17" s="1804">
        <v>39</v>
      </c>
      <c r="R17" s="1802">
        <v>10</v>
      </c>
      <c r="S17" s="1803">
        <v>14</v>
      </c>
      <c r="T17" s="1803">
        <v>18</v>
      </c>
      <c r="U17" s="1804">
        <v>42</v>
      </c>
      <c r="V17" s="1802">
        <v>11</v>
      </c>
      <c r="W17" s="1803">
        <v>14</v>
      </c>
      <c r="X17" s="1803">
        <v>18</v>
      </c>
      <c r="Y17" s="1804">
        <v>43</v>
      </c>
      <c r="Z17" s="1802">
        <v>14</v>
      </c>
      <c r="AA17" s="1803">
        <v>13</v>
      </c>
      <c r="AB17" s="1803">
        <v>17</v>
      </c>
      <c r="AC17" s="1804">
        <v>44</v>
      </c>
      <c r="AD17" s="1802">
        <v>17</v>
      </c>
      <c r="AE17" s="1803">
        <v>12</v>
      </c>
      <c r="AF17" s="1803">
        <v>3</v>
      </c>
      <c r="AG17" s="1804">
        <f>SUM(AD17:AF17)</f>
        <v>32</v>
      </c>
      <c r="AH17" s="1802">
        <v>12</v>
      </c>
      <c r="AI17" s="1803">
        <v>14</v>
      </c>
      <c r="AJ17" s="1803">
        <v>10</v>
      </c>
      <c r="AK17" s="1804">
        <f>SUM(AH17:AJ17)</f>
        <v>36</v>
      </c>
      <c r="AL17" s="1802">
        <v>16</v>
      </c>
      <c r="AM17" s="1803">
        <v>11</v>
      </c>
      <c r="AN17" s="1803">
        <v>9</v>
      </c>
      <c r="AO17" s="1804">
        <f>SUM(AL17:AN17)</f>
        <v>36</v>
      </c>
      <c r="AP17" s="1802">
        <v>16</v>
      </c>
      <c r="AQ17" s="1803">
        <v>12</v>
      </c>
      <c r="AR17" s="1803">
        <v>9</v>
      </c>
      <c r="AS17" s="1804">
        <f>SUM(AP17:AR17)</f>
        <v>37</v>
      </c>
      <c r="AT17" s="1802">
        <v>16</v>
      </c>
      <c r="AU17" s="1803">
        <v>11</v>
      </c>
      <c r="AV17" s="1803">
        <v>7</v>
      </c>
      <c r="AW17" s="1804">
        <f>SUM(AT17:AV17)</f>
        <v>34</v>
      </c>
      <c r="AX17" s="1802">
        <v>15</v>
      </c>
      <c r="AY17" s="1803">
        <v>8</v>
      </c>
      <c r="AZ17" s="1803">
        <v>6</v>
      </c>
      <c r="BA17" s="1804">
        <f>SUM(AX17:AZ17)</f>
        <v>29</v>
      </c>
      <c r="BB17" s="1802">
        <v>12</v>
      </c>
      <c r="BC17" s="1803">
        <v>10</v>
      </c>
      <c r="BD17" s="1803">
        <v>7</v>
      </c>
      <c r="BE17" s="1804">
        <f>SUM(BB17:BD17)</f>
        <v>29</v>
      </c>
      <c r="BF17" s="1802">
        <v>10</v>
      </c>
      <c r="BG17" s="1803">
        <v>9</v>
      </c>
      <c r="BH17" s="1803">
        <v>8</v>
      </c>
      <c r="BI17" s="1804">
        <f>SUM(BF17:BH17)</f>
        <v>27</v>
      </c>
    </row>
    <row r="18" spans="1:61" ht="15" customHeight="1" x14ac:dyDescent="0.2">
      <c r="A18" s="1791" t="s">
        <v>11</v>
      </c>
      <c r="B18" s="1805"/>
      <c r="C18" s="1806"/>
      <c r="D18" s="1806"/>
      <c r="E18" s="1807"/>
      <c r="F18" s="1805">
        <v>8</v>
      </c>
      <c r="G18" s="1806">
        <v>15</v>
      </c>
      <c r="H18" s="1806">
        <v>9</v>
      </c>
      <c r="I18" s="1807">
        <v>32</v>
      </c>
      <c r="J18" s="1805">
        <v>9</v>
      </c>
      <c r="K18" s="1806">
        <v>14</v>
      </c>
      <c r="L18" s="1806">
        <v>9</v>
      </c>
      <c r="M18" s="1807">
        <v>32</v>
      </c>
      <c r="N18" s="1805">
        <v>14</v>
      </c>
      <c r="O18" s="1806">
        <v>12</v>
      </c>
      <c r="P18" s="1806">
        <v>8</v>
      </c>
      <c r="Q18" s="1807">
        <v>34</v>
      </c>
      <c r="R18" s="1805">
        <v>14</v>
      </c>
      <c r="S18" s="1806">
        <v>13</v>
      </c>
      <c r="T18" s="1806">
        <v>8</v>
      </c>
      <c r="U18" s="1807">
        <v>35</v>
      </c>
      <c r="V18" s="1805">
        <v>14</v>
      </c>
      <c r="W18" s="1806">
        <v>13</v>
      </c>
      <c r="X18" s="1806">
        <v>8</v>
      </c>
      <c r="Y18" s="1807">
        <v>35</v>
      </c>
      <c r="Z18" s="1805">
        <v>16</v>
      </c>
      <c r="AA18" s="1806">
        <v>12</v>
      </c>
      <c r="AB18" s="1806">
        <v>7</v>
      </c>
      <c r="AC18" s="1807">
        <v>35</v>
      </c>
      <c r="AD18" s="1805">
        <v>14</v>
      </c>
      <c r="AE18" s="1806">
        <v>15</v>
      </c>
      <c r="AF18" s="1806">
        <v>10</v>
      </c>
      <c r="AG18" s="1807">
        <f>SUM(AD18:AF18)</f>
        <v>39</v>
      </c>
      <c r="AH18" s="1805">
        <v>15</v>
      </c>
      <c r="AI18" s="1806">
        <v>13</v>
      </c>
      <c r="AJ18" s="1806">
        <v>4</v>
      </c>
      <c r="AK18" s="1807">
        <f>SUM(AH18:AJ18)</f>
        <v>32</v>
      </c>
      <c r="AL18" s="1805">
        <v>15</v>
      </c>
      <c r="AM18" s="1806">
        <v>9</v>
      </c>
      <c r="AN18" s="1806">
        <v>8</v>
      </c>
      <c r="AO18" s="1807">
        <f>SUM(AL18:AN18)</f>
        <v>32</v>
      </c>
      <c r="AP18" s="1805">
        <v>15</v>
      </c>
      <c r="AQ18" s="1806">
        <v>8</v>
      </c>
      <c r="AR18" s="1806">
        <v>8</v>
      </c>
      <c r="AS18" s="1807">
        <f>SUM(AP18:AR18)</f>
        <v>31</v>
      </c>
      <c r="AT18" s="1805">
        <v>15</v>
      </c>
      <c r="AU18" s="1806">
        <v>8</v>
      </c>
      <c r="AV18" s="1806">
        <v>8</v>
      </c>
      <c r="AW18" s="1807">
        <f>SUM(AT18:AV18)</f>
        <v>31</v>
      </c>
      <c r="AX18" s="1805">
        <v>16</v>
      </c>
      <c r="AY18" s="1806">
        <v>7</v>
      </c>
      <c r="AZ18" s="1806">
        <v>9</v>
      </c>
      <c r="BA18" s="1807">
        <f>SUM(AX18:AZ18)</f>
        <v>32</v>
      </c>
      <c r="BB18" s="1805">
        <v>15</v>
      </c>
      <c r="BC18" s="1806">
        <v>8</v>
      </c>
      <c r="BD18" s="1806">
        <v>9</v>
      </c>
      <c r="BE18" s="1807">
        <f>SUM(BB18:BD18)</f>
        <v>32</v>
      </c>
      <c r="BF18" s="1805">
        <v>15</v>
      </c>
      <c r="BG18" s="1806">
        <v>8</v>
      </c>
      <c r="BH18" s="1806">
        <v>11</v>
      </c>
      <c r="BI18" s="1807">
        <f>SUM(BF18:BH18)</f>
        <v>34</v>
      </c>
    </row>
    <row r="19" spans="1:61" ht="15" customHeight="1" x14ac:dyDescent="0.2">
      <c r="A19" s="3741" t="s">
        <v>162</v>
      </c>
      <c r="B19" s="2174">
        <v>15</v>
      </c>
      <c r="C19" s="2175">
        <v>33</v>
      </c>
      <c r="D19" s="2175">
        <v>42</v>
      </c>
      <c r="E19" s="2176">
        <v>90</v>
      </c>
      <c r="F19" s="2174">
        <v>17</v>
      </c>
      <c r="G19" s="2175">
        <v>36</v>
      </c>
      <c r="H19" s="2175">
        <v>41</v>
      </c>
      <c r="I19" s="2176">
        <v>94</v>
      </c>
      <c r="J19" s="2174">
        <v>23</v>
      </c>
      <c r="K19" s="2175">
        <v>34</v>
      </c>
      <c r="L19" s="2175">
        <v>48</v>
      </c>
      <c r="M19" s="2176">
        <v>105</v>
      </c>
      <c r="N19" s="2174">
        <v>41</v>
      </c>
      <c r="O19" s="2175">
        <v>36</v>
      </c>
      <c r="P19" s="2175">
        <v>37</v>
      </c>
      <c r="Q19" s="2176">
        <v>114</v>
      </c>
      <c r="R19" s="2174">
        <v>44</v>
      </c>
      <c r="S19" s="2175">
        <v>39</v>
      </c>
      <c r="T19" s="2175">
        <v>34</v>
      </c>
      <c r="U19" s="2176">
        <v>117</v>
      </c>
      <c r="V19" s="2174">
        <v>45</v>
      </c>
      <c r="W19" s="2175">
        <v>39</v>
      </c>
      <c r="X19" s="2175">
        <v>34</v>
      </c>
      <c r="Y19" s="2176">
        <v>118</v>
      </c>
      <c r="Z19" s="2174">
        <v>47</v>
      </c>
      <c r="AA19" s="2175">
        <v>41</v>
      </c>
      <c r="AB19" s="2175">
        <v>30</v>
      </c>
      <c r="AC19" s="2176">
        <v>118</v>
      </c>
      <c r="AD19" s="2174">
        <f t="shared" ref="AD19:AK19" si="5">SUM(AD16:AD18)</f>
        <v>47</v>
      </c>
      <c r="AE19" s="2175">
        <f t="shared" si="5"/>
        <v>45</v>
      </c>
      <c r="AF19" s="2175">
        <f t="shared" si="5"/>
        <v>16</v>
      </c>
      <c r="AG19" s="2176">
        <f t="shared" si="5"/>
        <v>108</v>
      </c>
      <c r="AH19" s="2174">
        <f t="shared" si="5"/>
        <v>43</v>
      </c>
      <c r="AI19" s="2175">
        <f t="shared" si="5"/>
        <v>46</v>
      </c>
      <c r="AJ19" s="2175">
        <f t="shared" si="5"/>
        <v>18</v>
      </c>
      <c r="AK19" s="2176">
        <f t="shared" si="5"/>
        <v>107</v>
      </c>
      <c r="AL19" s="2174">
        <f t="shared" ref="AL19:AS19" si="6">SUM(AL16:AL18)</f>
        <v>48</v>
      </c>
      <c r="AM19" s="2175">
        <f t="shared" si="6"/>
        <v>37</v>
      </c>
      <c r="AN19" s="2175">
        <f t="shared" si="6"/>
        <v>20</v>
      </c>
      <c r="AO19" s="2176">
        <f t="shared" si="6"/>
        <v>105</v>
      </c>
      <c r="AP19" s="2174">
        <f t="shared" si="6"/>
        <v>48</v>
      </c>
      <c r="AQ19" s="2175">
        <f t="shared" si="6"/>
        <v>36</v>
      </c>
      <c r="AR19" s="2175">
        <f t="shared" si="6"/>
        <v>20</v>
      </c>
      <c r="AS19" s="2176">
        <f t="shared" si="6"/>
        <v>104</v>
      </c>
      <c r="AT19" s="2174">
        <f t="shared" ref="AT19:BA19" si="7">SUM(AT16:AT18)</f>
        <v>49</v>
      </c>
      <c r="AU19" s="2175">
        <f t="shared" si="7"/>
        <v>35</v>
      </c>
      <c r="AV19" s="2175">
        <f t="shared" si="7"/>
        <v>18</v>
      </c>
      <c r="AW19" s="2176">
        <f t="shared" si="7"/>
        <v>102</v>
      </c>
      <c r="AX19" s="2174">
        <f t="shared" si="7"/>
        <v>48</v>
      </c>
      <c r="AY19" s="2175">
        <f t="shared" si="7"/>
        <v>29</v>
      </c>
      <c r="AZ19" s="2175">
        <f t="shared" si="7"/>
        <v>20</v>
      </c>
      <c r="BA19" s="2176">
        <f t="shared" si="7"/>
        <v>97</v>
      </c>
      <c r="BB19" s="2174">
        <f t="shared" ref="BB19:BI19" si="8">SUM(BB16:BB18)</f>
        <v>41</v>
      </c>
      <c r="BC19" s="2175">
        <f t="shared" si="8"/>
        <v>34</v>
      </c>
      <c r="BD19" s="2175">
        <f t="shared" si="8"/>
        <v>23</v>
      </c>
      <c r="BE19" s="2176">
        <f t="shared" si="8"/>
        <v>98</v>
      </c>
      <c r="BF19" s="2174">
        <f t="shared" si="8"/>
        <v>39</v>
      </c>
      <c r="BG19" s="2175">
        <f t="shared" si="8"/>
        <v>33</v>
      </c>
      <c r="BH19" s="2175">
        <f t="shared" si="8"/>
        <v>23</v>
      </c>
      <c r="BI19" s="2176">
        <f t="shared" si="8"/>
        <v>95</v>
      </c>
    </row>
    <row r="20" spans="1:61" ht="15" customHeight="1" x14ac:dyDescent="0.2">
      <c r="A20" s="253"/>
    </row>
    <row r="21" spans="1:61" ht="15" customHeight="1" x14ac:dyDescent="0.2">
      <c r="A21" s="1789" t="s">
        <v>5</v>
      </c>
      <c r="B21" s="1798"/>
      <c r="C21" s="1799"/>
      <c r="D21" s="1800"/>
      <c r="E21" s="1801"/>
      <c r="F21" s="1798"/>
      <c r="G21" s="1800"/>
      <c r="H21" s="1800"/>
      <c r="I21" s="1801"/>
      <c r="J21" s="1798"/>
      <c r="K21" s="1800"/>
      <c r="L21" s="1800"/>
      <c r="M21" s="1801"/>
      <c r="N21" s="1798"/>
      <c r="O21" s="1800"/>
      <c r="P21" s="1800"/>
      <c r="Q21" s="1801"/>
      <c r="R21" s="1798"/>
      <c r="S21" s="1800"/>
      <c r="T21" s="1800"/>
      <c r="U21" s="1801"/>
      <c r="V21" s="1798"/>
      <c r="W21" s="1800"/>
      <c r="X21" s="1800"/>
      <c r="Y21" s="1801"/>
      <c r="Z21" s="1798"/>
      <c r="AA21" s="1800"/>
      <c r="AB21" s="1800"/>
      <c r="AC21" s="1801"/>
      <c r="AD21" s="1798"/>
      <c r="AE21" s="1800"/>
      <c r="AF21" s="1800"/>
      <c r="AG21" s="1801"/>
      <c r="AH21" s="1798"/>
      <c r="AI21" s="1800"/>
      <c r="AJ21" s="1800"/>
      <c r="AK21" s="1801"/>
      <c r="AL21" s="1798"/>
      <c r="AM21" s="1800"/>
      <c r="AN21" s="1800"/>
      <c r="AO21" s="1801"/>
      <c r="AP21" s="1798"/>
      <c r="AQ21" s="1800"/>
      <c r="AR21" s="1800"/>
      <c r="AS21" s="1801"/>
      <c r="AT21" s="1798"/>
      <c r="AU21" s="1800"/>
      <c r="AV21" s="1800"/>
      <c r="AW21" s="1801"/>
      <c r="AX21" s="1798"/>
      <c r="AY21" s="1800"/>
      <c r="AZ21" s="1800">
        <v>2</v>
      </c>
      <c r="BA21" s="1801">
        <f>SUM(AX21:AZ21)</f>
        <v>2</v>
      </c>
      <c r="BB21" s="1798"/>
      <c r="BC21" s="1800"/>
      <c r="BD21" s="1800">
        <v>2</v>
      </c>
      <c r="BE21" s="1801">
        <f>SUM(BB21:BD21)</f>
        <v>2</v>
      </c>
      <c r="BF21" s="1798"/>
      <c r="BG21" s="1800"/>
      <c r="BH21" s="1800">
        <v>2</v>
      </c>
      <c r="BI21" s="1801">
        <f>SUM(BF21:BH21)</f>
        <v>2</v>
      </c>
    </row>
    <row r="22" spans="1:61" ht="15" customHeight="1" x14ac:dyDescent="0.2">
      <c r="A22" s="1790" t="s">
        <v>6</v>
      </c>
      <c r="B22" s="1802"/>
      <c r="C22" s="1803"/>
      <c r="D22" s="1803"/>
      <c r="E22" s="1804"/>
      <c r="F22" s="1802"/>
      <c r="G22" s="1803"/>
      <c r="H22" s="1803"/>
      <c r="I22" s="1804"/>
      <c r="J22" s="1802"/>
      <c r="K22" s="1803"/>
      <c r="L22" s="1803"/>
      <c r="M22" s="1804"/>
      <c r="N22" s="1802"/>
      <c r="O22" s="1803"/>
      <c r="P22" s="1803"/>
      <c r="Q22" s="1804"/>
      <c r="R22" s="1802"/>
      <c r="S22" s="1803"/>
      <c r="T22" s="1803"/>
      <c r="U22" s="1804"/>
      <c r="V22" s="1802"/>
      <c r="W22" s="1803"/>
      <c r="X22" s="1803"/>
      <c r="Y22" s="1804"/>
      <c r="Z22" s="1802"/>
      <c r="AA22" s="1803"/>
      <c r="AB22" s="1803"/>
      <c r="AC22" s="1804"/>
      <c r="AD22" s="1802"/>
      <c r="AE22" s="1803"/>
      <c r="AF22" s="1803"/>
      <c r="AG22" s="1804"/>
      <c r="AH22" s="1802"/>
      <c r="AI22" s="1803"/>
      <c r="AJ22" s="1803"/>
      <c r="AK22" s="1804"/>
      <c r="AL22" s="1802"/>
      <c r="AM22" s="1803"/>
      <c r="AN22" s="1803"/>
      <c r="AO22" s="1804"/>
      <c r="AP22" s="1802"/>
      <c r="AQ22" s="1803"/>
      <c r="AR22" s="1803"/>
      <c r="AS22" s="1804"/>
      <c r="AT22" s="1802"/>
      <c r="AU22" s="1803"/>
      <c r="AV22" s="1803"/>
      <c r="AW22" s="1804"/>
      <c r="AX22" s="1802"/>
      <c r="AY22" s="1803"/>
      <c r="AZ22" s="1803">
        <v>2</v>
      </c>
      <c r="BA22" s="1804">
        <f>SUM(AX22:AZ22)</f>
        <v>2</v>
      </c>
      <c r="BB22" s="1802"/>
      <c r="BC22" s="1803"/>
      <c r="BD22" s="1803">
        <v>2</v>
      </c>
      <c r="BE22" s="1804">
        <f>SUM(BB22:BD22)</f>
        <v>2</v>
      </c>
      <c r="BF22" s="1802"/>
      <c r="BG22" s="1803"/>
      <c r="BH22" s="1803">
        <v>3</v>
      </c>
      <c r="BI22" s="1804">
        <f>SUM(BF22:BH22)</f>
        <v>3</v>
      </c>
    </row>
    <row r="23" spans="1:61" ht="15" customHeight="1" x14ac:dyDescent="0.2">
      <c r="A23" s="1791" t="s">
        <v>11</v>
      </c>
      <c r="B23" s="1805"/>
      <c r="C23" s="1806"/>
      <c r="D23" s="1806"/>
      <c r="E23" s="1807"/>
      <c r="F23" s="1805"/>
      <c r="G23" s="1806"/>
      <c r="H23" s="1806"/>
      <c r="I23" s="1807"/>
      <c r="J23" s="1805"/>
      <c r="K23" s="1806"/>
      <c r="L23" s="1806"/>
      <c r="M23" s="1807"/>
      <c r="N23" s="1805"/>
      <c r="O23" s="1806"/>
      <c r="P23" s="1806"/>
      <c r="Q23" s="1807"/>
      <c r="R23" s="1805"/>
      <c r="S23" s="1806"/>
      <c r="T23" s="1806"/>
      <c r="U23" s="1807"/>
      <c r="V23" s="1805"/>
      <c r="W23" s="1806"/>
      <c r="X23" s="1806"/>
      <c r="Y23" s="1807"/>
      <c r="Z23" s="1805"/>
      <c r="AA23" s="1806"/>
      <c r="AB23" s="1806"/>
      <c r="AC23" s="1807"/>
      <c r="AD23" s="1805"/>
      <c r="AE23" s="1806"/>
      <c r="AF23" s="1806"/>
      <c r="AG23" s="1807"/>
      <c r="AH23" s="1805"/>
      <c r="AI23" s="1806"/>
      <c r="AJ23" s="1806"/>
      <c r="AK23" s="1807"/>
      <c r="AL23" s="1805"/>
      <c r="AM23" s="1806"/>
      <c r="AN23" s="1806"/>
      <c r="AO23" s="1807"/>
      <c r="AP23" s="1805"/>
      <c r="AQ23" s="1806"/>
      <c r="AR23" s="1806"/>
      <c r="AS23" s="1807"/>
      <c r="AT23" s="1805"/>
      <c r="AU23" s="1806"/>
      <c r="AV23" s="1806"/>
      <c r="AW23" s="1807"/>
      <c r="AX23" s="1805"/>
      <c r="AY23" s="1806"/>
      <c r="AZ23" s="1806"/>
      <c r="BA23" s="1807">
        <f>SUM(AX23:AZ23)</f>
        <v>0</v>
      </c>
      <c r="BB23" s="1805">
        <v>1</v>
      </c>
      <c r="BC23" s="1806">
        <v>1</v>
      </c>
      <c r="BD23" s="1806"/>
      <c r="BE23" s="1807">
        <f>SUM(BB23:BD23)</f>
        <v>2</v>
      </c>
      <c r="BF23" s="1805">
        <v>1</v>
      </c>
      <c r="BG23" s="1806">
        <v>1</v>
      </c>
      <c r="BH23" s="1806"/>
      <c r="BI23" s="1807">
        <f>SUM(BF23:BH23)</f>
        <v>2</v>
      </c>
    </row>
    <row r="24" spans="1:61" s="4373" customFormat="1" ht="15" customHeight="1" x14ac:dyDescent="0.2">
      <c r="A24" s="4369" t="s">
        <v>408</v>
      </c>
      <c r="B24" s="4370"/>
      <c r="C24" s="4371"/>
      <c r="D24" s="4371"/>
      <c r="E24" s="4372"/>
      <c r="F24" s="4370"/>
      <c r="G24" s="4371"/>
      <c r="H24" s="4371"/>
      <c r="I24" s="4372"/>
      <c r="J24" s="4370"/>
      <c r="K24" s="4371"/>
      <c r="L24" s="4371"/>
      <c r="M24" s="4372"/>
      <c r="N24" s="4370"/>
      <c r="O24" s="4371"/>
      <c r="P24" s="4371"/>
      <c r="Q24" s="4372"/>
      <c r="R24" s="4370"/>
      <c r="S24" s="4371"/>
      <c r="T24" s="4371"/>
      <c r="U24" s="4372"/>
      <c r="V24" s="4370"/>
      <c r="W24" s="4371"/>
      <c r="X24" s="4371"/>
      <c r="Y24" s="4372"/>
      <c r="Z24" s="4370"/>
      <c r="AA24" s="4371"/>
      <c r="AB24" s="4371"/>
      <c r="AC24" s="4372"/>
      <c r="AD24" s="4370"/>
      <c r="AE24" s="4371"/>
      <c r="AF24" s="4371"/>
      <c r="AG24" s="4372"/>
      <c r="AH24" s="4370"/>
      <c r="AI24" s="4371"/>
      <c r="AJ24" s="4371"/>
      <c r="AK24" s="4372"/>
      <c r="AL24" s="4370"/>
      <c r="AM24" s="4371"/>
      <c r="AN24" s="4371"/>
      <c r="AO24" s="4372"/>
      <c r="AP24" s="4370"/>
      <c r="AQ24" s="4371"/>
      <c r="AR24" s="4371"/>
      <c r="AS24" s="4372"/>
      <c r="AT24" s="4370"/>
      <c r="AU24" s="4371"/>
      <c r="AV24" s="4371"/>
      <c r="AW24" s="4372"/>
      <c r="AX24" s="4370">
        <f t="shared" ref="AX24:BE24" si="9">SUM(AX21:AX23)</f>
        <v>0</v>
      </c>
      <c r="AY24" s="4371">
        <f t="shared" si="9"/>
        <v>0</v>
      </c>
      <c r="AZ24" s="4371">
        <f t="shared" si="9"/>
        <v>4</v>
      </c>
      <c r="BA24" s="4372">
        <f t="shared" si="9"/>
        <v>4</v>
      </c>
      <c r="BB24" s="4370">
        <f t="shared" si="9"/>
        <v>1</v>
      </c>
      <c r="BC24" s="4371">
        <f t="shared" si="9"/>
        <v>1</v>
      </c>
      <c r="BD24" s="4371">
        <f t="shared" si="9"/>
        <v>4</v>
      </c>
      <c r="BE24" s="4372">
        <f t="shared" si="9"/>
        <v>6</v>
      </c>
      <c r="BF24" s="4370">
        <f t="shared" ref="BF24:BI24" si="10">SUM(BF21:BF23)</f>
        <v>1</v>
      </c>
      <c r="BG24" s="4371">
        <f t="shared" si="10"/>
        <v>1</v>
      </c>
      <c r="BH24" s="4371">
        <f t="shared" si="10"/>
        <v>5</v>
      </c>
      <c r="BI24" s="4372">
        <f t="shared" si="10"/>
        <v>7</v>
      </c>
    </row>
    <row r="25" spans="1:61" x14ac:dyDescent="0.2">
      <c r="A25" s="1796"/>
      <c r="B25" s="1797"/>
      <c r="C25" s="1797"/>
      <c r="D25" s="1797"/>
      <c r="E25" s="1797"/>
      <c r="F25" s="1797"/>
      <c r="G25" s="1797"/>
      <c r="H25" s="1797"/>
      <c r="I25" s="1797"/>
      <c r="J25" s="1797"/>
      <c r="K25" s="1797"/>
      <c r="L25" s="1797"/>
      <c r="M25" s="1797"/>
      <c r="N25" s="1797"/>
      <c r="O25" s="1797"/>
      <c r="P25" s="1797"/>
      <c r="Q25" s="1797"/>
      <c r="R25" s="1797"/>
      <c r="S25" s="1797"/>
      <c r="T25" s="1797"/>
      <c r="U25" s="1797"/>
      <c r="V25" s="1797"/>
      <c r="W25" s="1797"/>
      <c r="X25" s="1797"/>
      <c r="Y25" s="1797"/>
      <c r="Z25" s="1797"/>
      <c r="AA25" s="1797"/>
      <c r="AB25" s="1797"/>
      <c r="AC25" s="1797"/>
      <c r="AD25" s="1797"/>
      <c r="AE25" s="1797"/>
      <c r="AF25" s="1797"/>
      <c r="AG25" s="1797"/>
      <c r="AH25" s="1797"/>
      <c r="AI25" s="1797"/>
      <c r="AJ25" s="1797"/>
      <c r="AK25" s="1797"/>
      <c r="AL25" s="1797"/>
      <c r="AM25" s="1797"/>
      <c r="AN25" s="1797"/>
      <c r="AO25" s="1797"/>
      <c r="AP25" s="1797"/>
      <c r="AQ25" s="1797"/>
      <c r="AR25" s="1797"/>
      <c r="AS25" s="1797"/>
      <c r="AT25" s="1797"/>
      <c r="AU25" s="1797"/>
      <c r="AV25" s="1797"/>
      <c r="AW25" s="1797"/>
      <c r="AX25" s="1797"/>
      <c r="AY25" s="1797"/>
      <c r="AZ25" s="1797"/>
      <c r="BA25" s="1797"/>
      <c r="BB25" s="1797"/>
      <c r="BC25" s="1797"/>
      <c r="BD25" s="1797"/>
      <c r="BE25" s="1797"/>
      <c r="BF25" s="1797"/>
      <c r="BG25" s="1797"/>
      <c r="BH25" s="1797"/>
      <c r="BI25" s="1797"/>
    </row>
    <row r="26" spans="1:61" ht="15" customHeight="1" x14ac:dyDescent="0.2">
      <c r="A26" s="1789" t="s">
        <v>6</v>
      </c>
      <c r="B26" s="1798"/>
      <c r="C26" s="1799"/>
      <c r="D26" s="1800"/>
      <c r="E26" s="1801"/>
      <c r="F26" s="1798">
        <v>0</v>
      </c>
      <c r="G26" s="1800">
        <v>6</v>
      </c>
      <c r="H26" s="1800">
        <v>15</v>
      </c>
      <c r="I26" s="1801">
        <v>21</v>
      </c>
      <c r="J26" s="1798">
        <v>0</v>
      </c>
      <c r="K26" s="1800">
        <v>6</v>
      </c>
      <c r="L26" s="1800">
        <v>15</v>
      </c>
      <c r="M26" s="1801">
        <v>21</v>
      </c>
      <c r="N26" s="1798">
        <v>3</v>
      </c>
      <c r="O26" s="1800">
        <v>6</v>
      </c>
      <c r="P26" s="1800">
        <v>12</v>
      </c>
      <c r="Q26" s="1801">
        <v>21</v>
      </c>
      <c r="R26" s="1798">
        <v>3</v>
      </c>
      <c r="S26" s="1800">
        <v>8</v>
      </c>
      <c r="T26" s="1800">
        <v>12</v>
      </c>
      <c r="U26" s="1801">
        <v>23</v>
      </c>
      <c r="V26" s="1798">
        <v>3</v>
      </c>
      <c r="W26" s="1800">
        <v>10</v>
      </c>
      <c r="X26" s="1800">
        <v>10</v>
      </c>
      <c r="Y26" s="1801">
        <v>23</v>
      </c>
      <c r="Z26" s="1798">
        <v>4</v>
      </c>
      <c r="AA26" s="1800">
        <v>11</v>
      </c>
      <c r="AB26" s="1800">
        <v>9</v>
      </c>
      <c r="AC26" s="1801">
        <v>24</v>
      </c>
      <c r="AD26" s="1798">
        <v>6</v>
      </c>
      <c r="AE26" s="1800">
        <v>17</v>
      </c>
      <c r="AF26" s="1800">
        <v>12</v>
      </c>
      <c r="AG26" s="1801">
        <f>SUM(AD26:AF26)</f>
        <v>35</v>
      </c>
      <c r="AH26" s="1798">
        <v>4</v>
      </c>
      <c r="AI26" s="1800">
        <v>13</v>
      </c>
      <c r="AJ26" s="1800">
        <v>10</v>
      </c>
      <c r="AK26" s="1801">
        <f>SUM(AH26:AJ26)</f>
        <v>27</v>
      </c>
      <c r="AL26" s="1798">
        <v>4</v>
      </c>
      <c r="AM26" s="1800">
        <v>11</v>
      </c>
      <c r="AN26" s="1800">
        <v>13</v>
      </c>
      <c r="AO26" s="1801">
        <f>SUM(AL26:AN26)</f>
        <v>28</v>
      </c>
      <c r="AP26" s="1798">
        <v>4</v>
      </c>
      <c r="AQ26" s="1800">
        <v>11</v>
      </c>
      <c r="AR26" s="1800">
        <v>12</v>
      </c>
      <c r="AS26" s="1801">
        <f>SUM(AP26:AR26)</f>
        <v>27</v>
      </c>
      <c r="AT26" s="1798">
        <v>4</v>
      </c>
      <c r="AU26" s="1800">
        <v>9</v>
      </c>
      <c r="AV26" s="1800">
        <v>13</v>
      </c>
      <c r="AW26" s="1801">
        <f>SUM(AT26:AV26)</f>
        <v>26</v>
      </c>
      <c r="AX26" s="1798">
        <v>5</v>
      </c>
      <c r="AY26" s="1800">
        <v>6</v>
      </c>
      <c r="AZ26" s="1800">
        <v>12</v>
      </c>
      <c r="BA26" s="1801">
        <f>SUM(AX26:AZ26)</f>
        <v>23</v>
      </c>
      <c r="BB26" s="1798">
        <v>4</v>
      </c>
      <c r="BC26" s="1800">
        <v>6</v>
      </c>
      <c r="BD26" s="1800">
        <v>12</v>
      </c>
      <c r="BE26" s="1801">
        <f>SUM(BB26:BD26)</f>
        <v>22</v>
      </c>
      <c r="BF26" s="1798">
        <v>4</v>
      </c>
      <c r="BG26" s="1800">
        <v>4</v>
      </c>
      <c r="BH26" s="1800">
        <v>13</v>
      </c>
      <c r="BI26" s="1801">
        <f>SUM(BF26:BH26)</f>
        <v>21</v>
      </c>
    </row>
    <row r="27" spans="1:61" ht="15" customHeight="1" x14ac:dyDescent="0.2">
      <c r="A27" s="1790" t="s">
        <v>11</v>
      </c>
      <c r="B27" s="1802"/>
      <c r="C27" s="1803"/>
      <c r="D27" s="1803"/>
      <c r="E27" s="1804"/>
      <c r="F27" s="1802">
        <v>0</v>
      </c>
      <c r="G27" s="1803">
        <v>3</v>
      </c>
      <c r="H27" s="1803">
        <v>36</v>
      </c>
      <c r="I27" s="1804">
        <v>39</v>
      </c>
      <c r="J27" s="1802">
        <v>0</v>
      </c>
      <c r="K27" s="1803">
        <v>3</v>
      </c>
      <c r="L27" s="1803">
        <v>36</v>
      </c>
      <c r="M27" s="1804">
        <v>39</v>
      </c>
      <c r="N27" s="1802">
        <v>1</v>
      </c>
      <c r="O27" s="1803">
        <v>8</v>
      </c>
      <c r="P27" s="1803">
        <v>30</v>
      </c>
      <c r="Q27" s="1804">
        <v>39</v>
      </c>
      <c r="R27" s="1802">
        <v>1</v>
      </c>
      <c r="S27" s="1803">
        <v>9</v>
      </c>
      <c r="T27" s="1803">
        <v>29</v>
      </c>
      <c r="U27" s="1804">
        <v>39</v>
      </c>
      <c r="V27" s="1802">
        <v>2</v>
      </c>
      <c r="W27" s="1803">
        <v>8</v>
      </c>
      <c r="X27" s="1803">
        <v>29</v>
      </c>
      <c r="Y27" s="1804">
        <v>39</v>
      </c>
      <c r="Z27" s="1802">
        <v>4</v>
      </c>
      <c r="AA27" s="1803">
        <v>11</v>
      </c>
      <c r="AB27" s="1803">
        <v>23</v>
      </c>
      <c r="AC27" s="1804">
        <v>38</v>
      </c>
      <c r="AD27" s="1802">
        <v>5</v>
      </c>
      <c r="AE27" s="1803">
        <v>11</v>
      </c>
      <c r="AF27" s="1803">
        <v>8</v>
      </c>
      <c r="AG27" s="1804">
        <f>SUM(AD27:AF27)</f>
        <v>24</v>
      </c>
      <c r="AH27" s="1802">
        <v>7</v>
      </c>
      <c r="AI27" s="1803">
        <v>17</v>
      </c>
      <c r="AJ27" s="1803">
        <v>13</v>
      </c>
      <c r="AK27" s="1804">
        <f>SUM(AH27:AJ27)</f>
        <v>37</v>
      </c>
      <c r="AL27" s="1802">
        <v>8</v>
      </c>
      <c r="AM27" s="1803">
        <v>15</v>
      </c>
      <c r="AN27" s="1803">
        <v>14</v>
      </c>
      <c r="AO27" s="1804">
        <f>SUM(AL27:AN27)</f>
        <v>37</v>
      </c>
      <c r="AP27" s="1802">
        <v>9</v>
      </c>
      <c r="AQ27" s="1803">
        <v>13</v>
      </c>
      <c r="AR27" s="1803">
        <v>13</v>
      </c>
      <c r="AS27" s="1804">
        <f>SUM(AP27:AR27)</f>
        <v>35</v>
      </c>
      <c r="AT27" s="1802">
        <v>9</v>
      </c>
      <c r="AU27" s="1803">
        <v>15</v>
      </c>
      <c r="AV27" s="1803">
        <v>12</v>
      </c>
      <c r="AW27" s="1804">
        <f>SUM(AT27:AV27)</f>
        <v>36</v>
      </c>
      <c r="AX27" s="1802">
        <v>9</v>
      </c>
      <c r="AY27" s="1803">
        <v>13</v>
      </c>
      <c r="AZ27" s="1803">
        <v>10</v>
      </c>
      <c r="BA27" s="1804">
        <f>SUM(AX27:AZ27)</f>
        <v>32</v>
      </c>
      <c r="BB27" s="1802">
        <v>9</v>
      </c>
      <c r="BC27" s="1803">
        <v>10</v>
      </c>
      <c r="BD27" s="1803">
        <v>13</v>
      </c>
      <c r="BE27" s="1804">
        <f>SUM(BB27:BD27)</f>
        <v>32</v>
      </c>
      <c r="BF27" s="1802">
        <v>8</v>
      </c>
      <c r="BG27" s="1803">
        <v>12</v>
      </c>
      <c r="BH27" s="1803">
        <v>11</v>
      </c>
      <c r="BI27" s="1804">
        <f>SUM(BF27:BH27)</f>
        <v>31</v>
      </c>
    </row>
    <row r="28" spans="1:61" ht="15" customHeight="1" x14ac:dyDescent="0.2">
      <c r="A28" s="1791" t="s">
        <v>7</v>
      </c>
      <c r="B28" s="1805"/>
      <c r="C28" s="1806"/>
      <c r="D28" s="1806"/>
      <c r="E28" s="1807"/>
      <c r="F28" s="1805">
        <v>0</v>
      </c>
      <c r="G28" s="1806"/>
      <c r="H28" s="1806">
        <v>12</v>
      </c>
      <c r="I28" s="1807">
        <v>12</v>
      </c>
      <c r="J28" s="1805">
        <v>0</v>
      </c>
      <c r="K28" s="1806">
        <v>0</v>
      </c>
      <c r="L28" s="1806">
        <v>13</v>
      </c>
      <c r="M28" s="1807">
        <v>13</v>
      </c>
      <c r="N28" s="1805"/>
      <c r="O28" s="1806"/>
      <c r="P28" s="1806">
        <v>13</v>
      </c>
      <c r="Q28" s="1807">
        <v>13</v>
      </c>
      <c r="R28" s="1805"/>
      <c r="S28" s="1806">
        <v>1</v>
      </c>
      <c r="T28" s="1806">
        <v>12</v>
      </c>
      <c r="U28" s="1807">
        <v>13</v>
      </c>
      <c r="V28" s="1805"/>
      <c r="W28" s="1806">
        <v>1</v>
      </c>
      <c r="X28" s="1806">
        <v>12</v>
      </c>
      <c r="Y28" s="1807">
        <v>13</v>
      </c>
      <c r="Z28" s="1805"/>
      <c r="AA28" s="1806">
        <v>1</v>
      </c>
      <c r="AB28" s="1806">
        <v>13</v>
      </c>
      <c r="AC28" s="1807">
        <v>14</v>
      </c>
      <c r="AD28" s="1805"/>
      <c r="AE28" s="1806">
        <v>2</v>
      </c>
      <c r="AF28" s="1806">
        <v>7</v>
      </c>
      <c r="AG28" s="1807">
        <f>SUM(AD28:AF28)</f>
        <v>9</v>
      </c>
      <c r="AH28" s="1805"/>
      <c r="AI28" s="1806">
        <v>2</v>
      </c>
      <c r="AJ28" s="1806">
        <v>6</v>
      </c>
      <c r="AK28" s="1807">
        <f>SUM(AH28:AJ28)</f>
        <v>8</v>
      </c>
      <c r="AL28" s="1805">
        <v>1</v>
      </c>
      <c r="AM28" s="1806">
        <v>2</v>
      </c>
      <c r="AN28" s="1806">
        <v>5</v>
      </c>
      <c r="AO28" s="1807">
        <f>SUM(AL28:AN28)</f>
        <v>8</v>
      </c>
      <c r="AP28" s="1805">
        <v>1</v>
      </c>
      <c r="AQ28" s="1806">
        <v>2</v>
      </c>
      <c r="AR28" s="1806">
        <v>5</v>
      </c>
      <c r="AS28" s="1807">
        <f>SUM(AP28:AR28)</f>
        <v>8</v>
      </c>
      <c r="AT28" s="1805">
        <v>1</v>
      </c>
      <c r="AU28" s="1806">
        <v>2</v>
      </c>
      <c r="AV28" s="1806">
        <v>6</v>
      </c>
      <c r="AW28" s="1807">
        <f>SUM(AT28:AV28)</f>
        <v>9</v>
      </c>
      <c r="AX28" s="1805">
        <v>1</v>
      </c>
      <c r="AY28" s="1806">
        <v>2</v>
      </c>
      <c r="AZ28" s="1806">
        <v>6</v>
      </c>
      <c r="BA28" s="1807">
        <f>SUM(AX28:AZ28)</f>
        <v>9</v>
      </c>
      <c r="BB28" s="1805">
        <v>1</v>
      </c>
      <c r="BC28" s="1806">
        <v>2</v>
      </c>
      <c r="BD28" s="1806">
        <v>6</v>
      </c>
      <c r="BE28" s="1807">
        <f>SUM(BB28:BD28)</f>
        <v>9</v>
      </c>
      <c r="BF28" s="1805"/>
      <c r="BG28" s="1806">
        <v>2</v>
      </c>
      <c r="BH28" s="1806">
        <v>5</v>
      </c>
      <c r="BI28" s="1807">
        <f>SUM(BF28:BH28)</f>
        <v>7</v>
      </c>
    </row>
    <row r="29" spans="1:61" ht="15" customHeight="1" x14ac:dyDescent="0.2">
      <c r="A29" s="3742" t="s">
        <v>163</v>
      </c>
      <c r="B29" s="2177">
        <v>0</v>
      </c>
      <c r="C29" s="2178">
        <v>6</v>
      </c>
      <c r="D29" s="2178">
        <v>50</v>
      </c>
      <c r="E29" s="2179">
        <v>56</v>
      </c>
      <c r="F29" s="2177">
        <v>0</v>
      </c>
      <c r="G29" s="2178">
        <v>9</v>
      </c>
      <c r="H29" s="2178">
        <v>63</v>
      </c>
      <c r="I29" s="2179">
        <v>72</v>
      </c>
      <c r="J29" s="2177">
        <v>0</v>
      </c>
      <c r="K29" s="2178">
        <v>9</v>
      </c>
      <c r="L29" s="2178">
        <v>64</v>
      </c>
      <c r="M29" s="2179">
        <v>73</v>
      </c>
      <c r="N29" s="2177">
        <v>4</v>
      </c>
      <c r="O29" s="2178">
        <v>14</v>
      </c>
      <c r="P29" s="2178">
        <v>55</v>
      </c>
      <c r="Q29" s="2179">
        <v>73</v>
      </c>
      <c r="R29" s="2177">
        <v>4</v>
      </c>
      <c r="S29" s="2178">
        <v>18</v>
      </c>
      <c r="T29" s="2178">
        <v>53</v>
      </c>
      <c r="U29" s="2179">
        <v>75</v>
      </c>
      <c r="V29" s="2177">
        <v>5</v>
      </c>
      <c r="W29" s="2178">
        <v>19</v>
      </c>
      <c r="X29" s="2178">
        <v>51</v>
      </c>
      <c r="Y29" s="2179">
        <v>75</v>
      </c>
      <c r="Z29" s="2177">
        <v>8</v>
      </c>
      <c r="AA29" s="2178">
        <v>23</v>
      </c>
      <c r="AB29" s="2178">
        <v>45</v>
      </c>
      <c r="AC29" s="2179">
        <v>76</v>
      </c>
      <c r="AD29" s="2177">
        <f t="shared" ref="AD29:AK29" si="11">SUM(AD26:AD28)</f>
        <v>11</v>
      </c>
      <c r="AE29" s="2178">
        <f t="shared" si="11"/>
        <v>30</v>
      </c>
      <c r="AF29" s="2178">
        <f t="shared" si="11"/>
        <v>27</v>
      </c>
      <c r="AG29" s="2179">
        <f t="shared" si="11"/>
        <v>68</v>
      </c>
      <c r="AH29" s="2177">
        <f t="shared" si="11"/>
        <v>11</v>
      </c>
      <c r="AI29" s="2178">
        <f t="shared" si="11"/>
        <v>32</v>
      </c>
      <c r="AJ29" s="2178">
        <f t="shared" si="11"/>
        <v>29</v>
      </c>
      <c r="AK29" s="2179">
        <f t="shared" si="11"/>
        <v>72</v>
      </c>
      <c r="AL29" s="2177">
        <f t="shared" ref="AL29:AS29" si="12">SUM(AL26:AL28)</f>
        <v>13</v>
      </c>
      <c r="AM29" s="2178">
        <f t="shared" si="12"/>
        <v>28</v>
      </c>
      <c r="AN29" s="2178">
        <f t="shared" si="12"/>
        <v>32</v>
      </c>
      <c r="AO29" s="2179">
        <f t="shared" si="12"/>
        <v>73</v>
      </c>
      <c r="AP29" s="2177">
        <f t="shared" si="12"/>
        <v>14</v>
      </c>
      <c r="AQ29" s="2178">
        <f t="shared" si="12"/>
        <v>26</v>
      </c>
      <c r="AR29" s="2178">
        <f t="shared" si="12"/>
        <v>30</v>
      </c>
      <c r="AS29" s="2179">
        <f t="shared" si="12"/>
        <v>70</v>
      </c>
      <c r="AT29" s="2177">
        <f t="shared" ref="AT29:BA29" si="13">SUM(AT26:AT28)</f>
        <v>14</v>
      </c>
      <c r="AU29" s="2178">
        <f t="shared" si="13"/>
        <v>26</v>
      </c>
      <c r="AV29" s="2178">
        <f t="shared" si="13"/>
        <v>31</v>
      </c>
      <c r="AW29" s="2179">
        <f t="shared" si="13"/>
        <v>71</v>
      </c>
      <c r="AX29" s="2177">
        <f t="shared" si="13"/>
        <v>15</v>
      </c>
      <c r="AY29" s="2178">
        <f t="shared" si="13"/>
        <v>21</v>
      </c>
      <c r="AZ29" s="2178">
        <f t="shared" si="13"/>
        <v>28</v>
      </c>
      <c r="BA29" s="2179">
        <f t="shared" si="13"/>
        <v>64</v>
      </c>
      <c r="BB29" s="2177">
        <f t="shared" ref="BB29:BI29" si="14">SUM(BB26:BB28)</f>
        <v>14</v>
      </c>
      <c r="BC29" s="2178">
        <f t="shared" si="14"/>
        <v>18</v>
      </c>
      <c r="BD29" s="2178">
        <f t="shared" si="14"/>
        <v>31</v>
      </c>
      <c r="BE29" s="2179">
        <f t="shared" si="14"/>
        <v>63</v>
      </c>
      <c r="BF29" s="2177">
        <f t="shared" si="14"/>
        <v>12</v>
      </c>
      <c r="BG29" s="2178">
        <f t="shared" si="14"/>
        <v>18</v>
      </c>
      <c r="BH29" s="2178">
        <f t="shared" si="14"/>
        <v>29</v>
      </c>
      <c r="BI29" s="2179">
        <f t="shared" si="14"/>
        <v>59</v>
      </c>
    </row>
    <row r="30" spans="1:61" x14ac:dyDescent="0.2">
      <c r="A30" s="1796"/>
      <c r="B30" s="1797"/>
      <c r="C30" s="1797"/>
      <c r="D30" s="1797"/>
      <c r="E30" s="1797"/>
      <c r="F30" s="1797"/>
      <c r="G30" s="1797"/>
      <c r="H30" s="1797"/>
      <c r="I30" s="1797"/>
      <c r="J30" s="1797"/>
      <c r="K30" s="1797"/>
      <c r="L30" s="1797"/>
      <c r="M30" s="1797"/>
      <c r="N30" s="1797"/>
      <c r="O30" s="1797"/>
      <c r="P30" s="1797"/>
      <c r="Q30" s="1797"/>
      <c r="R30" s="1797"/>
      <c r="S30" s="1797"/>
      <c r="T30" s="1797"/>
      <c r="U30" s="1797"/>
      <c r="V30" s="1797"/>
      <c r="W30" s="1797"/>
      <c r="X30" s="1797"/>
      <c r="Y30" s="1797"/>
      <c r="Z30" s="1797"/>
      <c r="AA30" s="1797"/>
      <c r="AB30" s="1797"/>
      <c r="AC30" s="1797"/>
      <c r="AD30" s="1797"/>
      <c r="AE30" s="1797"/>
      <c r="AF30" s="1797"/>
      <c r="AG30" s="1797"/>
      <c r="AH30" s="1797"/>
      <c r="AI30" s="1797"/>
      <c r="AJ30" s="1797"/>
      <c r="AK30" s="1797"/>
      <c r="AL30" s="1797"/>
      <c r="AM30" s="1797"/>
      <c r="AN30" s="1797"/>
      <c r="AO30" s="1797"/>
      <c r="AP30" s="1797"/>
      <c r="AQ30" s="1797"/>
      <c r="AR30" s="1797"/>
      <c r="AS30" s="1797"/>
      <c r="AT30" s="1797"/>
      <c r="AU30" s="1797"/>
      <c r="AV30" s="1797"/>
      <c r="AW30" s="1797"/>
      <c r="AX30" s="1797"/>
      <c r="AY30" s="1797"/>
      <c r="AZ30" s="1797"/>
      <c r="BA30" s="1797"/>
      <c r="BB30" s="1797"/>
      <c r="BC30" s="1797"/>
      <c r="BD30" s="1797"/>
      <c r="BE30" s="1797"/>
      <c r="BF30" s="1797"/>
      <c r="BG30" s="1797"/>
      <c r="BH30" s="1797"/>
      <c r="BI30" s="1797"/>
    </row>
    <row r="31" spans="1:61" ht="15" customHeight="1" x14ac:dyDescent="0.2">
      <c r="A31" s="1789" t="s">
        <v>5</v>
      </c>
      <c r="B31" s="1798"/>
      <c r="C31" s="1800"/>
      <c r="D31" s="1800"/>
      <c r="E31" s="1801"/>
      <c r="F31" s="1798">
        <v>8</v>
      </c>
      <c r="G31" s="1800">
        <v>17</v>
      </c>
      <c r="H31" s="1800">
        <v>39</v>
      </c>
      <c r="I31" s="1801">
        <v>64</v>
      </c>
      <c r="J31" s="1798">
        <v>13</v>
      </c>
      <c r="K31" s="1800">
        <v>18</v>
      </c>
      <c r="L31" s="1800">
        <v>45</v>
      </c>
      <c r="M31" s="1801">
        <v>76</v>
      </c>
      <c r="N31" s="1798">
        <v>20</v>
      </c>
      <c r="O31" s="1800">
        <v>23</v>
      </c>
      <c r="P31" s="1800">
        <v>39</v>
      </c>
      <c r="Q31" s="1801">
        <v>82</v>
      </c>
      <c r="R31" s="1798">
        <v>21</v>
      </c>
      <c r="S31" s="1800">
        <v>26</v>
      </c>
      <c r="T31" s="1800">
        <v>33</v>
      </c>
      <c r="U31" s="1801">
        <v>80</v>
      </c>
      <c r="V31" s="1798">
        <v>22</v>
      </c>
      <c r="W31" s="1800">
        <v>25</v>
      </c>
      <c r="X31" s="1800">
        <v>33</v>
      </c>
      <c r="Y31" s="1801">
        <v>80</v>
      </c>
      <c r="Z31" s="1798">
        <v>21</v>
      </c>
      <c r="AA31" s="1800">
        <v>29</v>
      </c>
      <c r="AB31" s="1800">
        <v>28</v>
      </c>
      <c r="AC31" s="1801">
        <v>78</v>
      </c>
      <c r="AD31" s="1798">
        <f t="shared" ref="AD31:AO31" si="15">SUM(AD6,AD16)</f>
        <v>22</v>
      </c>
      <c r="AE31" s="1800">
        <f t="shared" si="15"/>
        <v>30</v>
      </c>
      <c r="AF31" s="1800">
        <f t="shared" si="15"/>
        <v>15</v>
      </c>
      <c r="AG31" s="1801">
        <f t="shared" si="15"/>
        <v>67</v>
      </c>
      <c r="AH31" s="1798">
        <f t="shared" si="15"/>
        <v>24</v>
      </c>
      <c r="AI31" s="1800">
        <f t="shared" si="15"/>
        <v>28</v>
      </c>
      <c r="AJ31" s="1800">
        <f t="shared" si="15"/>
        <v>14</v>
      </c>
      <c r="AK31" s="1801">
        <f t="shared" si="15"/>
        <v>66</v>
      </c>
      <c r="AL31" s="1798">
        <f t="shared" si="15"/>
        <v>25</v>
      </c>
      <c r="AM31" s="1800">
        <f t="shared" si="15"/>
        <v>28</v>
      </c>
      <c r="AN31" s="1800">
        <f t="shared" si="15"/>
        <v>12</v>
      </c>
      <c r="AO31" s="1801">
        <f t="shared" si="15"/>
        <v>65</v>
      </c>
      <c r="AP31" s="1798">
        <f t="shared" ref="AP31:AW31" si="16">SUM(AP6,AP16)</f>
        <v>25</v>
      </c>
      <c r="AQ31" s="1800">
        <f t="shared" si="16"/>
        <v>27</v>
      </c>
      <c r="AR31" s="1800">
        <f t="shared" si="16"/>
        <v>12</v>
      </c>
      <c r="AS31" s="1801">
        <f t="shared" si="16"/>
        <v>64</v>
      </c>
      <c r="AT31" s="1798">
        <f t="shared" si="16"/>
        <v>26</v>
      </c>
      <c r="AU31" s="1800">
        <f t="shared" si="16"/>
        <v>26</v>
      </c>
      <c r="AV31" s="1800">
        <f t="shared" si="16"/>
        <v>11</v>
      </c>
      <c r="AW31" s="1801">
        <f t="shared" si="16"/>
        <v>63</v>
      </c>
      <c r="AX31" s="1798">
        <f>SUM(AX6,AX16,AX21)</f>
        <v>28</v>
      </c>
      <c r="AY31" s="1800">
        <f>SUM(AY6,AY16,AY21)</f>
        <v>18</v>
      </c>
      <c r="AZ31" s="1800">
        <f>SUM(AZ6,AZ16,AZ21)</f>
        <v>19</v>
      </c>
      <c r="BA31" s="1801">
        <f t="shared" ref="BA31:BA36" si="17">SUM(AX31:AZ31)</f>
        <v>65</v>
      </c>
      <c r="BB31" s="1798">
        <f>SUM(BB6,BB16,BB21)</f>
        <v>25</v>
      </c>
      <c r="BC31" s="1800">
        <f>SUM(BC6,BC16,BC21)</f>
        <v>19</v>
      </c>
      <c r="BD31" s="1800">
        <f>SUM(BD6,BD16,BD21)</f>
        <v>22</v>
      </c>
      <c r="BE31" s="1801">
        <f t="shared" ref="BE31:BE36" si="18">SUM(BB31:BD31)</f>
        <v>66</v>
      </c>
      <c r="BF31" s="1798">
        <f>SUM(BF6,BF16,BF21)</f>
        <v>24</v>
      </c>
      <c r="BG31" s="1800">
        <f>SUM(BG6,BG16,BG21)</f>
        <v>20</v>
      </c>
      <c r="BH31" s="1800">
        <f>SUM(BH6,BH16,BH21)</f>
        <v>20</v>
      </c>
      <c r="BI31" s="1801">
        <f t="shared" ref="BI31:BI36" si="19">SUM(BF31:BH31)</f>
        <v>64</v>
      </c>
    </row>
    <row r="32" spans="1:61" ht="15" customHeight="1" x14ac:dyDescent="0.2">
      <c r="A32" s="1792" t="s">
        <v>6</v>
      </c>
      <c r="B32" s="1802"/>
      <c r="C32" s="1803"/>
      <c r="D32" s="1803"/>
      <c r="E32" s="1804"/>
      <c r="F32" s="1802">
        <v>1</v>
      </c>
      <c r="G32" s="1803">
        <v>18</v>
      </c>
      <c r="H32" s="1803">
        <v>66</v>
      </c>
      <c r="I32" s="1804">
        <v>85</v>
      </c>
      <c r="J32" s="1802">
        <v>1</v>
      </c>
      <c r="K32" s="1803">
        <v>17</v>
      </c>
      <c r="L32" s="1803">
        <v>72</v>
      </c>
      <c r="M32" s="1804">
        <v>90</v>
      </c>
      <c r="N32" s="1802">
        <v>14</v>
      </c>
      <c r="O32" s="1803">
        <v>24</v>
      </c>
      <c r="P32" s="1803">
        <v>62</v>
      </c>
      <c r="Q32" s="1804">
        <v>100</v>
      </c>
      <c r="R32" s="1802">
        <v>17</v>
      </c>
      <c r="S32" s="1803">
        <v>33</v>
      </c>
      <c r="T32" s="1803">
        <v>63</v>
      </c>
      <c r="U32" s="1804">
        <v>113</v>
      </c>
      <c r="V32" s="1802">
        <v>18</v>
      </c>
      <c r="W32" s="1803">
        <v>37</v>
      </c>
      <c r="X32" s="1803">
        <v>62</v>
      </c>
      <c r="Y32" s="1804">
        <v>117</v>
      </c>
      <c r="Z32" s="1802">
        <v>23</v>
      </c>
      <c r="AA32" s="1803">
        <v>43</v>
      </c>
      <c r="AB32" s="1803">
        <v>54</v>
      </c>
      <c r="AC32" s="1804">
        <v>120</v>
      </c>
      <c r="AD32" s="1802">
        <f t="shared" ref="AD32:AO32" si="20">SUM(AD7,AD11,AD17,AD26)</f>
        <v>30</v>
      </c>
      <c r="AE32" s="1803">
        <f t="shared" si="20"/>
        <v>49</v>
      </c>
      <c r="AF32" s="1803">
        <f t="shared" si="20"/>
        <v>32</v>
      </c>
      <c r="AG32" s="1804">
        <f t="shared" si="20"/>
        <v>111</v>
      </c>
      <c r="AH32" s="1802">
        <f t="shared" si="20"/>
        <v>23</v>
      </c>
      <c r="AI32" s="1803">
        <f t="shared" si="20"/>
        <v>48</v>
      </c>
      <c r="AJ32" s="1803">
        <f t="shared" si="20"/>
        <v>37</v>
      </c>
      <c r="AK32" s="1804">
        <f t="shared" si="20"/>
        <v>108</v>
      </c>
      <c r="AL32" s="1802">
        <f t="shared" si="20"/>
        <v>28</v>
      </c>
      <c r="AM32" s="1803">
        <f t="shared" si="20"/>
        <v>40</v>
      </c>
      <c r="AN32" s="1803">
        <f t="shared" si="20"/>
        <v>38</v>
      </c>
      <c r="AO32" s="1804">
        <f t="shared" si="20"/>
        <v>106</v>
      </c>
      <c r="AP32" s="1802">
        <f t="shared" ref="AP32:AW32" si="21">SUM(AP7,AP11,AP17,AP26)</f>
        <v>28</v>
      </c>
      <c r="AQ32" s="1803">
        <f t="shared" si="21"/>
        <v>41</v>
      </c>
      <c r="AR32" s="1803">
        <f t="shared" si="21"/>
        <v>38</v>
      </c>
      <c r="AS32" s="1804">
        <f t="shared" si="21"/>
        <v>107</v>
      </c>
      <c r="AT32" s="1802">
        <f t="shared" si="21"/>
        <v>30</v>
      </c>
      <c r="AU32" s="1803">
        <f t="shared" si="21"/>
        <v>33</v>
      </c>
      <c r="AV32" s="1803">
        <f t="shared" si="21"/>
        <v>37</v>
      </c>
      <c r="AW32" s="1804">
        <f t="shared" si="21"/>
        <v>100</v>
      </c>
      <c r="AX32" s="1802">
        <f>SUM(AX7,AX11,AX17,AX22,AX26)</f>
        <v>30</v>
      </c>
      <c r="AY32" s="1803">
        <f>SUM(AY7,AY11,AY17,AY22,AY26)</f>
        <v>28</v>
      </c>
      <c r="AZ32" s="1803">
        <f>SUM(AZ7,AZ11,AZ17,AZ22,AZ26)</f>
        <v>36</v>
      </c>
      <c r="BA32" s="1804">
        <f t="shared" si="17"/>
        <v>94</v>
      </c>
      <c r="BB32" s="1802">
        <f>SUM(BB7,BB11,BB17,BB22,BB26)</f>
        <v>27</v>
      </c>
      <c r="BC32" s="1803">
        <f>SUM(BC7,BC11,BC17,BC22,BC26)</f>
        <v>30</v>
      </c>
      <c r="BD32" s="1803">
        <f>SUM(BD7,BD11,BD17,BD22,BD26)</f>
        <v>33</v>
      </c>
      <c r="BE32" s="1804">
        <f t="shared" si="18"/>
        <v>90</v>
      </c>
      <c r="BF32" s="1802">
        <f>SUM(BF7,BF11,BF17,BF22,BF26)</f>
        <v>26</v>
      </c>
      <c r="BG32" s="1803">
        <f>SUM(BG7,BG11,BG17,BG22,BG26)</f>
        <v>24</v>
      </c>
      <c r="BH32" s="1803">
        <f>SUM(BH7,BH11,BH17,BH22,BH26)</f>
        <v>35</v>
      </c>
      <c r="BI32" s="1804">
        <f t="shared" si="19"/>
        <v>85</v>
      </c>
    </row>
    <row r="33" spans="1:61" ht="15" customHeight="1" x14ac:dyDescent="0.2">
      <c r="A33" s="1793" t="s">
        <v>11</v>
      </c>
      <c r="B33" s="1802"/>
      <c r="C33" s="1803"/>
      <c r="D33" s="1803"/>
      <c r="E33" s="1804"/>
      <c r="F33" s="1802">
        <v>8</v>
      </c>
      <c r="G33" s="1803">
        <v>18</v>
      </c>
      <c r="H33" s="1803">
        <v>45</v>
      </c>
      <c r="I33" s="1804">
        <v>71</v>
      </c>
      <c r="J33" s="1802">
        <v>9</v>
      </c>
      <c r="K33" s="1803">
        <v>17</v>
      </c>
      <c r="L33" s="1803">
        <v>45</v>
      </c>
      <c r="M33" s="1804">
        <v>71</v>
      </c>
      <c r="N33" s="1802">
        <v>15</v>
      </c>
      <c r="O33" s="1803">
        <v>20</v>
      </c>
      <c r="P33" s="1803">
        <v>38</v>
      </c>
      <c r="Q33" s="1804">
        <v>73</v>
      </c>
      <c r="R33" s="1802">
        <v>15</v>
      </c>
      <c r="S33" s="1803">
        <v>22</v>
      </c>
      <c r="T33" s="1803">
        <v>37</v>
      </c>
      <c r="U33" s="1804">
        <v>74</v>
      </c>
      <c r="V33" s="1802">
        <v>16</v>
      </c>
      <c r="W33" s="1803">
        <v>21</v>
      </c>
      <c r="X33" s="1803">
        <v>37</v>
      </c>
      <c r="Y33" s="1804">
        <v>74</v>
      </c>
      <c r="Z33" s="1802">
        <v>20</v>
      </c>
      <c r="AA33" s="1803">
        <v>23</v>
      </c>
      <c r="AB33" s="1803">
        <v>30</v>
      </c>
      <c r="AC33" s="1804">
        <v>73</v>
      </c>
      <c r="AD33" s="1802">
        <f t="shared" ref="AD33:AO33" si="22">SUM(AD18,AD27)</f>
        <v>19</v>
      </c>
      <c r="AE33" s="1803">
        <f t="shared" si="22"/>
        <v>26</v>
      </c>
      <c r="AF33" s="1803">
        <f t="shared" si="22"/>
        <v>18</v>
      </c>
      <c r="AG33" s="1804">
        <f t="shared" si="22"/>
        <v>63</v>
      </c>
      <c r="AH33" s="1802">
        <f t="shared" si="22"/>
        <v>22</v>
      </c>
      <c r="AI33" s="1803">
        <f t="shared" si="22"/>
        <v>30</v>
      </c>
      <c r="AJ33" s="1803">
        <f t="shared" si="22"/>
        <v>17</v>
      </c>
      <c r="AK33" s="1804">
        <f t="shared" si="22"/>
        <v>69</v>
      </c>
      <c r="AL33" s="1802">
        <f t="shared" si="22"/>
        <v>23</v>
      </c>
      <c r="AM33" s="1803">
        <f t="shared" si="22"/>
        <v>24</v>
      </c>
      <c r="AN33" s="1803">
        <f t="shared" si="22"/>
        <v>22</v>
      </c>
      <c r="AO33" s="1804">
        <f t="shared" si="22"/>
        <v>69</v>
      </c>
      <c r="AP33" s="1802">
        <f t="shared" ref="AP33:AW33" si="23">SUM(AP18,AP27)</f>
        <v>24</v>
      </c>
      <c r="AQ33" s="1803">
        <f t="shared" si="23"/>
        <v>21</v>
      </c>
      <c r="AR33" s="1803">
        <f t="shared" si="23"/>
        <v>21</v>
      </c>
      <c r="AS33" s="1804">
        <f t="shared" si="23"/>
        <v>66</v>
      </c>
      <c r="AT33" s="1802">
        <f t="shared" si="23"/>
        <v>24</v>
      </c>
      <c r="AU33" s="1803">
        <f t="shared" si="23"/>
        <v>23</v>
      </c>
      <c r="AV33" s="1803">
        <f t="shared" si="23"/>
        <v>20</v>
      </c>
      <c r="AW33" s="1804">
        <f t="shared" si="23"/>
        <v>67</v>
      </c>
      <c r="AX33" s="1802">
        <f>SUM(AX18,AX23,AX27)</f>
        <v>25</v>
      </c>
      <c r="AY33" s="1803">
        <f>SUM(AY18,AY23,AY27)</f>
        <v>20</v>
      </c>
      <c r="AZ33" s="1803">
        <f>SUM(AZ18,AZ23,AZ27)</f>
        <v>19</v>
      </c>
      <c r="BA33" s="1804">
        <f t="shared" si="17"/>
        <v>64</v>
      </c>
      <c r="BB33" s="1802">
        <f>SUM(BB18,BB23,BB27)</f>
        <v>25</v>
      </c>
      <c r="BC33" s="1803">
        <f>SUM(BC18,BC23,BC27)</f>
        <v>19</v>
      </c>
      <c r="BD33" s="1803">
        <f>SUM(BD18,BD23,BD27)</f>
        <v>22</v>
      </c>
      <c r="BE33" s="1804">
        <f t="shared" si="18"/>
        <v>66</v>
      </c>
      <c r="BF33" s="1802">
        <f>SUM(BF18,BF23,BF27)</f>
        <v>24</v>
      </c>
      <c r="BG33" s="1803">
        <f>SUM(BG18,BG23,BG27)</f>
        <v>21</v>
      </c>
      <c r="BH33" s="1803">
        <f>SUM(BH18,BH23,BH27)</f>
        <v>22</v>
      </c>
      <c r="BI33" s="1804">
        <f t="shared" si="19"/>
        <v>67</v>
      </c>
    </row>
    <row r="34" spans="1:61" ht="15" customHeight="1" x14ac:dyDescent="0.2">
      <c r="A34" s="1794" t="s">
        <v>7</v>
      </c>
      <c r="B34" s="1802"/>
      <c r="C34" s="1803"/>
      <c r="D34" s="1803"/>
      <c r="E34" s="1804"/>
      <c r="F34" s="1802">
        <v>0</v>
      </c>
      <c r="G34" s="1803">
        <v>1</v>
      </c>
      <c r="H34" s="1803">
        <v>28</v>
      </c>
      <c r="I34" s="1804">
        <v>29</v>
      </c>
      <c r="J34" s="1802">
        <v>0</v>
      </c>
      <c r="K34" s="1803">
        <v>1</v>
      </c>
      <c r="L34" s="1803">
        <v>30</v>
      </c>
      <c r="M34" s="1804">
        <v>31</v>
      </c>
      <c r="N34" s="1802">
        <v>0</v>
      </c>
      <c r="O34" s="1803">
        <v>4</v>
      </c>
      <c r="P34" s="1803">
        <v>28</v>
      </c>
      <c r="Q34" s="1804">
        <v>32</v>
      </c>
      <c r="R34" s="1802">
        <v>1</v>
      </c>
      <c r="S34" s="1803">
        <v>4</v>
      </c>
      <c r="T34" s="1803">
        <v>26</v>
      </c>
      <c r="U34" s="1804">
        <v>31</v>
      </c>
      <c r="V34" s="1802">
        <v>1</v>
      </c>
      <c r="W34" s="1803">
        <v>4</v>
      </c>
      <c r="X34" s="1803">
        <v>26</v>
      </c>
      <c r="Y34" s="1804">
        <v>31</v>
      </c>
      <c r="Z34" s="1802">
        <v>1</v>
      </c>
      <c r="AA34" s="1803">
        <v>4</v>
      </c>
      <c r="AB34" s="1803">
        <v>27</v>
      </c>
      <c r="AC34" s="1804">
        <v>32</v>
      </c>
      <c r="AD34" s="1802">
        <f t="shared" ref="AD34:AO34" si="24">SUM(AD8,AD28)</f>
        <v>1</v>
      </c>
      <c r="AE34" s="1803">
        <f t="shared" si="24"/>
        <v>6</v>
      </c>
      <c r="AF34" s="1803">
        <f t="shared" si="24"/>
        <v>19</v>
      </c>
      <c r="AG34" s="1804">
        <f t="shared" si="24"/>
        <v>26</v>
      </c>
      <c r="AH34" s="1802">
        <f t="shared" si="24"/>
        <v>1</v>
      </c>
      <c r="AI34" s="1803">
        <f t="shared" si="24"/>
        <v>5</v>
      </c>
      <c r="AJ34" s="1803">
        <f t="shared" si="24"/>
        <v>21</v>
      </c>
      <c r="AK34" s="1804">
        <f t="shared" si="24"/>
        <v>27</v>
      </c>
      <c r="AL34" s="1802">
        <f t="shared" si="24"/>
        <v>2</v>
      </c>
      <c r="AM34" s="1803">
        <f t="shared" si="24"/>
        <v>5</v>
      </c>
      <c r="AN34" s="1803">
        <f t="shared" si="24"/>
        <v>21</v>
      </c>
      <c r="AO34" s="1804">
        <f t="shared" si="24"/>
        <v>28</v>
      </c>
      <c r="AP34" s="1802">
        <f t="shared" ref="AP34:AW34" si="25">SUM(AP8,AP28)</f>
        <v>2</v>
      </c>
      <c r="AQ34" s="1803">
        <f t="shared" si="25"/>
        <v>5</v>
      </c>
      <c r="AR34" s="1803">
        <f t="shared" si="25"/>
        <v>21</v>
      </c>
      <c r="AS34" s="1804">
        <f t="shared" si="25"/>
        <v>28</v>
      </c>
      <c r="AT34" s="1802">
        <f t="shared" si="25"/>
        <v>2</v>
      </c>
      <c r="AU34" s="1803">
        <f t="shared" si="25"/>
        <v>5</v>
      </c>
      <c r="AV34" s="1803">
        <f t="shared" si="25"/>
        <v>22</v>
      </c>
      <c r="AW34" s="1804">
        <f t="shared" si="25"/>
        <v>29</v>
      </c>
      <c r="AX34" s="1802">
        <f>SUM(AX8,AX28)</f>
        <v>2</v>
      </c>
      <c r="AY34" s="1803">
        <f>SUM(AY8,AY28)</f>
        <v>8</v>
      </c>
      <c r="AZ34" s="1803">
        <f>SUM(AZ8,AZ28)</f>
        <v>25</v>
      </c>
      <c r="BA34" s="1804">
        <f t="shared" si="17"/>
        <v>35</v>
      </c>
      <c r="BB34" s="1802">
        <f>SUM(BB8,BB28)</f>
        <v>2</v>
      </c>
      <c r="BC34" s="1803">
        <f>SUM(BC8,BC28)</f>
        <v>9</v>
      </c>
      <c r="BD34" s="1803">
        <f>SUM(BD8,BD28)</f>
        <v>23</v>
      </c>
      <c r="BE34" s="1804">
        <f t="shared" si="18"/>
        <v>34</v>
      </c>
      <c r="BF34" s="1802">
        <f>SUM(BF8,BF28)</f>
        <v>2</v>
      </c>
      <c r="BG34" s="1803">
        <f>SUM(BG8,BG28)</f>
        <v>7</v>
      </c>
      <c r="BH34" s="1803">
        <f>SUM(BH8,BH28)</f>
        <v>21</v>
      </c>
      <c r="BI34" s="1804">
        <f t="shared" si="19"/>
        <v>30</v>
      </c>
    </row>
    <row r="35" spans="1:61" ht="15" customHeight="1" x14ac:dyDescent="0.2">
      <c r="A35" s="1790" t="s">
        <v>9</v>
      </c>
      <c r="B35" s="1802"/>
      <c r="C35" s="1803"/>
      <c r="D35" s="1803"/>
      <c r="E35" s="1804"/>
      <c r="F35" s="1802">
        <v>0</v>
      </c>
      <c r="G35" s="1803">
        <v>0</v>
      </c>
      <c r="H35" s="1803">
        <v>0</v>
      </c>
      <c r="I35" s="1804">
        <v>0</v>
      </c>
      <c r="J35" s="1802">
        <v>0</v>
      </c>
      <c r="K35" s="1803">
        <v>0</v>
      </c>
      <c r="L35" s="1803">
        <v>0</v>
      </c>
      <c r="M35" s="1804">
        <v>0</v>
      </c>
      <c r="N35" s="1802">
        <v>0</v>
      </c>
      <c r="O35" s="1803">
        <v>0</v>
      </c>
      <c r="P35" s="1803">
        <v>3</v>
      </c>
      <c r="Q35" s="1804">
        <v>3</v>
      </c>
      <c r="R35" s="1802">
        <v>0</v>
      </c>
      <c r="S35" s="1803">
        <v>0</v>
      </c>
      <c r="T35" s="1803">
        <v>3</v>
      </c>
      <c r="U35" s="1804">
        <v>3</v>
      </c>
      <c r="V35" s="1802">
        <v>0</v>
      </c>
      <c r="W35" s="1803">
        <v>0</v>
      </c>
      <c r="X35" s="1803">
        <v>3</v>
      </c>
      <c r="Y35" s="1804">
        <v>3</v>
      </c>
      <c r="Z35" s="1802">
        <v>1</v>
      </c>
      <c r="AA35" s="1803">
        <v>0</v>
      </c>
      <c r="AB35" s="1803">
        <v>3</v>
      </c>
      <c r="AC35" s="1804">
        <v>4</v>
      </c>
      <c r="AD35" s="1802">
        <f t="shared" ref="AD35:AO35" si="26">SUM(AD12)</f>
        <v>1</v>
      </c>
      <c r="AE35" s="1803">
        <f t="shared" si="26"/>
        <v>0</v>
      </c>
      <c r="AF35" s="1803">
        <f t="shared" si="26"/>
        <v>4</v>
      </c>
      <c r="AG35" s="1804">
        <f t="shared" si="26"/>
        <v>5</v>
      </c>
      <c r="AH35" s="1802">
        <f t="shared" si="26"/>
        <v>1</v>
      </c>
      <c r="AI35" s="1803">
        <f t="shared" si="26"/>
        <v>0</v>
      </c>
      <c r="AJ35" s="1803">
        <f t="shared" si="26"/>
        <v>8</v>
      </c>
      <c r="AK35" s="1804">
        <f t="shared" si="26"/>
        <v>9</v>
      </c>
      <c r="AL35" s="1802">
        <f t="shared" si="26"/>
        <v>1</v>
      </c>
      <c r="AM35" s="1803">
        <f t="shared" si="26"/>
        <v>0</v>
      </c>
      <c r="AN35" s="1803">
        <f t="shared" si="26"/>
        <v>9</v>
      </c>
      <c r="AO35" s="1804">
        <f t="shared" si="26"/>
        <v>10</v>
      </c>
      <c r="AP35" s="1802">
        <f t="shared" ref="AP35:AW36" si="27">SUM(AP12)</f>
        <v>1</v>
      </c>
      <c r="AQ35" s="1803">
        <f t="shared" si="27"/>
        <v>0</v>
      </c>
      <c r="AR35" s="1803">
        <f t="shared" si="27"/>
        <v>8</v>
      </c>
      <c r="AS35" s="1804">
        <f t="shared" si="27"/>
        <v>9</v>
      </c>
      <c r="AT35" s="1802">
        <f t="shared" si="27"/>
        <v>1</v>
      </c>
      <c r="AU35" s="1803">
        <f t="shared" si="27"/>
        <v>1</v>
      </c>
      <c r="AV35" s="1803">
        <f t="shared" si="27"/>
        <v>7</v>
      </c>
      <c r="AW35" s="1804">
        <f t="shared" si="27"/>
        <v>9</v>
      </c>
      <c r="AX35" s="1802">
        <f t="shared" ref="AX35:AZ36" si="28">SUM(AX12)</f>
        <v>1</v>
      </c>
      <c r="AY35" s="1803">
        <f t="shared" si="28"/>
        <v>1</v>
      </c>
      <c r="AZ35" s="1803">
        <f t="shared" si="28"/>
        <v>8</v>
      </c>
      <c r="BA35" s="1804">
        <f t="shared" si="17"/>
        <v>10</v>
      </c>
      <c r="BB35" s="1802">
        <f t="shared" ref="BB35:BD36" si="29">SUM(BB12)</f>
        <v>1</v>
      </c>
      <c r="BC35" s="1803">
        <f t="shared" si="29"/>
        <v>1</v>
      </c>
      <c r="BD35" s="1803">
        <f t="shared" si="29"/>
        <v>8</v>
      </c>
      <c r="BE35" s="1804">
        <f t="shared" si="18"/>
        <v>10</v>
      </c>
      <c r="BF35" s="1802">
        <f t="shared" ref="BF35:BH35" si="30">SUM(BF12)</f>
        <v>1</v>
      </c>
      <c r="BG35" s="1803">
        <f t="shared" si="30"/>
        <v>1</v>
      </c>
      <c r="BH35" s="1803">
        <f t="shared" si="30"/>
        <v>6</v>
      </c>
      <c r="BI35" s="1804">
        <f t="shared" si="19"/>
        <v>8</v>
      </c>
    </row>
    <row r="36" spans="1:61" ht="15" customHeight="1" x14ac:dyDescent="0.2">
      <c r="A36" s="1791" t="s">
        <v>74</v>
      </c>
      <c r="B36" s="1805"/>
      <c r="C36" s="1806"/>
      <c r="D36" s="1806"/>
      <c r="E36" s="1807"/>
      <c r="F36" s="1811">
        <v>0</v>
      </c>
      <c r="G36" s="1812">
        <v>0</v>
      </c>
      <c r="H36" s="1812">
        <v>0</v>
      </c>
      <c r="I36" s="1807">
        <v>0</v>
      </c>
      <c r="J36" s="1805">
        <v>0</v>
      </c>
      <c r="K36" s="1806">
        <v>0</v>
      </c>
      <c r="L36" s="1806">
        <v>0</v>
      </c>
      <c r="M36" s="1807">
        <v>0</v>
      </c>
      <c r="N36" s="1805">
        <v>0</v>
      </c>
      <c r="O36" s="1806">
        <v>0</v>
      </c>
      <c r="P36" s="1806">
        <v>1</v>
      </c>
      <c r="Q36" s="1807">
        <v>1</v>
      </c>
      <c r="R36" s="1805">
        <v>0</v>
      </c>
      <c r="S36" s="1806">
        <v>0</v>
      </c>
      <c r="T36" s="1806">
        <v>1</v>
      </c>
      <c r="U36" s="1807">
        <v>1</v>
      </c>
      <c r="V36" s="1805">
        <v>0</v>
      </c>
      <c r="W36" s="1806">
        <v>0</v>
      </c>
      <c r="X36" s="1806">
        <v>4</v>
      </c>
      <c r="Y36" s="1807">
        <v>4</v>
      </c>
      <c r="Z36" s="1811">
        <v>0</v>
      </c>
      <c r="AA36" s="1812">
        <v>0</v>
      </c>
      <c r="AB36" s="1812">
        <v>4</v>
      </c>
      <c r="AC36" s="1807">
        <v>4</v>
      </c>
      <c r="AD36" s="1805">
        <f t="shared" ref="AD36:AO36" si="31">SUM(AD13)</f>
        <v>0</v>
      </c>
      <c r="AE36" s="1806">
        <f t="shared" si="31"/>
        <v>0</v>
      </c>
      <c r="AF36" s="1806">
        <f t="shared" si="31"/>
        <v>5</v>
      </c>
      <c r="AG36" s="1807">
        <f t="shared" si="31"/>
        <v>5</v>
      </c>
      <c r="AH36" s="1805">
        <f t="shared" si="31"/>
        <v>1</v>
      </c>
      <c r="AI36" s="1806">
        <f t="shared" si="31"/>
        <v>1</v>
      </c>
      <c r="AJ36" s="1806">
        <f t="shared" si="31"/>
        <v>5</v>
      </c>
      <c r="AK36" s="1807">
        <f t="shared" si="31"/>
        <v>7</v>
      </c>
      <c r="AL36" s="1805">
        <f t="shared" si="31"/>
        <v>1</v>
      </c>
      <c r="AM36" s="1806">
        <f t="shared" si="31"/>
        <v>2</v>
      </c>
      <c r="AN36" s="1806">
        <f t="shared" si="31"/>
        <v>5</v>
      </c>
      <c r="AO36" s="1807">
        <f t="shared" si="31"/>
        <v>8</v>
      </c>
      <c r="AP36" s="1805">
        <f t="shared" si="27"/>
        <v>1</v>
      </c>
      <c r="AQ36" s="1806">
        <f t="shared" si="27"/>
        <v>2</v>
      </c>
      <c r="AR36" s="1806">
        <f t="shared" si="27"/>
        <v>5</v>
      </c>
      <c r="AS36" s="1807">
        <f t="shared" si="27"/>
        <v>8</v>
      </c>
      <c r="AT36" s="1805">
        <f t="shared" si="27"/>
        <v>1</v>
      </c>
      <c r="AU36" s="1806">
        <f t="shared" si="27"/>
        <v>4</v>
      </c>
      <c r="AV36" s="1806">
        <f t="shared" si="27"/>
        <v>4</v>
      </c>
      <c r="AW36" s="1807">
        <f t="shared" si="27"/>
        <v>9</v>
      </c>
      <c r="AX36" s="1805">
        <f t="shared" si="28"/>
        <v>1</v>
      </c>
      <c r="AY36" s="1806">
        <f t="shared" si="28"/>
        <v>6</v>
      </c>
      <c r="AZ36" s="1806">
        <f t="shared" si="28"/>
        <v>4</v>
      </c>
      <c r="BA36" s="1804">
        <f t="shared" si="17"/>
        <v>11</v>
      </c>
      <c r="BB36" s="1805">
        <f t="shared" si="29"/>
        <v>2</v>
      </c>
      <c r="BC36" s="1806">
        <f t="shared" si="29"/>
        <v>5</v>
      </c>
      <c r="BD36" s="1806">
        <f t="shared" si="29"/>
        <v>4</v>
      </c>
      <c r="BE36" s="1804">
        <f t="shared" si="18"/>
        <v>11</v>
      </c>
      <c r="BF36" s="1805">
        <f t="shared" ref="BF36:BH36" si="32">SUM(BF13)</f>
        <v>3</v>
      </c>
      <c r="BG36" s="1806">
        <f t="shared" si="32"/>
        <v>5</v>
      </c>
      <c r="BH36" s="1806">
        <f t="shared" si="32"/>
        <v>2</v>
      </c>
      <c r="BI36" s="1804">
        <f t="shared" si="19"/>
        <v>10</v>
      </c>
    </row>
    <row r="37" spans="1:61" ht="15" customHeight="1" x14ac:dyDescent="0.2">
      <c r="A37" s="3659" t="s">
        <v>573</v>
      </c>
      <c r="B37" s="1808">
        <v>15</v>
      </c>
      <c r="C37" s="1809">
        <v>44</v>
      </c>
      <c r="D37" s="1809">
        <v>154</v>
      </c>
      <c r="E37" s="1810">
        <v>213</v>
      </c>
      <c r="F37" s="1808">
        <v>17</v>
      </c>
      <c r="G37" s="1809">
        <v>54</v>
      </c>
      <c r="H37" s="1809">
        <v>178</v>
      </c>
      <c r="I37" s="1810">
        <v>249</v>
      </c>
      <c r="J37" s="1808">
        <v>23</v>
      </c>
      <c r="K37" s="1809">
        <v>53</v>
      </c>
      <c r="L37" s="1809">
        <v>192</v>
      </c>
      <c r="M37" s="1810">
        <v>268</v>
      </c>
      <c r="N37" s="1808">
        <v>49</v>
      </c>
      <c r="O37" s="1809">
        <v>71</v>
      </c>
      <c r="P37" s="1809">
        <v>171</v>
      </c>
      <c r="Q37" s="1810">
        <v>291</v>
      </c>
      <c r="R37" s="1808">
        <v>54</v>
      </c>
      <c r="S37" s="1809">
        <v>85</v>
      </c>
      <c r="T37" s="1809">
        <v>163</v>
      </c>
      <c r="U37" s="1810">
        <v>302</v>
      </c>
      <c r="V37" s="1808">
        <v>57</v>
      </c>
      <c r="W37" s="1809">
        <v>87</v>
      </c>
      <c r="X37" s="1809">
        <v>165</v>
      </c>
      <c r="Y37" s="1810">
        <v>309</v>
      </c>
      <c r="Z37" s="1808">
        <v>66</v>
      </c>
      <c r="AA37" s="1809">
        <v>99</v>
      </c>
      <c r="AB37" s="1809">
        <v>146</v>
      </c>
      <c r="AC37" s="1810">
        <v>311</v>
      </c>
      <c r="AD37" s="1808">
        <f t="shared" ref="AD37:AK37" si="33">SUM(AD31:AD36)</f>
        <v>73</v>
      </c>
      <c r="AE37" s="1809">
        <f t="shared" si="33"/>
        <v>111</v>
      </c>
      <c r="AF37" s="1809">
        <f t="shared" si="33"/>
        <v>93</v>
      </c>
      <c r="AG37" s="1810">
        <f t="shared" si="33"/>
        <v>277</v>
      </c>
      <c r="AH37" s="1808">
        <f t="shared" si="33"/>
        <v>72</v>
      </c>
      <c r="AI37" s="1809">
        <f t="shared" si="33"/>
        <v>112</v>
      </c>
      <c r="AJ37" s="1809">
        <f t="shared" si="33"/>
        <v>102</v>
      </c>
      <c r="AK37" s="1810">
        <f t="shared" si="33"/>
        <v>286</v>
      </c>
      <c r="AL37" s="1808">
        <f t="shared" ref="AL37:AS37" si="34">SUM(AL31:AL36)</f>
        <v>80</v>
      </c>
      <c r="AM37" s="1809">
        <f t="shared" si="34"/>
        <v>99</v>
      </c>
      <c r="AN37" s="1809">
        <f t="shared" si="34"/>
        <v>107</v>
      </c>
      <c r="AO37" s="1810">
        <f t="shared" si="34"/>
        <v>286</v>
      </c>
      <c r="AP37" s="1808">
        <f t="shared" si="34"/>
        <v>81</v>
      </c>
      <c r="AQ37" s="1809">
        <f t="shared" si="34"/>
        <v>96</v>
      </c>
      <c r="AR37" s="1809">
        <f t="shared" si="34"/>
        <v>105</v>
      </c>
      <c r="AS37" s="1810">
        <f t="shared" si="34"/>
        <v>282</v>
      </c>
      <c r="AT37" s="1808">
        <f t="shared" ref="AT37:BE37" si="35">SUM(AT31:AT36)</f>
        <v>84</v>
      </c>
      <c r="AU37" s="1809">
        <f t="shared" si="35"/>
        <v>92</v>
      </c>
      <c r="AV37" s="1809">
        <f t="shared" si="35"/>
        <v>101</v>
      </c>
      <c r="AW37" s="1810">
        <f t="shared" si="35"/>
        <v>277</v>
      </c>
      <c r="AX37" s="1808">
        <f t="shared" si="35"/>
        <v>87</v>
      </c>
      <c r="AY37" s="1809">
        <f t="shared" si="35"/>
        <v>81</v>
      </c>
      <c r="AZ37" s="1809">
        <f t="shared" si="35"/>
        <v>111</v>
      </c>
      <c r="BA37" s="1810">
        <f t="shared" si="35"/>
        <v>279</v>
      </c>
      <c r="BB37" s="1808">
        <f t="shared" si="35"/>
        <v>82</v>
      </c>
      <c r="BC37" s="1809">
        <f t="shared" si="35"/>
        <v>83</v>
      </c>
      <c r="BD37" s="1809">
        <f t="shared" si="35"/>
        <v>112</v>
      </c>
      <c r="BE37" s="1810">
        <f t="shared" si="35"/>
        <v>277</v>
      </c>
      <c r="BF37" s="1808">
        <f t="shared" ref="BF37:BI37" si="36">SUM(BF31:BF36)</f>
        <v>80</v>
      </c>
      <c r="BG37" s="1809">
        <f t="shared" si="36"/>
        <v>78</v>
      </c>
      <c r="BH37" s="1809">
        <f t="shared" si="36"/>
        <v>106</v>
      </c>
      <c r="BI37" s="1810">
        <f t="shared" si="36"/>
        <v>264</v>
      </c>
    </row>
    <row r="38" spans="1:61" x14ac:dyDescent="0.2">
      <c r="A38" s="1813" t="s">
        <v>159</v>
      </c>
      <c r="B38" s="1814"/>
      <c r="C38" s="1814"/>
      <c r="D38" s="1814"/>
      <c r="E38" s="1814"/>
      <c r="F38" s="1815"/>
      <c r="G38" s="1815"/>
      <c r="H38" s="1815"/>
      <c r="I38" s="1815"/>
      <c r="J38" s="1815"/>
      <c r="K38" s="1815"/>
      <c r="L38" s="1815"/>
      <c r="M38" s="1815"/>
      <c r="N38" s="1815"/>
      <c r="O38" s="1815"/>
      <c r="P38" s="1815"/>
      <c r="Q38" s="1815"/>
      <c r="R38" s="1815"/>
      <c r="S38" s="1815"/>
      <c r="T38" s="1815"/>
      <c r="U38" s="1815"/>
      <c r="V38" s="1797"/>
      <c r="W38" s="1797"/>
      <c r="X38" s="1797"/>
      <c r="Y38" s="1797"/>
      <c r="Z38" s="1797"/>
      <c r="AA38" s="1797"/>
      <c r="AB38" s="1797"/>
      <c r="AC38" s="1797"/>
      <c r="AD38" s="1797"/>
      <c r="AE38" s="1797"/>
      <c r="AF38" s="1797"/>
      <c r="AG38" s="1797"/>
      <c r="AH38" s="1797"/>
      <c r="AI38" s="1797"/>
      <c r="AJ38" s="1797"/>
      <c r="AK38" s="1797"/>
      <c r="AL38" s="1797"/>
      <c r="AM38" s="1797"/>
      <c r="AN38" s="1797"/>
      <c r="AO38" s="1797"/>
      <c r="AP38" s="1797"/>
      <c r="AQ38" s="1797"/>
      <c r="AR38" s="1797"/>
      <c r="AS38" s="1797"/>
    </row>
    <row r="39" spans="1:61" x14ac:dyDescent="0.2">
      <c r="B39" s="1618" t="s">
        <v>640</v>
      </c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</row>
    <row r="40" spans="1:61" x14ac:dyDescent="0.2">
      <c r="B40" s="1618" t="s">
        <v>641</v>
      </c>
      <c r="C40" s="255"/>
      <c r="D40" s="255"/>
      <c r="E40" s="255"/>
      <c r="F40" s="255"/>
      <c r="G40" s="255"/>
      <c r="H40" s="255"/>
      <c r="I40" s="255"/>
      <c r="J40" s="255"/>
      <c r="K40" s="255"/>
      <c r="L40" s="255"/>
      <c r="M40" s="255"/>
      <c r="N40" s="255"/>
      <c r="O40" s="255"/>
      <c r="P40" s="255"/>
      <c r="Q40" s="255"/>
      <c r="R40" s="255"/>
      <c r="S40" s="255"/>
      <c r="T40" s="255"/>
      <c r="U40" s="255"/>
    </row>
    <row r="41" spans="1:61" x14ac:dyDescent="0.2">
      <c r="B41" s="1618" t="s">
        <v>642</v>
      </c>
      <c r="C41" s="255"/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</row>
    <row r="42" spans="1:61" x14ac:dyDescent="0.2">
      <c r="A42" s="138"/>
      <c r="C42" s="34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255"/>
      <c r="P42" s="255"/>
      <c r="Q42" s="255"/>
      <c r="R42" s="255"/>
      <c r="S42" s="255"/>
      <c r="T42" s="255"/>
      <c r="U42" s="255"/>
      <c r="Z42" s="3736">
        <v>2003</v>
      </c>
    </row>
    <row r="43" spans="1:61" ht="15" customHeight="1" x14ac:dyDescent="0.2">
      <c r="A43" s="447"/>
      <c r="C43" s="255"/>
      <c r="D43" s="255"/>
      <c r="E43" s="255"/>
      <c r="F43" s="255"/>
      <c r="G43" s="255"/>
      <c r="H43" s="255"/>
      <c r="I43" s="255"/>
      <c r="J43" s="255"/>
      <c r="K43" s="255"/>
      <c r="L43" s="255"/>
      <c r="M43" s="255"/>
      <c r="N43" s="255"/>
      <c r="O43" s="255"/>
      <c r="P43" s="255"/>
      <c r="Q43" s="255"/>
      <c r="R43" s="255"/>
      <c r="S43" s="255"/>
      <c r="T43" s="255"/>
      <c r="U43" s="255"/>
      <c r="Z43" s="3736">
        <v>2004</v>
      </c>
    </row>
    <row r="44" spans="1:61" x14ac:dyDescent="0.2">
      <c r="C44" s="255"/>
      <c r="D44" s="255"/>
      <c r="E44" s="255"/>
      <c r="Z44" s="3736">
        <v>2005</v>
      </c>
    </row>
    <row r="45" spans="1:61" ht="21" customHeight="1" x14ac:dyDescent="0.2">
      <c r="B45" s="7317" t="s">
        <v>776</v>
      </c>
      <c r="C45" s="7317"/>
      <c r="D45" s="7317"/>
      <c r="E45" s="7317"/>
      <c r="F45" s="7317"/>
      <c r="G45" s="7317"/>
      <c r="H45" s="7317"/>
      <c r="I45" s="7317"/>
      <c r="J45" s="7317"/>
      <c r="K45" s="7317"/>
      <c r="L45" s="7317"/>
      <c r="M45" s="7317"/>
      <c r="N45" s="7317"/>
      <c r="O45" s="7317"/>
      <c r="P45" s="7317"/>
      <c r="Q45" s="7317"/>
      <c r="R45" s="7317"/>
      <c r="S45" s="7317"/>
      <c r="Z45" s="3736">
        <v>2006</v>
      </c>
    </row>
    <row r="46" spans="1:61" x14ac:dyDescent="0.2">
      <c r="B46" s="2200" t="s">
        <v>781</v>
      </c>
      <c r="C46" s="34"/>
      <c r="Z46" s="3736">
        <v>2007</v>
      </c>
    </row>
    <row r="47" spans="1:61" x14ac:dyDescent="0.2">
      <c r="B47" s="2205" t="s">
        <v>763</v>
      </c>
      <c r="Z47" s="3736">
        <v>2008</v>
      </c>
    </row>
    <row r="48" spans="1:61" x14ac:dyDescent="0.2">
      <c r="B48" s="2205" t="s">
        <v>764</v>
      </c>
      <c r="Z48" s="3736">
        <v>2009</v>
      </c>
    </row>
    <row r="49" spans="2:26" x14ac:dyDescent="0.2">
      <c r="B49" s="2205" t="s">
        <v>765</v>
      </c>
      <c r="Z49" s="3736">
        <v>2010</v>
      </c>
    </row>
    <row r="50" spans="2:26" x14ac:dyDescent="0.2">
      <c r="B50" s="2200" t="s">
        <v>780</v>
      </c>
      <c r="Z50" s="3736">
        <v>2011</v>
      </c>
    </row>
    <row r="51" spans="2:26" x14ac:dyDescent="0.2">
      <c r="B51" s="2205" t="s">
        <v>766</v>
      </c>
      <c r="Z51" s="3736">
        <v>2012</v>
      </c>
    </row>
    <row r="52" spans="2:26" x14ac:dyDescent="0.2">
      <c r="B52" s="2205" t="s">
        <v>767</v>
      </c>
      <c r="Z52" s="3736">
        <v>2013</v>
      </c>
    </row>
    <row r="53" spans="2:26" x14ac:dyDescent="0.2">
      <c r="B53" s="2205" t="s">
        <v>768</v>
      </c>
      <c r="Z53" s="3736">
        <v>2014</v>
      </c>
    </row>
    <row r="54" spans="2:26" x14ac:dyDescent="0.2">
      <c r="B54" s="2205" t="s">
        <v>769</v>
      </c>
      <c r="Z54" s="3736">
        <v>2015</v>
      </c>
    </row>
    <row r="55" spans="2:26" x14ac:dyDescent="0.2">
      <c r="B55" s="2205" t="s">
        <v>770</v>
      </c>
      <c r="Z55" s="3736">
        <v>2016</v>
      </c>
    </row>
    <row r="56" spans="2:26" x14ac:dyDescent="0.2">
      <c r="B56" s="2205" t="s">
        <v>771</v>
      </c>
      <c r="Z56" s="3736">
        <v>2017</v>
      </c>
    </row>
    <row r="57" spans="2:26" x14ac:dyDescent="0.2">
      <c r="B57" s="2200" t="s">
        <v>779</v>
      </c>
      <c r="Z57" s="3736"/>
    </row>
    <row r="58" spans="2:26" x14ac:dyDescent="0.2">
      <c r="B58" s="2205" t="s">
        <v>772</v>
      </c>
      <c r="Z58" s="3736"/>
    </row>
    <row r="59" spans="2:26" x14ac:dyDescent="0.2">
      <c r="B59" s="2205" t="s">
        <v>773</v>
      </c>
      <c r="Z59" s="3736"/>
    </row>
    <row r="60" spans="2:26" x14ac:dyDescent="0.2">
      <c r="B60" s="2205" t="s">
        <v>774</v>
      </c>
      <c r="Z60" s="3736"/>
    </row>
    <row r="61" spans="2:26" x14ac:dyDescent="0.2">
      <c r="B61" s="2205" t="s">
        <v>775</v>
      </c>
      <c r="Z61" s="3736"/>
    </row>
    <row r="62" spans="2:26" x14ac:dyDescent="0.2">
      <c r="B62" s="2200" t="s">
        <v>777</v>
      </c>
      <c r="Z62" s="3736"/>
    </row>
    <row r="63" spans="2:26" x14ac:dyDescent="0.2">
      <c r="B63" s="2200" t="s">
        <v>778</v>
      </c>
      <c r="Z63" s="3736"/>
    </row>
    <row r="71" hidden="1" x14ac:dyDescent="0.2"/>
    <row r="72" hidden="1" x14ac:dyDescent="0.2"/>
    <row r="73" hidden="1" x14ac:dyDescent="0.2"/>
    <row r="74" hidden="1" x14ac:dyDescent="0.2"/>
    <row r="75" hidden="1" x14ac:dyDescent="0.2"/>
    <row r="76" hidden="1" x14ac:dyDescent="0.2"/>
    <row r="77" hidden="1" x14ac:dyDescent="0.2"/>
    <row r="78" hidden="1" x14ac:dyDescent="0.2"/>
    <row r="79" hidden="1" x14ac:dyDescent="0.2"/>
    <row r="80" hidden="1" x14ac:dyDescent="0.2"/>
    <row r="81" hidden="1" x14ac:dyDescent="0.2"/>
    <row r="82" hidden="1" x14ac:dyDescent="0.2"/>
    <row r="83" hidden="1" x14ac:dyDescent="0.2"/>
    <row r="84" hidden="1" x14ac:dyDescent="0.2"/>
    <row r="85" hidden="1" x14ac:dyDescent="0.2"/>
    <row r="86" hidden="1" x14ac:dyDescent="0.2"/>
    <row r="87" hidden="1" x14ac:dyDescent="0.2"/>
    <row r="88" hidden="1" x14ac:dyDescent="0.2"/>
    <row r="89" hidden="1" x14ac:dyDescent="0.2"/>
    <row r="90" hidden="1" x14ac:dyDescent="0.2"/>
    <row r="91" hidden="1" x14ac:dyDescent="0.2"/>
    <row r="92" hidden="1" x14ac:dyDescent="0.2"/>
    <row r="93" hidden="1" x14ac:dyDescent="0.2"/>
    <row r="94" hidden="1" x14ac:dyDescent="0.2"/>
    <row r="95" hidden="1" x14ac:dyDescent="0.2"/>
    <row r="96" hidden="1" x14ac:dyDescent="0.2"/>
    <row r="97" hidden="1" x14ac:dyDescent="0.2"/>
    <row r="98" hidden="1" x14ac:dyDescent="0.2"/>
    <row r="99" hidden="1" x14ac:dyDescent="0.2"/>
    <row r="100" hidden="1" x14ac:dyDescent="0.2"/>
    <row r="101" hidden="1" x14ac:dyDescent="0.2"/>
    <row r="102" hidden="1" x14ac:dyDescent="0.2"/>
    <row r="103" hidden="1" x14ac:dyDescent="0.2"/>
    <row r="104" hidden="1" x14ac:dyDescent="0.2"/>
    <row r="105" hidden="1" x14ac:dyDescent="0.2"/>
    <row r="106" hidden="1" x14ac:dyDescent="0.2"/>
    <row r="107" hidden="1" x14ac:dyDescent="0.2"/>
    <row r="108" hidden="1" x14ac:dyDescent="0.2"/>
    <row r="109" hidden="1" x14ac:dyDescent="0.2"/>
    <row r="110" hidden="1" x14ac:dyDescent="0.2"/>
    <row r="111" hidden="1" x14ac:dyDescent="0.2"/>
    <row r="112" hidden="1" x14ac:dyDescent="0.2"/>
    <row r="113" hidden="1" x14ac:dyDescent="0.2"/>
    <row r="114" hidden="1" x14ac:dyDescent="0.2"/>
    <row r="115" hidden="1" x14ac:dyDescent="0.2"/>
    <row r="116" hidden="1" x14ac:dyDescent="0.2"/>
    <row r="117" hidden="1" x14ac:dyDescent="0.2"/>
    <row r="118" hidden="1" x14ac:dyDescent="0.2"/>
    <row r="119" hidden="1" x14ac:dyDescent="0.2"/>
    <row r="120" hidden="1" x14ac:dyDescent="0.2"/>
    <row r="121" hidden="1" x14ac:dyDescent="0.2"/>
    <row r="122" hidden="1" x14ac:dyDescent="0.2"/>
    <row r="123" hidden="1" x14ac:dyDescent="0.2"/>
    <row r="124" hidden="1" x14ac:dyDescent="0.2"/>
    <row r="125" hidden="1" x14ac:dyDescent="0.2"/>
    <row r="134" spans="2:26" x14ac:dyDescent="0.2">
      <c r="B134" s="2205"/>
    </row>
    <row r="136" spans="2:26" x14ac:dyDescent="0.2">
      <c r="B136" s="2205"/>
      <c r="Z136" s="3736" t="s">
        <v>673</v>
      </c>
    </row>
    <row r="137" spans="2:26" x14ac:dyDescent="0.2">
      <c r="Z137" s="3736" t="s">
        <v>674</v>
      </c>
    </row>
    <row r="138" spans="2:26" x14ac:dyDescent="0.2">
      <c r="B138" s="2206"/>
      <c r="Z138" s="3736" t="s">
        <v>675</v>
      </c>
    </row>
    <row r="144" spans="2:26" x14ac:dyDescent="0.2">
      <c r="B144" s="2205"/>
    </row>
    <row r="146" spans="2:2" x14ac:dyDescent="0.2">
      <c r="B146" s="2205"/>
    </row>
    <row r="148" spans="2:2" x14ac:dyDescent="0.2">
      <c r="B148" s="2205"/>
    </row>
    <row r="150" spans="2:2" x14ac:dyDescent="0.2">
      <c r="B150" s="2206"/>
    </row>
  </sheetData>
  <sheetProtection algorithmName="SHA-512" hashValue="xypSlRABjvrM5LAPa6MHzWip/QvGDTmCNXnUqE0tGBaWAjor4GvTOH5AG9HI1Cjh0Fz7f+m8ZmCdxWV6aQJI+Q==" saltValue="o2VbO2EMQ8IPXZOmQXZ2hA==" spinCount="100000" sheet="1" objects="1" scenarios="1"/>
  <mergeCells count="17">
    <mergeCell ref="BF3:BI3"/>
    <mergeCell ref="BB3:BE3"/>
    <mergeCell ref="AX3:BA3"/>
    <mergeCell ref="B45:S45"/>
    <mergeCell ref="AT3:AW3"/>
    <mergeCell ref="AP3:AS3"/>
    <mergeCell ref="AL3:AO3"/>
    <mergeCell ref="V3:Y3"/>
    <mergeCell ref="AH3:AK3"/>
    <mergeCell ref="AD3:AG3"/>
    <mergeCell ref="Z3:AC3"/>
    <mergeCell ref="A3:A4"/>
    <mergeCell ref="R3:U3"/>
    <mergeCell ref="N3:Q3"/>
    <mergeCell ref="J3:M3"/>
    <mergeCell ref="F3:I3"/>
    <mergeCell ref="B3:E3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scale="59" pageOrder="overThenDown" orientation="landscape" r:id="rId1"/>
  <rowBreaks count="1" manualBreakCount="1">
    <brk id="41" max="52" man="1"/>
  </rowBreaks>
  <colBreaks count="2" manualBreakCount="2">
    <brk id="25" max="1048575" man="1"/>
    <brk id="53" max="1048575" man="1"/>
  </colBreaks>
  <ignoredErrors>
    <ignoredError sqref="AG6:AG8 AP29:AR29 AG11:AG13" formulaRange="1"/>
    <ignoredError sqref="AG25:AG28 AP14:AS14 AP19:AS19 AS29 AG16:AG19" formula="1" formulaRange="1"/>
    <ignoredError sqref="AG15 AG29 AG9 AO9:AO10 AP16:AS18 AK9 AS9 BA31:BA36 BE9:BE36" formula="1"/>
  </ignoredErrors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1:O87"/>
  <sheetViews>
    <sheetView showGridLines="0" zoomScaleNormal="100" zoomScaleSheetLayoutView="50" workbookViewId="0">
      <pane xSplit="2" ySplit="3" topLeftCell="C13" activePane="bottomRight" state="frozen"/>
      <selection sqref="A1:E1"/>
      <selection pane="topRight" sqref="A1:E1"/>
      <selection pane="bottomLeft" sqref="A1:E1"/>
      <selection pane="bottomRight" activeCell="AA46" sqref="AA46"/>
    </sheetView>
  </sheetViews>
  <sheetFormatPr baseColWidth="10" defaultRowHeight="12.75" x14ac:dyDescent="0.2"/>
  <cols>
    <col min="1" max="1" width="8.5703125" customWidth="1"/>
    <col min="3" max="3" width="13.42578125" customWidth="1"/>
    <col min="4" max="4" width="13.28515625" customWidth="1"/>
    <col min="5" max="5" width="9.5703125" customWidth="1"/>
    <col min="6" max="6" width="9" customWidth="1"/>
    <col min="7" max="7" width="15.42578125" customWidth="1"/>
    <col min="8" max="8" width="11.140625" customWidth="1"/>
    <col min="9" max="9" width="13.85546875" customWidth="1"/>
    <col min="10" max="10" width="13" bestFit="1" customWidth="1"/>
    <col min="11" max="11" width="12.7109375" customWidth="1"/>
    <col min="12" max="12" width="16.42578125" customWidth="1"/>
    <col min="13" max="13" width="12.7109375" bestFit="1" customWidth="1"/>
    <col min="14" max="14" width="12.7109375" style="144" customWidth="1"/>
  </cols>
  <sheetData>
    <row r="1" spans="1:15" ht="18.75" x14ac:dyDescent="0.25">
      <c r="A1" s="3746" t="s">
        <v>1285</v>
      </c>
      <c r="B1" s="3746"/>
      <c r="C1" s="3744"/>
      <c r="D1" s="3744"/>
      <c r="E1" s="3744"/>
      <c r="F1" s="3744"/>
      <c r="G1" s="3744"/>
      <c r="H1" s="3744"/>
      <c r="I1" s="3744"/>
      <c r="J1" s="3744"/>
      <c r="K1" s="3744"/>
      <c r="L1" s="3744"/>
      <c r="M1" s="3744"/>
      <c r="N1" s="3744"/>
      <c r="O1" s="19"/>
    </row>
    <row r="2" spans="1:15" ht="15" x14ac:dyDescent="0.2">
      <c r="A2" s="3369"/>
      <c r="B2" s="3369"/>
      <c r="C2" s="3369"/>
      <c r="D2" s="3369"/>
      <c r="E2" s="3369"/>
      <c r="F2" s="3369"/>
      <c r="G2" s="3369"/>
      <c r="H2" s="3369"/>
      <c r="I2" s="3369"/>
      <c r="J2" s="3369"/>
      <c r="K2" s="3369"/>
      <c r="L2" s="3369"/>
      <c r="M2" s="3369"/>
      <c r="N2" s="3369"/>
      <c r="O2" s="19"/>
    </row>
    <row r="3" spans="1:15" ht="75" x14ac:dyDescent="0.2">
      <c r="A3" s="3356" t="s">
        <v>51</v>
      </c>
      <c r="B3" s="3356" t="s">
        <v>65</v>
      </c>
      <c r="C3" s="1460" t="s">
        <v>40</v>
      </c>
      <c r="D3" s="1460" t="s">
        <v>41</v>
      </c>
      <c r="E3" s="1460" t="s">
        <v>42</v>
      </c>
      <c r="F3" s="1460" t="s">
        <v>43</v>
      </c>
      <c r="G3" s="4430" t="s">
        <v>44</v>
      </c>
      <c r="H3" s="1460" t="s">
        <v>45</v>
      </c>
      <c r="I3" s="1460" t="s">
        <v>46</v>
      </c>
      <c r="J3" s="4430" t="s">
        <v>47</v>
      </c>
      <c r="K3" s="1460" t="s">
        <v>48</v>
      </c>
      <c r="L3" s="1460" t="s">
        <v>49</v>
      </c>
      <c r="M3" s="1460" t="s">
        <v>50</v>
      </c>
      <c r="N3" s="4250" t="s">
        <v>1397</v>
      </c>
      <c r="O3" s="20"/>
    </row>
    <row r="4" spans="1:15" ht="15" x14ac:dyDescent="0.25">
      <c r="A4" s="250"/>
      <c r="B4" s="3370"/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  <c r="N4" s="460"/>
      <c r="O4" s="17"/>
    </row>
    <row r="5" spans="1:15" ht="15" customHeight="1" x14ac:dyDescent="0.25">
      <c r="A5" s="7321" t="s">
        <v>3</v>
      </c>
      <c r="B5" s="5376">
        <v>2003</v>
      </c>
      <c r="C5" s="3372">
        <v>776</v>
      </c>
      <c r="D5" s="3372">
        <v>821</v>
      </c>
      <c r="E5" s="3372"/>
      <c r="F5" s="3372">
        <v>24</v>
      </c>
      <c r="G5" s="3372">
        <v>3</v>
      </c>
      <c r="H5" s="3372">
        <v>1</v>
      </c>
      <c r="I5" s="3372">
        <v>1118</v>
      </c>
      <c r="J5" s="3372">
        <v>153</v>
      </c>
      <c r="K5" s="3372">
        <v>7</v>
      </c>
      <c r="L5" s="3372">
        <v>1</v>
      </c>
      <c r="M5" s="3372">
        <v>44</v>
      </c>
      <c r="N5" s="4263">
        <v>2948</v>
      </c>
      <c r="O5" s="17"/>
    </row>
    <row r="6" spans="1:15" ht="15" x14ac:dyDescent="0.25">
      <c r="A6" s="7322"/>
      <c r="B6" s="5376">
        <v>2004</v>
      </c>
      <c r="C6" s="3372">
        <v>890</v>
      </c>
      <c r="D6" s="3372">
        <v>928</v>
      </c>
      <c r="E6" s="3372">
        <v>1</v>
      </c>
      <c r="F6" s="3372">
        <v>29</v>
      </c>
      <c r="G6" s="3372">
        <v>2</v>
      </c>
      <c r="H6" s="3372">
        <v>1</v>
      </c>
      <c r="I6" s="3372">
        <v>1548</v>
      </c>
      <c r="J6" s="3372">
        <v>245</v>
      </c>
      <c r="K6" s="3372">
        <v>23</v>
      </c>
      <c r="L6" s="3372">
        <v>4</v>
      </c>
      <c r="M6" s="3372">
        <v>35</v>
      </c>
      <c r="N6" s="4263">
        <v>3706</v>
      </c>
      <c r="O6" s="17"/>
    </row>
    <row r="7" spans="1:15" ht="15" x14ac:dyDescent="0.25">
      <c r="A7" s="7322"/>
      <c r="B7" s="5376">
        <v>2005</v>
      </c>
      <c r="C7" s="3372">
        <v>806</v>
      </c>
      <c r="D7" s="3372">
        <v>873</v>
      </c>
      <c r="E7" s="3372">
        <v>5</v>
      </c>
      <c r="F7" s="3372">
        <v>25</v>
      </c>
      <c r="G7" s="3372">
        <v>2</v>
      </c>
      <c r="H7" s="3372">
        <v>5</v>
      </c>
      <c r="I7" s="3372">
        <v>1467</v>
      </c>
      <c r="J7" s="3372">
        <v>294</v>
      </c>
      <c r="K7" s="3372">
        <v>14</v>
      </c>
      <c r="L7" s="3372">
        <v>11</v>
      </c>
      <c r="M7" s="3372">
        <v>28</v>
      </c>
      <c r="N7" s="4263">
        <v>3530</v>
      </c>
      <c r="O7" s="17"/>
    </row>
    <row r="8" spans="1:15" ht="15" x14ac:dyDescent="0.25">
      <c r="A8" s="7322"/>
      <c r="B8" s="5376">
        <v>2006</v>
      </c>
      <c r="C8" s="3372">
        <v>643</v>
      </c>
      <c r="D8" s="3372">
        <v>760</v>
      </c>
      <c r="E8" s="3372">
        <v>3</v>
      </c>
      <c r="F8" s="3372">
        <v>24</v>
      </c>
      <c r="G8" s="3372">
        <v>9</v>
      </c>
      <c r="H8" s="3372">
        <v>0</v>
      </c>
      <c r="I8" s="3372">
        <v>1280</v>
      </c>
      <c r="J8" s="3372">
        <v>228</v>
      </c>
      <c r="K8" s="3372">
        <v>10</v>
      </c>
      <c r="L8" s="3372">
        <v>8</v>
      </c>
      <c r="M8" s="3372">
        <v>59</v>
      </c>
      <c r="N8" s="4263">
        <v>3024</v>
      </c>
      <c r="O8" s="17"/>
    </row>
    <row r="9" spans="1:15" ht="15" x14ac:dyDescent="0.25">
      <c r="A9" s="7322"/>
      <c r="B9" s="5376">
        <v>2007</v>
      </c>
      <c r="C9" s="3372">
        <v>394</v>
      </c>
      <c r="D9" s="3372">
        <v>756</v>
      </c>
      <c r="E9" s="3372"/>
      <c r="F9" s="3372">
        <v>28</v>
      </c>
      <c r="G9" s="3372">
        <v>2</v>
      </c>
      <c r="H9" s="3372">
        <v>0</v>
      </c>
      <c r="I9" s="3372">
        <v>1013</v>
      </c>
      <c r="J9" s="3372">
        <v>106</v>
      </c>
      <c r="K9" s="3372">
        <v>24</v>
      </c>
      <c r="L9" s="3372">
        <v>9</v>
      </c>
      <c r="M9" s="3372">
        <v>49</v>
      </c>
      <c r="N9" s="4263">
        <v>2381</v>
      </c>
      <c r="O9" s="17"/>
    </row>
    <row r="10" spans="1:15" ht="15" x14ac:dyDescent="0.25">
      <c r="A10" s="7322"/>
      <c r="B10" s="5376">
        <v>2008</v>
      </c>
      <c r="C10" s="3372">
        <v>484</v>
      </c>
      <c r="D10" s="3372">
        <v>975</v>
      </c>
      <c r="E10" s="3372"/>
      <c r="F10" s="3372">
        <v>19</v>
      </c>
      <c r="G10" s="3372">
        <v>3</v>
      </c>
      <c r="H10" s="3372"/>
      <c r="I10" s="3372">
        <v>1330</v>
      </c>
      <c r="J10" s="3372">
        <v>238</v>
      </c>
      <c r="K10" s="3372">
        <v>24</v>
      </c>
      <c r="L10" s="3372">
        <v>6</v>
      </c>
      <c r="M10" s="3372">
        <v>56</v>
      </c>
      <c r="N10" s="4263">
        <v>3135</v>
      </c>
      <c r="O10" s="17"/>
    </row>
    <row r="11" spans="1:15" ht="15" x14ac:dyDescent="0.25">
      <c r="A11" s="7322"/>
      <c r="B11" s="5376">
        <v>2009</v>
      </c>
      <c r="C11" s="3372">
        <v>551</v>
      </c>
      <c r="D11" s="3372">
        <v>914</v>
      </c>
      <c r="E11" s="3372"/>
      <c r="F11" s="3372">
        <v>27</v>
      </c>
      <c r="G11" s="3372">
        <v>1</v>
      </c>
      <c r="H11" s="3372">
        <v>1</v>
      </c>
      <c r="I11" s="3372">
        <v>1287</v>
      </c>
      <c r="J11" s="3372">
        <v>171</v>
      </c>
      <c r="K11" s="3372">
        <v>16</v>
      </c>
      <c r="L11" s="3372">
        <v>2</v>
      </c>
      <c r="M11" s="3372">
        <v>21</v>
      </c>
      <c r="N11" s="4263">
        <v>2991</v>
      </c>
      <c r="O11" s="17"/>
    </row>
    <row r="12" spans="1:15" ht="15" x14ac:dyDescent="0.25">
      <c r="A12" s="7322"/>
      <c r="B12" s="5376">
        <v>2010</v>
      </c>
      <c r="C12" s="3372">
        <v>675</v>
      </c>
      <c r="D12" s="3372">
        <v>1126</v>
      </c>
      <c r="E12" s="3372"/>
      <c r="F12" s="3372">
        <v>28</v>
      </c>
      <c r="G12" s="3372">
        <v>2</v>
      </c>
      <c r="H12" s="3372">
        <v>1</v>
      </c>
      <c r="I12" s="3372">
        <v>1698</v>
      </c>
      <c r="J12" s="3372">
        <v>242</v>
      </c>
      <c r="K12" s="3372">
        <v>14</v>
      </c>
      <c r="L12" s="3372">
        <v>3</v>
      </c>
      <c r="M12" s="3372">
        <v>15</v>
      </c>
      <c r="N12" s="4263">
        <f t="shared" ref="N12:N17" si="0">SUM(C12:M12)</f>
        <v>3804</v>
      </c>
      <c r="O12" s="17"/>
    </row>
    <row r="13" spans="1:15" ht="15" x14ac:dyDescent="0.25">
      <c r="A13" s="7322"/>
      <c r="B13" s="5376">
        <v>2011</v>
      </c>
      <c r="C13" s="3372">
        <v>812</v>
      </c>
      <c r="D13" s="3372">
        <v>1257</v>
      </c>
      <c r="E13" s="3372"/>
      <c r="F13" s="3372">
        <v>31</v>
      </c>
      <c r="G13" s="3372">
        <v>9</v>
      </c>
      <c r="H13" s="3372">
        <v>2</v>
      </c>
      <c r="I13" s="3372">
        <v>2124</v>
      </c>
      <c r="J13" s="3372">
        <v>196</v>
      </c>
      <c r="K13" s="3372">
        <v>21</v>
      </c>
      <c r="L13" s="3372">
        <v>6</v>
      </c>
      <c r="M13" s="3372">
        <v>46</v>
      </c>
      <c r="N13" s="4263">
        <f t="shared" si="0"/>
        <v>4504</v>
      </c>
      <c r="O13" s="17"/>
    </row>
    <row r="14" spans="1:15" ht="15" x14ac:dyDescent="0.25">
      <c r="A14" s="7322"/>
      <c r="B14" s="5376">
        <v>2012</v>
      </c>
      <c r="C14" s="3372">
        <v>618</v>
      </c>
      <c r="D14" s="3372">
        <v>1081</v>
      </c>
      <c r="E14" s="3372"/>
      <c r="F14" s="3372">
        <v>40</v>
      </c>
      <c r="G14" s="3372">
        <v>2</v>
      </c>
      <c r="H14" s="3372"/>
      <c r="I14" s="3372">
        <v>1848</v>
      </c>
      <c r="J14" s="3372">
        <v>115</v>
      </c>
      <c r="K14" s="3372">
        <v>20</v>
      </c>
      <c r="L14" s="3372">
        <v>10</v>
      </c>
      <c r="M14" s="3372">
        <v>37</v>
      </c>
      <c r="N14" s="4263">
        <f t="shared" si="0"/>
        <v>3771</v>
      </c>
      <c r="O14" s="17"/>
    </row>
    <row r="15" spans="1:15" ht="15" x14ac:dyDescent="0.25">
      <c r="A15" s="7322"/>
      <c r="B15" s="5376">
        <v>2013</v>
      </c>
      <c r="C15" s="3372">
        <v>788</v>
      </c>
      <c r="D15" s="3372">
        <v>1341</v>
      </c>
      <c r="E15" s="3372"/>
      <c r="F15" s="3372">
        <v>37</v>
      </c>
      <c r="G15" s="3372">
        <v>7</v>
      </c>
      <c r="H15" s="3372"/>
      <c r="I15" s="3372">
        <v>2315</v>
      </c>
      <c r="J15" s="3372">
        <v>243</v>
      </c>
      <c r="K15" s="3372">
        <v>47</v>
      </c>
      <c r="L15" s="3372">
        <v>14</v>
      </c>
      <c r="M15" s="3372">
        <v>16</v>
      </c>
      <c r="N15" s="4263">
        <f t="shared" si="0"/>
        <v>4808</v>
      </c>
      <c r="O15" s="17"/>
    </row>
    <row r="16" spans="1:15" ht="15" x14ac:dyDescent="0.25">
      <c r="A16" s="7322"/>
      <c r="B16" s="5376">
        <v>2014</v>
      </c>
      <c r="C16" s="3372">
        <v>592</v>
      </c>
      <c r="D16" s="3372">
        <v>1275</v>
      </c>
      <c r="E16" s="3372"/>
      <c r="F16" s="3372">
        <v>33</v>
      </c>
      <c r="G16" s="3372">
        <v>3</v>
      </c>
      <c r="H16" s="3372">
        <v>5</v>
      </c>
      <c r="I16" s="3372">
        <v>1965</v>
      </c>
      <c r="J16" s="3372">
        <v>210</v>
      </c>
      <c r="K16" s="3372">
        <v>18</v>
      </c>
      <c r="L16" s="3372">
        <v>9</v>
      </c>
      <c r="M16" s="3372">
        <v>31</v>
      </c>
      <c r="N16" s="4263">
        <f t="shared" si="0"/>
        <v>4141</v>
      </c>
      <c r="O16" s="17"/>
    </row>
    <row r="17" spans="1:15" ht="15" x14ac:dyDescent="0.25">
      <c r="A17" s="7322"/>
      <c r="B17" s="5376">
        <v>2015</v>
      </c>
      <c r="C17" s="4262">
        <v>659</v>
      </c>
      <c r="D17" s="4262">
        <v>1494</v>
      </c>
      <c r="E17" s="3372"/>
      <c r="F17" s="3372">
        <v>25</v>
      </c>
      <c r="G17" s="4262">
        <v>9</v>
      </c>
      <c r="H17" s="4262">
        <v>6</v>
      </c>
      <c r="I17" s="4262">
        <v>2339</v>
      </c>
      <c r="J17" s="4262">
        <v>192</v>
      </c>
      <c r="K17" s="4262">
        <v>44</v>
      </c>
      <c r="L17" s="4262">
        <v>4</v>
      </c>
      <c r="M17" s="4262">
        <v>39</v>
      </c>
      <c r="N17" s="4263">
        <f t="shared" si="0"/>
        <v>4811</v>
      </c>
      <c r="O17" s="17"/>
    </row>
    <row r="18" spans="1:15" ht="15" x14ac:dyDescent="0.25">
      <c r="A18" s="7322"/>
      <c r="B18" s="5376">
        <v>2016</v>
      </c>
      <c r="C18" s="4262">
        <v>659</v>
      </c>
      <c r="D18" s="4262">
        <v>1430</v>
      </c>
      <c r="E18" s="4262"/>
      <c r="F18" s="4262">
        <v>24</v>
      </c>
      <c r="G18" s="4262"/>
      <c r="H18" s="4262">
        <v>4</v>
      </c>
      <c r="I18" s="4262">
        <v>2045</v>
      </c>
      <c r="J18" s="4262">
        <v>208</v>
      </c>
      <c r="K18" s="4262">
        <v>14</v>
      </c>
      <c r="L18" s="4262">
        <v>5</v>
      </c>
      <c r="M18" s="4262">
        <v>41</v>
      </c>
      <c r="N18" s="4263">
        <f>SUM(C18:M18)</f>
        <v>4430</v>
      </c>
      <c r="O18" s="17"/>
    </row>
    <row r="19" spans="1:15" ht="15" x14ac:dyDescent="0.25">
      <c r="A19" s="7323"/>
      <c r="B19" s="5377">
        <v>2017</v>
      </c>
      <c r="C19" s="5378">
        <v>650</v>
      </c>
      <c r="D19" s="5378">
        <v>1310</v>
      </c>
      <c r="E19" s="5378"/>
      <c r="F19" s="5378">
        <v>23</v>
      </c>
      <c r="G19" s="5378">
        <v>7</v>
      </c>
      <c r="H19" s="5378"/>
      <c r="I19" s="5378">
        <v>2105</v>
      </c>
      <c r="J19" s="5378">
        <v>190</v>
      </c>
      <c r="K19" s="5378">
        <v>28</v>
      </c>
      <c r="L19" s="5378">
        <v>5</v>
      </c>
      <c r="M19" s="5378">
        <v>26</v>
      </c>
      <c r="N19" s="4263">
        <f>SUM(C19:M19)</f>
        <v>4344</v>
      </c>
      <c r="O19" s="17"/>
    </row>
    <row r="20" spans="1:15" ht="15" x14ac:dyDescent="0.25">
      <c r="A20" s="5374"/>
      <c r="B20" s="3370"/>
      <c r="C20" s="334"/>
      <c r="D20" s="334"/>
      <c r="E20" s="334"/>
      <c r="F20" s="334"/>
      <c r="G20" s="334"/>
      <c r="H20" s="334"/>
      <c r="I20" s="334"/>
      <c r="J20" s="334"/>
      <c r="K20" s="334"/>
      <c r="L20" s="334"/>
      <c r="M20" s="334"/>
      <c r="N20" s="335"/>
      <c r="O20" s="17"/>
    </row>
    <row r="21" spans="1:15" ht="15" customHeight="1" x14ac:dyDescent="0.25">
      <c r="A21" s="7324" t="s">
        <v>8</v>
      </c>
      <c r="B21" s="3371">
        <v>2006</v>
      </c>
      <c r="C21" s="3372">
        <v>3</v>
      </c>
      <c r="D21" s="3372">
        <v>4</v>
      </c>
      <c r="E21" s="3372"/>
      <c r="F21" s="3372"/>
      <c r="G21" s="3372"/>
      <c r="H21" s="3372"/>
      <c r="I21" s="3372">
        <v>8</v>
      </c>
      <c r="J21" s="3372">
        <v>3</v>
      </c>
      <c r="K21" s="3372"/>
      <c r="L21" s="3372"/>
      <c r="M21" s="3372"/>
      <c r="N21" s="4263">
        <v>18</v>
      </c>
      <c r="O21" s="17"/>
    </row>
    <row r="22" spans="1:15" ht="15" x14ac:dyDescent="0.25">
      <c r="A22" s="7325"/>
      <c r="B22" s="3371">
        <v>2007</v>
      </c>
      <c r="C22" s="3372">
        <v>4</v>
      </c>
      <c r="D22" s="3372">
        <v>55</v>
      </c>
      <c r="E22" s="3372"/>
      <c r="F22" s="3372">
        <v>1</v>
      </c>
      <c r="G22" s="3372">
        <v>1</v>
      </c>
      <c r="H22" s="3372"/>
      <c r="I22" s="3372">
        <v>57</v>
      </c>
      <c r="J22" s="3372">
        <v>18</v>
      </c>
      <c r="K22" s="3372"/>
      <c r="L22" s="3372">
        <v>1</v>
      </c>
      <c r="M22" s="3372">
        <v>2</v>
      </c>
      <c r="N22" s="4263">
        <v>139</v>
      </c>
      <c r="O22" s="17"/>
    </row>
    <row r="23" spans="1:15" ht="15" x14ac:dyDescent="0.25">
      <c r="A23" s="7325"/>
      <c r="B23" s="3371">
        <v>2008</v>
      </c>
      <c r="C23" s="3372">
        <v>9</v>
      </c>
      <c r="D23" s="3372">
        <v>151</v>
      </c>
      <c r="E23" s="3372"/>
      <c r="F23" s="3372">
        <v>9</v>
      </c>
      <c r="G23" s="3372"/>
      <c r="H23" s="3372">
        <v>2</v>
      </c>
      <c r="I23" s="3372">
        <v>182</v>
      </c>
      <c r="J23" s="3372">
        <v>36</v>
      </c>
      <c r="K23" s="3372"/>
      <c r="L23" s="3372">
        <v>1</v>
      </c>
      <c r="M23" s="3372">
        <v>6</v>
      </c>
      <c r="N23" s="4263">
        <v>396</v>
      </c>
      <c r="O23" s="17"/>
    </row>
    <row r="24" spans="1:15" ht="15" x14ac:dyDescent="0.25">
      <c r="A24" s="7325"/>
      <c r="B24" s="3371">
        <v>2009</v>
      </c>
      <c r="C24" s="3372">
        <v>19</v>
      </c>
      <c r="D24" s="3372">
        <v>119</v>
      </c>
      <c r="E24" s="3372"/>
      <c r="F24" s="3372">
        <v>9</v>
      </c>
      <c r="G24" s="3372"/>
      <c r="H24" s="3372">
        <v>2</v>
      </c>
      <c r="I24" s="3372">
        <v>140</v>
      </c>
      <c r="J24" s="3372">
        <v>50</v>
      </c>
      <c r="K24" s="3372"/>
      <c r="L24" s="3372">
        <v>1</v>
      </c>
      <c r="M24" s="3372">
        <v>9</v>
      </c>
      <c r="N24" s="4263">
        <v>349</v>
      </c>
      <c r="O24" s="17"/>
    </row>
    <row r="25" spans="1:15" ht="15" x14ac:dyDescent="0.25">
      <c r="A25" s="7325"/>
      <c r="B25" s="3371">
        <v>2010</v>
      </c>
      <c r="C25" s="3372">
        <v>38</v>
      </c>
      <c r="D25" s="3372">
        <v>208</v>
      </c>
      <c r="E25" s="3372"/>
      <c r="F25" s="3372">
        <v>13</v>
      </c>
      <c r="G25" s="3372">
        <v>1</v>
      </c>
      <c r="H25" s="3372">
        <v>2</v>
      </c>
      <c r="I25" s="3372">
        <v>303</v>
      </c>
      <c r="J25" s="3372">
        <v>47</v>
      </c>
      <c r="K25" s="3372">
        <v>5</v>
      </c>
      <c r="L25" s="3372"/>
      <c r="M25" s="3372">
        <v>15</v>
      </c>
      <c r="N25" s="4263">
        <f t="shared" ref="N25:N32" si="1">SUM(C25:M25)</f>
        <v>632</v>
      </c>
      <c r="O25" s="17"/>
    </row>
    <row r="26" spans="1:15" ht="15" x14ac:dyDescent="0.25">
      <c r="A26" s="7325"/>
      <c r="B26" s="3371">
        <v>2011</v>
      </c>
      <c r="C26" s="3372">
        <v>32</v>
      </c>
      <c r="D26" s="3372">
        <v>254</v>
      </c>
      <c r="E26" s="3372"/>
      <c r="F26" s="3372">
        <v>7</v>
      </c>
      <c r="G26" s="3372">
        <v>1</v>
      </c>
      <c r="H26" s="3372">
        <v>1</v>
      </c>
      <c r="I26" s="3372">
        <v>319</v>
      </c>
      <c r="J26" s="3372">
        <v>65</v>
      </c>
      <c r="K26" s="3372">
        <v>47</v>
      </c>
      <c r="L26" s="3372">
        <v>3</v>
      </c>
      <c r="M26" s="3372">
        <v>4</v>
      </c>
      <c r="N26" s="4263">
        <f t="shared" si="1"/>
        <v>733</v>
      </c>
      <c r="O26" s="17"/>
    </row>
    <row r="27" spans="1:15" ht="15" x14ac:dyDescent="0.25">
      <c r="A27" s="7325"/>
      <c r="B27" s="3371">
        <v>2012</v>
      </c>
      <c r="C27" s="3372">
        <v>41</v>
      </c>
      <c r="D27" s="3372">
        <v>205</v>
      </c>
      <c r="E27" s="3372"/>
      <c r="F27" s="3372">
        <v>15</v>
      </c>
      <c r="G27" s="3372">
        <v>1</v>
      </c>
      <c r="H27" s="3372">
        <v>3</v>
      </c>
      <c r="I27" s="3372">
        <v>322</v>
      </c>
      <c r="J27" s="3372">
        <v>28</v>
      </c>
      <c r="K27" s="3372">
        <v>25</v>
      </c>
      <c r="L27" s="3372"/>
      <c r="M27" s="3372">
        <v>14</v>
      </c>
      <c r="N27" s="4263">
        <f t="shared" si="1"/>
        <v>654</v>
      </c>
      <c r="O27" s="17"/>
    </row>
    <row r="28" spans="1:15" ht="15" x14ac:dyDescent="0.25">
      <c r="A28" s="7325"/>
      <c r="B28" s="3371">
        <v>2013</v>
      </c>
      <c r="C28" s="3372">
        <v>50</v>
      </c>
      <c r="D28" s="3372">
        <v>309</v>
      </c>
      <c r="E28" s="3372"/>
      <c r="F28" s="3372">
        <v>10</v>
      </c>
      <c r="G28" s="3372">
        <v>1</v>
      </c>
      <c r="H28" s="3372">
        <v>0</v>
      </c>
      <c r="I28" s="3372">
        <v>480</v>
      </c>
      <c r="J28" s="3372">
        <v>55</v>
      </c>
      <c r="K28" s="3372">
        <v>13</v>
      </c>
      <c r="L28" s="3372">
        <v>1</v>
      </c>
      <c r="M28" s="3372">
        <v>10</v>
      </c>
      <c r="N28" s="4263">
        <f t="shared" si="1"/>
        <v>929</v>
      </c>
      <c r="O28" s="17"/>
    </row>
    <row r="29" spans="1:15" ht="15" x14ac:dyDescent="0.25">
      <c r="A29" s="7325"/>
      <c r="B29" s="3371">
        <v>2014</v>
      </c>
      <c r="C29" s="3372">
        <v>34</v>
      </c>
      <c r="D29" s="3372">
        <v>237</v>
      </c>
      <c r="E29" s="3372"/>
      <c r="F29" s="3372">
        <v>10</v>
      </c>
      <c r="G29" s="3372">
        <v>1</v>
      </c>
      <c r="H29" s="3372">
        <v>2</v>
      </c>
      <c r="I29" s="3372">
        <v>358</v>
      </c>
      <c r="J29" s="3372">
        <v>34</v>
      </c>
      <c r="K29" s="3372">
        <v>5</v>
      </c>
      <c r="L29" s="3372"/>
      <c r="M29" s="3372">
        <v>6</v>
      </c>
      <c r="N29" s="4263">
        <f t="shared" si="1"/>
        <v>687</v>
      </c>
      <c r="O29" s="17"/>
    </row>
    <row r="30" spans="1:15" ht="15" x14ac:dyDescent="0.25">
      <c r="A30" s="7325"/>
      <c r="B30" s="3371">
        <v>2015</v>
      </c>
      <c r="C30" s="4262">
        <v>38</v>
      </c>
      <c r="D30" s="4262">
        <v>366</v>
      </c>
      <c r="E30" s="3372"/>
      <c r="F30" s="3372">
        <v>11</v>
      </c>
      <c r="G30" s="4262"/>
      <c r="H30" s="4262">
        <v>1</v>
      </c>
      <c r="I30" s="4262">
        <v>535</v>
      </c>
      <c r="J30" s="4262">
        <v>72</v>
      </c>
      <c r="K30" s="4262">
        <v>1</v>
      </c>
      <c r="L30" s="4262"/>
      <c r="M30" s="4262">
        <v>4</v>
      </c>
      <c r="N30" s="4263">
        <f t="shared" si="1"/>
        <v>1028</v>
      </c>
      <c r="O30" s="17"/>
    </row>
    <row r="31" spans="1:15" ht="15" x14ac:dyDescent="0.25">
      <c r="A31" s="7325"/>
      <c r="B31" s="3371">
        <v>2016</v>
      </c>
      <c r="C31" s="4262">
        <v>32</v>
      </c>
      <c r="D31" s="4262">
        <v>279</v>
      </c>
      <c r="E31" s="4262"/>
      <c r="F31" s="4262">
        <v>10</v>
      </c>
      <c r="G31" s="4262">
        <v>1</v>
      </c>
      <c r="H31" s="4262">
        <v>1</v>
      </c>
      <c r="I31" s="4262">
        <v>421</v>
      </c>
      <c r="J31" s="4262">
        <v>44</v>
      </c>
      <c r="K31" s="4262">
        <v>6</v>
      </c>
      <c r="L31" s="4262">
        <v>2</v>
      </c>
      <c r="M31" s="4262">
        <v>3</v>
      </c>
      <c r="N31" s="4263">
        <f t="shared" si="1"/>
        <v>799</v>
      </c>
      <c r="O31" s="17"/>
    </row>
    <row r="32" spans="1:15" ht="15" x14ac:dyDescent="0.25">
      <c r="A32" s="7326"/>
      <c r="B32" s="5083">
        <v>2017</v>
      </c>
      <c r="C32" s="4262">
        <v>52</v>
      </c>
      <c r="D32" s="4262">
        <v>333</v>
      </c>
      <c r="E32" s="4262"/>
      <c r="F32" s="4262">
        <v>4</v>
      </c>
      <c r="G32" s="4262">
        <v>2</v>
      </c>
      <c r="H32" s="4262">
        <v>1</v>
      </c>
      <c r="I32" s="4262">
        <v>484</v>
      </c>
      <c r="J32" s="4262">
        <v>35</v>
      </c>
      <c r="K32" s="4262">
        <v>5</v>
      </c>
      <c r="L32" s="4262">
        <v>2</v>
      </c>
      <c r="M32" s="4262">
        <v>8</v>
      </c>
      <c r="N32" s="5380">
        <f t="shared" si="1"/>
        <v>926</v>
      </c>
      <c r="O32" s="17"/>
    </row>
    <row r="33" spans="1:15" ht="15" x14ac:dyDescent="0.25">
      <c r="A33" s="5374"/>
      <c r="B33" s="3370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5"/>
      <c r="O33" s="17"/>
    </row>
    <row r="34" spans="1:15" ht="15" customHeight="1" x14ac:dyDescent="0.25">
      <c r="A34" s="7327" t="s">
        <v>75</v>
      </c>
      <c r="B34" s="5376">
        <v>2003</v>
      </c>
      <c r="C34" s="3372">
        <v>478</v>
      </c>
      <c r="D34" s="3372">
        <v>1207</v>
      </c>
      <c r="E34" s="3372">
        <v>1</v>
      </c>
      <c r="F34" s="3372">
        <v>41</v>
      </c>
      <c r="G34" s="3372">
        <v>3</v>
      </c>
      <c r="H34" s="3372">
        <v>1</v>
      </c>
      <c r="I34" s="3372">
        <v>1840</v>
      </c>
      <c r="J34" s="3372">
        <v>189</v>
      </c>
      <c r="K34" s="3372">
        <v>9</v>
      </c>
      <c r="L34" s="3372">
        <v>5</v>
      </c>
      <c r="M34" s="3372">
        <v>78</v>
      </c>
      <c r="N34" s="4263">
        <v>3852</v>
      </c>
      <c r="O34" s="17"/>
    </row>
    <row r="35" spans="1:15" ht="15" x14ac:dyDescent="0.25">
      <c r="A35" s="7328"/>
      <c r="B35" s="5376">
        <v>2004</v>
      </c>
      <c r="C35" s="3372">
        <v>372</v>
      </c>
      <c r="D35" s="3372">
        <v>1292</v>
      </c>
      <c r="E35" s="3372">
        <v>1</v>
      </c>
      <c r="F35" s="3372">
        <v>38</v>
      </c>
      <c r="G35" s="3372">
        <v>15</v>
      </c>
      <c r="H35" s="3372">
        <v>1</v>
      </c>
      <c r="I35" s="3372">
        <v>2046</v>
      </c>
      <c r="J35" s="3372">
        <v>206</v>
      </c>
      <c r="K35" s="3372">
        <v>2</v>
      </c>
      <c r="L35" s="3372">
        <v>6</v>
      </c>
      <c r="M35" s="3372">
        <v>83</v>
      </c>
      <c r="N35" s="4263">
        <v>4062</v>
      </c>
      <c r="O35" s="17"/>
    </row>
    <row r="36" spans="1:15" ht="15" x14ac:dyDescent="0.25">
      <c r="A36" s="7328"/>
      <c r="B36" s="5376">
        <v>2005</v>
      </c>
      <c r="C36" s="3372">
        <v>536</v>
      </c>
      <c r="D36" s="3372">
        <v>1318</v>
      </c>
      <c r="E36" s="3372">
        <v>1</v>
      </c>
      <c r="F36" s="3372">
        <v>35</v>
      </c>
      <c r="G36" s="3372">
        <v>8</v>
      </c>
      <c r="H36" s="3372"/>
      <c r="I36" s="3372">
        <v>2369</v>
      </c>
      <c r="J36" s="3372">
        <v>175</v>
      </c>
      <c r="K36" s="3372">
        <v>1</v>
      </c>
      <c r="L36" s="3372">
        <v>3</v>
      </c>
      <c r="M36" s="3372">
        <v>114</v>
      </c>
      <c r="N36" s="4263">
        <v>4560</v>
      </c>
      <c r="O36" s="17"/>
    </row>
    <row r="37" spans="1:15" ht="15" x14ac:dyDescent="0.25">
      <c r="A37" s="7328"/>
      <c r="B37" s="5376">
        <v>2006</v>
      </c>
      <c r="C37" s="3372">
        <v>420</v>
      </c>
      <c r="D37" s="3372">
        <v>1326</v>
      </c>
      <c r="E37" s="3372">
        <v>3</v>
      </c>
      <c r="F37" s="3372">
        <v>37</v>
      </c>
      <c r="G37" s="3372">
        <v>7</v>
      </c>
      <c r="H37" s="3372">
        <v>4</v>
      </c>
      <c r="I37" s="3372">
        <v>2253</v>
      </c>
      <c r="J37" s="3372">
        <v>220</v>
      </c>
      <c r="K37" s="3372"/>
      <c r="L37" s="3372">
        <v>2</v>
      </c>
      <c r="M37" s="3372">
        <v>79</v>
      </c>
      <c r="N37" s="4263">
        <v>4351</v>
      </c>
      <c r="O37" s="17"/>
    </row>
    <row r="38" spans="1:15" ht="15" x14ac:dyDescent="0.25">
      <c r="A38" s="7328"/>
      <c r="B38" s="5376">
        <v>2007</v>
      </c>
      <c r="C38" s="3372">
        <v>424</v>
      </c>
      <c r="D38" s="3372">
        <v>1268</v>
      </c>
      <c r="E38" s="3372"/>
      <c r="F38" s="3372">
        <v>38</v>
      </c>
      <c r="G38" s="3372">
        <v>2</v>
      </c>
      <c r="H38" s="3372">
        <v>1</v>
      </c>
      <c r="I38" s="3372">
        <v>2211</v>
      </c>
      <c r="J38" s="3372">
        <v>168</v>
      </c>
      <c r="K38" s="3372">
        <v>3</v>
      </c>
      <c r="L38" s="3372">
        <v>2</v>
      </c>
      <c r="M38" s="3372">
        <v>49</v>
      </c>
      <c r="N38" s="4263">
        <v>4166</v>
      </c>
      <c r="O38" s="17"/>
    </row>
    <row r="39" spans="1:15" ht="15" x14ac:dyDescent="0.25">
      <c r="A39" s="7328"/>
      <c r="B39" s="5376">
        <v>2008</v>
      </c>
      <c r="C39" s="3372">
        <v>391</v>
      </c>
      <c r="D39" s="3372">
        <v>1351</v>
      </c>
      <c r="E39" s="3372">
        <v>1</v>
      </c>
      <c r="F39" s="3372">
        <v>34</v>
      </c>
      <c r="G39" s="3372">
        <v>7</v>
      </c>
      <c r="H39" s="3372">
        <v>10</v>
      </c>
      <c r="I39" s="3372">
        <v>2351</v>
      </c>
      <c r="J39" s="3372">
        <v>213</v>
      </c>
      <c r="K39" s="3372">
        <v>1</v>
      </c>
      <c r="L39" s="3372">
        <v>6</v>
      </c>
      <c r="M39" s="3372">
        <v>70</v>
      </c>
      <c r="N39" s="4263">
        <v>4435</v>
      </c>
      <c r="O39" s="17"/>
    </row>
    <row r="40" spans="1:15" ht="15" x14ac:dyDescent="0.25">
      <c r="A40" s="7328"/>
      <c r="B40" s="5376">
        <v>2009</v>
      </c>
      <c r="C40" s="3372">
        <v>319</v>
      </c>
      <c r="D40" s="3372">
        <v>1194</v>
      </c>
      <c r="E40" s="3372"/>
      <c r="F40" s="3372">
        <v>41</v>
      </c>
      <c r="G40" s="3372">
        <v>7</v>
      </c>
      <c r="H40" s="3372">
        <v>7</v>
      </c>
      <c r="I40" s="3372">
        <v>2453</v>
      </c>
      <c r="J40" s="3372">
        <v>173</v>
      </c>
      <c r="K40" s="3372">
        <v>7</v>
      </c>
      <c r="L40" s="3372">
        <v>1</v>
      </c>
      <c r="M40" s="3372">
        <v>62</v>
      </c>
      <c r="N40" s="4263">
        <v>4264</v>
      </c>
      <c r="O40" s="17"/>
    </row>
    <row r="41" spans="1:15" ht="15" x14ac:dyDescent="0.25">
      <c r="A41" s="7328"/>
      <c r="B41" s="5376">
        <v>2010</v>
      </c>
      <c r="C41" s="3372">
        <v>374</v>
      </c>
      <c r="D41" s="3372">
        <v>1381</v>
      </c>
      <c r="E41" s="3372"/>
      <c r="F41" s="3372">
        <v>53</v>
      </c>
      <c r="G41" s="3372">
        <v>5</v>
      </c>
      <c r="H41" s="3372">
        <v>12</v>
      </c>
      <c r="I41" s="3372">
        <v>2507</v>
      </c>
      <c r="J41" s="3372">
        <v>176</v>
      </c>
      <c r="K41" s="3372">
        <v>4</v>
      </c>
      <c r="L41" s="3372">
        <v>1</v>
      </c>
      <c r="M41" s="3372">
        <v>105</v>
      </c>
      <c r="N41" s="4263">
        <f t="shared" ref="N41:N48" si="2">SUM(C41:M41)</f>
        <v>4618</v>
      </c>
      <c r="O41" s="17"/>
    </row>
    <row r="42" spans="1:15" ht="15" x14ac:dyDescent="0.25">
      <c r="A42" s="7328"/>
      <c r="B42" s="5376">
        <v>2011</v>
      </c>
      <c r="C42" s="3372">
        <v>452</v>
      </c>
      <c r="D42" s="3372">
        <v>1361</v>
      </c>
      <c r="E42" s="3372"/>
      <c r="F42" s="3372">
        <v>44</v>
      </c>
      <c r="G42" s="3372">
        <v>10</v>
      </c>
      <c r="H42" s="3372">
        <v>6</v>
      </c>
      <c r="I42" s="3372">
        <v>2730</v>
      </c>
      <c r="J42" s="3372">
        <v>194</v>
      </c>
      <c r="K42" s="3372">
        <v>7</v>
      </c>
      <c r="L42" s="3372">
        <v>4</v>
      </c>
      <c r="M42" s="3372">
        <v>84</v>
      </c>
      <c r="N42" s="4263">
        <f t="shared" si="2"/>
        <v>4892</v>
      </c>
      <c r="O42" s="17"/>
    </row>
    <row r="43" spans="1:15" ht="15" x14ac:dyDescent="0.25">
      <c r="A43" s="7328"/>
      <c r="B43" s="5376">
        <v>2012</v>
      </c>
      <c r="C43" s="3372">
        <v>421</v>
      </c>
      <c r="D43" s="3372">
        <v>1369</v>
      </c>
      <c r="E43" s="3372"/>
      <c r="F43" s="3372">
        <v>47</v>
      </c>
      <c r="G43" s="3372">
        <v>12</v>
      </c>
      <c r="H43" s="3372"/>
      <c r="I43" s="3372">
        <v>2725</v>
      </c>
      <c r="J43" s="3372">
        <v>213</v>
      </c>
      <c r="K43" s="3372">
        <v>3</v>
      </c>
      <c r="L43" s="3372">
        <v>1</v>
      </c>
      <c r="M43" s="3372">
        <v>59</v>
      </c>
      <c r="N43" s="4263">
        <f t="shared" si="2"/>
        <v>4850</v>
      </c>
      <c r="O43" s="17"/>
    </row>
    <row r="44" spans="1:15" ht="15" x14ac:dyDescent="0.25">
      <c r="A44" s="7328"/>
      <c r="B44" s="5376">
        <v>2013</v>
      </c>
      <c r="C44" s="3372">
        <v>392</v>
      </c>
      <c r="D44" s="3372">
        <v>1447</v>
      </c>
      <c r="E44" s="3372"/>
      <c r="F44" s="3372">
        <v>55</v>
      </c>
      <c r="G44" s="3372">
        <v>14</v>
      </c>
      <c r="H44" s="3372">
        <v>11</v>
      </c>
      <c r="I44" s="3372">
        <v>2757</v>
      </c>
      <c r="J44" s="3372">
        <v>251</v>
      </c>
      <c r="K44" s="3372">
        <v>5</v>
      </c>
      <c r="L44" s="3372">
        <v>7</v>
      </c>
      <c r="M44" s="3372">
        <v>55</v>
      </c>
      <c r="N44" s="4263">
        <f t="shared" si="2"/>
        <v>4994</v>
      </c>
      <c r="O44" s="17"/>
    </row>
    <row r="45" spans="1:15" ht="15" x14ac:dyDescent="0.25">
      <c r="A45" s="7328"/>
      <c r="B45" s="5376">
        <v>2014</v>
      </c>
      <c r="C45" s="3372">
        <v>324</v>
      </c>
      <c r="D45" s="3372">
        <v>1271</v>
      </c>
      <c r="E45" s="3372"/>
      <c r="F45" s="3372">
        <v>29</v>
      </c>
      <c r="G45" s="3372">
        <v>14</v>
      </c>
      <c r="H45" s="3372">
        <v>6</v>
      </c>
      <c r="I45" s="3372">
        <v>2971</v>
      </c>
      <c r="J45" s="3372">
        <v>240</v>
      </c>
      <c r="K45" s="3372">
        <v>9</v>
      </c>
      <c r="L45" s="3372">
        <v>1</v>
      </c>
      <c r="M45" s="3372">
        <v>58</v>
      </c>
      <c r="N45" s="4263">
        <f t="shared" si="2"/>
        <v>4923</v>
      </c>
      <c r="O45" s="17"/>
    </row>
    <row r="46" spans="1:15" ht="15" x14ac:dyDescent="0.25">
      <c r="A46" s="7328"/>
      <c r="B46" s="5376">
        <v>2015</v>
      </c>
      <c r="C46" s="4262">
        <v>368</v>
      </c>
      <c r="D46" s="4262">
        <v>1365</v>
      </c>
      <c r="E46" s="3372"/>
      <c r="F46" s="3372">
        <v>35</v>
      </c>
      <c r="G46" s="4262">
        <v>11</v>
      </c>
      <c r="H46" s="4262">
        <v>15</v>
      </c>
      <c r="I46" s="4262">
        <v>2773</v>
      </c>
      <c r="J46" s="4262">
        <v>286</v>
      </c>
      <c r="K46" s="4262">
        <v>4</v>
      </c>
      <c r="L46" s="4262">
        <v>2</v>
      </c>
      <c r="M46" s="4262">
        <v>77</v>
      </c>
      <c r="N46" s="4263">
        <f t="shared" si="2"/>
        <v>4936</v>
      </c>
      <c r="O46" s="17"/>
    </row>
    <row r="47" spans="1:15" ht="15" x14ac:dyDescent="0.25">
      <c r="A47" s="7328"/>
      <c r="B47" s="5376">
        <v>2016</v>
      </c>
      <c r="C47" s="4262">
        <v>309</v>
      </c>
      <c r="D47" s="4262">
        <v>1224</v>
      </c>
      <c r="E47" s="4262"/>
      <c r="F47" s="4262">
        <v>38</v>
      </c>
      <c r="G47" s="4262">
        <v>11</v>
      </c>
      <c r="H47" s="4262">
        <v>6</v>
      </c>
      <c r="I47" s="4262">
        <v>2329</v>
      </c>
      <c r="J47" s="4262">
        <v>201</v>
      </c>
      <c r="K47" s="4262">
        <v>2</v>
      </c>
      <c r="L47" s="4262">
        <v>3</v>
      </c>
      <c r="M47" s="4262">
        <v>62</v>
      </c>
      <c r="N47" s="4263">
        <f t="shared" si="2"/>
        <v>4185</v>
      </c>
      <c r="O47" s="17"/>
    </row>
    <row r="48" spans="1:15" ht="15" x14ac:dyDescent="0.25">
      <c r="A48" s="7329"/>
      <c r="B48" s="5377">
        <v>2017</v>
      </c>
      <c r="C48" s="5378">
        <v>346</v>
      </c>
      <c r="D48" s="5378">
        <v>1342</v>
      </c>
      <c r="E48" s="5378"/>
      <c r="F48" s="5378">
        <v>35</v>
      </c>
      <c r="G48" s="5378">
        <v>4</v>
      </c>
      <c r="H48" s="5378">
        <v>7</v>
      </c>
      <c r="I48" s="5378">
        <v>2326</v>
      </c>
      <c r="J48" s="5378">
        <v>200</v>
      </c>
      <c r="K48" s="5378">
        <v>4</v>
      </c>
      <c r="L48" s="5378">
        <v>5</v>
      </c>
      <c r="M48" s="5378">
        <v>59</v>
      </c>
      <c r="N48" s="5379">
        <f t="shared" si="2"/>
        <v>4328</v>
      </c>
      <c r="O48" s="17"/>
    </row>
    <row r="49" spans="1:15" ht="15" x14ac:dyDescent="0.25">
      <c r="A49" s="5375"/>
      <c r="B49" s="460"/>
      <c r="C49" s="334"/>
      <c r="D49" s="334"/>
      <c r="E49" s="3373"/>
      <c r="F49" s="334"/>
      <c r="G49" s="334"/>
      <c r="H49" s="334"/>
      <c r="I49" s="334"/>
      <c r="J49" s="334"/>
      <c r="K49" s="334"/>
      <c r="L49" s="334"/>
      <c r="M49" s="334"/>
      <c r="N49" s="335"/>
      <c r="O49" s="17"/>
    </row>
    <row r="50" spans="1:15" ht="15" customHeight="1" x14ac:dyDescent="0.25">
      <c r="A50" s="7330" t="s">
        <v>325</v>
      </c>
      <c r="B50" s="5376">
        <v>2013</v>
      </c>
      <c r="C50" s="3372">
        <v>1</v>
      </c>
      <c r="D50" s="3372">
        <v>18</v>
      </c>
      <c r="E50" s="3372"/>
      <c r="F50" s="3372"/>
      <c r="G50" s="3372"/>
      <c r="H50" s="3372"/>
      <c r="I50" s="3372">
        <v>5</v>
      </c>
      <c r="J50" s="3372"/>
      <c r="K50" s="3372"/>
      <c r="L50" s="3372"/>
      <c r="M50" s="3372"/>
      <c r="N50" s="4263">
        <f>SUM(C50:M50)</f>
        <v>24</v>
      </c>
      <c r="O50" s="17"/>
    </row>
    <row r="51" spans="1:15" ht="15" x14ac:dyDescent="0.25">
      <c r="A51" s="7331"/>
      <c r="B51" s="5376">
        <v>2014</v>
      </c>
      <c r="C51" s="3372">
        <v>8</v>
      </c>
      <c r="D51" s="3372">
        <v>24</v>
      </c>
      <c r="E51" s="3372"/>
      <c r="F51" s="3372"/>
      <c r="G51" s="3372"/>
      <c r="H51" s="3372"/>
      <c r="I51" s="3372">
        <v>42</v>
      </c>
      <c r="J51" s="3372">
        <v>4</v>
      </c>
      <c r="K51" s="3372"/>
      <c r="L51" s="3372">
        <v>1</v>
      </c>
      <c r="M51" s="3372">
        <v>1</v>
      </c>
      <c r="N51" s="4263">
        <f>SUM(C51:M51)</f>
        <v>80</v>
      </c>
      <c r="O51" s="17"/>
    </row>
    <row r="52" spans="1:15" ht="15" x14ac:dyDescent="0.25">
      <c r="A52" s="7331"/>
      <c r="B52" s="5376">
        <v>2015</v>
      </c>
      <c r="C52" s="4262">
        <v>7</v>
      </c>
      <c r="D52" s="4262">
        <v>57</v>
      </c>
      <c r="E52" s="3372"/>
      <c r="F52" s="3372">
        <v>2</v>
      </c>
      <c r="G52" s="4262"/>
      <c r="H52" s="4262"/>
      <c r="I52" s="4262">
        <v>63</v>
      </c>
      <c r="J52" s="4262">
        <v>9</v>
      </c>
      <c r="K52" s="4262"/>
      <c r="L52" s="4262"/>
      <c r="M52" s="4262"/>
      <c r="N52" s="4263">
        <f>SUM(C52:M52)</f>
        <v>138</v>
      </c>
      <c r="O52" s="17"/>
    </row>
    <row r="53" spans="1:15" ht="15" x14ac:dyDescent="0.25">
      <c r="A53" s="7331"/>
      <c r="B53" s="5376">
        <v>2016</v>
      </c>
      <c r="C53" s="4262">
        <v>8</v>
      </c>
      <c r="D53" s="4262">
        <v>60</v>
      </c>
      <c r="E53" s="4262"/>
      <c r="F53" s="4262">
        <v>3</v>
      </c>
      <c r="G53" s="4262"/>
      <c r="H53" s="4262"/>
      <c r="I53" s="4262">
        <v>80</v>
      </c>
      <c r="J53" s="4262">
        <v>6</v>
      </c>
      <c r="K53" s="4262"/>
      <c r="L53" s="4262"/>
      <c r="M53" s="4262">
        <v>3</v>
      </c>
      <c r="N53" s="4263">
        <f>SUM(C53:M53)</f>
        <v>160</v>
      </c>
      <c r="O53" s="17"/>
    </row>
    <row r="54" spans="1:15" ht="15" x14ac:dyDescent="0.25">
      <c r="A54" s="7332"/>
      <c r="B54" s="5377">
        <v>2017</v>
      </c>
      <c r="C54" s="5378">
        <v>27</v>
      </c>
      <c r="D54" s="5378">
        <v>137</v>
      </c>
      <c r="E54" s="5378"/>
      <c r="F54" s="5378">
        <v>2</v>
      </c>
      <c r="G54" s="5378"/>
      <c r="H54" s="5378"/>
      <c r="I54" s="5378">
        <v>152</v>
      </c>
      <c r="J54" s="5378">
        <v>21</v>
      </c>
      <c r="K54" s="5378"/>
      <c r="L54" s="5378"/>
      <c r="M54" s="5378">
        <v>4</v>
      </c>
      <c r="N54" s="4263">
        <f>SUM(C54:M54)</f>
        <v>343</v>
      </c>
      <c r="O54" s="17"/>
    </row>
    <row r="55" spans="1:15" ht="15" x14ac:dyDescent="0.25">
      <c r="A55" s="5374"/>
      <c r="B55" s="3370"/>
      <c r="C55" s="334"/>
      <c r="D55" s="334"/>
      <c r="E55" s="334"/>
      <c r="F55" s="334"/>
      <c r="G55" s="334"/>
      <c r="H55" s="334"/>
      <c r="I55" s="334"/>
      <c r="J55" s="334"/>
      <c r="K55" s="334"/>
      <c r="L55" s="334"/>
      <c r="M55" s="334"/>
      <c r="N55" s="335"/>
      <c r="O55" s="17"/>
    </row>
    <row r="56" spans="1:15" ht="15" customHeight="1" x14ac:dyDescent="0.25">
      <c r="A56" s="7333" t="s">
        <v>10</v>
      </c>
      <c r="B56" s="4261">
        <v>2003</v>
      </c>
      <c r="C56" s="3372">
        <v>224</v>
      </c>
      <c r="D56" s="3372">
        <v>935</v>
      </c>
      <c r="E56" s="3372">
        <v>5</v>
      </c>
      <c r="F56" s="3372">
        <v>40</v>
      </c>
      <c r="G56" s="3372">
        <v>10</v>
      </c>
      <c r="H56" s="3372">
        <v>16</v>
      </c>
      <c r="I56" s="3372">
        <v>1814</v>
      </c>
      <c r="J56" s="3372">
        <v>301</v>
      </c>
      <c r="K56" s="3372">
        <v>16</v>
      </c>
      <c r="L56" s="3372">
        <v>8</v>
      </c>
      <c r="M56" s="3372">
        <v>47</v>
      </c>
      <c r="N56" s="4263">
        <v>3416</v>
      </c>
      <c r="O56" s="17"/>
    </row>
    <row r="57" spans="1:15" ht="15" x14ac:dyDescent="0.25">
      <c r="A57" s="7334"/>
      <c r="B57" s="4261">
        <v>2004</v>
      </c>
      <c r="C57" s="3372">
        <v>279</v>
      </c>
      <c r="D57" s="3372">
        <v>959</v>
      </c>
      <c r="E57" s="3372">
        <v>1</v>
      </c>
      <c r="F57" s="3372">
        <v>34</v>
      </c>
      <c r="G57" s="3372">
        <v>9</v>
      </c>
      <c r="H57" s="3372"/>
      <c r="I57" s="3372">
        <v>2409</v>
      </c>
      <c r="J57" s="3372">
        <v>295</v>
      </c>
      <c r="K57" s="3372">
        <v>10</v>
      </c>
      <c r="L57" s="3372">
        <v>4</v>
      </c>
      <c r="M57" s="3372">
        <v>64</v>
      </c>
      <c r="N57" s="4263">
        <v>4064</v>
      </c>
      <c r="O57" s="17"/>
    </row>
    <row r="58" spans="1:15" ht="15" x14ac:dyDescent="0.25">
      <c r="A58" s="7334"/>
      <c r="B58" s="4261">
        <v>2005</v>
      </c>
      <c r="C58" s="3372">
        <v>266</v>
      </c>
      <c r="D58" s="3372">
        <v>1025</v>
      </c>
      <c r="E58" s="3372"/>
      <c r="F58" s="3372">
        <v>34</v>
      </c>
      <c r="G58" s="3372">
        <v>8</v>
      </c>
      <c r="H58" s="3372">
        <v>2</v>
      </c>
      <c r="I58" s="3372">
        <v>2230</v>
      </c>
      <c r="J58" s="3372">
        <v>257</v>
      </c>
      <c r="K58" s="3372">
        <v>20</v>
      </c>
      <c r="L58" s="3372">
        <v>4</v>
      </c>
      <c r="M58" s="3372">
        <v>61</v>
      </c>
      <c r="N58" s="4263">
        <v>3907</v>
      </c>
      <c r="O58" s="17"/>
    </row>
    <row r="59" spans="1:15" ht="15" x14ac:dyDescent="0.25">
      <c r="A59" s="7334"/>
      <c r="B59" s="4261">
        <v>2006</v>
      </c>
      <c r="C59" s="3372">
        <v>205</v>
      </c>
      <c r="D59" s="3372">
        <v>894</v>
      </c>
      <c r="E59" s="3372">
        <v>6</v>
      </c>
      <c r="F59" s="3372">
        <v>42</v>
      </c>
      <c r="G59" s="3372">
        <v>8</v>
      </c>
      <c r="H59" s="3372"/>
      <c r="I59" s="3372">
        <v>1989</v>
      </c>
      <c r="J59" s="3372">
        <v>323</v>
      </c>
      <c r="K59" s="3372">
        <v>3</v>
      </c>
      <c r="L59" s="3372"/>
      <c r="M59" s="3372">
        <v>57</v>
      </c>
      <c r="N59" s="4263">
        <v>3527</v>
      </c>
      <c r="O59" s="17"/>
    </row>
    <row r="60" spans="1:15" ht="15" x14ac:dyDescent="0.25">
      <c r="A60" s="7334"/>
      <c r="B60" s="4261">
        <v>2007</v>
      </c>
      <c r="C60" s="3372">
        <v>213</v>
      </c>
      <c r="D60" s="3372">
        <v>944</v>
      </c>
      <c r="E60" s="3372">
        <v>1</v>
      </c>
      <c r="F60" s="3372">
        <v>60</v>
      </c>
      <c r="G60" s="3372"/>
      <c r="H60" s="3372">
        <v>4</v>
      </c>
      <c r="I60" s="3372">
        <v>2102</v>
      </c>
      <c r="J60" s="3372">
        <v>253</v>
      </c>
      <c r="K60" s="3372"/>
      <c r="L60" s="3372"/>
      <c r="M60" s="3372">
        <v>45</v>
      </c>
      <c r="N60" s="4263">
        <v>3622</v>
      </c>
      <c r="O60" s="17"/>
    </row>
    <row r="61" spans="1:15" ht="15" x14ac:dyDescent="0.25">
      <c r="A61" s="7334"/>
      <c r="B61" s="4261">
        <v>2008</v>
      </c>
      <c r="C61" s="3372">
        <v>209</v>
      </c>
      <c r="D61" s="3372">
        <v>971</v>
      </c>
      <c r="E61" s="3372">
        <v>2</v>
      </c>
      <c r="F61" s="3372">
        <v>42</v>
      </c>
      <c r="G61" s="3372">
        <v>1</v>
      </c>
      <c r="H61" s="3372">
        <v>4</v>
      </c>
      <c r="I61" s="3372">
        <v>2376</v>
      </c>
      <c r="J61" s="3372">
        <v>229</v>
      </c>
      <c r="K61" s="3372">
        <v>8</v>
      </c>
      <c r="L61" s="3372">
        <v>4</v>
      </c>
      <c r="M61" s="3372">
        <v>50</v>
      </c>
      <c r="N61" s="4263">
        <v>3896</v>
      </c>
      <c r="O61" s="17"/>
    </row>
    <row r="62" spans="1:15" ht="15" x14ac:dyDescent="0.25">
      <c r="A62" s="7334"/>
      <c r="B62" s="4261">
        <v>2009</v>
      </c>
      <c r="C62" s="3372">
        <v>217</v>
      </c>
      <c r="D62" s="3372">
        <v>1005</v>
      </c>
      <c r="E62" s="3372"/>
      <c r="F62" s="3372">
        <v>36</v>
      </c>
      <c r="G62" s="3372">
        <v>2</v>
      </c>
      <c r="H62" s="3372">
        <v>2</v>
      </c>
      <c r="I62" s="3372">
        <v>2606</v>
      </c>
      <c r="J62" s="3372">
        <v>260</v>
      </c>
      <c r="K62" s="3372">
        <v>13</v>
      </c>
      <c r="L62" s="3372">
        <v>1</v>
      </c>
      <c r="M62" s="3372">
        <v>47</v>
      </c>
      <c r="N62" s="4263">
        <v>4189</v>
      </c>
      <c r="O62" s="17"/>
    </row>
    <row r="63" spans="1:15" ht="15" x14ac:dyDescent="0.25">
      <c r="A63" s="7334"/>
      <c r="B63" s="4261">
        <v>2010</v>
      </c>
      <c r="C63" s="3372">
        <v>360</v>
      </c>
      <c r="D63" s="3372">
        <v>1289</v>
      </c>
      <c r="E63" s="3372"/>
      <c r="F63" s="3372">
        <v>51</v>
      </c>
      <c r="G63" s="3372">
        <v>5</v>
      </c>
      <c r="H63" s="3372">
        <v>3</v>
      </c>
      <c r="I63" s="3372">
        <v>3378</v>
      </c>
      <c r="J63" s="3372">
        <v>361</v>
      </c>
      <c r="K63" s="3372">
        <v>27</v>
      </c>
      <c r="L63" s="3372"/>
      <c r="M63" s="3372">
        <v>69</v>
      </c>
      <c r="N63" s="4263">
        <f t="shared" ref="N63:N70" si="3">SUM(C63:M63)</f>
        <v>5543</v>
      </c>
      <c r="O63" s="17"/>
    </row>
    <row r="64" spans="1:15" ht="15" x14ac:dyDescent="0.25">
      <c r="A64" s="7334"/>
      <c r="B64" s="4261">
        <v>2011</v>
      </c>
      <c r="C64" s="3372">
        <v>266</v>
      </c>
      <c r="D64" s="3372">
        <v>1271</v>
      </c>
      <c r="E64" s="3372"/>
      <c r="F64" s="3372">
        <v>70</v>
      </c>
      <c r="G64" s="3372"/>
      <c r="H64" s="3372"/>
      <c r="I64" s="3372">
        <v>3305</v>
      </c>
      <c r="J64" s="3372">
        <v>358</v>
      </c>
      <c r="K64" s="3372">
        <v>24</v>
      </c>
      <c r="L64" s="3372"/>
      <c r="M64" s="3372">
        <v>48</v>
      </c>
      <c r="N64" s="4263">
        <f t="shared" si="3"/>
        <v>5342</v>
      </c>
      <c r="O64" s="17"/>
    </row>
    <row r="65" spans="1:15" ht="15" x14ac:dyDescent="0.25">
      <c r="A65" s="7334"/>
      <c r="B65" s="4261">
        <v>2012</v>
      </c>
      <c r="C65" s="3372">
        <v>330</v>
      </c>
      <c r="D65" s="3372">
        <v>1673</v>
      </c>
      <c r="E65" s="3372"/>
      <c r="F65" s="3372">
        <v>78</v>
      </c>
      <c r="G65" s="3372">
        <v>4</v>
      </c>
      <c r="H65" s="3372">
        <v>4</v>
      </c>
      <c r="I65" s="3372">
        <v>4154</v>
      </c>
      <c r="J65" s="3372">
        <v>353</v>
      </c>
      <c r="K65" s="3372">
        <v>22</v>
      </c>
      <c r="L65" s="3372">
        <v>5</v>
      </c>
      <c r="M65" s="3372">
        <v>84</v>
      </c>
      <c r="N65" s="4263">
        <f t="shared" si="3"/>
        <v>6707</v>
      </c>
      <c r="O65" s="17"/>
    </row>
    <row r="66" spans="1:15" ht="15" x14ac:dyDescent="0.25">
      <c r="A66" s="7334"/>
      <c r="B66" s="4261">
        <v>2013</v>
      </c>
      <c r="C66" s="3372">
        <v>379</v>
      </c>
      <c r="D66" s="3372">
        <v>1231</v>
      </c>
      <c r="E66" s="3372"/>
      <c r="F66" s="3372">
        <v>59</v>
      </c>
      <c r="G66" s="3372">
        <v>13</v>
      </c>
      <c r="H66" s="3372">
        <v>10</v>
      </c>
      <c r="I66" s="3372">
        <v>3180</v>
      </c>
      <c r="J66" s="3372">
        <v>283</v>
      </c>
      <c r="K66" s="3372">
        <v>54</v>
      </c>
      <c r="L66" s="3372">
        <v>6</v>
      </c>
      <c r="M66" s="3372">
        <v>40</v>
      </c>
      <c r="N66" s="4263">
        <f t="shared" si="3"/>
        <v>5255</v>
      </c>
      <c r="O66" s="17"/>
    </row>
    <row r="67" spans="1:15" ht="15" x14ac:dyDescent="0.25">
      <c r="A67" s="7334"/>
      <c r="B67" s="4261">
        <v>2014</v>
      </c>
      <c r="C67" s="3372">
        <v>582</v>
      </c>
      <c r="D67" s="3372">
        <v>1527</v>
      </c>
      <c r="E67" s="3372"/>
      <c r="F67" s="3372">
        <v>58</v>
      </c>
      <c r="G67" s="3372">
        <v>4</v>
      </c>
      <c r="H67" s="3372">
        <v>4</v>
      </c>
      <c r="I67" s="3372">
        <v>3940</v>
      </c>
      <c r="J67" s="3372">
        <v>339</v>
      </c>
      <c r="K67" s="3372">
        <v>11</v>
      </c>
      <c r="L67" s="3372"/>
      <c r="M67" s="3372">
        <v>38</v>
      </c>
      <c r="N67" s="4263">
        <f t="shared" si="3"/>
        <v>6503</v>
      </c>
      <c r="O67" s="17"/>
    </row>
    <row r="68" spans="1:15" ht="15" x14ac:dyDescent="0.25">
      <c r="A68" s="7334"/>
      <c r="B68" s="4261">
        <v>2015</v>
      </c>
      <c r="C68" s="4262">
        <v>338</v>
      </c>
      <c r="D68" s="4262">
        <v>1352</v>
      </c>
      <c r="E68" s="3372"/>
      <c r="F68" s="3372">
        <v>40</v>
      </c>
      <c r="G68" s="4262">
        <v>1</v>
      </c>
      <c r="H68" s="4262"/>
      <c r="I68" s="4262">
        <v>3469</v>
      </c>
      <c r="J68" s="4262">
        <v>258</v>
      </c>
      <c r="K68" s="4262">
        <v>19</v>
      </c>
      <c r="L68" s="4262">
        <v>8</v>
      </c>
      <c r="M68" s="4262">
        <v>40</v>
      </c>
      <c r="N68" s="4263">
        <f t="shared" si="3"/>
        <v>5525</v>
      </c>
      <c r="O68" s="17"/>
    </row>
    <row r="69" spans="1:15" ht="14.25" customHeight="1" x14ac:dyDescent="0.25">
      <c r="A69" s="7334"/>
      <c r="B69" s="4261">
        <v>2016</v>
      </c>
      <c r="C69" s="4262">
        <v>275</v>
      </c>
      <c r="D69" s="4262">
        <v>1119</v>
      </c>
      <c r="E69" s="4262"/>
      <c r="F69" s="4262">
        <v>43</v>
      </c>
      <c r="G69" s="4262">
        <v>2</v>
      </c>
      <c r="H69" s="4262">
        <v>2</v>
      </c>
      <c r="I69" s="4262">
        <v>3413</v>
      </c>
      <c r="J69" s="4262">
        <v>250</v>
      </c>
      <c r="K69" s="4262">
        <v>3</v>
      </c>
      <c r="L69" s="4262">
        <v>1</v>
      </c>
      <c r="M69" s="4262">
        <v>34</v>
      </c>
      <c r="N69" s="4263">
        <f t="shared" si="3"/>
        <v>5142</v>
      </c>
      <c r="O69" s="17"/>
    </row>
    <row r="70" spans="1:15" ht="14.25" customHeight="1" x14ac:dyDescent="0.25">
      <c r="A70" s="7335"/>
      <c r="B70" s="5377">
        <v>2017</v>
      </c>
      <c r="C70" s="5378">
        <v>210</v>
      </c>
      <c r="D70" s="5378">
        <v>1189</v>
      </c>
      <c r="E70" s="5378"/>
      <c r="F70" s="5378">
        <v>43</v>
      </c>
      <c r="G70" s="5378">
        <v>3</v>
      </c>
      <c r="H70" s="5378">
        <v>7</v>
      </c>
      <c r="I70" s="5378">
        <v>3161</v>
      </c>
      <c r="J70" s="5378">
        <v>290</v>
      </c>
      <c r="K70" s="5378">
        <v>3</v>
      </c>
      <c r="L70" s="5378">
        <v>2</v>
      </c>
      <c r="M70" s="5378">
        <v>27</v>
      </c>
      <c r="N70" s="4263">
        <f t="shared" si="3"/>
        <v>4935</v>
      </c>
      <c r="O70" s="17"/>
    </row>
    <row r="71" spans="1:15" ht="14.25" customHeight="1" x14ac:dyDescent="0.25">
      <c r="A71" s="5374"/>
      <c r="B71" s="3370"/>
      <c r="C71" s="334"/>
      <c r="D71" s="334"/>
      <c r="E71" s="334"/>
      <c r="F71" s="334"/>
      <c r="G71" s="334"/>
      <c r="H71" s="334"/>
      <c r="I71" s="334"/>
      <c r="J71" s="334"/>
      <c r="K71" s="334"/>
      <c r="L71" s="334"/>
      <c r="M71" s="334"/>
      <c r="N71" s="335"/>
      <c r="O71" s="17"/>
    </row>
    <row r="72" spans="1:15" ht="14.25" customHeight="1" x14ac:dyDescent="0.25">
      <c r="A72" s="7318" t="s">
        <v>76</v>
      </c>
      <c r="B72" s="4261">
        <v>2003</v>
      </c>
      <c r="C72" s="3372">
        <v>1478</v>
      </c>
      <c r="D72" s="3372">
        <v>2963</v>
      </c>
      <c r="E72" s="3372">
        <v>6</v>
      </c>
      <c r="F72" s="3372">
        <v>105</v>
      </c>
      <c r="G72" s="3372">
        <v>16</v>
      </c>
      <c r="H72" s="3372">
        <v>18</v>
      </c>
      <c r="I72" s="3372">
        <v>4772</v>
      </c>
      <c r="J72" s="3372">
        <v>643</v>
      </c>
      <c r="K72" s="3372">
        <v>32</v>
      </c>
      <c r="L72" s="3372">
        <v>14</v>
      </c>
      <c r="M72" s="3372">
        <v>169</v>
      </c>
      <c r="N72" s="4263">
        <v>10216</v>
      </c>
      <c r="O72" s="17"/>
    </row>
    <row r="73" spans="1:15" ht="13.5" customHeight="1" x14ac:dyDescent="0.25">
      <c r="A73" s="7319"/>
      <c r="B73" s="4261">
        <v>2004</v>
      </c>
      <c r="C73" s="3372">
        <v>1541</v>
      </c>
      <c r="D73" s="3372">
        <v>3179</v>
      </c>
      <c r="E73" s="3372">
        <v>3</v>
      </c>
      <c r="F73" s="3372">
        <v>101</v>
      </c>
      <c r="G73" s="3372">
        <v>26</v>
      </c>
      <c r="H73" s="3372">
        <v>2</v>
      </c>
      <c r="I73" s="3372">
        <v>6003</v>
      </c>
      <c r="J73" s="3372">
        <v>746</v>
      </c>
      <c r="K73" s="3372">
        <v>35</v>
      </c>
      <c r="L73" s="3372">
        <v>14</v>
      </c>
      <c r="M73" s="3372">
        <v>182</v>
      </c>
      <c r="N73" s="4263">
        <v>11832</v>
      </c>
      <c r="O73" s="17"/>
    </row>
    <row r="74" spans="1:15" ht="13.5" customHeight="1" x14ac:dyDescent="0.25">
      <c r="A74" s="7319"/>
      <c r="B74" s="4261">
        <v>2005</v>
      </c>
      <c r="C74" s="3372">
        <v>1608</v>
      </c>
      <c r="D74" s="3372">
        <v>3216</v>
      </c>
      <c r="E74" s="3372">
        <v>6</v>
      </c>
      <c r="F74" s="3372">
        <v>94</v>
      </c>
      <c r="G74" s="3372">
        <v>18</v>
      </c>
      <c r="H74" s="3372">
        <v>7</v>
      </c>
      <c r="I74" s="3372">
        <v>6066</v>
      </c>
      <c r="J74" s="3372">
        <v>726</v>
      </c>
      <c r="K74" s="3372">
        <v>35</v>
      </c>
      <c r="L74" s="3372">
        <v>18</v>
      </c>
      <c r="M74" s="3372">
        <v>203</v>
      </c>
      <c r="N74" s="4263">
        <v>11997</v>
      </c>
      <c r="O74" s="17"/>
    </row>
    <row r="75" spans="1:15" ht="13.5" customHeight="1" x14ac:dyDescent="0.25">
      <c r="A75" s="7319"/>
      <c r="B75" s="4261">
        <v>2006</v>
      </c>
      <c r="C75" s="3372">
        <v>1271</v>
      </c>
      <c r="D75" s="3372">
        <v>2984</v>
      </c>
      <c r="E75" s="3372">
        <v>12</v>
      </c>
      <c r="F75" s="3372">
        <v>103</v>
      </c>
      <c r="G75" s="3372">
        <v>24</v>
      </c>
      <c r="H75" s="3372">
        <v>4</v>
      </c>
      <c r="I75" s="3372">
        <v>5530</v>
      </c>
      <c r="J75" s="3372">
        <v>774</v>
      </c>
      <c r="K75" s="3372">
        <v>13</v>
      </c>
      <c r="L75" s="3372">
        <v>10</v>
      </c>
      <c r="M75" s="3372">
        <v>195</v>
      </c>
      <c r="N75" s="4263">
        <v>10920</v>
      </c>
      <c r="O75" s="17"/>
    </row>
    <row r="76" spans="1:15" ht="13.5" customHeight="1" x14ac:dyDescent="0.25">
      <c r="A76" s="7319"/>
      <c r="B76" s="4261">
        <v>2007</v>
      </c>
      <c r="C76" s="3372">
        <v>1035</v>
      </c>
      <c r="D76" s="3372">
        <v>3023</v>
      </c>
      <c r="E76" s="3372">
        <v>1</v>
      </c>
      <c r="F76" s="3372">
        <v>127</v>
      </c>
      <c r="G76" s="3372">
        <v>5</v>
      </c>
      <c r="H76" s="3372">
        <v>5</v>
      </c>
      <c r="I76" s="3372">
        <v>5383</v>
      </c>
      <c r="J76" s="3372">
        <v>545</v>
      </c>
      <c r="K76" s="3372">
        <v>27</v>
      </c>
      <c r="L76" s="3372">
        <v>12</v>
      </c>
      <c r="M76" s="3372">
        <v>145</v>
      </c>
      <c r="N76" s="4263">
        <v>10308</v>
      </c>
      <c r="O76" s="17"/>
    </row>
    <row r="77" spans="1:15" ht="15" x14ac:dyDescent="0.25">
      <c r="A77" s="7319"/>
      <c r="B77" s="4261">
        <v>2008</v>
      </c>
      <c r="C77" s="3372">
        <v>1093</v>
      </c>
      <c r="D77" s="3372">
        <v>3448</v>
      </c>
      <c r="E77" s="3372">
        <v>3</v>
      </c>
      <c r="F77" s="3372">
        <v>104</v>
      </c>
      <c r="G77" s="3372">
        <v>11</v>
      </c>
      <c r="H77" s="3372">
        <v>16</v>
      </c>
      <c r="I77" s="3372">
        <v>6239</v>
      </c>
      <c r="J77" s="3372">
        <v>716</v>
      </c>
      <c r="K77" s="3372">
        <v>33</v>
      </c>
      <c r="L77" s="3372">
        <v>17</v>
      </c>
      <c r="M77" s="3372">
        <v>182</v>
      </c>
      <c r="N77" s="4263">
        <v>11862</v>
      </c>
    </row>
    <row r="78" spans="1:15" ht="15" x14ac:dyDescent="0.25">
      <c r="A78" s="7319"/>
      <c r="B78" s="4261">
        <v>2009</v>
      </c>
      <c r="C78" s="3372">
        <v>1106</v>
      </c>
      <c r="D78" s="3372">
        <v>3232</v>
      </c>
      <c r="E78" s="3372"/>
      <c r="F78" s="3372">
        <v>113</v>
      </c>
      <c r="G78" s="3372">
        <v>10</v>
      </c>
      <c r="H78" s="3372">
        <v>12</v>
      </c>
      <c r="I78" s="3372">
        <v>6486</v>
      </c>
      <c r="J78" s="3372">
        <v>654</v>
      </c>
      <c r="K78" s="3372">
        <v>36</v>
      </c>
      <c r="L78" s="3372">
        <v>5</v>
      </c>
      <c r="M78" s="3372">
        <v>139</v>
      </c>
      <c r="N78" s="4263">
        <v>11793</v>
      </c>
    </row>
    <row r="79" spans="1:15" ht="15" x14ac:dyDescent="0.25">
      <c r="A79" s="7319"/>
      <c r="B79" s="4261">
        <v>2010</v>
      </c>
      <c r="C79" s="3372">
        <f t="shared" ref="C79:D81" si="4">SUM(C12,C25,C41,C63)</f>
        <v>1447</v>
      </c>
      <c r="D79" s="3372">
        <f t="shared" si="4"/>
        <v>4004</v>
      </c>
      <c r="E79" s="3372"/>
      <c r="F79" s="3372">
        <f t="shared" ref="F79:N79" si="5">SUM(F12,F25,F41,F63)</f>
        <v>145</v>
      </c>
      <c r="G79" s="3372">
        <f t="shared" si="5"/>
        <v>13</v>
      </c>
      <c r="H79" s="3372">
        <f t="shared" si="5"/>
        <v>18</v>
      </c>
      <c r="I79" s="3372">
        <f t="shared" si="5"/>
        <v>7886</v>
      </c>
      <c r="J79" s="3372">
        <f t="shared" si="5"/>
        <v>826</v>
      </c>
      <c r="K79" s="3372">
        <f t="shared" si="5"/>
        <v>50</v>
      </c>
      <c r="L79" s="3372">
        <f t="shared" si="5"/>
        <v>4</v>
      </c>
      <c r="M79" s="3372">
        <f t="shared" si="5"/>
        <v>204</v>
      </c>
      <c r="N79" s="4263">
        <f t="shared" si="5"/>
        <v>14597</v>
      </c>
    </row>
    <row r="80" spans="1:15" ht="15" x14ac:dyDescent="0.25">
      <c r="A80" s="7319"/>
      <c r="B80" s="4261">
        <v>2011</v>
      </c>
      <c r="C80" s="3372">
        <f t="shared" si="4"/>
        <v>1562</v>
      </c>
      <c r="D80" s="3372">
        <f t="shared" si="4"/>
        <v>4143</v>
      </c>
      <c r="E80" s="3372"/>
      <c r="F80" s="3372">
        <f t="shared" ref="F80:N80" si="6">SUM(F13,F26,F42,F64)</f>
        <v>152</v>
      </c>
      <c r="G80" s="3372">
        <f t="shared" si="6"/>
        <v>20</v>
      </c>
      <c r="H80" s="3372">
        <f t="shared" si="6"/>
        <v>9</v>
      </c>
      <c r="I80" s="3372">
        <f t="shared" si="6"/>
        <v>8478</v>
      </c>
      <c r="J80" s="3372">
        <f t="shared" si="6"/>
        <v>813</v>
      </c>
      <c r="K80" s="3372">
        <f t="shared" si="6"/>
        <v>99</v>
      </c>
      <c r="L80" s="3372">
        <f t="shared" si="6"/>
        <v>13</v>
      </c>
      <c r="M80" s="3372">
        <f t="shared" si="6"/>
        <v>182</v>
      </c>
      <c r="N80" s="4263">
        <f t="shared" si="6"/>
        <v>15471</v>
      </c>
    </row>
    <row r="81" spans="1:14" ht="15" x14ac:dyDescent="0.25">
      <c r="A81" s="7319"/>
      <c r="B81" s="4261">
        <v>2012</v>
      </c>
      <c r="C81" s="3372">
        <f t="shared" si="4"/>
        <v>1410</v>
      </c>
      <c r="D81" s="3372">
        <f t="shared" si="4"/>
        <v>4328</v>
      </c>
      <c r="E81" s="3372"/>
      <c r="F81" s="3372">
        <f t="shared" ref="F81:N81" si="7">SUM(F14,F27,F43,F65)</f>
        <v>180</v>
      </c>
      <c r="G81" s="3372">
        <f t="shared" si="7"/>
        <v>19</v>
      </c>
      <c r="H81" s="3372">
        <f t="shared" si="7"/>
        <v>7</v>
      </c>
      <c r="I81" s="3372">
        <f t="shared" si="7"/>
        <v>9049</v>
      </c>
      <c r="J81" s="3372">
        <f t="shared" si="7"/>
        <v>709</v>
      </c>
      <c r="K81" s="3372">
        <f t="shared" si="7"/>
        <v>70</v>
      </c>
      <c r="L81" s="3372">
        <f t="shared" si="7"/>
        <v>16</v>
      </c>
      <c r="M81" s="3372">
        <f t="shared" si="7"/>
        <v>194</v>
      </c>
      <c r="N81" s="4263">
        <f t="shared" si="7"/>
        <v>15982</v>
      </c>
    </row>
    <row r="82" spans="1:14" ht="15" x14ac:dyDescent="0.25">
      <c r="A82" s="7319"/>
      <c r="B82" s="4261">
        <v>2013</v>
      </c>
      <c r="C82" s="3372">
        <f t="shared" ref="C82:D84" si="8">SUM(C15,C28,C44,C50,C66)</f>
        <v>1610</v>
      </c>
      <c r="D82" s="3372">
        <f t="shared" si="8"/>
        <v>4346</v>
      </c>
      <c r="E82" s="3372"/>
      <c r="F82" s="3372">
        <f t="shared" ref="F82:N82" si="9">SUM(F15,F28,F44,F50,F66)</f>
        <v>161</v>
      </c>
      <c r="G82" s="3372">
        <f t="shared" si="9"/>
        <v>35</v>
      </c>
      <c r="H82" s="3372">
        <f t="shared" si="9"/>
        <v>21</v>
      </c>
      <c r="I82" s="3372">
        <f t="shared" si="9"/>
        <v>8737</v>
      </c>
      <c r="J82" s="3372">
        <f t="shared" si="9"/>
        <v>832</v>
      </c>
      <c r="K82" s="3372">
        <f t="shared" si="9"/>
        <v>119</v>
      </c>
      <c r="L82" s="3372">
        <f t="shared" si="9"/>
        <v>28</v>
      </c>
      <c r="M82" s="3372">
        <f t="shared" si="9"/>
        <v>121</v>
      </c>
      <c r="N82" s="4263">
        <f t="shared" si="9"/>
        <v>16010</v>
      </c>
    </row>
    <row r="83" spans="1:14" ht="15" x14ac:dyDescent="0.25">
      <c r="A83" s="7319"/>
      <c r="B83" s="4261">
        <v>2014</v>
      </c>
      <c r="C83" s="3372">
        <f t="shared" si="8"/>
        <v>1540</v>
      </c>
      <c r="D83" s="3372">
        <f t="shared" si="8"/>
        <v>4334</v>
      </c>
      <c r="E83" s="3372"/>
      <c r="F83" s="3372">
        <f t="shared" ref="F83:N83" si="10">SUM(F16,F29,F45,F51,F67)</f>
        <v>130</v>
      </c>
      <c r="G83" s="3372">
        <f t="shared" si="10"/>
        <v>22</v>
      </c>
      <c r="H83" s="3372">
        <f t="shared" si="10"/>
        <v>17</v>
      </c>
      <c r="I83" s="3372">
        <f t="shared" si="10"/>
        <v>9276</v>
      </c>
      <c r="J83" s="3372">
        <f t="shared" si="10"/>
        <v>827</v>
      </c>
      <c r="K83" s="3372">
        <f t="shared" si="10"/>
        <v>43</v>
      </c>
      <c r="L83" s="3372">
        <f t="shared" si="10"/>
        <v>11</v>
      </c>
      <c r="M83" s="3372">
        <f t="shared" si="10"/>
        <v>134</v>
      </c>
      <c r="N83" s="4263">
        <f t="shared" si="10"/>
        <v>16334</v>
      </c>
    </row>
    <row r="84" spans="1:14" ht="15" x14ac:dyDescent="0.25">
      <c r="A84" s="7319"/>
      <c r="B84" s="4261">
        <v>2015</v>
      </c>
      <c r="C84" s="3372">
        <f t="shared" si="8"/>
        <v>1410</v>
      </c>
      <c r="D84" s="3372">
        <f t="shared" si="8"/>
        <v>4634</v>
      </c>
      <c r="E84" s="3372"/>
      <c r="F84" s="3372">
        <f t="shared" ref="F84:N84" si="11">SUM(F17,F30,F46,F52,F68)</f>
        <v>113</v>
      </c>
      <c r="G84" s="3372">
        <f t="shared" si="11"/>
        <v>21</v>
      </c>
      <c r="H84" s="3372">
        <f t="shared" si="11"/>
        <v>22</v>
      </c>
      <c r="I84" s="3372">
        <f t="shared" si="11"/>
        <v>9179</v>
      </c>
      <c r="J84" s="3372">
        <f t="shared" si="11"/>
        <v>817</v>
      </c>
      <c r="K84" s="3372">
        <f t="shared" si="11"/>
        <v>68</v>
      </c>
      <c r="L84" s="3372">
        <f t="shared" si="11"/>
        <v>14</v>
      </c>
      <c r="M84" s="3372">
        <f t="shared" si="11"/>
        <v>160</v>
      </c>
      <c r="N84" s="4263">
        <f t="shared" si="11"/>
        <v>16438</v>
      </c>
    </row>
    <row r="85" spans="1:14" ht="15" x14ac:dyDescent="0.25">
      <c r="A85" s="7319"/>
      <c r="B85" s="4261">
        <v>2016</v>
      </c>
      <c r="C85" s="4262">
        <v>1283</v>
      </c>
      <c r="D85" s="4262">
        <v>4112</v>
      </c>
      <c r="E85" s="4262"/>
      <c r="F85" s="4262">
        <v>118</v>
      </c>
      <c r="G85" s="4262">
        <v>14</v>
      </c>
      <c r="H85" s="4262">
        <v>13</v>
      </c>
      <c r="I85" s="4262">
        <v>8288</v>
      </c>
      <c r="J85" s="4262">
        <v>709</v>
      </c>
      <c r="K85" s="4262">
        <v>25</v>
      </c>
      <c r="L85" s="4262">
        <v>11</v>
      </c>
      <c r="M85" s="4262">
        <v>143</v>
      </c>
      <c r="N85" s="4263">
        <f>SUM(N18,N31,N47,N53,N69)</f>
        <v>14716</v>
      </c>
    </row>
    <row r="86" spans="1:14" ht="15" x14ac:dyDescent="0.25">
      <c r="A86" s="7320"/>
      <c r="B86" s="5381">
        <v>2017</v>
      </c>
      <c r="C86" s="4262">
        <v>1285</v>
      </c>
      <c r="D86" s="4262">
        <v>4311</v>
      </c>
      <c r="E86" s="4262"/>
      <c r="F86" s="4262">
        <v>107</v>
      </c>
      <c r="G86" s="4262">
        <v>16</v>
      </c>
      <c r="H86" s="4262">
        <v>15</v>
      </c>
      <c r="I86" s="4262">
        <v>8228</v>
      </c>
      <c r="J86" s="4262">
        <v>736</v>
      </c>
      <c r="K86" s="4262">
        <v>40</v>
      </c>
      <c r="L86" s="4262">
        <v>14</v>
      </c>
      <c r="M86" s="4262">
        <v>124</v>
      </c>
      <c r="N86" s="4263">
        <f>SUM(N19,N32,N48,N54,N70)</f>
        <v>14876</v>
      </c>
    </row>
    <row r="87" spans="1:14" x14ac:dyDescent="0.2">
      <c r="B87" s="3745" t="s">
        <v>66</v>
      </c>
    </row>
  </sheetData>
  <sheetProtection algorithmName="SHA-512" hashValue="Ypce8+tspiJ/WzCTKi1+NfH8nN3oPeavtX4z2ijFMEiElK/k/vb5NqRcT4lmf2Dztn1tdwe0i0AVEZ0ifGVRiA==" saltValue="c7XR/qcTWQ44YUHaryKHsQ==" spinCount="100000" sheet="1" objects="1" scenarios="1"/>
  <mergeCells count="6">
    <mergeCell ref="A72:A86"/>
    <mergeCell ref="A5:A19"/>
    <mergeCell ref="A21:A32"/>
    <mergeCell ref="A34:A48"/>
    <mergeCell ref="A50:A54"/>
    <mergeCell ref="A56:A70"/>
  </mergeCells>
  <phoneticPr fontId="81" type="noConversion"/>
  <printOptions horizontalCentered="1" verticalCentered="1"/>
  <pageMargins left="0.39370078740157483" right="0.39370078740157483" top="0.98425196850393704" bottom="0.98425196850393704" header="0" footer="0"/>
  <pageSetup scale="57" orientation="landscape" r:id="rId1"/>
  <headerFooter alignWithMargins="0"/>
  <rowBreaks count="2" manualBreakCount="2">
    <brk id="48" max="13" man="1"/>
    <brk id="81" max="16383" man="1"/>
  </rowBreaks>
  <colBreaks count="1" manualBreakCount="1">
    <brk id="14" max="1048575" man="1"/>
  </colBreaks>
  <ignoredErrors>
    <ignoredError sqref="N12:N19 N63:N70 N25:N32 N33:N47 N49:N53 N48 N54" formulaRange="1"/>
  </ignoredErrors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08200"/>
  </sheetPr>
  <dimension ref="A2:AO71"/>
  <sheetViews>
    <sheetView showGridLines="0" zoomScaleNormal="100" zoomScaleSheetLayoutView="80" workbookViewId="0">
      <selection activeCell="W124" sqref="W124"/>
    </sheetView>
  </sheetViews>
  <sheetFormatPr baseColWidth="10" defaultRowHeight="12.75" x14ac:dyDescent="0.2"/>
  <cols>
    <col min="1" max="1" width="17.7109375" style="3" customWidth="1"/>
    <col min="2" max="2" width="10.140625" style="2" customWidth="1"/>
    <col min="3" max="3" width="10.28515625" style="2" customWidth="1"/>
    <col min="4" max="4" width="10.85546875" style="2" customWidth="1"/>
    <col min="5" max="5" width="8.7109375" style="2" customWidth="1"/>
    <col min="6" max="6" width="10.42578125" style="2" customWidth="1"/>
    <col min="7" max="7" width="7.5703125" style="2" customWidth="1"/>
    <col min="8" max="8" width="8.85546875" style="2" customWidth="1"/>
    <col min="9" max="9" width="1.7109375" style="2" customWidth="1"/>
    <col min="10" max="10" width="10.140625" style="2" customWidth="1"/>
    <col min="11" max="11" width="10.28515625" style="2" customWidth="1"/>
    <col min="12" max="12" width="10.7109375" style="2" customWidth="1"/>
    <col min="13" max="13" width="8.7109375" style="2" customWidth="1"/>
    <col min="14" max="14" width="10.28515625" style="2" customWidth="1"/>
    <col min="15" max="15" width="7.5703125" style="2" customWidth="1"/>
    <col min="16" max="16" width="8.5703125" style="2" bestFit="1" customWidth="1"/>
    <col min="17" max="17" width="1.7109375" style="2" customWidth="1"/>
    <col min="18" max="18" width="10.140625" style="2" customWidth="1"/>
    <col min="19" max="19" width="10.28515625" style="2" customWidth="1"/>
    <col min="20" max="20" width="10" style="2" customWidth="1"/>
    <col min="21" max="21" width="8.7109375" style="2" customWidth="1"/>
    <col min="22" max="22" width="10" style="2" customWidth="1"/>
    <col min="23" max="23" width="7.5703125" style="2" customWidth="1"/>
    <col min="24" max="24" width="8.5703125" style="2" bestFit="1" customWidth="1"/>
    <col min="25" max="25" width="10.28515625" style="2" customWidth="1"/>
    <col min="26" max="26" width="10.140625" style="2" customWidth="1"/>
    <col min="27" max="27" width="9" style="2" customWidth="1"/>
    <col min="28" max="28" width="10.140625" style="2" customWidth="1"/>
    <col min="29" max="29" width="9" style="2" customWidth="1"/>
    <col min="30" max="30" width="10.140625" style="2" customWidth="1"/>
    <col min="31" max="31" width="10.28515625" style="2" customWidth="1"/>
    <col min="32" max="32" width="11.7109375" style="2" customWidth="1"/>
    <col min="33" max="33" width="8.28515625" style="2" customWidth="1"/>
    <col min="34" max="34" width="9.7109375" style="2" customWidth="1"/>
    <col min="35" max="35" width="7.85546875" style="2" customWidth="1"/>
    <col min="36" max="16384" width="11.42578125" style="2"/>
  </cols>
  <sheetData>
    <row r="2" spans="1:41" ht="15.75" customHeight="1" x14ac:dyDescent="0.25">
      <c r="A2" s="136" t="s">
        <v>1284</v>
      </c>
      <c r="B2" s="136"/>
      <c r="C2" s="136"/>
      <c r="D2" s="136"/>
      <c r="E2" s="136"/>
      <c r="F2" s="136"/>
      <c r="G2" s="136"/>
      <c r="H2" s="136"/>
      <c r="I2" s="136"/>
      <c r="J2" s="136"/>
      <c r="K2" s="136"/>
      <c r="L2" s="136"/>
      <c r="M2" s="136"/>
      <c r="N2" s="136"/>
      <c r="O2" s="13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</row>
    <row r="4" spans="1:41" ht="15" customHeight="1" x14ac:dyDescent="0.2">
      <c r="A4" s="7340" t="s">
        <v>124</v>
      </c>
      <c r="B4" s="7336">
        <v>2003</v>
      </c>
      <c r="C4" s="7337"/>
      <c r="D4" s="7337"/>
      <c r="E4" s="7337"/>
      <c r="F4" s="7337"/>
      <c r="G4" s="7337"/>
      <c r="H4" s="7338"/>
      <c r="J4" s="7336">
        <v>2004</v>
      </c>
      <c r="K4" s="7337"/>
      <c r="L4" s="7337"/>
      <c r="M4" s="7337"/>
      <c r="N4" s="7337"/>
      <c r="O4" s="7337"/>
      <c r="P4" s="7338"/>
      <c r="R4" s="7336">
        <v>2005</v>
      </c>
      <c r="S4" s="7337"/>
      <c r="T4" s="7337"/>
      <c r="U4" s="7337"/>
      <c r="V4" s="7337"/>
      <c r="W4" s="7337"/>
      <c r="X4" s="7338"/>
    </row>
    <row r="5" spans="1:41" s="88" customFormat="1" ht="39.950000000000003" customHeight="1" x14ac:dyDescent="0.2">
      <c r="A5" s="7341"/>
      <c r="B5" s="750" t="s">
        <v>118</v>
      </c>
      <c r="C5" s="750" t="s">
        <v>119</v>
      </c>
      <c r="D5" s="750" t="s">
        <v>120</v>
      </c>
      <c r="E5" s="750" t="s">
        <v>121</v>
      </c>
      <c r="F5" s="750" t="s">
        <v>122</v>
      </c>
      <c r="G5" s="750" t="s">
        <v>123</v>
      </c>
      <c r="H5" s="1518" t="s">
        <v>12</v>
      </c>
      <c r="I5" s="2"/>
      <c r="J5" s="750" t="s">
        <v>118</v>
      </c>
      <c r="K5" s="750" t="s">
        <v>119</v>
      </c>
      <c r="L5" s="750" t="s">
        <v>120</v>
      </c>
      <c r="M5" s="750" t="s">
        <v>121</v>
      </c>
      <c r="N5" s="750" t="s">
        <v>122</v>
      </c>
      <c r="O5" s="750" t="s">
        <v>123</v>
      </c>
      <c r="P5" s="1518" t="s">
        <v>12</v>
      </c>
      <c r="Q5" s="2"/>
      <c r="R5" s="750" t="s">
        <v>118</v>
      </c>
      <c r="S5" s="750" t="s">
        <v>119</v>
      </c>
      <c r="T5" s="750" t="s">
        <v>120</v>
      </c>
      <c r="U5" s="750" t="s">
        <v>121</v>
      </c>
      <c r="V5" s="750" t="s">
        <v>122</v>
      </c>
      <c r="W5" s="750" t="s">
        <v>123</v>
      </c>
      <c r="X5" s="1518" t="s">
        <v>12</v>
      </c>
    </row>
    <row r="6" spans="1:41" s="23" customFormat="1" ht="24.95" customHeight="1" x14ac:dyDescent="0.2">
      <c r="A6" s="2566" t="s">
        <v>161</v>
      </c>
      <c r="B6" s="4383">
        <v>7771</v>
      </c>
      <c r="C6" s="4384">
        <v>2948</v>
      </c>
      <c r="D6" s="4384">
        <v>1930</v>
      </c>
      <c r="E6" s="4384">
        <v>113</v>
      </c>
      <c r="F6" s="4384">
        <v>367</v>
      </c>
      <c r="G6" s="4384">
        <v>143</v>
      </c>
      <c r="H6" s="4385">
        <f>SUM(B6:G6)</f>
        <v>13272</v>
      </c>
      <c r="I6" s="2"/>
      <c r="J6" s="4383">
        <v>10083</v>
      </c>
      <c r="K6" s="4384">
        <v>3706</v>
      </c>
      <c r="L6" s="4384">
        <v>2328</v>
      </c>
      <c r="M6" s="4384">
        <v>123</v>
      </c>
      <c r="N6" s="4384">
        <v>467</v>
      </c>
      <c r="O6" s="4384">
        <v>134</v>
      </c>
      <c r="P6" s="4385">
        <f>SUM(J6:O6)</f>
        <v>16841</v>
      </c>
      <c r="Q6" s="2"/>
      <c r="R6" s="4383">
        <v>5268</v>
      </c>
      <c r="S6" s="4384">
        <v>3530</v>
      </c>
      <c r="T6" s="4384">
        <v>2130</v>
      </c>
      <c r="U6" s="4384">
        <v>106</v>
      </c>
      <c r="V6" s="4384">
        <v>458</v>
      </c>
      <c r="W6" s="4384">
        <v>128</v>
      </c>
      <c r="X6" s="4385">
        <f>SUM(R6:W6)</f>
        <v>11620</v>
      </c>
    </row>
    <row r="7" spans="1:41" s="23" customFormat="1" ht="24.95" customHeight="1" x14ac:dyDescent="0.2">
      <c r="A7" s="2568" t="s">
        <v>407</v>
      </c>
      <c r="B7" s="5610"/>
      <c r="C7" s="5611"/>
      <c r="D7" s="5611"/>
      <c r="E7" s="5611"/>
      <c r="F7" s="5611"/>
      <c r="G7" s="5611"/>
      <c r="H7" s="5612"/>
      <c r="I7" s="2"/>
      <c r="J7" s="5610"/>
      <c r="K7" s="5611"/>
      <c r="L7" s="5611"/>
      <c r="M7" s="5611"/>
      <c r="N7" s="5611"/>
      <c r="O7" s="5611"/>
      <c r="P7" s="5612"/>
      <c r="Q7" s="2"/>
      <c r="R7" s="5610"/>
      <c r="S7" s="5611"/>
      <c r="T7" s="5611"/>
      <c r="U7" s="5611"/>
      <c r="V7" s="5611"/>
      <c r="W7" s="5611"/>
      <c r="X7" s="5612"/>
    </row>
    <row r="8" spans="1:41" s="23" customFormat="1" ht="24.95" customHeight="1" x14ac:dyDescent="0.2">
      <c r="A8" s="2567" t="s">
        <v>162</v>
      </c>
      <c r="B8" s="4386">
        <v>7061</v>
      </c>
      <c r="C8" s="4387">
        <v>3852</v>
      </c>
      <c r="D8" s="4387">
        <v>2964</v>
      </c>
      <c r="E8" s="4387">
        <v>166</v>
      </c>
      <c r="F8" s="4387">
        <v>361</v>
      </c>
      <c r="G8" s="4387">
        <v>23</v>
      </c>
      <c r="H8" s="4389">
        <f>SUM(B8:G8)</f>
        <v>14427</v>
      </c>
      <c r="I8" s="2"/>
      <c r="J8" s="4386">
        <v>7186</v>
      </c>
      <c r="K8" s="4387">
        <v>4062</v>
      </c>
      <c r="L8" s="4387">
        <v>3131</v>
      </c>
      <c r="M8" s="4387">
        <v>145</v>
      </c>
      <c r="N8" s="4387">
        <v>353</v>
      </c>
      <c r="O8" s="4387">
        <v>29</v>
      </c>
      <c r="P8" s="4389">
        <f>SUM(J8:O8)</f>
        <v>14906</v>
      </c>
      <c r="Q8" s="2"/>
      <c r="R8" s="4386">
        <v>6643</v>
      </c>
      <c r="S8" s="4387">
        <v>4560</v>
      </c>
      <c r="T8" s="4387">
        <v>3946</v>
      </c>
      <c r="U8" s="4387">
        <v>161</v>
      </c>
      <c r="V8" s="4387">
        <v>414</v>
      </c>
      <c r="W8" s="4387">
        <v>47</v>
      </c>
      <c r="X8" s="4389">
        <f>SUM(R8:W8)</f>
        <v>15771</v>
      </c>
    </row>
    <row r="9" spans="1:41" s="23" customFormat="1" ht="24.95" customHeight="1" x14ac:dyDescent="0.2">
      <c r="A9" s="2571" t="s">
        <v>163</v>
      </c>
      <c r="B9" s="4390">
        <v>5019</v>
      </c>
      <c r="C9" s="4391">
        <v>3416</v>
      </c>
      <c r="D9" s="4391">
        <v>3932</v>
      </c>
      <c r="E9" s="4391">
        <v>136</v>
      </c>
      <c r="F9" s="4391">
        <v>423</v>
      </c>
      <c r="G9" s="4391">
        <v>247</v>
      </c>
      <c r="H9" s="4392">
        <f>SUM(B9:G9)</f>
        <v>13173</v>
      </c>
      <c r="I9" s="2"/>
      <c r="J9" s="4390">
        <v>6399</v>
      </c>
      <c r="K9" s="4391">
        <v>4064</v>
      </c>
      <c r="L9" s="4391">
        <v>4589</v>
      </c>
      <c r="M9" s="4391">
        <v>138</v>
      </c>
      <c r="N9" s="4391">
        <v>588</v>
      </c>
      <c r="O9" s="4391">
        <v>255</v>
      </c>
      <c r="P9" s="4392">
        <f>SUM(J9:O9)</f>
        <v>16033</v>
      </c>
      <c r="Q9" s="2"/>
      <c r="R9" s="4390">
        <v>3810</v>
      </c>
      <c r="S9" s="4391">
        <v>3907</v>
      </c>
      <c r="T9" s="4391">
        <v>4278</v>
      </c>
      <c r="U9" s="4391">
        <v>100</v>
      </c>
      <c r="V9" s="4391">
        <v>461</v>
      </c>
      <c r="W9" s="4391">
        <v>162</v>
      </c>
      <c r="X9" s="4392">
        <f>SUM(R9:W9)</f>
        <v>12718</v>
      </c>
    </row>
    <row r="10" spans="1:41" s="27" customFormat="1" ht="24.95" customHeight="1" x14ac:dyDescent="0.2">
      <c r="A10" s="2559" t="s">
        <v>573</v>
      </c>
      <c r="B10" s="4393">
        <f t="shared" ref="B10:H10" si="0">SUM(B6:B9)</f>
        <v>19851</v>
      </c>
      <c r="C10" s="4394">
        <f t="shared" si="0"/>
        <v>10216</v>
      </c>
      <c r="D10" s="4394">
        <f t="shared" si="0"/>
        <v>8826</v>
      </c>
      <c r="E10" s="4394">
        <f t="shared" si="0"/>
        <v>415</v>
      </c>
      <c r="F10" s="4394">
        <f t="shared" si="0"/>
        <v>1151</v>
      </c>
      <c r="G10" s="4394">
        <f t="shared" si="0"/>
        <v>413</v>
      </c>
      <c r="H10" s="4395">
        <f t="shared" si="0"/>
        <v>40872</v>
      </c>
      <c r="I10" s="2"/>
      <c r="J10" s="4393">
        <f t="shared" ref="J10:P10" si="1">SUM(J6:J9)</f>
        <v>23668</v>
      </c>
      <c r="K10" s="4394">
        <f t="shared" si="1"/>
        <v>11832</v>
      </c>
      <c r="L10" s="4394">
        <f t="shared" si="1"/>
        <v>10048</v>
      </c>
      <c r="M10" s="4394">
        <f t="shared" si="1"/>
        <v>406</v>
      </c>
      <c r="N10" s="4394">
        <f t="shared" si="1"/>
        <v>1408</v>
      </c>
      <c r="O10" s="4394">
        <f t="shared" si="1"/>
        <v>418</v>
      </c>
      <c r="P10" s="4395">
        <f t="shared" si="1"/>
        <v>47780</v>
      </c>
      <c r="Q10" s="2"/>
      <c r="R10" s="4393">
        <f t="shared" ref="R10:W10" si="2">SUM(R6:R9)</f>
        <v>15721</v>
      </c>
      <c r="S10" s="4394">
        <f t="shared" si="2"/>
        <v>11997</v>
      </c>
      <c r="T10" s="4394">
        <f t="shared" si="2"/>
        <v>10354</v>
      </c>
      <c r="U10" s="4394">
        <f t="shared" si="2"/>
        <v>367</v>
      </c>
      <c r="V10" s="4394">
        <f t="shared" si="2"/>
        <v>1333</v>
      </c>
      <c r="W10" s="4394">
        <f t="shared" si="2"/>
        <v>337</v>
      </c>
      <c r="X10" s="4395">
        <f>SUM(R10:W10)</f>
        <v>40109</v>
      </c>
    </row>
    <row r="11" spans="1:41" x14ac:dyDescent="0.2">
      <c r="A11" s="752" t="s">
        <v>117</v>
      </c>
    </row>
    <row r="12" spans="1:41" x14ac:dyDescent="0.2">
      <c r="A12" s="541"/>
    </row>
    <row r="14" spans="1:41" ht="15" customHeight="1" x14ac:dyDescent="0.2">
      <c r="A14" s="7340" t="s">
        <v>124</v>
      </c>
      <c r="B14" s="7336">
        <v>2006</v>
      </c>
      <c r="C14" s="7337"/>
      <c r="D14" s="7337"/>
      <c r="E14" s="7337"/>
      <c r="F14" s="7337"/>
      <c r="G14" s="7337"/>
      <c r="H14" s="7338"/>
      <c r="J14" s="7336">
        <v>2007</v>
      </c>
      <c r="K14" s="7337"/>
      <c r="L14" s="7337"/>
      <c r="M14" s="7337"/>
      <c r="N14" s="7337"/>
      <c r="O14" s="7337"/>
      <c r="P14" s="7338"/>
      <c r="R14" s="7336">
        <v>2008</v>
      </c>
      <c r="S14" s="7337"/>
      <c r="T14" s="7337"/>
      <c r="U14" s="7337"/>
      <c r="V14" s="7337"/>
      <c r="W14" s="7337"/>
      <c r="X14" s="7338"/>
    </row>
    <row r="15" spans="1:41" ht="39.950000000000003" customHeight="1" x14ac:dyDescent="0.2">
      <c r="A15" s="7341"/>
      <c r="B15" s="749" t="s">
        <v>118</v>
      </c>
      <c r="C15" s="750" t="s">
        <v>119</v>
      </c>
      <c r="D15" s="750" t="s">
        <v>120</v>
      </c>
      <c r="E15" s="750" t="s">
        <v>121</v>
      </c>
      <c r="F15" s="750" t="s">
        <v>122</v>
      </c>
      <c r="G15" s="751" t="s">
        <v>123</v>
      </c>
      <c r="H15" s="1518" t="s">
        <v>12</v>
      </c>
      <c r="J15" s="750" t="s">
        <v>118</v>
      </c>
      <c r="K15" s="750" t="s">
        <v>119</v>
      </c>
      <c r="L15" s="750" t="s">
        <v>120</v>
      </c>
      <c r="M15" s="750" t="s">
        <v>121</v>
      </c>
      <c r="N15" s="750" t="s">
        <v>122</v>
      </c>
      <c r="O15" s="750" t="s">
        <v>123</v>
      </c>
      <c r="P15" s="1518" t="s">
        <v>12</v>
      </c>
      <c r="R15" s="750" t="s">
        <v>118</v>
      </c>
      <c r="S15" s="750" t="s">
        <v>119</v>
      </c>
      <c r="T15" s="750" t="s">
        <v>120</v>
      </c>
      <c r="U15" s="750" t="s">
        <v>121</v>
      </c>
      <c r="V15" s="750" t="s">
        <v>122</v>
      </c>
      <c r="W15" s="750" t="s">
        <v>123</v>
      </c>
      <c r="X15" s="1518" t="s">
        <v>12</v>
      </c>
      <c r="Y15" s="88"/>
    </row>
    <row r="16" spans="1:41" ht="24.95" customHeight="1" x14ac:dyDescent="0.2">
      <c r="A16" s="2566" t="s">
        <v>161</v>
      </c>
      <c r="B16" s="4383">
        <v>4732</v>
      </c>
      <c r="C16" s="4384">
        <v>3024</v>
      </c>
      <c r="D16" s="4384">
        <v>2846</v>
      </c>
      <c r="E16" s="4384">
        <v>89</v>
      </c>
      <c r="F16" s="4384">
        <v>436</v>
      </c>
      <c r="G16" s="4384">
        <v>212</v>
      </c>
      <c r="H16" s="4385">
        <f>SUM(B16:G16)</f>
        <v>11339</v>
      </c>
      <c r="J16" s="4383">
        <v>5367</v>
      </c>
      <c r="K16" s="4384">
        <v>2381</v>
      </c>
      <c r="L16" s="4384">
        <v>1970</v>
      </c>
      <c r="M16" s="4384">
        <v>108</v>
      </c>
      <c r="N16" s="4384">
        <v>478</v>
      </c>
      <c r="O16" s="4384">
        <v>197</v>
      </c>
      <c r="P16" s="4385">
        <f>SUM(J16:O16)</f>
        <v>10501</v>
      </c>
      <c r="R16" s="4383">
        <v>4909</v>
      </c>
      <c r="S16" s="4384">
        <v>3135</v>
      </c>
      <c r="T16" s="4384">
        <v>2271</v>
      </c>
      <c r="U16" s="4384">
        <v>95</v>
      </c>
      <c r="V16" s="4384">
        <v>498</v>
      </c>
      <c r="W16" s="4384">
        <v>156</v>
      </c>
      <c r="X16" s="4385">
        <f>SUM(R16:W16)</f>
        <v>11064</v>
      </c>
      <c r="Y16" s="23"/>
      <c r="AB16" s="192" t="s">
        <v>1773</v>
      </c>
    </row>
    <row r="17" spans="1:27" ht="24.95" customHeight="1" x14ac:dyDescent="0.2">
      <c r="A17" s="2568" t="s">
        <v>407</v>
      </c>
      <c r="B17" s="4386"/>
      <c r="C17" s="4387">
        <v>18</v>
      </c>
      <c r="D17" s="4387"/>
      <c r="E17" s="4387"/>
      <c r="F17" s="4387"/>
      <c r="G17" s="4387"/>
      <c r="H17" s="4388">
        <f>SUM(B17:G17)</f>
        <v>18</v>
      </c>
      <c r="J17" s="4386">
        <v>432</v>
      </c>
      <c r="K17" s="4387">
        <v>139</v>
      </c>
      <c r="L17" s="4387">
        <v>204</v>
      </c>
      <c r="M17" s="4387">
        <v>27</v>
      </c>
      <c r="N17" s="4387">
        <v>35</v>
      </c>
      <c r="O17" s="4387">
        <v>8</v>
      </c>
      <c r="P17" s="4388">
        <f>SUM(J17:O17)</f>
        <v>845</v>
      </c>
      <c r="R17" s="4386">
        <v>769</v>
      </c>
      <c r="S17" s="4387">
        <v>396</v>
      </c>
      <c r="T17" s="4387">
        <v>524</v>
      </c>
      <c r="U17" s="4387">
        <v>34</v>
      </c>
      <c r="V17" s="4387">
        <v>112</v>
      </c>
      <c r="W17" s="4387">
        <v>6</v>
      </c>
      <c r="X17" s="4388">
        <f>SUM(R17:W17)</f>
        <v>1841</v>
      </c>
      <c r="Y17" s="23"/>
    </row>
    <row r="18" spans="1:27" ht="24.95" customHeight="1" x14ac:dyDescent="0.2">
      <c r="A18" s="2567" t="s">
        <v>162</v>
      </c>
      <c r="B18" s="4386">
        <v>6189</v>
      </c>
      <c r="C18" s="4387">
        <v>4351</v>
      </c>
      <c r="D18" s="4387">
        <v>3324</v>
      </c>
      <c r="E18" s="4387">
        <v>126</v>
      </c>
      <c r="F18" s="4387">
        <v>527</v>
      </c>
      <c r="G18" s="4387">
        <v>46</v>
      </c>
      <c r="H18" s="4389">
        <f>SUM(B18:G18)</f>
        <v>14563</v>
      </c>
      <c r="J18" s="4386">
        <v>7316</v>
      </c>
      <c r="K18" s="4387">
        <v>4166</v>
      </c>
      <c r="L18" s="4387">
        <v>3684</v>
      </c>
      <c r="M18" s="4387">
        <v>162</v>
      </c>
      <c r="N18" s="4387">
        <v>574</v>
      </c>
      <c r="O18" s="4387">
        <v>40</v>
      </c>
      <c r="P18" s="4389">
        <f>SUM(J18:O18)</f>
        <v>15942</v>
      </c>
      <c r="R18" s="4386">
        <v>6825</v>
      </c>
      <c r="S18" s="4387">
        <v>4435</v>
      </c>
      <c r="T18" s="4387">
        <v>3629</v>
      </c>
      <c r="U18" s="4387">
        <v>157</v>
      </c>
      <c r="V18" s="4387">
        <v>440</v>
      </c>
      <c r="W18" s="4387">
        <v>55</v>
      </c>
      <c r="X18" s="4389">
        <f>SUM(R18:W18)</f>
        <v>15541</v>
      </c>
      <c r="Y18" s="23"/>
    </row>
    <row r="19" spans="1:27" ht="24.95" customHeight="1" x14ac:dyDescent="0.2">
      <c r="A19" s="2571" t="s">
        <v>163</v>
      </c>
      <c r="B19" s="4390">
        <v>3873</v>
      </c>
      <c r="C19" s="4391">
        <v>3527</v>
      </c>
      <c r="D19" s="4391">
        <v>4324</v>
      </c>
      <c r="E19" s="4391">
        <v>126</v>
      </c>
      <c r="F19" s="4391">
        <v>466</v>
      </c>
      <c r="G19" s="4391">
        <v>157</v>
      </c>
      <c r="H19" s="4392">
        <f>SUM(B19:G19)</f>
        <v>12473</v>
      </c>
      <c r="J19" s="4390">
        <v>4430</v>
      </c>
      <c r="K19" s="4391">
        <v>3622</v>
      </c>
      <c r="L19" s="4391">
        <v>4269</v>
      </c>
      <c r="M19" s="4391">
        <v>144</v>
      </c>
      <c r="N19" s="4391">
        <v>488</v>
      </c>
      <c r="O19" s="4391">
        <v>177</v>
      </c>
      <c r="P19" s="4392">
        <f>SUM(J19:O19)</f>
        <v>13130</v>
      </c>
      <c r="R19" s="4390">
        <v>4469</v>
      </c>
      <c r="S19" s="4391">
        <v>3896</v>
      </c>
      <c r="T19" s="4391">
        <v>3786</v>
      </c>
      <c r="U19" s="4391">
        <v>117</v>
      </c>
      <c r="V19" s="4391">
        <v>521</v>
      </c>
      <c r="W19" s="4391">
        <v>115</v>
      </c>
      <c r="X19" s="4392">
        <f>SUM(R19:W19)</f>
        <v>12904</v>
      </c>
      <c r="Y19" s="23"/>
    </row>
    <row r="20" spans="1:27" s="192" customFormat="1" ht="24.95" customHeight="1" x14ac:dyDescent="0.2">
      <c r="A20" s="2559" t="s">
        <v>573</v>
      </c>
      <c r="B20" s="4393">
        <f t="shared" ref="B20:O20" si="3">SUM(B16:B19)</f>
        <v>14794</v>
      </c>
      <c r="C20" s="4394">
        <f t="shared" si="3"/>
        <v>10920</v>
      </c>
      <c r="D20" s="4394">
        <f t="shared" si="3"/>
        <v>10494</v>
      </c>
      <c r="E20" s="4394">
        <f t="shared" si="3"/>
        <v>341</v>
      </c>
      <c r="F20" s="4394">
        <f t="shared" si="3"/>
        <v>1429</v>
      </c>
      <c r="G20" s="4394">
        <f t="shared" si="3"/>
        <v>415</v>
      </c>
      <c r="H20" s="4395">
        <f>SUM(H16:H19)</f>
        <v>38393</v>
      </c>
      <c r="I20" s="2"/>
      <c r="J20" s="4393">
        <f t="shared" si="3"/>
        <v>17545</v>
      </c>
      <c r="K20" s="4394">
        <f t="shared" si="3"/>
        <v>10308</v>
      </c>
      <c r="L20" s="4394">
        <f t="shared" si="3"/>
        <v>10127</v>
      </c>
      <c r="M20" s="4394">
        <f t="shared" si="3"/>
        <v>441</v>
      </c>
      <c r="N20" s="4394">
        <f t="shared" si="3"/>
        <v>1575</v>
      </c>
      <c r="O20" s="4394">
        <f t="shared" si="3"/>
        <v>422</v>
      </c>
      <c r="P20" s="4395">
        <f>SUM(P16:P19)</f>
        <v>40418</v>
      </c>
      <c r="Q20" s="2"/>
      <c r="R20" s="4393">
        <f t="shared" ref="R20:W20" si="4">SUM(R16:R19)</f>
        <v>16972</v>
      </c>
      <c r="S20" s="4394">
        <f t="shared" si="4"/>
        <v>11862</v>
      </c>
      <c r="T20" s="4394">
        <f t="shared" si="4"/>
        <v>10210</v>
      </c>
      <c r="U20" s="4394">
        <f t="shared" si="4"/>
        <v>403</v>
      </c>
      <c r="V20" s="4394">
        <f t="shared" si="4"/>
        <v>1571</v>
      </c>
      <c r="W20" s="4394">
        <f t="shared" si="4"/>
        <v>332</v>
      </c>
      <c r="X20" s="4395">
        <f>SUM(R20:W20)</f>
        <v>41350</v>
      </c>
      <c r="AA20" s="542"/>
    </row>
    <row r="21" spans="1:27" x14ac:dyDescent="0.2">
      <c r="A21" s="752" t="s">
        <v>117</v>
      </c>
    </row>
    <row r="22" spans="1:27" x14ac:dyDescent="0.2">
      <c r="A22" s="752"/>
    </row>
    <row r="24" spans="1:27" ht="15" customHeight="1" x14ac:dyDescent="0.2">
      <c r="A24" s="7339" t="s">
        <v>124</v>
      </c>
      <c r="B24" s="7336">
        <v>2009</v>
      </c>
      <c r="C24" s="7337"/>
      <c r="D24" s="7337"/>
      <c r="E24" s="7337"/>
      <c r="F24" s="7337"/>
      <c r="G24" s="7337"/>
      <c r="H24" s="7338"/>
      <c r="J24" s="7336">
        <v>2010</v>
      </c>
      <c r="K24" s="7337"/>
      <c r="L24" s="7337"/>
      <c r="M24" s="7337"/>
      <c r="N24" s="7337"/>
      <c r="O24" s="7337"/>
      <c r="P24" s="7338"/>
      <c r="R24" s="7336">
        <v>2011</v>
      </c>
      <c r="S24" s="7337"/>
      <c r="T24" s="7337"/>
      <c r="U24" s="7337"/>
      <c r="V24" s="7337"/>
      <c r="W24" s="7337"/>
      <c r="X24" s="7338"/>
    </row>
    <row r="25" spans="1:27" ht="33.75" x14ac:dyDescent="0.2">
      <c r="A25" s="7339"/>
      <c r="B25" s="749" t="s">
        <v>118</v>
      </c>
      <c r="C25" s="750" t="s">
        <v>119</v>
      </c>
      <c r="D25" s="750" t="s">
        <v>120</v>
      </c>
      <c r="E25" s="750" t="s">
        <v>121</v>
      </c>
      <c r="F25" s="750" t="s">
        <v>122</v>
      </c>
      <c r="G25" s="751" t="s">
        <v>123</v>
      </c>
      <c r="H25" s="1518" t="s">
        <v>12</v>
      </c>
      <c r="J25" s="2572" t="s">
        <v>118</v>
      </c>
      <c r="K25" s="750" t="s">
        <v>119</v>
      </c>
      <c r="L25" s="750" t="s">
        <v>120</v>
      </c>
      <c r="M25" s="750" t="s">
        <v>121</v>
      </c>
      <c r="N25" s="750" t="s">
        <v>122</v>
      </c>
      <c r="O25" s="751" t="s">
        <v>123</v>
      </c>
      <c r="P25" s="1518" t="s">
        <v>12</v>
      </c>
      <c r="R25" s="2572" t="s">
        <v>118</v>
      </c>
      <c r="S25" s="750" t="s">
        <v>119</v>
      </c>
      <c r="T25" s="750" t="s">
        <v>120</v>
      </c>
      <c r="U25" s="750" t="s">
        <v>121</v>
      </c>
      <c r="V25" s="750" t="s">
        <v>122</v>
      </c>
      <c r="W25" s="751" t="s">
        <v>123</v>
      </c>
      <c r="X25" s="1518" t="s">
        <v>12</v>
      </c>
    </row>
    <row r="26" spans="1:27" ht="24.75" customHeight="1" x14ac:dyDescent="0.2">
      <c r="A26" s="2566" t="s">
        <v>161</v>
      </c>
      <c r="B26" s="4383">
        <v>6372</v>
      </c>
      <c r="C26" s="4384">
        <v>3437</v>
      </c>
      <c r="D26" s="4384">
        <v>2113</v>
      </c>
      <c r="E26" s="4384">
        <v>128</v>
      </c>
      <c r="F26" s="4384">
        <v>530</v>
      </c>
      <c r="G26" s="4384">
        <v>250</v>
      </c>
      <c r="H26" s="4385">
        <f>SUM(B26:G26)</f>
        <v>12830</v>
      </c>
      <c r="J26" s="4383">
        <v>6639</v>
      </c>
      <c r="K26" s="4384">
        <v>3804</v>
      </c>
      <c r="L26" s="4384">
        <v>2485</v>
      </c>
      <c r="M26" s="4384">
        <v>120</v>
      </c>
      <c r="N26" s="4384">
        <v>775</v>
      </c>
      <c r="O26" s="4384">
        <v>139</v>
      </c>
      <c r="P26" s="4385">
        <f>SUM(J26:O26)</f>
        <v>13962</v>
      </c>
      <c r="R26" s="4383">
        <v>6980</v>
      </c>
      <c r="S26" s="4384">
        <v>4504</v>
      </c>
      <c r="T26" s="4384">
        <v>2691</v>
      </c>
      <c r="U26" s="4384">
        <v>129</v>
      </c>
      <c r="V26" s="4384">
        <v>777</v>
      </c>
      <c r="W26" s="4384">
        <v>186</v>
      </c>
      <c r="X26" s="4385">
        <f>SUM(R26:W26)</f>
        <v>15267</v>
      </c>
    </row>
    <row r="27" spans="1:27" ht="24.75" customHeight="1" x14ac:dyDescent="0.2">
      <c r="A27" s="2568" t="s">
        <v>407</v>
      </c>
      <c r="B27" s="4386">
        <v>596</v>
      </c>
      <c r="C27" s="4387">
        <v>420</v>
      </c>
      <c r="D27" s="4387">
        <v>479</v>
      </c>
      <c r="E27" s="4387">
        <v>41</v>
      </c>
      <c r="F27" s="4387">
        <v>112</v>
      </c>
      <c r="G27" s="4387">
        <v>8</v>
      </c>
      <c r="H27" s="4388">
        <f>SUM(B27:G27)</f>
        <v>1656</v>
      </c>
      <c r="J27" s="4386">
        <v>930</v>
      </c>
      <c r="K27" s="4387">
        <v>632</v>
      </c>
      <c r="L27" s="4387">
        <v>615</v>
      </c>
      <c r="M27" s="4387">
        <v>62</v>
      </c>
      <c r="N27" s="4387">
        <v>205</v>
      </c>
      <c r="O27" s="4387">
        <v>21</v>
      </c>
      <c r="P27" s="4388">
        <f>SUM(J27:O27)</f>
        <v>2465</v>
      </c>
      <c r="R27" s="4386">
        <v>981</v>
      </c>
      <c r="S27" s="4387">
        <v>733</v>
      </c>
      <c r="T27" s="4387">
        <v>621</v>
      </c>
      <c r="U27" s="4387">
        <v>41</v>
      </c>
      <c r="V27" s="4387">
        <v>173</v>
      </c>
      <c r="W27" s="4387">
        <v>28</v>
      </c>
      <c r="X27" s="4388">
        <f>SUM(R27:W27)</f>
        <v>2577</v>
      </c>
    </row>
    <row r="28" spans="1:27" ht="24.75" customHeight="1" x14ac:dyDescent="0.2">
      <c r="A28" s="2567" t="s">
        <v>162</v>
      </c>
      <c r="B28" s="4386">
        <v>7160</v>
      </c>
      <c r="C28" s="4387">
        <v>4650</v>
      </c>
      <c r="D28" s="4387">
        <v>3612</v>
      </c>
      <c r="E28" s="4387">
        <v>154</v>
      </c>
      <c r="F28" s="4387">
        <v>393</v>
      </c>
      <c r="G28" s="4387">
        <v>64</v>
      </c>
      <c r="H28" s="4389">
        <f>SUM(B28:G28)</f>
        <v>16033</v>
      </c>
      <c r="J28" s="4386">
        <v>7779</v>
      </c>
      <c r="K28" s="4387">
        <v>4618</v>
      </c>
      <c r="L28" s="4387">
        <v>4024</v>
      </c>
      <c r="M28" s="4387">
        <v>153</v>
      </c>
      <c r="N28" s="4387">
        <v>467</v>
      </c>
      <c r="O28" s="4387">
        <v>88</v>
      </c>
      <c r="P28" s="4389">
        <f>SUM(J28:O28)</f>
        <v>17129</v>
      </c>
      <c r="R28" s="4386">
        <v>8369</v>
      </c>
      <c r="S28" s="4387">
        <v>4892</v>
      </c>
      <c r="T28" s="4387">
        <v>3936</v>
      </c>
      <c r="U28" s="4387">
        <v>193</v>
      </c>
      <c r="V28" s="4387">
        <v>509</v>
      </c>
      <c r="W28" s="4387">
        <v>100</v>
      </c>
      <c r="X28" s="4389">
        <f>SUM(R28:W28)</f>
        <v>17999</v>
      </c>
    </row>
    <row r="29" spans="1:27" ht="24.75" customHeight="1" x14ac:dyDescent="0.2">
      <c r="A29" s="2571" t="s">
        <v>163</v>
      </c>
      <c r="B29" s="4390">
        <v>5081</v>
      </c>
      <c r="C29" s="4391">
        <v>4820</v>
      </c>
      <c r="D29" s="4391">
        <v>3818</v>
      </c>
      <c r="E29" s="4391">
        <v>114</v>
      </c>
      <c r="F29" s="4391">
        <v>567</v>
      </c>
      <c r="G29" s="4391">
        <v>205</v>
      </c>
      <c r="H29" s="4392">
        <f>SUM(B29:G29)</f>
        <v>14605</v>
      </c>
      <c r="J29" s="4390">
        <v>5977</v>
      </c>
      <c r="K29" s="4391">
        <v>5543</v>
      </c>
      <c r="L29" s="4391">
        <v>4256</v>
      </c>
      <c r="M29" s="4391">
        <v>128</v>
      </c>
      <c r="N29" s="4391">
        <v>727</v>
      </c>
      <c r="O29" s="4391">
        <v>201</v>
      </c>
      <c r="P29" s="4392">
        <f>SUM(J29:O29)</f>
        <v>16832</v>
      </c>
      <c r="R29" s="4390">
        <v>6454</v>
      </c>
      <c r="S29" s="4391">
        <v>5342</v>
      </c>
      <c r="T29" s="4391">
        <v>4472</v>
      </c>
      <c r="U29" s="4391">
        <v>139</v>
      </c>
      <c r="V29" s="4391">
        <v>725</v>
      </c>
      <c r="W29" s="4391">
        <v>159</v>
      </c>
      <c r="X29" s="4392">
        <f>SUM(R29:W29)</f>
        <v>17291</v>
      </c>
    </row>
    <row r="30" spans="1:27" s="192" customFormat="1" ht="24.75" customHeight="1" x14ac:dyDescent="0.2">
      <c r="A30" s="2559" t="s">
        <v>573</v>
      </c>
      <c r="B30" s="4393">
        <f t="shared" ref="B30:H30" si="5">SUM(B26:B29)</f>
        <v>19209</v>
      </c>
      <c r="C30" s="4394">
        <f t="shared" si="5"/>
        <v>13327</v>
      </c>
      <c r="D30" s="4394">
        <f t="shared" si="5"/>
        <v>10022</v>
      </c>
      <c r="E30" s="4394">
        <f t="shared" si="5"/>
        <v>437</v>
      </c>
      <c r="F30" s="4394">
        <f t="shared" si="5"/>
        <v>1602</v>
      </c>
      <c r="G30" s="4394">
        <f t="shared" si="5"/>
        <v>527</v>
      </c>
      <c r="H30" s="4395">
        <f t="shared" si="5"/>
        <v>45124</v>
      </c>
      <c r="I30" s="2"/>
      <c r="J30" s="4393">
        <f t="shared" ref="J30:O30" si="6">SUM(J26:J29)</f>
        <v>21325</v>
      </c>
      <c r="K30" s="4394">
        <f t="shared" si="6"/>
        <v>14597</v>
      </c>
      <c r="L30" s="4394">
        <f t="shared" si="6"/>
        <v>11380</v>
      </c>
      <c r="M30" s="4394">
        <f t="shared" si="6"/>
        <v>463</v>
      </c>
      <c r="N30" s="4394">
        <f t="shared" si="6"/>
        <v>2174</v>
      </c>
      <c r="O30" s="4394">
        <f t="shared" si="6"/>
        <v>449</v>
      </c>
      <c r="P30" s="4395">
        <f>SUM(J30:O30)</f>
        <v>50388</v>
      </c>
      <c r="Q30" s="2"/>
      <c r="R30" s="4393">
        <f t="shared" ref="R30:W30" si="7">SUM(R26:R29)</f>
        <v>22784</v>
      </c>
      <c r="S30" s="4394">
        <f t="shared" si="7"/>
        <v>15471</v>
      </c>
      <c r="T30" s="4394">
        <f t="shared" si="7"/>
        <v>11720</v>
      </c>
      <c r="U30" s="4394">
        <f t="shared" si="7"/>
        <v>502</v>
      </c>
      <c r="V30" s="4394">
        <f t="shared" si="7"/>
        <v>2184</v>
      </c>
      <c r="W30" s="4394">
        <f t="shared" si="7"/>
        <v>473</v>
      </c>
      <c r="X30" s="4395">
        <f>SUM(R30:W30)</f>
        <v>53134</v>
      </c>
    </row>
    <row r="31" spans="1:27" x14ac:dyDescent="0.2">
      <c r="A31" s="752" t="s">
        <v>117</v>
      </c>
    </row>
    <row r="32" spans="1:27" x14ac:dyDescent="0.2">
      <c r="A32" s="752"/>
    </row>
    <row r="34" spans="1:24" ht="15" customHeight="1" x14ac:dyDescent="0.2">
      <c r="A34" s="7339" t="s">
        <v>124</v>
      </c>
      <c r="B34" s="7336">
        <v>2012</v>
      </c>
      <c r="C34" s="7337"/>
      <c r="D34" s="7337"/>
      <c r="E34" s="7337"/>
      <c r="F34" s="7337"/>
      <c r="G34" s="7337"/>
      <c r="H34" s="7338"/>
      <c r="J34" s="7336">
        <v>2013</v>
      </c>
      <c r="K34" s="7337"/>
      <c r="L34" s="7337"/>
      <c r="M34" s="7337"/>
      <c r="N34" s="7337"/>
      <c r="O34" s="7337"/>
      <c r="P34" s="7338"/>
      <c r="R34" s="7336">
        <v>2014</v>
      </c>
      <c r="S34" s="7337"/>
      <c r="T34" s="7337"/>
      <c r="U34" s="7337"/>
      <c r="V34" s="7337"/>
      <c r="W34" s="7337"/>
      <c r="X34" s="7338"/>
    </row>
    <row r="35" spans="1:24" ht="33.75" x14ac:dyDescent="0.2">
      <c r="A35" s="7339"/>
      <c r="B35" s="749" t="s">
        <v>118</v>
      </c>
      <c r="C35" s="750" t="s">
        <v>119</v>
      </c>
      <c r="D35" s="750" t="s">
        <v>120</v>
      </c>
      <c r="E35" s="750" t="s">
        <v>121</v>
      </c>
      <c r="F35" s="750" t="s">
        <v>122</v>
      </c>
      <c r="G35" s="751" t="s">
        <v>123</v>
      </c>
      <c r="H35" s="1518" t="s">
        <v>12</v>
      </c>
      <c r="J35" s="2572" t="s">
        <v>118</v>
      </c>
      <c r="K35" s="750" t="s">
        <v>119</v>
      </c>
      <c r="L35" s="750" t="s">
        <v>120</v>
      </c>
      <c r="M35" s="750" t="s">
        <v>121</v>
      </c>
      <c r="N35" s="750" t="s">
        <v>122</v>
      </c>
      <c r="O35" s="751" t="s">
        <v>123</v>
      </c>
      <c r="P35" s="1518" t="s">
        <v>12</v>
      </c>
      <c r="R35" s="2572" t="s">
        <v>118</v>
      </c>
      <c r="S35" s="750" t="s">
        <v>119</v>
      </c>
      <c r="T35" s="750" t="s">
        <v>120</v>
      </c>
      <c r="U35" s="750" t="s">
        <v>121</v>
      </c>
      <c r="V35" s="750" t="s">
        <v>122</v>
      </c>
      <c r="W35" s="751" t="s">
        <v>123</v>
      </c>
      <c r="X35" s="1518" t="s">
        <v>12</v>
      </c>
    </row>
    <row r="36" spans="1:24" ht="24.75" customHeight="1" x14ac:dyDescent="0.2">
      <c r="A36" s="2566" t="s">
        <v>161</v>
      </c>
      <c r="B36" s="4383">
        <v>6292</v>
      </c>
      <c r="C36" s="4384">
        <v>3771</v>
      </c>
      <c r="D36" s="4384">
        <v>2835</v>
      </c>
      <c r="E36" s="4384">
        <v>92</v>
      </c>
      <c r="F36" s="4384">
        <v>790</v>
      </c>
      <c r="G36" s="4384">
        <v>231</v>
      </c>
      <c r="H36" s="4385">
        <f>SUM(B36:G36)</f>
        <v>14011</v>
      </c>
      <c r="J36" s="4383">
        <v>8099</v>
      </c>
      <c r="K36" s="4384">
        <v>4808</v>
      </c>
      <c r="L36" s="4384">
        <v>2546</v>
      </c>
      <c r="M36" s="4384">
        <v>100</v>
      </c>
      <c r="N36" s="4384">
        <v>736</v>
      </c>
      <c r="O36" s="4384">
        <v>264</v>
      </c>
      <c r="P36" s="4385">
        <f>SUM(J36:O36)</f>
        <v>16553</v>
      </c>
      <c r="R36" s="4383">
        <v>7729</v>
      </c>
      <c r="S36" s="4384">
        <v>4141</v>
      </c>
      <c r="T36" s="4384">
        <v>2755</v>
      </c>
      <c r="U36" s="4384">
        <v>89</v>
      </c>
      <c r="V36" s="4384">
        <v>864</v>
      </c>
      <c r="W36" s="4384">
        <v>331</v>
      </c>
      <c r="X36" s="4385">
        <f>SUM(R36:W36)</f>
        <v>15909</v>
      </c>
    </row>
    <row r="37" spans="1:24" ht="24.75" customHeight="1" x14ac:dyDescent="0.2">
      <c r="A37" s="2568" t="s">
        <v>407</v>
      </c>
      <c r="B37" s="4386">
        <v>1159</v>
      </c>
      <c r="C37" s="4387">
        <v>654</v>
      </c>
      <c r="D37" s="4387">
        <v>573</v>
      </c>
      <c r="E37" s="4387">
        <v>14</v>
      </c>
      <c r="F37" s="4387">
        <v>254</v>
      </c>
      <c r="G37" s="4387">
        <v>60</v>
      </c>
      <c r="H37" s="4388">
        <f>SUM(B37:G37)</f>
        <v>2714</v>
      </c>
      <c r="J37" s="4386">
        <v>1574</v>
      </c>
      <c r="K37" s="4387">
        <v>929</v>
      </c>
      <c r="L37" s="4387">
        <v>1028</v>
      </c>
      <c r="M37" s="4387">
        <v>23</v>
      </c>
      <c r="N37" s="4387">
        <v>239</v>
      </c>
      <c r="O37" s="4387">
        <v>41</v>
      </c>
      <c r="P37" s="4388">
        <f>SUM(J37:O37)</f>
        <v>3834</v>
      </c>
      <c r="R37" s="4386">
        <v>1297</v>
      </c>
      <c r="S37" s="4387">
        <v>687</v>
      </c>
      <c r="T37" s="4387">
        <v>637</v>
      </c>
      <c r="U37" s="4387">
        <v>9</v>
      </c>
      <c r="V37" s="4387">
        <v>213</v>
      </c>
      <c r="W37" s="4387">
        <v>33</v>
      </c>
      <c r="X37" s="4388">
        <f>SUM(R37:W37)</f>
        <v>2876</v>
      </c>
    </row>
    <row r="38" spans="1:24" ht="24.75" customHeight="1" x14ac:dyDescent="0.2">
      <c r="A38" s="2567" t="s">
        <v>162</v>
      </c>
      <c r="B38" s="4386">
        <v>9010</v>
      </c>
      <c r="C38" s="4387">
        <v>4850</v>
      </c>
      <c r="D38" s="4387">
        <v>4304</v>
      </c>
      <c r="E38" s="4387">
        <v>143</v>
      </c>
      <c r="F38" s="4387">
        <v>464</v>
      </c>
      <c r="G38" s="4387">
        <v>62</v>
      </c>
      <c r="H38" s="4389">
        <f>SUM(B38:G38)</f>
        <v>18833</v>
      </c>
      <c r="J38" s="4386">
        <v>10019</v>
      </c>
      <c r="K38" s="4387">
        <v>4994</v>
      </c>
      <c r="L38" s="4387">
        <v>4234</v>
      </c>
      <c r="M38" s="4387">
        <v>149</v>
      </c>
      <c r="N38" s="4387">
        <v>521</v>
      </c>
      <c r="O38" s="4387">
        <v>67</v>
      </c>
      <c r="P38" s="4389">
        <f>SUM(J38:O38)</f>
        <v>19984</v>
      </c>
      <c r="R38" s="4386">
        <v>8268</v>
      </c>
      <c r="S38" s="4387">
        <v>4923</v>
      </c>
      <c r="T38" s="4387">
        <v>3644</v>
      </c>
      <c r="U38" s="4387">
        <v>127</v>
      </c>
      <c r="V38" s="4387">
        <v>427</v>
      </c>
      <c r="W38" s="4387">
        <v>89</v>
      </c>
      <c r="X38" s="4389">
        <f>SUM(R38:W38)</f>
        <v>17478</v>
      </c>
    </row>
    <row r="39" spans="1:24" ht="24.75" customHeight="1" x14ac:dyDescent="0.2">
      <c r="A39" s="2569" t="s">
        <v>408</v>
      </c>
      <c r="B39" s="4386"/>
      <c r="C39" s="4387"/>
      <c r="D39" s="4387"/>
      <c r="E39" s="4387"/>
      <c r="F39" s="4387"/>
      <c r="G39" s="4387"/>
      <c r="H39" s="4396"/>
      <c r="J39" s="4386">
        <v>31</v>
      </c>
      <c r="K39" s="4387">
        <v>24</v>
      </c>
      <c r="L39" s="4387">
        <v>14</v>
      </c>
      <c r="M39" s="4387"/>
      <c r="N39" s="4387">
        <v>2</v>
      </c>
      <c r="O39" s="4387"/>
      <c r="P39" s="4396">
        <f>SUM(J39:O39)</f>
        <v>71</v>
      </c>
      <c r="R39" s="4386">
        <v>98</v>
      </c>
      <c r="S39" s="4387">
        <v>80</v>
      </c>
      <c r="T39" s="4387">
        <v>68</v>
      </c>
      <c r="U39" s="4387"/>
      <c r="V39" s="4387">
        <v>7</v>
      </c>
      <c r="W39" s="4387"/>
      <c r="X39" s="4396">
        <f>SUM(R39:W39)</f>
        <v>253</v>
      </c>
    </row>
    <row r="40" spans="1:24" ht="24.75" customHeight="1" x14ac:dyDescent="0.2">
      <c r="A40" s="2570" t="s">
        <v>163</v>
      </c>
      <c r="B40" s="4397">
        <v>7746</v>
      </c>
      <c r="C40" s="4398">
        <v>6707</v>
      </c>
      <c r="D40" s="4398">
        <v>6176</v>
      </c>
      <c r="E40" s="4398">
        <v>150</v>
      </c>
      <c r="F40" s="4398">
        <v>845</v>
      </c>
      <c r="G40" s="4398">
        <v>189</v>
      </c>
      <c r="H40" s="4399">
        <f>SUM(B40:G40)</f>
        <v>21813</v>
      </c>
      <c r="J40" s="4397">
        <v>5711</v>
      </c>
      <c r="K40" s="4398">
        <v>5255</v>
      </c>
      <c r="L40" s="4398">
        <v>4846</v>
      </c>
      <c r="M40" s="4398">
        <v>104</v>
      </c>
      <c r="N40" s="4398">
        <v>731</v>
      </c>
      <c r="O40" s="4398">
        <v>232</v>
      </c>
      <c r="P40" s="4399">
        <f>SUM(J40:O40)</f>
        <v>16879</v>
      </c>
      <c r="R40" s="4397">
        <v>6667</v>
      </c>
      <c r="S40" s="4398">
        <v>6503</v>
      </c>
      <c r="T40" s="4398">
        <v>5396</v>
      </c>
      <c r="U40" s="4398">
        <v>116</v>
      </c>
      <c r="V40" s="4398">
        <v>719</v>
      </c>
      <c r="W40" s="4398">
        <v>165</v>
      </c>
      <c r="X40" s="4399">
        <f>SUM(R40:W40)</f>
        <v>19566</v>
      </c>
    </row>
    <row r="41" spans="1:24" ht="24.75" customHeight="1" x14ac:dyDescent="0.2">
      <c r="A41" s="903" t="s">
        <v>573</v>
      </c>
      <c r="B41" s="4393">
        <f>SUM(B36:B40)</f>
        <v>24207</v>
      </c>
      <c r="C41" s="4394">
        <f t="shared" ref="C41:P41" si="8">SUM(C36:C40)</f>
        <v>15982</v>
      </c>
      <c r="D41" s="4394">
        <f t="shared" si="8"/>
        <v>13888</v>
      </c>
      <c r="E41" s="4394">
        <f t="shared" si="8"/>
        <v>399</v>
      </c>
      <c r="F41" s="4394">
        <f t="shared" si="8"/>
        <v>2353</v>
      </c>
      <c r="G41" s="4394">
        <f t="shared" si="8"/>
        <v>542</v>
      </c>
      <c r="H41" s="4395">
        <f t="shared" si="8"/>
        <v>57371</v>
      </c>
      <c r="J41" s="4393">
        <f t="shared" si="8"/>
        <v>25434</v>
      </c>
      <c r="K41" s="4394">
        <f t="shared" si="8"/>
        <v>16010</v>
      </c>
      <c r="L41" s="4394">
        <f t="shared" si="8"/>
        <v>12668</v>
      </c>
      <c r="M41" s="4394">
        <f t="shared" si="8"/>
        <v>376</v>
      </c>
      <c r="N41" s="4394">
        <f t="shared" si="8"/>
        <v>2229</v>
      </c>
      <c r="O41" s="4394">
        <f t="shared" si="8"/>
        <v>604</v>
      </c>
      <c r="P41" s="4395">
        <f t="shared" si="8"/>
        <v>57321</v>
      </c>
      <c r="R41" s="4393">
        <f t="shared" ref="R41:X41" si="9">SUM(R36:R40)</f>
        <v>24059</v>
      </c>
      <c r="S41" s="4394">
        <f t="shared" si="9"/>
        <v>16334</v>
      </c>
      <c r="T41" s="4394">
        <f t="shared" si="9"/>
        <v>12500</v>
      </c>
      <c r="U41" s="4394">
        <f t="shared" si="9"/>
        <v>341</v>
      </c>
      <c r="V41" s="4394">
        <f t="shared" si="9"/>
        <v>2230</v>
      </c>
      <c r="W41" s="4394">
        <f t="shared" si="9"/>
        <v>618</v>
      </c>
      <c r="X41" s="4395">
        <f t="shared" si="9"/>
        <v>56082</v>
      </c>
    </row>
    <row r="42" spans="1:24" x14ac:dyDescent="0.2">
      <c r="A42" s="752" t="s">
        <v>117</v>
      </c>
    </row>
    <row r="43" spans="1:24" x14ac:dyDescent="0.2">
      <c r="A43" s="752"/>
    </row>
    <row r="44" spans="1:24" x14ac:dyDescent="0.2">
      <c r="A44" s="752"/>
    </row>
    <row r="45" spans="1:24" x14ac:dyDescent="0.2">
      <c r="A45" s="7339" t="s">
        <v>124</v>
      </c>
      <c r="B45" s="7336">
        <v>2015</v>
      </c>
      <c r="C45" s="7337"/>
      <c r="D45" s="7337"/>
      <c r="E45" s="7337"/>
      <c r="F45" s="7337"/>
      <c r="G45" s="7337"/>
      <c r="H45" s="7338"/>
      <c r="J45" s="7336">
        <v>2016</v>
      </c>
      <c r="K45" s="7337"/>
      <c r="L45" s="7337"/>
      <c r="M45" s="7337"/>
      <c r="N45" s="7337"/>
      <c r="O45" s="7337"/>
      <c r="P45" s="7338"/>
      <c r="R45" s="7336">
        <v>2017</v>
      </c>
      <c r="S45" s="7337"/>
      <c r="T45" s="7337"/>
      <c r="U45" s="7337"/>
      <c r="V45" s="7337"/>
      <c r="W45" s="7337"/>
      <c r="X45" s="7338"/>
    </row>
    <row r="46" spans="1:24" ht="33.75" x14ac:dyDescent="0.2">
      <c r="A46" s="7339"/>
      <c r="B46" s="749" t="s">
        <v>118</v>
      </c>
      <c r="C46" s="750" t="s">
        <v>119</v>
      </c>
      <c r="D46" s="750" t="s">
        <v>120</v>
      </c>
      <c r="E46" s="750" t="s">
        <v>121</v>
      </c>
      <c r="F46" s="750" t="s">
        <v>122</v>
      </c>
      <c r="G46" s="751" t="s">
        <v>123</v>
      </c>
      <c r="H46" s="1518" t="s">
        <v>12</v>
      </c>
      <c r="J46" s="5084" t="s">
        <v>118</v>
      </c>
      <c r="K46" s="5084" t="s">
        <v>119</v>
      </c>
      <c r="L46" s="5084" t="s">
        <v>120</v>
      </c>
      <c r="M46" s="5084" t="s">
        <v>121</v>
      </c>
      <c r="N46" s="5084" t="s">
        <v>122</v>
      </c>
      <c r="O46" s="5084" t="s">
        <v>123</v>
      </c>
      <c r="P46" s="1518" t="s">
        <v>12</v>
      </c>
      <c r="R46" s="5084" t="s">
        <v>118</v>
      </c>
      <c r="S46" s="5084" t="s">
        <v>119</v>
      </c>
      <c r="T46" s="5084" t="s">
        <v>120</v>
      </c>
      <c r="U46" s="5084" t="s">
        <v>121</v>
      </c>
      <c r="V46" s="5084" t="s">
        <v>122</v>
      </c>
      <c r="W46" s="5084" t="s">
        <v>123</v>
      </c>
      <c r="X46" s="1518" t="s">
        <v>12</v>
      </c>
    </row>
    <row r="47" spans="1:24" ht="24.75" customHeight="1" x14ac:dyDescent="0.2">
      <c r="A47" s="2566" t="s">
        <v>161</v>
      </c>
      <c r="B47" s="4383">
        <v>6849</v>
      </c>
      <c r="C47" s="4384">
        <v>4811</v>
      </c>
      <c r="D47" s="4384">
        <v>3113</v>
      </c>
      <c r="E47" s="4384">
        <v>105</v>
      </c>
      <c r="F47" s="4384">
        <v>739</v>
      </c>
      <c r="G47" s="4384">
        <v>394</v>
      </c>
      <c r="H47" s="4385">
        <f>SUM(B47:G47)</f>
        <v>16011</v>
      </c>
      <c r="J47" s="4383">
        <v>7507</v>
      </c>
      <c r="K47" s="4384">
        <v>4430</v>
      </c>
      <c r="L47" s="4384">
        <v>3238</v>
      </c>
      <c r="M47" s="4384">
        <v>86</v>
      </c>
      <c r="N47" s="4384">
        <v>862</v>
      </c>
      <c r="O47" s="4384">
        <v>211</v>
      </c>
      <c r="P47" s="4385">
        <f>SUM(J47:O47)</f>
        <v>16334</v>
      </c>
      <c r="R47" s="4383">
        <v>6626</v>
      </c>
      <c r="S47" s="4384">
        <v>4344</v>
      </c>
      <c r="T47" s="4384">
        <v>2653</v>
      </c>
      <c r="U47" s="4384">
        <v>103</v>
      </c>
      <c r="V47" s="4384">
        <v>830</v>
      </c>
      <c r="W47" s="4384">
        <v>247</v>
      </c>
      <c r="X47" s="4385">
        <f>SUM(R47:W47)</f>
        <v>14803</v>
      </c>
    </row>
    <row r="48" spans="1:24" ht="24.75" customHeight="1" x14ac:dyDescent="0.2">
      <c r="A48" s="2568" t="s">
        <v>407</v>
      </c>
      <c r="B48" s="4386">
        <v>1619</v>
      </c>
      <c r="C48" s="4387">
        <v>1028</v>
      </c>
      <c r="D48" s="4387">
        <v>974</v>
      </c>
      <c r="E48" s="4387">
        <v>21</v>
      </c>
      <c r="F48" s="4387">
        <v>241</v>
      </c>
      <c r="G48" s="4387">
        <v>34</v>
      </c>
      <c r="H48" s="4388">
        <f>SUM(B48:G48)</f>
        <v>3917</v>
      </c>
      <c r="J48" s="4386">
        <v>1548</v>
      </c>
      <c r="K48" s="4387">
        <v>799</v>
      </c>
      <c r="L48" s="4387">
        <v>823</v>
      </c>
      <c r="M48" s="4387">
        <v>16</v>
      </c>
      <c r="N48" s="4387">
        <v>207</v>
      </c>
      <c r="O48" s="4387">
        <v>29</v>
      </c>
      <c r="P48" s="4388">
        <f>SUM(J48:O48)</f>
        <v>3422</v>
      </c>
      <c r="R48" s="4386">
        <v>2401</v>
      </c>
      <c r="S48" s="4387">
        <v>926</v>
      </c>
      <c r="T48" s="4387">
        <v>873</v>
      </c>
      <c r="U48" s="4387">
        <v>31</v>
      </c>
      <c r="V48" s="4387">
        <v>269</v>
      </c>
      <c r="W48" s="4387">
        <v>60</v>
      </c>
      <c r="X48" s="4388">
        <f>SUM(R48:W48)</f>
        <v>4560</v>
      </c>
    </row>
    <row r="49" spans="1:24" ht="24.75" customHeight="1" x14ac:dyDescent="0.2">
      <c r="A49" s="2567" t="s">
        <v>162</v>
      </c>
      <c r="B49" s="4386">
        <v>9239</v>
      </c>
      <c r="C49" s="4387">
        <v>4936</v>
      </c>
      <c r="D49" s="4387">
        <v>4237</v>
      </c>
      <c r="E49" s="4387">
        <v>143</v>
      </c>
      <c r="F49" s="4387">
        <v>455</v>
      </c>
      <c r="G49" s="4387">
        <v>113</v>
      </c>
      <c r="H49" s="4389">
        <f>SUM(B49:G49)</f>
        <v>19123</v>
      </c>
      <c r="J49" s="4386">
        <v>8754</v>
      </c>
      <c r="K49" s="4387">
        <v>4185</v>
      </c>
      <c r="L49" s="4387">
        <v>3634</v>
      </c>
      <c r="M49" s="4387">
        <v>130</v>
      </c>
      <c r="N49" s="4387">
        <v>430</v>
      </c>
      <c r="O49" s="4387">
        <v>141</v>
      </c>
      <c r="P49" s="4389">
        <f>SUM(J49:O49)</f>
        <v>17274</v>
      </c>
      <c r="R49" s="4386">
        <v>8519</v>
      </c>
      <c r="S49" s="4387">
        <v>4328</v>
      </c>
      <c r="T49" s="4387">
        <v>3341</v>
      </c>
      <c r="U49" s="4387">
        <v>115</v>
      </c>
      <c r="V49" s="4387">
        <v>370</v>
      </c>
      <c r="W49" s="4387">
        <v>113</v>
      </c>
      <c r="X49" s="4389">
        <f>SUM(R49:W49)</f>
        <v>16786</v>
      </c>
    </row>
    <row r="50" spans="1:24" ht="24.75" customHeight="1" x14ac:dyDescent="0.2">
      <c r="A50" s="2569" t="s">
        <v>408</v>
      </c>
      <c r="B50" s="4386">
        <v>162</v>
      </c>
      <c r="C50" s="4387">
        <v>138</v>
      </c>
      <c r="D50" s="4387">
        <v>110</v>
      </c>
      <c r="E50" s="4387">
        <v>3</v>
      </c>
      <c r="F50" s="4387">
        <v>8</v>
      </c>
      <c r="G50" s="4387"/>
      <c r="H50" s="4396">
        <f>SUM(B50:G50)</f>
        <v>421</v>
      </c>
      <c r="J50" s="4386">
        <v>259</v>
      </c>
      <c r="K50" s="4387">
        <v>160</v>
      </c>
      <c r="L50" s="4387">
        <v>114</v>
      </c>
      <c r="M50" s="4387">
        <v>8</v>
      </c>
      <c r="N50" s="4387">
        <v>47</v>
      </c>
      <c r="O50" s="4387">
        <v>23</v>
      </c>
      <c r="P50" s="4396">
        <f>SUM(J50:O50)</f>
        <v>611</v>
      </c>
      <c r="R50" s="4386">
        <v>739</v>
      </c>
      <c r="S50" s="4387">
        <v>343</v>
      </c>
      <c r="T50" s="4387">
        <v>338</v>
      </c>
      <c r="U50" s="4387">
        <v>43</v>
      </c>
      <c r="V50" s="4387">
        <v>59</v>
      </c>
      <c r="W50" s="4387">
        <v>48</v>
      </c>
      <c r="X50" s="4396">
        <f>SUM(R50:W50)</f>
        <v>1570</v>
      </c>
    </row>
    <row r="51" spans="1:24" ht="24.75" customHeight="1" x14ac:dyDescent="0.2">
      <c r="A51" s="2570" t="s">
        <v>163</v>
      </c>
      <c r="B51" s="4397">
        <v>6294</v>
      </c>
      <c r="C51" s="4398">
        <v>5525</v>
      </c>
      <c r="D51" s="4398">
        <v>4823</v>
      </c>
      <c r="E51" s="4398">
        <v>139</v>
      </c>
      <c r="F51" s="4398">
        <v>763</v>
      </c>
      <c r="G51" s="4398">
        <v>162</v>
      </c>
      <c r="H51" s="4399">
        <f>SUM(B51:G51)</f>
        <v>17706</v>
      </c>
      <c r="J51" s="4397">
        <v>5535</v>
      </c>
      <c r="K51" s="4398">
        <v>5142</v>
      </c>
      <c r="L51" s="4398">
        <v>4381</v>
      </c>
      <c r="M51" s="4398">
        <v>110</v>
      </c>
      <c r="N51" s="4398">
        <v>549</v>
      </c>
      <c r="O51" s="4398">
        <v>287</v>
      </c>
      <c r="P51" s="4399">
        <f>SUM(J51:O51)</f>
        <v>16004</v>
      </c>
      <c r="R51" s="4397">
        <v>5194</v>
      </c>
      <c r="S51" s="4398">
        <v>4935</v>
      </c>
      <c r="T51" s="4398">
        <v>4184</v>
      </c>
      <c r="U51" s="4398">
        <v>95</v>
      </c>
      <c r="V51" s="4398">
        <v>654</v>
      </c>
      <c r="W51" s="4398">
        <v>225</v>
      </c>
      <c r="X51" s="4399">
        <f>SUM(R51:W51)</f>
        <v>15287</v>
      </c>
    </row>
    <row r="52" spans="1:24" ht="24.75" customHeight="1" x14ac:dyDescent="0.2">
      <c r="A52" s="4251" t="s">
        <v>573</v>
      </c>
      <c r="B52" s="4393">
        <f>SUM(B47:B51)</f>
        <v>24163</v>
      </c>
      <c r="C52" s="4394">
        <f t="shared" ref="C52:H52" si="10">SUM(C47:C51)</f>
        <v>16438</v>
      </c>
      <c r="D52" s="4394">
        <f t="shared" si="10"/>
        <v>13257</v>
      </c>
      <c r="E52" s="4394">
        <f t="shared" si="10"/>
        <v>411</v>
      </c>
      <c r="F52" s="4394">
        <f t="shared" si="10"/>
        <v>2206</v>
      </c>
      <c r="G52" s="4394">
        <f t="shared" si="10"/>
        <v>703</v>
      </c>
      <c r="H52" s="4395">
        <f t="shared" si="10"/>
        <v>57178</v>
      </c>
      <c r="J52" s="4393">
        <f>SUM(J47:J51)</f>
        <v>23603</v>
      </c>
      <c r="K52" s="4394">
        <f t="shared" ref="K52:P52" si="11">SUM(K47:K51)</f>
        <v>14716</v>
      </c>
      <c r="L52" s="4394">
        <f t="shared" si="11"/>
        <v>12190</v>
      </c>
      <c r="M52" s="4394">
        <f t="shared" si="11"/>
        <v>350</v>
      </c>
      <c r="N52" s="4394">
        <f t="shared" si="11"/>
        <v>2095</v>
      </c>
      <c r="O52" s="4394">
        <f t="shared" si="11"/>
        <v>691</v>
      </c>
      <c r="P52" s="4395">
        <f t="shared" si="11"/>
        <v>53645</v>
      </c>
      <c r="R52" s="4393">
        <f>SUM(R47:R51)</f>
        <v>23479</v>
      </c>
      <c r="S52" s="4394">
        <f t="shared" ref="S52:X52" si="12">SUM(S47:S51)</f>
        <v>14876</v>
      </c>
      <c r="T52" s="4394">
        <f t="shared" si="12"/>
        <v>11389</v>
      </c>
      <c r="U52" s="4394">
        <f t="shared" si="12"/>
        <v>387</v>
      </c>
      <c r="V52" s="4394">
        <f t="shared" si="12"/>
        <v>2182</v>
      </c>
      <c r="W52" s="4394">
        <f t="shared" si="12"/>
        <v>693</v>
      </c>
      <c r="X52" s="4395">
        <f t="shared" si="12"/>
        <v>53006</v>
      </c>
    </row>
    <row r="53" spans="1:24" x14ac:dyDescent="0.2">
      <c r="A53" s="752" t="s">
        <v>117</v>
      </c>
    </row>
    <row r="54" spans="1:24" x14ac:dyDescent="0.2">
      <c r="A54" s="752"/>
    </row>
    <row r="55" spans="1:24" x14ac:dyDescent="0.2">
      <c r="A55" s="752"/>
    </row>
    <row r="57" spans="1:24" x14ac:dyDescent="0.2">
      <c r="A57" s="3747">
        <v>2003</v>
      </c>
    </row>
    <row r="58" spans="1:24" x14ac:dyDescent="0.2">
      <c r="A58" s="3747">
        <v>2004</v>
      </c>
    </row>
    <row r="59" spans="1:24" x14ac:dyDescent="0.2">
      <c r="A59" s="3747">
        <v>2005</v>
      </c>
    </row>
    <row r="60" spans="1:24" x14ac:dyDescent="0.2">
      <c r="A60" s="3747">
        <v>2006</v>
      </c>
    </row>
    <row r="61" spans="1:24" x14ac:dyDescent="0.2">
      <c r="A61" s="3747">
        <v>2007</v>
      </c>
    </row>
    <row r="62" spans="1:24" x14ac:dyDescent="0.2">
      <c r="A62" s="3747">
        <v>2008</v>
      </c>
    </row>
    <row r="63" spans="1:24" x14ac:dyDescent="0.2">
      <c r="A63" s="3747">
        <v>2009</v>
      </c>
    </row>
    <row r="64" spans="1:24" x14ac:dyDescent="0.2">
      <c r="A64" s="3747">
        <v>2010</v>
      </c>
    </row>
    <row r="65" spans="1:1" x14ac:dyDescent="0.2">
      <c r="A65" s="3747">
        <v>2011</v>
      </c>
    </row>
    <row r="66" spans="1:1" x14ac:dyDescent="0.2">
      <c r="A66" s="3747">
        <v>2012</v>
      </c>
    </row>
    <row r="67" spans="1:1" x14ac:dyDescent="0.2">
      <c r="A67" s="3747">
        <v>2013</v>
      </c>
    </row>
    <row r="68" spans="1:1" x14ac:dyDescent="0.2">
      <c r="A68" s="3747">
        <v>2014</v>
      </c>
    </row>
    <row r="69" spans="1:1" x14ac:dyDescent="0.2">
      <c r="A69" s="3747">
        <v>2015</v>
      </c>
    </row>
    <row r="70" spans="1:1" x14ac:dyDescent="0.2">
      <c r="A70" s="3747">
        <v>2016</v>
      </c>
    </row>
    <row r="71" spans="1:1" x14ac:dyDescent="0.2">
      <c r="A71" s="3747">
        <v>2017</v>
      </c>
    </row>
  </sheetData>
  <sheetProtection algorithmName="SHA-512" hashValue="ePxJwqzQO9fYF6Hj/tBWnja2Gq7MbECgAP4uMJFMnS/xe36+5YJ4xhf++rgMocHIeuAd2SgVI5lYHg+nwb7hdg==" saltValue="kS53hmLgx+WsdAHSk3s4uA==" spinCount="100000" sheet="1" objects="1" scenarios="1"/>
  <mergeCells count="20">
    <mergeCell ref="A34:A35"/>
    <mergeCell ref="B34:H34"/>
    <mergeCell ref="A24:A25"/>
    <mergeCell ref="B24:H24"/>
    <mergeCell ref="R45:X45"/>
    <mergeCell ref="J45:P45"/>
    <mergeCell ref="A45:A46"/>
    <mergeCell ref="B45:H45"/>
    <mergeCell ref="A4:A5"/>
    <mergeCell ref="A14:A15"/>
    <mergeCell ref="B4:H4"/>
    <mergeCell ref="J34:P34"/>
    <mergeCell ref="R4:X4"/>
    <mergeCell ref="J4:P4"/>
    <mergeCell ref="R14:X14"/>
    <mergeCell ref="J14:P14"/>
    <mergeCell ref="B14:H14"/>
    <mergeCell ref="R34:X34"/>
    <mergeCell ref="J24:P24"/>
    <mergeCell ref="R24:X24"/>
  </mergeCells>
  <phoneticPr fontId="81" type="noConversion"/>
  <printOptions horizontalCentered="1" verticalCentered="1"/>
  <pageMargins left="0.74803149606299213" right="0.74803149606299213" top="0.59055118110236227" bottom="0.59055118110236227" header="0" footer="0"/>
  <pageSetup scale="56" orientation="landscape" r:id="rId1"/>
  <headerFooter alignWithMargins="0"/>
  <rowBreaks count="2" manualBreakCount="2">
    <brk id="43" max="16383" man="1"/>
    <brk id="55" max="23" man="1"/>
  </rowBreaks>
  <ignoredErrors>
    <ignoredError sqref="P30" formula="1"/>
  </ignoredErrors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AD25A8"/>
  </sheetPr>
  <dimension ref="A1:R401"/>
  <sheetViews>
    <sheetView showGridLines="0" topLeftCell="C1" zoomScaleNormal="100" workbookViewId="0"/>
  </sheetViews>
  <sheetFormatPr baseColWidth="10" defaultRowHeight="15" x14ac:dyDescent="0.25"/>
  <cols>
    <col min="1" max="1" width="27.28515625" style="1378" customWidth="1"/>
    <col min="2" max="2" width="8.5703125" style="1378" customWidth="1"/>
    <col min="3" max="3" width="14.28515625" style="1378" customWidth="1"/>
    <col min="4" max="4" width="3.7109375" style="1378" customWidth="1"/>
    <col min="5" max="5" width="39.42578125" style="1378" customWidth="1"/>
    <col min="6" max="6" width="8.7109375" style="1378" customWidth="1"/>
    <col min="7" max="7" width="13.85546875" style="1378" customWidth="1"/>
    <col min="8" max="8" width="3.7109375" style="1378" customWidth="1"/>
    <col min="9" max="9" width="33.28515625" style="1378" customWidth="1"/>
    <col min="10" max="10" width="26.28515625" style="1378" customWidth="1"/>
    <col min="11" max="11" width="12.85546875" style="1378" bestFit="1" customWidth="1"/>
    <col min="12" max="12" width="12.7109375" style="1378" bestFit="1" customWidth="1"/>
    <col min="13" max="13" width="1.7109375" style="1378" customWidth="1"/>
    <col min="14" max="14" width="15" style="1378" bestFit="1" customWidth="1"/>
    <col min="15" max="15" width="31.85546875" style="1378" bestFit="1" customWidth="1"/>
    <col min="16" max="16" width="12.7109375" style="1378" customWidth="1"/>
    <col min="17" max="17" width="14.7109375" style="1378" customWidth="1"/>
    <col min="18" max="18" width="12.140625" style="1378" customWidth="1"/>
    <col min="19" max="16384" width="11.42578125" style="1378"/>
  </cols>
  <sheetData>
    <row r="1" spans="1:18" ht="18.75" x14ac:dyDescent="0.3">
      <c r="A1" s="2142" t="s">
        <v>747</v>
      </c>
      <c r="B1" s="1379"/>
      <c r="C1" s="1379"/>
      <c r="D1" s="1379"/>
      <c r="E1" s="1379"/>
      <c r="F1" s="1379"/>
      <c r="G1" s="1379"/>
      <c r="H1" s="1379"/>
      <c r="I1" s="1379"/>
      <c r="J1" s="1379"/>
      <c r="K1" s="1379"/>
      <c r="L1" s="1379"/>
      <c r="M1" s="1379"/>
      <c r="N1" s="1379"/>
      <c r="O1" s="1379"/>
      <c r="Q1" s="1380"/>
      <c r="R1" s="1380"/>
    </row>
    <row r="2" spans="1:18" ht="18.75" x14ac:dyDescent="0.3">
      <c r="A2" s="2142"/>
      <c r="B2" s="1379"/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Q2" s="5476"/>
      <c r="R2" s="5476"/>
    </row>
    <row r="3" spans="1:18" x14ac:dyDescent="0.25">
      <c r="A3" s="7344" t="s">
        <v>1683</v>
      </c>
      <c r="B3" s="7345"/>
      <c r="C3" s="7346"/>
      <c r="D3" s="5469"/>
      <c r="E3" s="7347" t="s">
        <v>1684</v>
      </c>
      <c r="F3" s="7348"/>
      <c r="G3" s="7349"/>
      <c r="H3" s="1379"/>
      <c r="I3" s="7347" t="s">
        <v>1685</v>
      </c>
      <c r="J3" s="7348"/>
      <c r="K3" s="7348"/>
      <c r="L3" s="7349"/>
      <c r="M3" s="1379"/>
      <c r="N3" s="1379"/>
      <c r="O3" s="1379"/>
      <c r="Q3" s="5476"/>
      <c r="R3" s="5476"/>
    </row>
    <row r="4" spans="1:18" x14ac:dyDescent="0.25">
      <c r="A4" s="7350" t="s">
        <v>1429</v>
      </c>
      <c r="B4" s="7351"/>
      <c r="C4" s="7352"/>
      <c r="D4" s="5469"/>
      <c r="E4" s="7350" t="s">
        <v>862</v>
      </c>
      <c r="F4" s="7351"/>
      <c r="G4" s="7352"/>
      <c r="H4" s="1379"/>
      <c r="I4" s="7353" t="s">
        <v>582</v>
      </c>
      <c r="J4" s="7355" t="s">
        <v>863</v>
      </c>
      <c r="K4" s="7356" t="s">
        <v>869</v>
      </c>
      <c r="L4" s="7357"/>
      <c r="M4" s="1379"/>
      <c r="N4" s="1379"/>
      <c r="O4" s="1379"/>
      <c r="Q4" s="5476"/>
      <c r="R4" s="5476"/>
    </row>
    <row r="5" spans="1:18" ht="15" customHeight="1" x14ac:dyDescent="0.25">
      <c r="A5" s="7358" t="s">
        <v>865</v>
      </c>
      <c r="B5" s="7359" t="s">
        <v>866</v>
      </c>
      <c r="C5" s="7359" t="s">
        <v>867</v>
      </c>
      <c r="D5" s="5469"/>
      <c r="E5" s="7358" t="s">
        <v>582</v>
      </c>
      <c r="F5" s="7359" t="s">
        <v>868</v>
      </c>
      <c r="G5" s="7359" t="s">
        <v>869</v>
      </c>
      <c r="H5" s="1379"/>
      <c r="I5" s="7354"/>
      <c r="J5" s="7354"/>
      <c r="K5" s="5471" t="s">
        <v>927</v>
      </c>
      <c r="L5" s="4319" t="s">
        <v>979</v>
      </c>
      <c r="M5" s="1379"/>
      <c r="N5" s="1379"/>
      <c r="O5" s="1379"/>
      <c r="Q5" s="5476"/>
      <c r="R5" s="5476"/>
    </row>
    <row r="6" spans="1:18" ht="25.5" x14ac:dyDescent="0.25">
      <c r="A6" s="7358"/>
      <c r="B6" s="7360"/>
      <c r="C6" s="7360"/>
      <c r="D6" s="5469"/>
      <c r="E6" s="7358"/>
      <c r="F6" s="7360"/>
      <c r="G6" s="7360"/>
      <c r="H6" s="1379"/>
      <c r="I6" s="4309" t="s">
        <v>586</v>
      </c>
      <c r="J6" s="5472" t="s">
        <v>1699</v>
      </c>
      <c r="K6" s="5473">
        <v>4131</v>
      </c>
      <c r="L6" s="7361">
        <v>8000</v>
      </c>
      <c r="M6" s="1379"/>
      <c r="N6" s="1379"/>
      <c r="O6" s="1379"/>
      <c r="Q6" s="5476"/>
      <c r="R6" s="5476"/>
    </row>
    <row r="7" spans="1:18" x14ac:dyDescent="0.25">
      <c r="A7" s="5472" t="s">
        <v>870</v>
      </c>
      <c r="B7" s="5472" t="s">
        <v>1688</v>
      </c>
      <c r="C7" s="5473">
        <v>206</v>
      </c>
      <c r="D7" s="5469"/>
      <c r="E7" s="4304" t="s">
        <v>924</v>
      </c>
      <c r="F7" s="4305">
        <v>693</v>
      </c>
      <c r="G7" s="4305">
        <v>2326</v>
      </c>
      <c r="H7" s="1379"/>
      <c r="I7" s="4306" t="s">
        <v>898</v>
      </c>
      <c r="J7" s="5472" t="s">
        <v>1699</v>
      </c>
      <c r="K7" s="4316">
        <v>6385</v>
      </c>
      <c r="L7" s="7362"/>
      <c r="M7" s="1379"/>
      <c r="N7" s="1379"/>
      <c r="O7" s="1379"/>
      <c r="Q7" s="5476"/>
      <c r="R7" s="5476"/>
    </row>
    <row r="8" spans="1:18" x14ac:dyDescent="0.25">
      <c r="A8" s="5472" t="s">
        <v>873</v>
      </c>
      <c r="B8" s="5472">
        <v>15</v>
      </c>
      <c r="C8" s="5473">
        <v>734</v>
      </c>
      <c r="D8" s="5469"/>
      <c r="E8" s="4304" t="s">
        <v>1693</v>
      </c>
      <c r="F8" s="4305">
        <v>360</v>
      </c>
      <c r="G8" s="4305">
        <v>13390</v>
      </c>
      <c r="H8" s="1379"/>
      <c r="I8" s="4301" t="s">
        <v>909</v>
      </c>
      <c r="J8" s="5472" t="s">
        <v>1700</v>
      </c>
      <c r="K8" s="4316">
        <v>1192</v>
      </c>
      <c r="L8" s="5038">
        <v>8762</v>
      </c>
      <c r="M8" s="1379"/>
      <c r="N8" s="1379"/>
      <c r="O8" s="1379"/>
      <c r="Q8" s="5476"/>
      <c r="R8" s="5476"/>
    </row>
    <row r="9" spans="1:18" x14ac:dyDescent="0.25">
      <c r="A9" s="5472" t="s">
        <v>1689</v>
      </c>
      <c r="B9" s="5474">
        <v>3</v>
      </c>
      <c r="C9" s="5474">
        <v>60</v>
      </c>
      <c r="D9" s="5469"/>
      <c r="E9" s="5036" t="s">
        <v>874</v>
      </c>
      <c r="F9" s="4305">
        <v>1864</v>
      </c>
      <c r="G9" s="4305">
        <v>30250</v>
      </c>
      <c r="H9" s="1379"/>
      <c r="M9" s="1379"/>
      <c r="N9" s="1379"/>
      <c r="O9" s="1379"/>
      <c r="Q9" s="5476"/>
      <c r="R9" s="5476"/>
    </row>
    <row r="10" spans="1:18" x14ac:dyDescent="0.25">
      <c r="A10" s="5472" t="s">
        <v>939</v>
      </c>
      <c r="B10" s="5474">
        <v>3</v>
      </c>
      <c r="C10" s="5474">
        <v>45</v>
      </c>
      <c r="D10" s="5469"/>
      <c r="E10" s="4309" t="s">
        <v>1432</v>
      </c>
      <c r="F10" s="5474">
        <v>974</v>
      </c>
      <c r="G10" s="4305">
        <v>2954</v>
      </c>
      <c r="H10" s="1379"/>
      <c r="J10" s="5475" t="s">
        <v>12</v>
      </c>
      <c r="K10" s="4312">
        <f>SUM(K6:K8)</f>
        <v>11708</v>
      </c>
      <c r="L10" s="4312">
        <f>SUM(L6:L8)</f>
        <v>16762</v>
      </c>
      <c r="M10" s="1379"/>
      <c r="N10" s="1379"/>
      <c r="O10" s="1379"/>
      <c r="Q10" s="5476"/>
      <c r="R10" s="5476"/>
    </row>
    <row r="11" spans="1:18" x14ac:dyDescent="0.25">
      <c r="A11" s="5472" t="s">
        <v>1690</v>
      </c>
      <c r="B11" s="5474">
        <v>1</v>
      </c>
      <c r="C11" s="5474">
        <v>40</v>
      </c>
      <c r="D11" s="5469"/>
      <c r="E11" s="4308" t="s">
        <v>878</v>
      </c>
      <c r="F11" s="5474">
        <v>298</v>
      </c>
      <c r="G11" s="4305">
        <v>1028</v>
      </c>
      <c r="H11" s="1379"/>
      <c r="I11" s="1379"/>
      <c r="J11" s="1379"/>
      <c r="K11" s="1379"/>
      <c r="L11" s="1379"/>
      <c r="M11" s="1379"/>
      <c r="N11" s="1379"/>
      <c r="O11" s="1379"/>
      <c r="Q11" s="5476"/>
      <c r="R11" s="5476"/>
    </row>
    <row r="12" spans="1:18" x14ac:dyDescent="0.25">
      <c r="A12" s="5472" t="s">
        <v>987</v>
      </c>
      <c r="B12" s="5474">
        <v>12</v>
      </c>
      <c r="C12" s="5474">
        <v>198</v>
      </c>
      <c r="D12" s="5469"/>
      <c r="E12" s="4308" t="s">
        <v>880</v>
      </c>
      <c r="F12" s="5038">
        <v>90</v>
      </c>
      <c r="G12" s="4305">
        <v>2700</v>
      </c>
      <c r="H12" s="1379"/>
      <c r="I12" s="1379"/>
      <c r="J12" s="1379"/>
      <c r="K12" s="1379"/>
      <c r="L12" s="1379"/>
      <c r="M12" s="1379"/>
      <c r="N12" s="1379"/>
      <c r="O12" s="1379"/>
      <c r="Q12" s="5476"/>
      <c r="R12" s="5476"/>
    </row>
    <row r="13" spans="1:18" x14ac:dyDescent="0.25">
      <c r="A13" s="5472" t="s">
        <v>1691</v>
      </c>
      <c r="B13" s="5474">
        <v>2</v>
      </c>
      <c r="C13" s="5474">
        <v>138</v>
      </c>
      <c r="D13" s="5469"/>
      <c r="E13" s="4308" t="s">
        <v>887</v>
      </c>
      <c r="F13" s="5038">
        <v>1409</v>
      </c>
      <c r="G13" s="4305">
        <v>23084</v>
      </c>
      <c r="H13" s="1379"/>
      <c r="I13" s="1379"/>
      <c r="J13" s="1379"/>
      <c r="K13" s="1379"/>
      <c r="L13" s="1379"/>
      <c r="M13" s="1379"/>
      <c r="N13" s="1379"/>
      <c r="O13" s="1379"/>
      <c r="Q13" s="5476"/>
      <c r="R13" s="5476"/>
    </row>
    <row r="14" spans="1:18" x14ac:dyDescent="0.25">
      <c r="A14" s="5472" t="s">
        <v>880</v>
      </c>
      <c r="B14" s="5474">
        <v>26</v>
      </c>
      <c r="C14" s="5474">
        <v>6542</v>
      </c>
      <c r="D14" s="5469"/>
      <c r="E14" s="4308" t="s">
        <v>901</v>
      </c>
      <c r="F14" s="5038">
        <v>239458</v>
      </c>
      <c r="G14" s="4305">
        <v>239458</v>
      </c>
      <c r="H14" s="1379"/>
      <c r="I14" s="1379"/>
      <c r="J14" s="1379"/>
      <c r="K14" s="1379"/>
      <c r="L14" s="1379"/>
      <c r="M14" s="1379"/>
      <c r="N14" s="1379"/>
      <c r="O14" s="1379"/>
      <c r="Q14" s="5476"/>
      <c r="R14" s="5476"/>
    </row>
    <row r="15" spans="1:18" x14ac:dyDescent="0.25">
      <c r="A15" s="5472" t="s">
        <v>884</v>
      </c>
      <c r="B15" s="5474">
        <v>6</v>
      </c>
      <c r="C15" s="5474">
        <v>1608</v>
      </c>
      <c r="D15" s="5469"/>
      <c r="E15" s="4306" t="s">
        <v>1694</v>
      </c>
      <c r="F15" s="5474">
        <v>19500</v>
      </c>
      <c r="G15" s="4305">
        <v>19500</v>
      </c>
      <c r="H15" s="1379"/>
      <c r="I15" s="1379"/>
      <c r="J15" s="1379"/>
      <c r="K15" s="1379"/>
      <c r="L15" s="1379"/>
      <c r="M15" s="1379"/>
      <c r="N15" s="1379"/>
      <c r="O15" s="1379"/>
      <c r="Q15" s="5476"/>
      <c r="R15" s="5476"/>
    </row>
    <row r="16" spans="1:18" x14ac:dyDescent="0.25">
      <c r="A16" s="5472" t="s">
        <v>887</v>
      </c>
      <c r="B16" s="5474">
        <v>5</v>
      </c>
      <c r="C16" s="5474">
        <v>1416</v>
      </c>
      <c r="D16" s="5469"/>
      <c r="E16" s="4309" t="s">
        <v>908</v>
      </c>
      <c r="F16" s="5474">
        <v>2399</v>
      </c>
      <c r="G16" s="4305">
        <v>10185</v>
      </c>
      <c r="H16" s="1379"/>
      <c r="I16" s="1379"/>
      <c r="J16" s="1379"/>
      <c r="K16" s="1379"/>
      <c r="L16" s="1379"/>
      <c r="M16" s="1379"/>
      <c r="N16" s="1379"/>
      <c r="O16" s="1379"/>
      <c r="Q16" s="5476"/>
      <c r="R16" s="5476"/>
    </row>
    <row r="17" spans="1:18" x14ac:dyDescent="0.25">
      <c r="A17" s="5472" t="s">
        <v>888</v>
      </c>
      <c r="B17" s="5474">
        <v>9</v>
      </c>
      <c r="C17" s="5474">
        <v>81</v>
      </c>
      <c r="D17" s="5469"/>
      <c r="E17" s="4306" t="s">
        <v>955</v>
      </c>
      <c r="F17" s="5474">
        <v>76</v>
      </c>
      <c r="G17" s="4305">
        <v>1260</v>
      </c>
      <c r="H17" s="1379"/>
      <c r="I17" s="1379"/>
      <c r="J17" s="1379"/>
      <c r="K17" s="1379"/>
      <c r="L17" s="1379"/>
      <c r="M17" s="1379"/>
      <c r="N17" s="1379"/>
      <c r="O17" s="1379"/>
      <c r="Q17" s="5476"/>
      <c r="R17" s="5476"/>
    </row>
    <row r="18" spans="1:18" x14ac:dyDescent="0.25">
      <c r="A18" s="5472" t="s">
        <v>892</v>
      </c>
      <c r="B18" s="5474">
        <v>2</v>
      </c>
      <c r="C18" s="5474">
        <v>265</v>
      </c>
      <c r="D18" s="5469"/>
      <c r="E18" s="4306" t="s">
        <v>917</v>
      </c>
      <c r="F18" s="5474">
        <v>66</v>
      </c>
      <c r="G18" s="4305">
        <v>1625</v>
      </c>
      <c r="H18" s="1379"/>
      <c r="I18" s="1379"/>
      <c r="J18" s="1379"/>
      <c r="K18" s="1379"/>
      <c r="L18" s="1379"/>
      <c r="M18" s="1379"/>
      <c r="N18" s="1379"/>
      <c r="O18" s="1379"/>
      <c r="Q18" s="5476"/>
      <c r="R18" s="5476"/>
    </row>
    <row r="19" spans="1:18" x14ac:dyDescent="0.25">
      <c r="A19" s="5484" t="s">
        <v>894</v>
      </c>
      <c r="B19" s="5485">
        <v>2</v>
      </c>
      <c r="C19" s="5485">
        <v>66</v>
      </c>
      <c r="D19" s="5483"/>
      <c r="E19" s="4306" t="s">
        <v>918</v>
      </c>
      <c r="F19" s="5485">
        <v>2273</v>
      </c>
      <c r="G19" s="4305">
        <v>2273</v>
      </c>
      <c r="H19" s="1379"/>
      <c r="I19" s="1379"/>
      <c r="J19" s="1379"/>
      <c r="K19" s="1379"/>
      <c r="L19" s="1379"/>
      <c r="M19" s="1379"/>
      <c r="N19" s="1379"/>
      <c r="O19" s="1379"/>
      <c r="Q19" s="5486"/>
      <c r="R19" s="5486"/>
    </row>
    <row r="20" spans="1:18" x14ac:dyDescent="0.25">
      <c r="A20" s="5484" t="s">
        <v>1553</v>
      </c>
      <c r="B20" s="5485">
        <v>1</v>
      </c>
      <c r="C20" s="5485">
        <v>90</v>
      </c>
      <c r="D20" s="5483"/>
      <c r="E20" s="4306" t="s">
        <v>920</v>
      </c>
      <c r="F20" s="5485">
        <v>20883</v>
      </c>
      <c r="G20" s="4305">
        <v>20883</v>
      </c>
      <c r="H20" s="1379"/>
      <c r="I20" s="1379"/>
      <c r="J20" s="1379"/>
      <c r="K20" s="1379"/>
      <c r="L20" s="1379"/>
      <c r="M20" s="1379"/>
      <c r="N20" s="1379"/>
      <c r="O20" s="1379"/>
      <c r="Q20" s="5486"/>
      <c r="R20" s="5486"/>
    </row>
    <row r="21" spans="1:18" x14ac:dyDescent="0.25">
      <c r="A21" s="5484" t="s">
        <v>896</v>
      </c>
      <c r="B21" s="5485">
        <v>1</v>
      </c>
      <c r="C21" s="5485">
        <v>30</v>
      </c>
      <c r="D21" s="5483"/>
      <c r="E21" s="4306" t="s">
        <v>1551</v>
      </c>
      <c r="F21" s="5485">
        <v>1603</v>
      </c>
      <c r="G21" s="4305">
        <v>12460</v>
      </c>
      <c r="H21" s="1379"/>
      <c r="I21" s="1379"/>
      <c r="J21" s="1379"/>
      <c r="K21" s="1379"/>
      <c r="L21" s="1379"/>
      <c r="M21" s="1379"/>
      <c r="N21" s="1379"/>
      <c r="O21" s="1379"/>
      <c r="Q21" s="5486"/>
      <c r="R21" s="5486"/>
    </row>
    <row r="22" spans="1:18" x14ac:dyDescent="0.25">
      <c r="A22" s="5484" t="s">
        <v>900</v>
      </c>
      <c r="B22" s="5485">
        <v>3</v>
      </c>
      <c r="C22" s="5485">
        <v>75</v>
      </c>
      <c r="D22" s="5483"/>
      <c r="E22" s="4306" t="s">
        <v>1695</v>
      </c>
      <c r="F22" s="5485">
        <v>5597</v>
      </c>
      <c r="G22" s="4305">
        <v>16634</v>
      </c>
      <c r="H22" s="1379"/>
      <c r="I22" s="1379"/>
      <c r="J22" s="1379"/>
      <c r="K22" s="1379"/>
      <c r="L22" s="1379"/>
      <c r="M22" s="1379"/>
      <c r="N22" s="1379"/>
      <c r="O22" s="1379"/>
      <c r="Q22" s="5486"/>
      <c r="R22" s="5486"/>
    </row>
    <row r="23" spans="1:18" x14ac:dyDescent="0.25">
      <c r="A23" s="5484" t="s">
        <v>904</v>
      </c>
      <c r="B23" s="5485">
        <v>7</v>
      </c>
      <c r="C23" s="5485">
        <v>133</v>
      </c>
      <c r="D23" s="5483"/>
      <c r="E23" s="4306" t="s">
        <v>922</v>
      </c>
      <c r="F23" s="5485">
        <v>267</v>
      </c>
      <c r="G23" s="4305">
        <v>21276</v>
      </c>
      <c r="H23" s="1379"/>
      <c r="I23" s="1379"/>
      <c r="J23" s="1379"/>
      <c r="K23" s="1379"/>
      <c r="L23" s="1379"/>
      <c r="M23" s="1379"/>
      <c r="N23" s="1379"/>
      <c r="O23" s="1379"/>
      <c r="Q23" s="5486"/>
      <c r="R23" s="5486"/>
    </row>
    <row r="24" spans="1:18" x14ac:dyDescent="0.25">
      <c r="A24" s="5484" t="s">
        <v>907</v>
      </c>
      <c r="B24" s="5485">
        <v>3</v>
      </c>
      <c r="C24" s="5485">
        <v>72</v>
      </c>
      <c r="D24" s="5483"/>
      <c r="E24" s="4306" t="s">
        <v>896</v>
      </c>
      <c r="F24" s="5485">
        <v>5400</v>
      </c>
      <c r="G24" s="4305">
        <v>21600</v>
      </c>
      <c r="H24" s="1379"/>
      <c r="I24" s="1379"/>
      <c r="J24" s="1379"/>
      <c r="K24" s="1379"/>
      <c r="L24" s="1379"/>
      <c r="M24" s="1379"/>
      <c r="N24" s="1379"/>
      <c r="O24" s="1379"/>
      <c r="Q24" s="5486"/>
      <c r="R24" s="5486"/>
    </row>
    <row r="25" spans="1:18" x14ac:dyDescent="0.25">
      <c r="A25" s="5472" t="s">
        <v>1692</v>
      </c>
      <c r="B25" s="5474">
        <v>60</v>
      </c>
      <c r="C25" s="5474">
        <v>900</v>
      </c>
      <c r="D25" s="5469"/>
      <c r="E25" s="4306" t="s">
        <v>923</v>
      </c>
      <c r="F25" s="5474">
        <v>216</v>
      </c>
      <c r="G25" s="4305">
        <v>3515</v>
      </c>
      <c r="H25" s="1379"/>
      <c r="I25" s="1379"/>
      <c r="J25" s="1379"/>
      <c r="K25" s="1379"/>
      <c r="L25" s="1379"/>
      <c r="M25" s="1379"/>
      <c r="N25" s="1379"/>
      <c r="O25" s="1379"/>
      <c r="Q25" s="5476"/>
      <c r="R25" s="5476"/>
    </row>
    <row r="26" spans="1:18" x14ac:dyDescent="0.25">
      <c r="A26" s="5472" t="s">
        <v>1007</v>
      </c>
      <c r="B26" s="5474">
        <v>3</v>
      </c>
      <c r="C26" s="5474">
        <v>77</v>
      </c>
      <c r="D26" s="5469"/>
      <c r="E26" s="4306" t="s">
        <v>904</v>
      </c>
      <c r="F26" s="5474">
        <v>2215</v>
      </c>
      <c r="G26" s="4305">
        <v>12041</v>
      </c>
      <c r="H26" s="1379"/>
      <c r="I26" s="1379"/>
      <c r="J26" s="1379"/>
      <c r="K26" s="1379"/>
      <c r="L26" s="1379"/>
      <c r="M26" s="1379"/>
      <c r="N26" s="1379"/>
      <c r="O26" s="1379"/>
      <c r="Q26" s="5476"/>
      <c r="R26" s="5476"/>
    </row>
    <row r="27" spans="1:18" x14ac:dyDescent="0.25">
      <c r="A27" s="5472" t="s">
        <v>1008</v>
      </c>
      <c r="B27" s="5474">
        <v>10</v>
      </c>
      <c r="C27" s="5474">
        <v>586</v>
      </c>
      <c r="D27" s="5469"/>
      <c r="E27" s="4306" t="s">
        <v>1696</v>
      </c>
      <c r="F27" s="5474">
        <v>535</v>
      </c>
      <c r="G27" s="4305">
        <v>9080</v>
      </c>
      <c r="H27" s="1379"/>
      <c r="I27" s="1379"/>
      <c r="J27" s="1379"/>
      <c r="K27" s="1379"/>
      <c r="L27" s="1379"/>
      <c r="M27" s="1379"/>
      <c r="N27" s="1379"/>
      <c r="O27" s="1379"/>
      <c r="Q27" s="5476"/>
      <c r="R27" s="5476"/>
    </row>
    <row r="28" spans="1:18" x14ac:dyDescent="0.25">
      <c r="A28" s="5475" t="s">
        <v>12</v>
      </c>
      <c r="B28" s="5035">
        <f>SUM(B7:B27)</f>
        <v>174</v>
      </c>
      <c r="C28" s="4312">
        <f>SUM(C7:C27)</f>
        <v>13362</v>
      </c>
      <c r="D28" s="5469"/>
      <c r="E28" s="4306" t="s">
        <v>1697</v>
      </c>
      <c r="F28" s="5474">
        <v>99</v>
      </c>
      <c r="G28" s="4305">
        <v>772</v>
      </c>
      <c r="H28" s="1379"/>
      <c r="I28" s="1379"/>
      <c r="J28" s="1379"/>
      <c r="K28" s="1379"/>
      <c r="L28" s="1379"/>
      <c r="M28" s="1379"/>
      <c r="N28" s="1379"/>
      <c r="O28" s="1379"/>
      <c r="Q28" s="5476"/>
      <c r="R28" s="5476"/>
    </row>
    <row r="29" spans="1:18" x14ac:dyDescent="0.25">
      <c r="A29" s="7342" t="s">
        <v>919</v>
      </c>
      <c r="B29" s="7342"/>
      <c r="C29" s="7342"/>
      <c r="D29" s="5469"/>
      <c r="E29" s="5036" t="s">
        <v>976</v>
      </c>
      <c r="F29" s="5039">
        <v>782</v>
      </c>
      <c r="G29" s="4305">
        <v>8816</v>
      </c>
      <c r="H29" s="1379"/>
      <c r="I29" s="1379"/>
      <c r="J29" s="1379"/>
      <c r="K29" s="1379"/>
      <c r="L29" s="1379"/>
      <c r="M29" s="1379"/>
      <c r="N29" s="1379"/>
      <c r="O29" s="1379"/>
      <c r="Q29" s="5476"/>
      <c r="R29" s="5476"/>
    </row>
    <row r="30" spans="1:18" x14ac:dyDescent="0.25">
      <c r="A30" s="7343"/>
      <c r="B30" s="7343"/>
      <c r="C30" s="7343"/>
      <c r="D30" s="5469"/>
      <c r="E30" s="5037" t="s">
        <v>1698</v>
      </c>
      <c r="F30" s="5039">
        <v>720</v>
      </c>
      <c r="G30" s="4305">
        <v>8640</v>
      </c>
      <c r="H30" s="1379"/>
      <c r="I30" s="1379"/>
      <c r="J30" s="1379"/>
      <c r="K30" s="1379"/>
      <c r="L30" s="1379"/>
      <c r="M30" s="1379"/>
      <c r="N30" s="1379"/>
      <c r="O30" s="1379"/>
      <c r="Q30" s="5476"/>
      <c r="R30" s="5476"/>
    </row>
    <row r="31" spans="1:18" x14ac:dyDescent="0.25">
      <c r="A31" s="5470"/>
      <c r="B31" s="5470"/>
      <c r="C31" s="5470"/>
      <c r="D31" s="5469"/>
      <c r="E31" s="5036" t="s">
        <v>977</v>
      </c>
      <c r="F31" s="5039">
        <v>117</v>
      </c>
      <c r="G31" s="4305">
        <v>2925</v>
      </c>
      <c r="H31" s="1379"/>
      <c r="I31" s="1379"/>
      <c r="J31" s="1379"/>
      <c r="K31" s="1379"/>
      <c r="L31" s="1379"/>
      <c r="M31" s="1379"/>
      <c r="N31" s="1379"/>
      <c r="O31" s="1379"/>
      <c r="Q31" s="5476"/>
      <c r="R31" s="5476"/>
    </row>
    <row r="32" spans="1:18" ht="18.75" x14ac:dyDescent="0.3">
      <c r="A32" s="2142"/>
      <c r="B32" s="1379"/>
      <c r="C32" s="1379"/>
      <c r="D32" s="1379"/>
      <c r="E32" s="5475" t="s">
        <v>12</v>
      </c>
      <c r="F32" s="5035">
        <f>SUM(F7:F31)</f>
        <v>307894</v>
      </c>
      <c r="G32" s="4312">
        <f>SUM(G7:G31)</f>
        <v>488675</v>
      </c>
      <c r="H32" s="1379"/>
      <c r="I32" s="1379"/>
      <c r="J32" s="1379"/>
      <c r="K32" s="1379"/>
      <c r="L32" s="1379"/>
      <c r="M32" s="1379"/>
      <c r="N32" s="1379"/>
      <c r="O32" s="1379"/>
      <c r="Q32" s="5476"/>
      <c r="R32" s="5476"/>
    </row>
    <row r="33" spans="1:18" ht="18.75" x14ac:dyDescent="0.3">
      <c r="A33" s="2142"/>
      <c r="B33" s="1379"/>
      <c r="C33" s="1379"/>
      <c r="D33" s="1379"/>
      <c r="E33" s="1379"/>
      <c r="F33" s="1379"/>
      <c r="G33" s="1379"/>
      <c r="H33" s="1379"/>
      <c r="I33" s="1379"/>
      <c r="J33" s="1379"/>
      <c r="K33" s="1379"/>
      <c r="L33" s="1379"/>
      <c r="M33" s="1379"/>
      <c r="N33" s="1379"/>
      <c r="O33" s="1379"/>
      <c r="Q33" s="5476"/>
      <c r="R33" s="5476"/>
    </row>
    <row r="34" spans="1:18" ht="18.75" x14ac:dyDescent="0.3">
      <c r="A34" s="2142"/>
      <c r="B34" s="1379"/>
      <c r="C34" s="1379"/>
      <c r="D34" s="1379"/>
      <c r="E34" s="1379"/>
      <c r="F34" s="1379"/>
      <c r="G34" s="1379"/>
      <c r="H34" s="1379"/>
      <c r="I34" s="1379"/>
      <c r="J34" s="1379"/>
      <c r="K34" s="1379"/>
      <c r="L34" s="1379"/>
      <c r="M34" s="1379"/>
      <c r="N34" s="1379"/>
      <c r="O34" s="1379"/>
      <c r="Q34" s="5476"/>
      <c r="R34" s="5476"/>
    </row>
    <row r="35" spans="1:18" x14ac:dyDescent="0.25">
      <c r="A35" s="7344" t="s">
        <v>1536</v>
      </c>
      <c r="B35" s="7345"/>
      <c r="C35" s="7346"/>
      <c r="D35" s="5018"/>
      <c r="E35" s="7347" t="s">
        <v>1537</v>
      </c>
      <c r="F35" s="7348"/>
      <c r="G35" s="7349"/>
      <c r="H35" s="1379"/>
      <c r="I35" s="7347" t="s">
        <v>1538</v>
      </c>
      <c r="J35" s="7348"/>
      <c r="K35" s="7348"/>
      <c r="L35" s="7349"/>
      <c r="M35" s="1379"/>
      <c r="N35" s="1379"/>
      <c r="O35" s="1379"/>
      <c r="Q35" s="5025"/>
      <c r="R35" s="5025"/>
    </row>
    <row r="36" spans="1:18" x14ac:dyDescent="0.25">
      <c r="A36" s="7350" t="s">
        <v>1429</v>
      </c>
      <c r="B36" s="7351"/>
      <c r="C36" s="7352"/>
      <c r="D36" s="5018"/>
      <c r="E36" s="7350" t="s">
        <v>862</v>
      </c>
      <c r="F36" s="7351"/>
      <c r="G36" s="7352"/>
      <c r="H36" s="1379"/>
      <c r="I36" s="7353" t="s">
        <v>582</v>
      </c>
      <c r="J36" s="7355" t="s">
        <v>863</v>
      </c>
      <c r="K36" s="7356" t="s">
        <v>869</v>
      </c>
      <c r="L36" s="7357"/>
      <c r="M36" s="1379"/>
      <c r="N36" s="1379"/>
      <c r="O36" s="1379"/>
      <c r="Q36" s="5025"/>
      <c r="R36" s="5025"/>
    </row>
    <row r="37" spans="1:18" ht="15" customHeight="1" x14ac:dyDescent="0.25">
      <c r="A37" s="7358" t="s">
        <v>865</v>
      </c>
      <c r="B37" s="7359" t="s">
        <v>866</v>
      </c>
      <c r="C37" s="7359" t="s">
        <v>867</v>
      </c>
      <c r="D37" s="5018"/>
      <c r="E37" s="7358" t="s">
        <v>582</v>
      </c>
      <c r="F37" s="7359" t="s">
        <v>868</v>
      </c>
      <c r="G37" s="7359" t="s">
        <v>869</v>
      </c>
      <c r="H37" s="1379"/>
      <c r="I37" s="7354"/>
      <c r="J37" s="7354"/>
      <c r="K37" s="5019" t="s">
        <v>927</v>
      </c>
      <c r="L37" s="4319" t="s">
        <v>979</v>
      </c>
      <c r="M37" s="1379"/>
      <c r="N37" s="1379"/>
      <c r="O37" s="1379"/>
      <c r="Q37" s="5025"/>
      <c r="R37" s="5025"/>
    </row>
    <row r="38" spans="1:18" ht="15" customHeight="1" x14ac:dyDescent="0.25">
      <c r="A38" s="7358"/>
      <c r="B38" s="7360"/>
      <c r="C38" s="7360"/>
      <c r="D38" s="5018"/>
      <c r="E38" s="7358"/>
      <c r="F38" s="7360"/>
      <c r="G38" s="7360"/>
      <c r="H38" s="1379"/>
      <c r="I38" s="4309" t="s">
        <v>586</v>
      </c>
      <c r="J38" s="5021" t="s">
        <v>1558</v>
      </c>
      <c r="K38" s="5022">
        <v>4110</v>
      </c>
      <c r="L38" s="5023">
        <v>13460</v>
      </c>
      <c r="M38" s="1379"/>
      <c r="N38" s="1379"/>
      <c r="O38" s="1379"/>
      <c r="Q38" s="5025"/>
      <c r="R38" s="5025"/>
    </row>
    <row r="39" spans="1:18" ht="15" customHeight="1" x14ac:dyDescent="0.25">
      <c r="A39" s="5034" t="s">
        <v>870</v>
      </c>
      <c r="B39" s="5021">
        <v>7</v>
      </c>
      <c r="C39" s="5022">
        <v>136</v>
      </c>
      <c r="D39" s="5018"/>
      <c r="E39" s="4304" t="s">
        <v>871</v>
      </c>
      <c r="F39" s="4305">
        <v>13146</v>
      </c>
      <c r="G39" s="4305">
        <v>13146</v>
      </c>
      <c r="H39" s="1379"/>
      <c r="I39" s="4306" t="s">
        <v>898</v>
      </c>
      <c r="J39" s="5021" t="s">
        <v>1558</v>
      </c>
      <c r="K39" s="4316">
        <v>6080</v>
      </c>
      <c r="L39" s="4317">
        <v>13460</v>
      </c>
      <c r="M39" s="1379"/>
      <c r="N39" s="1379"/>
      <c r="O39" s="1379"/>
      <c r="Q39" s="5025"/>
      <c r="R39" s="5025"/>
    </row>
    <row r="40" spans="1:18" ht="15" customHeight="1" x14ac:dyDescent="0.25">
      <c r="A40" s="5034" t="s">
        <v>932</v>
      </c>
      <c r="B40" s="5021">
        <v>2</v>
      </c>
      <c r="C40" s="5022">
        <v>45</v>
      </c>
      <c r="D40" s="5018"/>
      <c r="E40" s="4304" t="s">
        <v>1430</v>
      </c>
      <c r="F40" s="4305">
        <v>248</v>
      </c>
      <c r="G40" s="4305">
        <v>873</v>
      </c>
      <c r="H40" s="1379"/>
      <c r="I40" s="4301" t="s">
        <v>909</v>
      </c>
      <c r="J40" s="5021" t="s">
        <v>1558</v>
      </c>
      <c r="K40" s="4316">
        <v>1142</v>
      </c>
      <c r="L40" s="5038">
        <v>6785</v>
      </c>
      <c r="M40" s="1379"/>
      <c r="N40" s="1379"/>
      <c r="O40" s="1379"/>
      <c r="Q40" s="5025"/>
      <c r="R40" s="5025"/>
    </row>
    <row r="41" spans="1:18" ht="15" customHeight="1" x14ac:dyDescent="0.25">
      <c r="A41" s="5034" t="s">
        <v>873</v>
      </c>
      <c r="B41" s="5023">
        <v>19</v>
      </c>
      <c r="C41" s="5023">
        <v>756</v>
      </c>
      <c r="D41" s="5018"/>
      <c r="E41" s="5036" t="s">
        <v>1541</v>
      </c>
      <c r="F41" s="4305">
        <v>112</v>
      </c>
      <c r="G41" s="4305">
        <v>4480</v>
      </c>
      <c r="H41" s="1379"/>
      <c r="M41" s="1379"/>
      <c r="N41" s="1379"/>
      <c r="O41" s="1379"/>
      <c r="Q41" s="5025"/>
      <c r="R41" s="5025"/>
    </row>
    <row r="42" spans="1:18" ht="15" customHeight="1" x14ac:dyDescent="0.25">
      <c r="A42" s="5034" t="s">
        <v>1021</v>
      </c>
      <c r="B42" s="5023">
        <v>2</v>
      </c>
      <c r="C42" s="5023">
        <v>60</v>
      </c>
      <c r="D42" s="5018"/>
      <c r="E42" s="4309" t="s">
        <v>1542</v>
      </c>
      <c r="F42" s="5023">
        <v>4964</v>
      </c>
      <c r="G42" s="4305">
        <v>30790</v>
      </c>
      <c r="H42" s="1379"/>
      <c r="J42" s="5024" t="s">
        <v>12</v>
      </c>
      <c r="K42" s="4312">
        <f>SUM(K38:K40)</f>
        <v>11332</v>
      </c>
      <c r="L42" s="4312">
        <f>SUM(L38:L40)</f>
        <v>33705</v>
      </c>
      <c r="M42" s="1379"/>
      <c r="N42" s="1379"/>
      <c r="O42" s="1379"/>
      <c r="Q42" s="5025"/>
      <c r="R42" s="5025"/>
    </row>
    <row r="43" spans="1:18" ht="15" customHeight="1" x14ac:dyDescent="0.25">
      <c r="A43" s="5034" t="s">
        <v>939</v>
      </c>
      <c r="B43" s="5023">
        <v>2</v>
      </c>
      <c r="C43" s="5023">
        <v>40</v>
      </c>
      <c r="D43" s="5018"/>
      <c r="E43" s="4308" t="s">
        <v>1543</v>
      </c>
      <c r="F43" s="5023">
        <v>441</v>
      </c>
      <c r="G43" s="4305">
        <v>2073</v>
      </c>
      <c r="H43" s="1379"/>
      <c r="I43" s="1379"/>
      <c r="J43" s="1379"/>
      <c r="K43" s="1379"/>
      <c r="L43" s="1379"/>
      <c r="M43" s="1379"/>
      <c r="N43" s="1379"/>
      <c r="O43" s="1379"/>
      <c r="Q43" s="5025"/>
      <c r="R43" s="5025"/>
    </row>
    <row r="44" spans="1:18" ht="15" customHeight="1" x14ac:dyDescent="0.25">
      <c r="A44" s="5034" t="s">
        <v>987</v>
      </c>
      <c r="B44" s="5023">
        <v>15</v>
      </c>
      <c r="C44" s="5023">
        <v>177</v>
      </c>
      <c r="D44" s="5018"/>
      <c r="E44" s="4308" t="s">
        <v>1544</v>
      </c>
      <c r="F44" s="5038">
        <v>1</v>
      </c>
      <c r="G44" s="4305">
        <v>12</v>
      </c>
      <c r="H44" s="1379"/>
      <c r="I44" s="1379"/>
      <c r="J44" s="1379"/>
      <c r="K44" s="1379"/>
      <c r="L44" s="1379"/>
      <c r="M44" s="1379"/>
      <c r="N44" s="1379"/>
      <c r="O44" s="1379"/>
      <c r="Q44" s="5025"/>
      <c r="R44" s="5025"/>
    </row>
    <row r="45" spans="1:18" ht="15" customHeight="1" x14ac:dyDescent="0.25">
      <c r="A45" s="5034" t="s">
        <v>955</v>
      </c>
      <c r="B45" s="5023">
        <v>2</v>
      </c>
      <c r="C45" s="5023">
        <v>40</v>
      </c>
      <c r="D45" s="5018"/>
      <c r="E45" s="4308" t="s">
        <v>885</v>
      </c>
      <c r="F45" s="5038">
        <v>2</v>
      </c>
      <c r="G45" s="4305">
        <v>95</v>
      </c>
      <c r="H45" s="1379"/>
      <c r="I45" s="1379"/>
      <c r="J45" s="1379"/>
      <c r="K45" s="1379"/>
      <c r="L45" s="1379"/>
      <c r="M45" s="1379"/>
      <c r="N45" s="1379"/>
      <c r="O45" s="1379"/>
      <c r="Q45" s="5025"/>
      <c r="R45" s="5025"/>
    </row>
    <row r="46" spans="1:18" ht="15" customHeight="1" x14ac:dyDescent="0.25">
      <c r="A46" s="5034" t="s">
        <v>880</v>
      </c>
      <c r="B46" s="5023">
        <v>22</v>
      </c>
      <c r="C46" s="5023">
        <v>6000</v>
      </c>
      <c r="D46" s="5018"/>
      <c r="E46" s="4308" t="s">
        <v>1545</v>
      </c>
      <c r="F46" s="5038">
        <v>2703</v>
      </c>
      <c r="G46" s="4305">
        <v>2703</v>
      </c>
      <c r="H46" s="1379"/>
      <c r="I46" s="1379"/>
      <c r="J46" s="1379"/>
      <c r="K46" s="1379"/>
      <c r="L46" s="1379"/>
      <c r="M46" s="1379"/>
      <c r="N46" s="1379"/>
      <c r="O46" s="1379"/>
      <c r="Q46" s="5025"/>
      <c r="R46" s="5025"/>
    </row>
    <row r="47" spans="1:18" ht="15" customHeight="1" x14ac:dyDescent="0.25">
      <c r="A47" s="5034" t="s">
        <v>884</v>
      </c>
      <c r="B47" s="5023">
        <v>12</v>
      </c>
      <c r="C47" s="5023">
        <v>2897</v>
      </c>
      <c r="D47" s="5018"/>
      <c r="E47" s="4306" t="s">
        <v>889</v>
      </c>
      <c r="F47" s="5023">
        <v>1770</v>
      </c>
      <c r="G47" s="4305">
        <v>2028</v>
      </c>
      <c r="H47" s="1379"/>
      <c r="I47" s="1379"/>
      <c r="J47" s="1379"/>
      <c r="K47" s="1379"/>
      <c r="L47" s="1379"/>
      <c r="M47" s="1379"/>
      <c r="N47" s="1379"/>
      <c r="O47" s="1379"/>
      <c r="Q47" s="5025"/>
      <c r="R47" s="5025"/>
    </row>
    <row r="48" spans="1:18" ht="15" customHeight="1" x14ac:dyDescent="0.25">
      <c r="A48" s="5034" t="s">
        <v>887</v>
      </c>
      <c r="B48" s="5023">
        <v>9</v>
      </c>
      <c r="C48" s="5023">
        <v>1364</v>
      </c>
      <c r="D48" s="5018"/>
      <c r="E48" s="4309" t="s">
        <v>1546</v>
      </c>
      <c r="F48" s="5023">
        <v>1171</v>
      </c>
      <c r="G48" s="4305">
        <v>1210</v>
      </c>
      <c r="H48" s="1379"/>
      <c r="I48" s="1379"/>
      <c r="J48" s="1379"/>
      <c r="K48" s="1379"/>
      <c r="L48" s="1379"/>
      <c r="M48" s="1379"/>
      <c r="N48" s="1379"/>
      <c r="O48" s="1379"/>
      <c r="Q48" s="5025"/>
      <c r="R48" s="5025"/>
    </row>
    <row r="49" spans="1:18" ht="15" customHeight="1" x14ac:dyDescent="0.25">
      <c r="A49" s="5034" t="s">
        <v>888</v>
      </c>
      <c r="B49" s="5023">
        <v>19</v>
      </c>
      <c r="C49" s="5023">
        <v>180</v>
      </c>
      <c r="D49" s="5018"/>
      <c r="E49" s="4306" t="s">
        <v>880</v>
      </c>
      <c r="F49" s="5023">
        <v>98</v>
      </c>
      <c r="G49" s="4305">
        <v>1536</v>
      </c>
      <c r="H49" s="1379"/>
      <c r="I49" s="1379"/>
      <c r="J49" s="1379"/>
      <c r="K49" s="1379"/>
      <c r="L49" s="1379"/>
      <c r="M49" s="1379"/>
      <c r="N49" s="1379"/>
      <c r="O49" s="1379"/>
      <c r="Q49" s="5025"/>
      <c r="R49" s="5025"/>
    </row>
    <row r="50" spans="1:18" ht="15" customHeight="1" x14ac:dyDescent="0.25">
      <c r="A50" s="5034" t="s">
        <v>1047</v>
      </c>
      <c r="B50" s="5023">
        <v>1</v>
      </c>
      <c r="C50" s="5023">
        <v>40</v>
      </c>
      <c r="D50" s="5018"/>
      <c r="E50" s="4306" t="s">
        <v>887</v>
      </c>
      <c r="F50" s="5023">
        <v>744</v>
      </c>
      <c r="G50" s="4305">
        <v>11160</v>
      </c>
      <c r="H50" s="1379"/>
      <c r="I50" s="1379"/>
      <c r="J50" s="1379"/>
      <c r="K50" s="1379"/>
      <c r="L50" s="1379"/>
      <c r="M50" s="1379"/>
      <c r="N50" s="1379"/>
      <c r="O50" s="1379"/>
      <c r="Q50" s="5025"/>
      <c r="R50" s="5025"/>
    </row>
    <row r="51" spans="1:18" ht="15" customHeight="1" x14ac:dyDescent="0.25">
      <c r="A51" s="5034" t="s">
        <v>1539</v>
      </c>
      <c r="B51" s="5023">
        <v>3</v>
      </c>
      <c r="C51" s="5023">
        <v>699</v>
      </c>
      <c r="D51" s="5018"/>
      <c r="E51" s="4306" t="s">
        <v>901</v>
      </c>
      <c r="F51" s="5023">
        <v>149850</v>
      </c>
      <c r="G51" s="4305">
        <v>316686</v>
      </c>
      <c r="H51" s="1379"/>
      <c r="I51" s="1379"/>
      <c r="J51" s="1379"/>
      <c r="K51" s="1379"/>
      <c r="L51" s="1379"/>
      <c r="M51" s="1379"/>
      <c r="N51" s="1379"/>
      <c r="O51" s="1379"/>
      <c r="Q51" s="5025"/>
      <c r="R51" s="5025"/>
    </row>
    <row r="52" spans="1:18" ht="15" customHeight="1" x14ac:dyDescent="0.25">
      <c r="A52" s="5034" t="s">
        <v>1540</v>
      </c>
      <c r="B52" s="5023">
        <v>2</v>
      </c>
      <c r="C52" s="5023">
        <v>20</v>
      </c>
      <c r="D52" s="5018"/>
      <c r="E52" s="4306" t="s">
        <v>1547</v>
      </c>
      <c r="F52" s="5023">
        <v>2750</v>
      </c>
      <c r="G52" s="4305">
        <v>2750</v>
      </c>
      <c r="H52" s="1379"/>
      <c r="I52" s="1379"/>
      <c r="J52" s="1379"/>
      <c r="K52" s="1379"/>
      <c r="L52" s="1379"/>
      <c r="M52" s="1379"/>
      <c r="N52" s="1379"/>
      <c r="O52" s="1379"/>
      <c r="Q52" s="5025"/>
      <c r="R52" s="5025"/>
    </row>
    <row r="53" spans="1:18" ht="15" customHeight="1" x14ac:dyDescent="0.25">
      <c r="A53" s="5034" t="s">
        <v>896</v>
      </c>
      <c r="B53" s="5023">
        <v>4</v>
      </c>
      <c r="C53" s="5023">
        <v>94</v>
      </c>
      <c r="D53" s="5018"/>
      <c r="E53" s="4306" t="s">
        <v>908</v>
      </c>
      <c r="F53" s="5023">
        <v>279</v>
      </c>
      <c r="G53" s="4305">
        <v>1116</v>
      </c>
      <c r="H53" s="1379"/>
      <c r="I53" s="1379"/>
      <c r="J53" s="1379"/>
      <c r="K53" s="1379"/>
      <c r="L53" s="1379"/>
      <c r="M53" s="1379"/>
      <c r="N53" s="1379"/>
      <c r="O53" s="1379"/>
      <c r="Q53" s="5025"/>
      <c r="R53" s="5025"/>
    </row>
    <row r="54" spans="1:18" ht="15" customHeight="1" x14ac:dyDescent="0.25">
      <c r="A54" s="5034" t="s">
        <v>900</v>
      </c>
      <c r="B54" s="5023">
        <v>3</v>
      </c>
      <c r="C54" s="5023">
        <v>32</v>
      </c>
      <c r="D54" s="5018"/>
      <c r="E54" s="4306" t="s">
        <v>915</v>
      </c>
      <c r="F54" s="5023">
        <v>55</v>
      </c>
      <c r="G54" s="4305">
        <v>550</v>
      </c>
      <c r="H54" s="1379"/>
      <c r="I54" s="1379"/>
      <c r="J54" s="1379"/>
      <c r="K54" s="1379"/>
      <c r="L54" s="1379"/>
      <c r="M54" s="1379"/>
      <c r="N54" s="1379"/>
      <c r="O54" s="1379"/>
      <c r="Q54" s="5025"/>
      <c r="R54" s="5025"/>
    </row>
    <row r="55" spans="1:18" ht="15" customHeight="1" x14ac:dyDescent="0.25">
      <c r="A55" s="5034" t="s">
        <v>904</v>
      </c>
      <c r="B55" s="5023">
        <v>7</v>
      </c>
      <c r="C55" s="5023">
        <v>121</v>
      </c>
      <c r="D55" s="5018"/>
      <c r="E55" s="4306" t="s">
        <v>917</v>
      </c>
      <c r="F55" s="5023">
        <v>35</v>
      </c>
      <c r="G55" s="4305">
        <v>525</v>
      </c>
      <c r="H55" s="1379"/>
      <c r="I55" s="1379"/>
      <c r="J55" s="1379"/>
      <c r="K55" s="1379"/>
      <c r="L55" s="1379"/>
      <c r="M55" s="1379"/>
      <c r="N55" s="1379"/>
      <c r="O55" s="1379"/>
      <c r="Q55" s="5025"/>
      <c r="R55" s="5025"/>
    </row>
    <row r="56" spans="1:18" ht="15" customHeight="1" x14ac:dyDescent="0.25">
      <c r="A56" s="5034" t="s">
        <v>907</v>
      </c>
      <c r="B56" s="5023">
        <v>6</v>
      </c>
      <c r="C56" s="5023">
        <v>380</v>
      </c>
      <c r="D56" s="5018"/>
      <c r="E56" s="4306" t="s">
        <v>918</v>
      </c>
      <c r="F56" s="5023">
        <v>1580</v>
      </c>
      <c r="G56" s="4305">
        <v>1658</v>
      </c>
      <c r="H56" s="1379"/>
      <c r="I56" s="1379"/>
      <c r="J56" s="1379"/>
      <c r="K56" s="1379"/>
      <c r="L56" s="1379"/>
      <c r="M56" s="1379"/>
      <c r="N56" s="1379"/>
      <c r="O56" s="1379"/>
      <c r="Q56" s="5025"/>
      <c r="R56" s="5025"/>
    </row>
    <row r="57" spans="1:18" ht="15" customHeight="1" x14ac:dyDescent="0.25">
      <c r="A57" s="5034" t="s">
        <v>925</v>
      </c>
      <c r="B57" s="5023">
        <v>3</v>
      </c>
      <c r="C57" s="5023">
        <v>237</v>
      </c>
      <c r="D57" s="5018"/>
      <c r="E57" s="5037" t="s">
        <v>1548</v>
      </c>
      <c r="F57" s="5023">
        <v>2436</v>
      </c>
      <c r="G57" s="4305">
        <v>2436</v>
      </c>
      <c r="H57" s="1379"/>
      <c r="I57" s="1379"/>
      <c r="J57" s="1379"/>
      <c r="K57" s="1379"/>
      <c r="L57" s="1379"/>
      <c r="M57" s="1379"/>
      <c r="N57" s="1379"/>
      <c r="O57" s="1379"/>
      <c r="Q57" s="5025"/>
      <c r="R57" s="5025"/>
    </row>
    <row r="58" spans="1:18" ht="15" customHeight="1" x14ac:dyDescent="0.25">
      <c r="A58" s="5034" t="s">
        <v>916</v>
      </c>
      <c r="B58" s="5023">
        <v>12</v>
      </c>
      <c r="C58" s="5023">
        <v>694</v>
      </c>
      <c r="D58" s="5018"/>
      <c r="E58" s="4309" t="s">
        <v>920</v>
      </c>
      <c r="F58" s="5023">
        <v>5270</v>
      </c>
      <c r="G58" s="4305">
        <v>5270</v>
      </c>
      <c r="H58" s="1379"/>
      <c r="I58" s="5040"/>
      <c r="J58" s="1379"/>
      <c r="K58" s="1379"/>
      <c r="L58" s="1379"/>
      <c r="M58" s="1379"/>
      <c r="N58" s="1379"/>
      <c r="O58" s="1379"/>
      <c r="Q58" s="5025"/>
      <c r="R58" s="5025"/>
    </row>
    <row r="59" spans="1:18" ht="15" customHeight="1" x14ac:dyDescent="0.25">
      <c r="A59" s="5024" t="s">
        <v>12</v>
      </c>
      <c r="B59" s="5035">
        <f>SUM(B39:B58)</f>
        <v>152</v>
      </c>
      <c r="C59" s="4312">
        <f>SUM(C39:C58)</f>
        <v>14012</v>
      </c>
      <c r="D59" s="5018"/>
      <c r="E59" s="4306" t="s">
        <v>1549</v>
      </c>
      <c r="F59" s="5023">
        <v>6510</v>
      </c>
      <c r="G59" s="4305">
        <v>6510</v>
      </c>
      <c r="H59" s="1379"/>
      <c r="I59" s="1379"/>
      <c r="J59" s="1379"/>
      <c r="K59" s="1379"/>
      <c r="L59" s="1379"/>
      <c r="M59" s="1379"/>
      <c r="N59" s="1379"/>
      <c r="O59" s="1379"/>
      <c r="Q59" s="5025"/>
      <c r="R59" s="5025"/>
    </row>
    <row r="60" spans="1:18" ht="15" customHeight="1" x14ac:dyDescent="0.25">
      <c r="A60" s="7342" t="s">
        <v>919</v>
      </c>
      <c r="B60" s="7342"/>
      <c r="C60" s="7342"/>
      <c r="D60" s="5018"/>
      <c r="E60" s="5036" t="s">
        <v>1550</v>
      </c>
      <c r="F60" s="5039">
        <v>4507</v>
      </c>
      <c r="G60" s="4305">
        <v>4507</v>
      </c>
      <c r="H60" s="1379"/>
      <c r="I60" s="1379"/>
      <c r="J60" s="1379"/>
      <c r="K60" s="1379"/>
      <c r="L60" s="1379"/>
      <c r="M60" s="1379"/>
      <c r="N60" s="1379"/>
      <c r="O60" s="1379"/>
      <c r="Q60" s="5025"/>
      <c r="R60" s="5025"/>
    </row>
    <row r="61" spans="1:18" ht="15" customHeight="1" x14ac:dyDescent="0.25">
      <c r="A61" s="7343"/>
      <c r="B61" s="7343"/>
      <c r="C61" s="7343"/>
      <c r="D61" s="5018"/>
      <c r="E61" s="5037" t="s">
        <v>1551</v>
      </c>
      <c r="F61" s="5039">
        <v>19404</v>
      </c>
      <c r="G61" s="4305">
        <v>19404</v>
      </c>
      <c r="H61" s="1379"/>
      <c r="I61" s="1379"/>
      <c r="J61" s="1379"/>
      <c r="K61" s="1379"/>
      <c r="L61" s="1379"/>
      <c r="M61" s="1379"/>
      <c r="N61" s="1379"/>
      <c r="O61" s="1379"/>
      <c r="Q61" s="5025"/>
      <c r="R61" s="5025"/>
    </row>
    <row r="62" spans="1:18" ht="15" customHeight="1" x14ac:dyDescent="0.25">
      <c r="A62" s="5020"/>
      <c r="B62" s="5020"/>
      <c r="C62" s="5020"/>
      <c r="D62" s="5018"/>
      <c r="E62" s="5036" t="s">
        <v>1552</v>
      </c>
      <c r="F62" s="5039">
        <v>395</v>
      </c>
      <c r="G62" s="4305">
        <v>395</v>
      </c>
      <c r="H62" s="1379"/>
      <c r="I62" s="1379"/>
      <c r="J62" s="1379"/>
      <c r="K62" s="1379"/>
      <c r="L62" s="1379"/>
      <c r="M62" s="1379"/>
      <c r="N62" s="1379"/>
      <c r="O62" s="1379"/>
      <c r="Q62" s="5025"/>
      <c r="R62" s="5025"/>
    </row>
    <row r="63" spans="1:18" ht="15" customHeight="1" x14ac:dyDescent="0.25">
      <c r="D63" s="5018"/>
      <c r="E63" s="5036" t="s">
        <v>1553</v>
      </c>
      <c r="F63" s="5039">
        <v>2</v>
      </c>
      <c r="G63" s="4305">
        <v>120</v>
      </c>
      <c r="H63" s="1379"/>
      <c r="I63" s="1379"/>
      <c r="J63" s="1379"/>
      <c r="K63" s="1379"/>
      <c r="L63" s="1379"/>
      <c r="M63" s="1379"/>
      <c r="N63" s="1379"/>
      <c r="O63" s="1379"/>
      <c r="Q63" s="5025"/>
      <c r="R63" s="5025"/>
    </row>
    <row r="64" spans="1:18" ht="15" customHeight="1" x14ac:dyDescent="0.25">
      <c r="D64" s="5018"/>
      <c r="E64" s="4306" t="s">
        <v>922</v>
      </c>
      <c r="F64" s="5023">
        <v>137</v>
      </c>
      <c r="G64" s="4305">
        <v>15850</v>
      </c>
      <c r="H64" s="1379"/>
      <c r="I64" s="1379"/>
      <c r="J64" s="1379"/>
      <c r="K64" s="1379"/>
      <c r="L64" s="1379"/>
      <c r="M64" s="1379"/>
      <c r="N64" s="1379"/>
      <c r="O64" s="1379"/>
      <c r="Q64" s="5025"/>
      <c r="R64" s="5025"/>
    </row>
    <row r="65" spans="1:18" ht="15" customHeight="1" x14ac:dyDescent="0.25">
      <c r="A65" s="5018"/>
      <c r="B65" s="2801"/>
      <c r="C65" s="2801"/>
      <c r="D65" s="5018"/>
      <c r="E65" s="4306" t="s">
        <v>896</v>
      </c>
      <c r="F65" s="5023">
        <v>1634</v>
      </c>
      <c r="G65" s="4305">
        <v>3268</v>
      </c>
      <c r="H65" s="1379"/>
      <c r="I65" s="1379"/>
      <c r="J65" s="1379"/>
      <c r="K65" s="1379"/>
      <c r="L65" s="1379"/>
      <c r="M65" s="1379"/>
      <c r="N65" s="1379"/>
      <c r="O65" s="1379"/>
      <c r="Q65" s="5025"/>
      <c r="R65" s="5025"/>
    </row>
    <row r="66" spans="1:18" ht="15" customHeight="1" x14ac:dyDescent="0.25">
      <c r="A66" s="5018"/>
      <c r="B66" s="2801"/>
      <c r="C66" s="2801"/>
      <c r="D66" s="5018"/>
      <c r="E66" s="4306" t="s">
        <v>1554</v>
      </c>
      <c r="F66" s="5023">
        <v>2</v>
      </c>
      <c r="G66" s="4305">
        <v>10</v>
      </c>
      <c r="H66" s="1379"/>
      <c r="I66" s="1379"/>
      <c r="J66" s="1379"/>
      <c r="K66" s="1379"/>
      <c r="L66" s="1379"/>
      <c r="M66" s="1379"/>
      <c r="N66" s="1379"/>
      <c r="O66" s="1379"/>
      <c r="Q66" s="5025"/>
      <c r="R66" s="5025"/>
    </row>
    <row r="67" spans="1:18" ht="15" customHeight="1" x14ac:dyDescent="0.25">
      <c r="A67" s="5018"/>
      <c r="B67" s="2801"/>
      <c r="C67" s="2801"/>
      <c r="D67" s="5018"/>
      <c r="E67" s="4306" t="s">
        <v>923</v>
      </c>
      <c r="F67" s="5023">
        <v>136</v>
      </c>
      <c r="G67" s="4305">
        <v>2852</v>
      </c>
      <c r="H67" s="1379"/>
      <c r="I67" s="1379"/>
      <c r="J67" s="1379"/>
      <c r="K67" s="1379"/>
      <c r="L67" s="1379"/>
      <c r="M67" s="1379"/>
      <c r="N67" s="1379"/>
      <c r="O67" s="1379"/>
      <c r="Q67" s="5025"/>
      <c r="R67" s="5025"/>
    </row>
    <row r="68" spans="1:18" ht="15" customHeight="1" x14ac:dyDescent="0.25">
      <c r="A68" s="5018"/>
      <c r="B68" s="2801"/>
      <c r="C68" s="2801"/>
      <c r="D68" s="5018"/>
      <c r="E68" s="4301" t="s">
        <v>1555</v>
      </c>
      <c r="F68" s="5022">
        <v>1600</v>
      </c>
      <c r="G68" s="4305">
        <v>3200</v>
      </c>
      <c r="H68" s="1379"/>
      <c r="I68" s="1379"/>
      <c r="J68" s="1379"/>
      <c r="K68" s="1379"/>
      <c r="L68" s="1379"/>
      <c r="M68" s="1379"/>
      <c r="N68" s="1379"/>
      <c r="O68" s="1379"/>
      <c r="Q68" s="5025"/>
      <c r="R68" s="5025"/>
    </row>
    <row r="69" spans="1:18" ht="15" customHeight="1" x14ac:dyDescent="0.25">
      <c r="A69" s="5018"/>
      <c r="B69" s="1379"/>
      <c r="C69" s="1379"/>
      <c r="D69" s="1379"/>
      <c r="E69" s="4306" t="s">
        <v>1556</v>
      </c>
      <c r="F69" s="5023">
        <v>1890</v>
      </c>
      <c r="G69" s="4305">
        <v>8512</v>
      </c>
      <c r="H69" s="1379"/>
      <c r="I69" s="1379"/>
      <c r="J69" s="1379"/>
      <c r="K69" s="1379"/>
      <c r="L69" s="1379"/>
      <c r="M69" s="1379"/>
      <c r="N69" s="1379"/>
      <c r="O69" s="1379"/>
      <c r="Q69" s="5025"/>
      <c r="R69" s="5025"/>
    </row>
    <row r="70" spans="1:18" ht="15" customHeight="1" x14ac:dyDescent="0.25">
      <c r="A70" s="5018"/>
      <c r="B70" s="1379"/>
      <c r="C70" s="1379"/>
      <c r="D70" s="1379"/>
      <c r="E70" s="4306" t="s">
        <v>1557</v>
      </c>
      <c r="F70" s="5023"/>
      <c r="G70" s="4305">
        <v>5394</v>
      </c>
      <c r="H70" s="1379"/>
      <c r="I70" s="1379"/>
      <c r="J70" s="1379"/>
      <c r="K70" s="1379"/>
      <c r="L70" s="1379"/>
      <c r="M70" s="1379"/>
      <c r="N70" s="1379"/>
      <c r="O70" s="1379"/>
      <c r="Q70" s="5025"/>
      <c r="R70" s="5025"/>
    </row>
    <row r="71" spans="1:18" ht="15" customHeight="1" x14ac:dyDescent="0.25">
      <c r="A71" s="5018"/>
      <c r="B71" s="1379"/>
      <c r="C71" s="1379"/>
      <c r="D71" s="1379"/>
      <c r="E71" s="4306" t="s">
        <v>925</v>
      </c>
      <c r="F71" s="5023">
        <v>250</v>
      </c>
      <c r="G71" s="4305">
        <v>1000</v>
      </c>
      <c r="H71" s="1379"/>
      <c r="I71" s="1379"/>
      <c r="J71" s="1379"/>
      <c r="K71" s="1379"/>
      <c r="L71" s="1379"/>
      <c r="M71" s="1379"/>
      <c r="N71" s="1379"/>
      <c r="O71" s="1379"/>
      <c r="Q71" s="5025"/>
      <c r="R71" s="5025"/>
    </row>
    <row r="72" spans="1:18" ht="15" customHeight="1" x14ac:dyDescent="0.25">
      <c r="A72" s="5018"/>
      <c r="B72" s="1379"/>
      <c r="C72" s="1379"/>
      <c r="D72" s="1379"/>
      <c r="E72" s="4306" t="s">
        <v>916</v>
      </c>
      <c r="F72" s="5023">
        <v>852</v>
      </c>
      <c r="G72" s="4305">
        <v>8082</v>
      </c>
      <c r="H72" s="1379"/>
      <c r="I72" s="1379"/>
      <c r="J72" s="1379"/>
      <c r="K72" s="1379"/>
      <c r="L72" s="1379"/>
      <c r="M72" s="1379"/>
      <c r="N72" s="1379"/>
      <c r="O72" s="1379"/>
      <c r="Q72" s="5025"/>
      <c r="R72" s="5025"/>
    </row>
    <row r="73" spans="1:18" ht="15" customHeight="1" x14ac:dyDescent="0.3">
      <c r="A73" s="2142"/>
      <c r="B73" s="1379"/>
      <c r="C73" s="1379"/>
      <c r="D73" s="1379"/>
      <c r="E73" s="4306" t="s">
        <v>977</v>
      </c>
      <c r="F73" s="5023">
        <v>60</v>
      </c>
      <c r="G73" s="4305">
        <v>720</v>
      </c>
      <c r="H73" s="1379"/>
      <c r="I73" s="1379"/>
      <c r="J73" s="1379"/>
      <c r="K73" s="1379"/>
      <c r="L73" s="1379"/>
      <c r="M73" s="1379"/>
      <c r="N73" s="1379"/>
      <c r="O73" s="1379"/>
      <c r="Q73" s="5025"/>
      <c r="R73" s="5025"/>
    </row>
    <row r="74" spans="1:18" ht="15" customHeight="1" x14ac:dyDescent="0.3">
      <c r="A74" s="2142"/>
      <c r="B74" s="1379"/>
      <c r="C74" s="1379"/>
      <c r="D74" s="1379"/>
      <c r="E74" s="4306" t="s">
        <v>978</v>
      </c>
      <c r="F74" s="5023">
        <v>1</v>
      </c>
      <c r="G74" s="4305">
        <v>12</v>
      </c>
      <c r="H74" s="1379"/>
      <c r="I74" s="1379"/>
      <c r="J74" s="1379"/>
      <c r="K74" s="1379"/>
      <c r="L74" s="1379"/>
      <c r="M74" s="1379"/>
      <c r="N74" s="1379"/>
      <c r="O74" s="1379"/>
      <c r="Q74" s="5025"/>
      <c r="R74" s="5025"/>
    </row>
    <row r="75" spans="1:18" ht="15" customHeight="1" x14ac:dyDescent="0.3">
      <c r="A75" s="2142"/>
      <c r="B75" s="1379"/>
      <c r="C75" s="1379"/>
      <c r="D75" s="1379"/>
      <c r="E75" s="5024" t="s">
        <v>12</v>
      </c>
      <c r="F75" s="5035">
        <f>SUM(F39:F74)</f>
        <v>225035</v>
      </c>
      <c r="G75" s="4312">
        <f>SUM(G39:G74)</f>
        <v>480933</v>
      </c>
      <c r="H75" s="1379"/>
      <c r="I75" s="1379"/>
      <c r="J75" s="1379"/>
      <c r="K75" s="1379"/>
      <c r="L75" s="1379"/>
      <c r="M75" s="1379"/>
      <c r="N75" s="1379"/>
      <c r="O75" s="1379"/>
      <c r="Q75" s="5025"/>
      <c r="R75" s="5025"/>
    </row>
    <row r="76" spans="1:18" ht="18.75" x14ac:dyDescent="0.3">
      <c r="A76" s="2142"/>
      <c r="B76" s="1379"/>
      <c r="C76" s="1379"/>
      <c r="D76" s="1379"/>
      <c r="E76" s="1379"/>
      <c r="F76" s="1379"/>
      <c r="G76" s="1379"/>
      <c r="H76" s="1379"/>
      <c r="I76" s="1379"/>
      <c r="J76" s="1379"/>
      <c r="K76" s="1379"/>
      <c r="L76" s="1379"/>
      <c r="M76" s="1379"/>
      <c r="N76" s="1379"/>
      <c r="O76" s="1379"/>
      <c r="Q76" s="5025"/>
      <c r="R76" s="5025"/>
    </row>
    <row r="77" spans="1:18" ht="15" customHeight="1" x14ac:dyDescent="0.3">
      <c r="A77" s="2142"/>
      <c r="B77" s="1379"/>
      <c r="C77" s="1379"/>
      <c r="D77" s="1379"/>
      <c r="E77" s="1379"/>
      <c r="F77" s="1379"/>
      <c r="G77" s="1379"/>
      <c r="H77" s="1379"/>
      <c r="I77" s="1379"/>
      <c r="J77" s="1379"/>
      <c r="K77" s="1379"/>
      <c r="L77" s="1379"/>
      <c r="M77" s="1379"/>
      <c r="N77" s="1379"/>
      <c r="O77" s="1379"/>
      <c r="Q77" s="4267"/>
      <c r="R77" s="4267"/>
    </row>
    <row r="78" spans="1:18" x14ac:dyDescent="0.25">
      <c r="A78" s="7344" t="s">
        <v>1437</v>
      </c>
      <c r="B78" s="7345"/>
      <c r="C78" s="7346"/>
      <c r="D78" s="4264"/>
      <c r="E78" s="7347" t="s">
        <v>1436</v>
      </c>
      <c r="F78" s="7348"/>
      <c r="G78" s="7349"/>
      <c r="H78" s="1379"/>
      <c r="I78" s="7347" t="s">
        <v>1444</v>
      </c>
      <c r="J78" s="7348"/>
      <c r="K78" s="7348"/>
      <c r="L78" s="7349"/>
      <c r="M78" s="1379"/>
      <c r="N78" s="1379"/>
      <c r="O78" s="1379"/>
      <c r="Q78" s="4267"/>
      <c r="R78" s="4267"/>
    </row>
    <row r="79" spans="1:18" x14ac:dyDescent="0.25">
      <c r="A79" s="7350" t="s">
        <v>1429</v>
      </c>
      <c r="B79" s="7351"/>
      <c r="C79" s="7352"/>
      <c r="D79" s="4264"/>
      <c r="E79" s="7350" t="s">
        <v>862</v>
      </c>
      <c r="F79" s="7351"/>
      <c r="G79" s="7352"/>
      <c r="H79" s="1379"/>
      <c r="I79" s="7353" t="s">
        <v>582</v>
      </c>
      <c r="J79" s="7355" t="s">
        <v>863</v>
      </c>
      <c r="K79" s="7356" t="s">
        <v>869</v>
      </c>
      <c r="L79" s="7357"/>
      <c r="M79" s="1379"/>
      <c r="N79" s="1379"/>
      <c r="O79" s="1379"/>
      <c r="Q79" s="4267"/>
      <c r="R79" s="4267"/>
    </row>
    <row r="80" spans="1:18" ht="15" customHeight="1" x14ac:dyDescent="0.25">
      <c r="A80" s="7358" t="s">
        <v>865</v>
      </c>
      <c r="B80" s="7359" t="s">
        <v>866</v>
      </c>
      <c r="C80" s="7359" t="s">
        <v>867</v>
      </c>
      <c r="D80" s="4264"/>
      <c r="E80" s="7358" t="s">
        <v>582</v>
      </c>
      <c r="F80" s="7359" t="s">
        <v>868</v>
      </c>
      <c r="G80" s="7359" t="s">
        <v>869</v>
      </c>
      <c r="H80" s="1379"/>
      <c r="I80" s="7354"/>
      <c r="J80" s="7354"/>
      <c r="K80" s="4266" t="s">
        <v>927</v>
      </c>
      <c r="L80" s="4319" t="s">
        <v>979</v>
      </c>
      <c r="M80" s="1379"/>
      <c r="N80" s="1379"/>
      <c r="O80" s="1379"/>
      <c r="Q80" s="4267"/>
      <c r="R80" s="4267"/>
    </row>
    <row r="81" spans="1:18" x14ac:dyDescent="0.25">
      <c r="A81" s="7358"/>
      <c r="B81" s="7360"/>
      <c r="C81" s="7360"/>
      <c r="D81" s="4264"/>
      <c r="E81" s="7358"/>
      <c r="F81" s="7360"/>
      <c r="G81" s="7360"/>
      <c r="H81" s="1379"/>
      <c r="I81" s="7364" t="s">
        <v>586</v>
      </c>
      <c r="J81" s="4315" t="s">
        <v>1438</v>
      </c>
      <c r="K81" s="4316"/>
      <c r="L81" s="4317"/>
      <c r="M81" s="1379"/>
      <c r="N81" s="1379"/>
      <c r="O81" s="1379"/>
      <c r="Q81" s="4267"/>
      <c r="R81" s="4267"/>
    </row>
    <row r="82" spans="1:18" x14ac:dyDescent="0.25">
      <c r="A82" s="4301" t="s">
        <v>870</v>
      </c>
      <c r="B82" s="4302">
        <v>12</v>
      </c>
      <c r="C82" s="4303">
        <v>218</v>
      </c>
      <c r="D82" s="4264"/>
      <c r="E82" s="4304" t="s">
        <v>871</v>
      </c>
      <c r="F82" s="4304">
        <v>26457</v>
      </c>
      <c r="G82" s="4305">
        <v>26457</v>
      </c>
      <c r="H82" s="1379"/>
      <c r="I82" s="7365"/>
      <c r="J82" s="4315" t="s">
        <v>1439</v>
      </c>
      <c r="K82" s="4316"/>
      <c r="L82" s="4317"/>
      <c r="M82" s="1379"/>
      <c r="N82" s="1379"/>
      <c r="O82" s="1379"/>
      <c r="Q82" s="4267"/>
      <c r="R82" s="4267"/>
    </row>
    <row r="83" spans="1:18" x14ac:dyDescent="0.25">
      <c r="A83" s="4301" t="s">
        <v>932</v>
      </c>
      <c r="B83" s="4302">
        <v>1</v>
      </c>
      <c r="C83" s="4303">
        <v>55</v>
      </c>
      <c r="D83" s="4264"/>
      <c r="E83" s="4304" t="s">
        <v>1430</v>
      </c>
      <c r="F83" s="4304">
        <v>449</v>
      </c>
      <c r="G83" s="4305">
        <v>897</v>
      </c>
      <c r="H83" s="1379"/>
      <c r="I83" s="4306" t="s">
        <v>898</v>
      </c>
      <c r="J83" s="4315" t="s">
        <v>1440</v>
      </c>
      <c r="K83" s="4316">
        <v>5987</v>
      </c>
      <c r="L83" s="4317">
        <v>7150</v>
      </c>
      <c r="M83" s="1379"/>
      <c r="N83" s="1379"/>
      <c r="O83" s="1379"/>
      <c r="Q83" s="4267"/>
      <c r="R83" s="4267"/>
    </row>
    <row r="84" spans="1:18" x14ac:dyDescent="0.25">
      <c r="A84" s="4306" t="s">
        <v>873</v>
      </c>
      <c r="B84" s="4307">
        <v>6</v>
      </c>
      <c r="C84" s="4307">
        <v>350</v>
      </c>
      <c r="D84" s="4264"/>
      <c r="E84" s="4306" t="s">
        <v>874</v>
      </c>
      <c r="F84" s="4307">
        <v>5517</v>
      </c>
      <c r="G84" s="4307">
        <v>55170</v>
      </c>
      <c r="H84" s="1379"/>
      <c r="I84" s="7366" t="s">
        <v>902</v>
      </c>
      <c r="J84" s="4315" t="s">
        <v>1441</v>
      </c>
      <c r="K84" s="4316">
        <v>3846</v>
      </c>
      <c r="L84" s="4317">
        <v>7150</v>
      </c>
      <c r="M84" s="1379"/>
      <c r="N84" s="1379"/>
      <c r="O84" s="1379"/>
      <c r="Q84" s="4267"/>
      <c r="R84" s="4267"/>
    </row>
    <row r="85" spans="1:18" x14ac:dyDescent="0.25">
      <c r="A85" s="4306" t="s">
        <v>1431</v>
      </c>
      <c r="B85" s="4307">
        <v>10</v>
      </c>
      <c r="C85" s="4307">
        <v>233</v>
      </c>
      <c r="D85" s="4264"/>
      <c r="E85" s="4306" t="s">
        <v>879</v>
      </c>
      <c r="F85" s="4307">
        <v>25</v>
      </c>
      <c r="G85" s="4307">
        <v>300</v>
      </c>
      <c r="H85" s="1379"/>
      <c r="I85" s="7367"/>
      <c r="J85" s="4315" t="s">
        <v>1442</v>
      </c>
      <c r="K85" s="4316"/>
      <c r="L85" s="4317"/>
      <c r="M85" s="1379"/>
      <c r="N85" s="1379"/>
      <c r="O85" s="1379"/>
      <c r="Q85" s="4267"/>
      <c r="R85" s="4267"/>
    </row>
    <row r="86" spans="1:18" x14ac:dyDescent="0.25">
      <c r="A86" s="4306" t="s">
        <v>878</v>
      </c>
      <c r="B86" s="4307">
        <v>1</v>
      </c>
      <c r="C86" s="4307">
        <v>16</v>
      </c>
      <c r="D86" s="4264"/>
      <c r="E86" s="4308" t="s">
        <v>1432</v>
      </c>
      <c r="F86" s="4308">
        <v>440</v>
      </c>
      <c r="G86" s="4308">
        <v>440</v>
      </c>
      <c r="H86" s="1379"/>
      <c r="I86" s="4318" t="s">
        <v>909</v>
      </c>
      <c r="J86" s="4315"/>
      <c r="K86" s="4316"/>
      <c r="L86" s="4317"/>
      <c r="M86" s="1379"/>
      <c r="N86" s="1379"/>
      <c r="O86" s="1379"/>
      <c r="Q86" s="4267"/>
      <c r="R86" s="4267"/>
    </row>
    <row r="87" spans="1:18" x14ac:dyDescent="0.25">
      <c r="A87" s="4306" t="s">
        <v>880</v>
      </c>
      <c r="B87" s="4307">
        <v>22</v>
      </c>
      <c r="C87" s="4307">
        <v>6010</v>
      </c>
      <c r="D87" s="4264"/>
      <c r="E87" s="4308" t="s">
        <v>885</v>
      </c>
      <c r="F87" s="4308">
        <v>2</v>
      </c>
      <c r="G87" s="4308">
        <v>60</v>
      </c>
      <c r="H87" s="1379"/>
      <c r="I87" s="7368" t="s">
        <v>1443</v>
      </c>
      <c r="J87" s="7369" t="s">
        <v>913</v>
      </c>
      <c r="K87" s="7370">
        <v>1133</v>
      </c>
      <c r="L87" s="7371">
        <v>4450</v>
      </c>
      <c r="M87" s="1379"/>
      <c r="N87" s="1379"/>
      <c r="O87" s="1379"/>
      <c r="Q87" s="4267"/>
      <c r="R87" s="4267"/>
    </row>
    <row r="88" spans="1:18" x14ac:dyDescent="0.25">
      <c r="A88" s="4306" t="s">
        <v>884</v>
      </c>
      <c r="B88" s="4307">
        <v>14</v>
      </c>
      <c r="C88" s="4307">
        <v>3207</v>
      </c>
      <c r="D88" s="4264"/>
      <c r="E88" s="4308" t="s">
        <v>878</v>
      </c>
      <c r="F88" s="4308">
        <v>562</v>
      </c>
      <c r="G88" s="4308">
        <v>1942</v>
      </c>
      <c r="H88" s="1379"/>
      <c r="I88" s="7368"/>
      <c r="J88" s="7369"/>
      <c r="K88" s="7370"/>
      <c r="L88" s="7371"/>
      <c r="M88" s="1379"/>
      <c r="N88" s="1379"/>
      <c r="O88" s="1379"/>
      <c r="Q88" s="4267"/>
      <c r="R88" s="4267"/>
    </row>
    <row r="89" spans="1:18" x14ac:dyDescent="0.25">
      <c r="A89" s="4306" t="s">
        <v>887</v>
      </c>
      <c r="B89" s="4307">
        <v>4</v>
      </c>
      <c r="C89" s="4307">
        <v>1116</v>
      </c>
      <c r="D89" s="4264"/>
      <c r="E89" s="4306" t="s">
        <v>889</v>
      </c>
      <c r="F89" s="4307">
        <v>6055</v>
      </c>
      <c r="G89" s="4307">
        <v>6055</v>
      </c>
      <c r="H89" s="1379"/>
      <c r="I89" s="7368"/>
      <c r="J89" s="7369"/>
      <c r="K89" s="7370"/>
      <c r="L89" s="7371"/>
      <c r="M89" s="1379"/>
      <c r="N89" s="1379"/>
      <c r="O89" s="1379"/>
      <c r="Q89" s="4267"/>
      <c r="R89" s="4267"/>
    </row>
    <row r="90" spans="1:18" x14ac:dyDescent="0.25">
      <c r="A90" s="4306" t="s">
        <v>957</v>
      </c>
      <c r="B90" s="4307">
        <v>1</v>
      </c>
      <c r="C90" s="4307">
        <v>15</v>
      </c>
      <c r="D90" s="4264"/>
      <c r="E90" s="4306" t="s">
        <v>891</v>
      </c>
      <c r="F90" s="4307">
        <v>809</v>
      </c>
      <c r="G90" s="4307">
        <v>4121</v>
      </c>
      <c r="H90" s="1379"/>
      <c r="I90" s="7368"/>
      <c r="J90" s="7369"/>
      <c r="K90" s="7370"/>
      <c r="L90" s="7371"/>
      <c r="M90" s="1379"/>
      <c r="N90" s="1379"/>
      <c r="O90" s="1379"/>
      <c r="Q90" s="4267"/>
      <c r="R90" s="4267"/>
    </row>
    <row r="91" spans="1:18" x14ac:dyDescent="0.25">
      <c r="A91" s="4306" t="s">
        <v>1433</v>
      </c>
      <c r="B91" s="4307">
        <v>1</v>
      </c>
      <c r="C91" s="4307">
        <v>36</v>
      </c>
      <c r="D91" s="4264"/>
      <c r="E91" s="4306" t="s">
        <v>880</v>
      </c>
      <c r="F91" s="4307">
        <v>1046</v>
      </c>
      <c r="G91" s="4307">
        <v>7522</v>
      </c>
      <c r="H91" s="1379"/>
      <c r="M91" s="1379"/>
      <c r="N91" s="1379"/>
      <c r="O91" s="1379"/>
      <c r="Q91" s="4267"/>
      <c r="R91" s="4267"/>
    </row>
    <row r="92" spans="1:18" x14ac:dyDescent="0.25">
      <c r="A92" s="4306" t="s">
        <v>1434</v>
      </c>
      <c r="B92" s="4307">
        <v>2</v>
      </c>
      <c r="C92" s="4307">
        <v>260</v>
      </c>
      <c r="D92" s="4264"/>
      <c r="E92" s="4306" t="s">
        <v>887</v>
      </c>
      <c r="F92" s="4307">
        <v>1036</v>
      </c>
      <c r="G92" s="4307">
        <v>15964</v>
      </c>
      <c r="H92" s="1379"/>
      <c r="J92" s="4310" t="s">
        <v>12</v>
      </c>
      <c r="K92" s="4312">
        <f>SUM(K81:K89)</f>
        <v>10966</v>
      </c>
      <c r="L92" s="4312">
        <v>18750</v>
      </c>
      <c r="M92" s="1379"/>
      <c r="N92" s="1379"/>
      <c r="O92" s="1379"/>
      <c r="Q92" s="4267"/>
      <c r="R92" s="4267"/>
    </row>
    <row r="93" spans="1:18" x14ac:dyDescent="0.25">
      <c r="A93" s="4306" t="s">
        <v>892</v>
      </c>
      <c r="B93" s="4307">
        <v>2</v>
      </c>
      <c r="C93" s="4307">
        <v>530</v>
      </c>
      <c r="D93" s="4264"/>
      <c r="E93" s="4306" t="s">
        <v>897</v>
      </c>
      <c r="F93" s="4307">
        <v>246</v>
      </c>
      <c r="G93" s="4307">
        <v>3291</v>
      </c>
      <c r="H93" s="1379"/>
      <c r="I93" s="1379"/>
      <c r="J93" s="1379"/>
      <c r="K93" s="1379"/>
      <c r="L93" s="1379"/>
      <c r="M93" s="1379"/>
      <c r="N93" s="1379"/>
      <c r="O93" s="1379"/>
      <c r="Q93" s="4267"/>
      <c r="R93" s="4267"/>
    </row>
    <row r="94" spans="1:18" x14ac:dyDescent="0.25">
      <c r="A94" s="4306" t="s">
        <v>1435</v>
      </c>
      <c r="B94" s="4307">
        <v>1</v>
      </c>
      <c r="C94" s="4307">
        <v>175</v>
      </c>
      <c r="D94" s="4264"/>
      <c r="E94" s="4306" t="s">
        <v>901</v>
      </c>
      <c r="F94" s="4307">
        <v>296379</v>
      </c>
      <c r="G94" s="4307">
        <v>296379</v>
      </c>
      <c r="H94" s="1379"/>
      <c r="I94" s="1379"/>
      <c r="J94" s="1379"/>
      <c r="K94" s="1379"/>
      <c r="L94" s="1379"/>
      <c r="M94" s="1379"/>
      <c r="N94" s="1379"/>
      <c r="O94" s="1379"/>
      <c r="Q94" s="4267"/>
      <c r="R94" s="4267"/>
    </row>
    <row r="95" spans="1:18" x14ac:dyDescent="0.25">
      <c r="A95" s="4306" t="s">
        <v>894</v>
      </c>
      <c r="B95" s="4307">
        <v>6</v>
      </c>
      <c r="C95" s="4307">
        <v>107</v>
      </c>
      <c r="D95" s="4264"/>
      <c r="E95" s="4306" t="s">
        <v>908</v>
      </c>
      <c r="F95" s="4307">
        <v>185</v>
      </c>
      <c r="G95" s="4307">
        <v>740</v>
      </c>
      <c r="H95" s="1379"/>
      <c r="I95" s="1379"/>
      <c r="J95" s="1379"/>
      <c r="K95" s="1379"/>
      <c r="L95" s="1379"/>
      <c r="M95" s="1379"/>
      <c r="N95" s="1379"/>
      <c r="O95" s="1379"/>
      <c r="Q95" s="4267"/>
      <c r="R95" s="4267"/>
    </row>
    <row r="96" spans="1:18" x14ac:dyDescent="0.25">
      <c r="A96" s="4306" t="s">
        <v>896</v>
      </c>
      <c r="B96" s="4307">
        <v>6</v>
      </c>
      <c r="C96" s="4307">
        <v>110</v>
      </c>
      <c r="D96" s="4264"/>
      <c r="E96" s="4306" t="s">
        <v>915</v>
      </c>
      <c r="F96" s="4307">
        <v>39</v>
      </c>
      <c r="G96" s="4307">
        <v>234</v>
      </c>
      <c r="H96" s="1379"/>
      <c r="I96" s="1379"/>
      <c r="J96" s="1379"/>
      <c r="K96" s="1379"/>
      <c r="L96" s="1379"/>
      <c r="M96" s="1379"/>
      <c r="N96" s="1379"/>
      <c r="O96" s="1379"/>
      <c r="Q96" s="4267"/>
      <c r="R96" s="4267"/>
    </row>
    <row r="97" spans="1:18" x14ac:dyDescent="0.25">
      <c r="A97" s="4306" t="s">
        <v>900</v>
      </c>
      <c r="B97" s="4307">
        <v>3</v>
      </c>
      <c r="C97" s="4307">
        <v>46</v>
      </c>
      <c r="D97" s="4264"/>
      <c r="E97" s="4306" t="s">
        <v>917</v>
      </c>
      <c r="F97" s="4307">
        <v>63</v>
      </c>
      <c r="G97" s="4307">
        <v>1260</v>
      </c>
      <c r="H97" s="1379"/>
      <c r="I97" s="1379"/>
      <c r="J97" s="1379"/>
      <c r="K97" s="1379"/>
      <c r="L97" s="1379"/>
      <c r="M97" s="1379"/>
      <c r="N97" s="1379"/>
      <c r="O97" s="1379"/>
      <c r="Q97" s="4267"/>
      <c r="R97" s="4267"/>
    </row>
    <row r="98" spans="1:18" x14ac:dyDescent="0.25">
      <c r="A98" s="4306" t="s">
        <v>904</v>
      </c>
      <c r="B98" s="4307">
        <v>7</v>
      </c>
      <c r="C98" s="4307">
        <v>108</v>
      </c>
      <c r="D98" s="4264"/>
      <c r="E98" s="4306" t="s">
        <v>918</v>
      </c>
      <c r="F98" s="4307">
        <v>2265</v>
      </c>
      <c r="G98" s="4307">
        <v>2265</v>
      </c>
      <c r="H98" s="1379"/>
      <c r="I98" s="1379"/>
      <c r="J98" s="1379"/>
      <c r="K98" s="1379"/>
      <c r="L98" s="1379"/>
      <c r="M98" s="1379"/>
      <c r="N98" s="1379"/>
      <c r="O98" s="1379"/>
      <c r="Q98" s="4267"/>
      <c r="R98" s="4267"/>
    </row>
    <row r="99" spans="1:18" ht="25.5" x14ac:dyDescent="0.25">
      <c r="A99" s="4309" t="s">
        <v>907</v>
      </c>
      <c r="B99" s="4307">
        <v>4</v>
      </c>
      <c r="C99" s="4307">
        <v>348</v>
      </c>
      <c r="D99" s="4264"/>
      <c r="E99" s="4309" t="s">
        <v>920</v>
      </c>
      <c r="F99" s="4307">
        <v>55700</v>
      </c>
      <c r="G99" s="4307">
        <v>55700</v>
      </c>
      <c r="H99" s="1379"/>
      <c r="I99" s="1379"/>
      <c r="J99" s="1379"/>
      <c r="K99" s="1379"/>
      <c r="L99" s="1379"/>
      <c r="M99" s="1379"/>
      <c r="N99" s="1379"/>
      <c r="O99" s="1379"/>
      <c r="Q99" s="4267"/>
      <c r="R99" s="4267"/>
    </row>
    <row r="100" spans="1:18" x14ac:dyDescent="0.25">
      <c r="A100" s="4306" t="s">
        <v>910</v>
      </c>
      <c r="B100" s="4307">
        <v>8</v>
      </c>
      <c r="C100" s="4307">
        <v>125</v>
      </c>
      <c r="D100" s="4264"/>
      <c r="E100" s="4306" t="s">
        <v>921</v>
      </c>
      <c r="F100" s="4307">
        <v>1821</v>
      </c>
      <c r="G100" s="4307">
        <v>1821</v>
      </c>
      <c r="H100" s="1379"/>
      <c r="I100" s="1379"/>
      <c r="J100" s="1379"/>
      <c r="K100" s="1379"/>
      <c r="L100" s="1379"/>
      <c r="M100" s="1379"/>
      <c r="N100" s="1379"/>
      <c r="O100" s="1379"/>
      <c r="Q100" s="4267"/>
      <c r="R100" s="4267"/>
    </row>
    <row r="101" spans="1:18" x14ac:dyDescent="0.25">
      <c r="A101" s="4302" t="s">
        <v>914</v>
      </c>
      <c r="B101" s="4307">
        <v>6</v>
      </c>
      <c r="C101" s="4307">
        <v>120</v>
      </c>
      <c r="D101" s="4264"/>
      <c r="E101" s="4306" t="s">
        <v>922</v>
      </c>
      <c r="F101" s="4307">
        <v>16238</v>
      </c>
      <c r="G101" s="4307">
        <v>16238</v>
      </c>
      <c r="H101" s="1379"/>
      <c r="I101" s="1379"/>
      <c r="J101" s="1379"/>
      <c r="K101" s="1379"/>
      <c r="L101" s="1379"/>
      <c r="M101" s="1379"/>
      <c r="N101" s="1379"/>
      <c r="O101" s="1379"/>
      <c r="Q101" s="4267"/>
      <c r="R101" s="4267"/>
    </row>
    <row r="102" spans="1:18" x14ac:dyDescent="0.25">
      <c r="A102" s="4302" t="s">
        <v>916</v>
      </c>
      <c r="B102" s="4307">
        <v>7</v>
      </c>
      <c r="C102" s="4307">
        <v>308</v>
      </c>
      <c r="D102" s="4264"/>
      <c r="E102" s="4306" t="s">
        <v>896</v>
      </c>
      <c r="F102" s="4307">
        <v>5792</v>
      </c>
      <c r="G102" s="4307">
        <v>11596</v>
      </c>
      <c r="H102" s="1379"/>
      <c r="I102" s="1379"/>
      <c r="J102" s="1379"/>
      <c r="K102" s="1379"/>
      <c r="L102" s="1379"/>
      <c r="M102" s="1379"/>
      <c r="N102" s="1379"/>
      <c r="O102" s="1379"/>
      <c r="Q102" s="4267"/>
      <c r="R102" s="4267"/>
    </row>
    <row r="103" spans="1:18" x14ac:dyDescent="0.25">
      <c r="A103" s="4308" t="s">
        <v>1007</v>
      </c>
      <c r="B103" s="4308">
        <v>2</v>
      </c>
      <c r="C103" s="4308">
        <v>41</v>
      </c>
      <c r="D103" s="4264"/>
      <c r="E103" s="4306" t="s">
        <v>923</v>
      </c>
      <c r="F103" s="4307">
        <v>106</v>
      </c>
      <c r="G103" s="4307">
        <v>1630</v>
      </c>
      <c r="H103" s="1379"/>
      <c r="I103" s="1379"/>
      <c r="J103" s="1379"/>
      <c r="K103" s="1379"/>
      <c r="L103" s="1379"/>
      <c r="M103" s="1379"/>
      <c r="N103" s="1379"/>
      <c r="O103" s="1379"/>
      <c r="Q103" s="4267"/>
      <c r="R103" s="4267"/>
    </row>
    <row r="104" spans="1:18" x14ac:dyDescent="0.25">
      <c r="A104" s="4310" t="s">
        <v>12</v>
      </c>
      <c r="B104" s="4311">
        <f>SUM(B82:B102)</f>
        <v>124</v>
      </c>
      <c r="C104" s="4312">
        <f>SUM(C82:C102)</f>
        <v>13493</v>
      </c>
      <c r="D104" s="4264"/>
      <c r="E104" s="4301" t="s">
        <v>900</v>
      </c>
      <c r="F104" s="4302">
        <v>825</v>
      </c>
      <c r="G104" s="4303">
        <v>1650</v>
      </c>
      <c r="H104" s="1379"/>
      <c r="I104" s="1379"/>
      <c r="J104" s="1379"/>
      <c r="K104" s="1379"/>
      <c r="L104" s="1379"/>
      <c r="M104" s="1379"/>
      <c r="N104" s="1379"/>
      <c r="O104" s="1379"/>
      <c r="Q104" s="4267"/>
      <c r="R104" s="4267"/>
    </row>
    <row r="105" spans="1:18" x14ac:dyDescent="0.25">
      <c r="A105" s="7342" t="s">
        <v>919</v>
      </c>
      <c r="B105" s="7342"/>
      <c r="C105" s="7342"/>
      <c r="D105" s="4264"/>
      <c r="E105" s="4306" t="s">
        <v>904</v>
      </c>
      <c r="F105" s="4307">
        <v>3758</v>
      </c>
      <c r="G105" s="4307">
        <v>13976</v>
      </c>
      <c r="H105" s="1379"/>
      <c r="I105" s="1379"/>
      <c r="J105" s="1379"/>
      <c r="K105" s="1379"/>
      <c r="L105" s="1379"/>
      <c r="M105" s="1379"/>
      <c r="N105" s="1379"/>
      <c r="O105" s="1379"/>
      <c r="Q105" s="4267"/>
      <c r="R105" s="4267"/>
    </row>
    <row r="106" spans="1:18" x14ac:dyDescent="0.25">
      <c r="A106" s="7343"/>
      <c r="B106" s="7343"/>
      <c r="C106" s="7343"/>
      <c r="D106" s="4264"/>
      <c r="E106" s="4306" t="s">
        <v>925</v>
      </c>
      <c r="F106" s="4307">
        <v>100</v>
      </c>
      <c r="G106" s="4307">
        <v>400</v>
      </c>
      <c r="H106" s="1379"/>
      <c r="I106" s="1379"/>
      <c r="J106" s="1379"/>
      <c r="K106" s="1379"/>
      <c r="L106" s="1379"/>
      <c r="M106" s="1379"/>
      <c r="N106" s="1379"/>
      <c r="O106" s="1379"/>
      <c r="Q106" s="4267"/>
      <c r="R106" s="4267"/>
    </row>
    <row r="107" spans="1:18" x14ac:dyDescent="0.25">
      <c r="A107" s="4264"/>
      <c r="B107" s="2801"/>
      <c r="C107" s="2801"/>
      <c r="D107" s="4264"/>
      <c r="E107" s="4306" t="s">
        <v>916</v>
      </c>
      <c r="F107" s="4307">
        <v>589</v>
      </c>
      <c r="G107" s="4307">
        <v>6099</v>
      </c>
      <c r="H107" s="1379"/>
      <c r="I107" s="1379"/>
      <c r="J107" s="1379"/>
      <c r="K107" s="1379"/>
      <c r="L107" s="1379"/>
      <c r="M107" s="1379"/>
      <c r="N107" s="1379"/>
      <c r="O107" s="1379"/>
      <c r="Q107" s="4267"/>
      <c r="R107" s="4267"/>
    </row>
    <row r="108" spans="1:18" x14ac:dyDescent="0.25">
      <c r="A108" s="4264"/>
      <c r="B108" s="2801"/>
      <c r="C108" s="2801"/>
      <c r="D108" s="4264"/>
      <c r="E108" s="4306" t="s">
        <v>977</v>
      </c>
      <c r="F108" s="4307">
        <v>5400</v>
      </c>
      <c r="G108" s="4307">
        <v>5400</v>
      </c>
      <c r="H108" s="1379"/>
      <c r="I108" s="1379"/>
      <c r="J108" s="1379"/>
      <c r="K108" s="1379"/>
      <c r="L108" s="1379"/>
      <c r="M108" s="1379"/>
      <c r="N108" s="1379"/>
      <c r="O108" s="1379"/>
      <c r="Q108" s="4267"/>
      <c r="R108" s="4267"/>
    </row>
    <row r="109" spans="1:18" x14ac:dyDescent="0.25">
      <c r="A109" s="4264"/>
      <c r="B109" s="2801"/>
      <c r="C109" s="2801"/>
      <c r="D109" s="4264"/>
      <c r="E109" s="4306" t="s">
        <v>978</v>
      </c>
      <c r="F109" s="4307">
        <v>9000</v>
      </c>
      <c r="G109" s="4307">
        <v>9000</v>
      </c>
      <c r="H109" s="1379"/>
      <c r="I109" s="1379"/>
      <c r="J109" s="1379"/>
      <c r="K109" s="1379"/>
      <c r="L109" s="1379"/>
      <c r="M109" s="1379"/>
      <c r="N109" s="1379"/>
      <c r="O109" s="1379"/>
      <c r="Q109" s="4267"/>
      <c r="R109" s="4267"/>
    </row>
    <row r="110" spans="1:18" x14ac:dyDescent="0.25">
      <c r="A110" s="4264"/>
      <c r="B110" s="2801"/>
      <c r="C110" s="2801"/>
      <c r="D110" s="4264"/>
      <c r="E110" s="4310" t="s">
        <v>12</v>
      </c>
      <c r="F110" s="4311">
        <f>SUM(F82:F109)</f>
        <v>440904</v>
      </c>
      <c r="G110" s="4312">
        <f>SUM(G82:G109)</f>
        <v>546607</v>
      </c>
      <c r="H110" s="1379"/>
      <c r="I110" s="1379"/>
      <c r="J110" s="1379"/>
      <c r="K110" s="1379"/>
      <c r="L110" s="1379"/>
      <c r="M110" s="1379"/>
      <c r="N110" s="1379"/>
      <c r="O110" s="1379"/>
      <c r="Q110" s="4267"/>
      <c r="R110" s="4267"/>
    </row>
    <row r="111" spans="1:18" x14ac:dyDescent="0.25">
      <c r="A111" s="4264"/>
      <c r="B111" s="2801"/>
      <c r="C111" s="2801"/>
      <c r="D111" s="4264"/>
      <c r="E111" s="4264"/>
      <c r="F111" s="4264"/>
      <c r="G111" s="4264"/>
      <c r="H111" s="1379"/>
      <c r="I111" s="1379"/>
      <c r="J111" s="1379"/>
      <c r="K111" s="1379"/>
      <c r="L111" s="1379"/>
      <c r="M111" s="1379"/>
      <c r="N111" s="1379"/>
      <c r="O111" s="1379"/>
      <c r="Q111" s="4267"/>
      <c r="R111" s="4267"/>
    </row>
    <row r="112" spans="1:18" x14ac:dyDescent="0.25">
      <c r="A112" s="4267"/>
      <c r="B112" s="4267"/>
      <c r="C112" s="4267"/>
      <c r="D112" s="4267"/>
      <c r="E112" s="4267"/>
      <c r="F112" s="4267"/>
      <c r="G112" s="4267"/>
      <c r="H112" s="1379"/>
      <c r="I112" s="2767"/>
      <c r="J112" s="2767"/>
      <c r="K112" s="2767"/>
      <c r="L112" s="2767"/>
      <c r="M112" s="2767"/>
      <c r="N112" s="2767"/>
      <c r="O112" s="2767"/>
    </row>
    <row r="113" spans="1:18" x14ac:dyDescent="0.25">
      <c r="A113" s="7347" t="s">
        <v>861</v>
      </c>
      <c r="B113" s="7348"/>
      <c r="C113" s="7349"/>
      <c r="D113" s="4264"/>
      <c r="E113" s="7347" t="s">
        <v>1061</v>
      </c>
      <c r="F113" s="7348"/>
      <c r="G113" s="7349"/>
      <c r="H113" s="2767"/>
      <c r="I113" s="7381" t="s">
        <v>1062</v>
      </c>
      <c r="J113" s="7382"/>
      <c r="K113" s="7382"/>
      <c r="L113" s="7383"/>
      <c r="M113" s="2921"/>
      <c r="N113" s="2921"/>
      <c r="O113" s="2921"/>
      <c r="P113" s="2790"/>
      <c r="Q113" s="2790"/>
      <c r="R113" s="2924"/>
    </row>
    <row r="114" spans="1:18" x14ac:dyDescent="0.25">
      <c r="A114" s="7350" t="s">
        <v>1069</v>
      </c>
      <c r="B114" s="7351"/>
      <c r="C114" s="7352"/>
      <c r="D114" s="4264"/>
      <c r="E114" s="7350" t="s">
        <v>862</v>
      </c>
      <c r="F114" s="7351"/>
      <c r="G114" s="7352"/>
      <c r="H114" s="2929"/>
      <c r="I114" s="7466" t="s">
        <v>582</v>
      </c>
      <c r="J114" s="7466" t="s">
        <v>863</v>
      </c>
      <c r="K114" s="7467" t="s">
        <v>864</v>
      </c>
      <c r="L114" s="7468"/>
      <c r="M114" s="2921"/>
      <c r="N114" s="2921"/>
      <c r="O114" s="2921"/>
      <c r="P114" s="2921"/>
      <c r="Q114" s="2921"/>
    </row>
    <row r="115" spans="1:18" ht="15" customHeight="1" x14ac:dyDescent="0.25">
      <c r="A115" s="7355" t="s">
        <v>865</v>
      </c>
      <c r="B115" s="7359" t="s">
        <v>866</v>
      </c>
      <c r="C115" s="7359" t="s">
        <v>867</v>
      </c>
      <c r="D115" s="4264"/>
      <c r="E115" s="7355" t="s">
        <v>582</v>
      </c>
      <c r="F115" s="7359" t="s">
        <v>868</v>
      </c>
      <c r="G115" s="7359" t="s">
        <v>869</v>
      </c>
      <c r="H115" s="2929"/>
      <c r="I115" s="7354"/>
      <c r="J115" s="7354"/>
      <c r="K115" s="2898" t="s">
        <v>745</v>
      </c>
      <c r="L115" s="2923" t="s">
        <v>746</v>
      </c>
      <c r="M115" s="2921"/>
      <c r="N115" s="2921"/>
      <c r="O115" s="2921"/>
      <c r="P115" s="2921"/>
      <c r="Q115" s="2921"/>
    </row>
    <row r="116" spans="1:18" x14ac:dyDescent="0.25">
      <c r="A116" s="7354"/>
      <c r="B116" s="7360"/>
      <c r="C116" s="7360"/>
      <c r="D116" s="4264"/>
      <c r="E116" s="7354"/>
      <c r="F116" s="7360"/>
      <c r="G116" s="7360"/>
      <c r="H116" s="2899"/>
      <c r="I116" s="2896"/>
      <c r="J116" s="2896"/>
      <c r="K116" s="2896"/>
      <c r="L116" s="2922"/>
      <c r="M116" s="2921"/>
      <c r="N116" s="2921"/>
      <c r="O116" s="2921"/>
      <c r="P116" s="2921"/>
      <c r="Q116" s="2921"/>
    </row>
    <row r="117" spans="1:18" x14ac:dyDescent="0.25">
      <c r="A117" s="2876" t="s">
        <v>870</v>
      </c>
      <c r="B117" s="2871">
        <f>2+2+1+4</f>
        <v>9</v>
      </c>
      <c r="C117" s="2895">
        <f>40+36+20+82</f>
        <v>178</v>
      </c>
      <c r="D117" s="4264"/>
      <c r="E117" s="2860" t="s">
        <v>871</v>
      </c>
      <c r="F117" s="2860">
        <v>85</v>
      </c>
      <c r="G117" s="2894">
        <v>1700</v>
      </c>
      <c r="H117" s="2897"/>
      <c r="I117" s="2896" t="s">
        <v>809</v>
      </c>
      <c r="J117" s="7372" t="s">
        <v>872</v>
      </c>
      <c r="K117" s="7463">
        <v>1876</v>
      </c>
      <c r="L117" s="7455">
        <v>2755</v>
      </c>
      <c r="M117" s="2921"/>
      <c r="N117" s="2921"/>
      <c r="O117" s="2921"/>
      <c r="P117" s="2921"/>
      <c r="Q117" s="2921"/>
    </row>
    <row r="118" spans="1:18" ht="15" customHeight="1" x14ac:dyDescent="0.25">
      <c r="A118" s="2893" t="s">
        <v>873</v>
      </c>
      <c r="B118" s="4265">
        <f>0+1+3+0+4</f>
        <v>8</v>
      </c>
      <c r="C118" s="4265">
        <f>0+18+145+0+308</f>
        <v>471</v>
      </c>
      <c r="D118" s="4264"/>
      <c r="E118" s="2893" t="s">
        <v>874</v>
      </c>
      <c r="F118" s="4265">
        <f>4213+212+280+2034</f>
        <v>6739</v>
      </c>
      <c r="G118" s="4265">
        <f>42130+2120+1120+20340</f>
        <v>65710</v>
      </c>
      <c r="H118" s="2929"/>
      <c r="I118" s="7372" t="s">
        <v>875</v>
      </c>
      <c r="J118" s="7373"/>
      <c r="K118" s="7464"/>
      <c r="L118" s="7456"/>
      <c r="M118" s="2921"/>
      <c r="N118" s="2921"/>
      <c r="O118" s="2921"/>
      <c r="P118" s="2921"/>
      <c r="Q118" s="2921"/>
    </row>
    <row r="119" spans="1:18" x14ac:dyDescent="0.25">
      <c r="A119" s="2893" t="s">
        <v>876</v>
      </c>
      <c r="B119" s="4265">
        <v>2</v>
      </c>
      <c r="C119" s="4265">
        <v>34</v>
      </c>
      <c r="D119" s="4264"/>
      <c r="E119" s="2893" t="s">
        <v>877</v>
      </c>
      <c r="F119" s="4265">
        <v>60</v>
      </c>
      <c r="G119" s="4265">
        <v>60</v>
      </c>
      <c r="H119" s="2929"/>
      <c r="I119" s="7373"/>
      <c r="J119" s="7373"/>
      <c r="K119" s="7464"/>
      <c r="L119" s="7456"/>
      <c r="M119" s="2921"/>
      <c r="N119" s="2921"/>
      <c r="O119" s="2921"/>
      <c r="P119" s="2921"/>
      <c r="Q119" s="2921"/>
    </row>
    <row r="120" spans="1:18" x14ac:dyDescent="0.25">
      <c r="A120" s="2893" t="s">
        <v>878</v>
      </c>
      <c r="B120" s="2915">
        <v>3</v>
      </c>
      <c r="C120" s="2915">
        <v>16</v>
      </c>
      <c r="D120" s="2929"/>
      <c r="E120" s="2893" t="s">
        <v>879</v>
      </c>
      <c r="F120" s="2915">
        <v>21</v>
      </c>
      <c r="G120" s="2915">
        <v>252</v>
      </c>
      <c r="H120" s="2929"/>
      <c r="I120" s="7374"/>
      <c r="J120" s="7374"/>
      <c r="K120" s="7465"/>
      <c r="L120" s="7457"/>
      <c r="M120" s="2921"/>
      <c r="N120" s="2921"/>
      <c r="O120" s="2921"/>
      <c r="P120" s="2921"/>
      <c r="Q120" s="2921"/>
    </row>
    <row r="121" spans="1:18" x14ac:dyDescent="0.25">
      <c r="A121" s="2893" t="s">
        <v>880</v>
      </c>
      <c r="B121" s="2915">
        <f>6+2+4+2+8</f>
        <v>22</v>
      </c>
      <c r="C121" s="2915">
        <f>2880+516+1550+210+1812</f>
        <v>6968</v>
      </c>
      <c r="D121" s="2929"/>
      <c r="E121" s="2893" t="s">
        <v>881</v>
      </c>
      <c r="F121" s="2915">
        <v>10</v>
      </c>
      <c r="G121" s="2915">
        <v>150</v>
      </c>
      <c r="H121" s="2929"/>
      <c r="I121" s="2892" t="s">
        <v>882</v>
      </c>
      <c r="J121" s="7458" t="s">
        <v>883</v>
      </c>
      <c r="K121" s="7443">
        <v>1009</v>
      </c>
      <c r="L121" s="7410">
        <v>2480</v>
      </c>
      <c r="M121" s="2921"/>
      <c r="N121" s="2921"/>
      <c r="O121" s="2921"/>
      <c r="P121" s="2921"/>
      <c r="Q121" s="2921"/>
    </row>
    <row r="122" spans="1:18" x14ac:dyDescent="0.25">
      <c r="A122" s="2893" t="s">
        <v>884</v>
      </c>
      <c r="B122" s="2915">
        <f>1+3+3</f>
        <v>7</v>
      </c>
      <c r="C122" s="2915">
        <f>192+314+576</f>
        <v>1082</v>
      </c>
      <c r="D122" s="2929"/>
      <c r="E122" s="2893" t="s">
        <v>885</v>
      </c>
      <c r="F122" s="2915">
        <v>2</v>
      </c>
      <c r="G122" s="2915">
        <v>50</v>
      </c>
      <c r="H122" s="2929"/>
      <c r="I122" s="7437" t="s">
        <v>886</v>
      </c>
      <c r="J122" s="7459"/>
      <c r="K122" s="7444"/>
      <c r="L122" s="7414"/>
      <c r="M122" s="2921"/>
      <c r="N122" s="2921"/>
      <c r="O122" s="2921"/>
      <c r="P122" s="2921"/>
      <c r="Q122" s="2921"/>
    </row>
    <row r="123" spans="1:18" x14ac:dyDescent="0.25">
      <c r="A123" s="2893" t="s">
        <v>887</v>
      </c>
      <c r="B123" s="2915">
        <f>2+4+4</f>
        <v>10</v>
      </c>
      <c r="C123" s="2915">
        <f>210+1230+1576</f>
        <v>3016</v>
      </c>
      <c r="D123" s="2929"/>
      <c r="E123" s="2893" t="s">
        <v>878</v>
      </c>
      <c r="F123" s="2915">
        <v>388</v>
      </c>
      <c r="G123" s="2915">
        <v>1552</v>
      </c>
      <c r="H123" s="2929"/>
      <c r="I123" s="7438"/>
      <c r="J123" s="7459"/>
      <c r="K123" s="7444"/>
      <c r="L123" s="7414"/>
      <c r="M123" s="2921"/>
      <c r="N123" s="2921"/>
      <c r="O123" s="2921"/>
      <c r="P123" s="2921"/>
      <c r="Q123" s="2921"/>
    </row>
    <row r="124" spans="1:18" x14ac:dyDescent="0.25">
      <c r="A124" s="2893" t="s">
        <v>888</v>
      </c>
      <c r="B124" s="2915">
        <f>3+1</f>
        <v>4</v>
      </c>
      <c r="C124" s="2915">
        <f>69+25</f>
        <v>94</v>
      </c>
      <c r="D124" s="2929"/>
      <c r="E124" s="2893" t="s">
        <v>889</v>
      </c>
      <c r="F124" s="2915">
        <f>3599+2290</f>
        <v>5889</v>
      </c>
      <c r="G124" s="2915">
        <f>3599+2290</f>
        <v>5889</v>
      </c>
      <c r="H124" s="2929"/>
      <c r="I124" s="7438"/>
      <c r="J124" s="7459"/>
      <c r="K124" s="7444"/>
      <c r="L124" s="7414"/>
      <c r="M124" s="2921"/>
      <c r="N124" s="2921"/>
      <c r="O124" s="2921"/>
      <c r="P124" s="2921"/>
      <c r="Q124" s="2921"/>
    </row>
    <row r="125" spans="1:18" x14ac:dyDescent="0.25">
      <c r="A125" s="2893" t="s">
        <v>890</v>
      </c>
      <c r="B125" s="2915">
        <v>1</v>
      </c>
      <c r="C125" s="2915">
        <v>310</v>
      </c>
      <c r="D125" s="2929"/>
      <c r="E125" s="2893" t="s">
        <v>891</v>
      </c>
      <c r="F125" s="2915">
        <v>1142</v>
      </c>
      <c r="G125" s="2915">
        <v>22840</v>
      </c>
      <c r="H125" s="2929"/>
      <c r="I125" s="7439"/>
      <c r="J125" s="7460"/>
      <c r="K125" s="7445"/>
      <c r="L125" s="7362"/>
      <c r="M125" s="2921"/>
      <c r="N125" s="2921"/>
      <c r="O125" s="2921"/>
      <c r="P125" s="2921"/>
      <c r="Q125" s="2921"/>
    </row>
    <row r="126" spans="1:18" x14ac:dyDescent="0.25">
      <c r="A126" s="2893" t="s">
        <v>892</v>
      </c>
      <c r="B126" s="2915">
        <v>1</v>
      </c>
      <c r="C126" s="2915">
        <v>248</v>
      </c>
      <c r="D126" s="2929"/>
      <c r="E126" s="2893" t="s">
        <v>880</v>
      </c>
      <c r="F126" s="2915">
        <f>535+230</f>
        <v>765</v>
      </c>
      <c r="G126" s="2915">
        <f>5295+1380</f>
        <v>6675</v>
      </c>
      <c r="H126" s="2929"/>
      <c r="I126" s="7412" t="s">
        <v>586</v>
      </c>
      <c r="J126" s="2875" t="s">
        <v>893</v>
      </c>
      <c r="K126" s="2870"/>
      <c r="L126" s="2910"/>
      <c r="M126" s="2921"/>
      <c r="N126" s="2921"/>
      <c r="O126" s="2921"/>
      <c r="P126" s="2921"/>
      <c r="Q126" s="2921"/>
    </row>
    <row r="127" spans="1:18" x14ac:dyDescent="0.25">
      <c r="A127" s="2893" t="s">
        <v>894</v>
      </c>
      <c r="B127" s="2915">
        <v>6</v>
      </c>
      <c r="C127" s="2915">
        <v>130</v>
      </c>
      <c r="D127" s="2929"/>
      <c r="E127" s="2893" t="s">
        <v>887</v>
      </c>
      <c r="F127" s="2915">
        <f>1213+680</f>
        <v>1893</v>
      </c>
      <c r="G127" s="2915">
        <f>24706+14960</f>
        <v>39666</v>
      </c>
      <c r="H127" s="2929"/>
      <c r="I127" s="7365"/>
      <c r="J127" s="2875" t="s">
        <v>895</v>
      </c>
      <c r="K127" s="2870"/>
      <c r="L127" s="2910"/>
      <c r="M127" s="2921"/>
      <c r="N127" s="2921"/>
      <c r="O127" s="2921"/>
      <c r="P127" s="2921"/>
      <c r="Q127" s="2921"/>
    </row>
    <row r="128" spans="1:18" x14ac:dyDescent="0.25">
      <c r="A128" s="2893" t="s">
        <v>896</v>
      </c>
      <c r="B128" s="2915">
        <v>4</v>
      </c>
      <c r="C128" s="2915">
        <v>70</v>
      </c>
      <c r="D128" s="2929"/>
      <c r="E128" s="2893" t="s">
        <v>897</v>
      </c>
      <c r="F128" s="2915">
        <f>80+161</f>
        <v>241</v>
      </c>
      <c r="G128" s="2915">
        <f>600+2415</f>
        <v>3015</v>
      </c>
      <c r="H128" s="2929"/>
      <c r="I128" s="2893" t="s">
        <v>898</v>
      </c>
      <c r="J128" s="2875" t="s">
        <v>899</v>
      </c>
      <c r="K128" s="2870">
        <v>4332</v>
      </c>
      <c r="L128" s="2910">
        <v>7350</v>
      </c>
      <c r="M128" s="2921"/>
      <c r="N128" s="2921"/>
      <c r="O128" s="2921"/>
      <c r="P128" s="2921"/>
      <c r="Q128" s="2921"/>
    </row>
    <row r="129" spans="1:17" x14ac:dyDescent="0.25">
      <c r="A129" s="2893" t="s">
        <v>900</v>
      </c>
      <c r="B129" s="2915">
        <v>2</v>
      </c>
      <c r="C129" s="2915">
        <v>26</v>
      </c>
      <c r="D129" s="2929"/>
      <c r="E129" s="2893" t="s">
        <v>901</v>
      </c>
      <c r="F129" s="2915">
        <f>3955+142285+163300</f>
        <v>309540</v>
      </c>
      <c r="G129" s="2915">
        <f>3955+142285+163300</f>
        <v>309540</v>
      </c>
      <c r="H129" s="2929"/>
      <c r="I129" s="7375" t="s">
        <v>902</v>
      </c>
      <c r="J129" s="2875" t="s">
        <v>903</v>
      </c>
      <c r="K129" s="2870">
        <v>4975</v>
      </c>
      <c r="L129" s="2910">
        <v>7350</v>
      </c>
      <c r="M129" s="2921"/>
      <c r="N129" s="2921"/>
      <c r="O129" s="2921"/>
      <c r="P129" s="2921"/>
      <c r="Q129" s="2921"/>
    </row>
    <row r="130" spans="1:17" x14ac:dyDescent="0.25">
      <c r="A130" s="2893" t="s">
        <v>904</v>
      </c>
      <c r="B130" s="2915">
        <f>1+2+6</f>
        <v>9</v>
      </c>
      <c r="C130" s="2915">
        <f>40+40+92</f>
        <v>172</v>
      </c>
      <c r="D130" s="2929"/>
      <c r="E130" s="2893" t="s">
        <v>905</v>
      </c>
      <c r="F130" s="2915">
        <v>8</v>
      </c>
      <c r="G130" s="2915">
        <v>96</v>
      </c>
      <c r="H130" s="2929"/>
      <c r="I130" s="7367"/>
      <c r="J130" s="2875" t="s">
        <v>906</v>
      </c>
      <c r="K130" s="2870"/>
      <c r="L130" s="2910"/>
      <c r="M130" s="2921"/>
      <c r="N130" s="2921"/>
      <c r="O130" s="2921"/>
      <c r="P130" s="2921"/>
      <c r="Q130" s="2921"/>
    </row>
    <row r="131" spans="1:17" ht="25.5" x14ac:dyDescent="0.25">
      <c r="A131" s="2804" t="s">
        <v>907</v>
      </c>
      <c r="B131" s="2915">
        <v>2</v>
      </c>
      <c r="C131" s="2915">
        <v>128</v>
      </c>
      <c r="D131" s="2929"/>
      <c r="E131" s="2893" t="s">
        <v>908</v>
      </c>
      <c r="F131" s="2915">
        <f>251+556</f>
        <v>807</v>
      </c>
      <c r="G131" s="2915">
        <f>1004+2224</f>
        <v>3228</v>
      </c>
      <c r="H131" s="2929"/>
      <c r="I131" s="2892" t="s">
        <v>909</v>
      </c>
      <c r="J131" s="2875"/>
      <c r="K131" s="2870"/>
      <c r="L131" s="2910"/>
      <c r="M131" s="2921"/>
      <c r="N131" s="2921"/>
      <c r="O131" s="2921"/>
      <c r="P131" s="2921"/>
      <c r="Q131" s="2921"/>
    </row>
    <row r="132" spans="1:17" x14ac:dyDescent="0.25">
      <c r="A132" s="2893" t="s">
        <v>910</v>
      </c>
      <c r="B132" s="2915">
        <v>7</v>
      </c>
      <c r="C132" s="2915">
        <v>52</v>
      </c>
      <c r="D132" s="2929"/>
      <c r="E132" s="2893" t="s">
        <v>911</v>
      </c>
      <c r="F132" s="2915">
        <v>1</v>
      </c>
      <c r="G132" s="2915">
        <v>35</v>
      </c>
      <c r="H132" s="2929"/>
      <c r="I132" s="7437" t="s">
        <v>912</v>
      </c>
      <c r="J132" s="7440" t="s">
        <v>913</v>
      </c>
      <c r="K132" s="7443">
        <v>777</v>
      </c>
      <c r="L132" s="7410">
        <v>2300</v>
      </c>
      <c r="M132" s="2921"/>
      <c r="N132" s="2921"/>
      <c r="O132" s="2921"/>
      <c r="P132" s="2921"/>
      <c r="Q132" s="2921"/>
    </row>
    <row r="133" spans="1:17" x14ac:dyDescent="0.25">
      <c r="A133" s="2871" t="s">
        <v>914</v>
      </c>
      <c r="B133" s="2915">
        <v>6</v>
      </c>
      <c r="C133" s="2915">
        <v>100</v>
      </c>
      <c r="D133" s="2929"/>
      <c r="E133" s="2893" t="s">
        <v>915</v>
      </c>
      <c r="F133" s="2915">
        <v>40</v>
      </c>
      <c r="G133" s="2915">
        <v>240</v>
      </c>
      <c r="H133" s="2929"/>
      <c r="I133" s="7438"/>
      <c r="J133" s="7441"/>
      <c r="K133" s="7444"/>
      <c r="L133" s="7414"/>
      <c r="M133" s="2921"/>
      <c r="N133" s="2921"/>
      <c r="O133" s="2921"/>
      <c r="P133" s="2921"/>
      <c r="Q133" s="2921"/>
    </row>
    <row r="134" spans="1:17" x14ac:dyDescent="0.25">
      <c r="A134" s="2871" t="s">
        <v>916</v>
      </c>
      <c r="B134" s="2915">
        <f>1+7</f>
        <v>8</v>
      </c>
      <c r="C134" s="2915">
        <f>40+664</f>
        <v>704</v>
      </c>
      <c r="D134" s="2929"/>
      <c r="E134" s="2893" t="s">
        <v>917</v>
      </c>
      <c r="F134" s="2915">
        <v>66</v>
      </c>
      <c r="G134" s="2915">
        <v>1320</v>
      </c>
      <c r="H134" s="2929"/>
      <c r="I134" s="7439"/>
      <c r="J134" s="7442"/>
      <c r="K134" s="7445"/>
      <c r="L134" s="7362"/>
      <c r="M134" s="2921"/>
      <c r="N134" s="2921"/>
      <c r="O134" s="2921"/>
      <c r="P134" s="2921"/>
      <c r="Q134" s="2921"/>
    </row>
    <row r="135" spans="1:17" x14ac:dyDescent="0.25">
      <c r="A135" s="2878" t="s">
        <v>12</v>
      </c>
      <c r="B135" s="2803">
        <f>SUM(B117:B134)</f>
        <v>111</v>
      </c>
      <c r="C135" s="2803">
        <f>SUM(C117:C134)</f>
        <v>13799</v>
      </c>
      <c r="D135" s="2929"/>
      <c r="E135" s="2893" t="s">
        <v>918</v>
      </c>
      <c r="F135" s="2915">
        <v>4158</v>
      </c>
      <c r="G135" s="2915">
        <v>4158</v>
      </c>
      <c r="H135" s="2929"/>
      <c r="I135" s="7461" t="s">
        <v>12</v>
      </c>
      <c r="J135" s="7462"/>
      <c r="K135" s="2803">
        <f>SUM(K117:K134)</f>
        <v>12969</v>
      </c>
      <c r="L135" s="2803">
        <f>SUM(L117:L134)</f>
        <v>22235</v>
      </c>
      <c r="M135" s="2921"/>
      <c r="N135" s="2921"/>
      <c r="O135" s="2921"/>
      <c r="P135" s="2921"/>
      <c r="Q135" s="2921"/>
    </row>
    <row r="136" spans="1:17" x14ac:dyDescent="0.25">
      <c r="A136" s="7363" t="s">
        <v>919</v>
      </c>
      <c r="B136" s="7363"/>
      <c r="C136" s="7363"/>
      <c r="D136" s="2929"/>
      <c r="E136" s="2804" t="s">
        <v>920</v>
      </c>
      <c r="F136" s="2915">
        <f>800+21300</f>
        <v>22100</v>
      </c>
      <c r="G136" s="2915">
        <f>800+21300</f>
        <v>22100</v>
      </c>
      <c r="H136" s="2929"/>
      <c r="I136" s="2929"/>
      <c r="J136" s="2929"/>
      <c r="K136" s="2929"/>
      <c r="L136" s="2929"/>
      <c r="M136" s="2921"/>
      <c r="N136" s="2921"/>
      <c r="O136" s="2921"/>
      <c r="P136" s="2921"/>
      <c r="Q136" s="2921"/>
    </row>
    <row r="137" spans="1:17" x14ac:dyDescent="0.25">
      <c r="A137" s="4314"/>
      <c r="B137" s="4313"/>
      <c r="C137" s="4313"/>
      <c r="D137" s="2929"/>
      <c r="E137" s="2893" t="s">
        <v>921</v>
      </c>
      <c r="F137" s="2915">
        <v>485</v>
      </c>
      <c r="G137" s="2915">
        <v>485</v>
      </c>
      <c r="H137" s="2929"/>
      <c r="I137" s="2929"/>
      <c r="J137" s="2929"/>
      <c r="K137" s="2929"/>
      <c r="L137" s="2929"/>
      <c r="M137" s="2921"/>
      <c r="N137" s="2921"/>
      <c r="O137" s="2921"/>
      <c r="P137" s="2921"/>
      <c r="Q137" s="2921"/>
    </row>
    <row r="138" spans="1:17" x14ac:dyDescent="0.25">
      <c r="A138" s="2929"/>
      <c r="B138" s="2801"/>
      <c r="C138" s="2801"/>
      <c r="D138" s="2929"/>
      <c r="E138" s="2893" t="s">
        <v>922</v>
      </c>
      <c r="F138" s="2915">
        <v>16380</v>
      </c>
      <c r="G138" s="2915">
        <v>16380</v>
      </c>
      <c r="H138" s="2929"/>
      <c r="I138" s="2929"/>
      <c r="J138" s="2929"/>
      <c r="K138" s="2929"/>
      <c r="L138" s="2929"/>
      <c r="M138" s="2921"/>
      <c r="N138" s="2921"/>
      <c r="O138" s="2921"/>
      <c r="P138" s="2921"/>
      <c r="Q138" s="2921"/>
    </row>
    <row r="139" spans="1:17" x14ac:dyDescent="0.25">
      <c r="A139" s="2929"/>
      <c r="B139" s="2801"/>
      <c r="C139" s="2801"/>
      <c r="D139" s="2929"/>
      <c r="E139" s="2893" t="s">
        <v>896</v>
      </c>
      <c r="F139" s="2915">
        <v>4039</v>
      </c>
      <c r="G139" s="2915">
        <v>8078</v>
      </c>
      <c r="H139" s="2929"/>
      <c r="I139" s="2929"/>
      <c r="J139" s="2929"/>
      <c r="K139" s="2929"/>
      <c r="L139" s="2929"/>
      <c r="M139" s="2921"/>
      <c r="N139" s="2921"/>
      <c r="O139" s="2921"/>
      <c r="P139" s="2921"/>
      <c r="Q139" s="2921"/>
    </row>
    <row r="140" spans="1:17" x14ac:dyDescent="0.25">
      <c r="A140" s="2929"/>
      <c r="B140" s="2801"/>
      <c r="C140" s="2801"/>
      <c r="D140" s="2929"/>
      <c r="E140" s="2893" t="s">
        <v>923</v>
      </c>
      <c r="F140" s="2915">
        <v>91</v>
      </c>
      <c r="G140" s="2915">
        <v>910</v>
      </c>
      <c r="H140" s="2929"/>
      <c r="I140" s="2929"/>
      <c r="J140" s="2929"/>
      <c r="K140" s="2929"/>
      <c r="L140" s="2929"/>
      <c r="M140" s="2921"/>
      <c r="N140" s="2921"/>
      <c r="O140" s="2921"/>
      <c r="P140" s="2921"/>
      <c r="Q140" s="2921"/>
    </row>
    <row r="141" spans="1:17" x14ac:dyDescent="0.25">
      <c r="A141" s="2929"/>
      <c r="B141" s="2801"/>
      <c r="C141" s="2801"/>
      <c r="D141" s="2929"/>
      <c r="E141" s="2876" t="s">
        <v>924</v>
      </c>
      <c r="F141" s="2871">
        <f>488+153+165</f>
        <v>806</v>
      </c>
      <c r="G141" s="2895">
        <f>976+306+330</f>
        <v>1612</v>
      </c>
      <c r="H141" s="2929"/>
      <c r="I141" s="2929"/>
      <c r="J141" s="2929"/>
      <c r="K141" s="2929"/>
      <c r="L141" s="2929"/>
      <c r="M141" s="2844"/>
      <c r="N141" s="2844"/>
      <c r="O141" s="2844"/>
      <c r="P141" s="2921"/>
      <c r="Q141" s="2921"/>
    </row>
    <row r="142" spans="1:17" x14ac:dyDescent="0.25">
      <c r="A142" s="2929"/>
      <c r="B142" s="2801"/>
      <c r="C142" s="2801"/>
      <c r="D142" s="2929"/>
      <c r="E142" s="2893" t="s">
        <v>904</v>
      </c>
      <c r="F142" s="2915">
        <f>5184+872+2430+322</f>
        <v>8808</v>
      </c>
      <c r="G142" s="2915">
        <f>10368+3488+4860+1932</f>
        <v>20648</v>
      </c>
      <c r="H142" s="2929"/>
      <c r="I142" s="2929"/>
      <c r="J142" s="2929"/>
      <c r="K142" s="2929"/>
      <c r="L142" s="2929"/>
      <c r="M142" s="2921"/>
      <c r="N142" s="2921"/>
      <c r="O142" s="2921"/>
      <c r="P142" s="2921"/>
      <c r="Q142" s="2921"/>
    </row>
    <row r="143" spans="1:17" x14ac:dyDescent="0.25">
      <c r="A143" s="2929"/>
      <c r="B143" s="2801"/>
      <c r="C143" s="2801"/>
      <c r="D143" s="2929"/>
      <c r="E143" s="2893" t="s">
        <v>925</v>
      </c>
      <c r="F143" s="2915">
        <v>114</v>
      </c>
      <c r="G143" s="2915">
        <v>456</v>
      </c>
      <c r="H143" s="2929"/>
      <c r="I143" s="2800"/>
      <c r="J143" s="2929"/>
      <c r="K143" s="2929"/>
      <c r="L143" s="2929"/>
      <c r="M143" s="2921"/>
      <c r="N143" s="2921"/>
      <c r="O143" s="2921"/>
      <c r="P143" s="2921"/>
      <c r="Q143" s="2921"/>
    </row>
    <row r="144" spans="1:17" ht="15" customHeight="1" x14ac:dyDescent="0.25">
      <c r="A144" s="2929"/>
      <c r="B144" s="2801"/>
      <c r="C144" s="2801"/>
      <c r="D144" s="2929"/>
      <c r="E144" s="2893" t="s">
        <v>916</v>
      </c>
      <c r="F144" s="2915">
        <f>12+241</f>
        <v>253</v>
      </c>
      <c r="G144" s="2915">
        <f>482+2892</f>
        <v>3374</v>
      </c>
      <c r="H144" s="2929"/>
      <c r="I144" s="2929"/>
      <c r="J144" s="2929"/>
      <c r="K144" s="2929"/>
      <c r="L144" s="2929"/>
      <c r="M144" s="2921"/>
      <c r="N144" s="2921"/>
      <c r="O144" s="2921"/>
      <c r="P144" s="2921"/>
      <c r="Q144" s="2921"/>
    </row>
    <row r="145" spans="1:17" ht="15" customHeight="1" x14ac:dyDescent="0.25">
      <c r="A145" s="2929"/>
      <c r="B145" s="2801"/>
      <c r="C145" s="2801"/>
      <c r="D145" s="2929"/>
      <c r="E145" s="2878" t="s">
        <v>12</v>
      </c>
      <c r="F145" s="2803">
        <f>SUM(F117:F144)</f>
        <v>384931</v>
      </c>
      <c r="G145" s="2803">
        <f>SUM(G117:G144)</f>
        <v>540219</v>
      </c>
      <c r="H145" s="2929"/>
      <c r="I145" s="2800"/>
      <c r="J145" s="2929"/>
      <c r="K145" s="2929"/>
      <c r="L145" s="2929"/>
      <c r="M145" s="2921"/>
      <c r="N145" s="2921"/>
      <c r="O145" s="2921"/>
      <c r="P145" s="2921"/>
      <c r="Q145" s="2921"/>
    </row>
    <row r="146" spans="1:17" x14ac:dyDescent="0.25">
      <c r="A146" s="2929"/>
      <c r="B146" s="2801"/>
      <c r="C146" s="2801"/>
      <c r="D146" s="2929"/>
      <c r="E146" s="2802" t="s">
        <v>919</v>
      </c>
      <c r="F146" s="2929"/>
      <c r="G146" s="2929"/>
      <c r="H146" s="2929"/>
      <c r="I146" s="2929"/>
      <c r="J146" s="2929"/>
      <c r="K146" s="2929"/>
      <c r="L146" s="2929"/>
      <c r="M146" s="2921"/>
      <c r="N146" s="2921"/>
      <c r="O146" s="2921"/>
      <c r="P146" s="2921"/>
      <c r="Q146" s="2921"/>
    </row>
    <row r="147" spans="1:17" x14ac:dyDescent="0.25">
      <c r="A147" s="2921"/>
      <c r="B147" s="2921"/>
      <c r="C147" s="2921"/>
      <c r="D147" s="2921"/>
      <c r="E147" s="2921"/>
      <c r="F147" s="2921"/>
      <c r="G147" s="2921"/>
      <c r="H147" s="2929"/>
      <c r="I147" s="2921"/>
      <c r="J147" s="2921"/>
      <c r="K147" s="2921"/>
      <c r="L147" s="2921"/>
      <c r="M147" s="2921"/>
      <c r="N147" s="2921"/>
      <c r="O147" s="2921"/>
      <c r="P147" s="2921"/>
      <c r="Q147" s="2921"/>
    </row>
    <row r="148" spans="1:17" x14ac:dyDescent="0.25">
      <c r="A148" s="7428" t="s">
        <v>861</v>
      </c>
      <c r="B148" s="7429"/>
      <c r="C148" s="7430"/>
      <c r="D148" s="2942"/>
      <c r="E148" s="7428" t="s">
        <v>1063</v>
      </c>
      <c r="F148" s="7429"/>
      <c r="G148" s="7430"/>
      <c r="H148" s="2921"/>
      <c r="I148" s="7428" t="s">
        <v>1064</v>
      </c>
      <c r="J148" s="7429"/>
      <c r="K148" s="7429"/>
      <c r="L148" s="7430"/>
      <c r="M148" s="2921"/>
      <c r="N148" s="2921"/>
      <c r="O148" s="2921"/>
      <c r="P148" s="2921"/>
      <c r="Q148" s="2921"/>
    </row>
    <row r="149" spans="1:17" x14ac:dyDescent="0.25">
      <c r="A149" s="7401" t="s">
        <v>1065</v>
      </c>
      <c r="B149" s="7402"/>
      <c r="C149" s="7403"/>
      <c r="D149" s="2942"/>
      <c r="E149" s="7401" t="s">
        <v>862</v>
      </c>
      <c r="F149" s="7402"/>
      <c r="G149" s="7403"/>
      <c r="H149" s="2929"/>
      <c r="I149" s="7431" t="s">
        <v>582</v>
      </c>
      <c r="J149" s="7433" t="s">
        <v>863</v>
      </c>
      <c r="K149" s="7379" t="s">
        <v>926</v>
      </c>
      <c r="L149" s="7380"/>
      <c r="M149" s="2921"/>
      <c r="N149" s="2921"/>
      <c r="O149" s="2921"/>
      <c r="P149" s="2921"/>
      <c r="Q149" s="2921"/>
    </row>
    <row r="150" spans="1:17" ht="15" customHeight="1" x14ac:dyDescent="0.25">
      <c r="A150" s="7434" t="s">
        <v>865</v>
      </c>
      <c r="B150" s="7435" t="s">
        <v>866</v>
      </c>
      <c r="C150" s="7433" t="s">
        <v>927</v>
      </c>
      <c r="D150" s="2929"/>
      <c r="E150" s="7434" t="s">
        <v>582</v>
      </c>
      <c r="F150" s="7433" t="s">
        <v>928</v>
      </c>
      <c r="G150" s="7433" t="s">
        <v>926</v>
      </c>
      <c r="H150" s="2929"/>
      <c r="I150" s="7432"/>
      <c r="J150" s="7432"/>
      <c r="K150" s="2846" t="s">
        <v>745</v>
      </c>
      <c r="L150" s="2799" t="s">
        <v>746</v>
      </c>
      <c r="M150" s="2921"/>
      <c r="N150" s="2921"/>
      <c r="O150" s="2921"/>
      <c r="P150" s="2921"/>
      <c r="Q150" s="2921"/>
    </row>
    <row r="151" spans="1:17" x14ac:dyDescent="0.25">
      <c r="A151" s="7434"/>
      <c r="B151" s="7436"/>
      <c r="C151" s="7432"/>
      <c r="D151" s="2929"/>
      <c r="E151" s="7434"/>
      <c r="F151" s="7432"/>
      <c r="G151" s="7432"/>
      <c r="H151" s="2929"/>
      <c r="I151" s="2782"/>
      <c r="J151" s="2782"/>
      <c r="K151" s="2926"/>
      <c r="L151" s="2929"/>
      <c r="M151" s="2921"/>
      <c r="N151" s="2921"/>
      <c r="O151" s="2921"/>
      <c r="P151" s="2921"/>
      <c r="Q151" s="2921"/>
    </row>
    <row r="152" spans="1:17" x14ac:dyDescent="0.25">
      <c r="A152" s="2782"/>
      <c r="B152" s="2782"/>
      <c r="C152" s="2926"/>
      <c r="D152" s="2942"/>
      <c r="E152" s="2782"/>
      <c r="F152" s="2782"/>
      <c r="G152" s="2926"/>
      <c r="H152" s="2929"/>
      <c r="I152" s="2809" t="s">
        <v>929</v>
      </c>
      <c r="J152" s="7446" t="s">
        <v>930</v>
      </c>
      <c r="K152" s="7448">
        <v>1044</v>
      </c>
      <c r="L152" s="7451">
        <f>4840-1044</f>
        <v>3796</v>
      </c>
      <c r="M152" s="2921"/>
      <c r="N152" s="2921"/>
      <c r="O152" s="2921"/>
      <c r="P152" s="2921"/>
      <c r="Q152" s="2921"/>
    </row>
    <row r="153" spans="1:17" x14ac:dyDescent="0.25">
      <c r="A153" s="2845" t="s">
        <v>870</v>
      </c>
      <c r="B153" s="2841">
        <f>2+3+7+1</f>
        <v>13</v>
      </c>
      <c r="C153" s="2808">
        <f>38+78+126+50</f>
        <v>292</v>
      </c>
      <c r="D153" s="2942"/>
      <c r="E153" s="2807" t="s">
        <v>924</v>
      </c>
      <c r="F153" s="2841">
        <f>96+0+0+320</f>
        <v>416</v>
      </c>
      <c r="G153" s="2808">
        <f>2112+0+0+675</f>
        <v>2787</v>
      </c>
      <c r="H153" s="2942"/>
      <c r="I153" s="7454" t="s">
        <v>931</v>
      </c>
      <c r="J153" s="7447"/>
      <c r="K153" s="7449"/>
      <c r="L153" s="7452"/>
      <c r="M153" s="2921"/>
      <c r="N153" s="2921"/>
      <c r="O153" s="2921"/>
      <c r="P153" s="2921"/>
      <c r="Q153" s="2921"/>
    </row>
    <row r="154" spans="1:17" x14ac:dyDescent="0.25">
      <c r="A154" s="2845" t="s">
        <v>932</v>
      </c>
      <c r="B154" s="2841">
        <v>8</v>
      </c>
      <c r="C154" s="2808">
        <f>0+0+2298</f>
        <v>2298</v>
      </c>
      <c r="D154" s="2942"/>
      <c r="E154" s="2840" t="s">
        <v>933</v>
      </c>
      <c r="F154" s="2939">
        <f>0+0+140</f>
        <v>140</v>
      </c>
      <c r="G154" s="2939">
        <f>0+0+274</f>
        <v>274</v>
      </c>
      <c r="H154" s="2942"/>
      <c r="I154" s="7454"/>
      <c r="J154" s="7447"/>
      <c r="K154" s="7449"/>
      <c r="L154" s="7452"/>
      <c r="M154" s="2921"/>
      <c r="N154" s="2921"/>
      <c r="O154" s="2921"/>
      <c r="P154" s="2921"/>
      <c r="Q154" s="2921"/>
    </row>
    <row r="155" spans="1:17" x14ac:dyDescent="0.25">
      <c r="A155" s="2806" t="s">
        <v>873</v>
      </c>
      <c r="B155" s="2920">
        <f>0+1+5+7</f>
        <v>13</v>
      </c>
      <c r="C155" s="2920">
        <f>0+12+396+192</f>
        <v>600</v>
      </c>
      <c r="D155" s="2942"/>
      <c r="E155" s="2919" t="s">
        <v>934</v>
      </c>
      <c r="F155" s="2918">
        <f>75+51</f>
        <v>126</v>
      </c>
      <c r="G155" s="2918">
        <f>715+128+51</f>
        <v>894</v>
      </c>
      <c r="H155" s="2942"/>
      <c r="I155" s="7454"/>
      <c r="J155" s="7447"/>
      <c r="K155" s="7449"/>
      <c r="L155" s="7452"/>
      <c r="M155" s="2921"/>
      <c r="N155" s="2921"/>
      <c r="O155" s="2921"/>
      <c r="P155" s="2921"/>
      <c r="Q155" s="2921"/>
    </row>
    <row r="156" spans="1:17" x14ac:dyDescent="0.25">
      <c r="A156" s="7415" t="s">
        <v>935</v>
      </c>
      <c r="B156" s="7410">
        <f>2+0+2</f>
        <v>4</v>
      </c>
      <c r="C156" s="7410">
        <f>36+0+85</f>
        <v>121</v>
      </c>
      <c r="D156" s="2942"/>
      <c r="E156" s="2917" t="s">
        <v>936</v>
      </c>
      <c r="F156" s="2939">
        <f>0+0+213</f>
        <v>213</v>
      </c>
      <c r="G156" s="2939">
        <f>0+0+1700</f>
        <v>1700</v>
      </c>
      <c r="H156" s="2942"/>
      <c r="I156" s="7454"/>
      <c r="J156" s="7447"/>
      <c r="K156" s="7449"/>
      <c r="L156" s="7452"/>
      <c r="M156" s="2921"/>
      <c r="N156" s="2921"/>
      <c r="O156" s="2921"/>
      <c r="P156" s="2921"/>
      <c r="Q156" s="2921"/>
    </row>
    <row r="157" spans="1:17" x14ac:dyDescent="0.25">
      <c r="A157" s="7416"/>
      <c r="B157" s="7362"/>
      <c r="C157" s="7362"/>
      <c r="D157" s="2942"/>
      <c r="E157" s="2916" t="s">
        <v>874</v>
      </c>
      <c r="F157" s="2915">
        <f>0+2880+2024+606</f>
        <v>5510</v>
      </c>
      <c r="G157" s="2915">
        <f>F157*6</f>
        <v>33060</v>
      </c>
      <c r="H157" s="2942"/>
      <c r="I157" s="2874" t="s">
        <v>937</v>
      </c>
      <c r="J157" s="7418" t="s">
        <v>938</v>
      </c>
      <c r="K157" s="7449"/>
      <c r="L157" s="7452"/>
      <c r="M157" s="2921"/>
      <c r="N157" s="2921"/>
      <c r="O157" s="2921"/>
      <c r="P157" s="2921"/>
      <c r="Q157" s="2921"/>
    </row>
    <row r="158" spans="1:17" x14ac:dyDescent="0.25">
      <c r="A158" s="2806" t="s">
        <v>939</v>
      </c>
      <c r="B158" s="2920">
        <v>4</v>
      </c>
      <c r="C158" s="2920">
        <v>125</v>
      </c>
      <c r="D158" s="2942"/>
      <c r="E158" s="2916" t="s">
        <v>940</v>
      </c>
      <c r="F158" s="2915">
        <v>72</v>
      </c>
      <c r="G158" s="2915">
        <v>185</v>
      </c>
      <c r="H158" s="2942"/>
      <c r="I158" s="2874" t="s">
        <v>941</v>
      </c>
      <c r="J158" s="7418"/>
      <c r="K158" s="7449"/>
      <c r="L158" s="7452"/>
      <c r="M158" s="2921"/>
      <c r="N158" s="2921"/>
      <c r="O158" s="2921"/>
      <c r="P158" s="2921"/>
      <c r="Q158" s="2921"/>
    </row>
    <row r="159" spans="1:17" x14ac:dyDescent="0.25">
      <c r="A159" s="2806" t="s">
        <v>942</v>
      </c>
      <c r="B159" s="2920">
        <f>0+0+6</f>
        <v>6</v>
      </c>
      <c r="C159" s="2920">
        <f>0+0+18</f>
        <v>18</v>
      </c>
      <c r="D159" s="2942"/>
      <c r="E159" s="2840" t="s">
        <v>943</v>
      </c>
      <c r="F159" s="2939">
        <f>0+37+0</f>
        <v>37</v>
      </c>
      <c r="G159" s="2939">
        <f>0+235+0</f>
        <v>235</v>
      </c>
      <c r="H159" s="2942"/>
      <c r="I159" s="2874" t="s">
        <v>944</v>
      </c>
      <c r="J159" s="7418"/>
      <c r="K159" s="7449"/>
      <c r="L159" s="7452"/>
      <c r="M159" s="2921"/>
      <c r="N159" s="2921"/>
      <c r="O159" s="2921"/>
      <c r="P159" s="2921"/>
      <c r="Q159" s="2921"/>
    </row>
    <row r="160" spans="1:17" x14ac:dyDescent="0.25">
      <c r="A160" s="2914" t="s">
        <v>880</v>
      </c>
      <c r="B160" s="2920">
        <f>0+6+6+5</f>
        <v>17</v>
      </c>
      <c r="C160" s="2920">
        <f>0+2760+1292+5314</f>
        <v>9366</v>
      </c>
      <c r="D160" s="2942"/>
      <c r="E160" s="2916" t="s">
        <v>945</v>
      </c>
      <c r="F160" s="2915">
        <f>0+0+42</f>
        <v>42</v>
      </c>
      <c r="G160" s="2915">
        <f>0+0+333</f>
        <v>333</v>
      </c>
      <c r="H160" s="2942"/>
      <c r="I160" s="2874" t="s">
        <v>946</v>
      </c>
      <c r="J160" s="7418"/>
      <c r="K160" s="7449"/>
      <c r="L160" s="7452"/>
      <c r="M160" s="2921"/>
      <c r="N160" s="2921"/>
      <c r="O160" s="2921"/>
      <c r="P160" s="2921"/>
      <c r="Q160" s="2921"/>
    </row>
    <row r="161" spans="1:17" x14ac:dyDescent="0.25">
      <c r="A161" s="2914" t="s">
        <v>884</v>
      </c>
      <c r="B161" s="2920">
        <f>3+0+3</f>
        <v>6</v>
      </c>
      <c r="C161" s="2920">
        <f>420+0+672</f>
        <v>1092</v>
      </c>
      <c r="D161" s="2942"/>
      <c r="E161" s="2916" t="s">
        <v>881</v>
      </c>
      <c r="F161" s="2915">
        <v>79</v>
      </c>
      <c r="G161" s="2915">
        <v>227</v>
      </c>
      <c r="H161" s="2942"/>
      <c r="I161" s="2874" t="s">
        <v>947</v>
      </c>
      <c r="J161" s="7418"/>
      <c r="K161" s="7449"/>
      <c r="L161" s="7452"/>
      <c r="M161" s="2921"/>
      <c r="N161" s="2921"/>
      <c r="O161" s="2921"/>
      <c r="P161" s="2921"/>
      <c r="Q161" s="2921"/>
    </row>
    <row r="162" spans="1:17" x14ac:dyDescent="0.25">
      <c r="A162" s="2914" t="s">
        <v>887</v>
      </c>
      <c r="B162" s="2920">
        <f>0+0+6+2</f>
        <v>8</v>
      </c>
      <c r="C162" s="2915">
        <f>0+0+1642+1200</f>
        <v>2842</v>
      </c>
      <c r="D162" s="2942"/>
      <c r="E162" s="2916" t="s">
        <v>948</v>
      </c>
      <c r="F162" s="2915">
        <v>225</v>
      </c>
      <c r="G162" s="2915">
        <v>451</v>
      </c>
      <c r="H162" s="2942"/>
      <c r="I162" s="2874" t="s">
        <v>949</v>
      </c>
      <c r="J162" s="7418"/>
      <c r="K162" s="7449"/>
      <c r="L162" s="7452"/>
      <c r="M162" s="2921"/>
      <c r="N162" s="2921"/>
      <c r="O162" s="2921"/>
      <c r="P162" s="2921"/>
      <c r="Q162" s="2921"/>
    </row>
    <row r="163" spans="1:17" x14ac:dyDescent="0.25">
      <c r="A163" s="2914" t="s">
        <v>950</v>
      </c>
      <c r="B163" s="2920">
        <v>5</v>
      </c>
      <c r="C163" s="2920">
        <v>115</v>
      </c>
      <c r="D163" s="2942"/>
      <c r="E163" s="2916" t="s">
        <v>889</v>
      </c>
      <c r="F163" s="2915">
        <v>6</v>
      </c>
      <c r="G163" s="2915">
        <v>3420</v>
      </c>
      <c r="H163" s="2942"/>
      <c r="I163" s="2874" t="s">
        <v>951</v>
      </c>
      <c r="J163" s="7418"/>
      <c r="K163" s="7449"/>
      <c r="L163" s="7452"/>
      <c r="M163" s="2921"/>
      <c r="N163" s="2921"/>
      <c r="O163" s="2921"/>
      <c r="P163" s="2921"/>
      <c r="Q163" s="2921"/>
    </row>
    <row r="164" spans="1:17" x14ac:dyDescent="0.25">
      <c r="A164" s="2914" t="s">
        <v>888</v>
      </c>
      <c r="B164" s="2920">
        <f>0+1+3+7</f>
        <v>11</v>
      </c>
      <c r="C164" s="2920">
        <f>0+27+246+138</f>
        <v>411</v>
      </c>
      <c r="D164" s="2942"/>
      <c r="E164" s="2916" t="s">
        <v>952</v>
      </c>
      <c r="F164" s="2915">
        <v>73</v>
      </c>
      <c r="G164" s="2915">
        <v>331</v>
      </c>
      <c r="H164" s="2942"/>
      <c r="I164" s="2874" t="s">
        <v>953</v>
      </c>
      <c r="J164" s="7418"/>
      <c r="K164" s="7449"/>
      <c r="L164" s="7452"/>
      <c r="M164" s="2921"/>
      <c r="N164" s="2921"/>
      <c r="O164" s="2921"/>
      <c r="P164" s="2921"/>
      <c r="Q164" s="2921"/>
    </row>
    <row r="165" spans="1:17" x14ac:dyDescent="0.25">
      <c r="A165" s="2914" t="s">
        <v>890</v>
      </c>
      <c r="B165" s="2920">
        <v>2</v>
      </c>
      <c r="C165" s="2920">
        <v>670</v>
      </c>
      <c r="D165" s="2942"/>
      <c r="E165" s="2916" t="s">
        <v>891</v>
      </c>
      <c r="F165" s="2915">
        <f>95+287</f>
        <v>382</v>
      </c>
      <c r="G165" s="2915">
        <f>403+574</f>
        <v>977</v>
      </c>
      <c r="H165" s="2942"/>
      <c r="I165" s="2874" t="s">
        <v>954</v>
      </c>
      <c r="J165" s="7418"/>
      <c r="K165" s="7449"/>
      <c r="L165" s="7452"/>
      <c r="M165" s="2921"/>
      <c r="N165" s="2921"/>
      <c r="O165" s="2921"/>
      <c r="P165" s="2921"/>
      <c r="Q165" s="2921"/>
    </row>
    <row r="166" spans="1:17" x14ac:dyDescent="0.25">
      <c r="A166" s="2914" t="s">
        <v>955</v>
      </c>
      <c r="B166" s="2920">
        <f>0+0+3</f>
        <v>3</v>
      </c>
      <c r="C166" s="2920">
        <f>0+0+24</f>
        <v>24</v>
      </c>
      <c r="D166" s="2942"/>
      <c r="E166" s="2916" t="s">
        <v>880</v>
      </c>
      <c r="F166" s="2915">
        <f>96+540+182+124</f>
        <v>942</v>
      </c>
      <c r="G166" s="2915">
        <f>2464+4320+1092+496</f>
        <v>8372</v>
      </c>
      <c r="H166" s="2942"/>
      <c r="I166" s="2874" t="s">
        <v>956</v>
      </c>
      <c r="J166" s="7418"/>
      <c r="K166" s="7449"/>
      <c r="L166" s="7452"/>
      <c r="M166" s="2921"/>
      <c r="N166" s="2921"/>
      <c r="O166" s="2921"/>
      <c r="P166" s="2921"/>
      <c r="Q166" s="2921"/>
    </row>
    <row r="167" spans="1:17" x14ac:dyDescent="0.25">
      <c r="A167" s="2913" t="s">
        <v>957</v>
      </c>
      <c r="B167" s="2920">
        <v>4</v>
      </c>
      <c r="C167" s="2920">
        <v>51</v>
      </c>
      <c r="D167" s="2942"/>
      <c r="E167" s="2914" t="s">
        <v>887</v>
      </c>
      <c r="F167" s="2920">
        <f>0+0+796+170</f>
        <v>966</v>
      </c>
      <c r="G167" s="2920">
        <f>0+0+7956+1589</f>
        <v>9545</v>
      </c>
      <c r="H167" s="2942"/>
      <c r="I167" s="2874" t="s">
        <v>958</v>
      </c>
      <c r="J167" s="7418"/>
      <c r="K167" s="7449"/>
      <c r="L167" s="7452"/>
      <c r="M167" s="2921"/>
      <c r="N167" s="2921"/>
      <c r="O167" s="2921"/>
      <c r="P167" s="2921"/>
      <c r="Q167" s="2921"/>
    </row>
    <row r="168" spans="1:17" x14ac:dyDescent="0.25">
      <c r="A168" s="2914" t="s">
        <v>892</v>
      </c>
      <c r="B168" s="2920">
        <f>1+0+2</f>
        <v>3</v>
      </c>
      <c r="C168" s="2915">
        <f>0+350+190</f>
        <v>540</v>
      </c>
      <c r="D168" s="2942"/>
      <c r="E168" s="2914" t="s">
        <v>959</v>
      </c>
      <c r="F168" s="2920">
        <v>70</v>
      </c>
      <c r="G168" s="2920">
        <v>127</v>
      </c>
      <c r="H168" s="2942"/>
      <c r="I168" s="2912" t="s">
        <v>960</v>
      </c>
      <c r="J168" s="7419"/>
      <c r="K168" s="7450"/>
      <c r="L168" s="7453"/>
      <c r="M168" s="2921"/>
      <c r="N168" s="2921"/>
      <c r="O168" s="2921"/>
      <c r="P168" s="2921"/>
      <c r="Q168" s="2921"/>
    </row>
    <row r="169" spans="1:17" x14ac:dyDescent="0.25">
      <c r="A169" s="2914" t="s">
        <v>894</v>
      </c>
      <c r="B169" s="2920">
        <f>0+0+6</f>
        <v>6</v>
      </c>
      <c r="C169" s="2920">
        <f>0+0+107</f>
        <v>107</v>
      </c>
      <c r="D169" s="2942"/>
      <c r="E169" s="2914" t="s">
        <v>961</v>
      </c>
      <c r="F169" s="2920">
        <v>165</v>
      </c>
      <c r="G169" s="2920">
        <v>4000</v>
      </c>
      <c r="H169" s="2942"/>
      <c r="I169" s="7413" t="s">
        <v>962</v>
      </c>
      <c r="J169" s="3695" t="s">
        <v>963</v>
      </c>
      <c r="K169" s="7414">
        <v>4580</v>
      </c>
      <c r="L169" s="7425">
        <v>6460</v>
      </c>
      <c r="M169" s="2921"/>
      <c r="N169" s="2921"/>
      <c r="O169" s="2921"/>
      <c r="P169" s="2921"/>
      <c r="Q169" s="2921"/>
    </row>
    <row r="170" spans="1:17" x14ac:dyDescent="0.25">
      <c r="A170" s="2914" t="s">
        <v>896</v>
      </c>
      <c r="B170" s="2920">
        <f>0+3</f>
        <v>3</v>
      </c>
      <c r="C170" s="2920">
        <f>0+90</f>
        <v>90</v>
      </c>
      <c r="D170" s="2942"/>
      <c r="E170" s="2914" t="s">
        <v>901</v>
      </c>
      <c r="F170" s="2920">
        <f>274+90400+130500+2974</f>
        <v>224148</v>
      </c>
      <c r="G170" s="2920">
        <f>274+90400+130500+2974</f>
        <v>224148</v>
      </c>
      <c r="H170" s="2942"/>
      <c r="I170" s="7365"/>
      <c r="J170" s="3695" t="s">
        <v>964</v>
      </c>
      <c r="K170" s="7362"/>
      <c r="L170" s="7426"/>
      <c r="M170" s="2921"/>
      <c r="N170" s="2921"/>
      <c r="O170" s="2921"/>
      <c r="P170" s="2921"/>
      <c r="Q170" s="2921"/>
    </row>
    <row r="171" spans="1:17" x14ac:dyDescent="0.25">
      <c r="A171" s="2914" t="s">
        <v>900</v>
      </c>
      <c r="B171" s="2920">
        <f>0+3</f>
        <v>3</v>
      </c>
      <c r="C171" s="2920">
        <f>0+90</f>
        <v>90</v>
      </c>
      <c r="D171" s="2942"/>
      <c r="E171" s="2806" t="s">
        <v>911</v>
      </c>
      <c r="F171" s="2920">
        <f>33+0+0</f>
        <v>33</v>
      </c>
      <c r="G171" s="2920">
        <f>462+0+0</f>
        <v>462</v>
      </c>
      <c r="H171" s="2942"/>
      <c r="I171" s="7412" t="s">
        <v>965</v>
      </c>
      <c r="J171" s="3695" t="s">
        <v>966</v>
      </c>
      <c r="K171" s="7410">
        <v>3231</v>
      </c>
      <c r="L171" s="7425">
        <v>6460</v>
      </c>
      <c r="M171" s="2921"/>
      <c r="N171" s="2921"/>
      <c r="O171" s="2921"/>
      <c r="P171" s="2921"/>
      <c r="Q171" s="2921"/>
    </row>
    <row r="172" spans="1:17" x14ac:dyDescent="0.25">
      <c r="A172" s="2914" t="s">
        <v>904</v>
      </c>
      <c r="B172" s="2920">
        <f>1+0+7</f>
        <v>8</v>
      </c>
      <c r="C172" s="2920">
        <f>25+0+89</f>
        <v>114</v>
      </c>
      <c r="D172" s="2942"/>
      <c r="E172" s="2806" t="s">
        <v>955</v>
      </c>
      <c r="F172" s="2920">
        <f>0+0+136</f>
        <v>136</v>
      </c>
      <c r="G172" s="2920">
        <f>0+0+1088</f>
        <v>1088</v>
      </c>
      <c r="H172" s="2942"/>
      <c r="I172" s="7413"/>
      <c r="J172" s="3695" t="s">
        <v>967</v>
      </c>
      <c r="K172" s="7414"/>
      <c r="L172" s="7427"/>
      <c r="M172" s="2921"/>
      <c r="N172" s="2921"/>
      <c r="O172" s="2921"/>
      <c r="P172" s="2921"/>
      <c r="Q172" s="2921"/>
    </row>
    <row r="173" spans="1:17" x14ac:dyDescent="0.25">
      <c r="A173" s="2911" t="s">
        <v>968</v>
      </c>
      <c r="B173" s="2910">
        <f>0+0+3</f>
        <v>3</v>
      </c>
      <c r="C173" s="2910">
        <f>0+0+19</f>
        <v>19</v>
      </c>
      <c r="D173" s="2942"/>
      <c r="E173" s="2914" t="s">
        <v>917</v>
      </c>
      <c r="F173" s="2920">
        <f>0+0+169</f>
        <v>169</v>
      </c>
      <c r="G173" s="2920">
        <f>0+0+674</f>
        <v>674</v>
      </c>
      <c r="H173" s="2942"/>
      <c r="I173" s="7365"/>
      <c r="J173" s="3694" t="s">
        <v>969</v>
      </c>
      <c r="K173" s="7362"/>
      <c r="L173" s="7426"/>
      <c r="M173" s="2921"/>
      <c r="N173" s="2921"/>
      <c r="O173" s="2921"/>
      <c r="P173" s="2921"/>
      <c r="Q173" s="2921"/>
    </row>
    <row r="174" spans="1:17" x14ac:dyDescent="0.25">
      <c r="A174" s="7415" t="s">
        <v>907</v>
      </c>
      <c r="B174" s="7410">
        <v>5</v>
      </c>
      <c r="C174" s="7410">
        <v>543</v>
      </c>
      <c r="D174" s="2942"/>
      <c r="E174" s="2914" t="s">
        <v>970</v>
      </c>
      <c r="F174" s="2920">
        <v>108</v>
      </c>
      <c r="G174" s="2920">
        <v>291</v>
      </c>
      <c r="H174" s="2942"/>
      <c r="I174" s="2942"/>
      <c r="J174" s="2909" t="s">
        <v>12</v>
      </c>
      <c r="K174" s="2908">
        <f>SUM(K152:K173)</f>
        <v>8855</v>
      </c>
      <c r="L174" s="2908">
        <f>SUM(L152:L173)</f>
        <v>16716</v>
      </c>
      <c r="M174" s="2921"/>
      <c r="N174" s="2921"/>
      <c r="O174" s="2921"/>
      <c r="P174" s="2921"/>
      <c r="Q174" s="2921"/>
    </row>
    <row r="175" spans="1:17" x14ac:dyDescent="0.25">
      <c r="A175" s="7416"/>
      <c r="B175" s="7362"/>
      <c r="C175" s="7362"/>
      <c r="D175" s="2942"/>
      <c r="E175" s="2914" t="s">
        <v>918</v>
      </c>
      <c r="F175" s="2920">
        <v>2256</v>
      </c>
      <c r="G175" s="2920">
        <v>2256</v>
      </c>
      <c r="H175" s="2942"/>
      <c r="I175" s="2942"/>
      <c r="J175" s="2942"/>
      <c r="K175" s="2942"/>
      <c r="L175" s="2942"/>
      <c r="M175" s="2921"/>
      <c r="N175" s="2921"/>
      <c r="O175" s="2921"/>
      <c r="P175" s="2921"/>
      <c r="Q175" s="2921"/>
    </row>
    <row r="176" spans="1:17" x14ac:dyDescent="0.25">
      <c r="A176" s="2907"/>
      <c r="B176" s="2915"/>
      <c r="C176" s="2915"/>
      <c r="D176" s="2942"/>
      <c r="E176" s="2914" t="s">
        <v>971</v>
      </c>
      <c r="F176" s="2920">
        <v>51</v>
      </c>
      <c r="G176" s="2920">
        <v>135</v>
      </c>
      <c r="H176" s="2942"/>
      <c r="I176" s="2942"/>
      <c r="J176" s="2942"/>
      <c r="K176" s="2942"/>
      <c r="L176" s="2942"/>
      <c r="M176" s="2921"/>
      <c r="N176" s="2921"/>
      <c r="O176" s="2921"/>
      <c r="P176" s="2921"/>
      <c r="Q176" s="2921"/>
    </row>
    <row r="177" spans="1:17" x14ac:dyDescent="0.25">
      <c r="A177" s="2906" t="s">
        <v>916</v>
      </c>
      <c r="B177" s="2920">
        <f>0+4+8+1</f>
        <v>13</v>
      </c>
      <c r="C177" s="2915">
        <f>0+132+336+9</f>
        <v>477</v>
      </c>
      <c r="D177" s="2942"/>
      <c r="E177" s="2914" t="s">
        <v>920</v>
      </c>
      <c r="F177" s="2920">
        <f>0+39900+0</f>
        <v>39900</v>
      </c>
      <c r="G177" s="2920">
        <f>0+39900+0</f>
        <v>39900</v>
      </c>
      <c r="H177" s="2942"/>
      <c r="I177" s="2942"/>
      <c r="J177" s="2782"/>
      <c r="K177" s="2877"/>
      <c r="L177" s="2942"/>
      <c r="M177" s="2921"/>
      <c r="N177" s="2921"/>
      <c r="O177" s="2921"/>
      <c r="P177" s="2921"/>
      <c r="Q177" s="2921"/>
    </row>
    <row r="178" spans="1:17" x14ac:dyDescent="0.25">
      <c r="A178" s="2906" t="s">
        <v>925</v>
      </c>
      <c r="B178" s="2920">
        <f>0+0+3+1</f>
        <v>4</v>
      </c>
      <c r="C178" s="2915">
        <f>0+0+17+12</f>
        <v>29</v>
      </c>
      <c r="D178" s="2942"/>
      <c r="E178" s="2914" t="s">
        <v>972</v>
      </c>
      <c r="F178" s="2920">
        <v>1</v>
      </c>
      <c r="G178" s="2920">
        <v>120</v>
      </c>
      <c r="H178" s="2942"/>
      <c r="I178" s="2942"/>
      <c r="J178" s="2872"/>
      <c r="K178" s="2872"/>
      <c r="L178" s="2872"/>
      <c r="M178" s="2921"/>
      <c r="N178" s="2921"/>
      <c r="O178" s="2921"/>
      <c r="P178" s="2921"/>
      <c r="Q178" s="2921"/>
    </row>
    <row r="179" spans="1:17" x14ac:dyDescent="0.25">
      <c r="A179" s="2909" t="s">
        <v>12</v>
      </c>
      <c r="B179" s="2908">
        <f>SUM(B153:B178)</f>
        <v>152</v>
      </c>
      <c r="C179" s="2908">
        <f>SUM(C153:C178)</f>
        <v>20034</v>
      </c>
      <c r="D179" s="2942"/>
      <c r="E179" s="2914" t="s">
        <v>950</v>
      </c>
      <c r="F179" s="2920">
        <v>79</v>
      </c>
      <c r="G179" s="2920">
        <v>244</v>
      </c>
      <c r="H179" s="2942"/>
      <c r="I179" s="2942"/>
      <c r="J179" s="2942"/>
      <c r="K179" s="2942"/>
      <c r="L179" s="2942"/>
      <c r="M179" s="2921"/>
      <c r="N179" s="2921"/>
      <c r="O179" s="2921"/>
      <c r="P179" s="2921"/>
      <c r="Q179" s="2921"/>
    </row>
    <row r="180" spans="1:17" x14ac:dyDescent="0.25">
      <c r="A180" s="2942"/>
      <c r="B180" s="2942"/>
      <c r="C180" s="2942"/>
      <c r="D180" s="2942"/>
      <c r="E180" s="2914" t="s">
        <v>921</v>
      </c>
      <c r="F180" s="2920">
        <f>0+0+997</f>
        <v>997</v>
      </c>
      <c r="G180" s="2920">
        <f>0+0+997</f>
        <v>997</v>
      </c>
      <c r="H180" s="2942"/>
      <c r="I180" s="2942"/>
      <c r="J180" s="2942"/>
      <c r="K180" s="2942"/>
      <c r="L180" s="2942"/>
      <c r="M180" s="2921"/>
      <c r="N180" s="2921"/>
      <c r="O180" s="2921"/>
      <c r="P180" s="2921"/>
      <c r="Q180" s="2921"/>
    </row>
    <row r="181" spans="1:17" x14ac:dyDescent="0.25">
      <c r="A181" s="2839" t="s">
        <v>973</v>
      </c>
      <c r="B181" s="2839"/>
      <c r="C181" s="2839"/>
      <c r="D181" s="2942"/>
      <c r="E181" s="2913" t="s">
        <v>922</v>
      </c>
      <c r="F181" s="2920">
        <f>0+0+15000+5250</f>
        <v>20250</v>
      </c>
      <c r="G181" s="2920">
        <f>0+0+15000+5250</f>
        <v>20250</v>
      </c>
      <c r="H181" s="2942"/>
      <c r="I181" s="2942"/>
      <c r="J181" s="2942"/>
      <c r="K181" s="2942"/>
      <c r="L181" s="2942"/>
      <c r="M181" s="2921"/>
      <c r="N181" s="2921"/>
      <c r="O181" s="2921"/>
      <c r="P181" s="2921"/>
      <c r="Q181" s="2921"/>
    </row>
    <row r="182" spans="1:17" x14ac:dyDescent="0.25">
      <c r="A182" s="2942" t="s">
        <v>974</v>
      </c>
      <c r="B182" s="2805"/>
      <c r="C182" s="2805"/>
      <c r="D182" s="2942"/>
      <c r="E182" s="2914" t="s">
        <v>896</v>
      </c>
      <c r="F182" s="2920">
        <f>0+5103+0</f>
        <v>5103</v>
      </c>
      <c r="G182" s="2920">
        <f>0+10206+0</f>
        <v>10206</v>
      </c>
      <c r="H182" s="2942"/>
      <c r="I182" s="2942"/>
      <c r="J182" s="2942"/>
      <c r="K182" s="2942"/>
      <c r="L182" s="2942"/>
      <c r="M182" s="2921"/>
      <c r="N182" s="2921"/>
      <c r="O182" s="2921"/>
      <c r="P182" s="2921"/>
      <c r="Q182" s="2921"/>
    </row>
    <row r="183" spans="1:17" x14ac:dyDescent="0.25">
      <c r="A183" s="2942" t="s">
        <v>975</v>
      </c>
      <c r="B183" s="2942"/>
      <c r="C183" s="2942"/>
      <c r="D183" s="2942"/>
      <c r="E183" s="2914" t="s">
        <v>923</v>
      </c>
      <c r="F183" s="2920">
        <f>0+0+105</f>
        <v>105</v>
      </c>
      <c r="G183" s="2920">
        <f>0+0+1050</f>
        <v>1050</v>
      </c>
      <c r="H183" s="2942"/>
      <c r="I183" s="2942"/>
      <c r="J183" s="2942"/>
      <c r="K183" s="2942"/>
      <c r="L183" s="2942"/>
      <c r="M183" s="2921"/>
      <c r="N183" s="2921"/>
      <c r="O183" s="2921"/>
      <c r="P183" s="2921"/>
      <c r="Q183" s="2921"/>
    </row>
    <row r="184" spans="1:17" x14ac:dyDescent="0.25">
      <c r="A184" s="2942"/>
      <c r="B184" s="2942"/>
      <c r="C184" s="2942"/>
      <c r="D184" s="2942"/>
      <c r="E184" s="2913" t="s">
        <v>904</v>
      </c>
      <c r="F184" s="2915">
        <f>96+750+1475+780+1440</f>
        <v>4541</v>
      </c>
      <c r="G184" s="2915">
        <f>1856+6000+2956+1548+2288</f>
        <v>14648</v>
      </c>
      <c r="H184" s="2942"/>
      <c r="I184" s="2942"/>
      <c r="J184" s="2942"/>
      <c r="K184" s="2942"/>
      <c r="L184" s="2942"/>
      <c r="M184" s="2921"/>
      <c r="N184" s="2921"/>
      <c r="O184" s="2921"/>
      <c r="P184" s="2921"/>
      <c r="Q184" s="2921"/>
    </row>
    <row r="185" spans="1:17" x14ac:dyDescent="0.25">
      <c r="A185" s="2942"/>
      <c r="B185" s="2942"/>
      <c r="C185" s="2942"/>
      <c r="D185" s="2942"/>
      <c r="E185" s="2913" t="s">
        <v>976</v>
      </c>
      <c r="F185" s="2915">
        <f>0+0+477+49</f>
        <v>526</v>
      </c>
      <c r="G185" s="2915">
        <f>0+0+2862+98</f>
        <v>2960</v>
      </c>
      <c r="H185" s="2942"/>
      <c r="I185" s="2942"/>
      <c r="J185" s="2942"/>
      <c r="K185" s="2942"/>
      <c r="L185" s="2942"/>
      <c r="M185" s="2921"/>
      <c r="N185" s="2921"/>
      <c r="O185" s="2921"/>
      <c r="P185" s="2921"/>
      <c r="Q185" s="2921"/>
    </row>
    <row r="186" spans="1:17" x14ac:dyDescent="0.25">
      <c r="A186" s="2942"/>
      <c r="B186" s="2942"/>
      <c r="C186" s="2942"/>
      <c r="D186" s="2839"/>
      <c r="E186" s="2913" t="s">
        <v>977</v>
      </c>
      <c r="F186" s="2915">
        <f>96+0+0+75</f>
        <v>171</v>
      </c>
      <c r="G186" s="2915">
        <f>2144+0+0+304</f>
        <v>2448</v>
      </c>
      <c r="H186" s="2942"/>
      <c r="I186" s="2942"/>
      <c r="J186" s="2942"/>
      <c r="K186" s="2942"/>
      <c r="L186" s="2942"/>
      <c r="M186" s="2921"/>
      <c r="N186" s="2921"/>
      <c r="O186" s="2921"/>
      <c r="P186" s="2921"/>
      <c r="Q186" s="2921"/>
    </row>
    <row r="187" spans="1:17" x14ac:dyDescent="0.25">
      <c r="A187" s="2942"/>
      <c r="B187" s="2942"/>
      <c r="C187" s="2942"/>
      <c r="D187" s="2805"/>
      <c r="E187" s="2914" t="s">
        <v>978</v>
      </c>
      <c r="F187" s="2920">
        <f>96+0+0+50</f>
        <v>146</v>
      </c>
      <c r="G187" s="2915">
        <f>2112+0+0+419</f>
        <v>2531</v>
      </c>
      <c r="H187" s="2942"/>
      <c r="I187" s="2942"/>
      <c r="J187" s="2942"/>
      <c r="K187" s="2942"/>
      <c r="L187" s="2942"/>
      <c r="M187" s="2921"/>
      <c r="N187" s="2921"/>
      <c r="O187" s="2921"/>
      <c r="P187" s="2921"/>
      <c r="Q187" s="2921"/>
    </row>
    <row r="188" spans="1:17" x14ac:dyDescent="0.25">
      <c r="A188" s="2942"/>
      <c r="B188" s="2942"/>
      <c r="C188" s="2942"/>
      <c r="D188" s="2942"/>
      <c r="E188" s="2909" t="s">
        <v>12</v>
      </c>
      <c r="F188" s="2908">
        <f>SUM(F153:F187)</f>
        <v>308184</v>
      </c>
      <c r="G188" s="2908">
        <f>SUM(G153:G187)</f>
        <v>391326</v>
      </c>
      <c r="H188" s="2942"/>
      <c r="I188" s="2942"/>
      <c r="J188" s="2942"/>
      <c r="K188" s="2942"/>
      <c r="L188" s="2942"/>
      <c r="M188" s="2921"/>
      <c r="N188" s="2921"/>
      <c r="O188" s="2921"/>
      <c r="P188" s="2921"/>
      <c r="Q188" s="2921"/>
    </row>
    <row r="189" spans="1:17" x14ac:dyDescent="0.25">
      <c r="A189" s="2921"/>
      <c r="B189" s="2921"/>
      <c r="C189" s="2921"/>
      <c r="D189" s="2921"/>
      <c r="E189" s="2921"/>
      <c r="F189" s="2921"/>
      <c r="G189" s="2921"/>
      <c r="H189" s="2942"/>
      <c r="I189" s="2921"/>
      <c r="J189" s="2921"/>
      <c r="K189" s="2921"/>
      <c r="L189" s="2921"/>
      <c r="M189" s="2921"/>
      <c r="N189" s="2921"/>
      <c r="O189" s="2921"/>
      <c r="P189" s="2921"/>
      <c r="Q189" s="2921"/>
    </row>
    <row r="190" spans="1:17" x14ac:dyDescent="0.25">
      <c r="A190" s="2921"/>
      <c r="B190" s="2921"/>
      <c r="C190" s="2921"/>
      <c r="D190" s="2921"/>
      <c r="E190" s="2921"/>
      <c r="F190" s="2921"/>
      <c r="G190" s="2921"/>
      <c r="H190" s="2921"/>
      <c r="I190" s="2921"/>
      <c r="J190" s="2921"/>
      <c r="K190" s="2921"/>
      <c r="L190" s="2921"/>
      <c r="M190" s="2921"/>
      <c r="N190" s="2921"/>
      <c r="O190" s="2921"/>
      <c r="P190" s="2921"/>
      <c r="Q190" s="2921"/>
    </row>
    <row r="191" spans="1:17" x14ac:dyDescent="0.25">
      <c r="A191" s="7381" t="s">
        <v>861</v>
      </c>
      <c r="B191" s="7382"/>
      <c r="C191" s="7383"/>
      <c r="D191" s="2942"/>
      <c r="E191" s="7381" t="s">
        <v>1066</v>
      </c>
      <c r="F191" s="7382"/>
      <c r="G191" s="7383"/>
      <c r="H191" s="2921"/>
      <c r="I191" s="7381" t="s">
        <v>1067</v>
      </c>
      <c r="J191" s="7382"/>
      <c r="K191" s="7382"/>
      <c r="L191" s="7383"/>
      <c r="M191" s="2921"/>
      <c r="N191" s="2921"/>
      <c r="O191" s="2921"/>
      <c r="P191" s="2921"/>
      <c r="Q191" s="2921"/>
    </row>
    <row r="192" spans="1:17" x14ac:dyDescent="0.25">
      <c r="A192" s="7381" t="s">
        <v>1068</v>
      </c>
      <c r="B192" s="7382"/>
      <c r="C192" s="7383"/>
      <c r="D192" s="2942"/>
      <c r="E192" s="7381" t="s">
        <v>862</v>
      </c>
      <c r="F192" s="7382"/>
      <c r="G192" s="7383"/>
      <c r="H192" s="2942"/>
      <c r="I192" s="7386" t="s">
        <v>582</v>
      </c>
      <c r="J192" s="7406" t="s">
        <v>863</v>
      </c>
      <c r="K192" s="7387" t="s">
        <v>869</v>
      </c>
      <c r="L192" s="7390"/>
      <c r="M192" s="2921"/>
      <c r="N192" s="2921"/>
      <c r="O192" s="2921"/>
      <c r="P192" s="2921"/>
      <c r="Q192" s="2921"/>
    </row>
    <row r="193" spans="1:17" x14ac:dyDescent="0.25">
      <c r="A193" s="7385" t="s">
        <v>865</v>
      </c>
      <c r="B193" s="7404" t="s">
        <v>866</v>
      </c>
      <c r="C193" s="7404" t="s">
        <v>867</v>
      </c>
      <c r="D193" s="2929"/>
      <c r="E193" s="7385" t="s">
        <v>582</v>
      </c>
      <c r="F193" s="7404" t="s">
        <v>868</v>
      </c>
      <c r="G193" s="7404" t="s">
        <v>869</v>
      </c>
      <c r="H193" s="2929"/>
      <c r="I193" s="7384"/>
      <c r="J193" s="7384"/>
      <c r="K193" s="2838" t="s">
        <v>927</v>
      </c>
      <c r="L193" s="2936" t="s">
        <v>979</v>
      </c>
      <c r="M193" s="2921"/>
      <c r="N193" s="2921"/>
      <c r="O193" s="2921"/>
      <c r="P193" s="2921"/>
      <c r="Q193" s="2921"/>
    </row>
    <row r="194" spans="1:17" x14ac:dyDescent="0.25">
      <c r="A194" s="7385"/>
      <c r="B194" s="7405"/>
      <c r="C194" s="7405"/>
      <c r="D194" s="2929"/>
      <c r="E194" s="7385"/>
      <c r="F194" s="7405"/>
      <c r="G194" s="7405"/>
      <c r="H194" s="2929"/>
      <c r="I194" s="2782"/>
      <c r="J194" s="2782"/>
      <c r="K194" s="2926"/>
      <c r="L194" s="2929"/>
      <c r="M194" s="2921"/>
      <c r="N194" s="2921"/>
      <c r="O194" s="2921"/>
      <c r="P194" s="2921"/>
      <c r="Q194" s="2921"/>
    </row>
    <row r="195" spans="1:17" x14ac:dyDescent="0.25">
      <c r="A195" s="2782"/>
      <c r="B195" s="2782"/>
      <c r="C195" s="2926"/>
      <c r="D195" s="2929"/>
      <c r="E195" s="2782"/>
      <c r="F195" s="2782"/>
      <c r="G195" s="2926"/>
      <c r="H195" s="2929"/>
      <c r="I195" s="2837" t="s">
        <v>980</v>
      </c>
      <c r="J195" s="7420" t="s">
        <v>981</v>
      </c>
      <c r="K195" s="7422">
        <v>940</v>
      </c>
      <c r="L195" s="7410">
        <v>3100</v>
      </c>
      <c r="M195" s="2921"/>
      <c r="N195" s="2921"/>
      <c r="O195" s="2921"/>
      <c r="P195" s="2921"/>
      <c r="Q195" s="2921"/>
    </row>
    <row r="196" spans="1:17" x14ac:dyDescent="0.25">
      <c r="A196" s="2845" t="s">
        <v>870</v>
      </c>
      <c r="B196" s="2841">
        <f>0+1+1+6</f>
        <v>8</v>
      </c>
      <c r="C196" s="2808">
        <f>0+18+30+91</f>
        <v>139</v>
      </c>
      <c r="D196" s="2929"/>
      <c r="E196" s="2807" t="s">
        <v>924</v>
      </c>
      <c r="F196" s="2841">
        <f>332+96+23</f>
        <v>451</v>
      </c>
      <c r="G196" s="2808">
        <f>665+1440+46</f>
        <v>2151</v>
      </c>
      <c r="H196" s="2929"/>
      <c r="I196" s="7417" t="s">
        <v>931</v>
      </c>
      <c r="J196" s="7421"/>
      <c r="K196" s="7423"/>
      <c r="L196" s="7414"/>
      <c r="M196" s="2921"/>
      <c r="N196" s="2921"/>
      <c r="O196" s="2921"/>
      <c r="P196" s="2921"/>
      <c r="Q196" s="2921"/>
    </row>
    <row r="197" spans="1:17" x14ac:dyDescent="0.25">
      <c r="A197" s="2845" t="s">
        <v>932</v>
      </c>
      <c r="B197" s="2841">
        <f>0+0+0+8</f>
        <v>8</v>
      </c>
      <c r="C197" s="2808">
        <f>0+0+0+1842</f>
        <v>1842</v>
      </c>
      <c r="D197" s="2929"/>
      <c r="E197" s="2806" t="s">
        <v>982</v>
      </c>
      <c r="F197" s="2920">
        <v>108</v>
      </c>
      <c r="G197" s="2920">
        <v>1620</v>
      </c>
      <c r="H197" s="2929"/>
      <c r="I197" s="7417"/>
      <c r="J197" s="7418" t="s">
        <v>938</v>
      </c>
      <c r="K197" s="7423"/>
      <c r="L197" s="7414"/>
      <c r="M197" s="2921"/>
      <c r="N197" s="2921"/>
      <c r="O197" s="2921"/>
      <c r="P197" s="2921"/>
      <c r="Q197" s="2921"/>
    </row>
    <row r="198" spans="1:17" x14ac:dyDescent="0.25">
      <c r="A198" s="2806" t="s">
        <v>873</v>
      </c>
      <c r="B198" s="2920">
        <f>3+0+115</f>
        <v>118</v>
      </c>
      <c r="C198" s="2920">
        <f>141+0+50+538</f>
        <v>729</v>
      </c>
      <c r="D198" s="2929"/>
      <c r="E198" s="2869" t="s">
        <v>934</v>
      </c>
      <c r="F198" s="2920">
        <f>3+315+820</f>
        <v>1138</v>
      </c>
      <c r="G198" s="2920">
        <f>213+1260+9020</f>
        <v>10493</v>
      </c>
      <c r="H198" s="2929"/>
      <c r="I198" s="7417"/>
      <c r="J198" s="7418"/>
      <c r="K198" s="7423"/>
      <c r="L198" s="7414"/>
      <c r="M198" s="2921"/>
      <c r="N198" s="2921"/>
      <c r="O198" s="2921"/>
      <c r="P198" s="2921"/>
      <c r="Q198" s="2921"/>
    </row>
    <row r="199" spans="1:17" x14ac:dyDescent="0.25">
      <c r="A199" s="7415" t="s">
        <v>983</v>
      </c>
      <c r="B199" s="7410">
        <f>0+1</f>
        <v>1</v>
      </c>
      <c r="C199" s="7410">
        <f>0+24</f>
        <v>24</v>
      </c>
      <c r="D199" s="2929"/>
      <c r="E199" s="2916" t="s">
        <v>874</v>
      </c>
      <c r="F199" s="2915">
        <f>1194+685+1669</f>
        <v>3548</v>
      </c>
      <c r="G199" s="2915">
        <f>4775+6850+10014</f>
        <v>21639</v>
      </c>
      <c r="H199" s="2929"/>
      <c r="I199" s="7417"/>
      <c r="J199" s="7418"/>
      <c r="K199" s="7423"/>
      <c r="L199" s="7414"/>
      <c r="M199" s="2921"/>
      <c r="N199" s="2921"/>
      <c r="O199" s="2921"/>
      <c r="P199" s="2921"/>
      <c r="Q199" s="2921"/>
    </row>
    <row r="200" spans="1:17" x14ac:dyDescent="0.25">
      <c r="A200" s="7416"/>
      <c r="B200" s="7362"/>
      <c r="C200" s="7362"/>
      <c r="D200" s="2929"/>
      <c r="E200" s="2916" t="s">
        <v>984</v>
      </c>
      <c r="F200" s="2915">
        <v>1</v>
      </c>
      <c r="G200" s="2915">
        <v>167</v>
      </c>
      <c r="H200" s="2929"/>
      <c r="I200" s="7417" t="s">
        <v>985</v>
      </c>
      <c r="J200" s="7418"/>
      <c r="K200" s="7423"/>
      <c r="L200" s="7414"/>
      <c r="M200" s="2921"/>
      <c r="N200" s="2921"/>
      <c r="O200" s="2921"/>
      <c r="P200" s="2921"/>
      <c r="Q200" s="2921"/>
    </row>
    <row r="201" spans="1:17" x14ac:dyDescent="0.25">
      <c r="A201" s="2806" t="s">
        <v>939</v>
      </c>
      <c r="B201" s="2920">
        <v>1</v>
      </c>
      <c r="C201" s="2920">
        <v>34</v>
      </c>
      <c r="D201" s="2929"/>
      <c r="E201" s="2916" t="s">
        <v>986</v>
      </c>
      <c r="F201" s="2915">
        <v>3</v>
      </c>
      <c r="G201" s="2915">
        <v>5438</v>
      </c>
      <c r="H201" s="2929"/>
      <c r="I201" s="7417"/>
      <c r="J201" s="7418"/>
      <c r="K201" s="7423"/>
      <c r="L201" s="7414"/>
      <c r="M201" s="2921"/>
      <c r="N201" s="2921"/>
      <c r="O201" s="2921"/>
      <c r="P201" s="2921"/>
      <c r="Q201" s="2921"/>
    </row>
    <row r="202" spans="1:17" x14ac:dyDescent="0.25">
      <c r="A202" s="2806" t="s">
        <v>942</v>
      </c>
      <c r="B202" s="2920">
        <f>0+0+0+7</f>
        <v>7</v>
      </c>
      <c r="C202" s="2920">
        <f>0+0+0+28</f>
        <v>28</v>
      </c>
      <c r="D202" s="2929"/>
      <c r="E202" s="2916" t="s">
        <v>878</v>
      </c>
      <c r="F202" s="2915">
        <v>10</v>
      </c>
      <c r="G202" s="2915">
        <v>406</v>
      </c>
      <c r="H202" s="2929"/>
      <c r="I202" s="7417"/>
      <c r="J202" s="7418"/>
      <c r="K202" s="7423"/>
      <c r="L202" s="7414"/>
      <c r="M202" s="2921"/>
      <c r="N202" s="2921"/>
      <c r="O202" s="2921"/>
      <c r="P202" s="2921"/>
      <c r="Q202" s="2921"/>
    </row>
    <row r="203" spans="1:17" x14ac:dyDescent="0.25">
      <c r="A203" s="2806" t="s">
        <v>987</v>
      </c>
      <c r="B203" s="2920">
        <f>0+0+2+3</f>
        <v>5</v>
      </c>
      <c r="C203" s="2920">
        <f>0+0+80+289</f>
        <v>369</v>
      </c>
      <c r="D203" s="2929"/>
      <c r="E203" s="2916" t="s">
        <v>889</v>
      </c>
      <c r="F203" s="2915">
        <v>10</v>
      </c>
      <c r="G203" s="2915">
        <v>4451</v>
      </c>
      <c r="H203" s="2929"/>
      <c r="I203" s="7417"/>
      <c r="J203" s="7418"/>
      <c r="K203" s="7423"/>
      <c r="L203" s="7414"/>
      <c r="M203" s="2921"/>
      <c r="N203" s="2921"/>
      <c r="O203" s="2921"/>
      <c r="P203" s="2921"/>
      <c r="Q203" s="2921"/>
    </row>
    <row r="204" spans="1:17" x14ac:dyDescent="0.25">
      <c r="A204" s="2806" t="s">
        <v>876</v>
      </c>
      <c r="B204" s="2920">
        <f>0+0+0+2</f>
        <v>2</v>
      </c>
      <c r="C204" s="2920">
        <f>0+0+0+34</f>
        <v>34</v>
      </c>
      <c r="D204" s="2929"/>
      <c r="E204" s="2916" t="s">
        <v>891</v>
      </c>
      <c r="F204" s="2915">
        <v>185</v>
      </c>
      <c r="G204" s="2915">
        <v>1486</v>
      </c>
      <c r="H204" s="2929"/>
      <c r="I204" s="7417"/>
      <c r="J204" s="7418"/>
      <c r="K204" s="7423"/>
      <c r="L204" s="7414"/>
      <c r="M204" s="2921"/>
      <c r="N204" s="2921"/>
      <c r="O204" s="2921"/>
      <c r="P204" s="2921"/>
      <c r="Q204" s="2921"/>
    </row>
    <row r="205" spans="1:17" x14ac:dyDescent="0.25">
      <c r="A205" s="2806" t="s">
        <v>878</v>
      </c>
      <c r="B205" s="2920">
        <f>0+0+0+4</f>
        <v>4</v>
      </c>
      <c r="C205" s="2920">
        <f>0+0+0+112</f>
        <v>112</v>
      </c>
      <c r="D205" s="2929"/>
      <c r="E205" s="2916" t="s">
        <v>880</v>
      </c>
      <c r="F205" s="2915">
        <f>11+525+350</f>
        <v>886</v>
      </c>
      <c r="G205" s="2915">
        <f>113+4200+4560</f>
        <v>8873</v>
      </c>
      <c r="H205" s="2929"/>
      <c r="I205" s="7416"/>
      <c r="J205" s="7419"/>
      <c r="K205" s="7424"/>
      <c r="L205" s="7362"/>
      <c r="M205" s="2921"/>
      <c r="N205" s="2921"/>
      <c r="O205" s="2921"/>
      <c r="P205" s="2921"/>
      <c r="Q205" s="2921"/>
    </row>
    <row r="206" spans="1:17" x14ac:dyDescent="0.25">
      <c r="A206" s="2914" t="s">
        <v>988</v>
      </c>
      <c r="B206" s="2920">
        <f>0+0+1+1</f>
        <v>2</v>
      </c>
      <c r="C206" s="2920">
        <f>0+0+17+3</f>
        <v>20</v>
      </c>
      <c r="D206" s="2929"/>
      <c r="E206" s="2914" t="s">
        <v>887</v>
      </c>
      <c r="F206" s="2920">
        <f>362+96+270+339</f>
        <v>1067</v>
      </c>
      <c r="G206" s="2920">
        <f>3623+1920+6558+4068</f>
        <v>16169</v>
      </c>
      <c r="H206" s="2929"/>
      <c r="I206" s="2859" t="s">
        <v>989</v>
      </c>
      <c r="J206" s="7410" t="s">
        <v>990</v>
      </c>
      <c r="K206" s="7410">
        <v>1332</v>
      </c>
      <c r="L206" s="7410">
        <v>13642</v>
      </c>
      <c r="M206" s="2921"/>
      <c r="N206" s="2921"/>
      <c r="O206" s="2921"/>
      <c r="P206" s="2921"/>
      <c r="Q206" s="2921"/>
    </row>
    <row r="207" spans="1:17" x14ac:dyDescent="0.25">
      <c r="A207" s="2914" t="s">
        <v>880</v>
      </c>
      <c r="B207" s="2920">
        <f>6+1+1+13</f>
        <v>21</v>
      </c>
      <c r="C207" s="2920">
        <f>4752+120+4464+1687</f>
        <v>11023</v>
      </c>
      <c r="D207" s="2929"/>
      <c r="E207" s="2914" t="s">
        <v>991</v>
      </c>
      <c r="F207" s="2920">
        <v>38</v>
      </c>
      <c r="G207" s="2920">
        <v>380</v>
      </c>
      <c r="H207" s="2929"/>
      <c r="I207" s="7417" t="s">
        <v>992</v>
      </c>
      <c r="J207" s="7414"/>
      <c r="K207" s="7414"/>
      <c r="L207" s="7414"/>
      <c r="M207" s="2921"/>
      <c r="N207" s="2921"/>
      <c r="O207" s="2921"/>
      <c r="P207" s="2921"/>
      <c r="Q207" s="2921"/>
    </row>
    <row r="208" spans="1:17" x14ac:dyDescent="0.25">
      <c r="A208" s="2914" t="s">
        <v>993</v>
      </c>
      <c r="B208" s="2920">
        <f>0+0+0+1</f>
        <v>1</v>
      </c>
      <c r="C208" s="2920">
        <f>0+0+0+387</f>
        <v>387</v>
      </c>
      <c r="D208" s="2929"/>
      <c r="E208" s="2914" t="s">
        <v>897</v>
      </c>
      <c r="F208" s="2920">
        <v>10</v>
      </c>
      <c r="G208" s="2920">
        <v>50</v>
      </c>
      <c r="H208" s="2929"/>
      <c r="I208" s="7417"/>
      <c r="J208" s="7418" t="s">
        <v>938</v>
      </c>
      <c r="K208" s="7414"/>
      <c r="L208" s="7414"/>
      <c r="M208" s="2921"/>
      <c r="N208" s="2921"/>
      <c r="O208" s="2921"/>
      <c r="P208" s="2921"/>
      <c r="Q208" s="2921"/>
    </row>
    <row r="209" spans="1:17" x14ac:dyDescent="0.25">
      <c r="A209" s="2914" t="s">
        <v>884</v>
      </c>
      <c r="B209" s="2920">
        <f>0+2</f>
        <v>2</v>
      </c>
      <c r="C209" s="2920">
        <f>0+210</f>
        <v>210</v>
      </c>
      <c r="D209" s="2929"/>
      <c r="E209" s="2914" t="s">
        <v>901</v>
      </c>
      <c r="F209" s="2920">
        <f>168000+26400+180</f>
        <v>194580</v>
      </c>
      <c r="G209" s="2920">
        <f>168000+26400+90000</f>
        <v>284400</v>
      </c>
      <c r="H209" s="2929"/>
      <c r="I209" s="7417"/>
      <c r="J209" s="7418"/>
      <c r="K209" s="7414"/>
      <c r="L209" s="7414"/>
      <c r="M209" s="2921"/>
      <c r="N209" s="2921"/>
      <c r="O209" s="2921"/>
      <c r="P209" s="2921"/>
      <c r="Q209" s="2921"/>
    </row>
    <row r="210" spans="1:17" x14ac:dyDescent="0.25">
      <c r="A210" s="2914" t="s">
        <v>887</v>
      </c>
      <c r="B210" s="2920">
        <f>4+10</f>
        <v>14</v>
      </c>
      <c r="C210" s="2915">
        <f>1297+1929</f>
        <v>3226</v>
      </c>
      <c r="D210" s="2929"/>
      <c r="E210" s="2806" t="s">
        <v>911</v>
      </c>
      <c r="F210" s="2920">
        <f>33</f>
        <v>33</v>
      </c>
      <c r="G210" s="2920">
        <f>396</f>
        <v>396</v>
      </c>
      <c r="H210" s="2929"/>
      <c r="I210" s="7417"/>
      <c r="J210" s="7418"/>
      <c r="K210" s="7414"/>
      <c r="L210" s="7414"/>
      <c r="M210" s="2921"/>
      <c r="N210" s="2921"/>
      <c r="O210" s="2921"/>
      <c r="P210" s="2921"/>
      <c r="Q210" s="2921"/>
    </row>
    <row r="211" spans="1:17" x14ac:dyDescent="0.25">
      <c r="A211" s="2914" t="s">
        <v>888</v>
      </c>
      <c r="B211" s="2920">
        <v>2</v>
      </c>
      <c r="C211" s="2920">
        <f>140+37</f>
        <v>177</v>
      </c>
      <c r="D211" s="2929"/>
      <c r="E211" s="2806" t="s">
        <v>955</v>
      </c>
      <c r="F211" s="2920">
        <f>32+72</f>
        <v>104</v>
      </c>
      <c r="G211" s="2920">
        <f>320+1296</f>
        <v>1616</v>
      </c>
      <c r="H211" s="2929"/>
      <c r="I211" s="7417"/>
      <c r="J211" s="7418"/>
      <c r="K211" s="7414"/>
      <c r="L211" s="7414"/>
      <c r="M211" s="2921"/>
      <c r="N211" s="2921"/>
      <c r="O211" s="2921"/>
      <c r="P211" s="2921"/>
      <c r="Q211" s="2921"/>
    </row>
    <row r="212" spans="1:17" x14ac:dyDescent="0.25">
      <c r="A212" s="2914" t="s">
        <v>890</v>
      </c>
      <c r="B212" s="2920">
        <v>1</v>
      </c>
      <c r="C212" s="2920">
        <f>281</f>
        <v>281</v>
      </c>
      <c r="D212" s="2929"/>
      <c r="E212" s="2914" t="s">
        <v>917</v>
      </c>
      <c r="F212" s="2920">
        <v>108</v>
      </c>
      <c r="G212" s="2920">
        <v>756</v>
      </c>
      <c r="H212" s="2929"/>
      <c r="I212" s="7417"/>
      <c r="J212" s="7418"/>
      <c r="K212" s="7414"/>
      <c r="L212" s="7414"/>
      <c r="M212" s="2921"/>
      <c r="N212" s="2921"/>
      <c r="O212" s="2921"/>
      <c r="P212" s="2921"/>
      <c r="Q212" s="2921"/>
    </row>
    <row r="213" spans="1:17" x14ac:dyDescent="0.25">
      <c r="A213" s="2914" t="s">
        <v>994</v>
      </c>
      <c r="B213" s="2920">
        <f>1</f>
        <v>1</v>
      </c>
      <c r="C213" s="2920">
        <f>318</f>
        <v>318</v>
      </c>
      <c r="D213" s="2929"/>
      <c r="E213" s="2914" t="s">
        <v>920</v>
      </c>
      <c r="F213" s="2920">
        <f>42000+180</f>
        <v>42180</v>
      </c>
      <c r="G213" s="2920">
        <f>42000+10800</f>
        <v>52800</v>
      </c>
      <c r="H213" s="2929"/>
      <c r="I213" s="7417"/>
      <c r="J213" s="7418"/>
      <c r="K213" s="7414"/>
      <c r="L213" s="7414"/>
      <c r="M213" s="2921"/>
      <c r="N213" s="2921"/>
      <c r="O213" s="2921"/>
      <c r="P213" s="2921"/>
      <c r="Q213" s="2921"/>
    </row>
    <row r="214" spans="1:17" x14ac:dyDescent="0.25">
      <c r="A214" s="2914" t="s">
        <v>955</v>
      </c>
      <c r="B214" s="2920">
        <v>3</v>
      </c>
      <c r="C214" s="2920">
        <v>17</v>
      </c>
      <c r="D214" s="2929"/>
      <c r="E214" s="2914" t="s">
        <v>972</v>
      </c>
      <c r="F214" s="2920">
        <v>1</v>
      </c>
      <c r="G214" s="2920">
        <v>102</v>
      </c>
      <c r="H214" s="2929"/>
      <c r="I214" s="7417"/>
      <c r="J214" s="7418"/>
      <c r="K214" s="7414"/>
      <c r="L214" s="7414"/>
      <c r="M214" s="2921"/>
      <c r="N214" s="2921"/>
      <c r="O214" s="2921"/>
      <c r="P214" s="2921"/>
      <c r="Q214" s="2921"/>
    </row>
    <row r="215" spans="1:17" x14ac:dyDescent="0.25">
      <c r="A215" s="2913" t="s">
        <v>957</v>
      </c>
      <c r="B215" s="2920">
        <v>2</v>
      </c>
      <c r="C215" s="2920">
        <v>67</v>
      </c>
      <c r="D215" s="2929"/>
      <c r="E215" s="2914" t="s">
        <v>950</v>
      </c>
      <c r="F215" s="2920">
        <v>3</v>
      </c>
      <c r="G215" s="2920">
        <v>69</v>
      </c>
      <c r="H215" s="2929"/>
      <c r="I215" s="7416"/>
      <c r="J215" s="7419"/>
      <c r="K215" s="7362"/>
      <c r="L215" s="7362"/>
      <c r="M215" s="2921"/>
      <c r="N215" s="2921"/>
      <c r="O215" s="2921"/>
      <c r="P215" s="2921"/>
      <c r="Q215" s="2921"/>
    </row>
    <row r="216" spans="1:17" x14ac:dyDescent="0.25">
      <c r="A216" s="2914" t="s">
        <v>892</v>
      </c>
      <c r="B216" s="2920">
        <f>2+1</f>
        <v>3</v>
      </c>
      <c r="C216" s="2915">
        <f>225+360</f>
        <v>585</v>
      </c>
      <c r="D216" s="2929"/>
      <c r="E216" s="2914" t="s">
        <v>921</v>
      </c>
      <c r="F216" s="2920">
        <v>231</v>
      </c>
      <c r="G216" s="2920">
        <v>3465</v>
      </c>
      <c r="H216" s="2929"/>
      <c r="I216" s="7412" t="s">
        <v>995</v>
      </c>
      <c r="J216" s="3693" t="s">
        <v>996</v>
      </c>
      <c r="K216" s="7410">
        <f>1469+239+133+1696+1309</f>
        <v>4846</v>
      </c>
      <c r="L216" s="7410">
        <f>1700+60+30+2000+1600</f>
        <v>5390</v>
      </c>
      <c r="M216" s="2921"/>
      <c r="N216" s="2921"/>
      <c r="O216" s="2921"/>
      <c r="P216" s="2921"/>
      <c r="Q216" s="2921"/>
    </row>
    <row r="217" spans="1:17" x14ac:dyDescent="0.25">
      <c r="A217" s="2914" t="s">
        <v>894</v>
      </c>
      <c r="B217" s="2920">
        <f>0+0+6</f>
        <v>6</v>
      </c>
      <c r="C217" s="2920">
        <f>0+0+0+122</f>
        <v>122</v>
      </c>
      <c r="D217" s="2929"/>
      <c r="E217" s="2913" t="s">
        <v>922</v>
      </c>
      <c r="F217" s="2920">
        <v>180</v>
      </c>
      <c r="G217" s="2920">
        <v>12600</v>
      </c>
      <c r="H217" s="2929"/>
      <c r="I217" s="7365"/>
      <c r="J217" s="3695" t="s">
        <v>997</v>
      </c>
      <c r="K217" s="7362"/>
      <c r="L217" s="7362"/>
      <c r="M217" s="2921"/>
      <c r="N217" s="2921"/>
      <c r="O217" s="2921"/>
      <c r="P217" s="2921"/>
      <c r="Q217" s="2921"/>
    </row>
    <row r="218" spans="1:17" x14ac:dyDescent="0.25">
      <c r="A218" s="2914" t="s">
        <v>896</v>
      </c>
      <c r="B218" s="2920">
        <f>0+0+3</f>
        <v>3</v>
      </c>
      <c r="C218" s="2920">
        <f>0+0+65</f>
        <v>65</v>
      </c>
      <c r="D218" s="2929"/>
      <c r="E218" s="2914" t="s">
        <v>896</v>
      </c>
      <c r="F218" s="2920">
        <v>8750</v>
      </c>
      <c r="G218" s="2920">
        <v>17500</v>
      </c>
      <c r="H218" s="2929"/>
      <c r="I218" s="7412" t="s">
        <v>998</v>
      </c>
      <c r="J218" s="3695" t="s">
        <v>999</v>
      </c>
      <c r="K218" s="7410">
        <f>526+101+141+757+675</f>
        <v>2200</v>
      </c>
      <c r="L218" s="7410">
        <v>5390</v>
      </c>
      <c r="M218" s="2921"/>
      <c r="N218" s="2921"/>
      <c r="O218" s="2921"/>
      <c r="P218" s="2921"/>
      <c r="Q218" s="2921"/>
    </row>
    <row r="219" spans="1:17" x14ac:dyDescent="0.25">
      <c r="A219" s="2914" t="s">
        <v>900</v>
      </c>
      <c r="B219" s="2920">
        <f>0+0+2</f>
        <v>2</v>
      </c>
      <c r="C219" s="2920">
        <f>0+0+56</f>
        <v>56</v>
      </c>
      <c r="D219" s="2929"/>
      <c r="E219" s="2914" t="s">
        <v>923</v>
      </c>
      <c r="F219" s="2920">
        <f>4+108</f>
        <v>112</v>
      </c>
      <c r="G219" s="2920">
        <f>25+1404</f>
        <v>1429</v>
      </c>
      <c r="H219" s="2929"/>
      <c r="I219" s="7413"/>
      <c r="J219" s="3695" t="s">
        <v>1000</v>
      </c>
      <c r="K219" s="7414"/>
      <c r="L219" s="7414"/>
      <c r="M219" s="2921"/>
      <c r="N219" s="2921"/>
      <c r="O219" s="2921"/>
      <c r="P219" s="2921"/>
      <c r="Q219" s="2921"/>
    </row>
    <row r="220" spans="1:17" x14ac:dyDescent="0.25">
      <c r="A220" s="2914" t="s">
        <v>904</v>
      </c>
      <c r="B220" s="2920">
        <f>0+1+0+5</f>
        <v>6</v>
      </c>
      <c r="C220" s="2920">
        <f>0+15+0+99</f>
        <v>114</v>
      </c>
      <c r="D220" s="2929"/>
      <c r="E220" s="2913" t="s">
        <v>900</v>
      </c>
      <c r="F220" s="2920">
        <f>40+595+7</f>
        <v>642</v>
      </c>
      <c r="G220" s="2915">
        <f>80+1190+14</f>
        <v>1284</v>
      </c>
      <c r="H220" s="2929"/>
      <c r="I220" s="7365"/>
      <c r="J220" s="3694" t="s">
        <v>1001</v>
      </c>
      <c r="K220" s="7362"/>
      <c r="L220" s="7362"/>
      <c r="M220" s="2921"/>
      <c r="N220" s="2921"/>
      <c r="O220" s="2921"/>
      <c r="P220" s="2921"/>
      <c r="Q220" s="2921"/>
    </row>
    <row r="221" spans="1:17" x14ac:dyDescent="0.25">
      <c r="A221" s="7415" t="s">
        <v>907</v>
      </c>
      <c r="B221" s="7410">
        <f>4</f>
        <v>4</v>
      </c>
      <c r="C221" s="7410">
        <f>522</f>
        <v>522</v>
      </c>
      <c r="D221" s="2929"/>
      <c r="E221" s="2913" t="s">
        <v>904</v>
      </c>
      <c r="F221" s="2915">
        <f>527+96+443</f>
        <v>1066</v>
      </c>
      <c r="G221" s="2915">
        <f>2110+1152+1772</f>
        <v>5034</v>
      </c>
      <c r="H221" s="2929"/>
      <c r="I221" s="2836"/>
      <c r="J221" s="2782"/>
      <c r="K221" s="2877"/>
      <c r="L221" s="2929"/>
      <c r="M221" s="2921"/>
      <c r="N221" s="2921"/>
      <c r="O221" s="2921"/>
      <c r="P221" s="2921"/>
      <c r="Q221" s="2921"/>
    </row>
    <row r="222" spans="1:17" x14ac:dyDescent="0.25">
      <c r="A222" s="7416"/>
      <c r="B222" s="7362"/>
      <c r="C222" s="7362"/>
      <c r="D222" s="2929"/>
      <c r="E222" s="2913" t="s">
        <v>976</v>
      </c>
      <c r="F222" s="2915">
        <f>84+365</f>
        <v>449</v>
      </c>
      <c r="G222" s="2915">
        <f>421+2920</f>
        <v>3341</v>
      </c>
      <c r="H222" s="2929"/>
      <c r="I222" s="2909" t="s">
        <v>12</v>
      </c>
      <c r="J222" s="2908"/>
      <c r="K222" s="2908">
        <f>SUM(K195:K220)</f>
        <v>9318</v>
      </c>
      <c r="L222" s="2908">
        <f>SUM(L195:L218)</f>
        <v>27522</v>
      </c>
      <c r="M222" s="2921"/>
      <c r="N222" s="2921"/>
      <c r="O222" s="2921"/>
      <c r="P222" s="2921"/>
      <c r="Q222" s="2921"/>
    </row>
    <row r="223" spans="1:17" x14ac:dyDescent="0.25">
      <c r="A223" s="2907" t="s">
        <v>910</v>
      </c>
      <c r="B223" s="2915">
        <v>3</v>
      </c>
      <c r="C223" s="2915">
        <v>50</v>
      </c>
      <c r="D223" s="2929"/>
      <c r="E223" s="2913" t="s">
        <v>977</v>
      </c>
      <c r="F223" s="2915">
        <f>0+96</f>
        <v>96</v>
      </c>
      <c r="G223" s="2915">
        <f>0+1536</f>
        <v>1536</v>
      </c>
      <c r="H223" s="2929"/>
      <c r="I223" s="2929"/>
      <c r="J223" s="2929"/>
      <c r="K223" s="2929"/>
      <c r="L223" s="2929"/>
      <c r="M223" s="2921"/>
      <c r="N223" s="2921"/>
      <c r="O223" s="2921"/>
      <c r="P223" s="2921"/>
      <c r="Q223" s="2921"/>
    </row>
    <row r="224" spans="1:17" x14ac:dyDescent="0.25">
      <c r="A224" s="2906" t="s">
        <v>976</v>
      </c>
      <c r="B224" s="2920">
        <f>1+0+4+6</f>
        <v>11</v>
      </c>
      <c r="C224" s="2915">
        <f>22+0+144+355</f>
        <v>521</v>
      </c>
      <c r="D224" s="2929"/>
      <c r="E224" s="2914" t="s">
        <v>978</v>
      </c>
      <c r="F224" s="2920">
        <f>0+96</f>
        <v>96</v>
      </c>
      <c r="G224" s="2915">
        <f>0+1728</f>
        <v>1728</v>
      </c>
      <c r="H224" s="2929"/>
      <c r="I224" s="2929"/>
      <c r="J224" s="2929"/>
      <c r="K224" s="2929"/>
      <c r="L224" s="2929"/>
      <c r="M224" s="2921"/>
      <c r="N224" s="2921"/>
      <c r="O224" s="2921"/>
      <c r="P224" s="2921"/>
      <c r="Q224" s="2921"/>
    </row>
    <row r="225" spans="1:17" x14ac:dyDescent="0.25">
      <c r="A225" s="2782"/>
      <c r="B225" s="2782"/>
      <c r="C225" s="2877"/>
      <c r="D225" s="2929"/>
      <c r="E225" s="2782"/>
      <c r="F225" s="2782"/>
      <c r="G225" s="2877"/>
      <c r="H225" s="2929"/>
      <c r="I225" s="2929"/>
      <c r="J225" s="2929"/>
      <c r="K225" s="2929"/>
      <c r="L225" s="2929"/>
      <c r="M225" s="2921"/>
      <c r="N225" s="2921"/>
      <c r="O225" s="2921"/>
      <c r="P225" s="2921"/>
      <c r="Q225" s="2921"/>
    </row>
    <row r="226" spans="1:17" x14ac:dyDescent="0.25">
      <c r="A226" s="2909" t="s">
        <v>12</v>
      </c>
      <c r="B226" s="2908">
        <f>SUM(B196:B225)</f>
        <v>241</v>
      </c>
      <c r="C226" s="2908">
        <f>SUM(C196:C225)</f>
        <v>21072</v>
      </c>
      <c r="D226" s="2929"/>
      <c r="E226" s="2909" t="s">
        <v>12</v>
      </c>
      <c r="F226" s="2908">
        <f>SUM(F196:F225)</f>
        <v>256086</v>
      </c>
      <c r="G226" s="2908">
        <f>SUM(G196:G225)</f>
        <v>461379</v>
      </c>
      <c r="H226" s="2929"/>
      <c r="I226" s="2929"/>
      <c r="J226" s="2929"/>
      <c r="K226" s="2929"/>
      <c r="L226" s="2929"/>
      <c r="M226" s="2921"/>
      <c r="N226" s="2921"/>
      <c r="O226" s="2921"/>
      <c r="P226" s="2921"/>
      <c r="Q226" s="2921"/>
    </row>
    <row r="227" spans="1:17" x14ac:dyDescent="0.25">
      <c r="A227" s="7411" t="s">
        <v>1002</v>
      </c>
      <c r="B227" s="7411"/>
      <c r="C227" s="7411"/>
      <c r="D227" s="7411"/>
      <c r="E227" s="7411"/>
      <c r="F227" s="7411"/>
      <c r="G227" s="7411"/>
      <c r="H227" s="2929"/>
      <c r="I227" s="2929"/>
      <c r="J227" s="2929"/>
      <c r="K227" s="2929"/>
      <c r="L227" s="2929"/>
      <c r="M227" s="2921"/>
      <c r="N227" s="2921"/>
      <c r="O227" s="2921"/>
      <c r="P227" s="2921"/>
      <c r="Q227" s="2921"/>
    </row>
    <row r="228" spans="1:17" x14ac:dyDescent="0.25">
      <c r="A228" s="2921"/>
      <c r="B228" s="2921"/>
      <c r="C228" s="2921"/>
      <c r="D228" s="2921"/>
      <c r="E228" s="2921"/>
      <c r="F228" s="2921"/>
      <c r="G228" s="2921"/>
      <c r="H228" s="2929"/>
      <c r="I228" s="2921"/>
      <c r="J228" s="2921"/>
      <c r="K228" s="2921"/>
      <c r="L228" s="2921"/>
      <c r="M228" s="2921"/>
      <c r="N228" s="2921"/>
      <c r="O228" s="2921"/>
      <c r="P228" s="2921"/>
      <c r="Q228" s="2921"/>
    </row>
    <row r="229" spans="1:17" x14ac:dyDescent="0.25">
      <c r="A229" s="2921"/>
      <c r="B229" s="2921"/>
      <c r="C229" s="2921"/>
      <c r="D229" s="2921"/>
      <c r="E229" s="2921"/>
      <c r="F229" s="2921"/>
      <c r="G229" s="2921"/>
      <c r="H229" s="2921"/>
      <c r="I229" s="2921"/>
      <c r="J229" s="2921"/>
      <c r="K229" s="2921"/>
      <c r="L229" s="2921"/>
      <c r="M229" s="2921"/>
      <c r="N229" s="2921"/>
      <c r="O229" s="2921"/>
      <c r="P229" s="2921"/>
      <c r="Q229" s="2921"/>
    </row>
    <row r="230" spans="1:17" x14ac:dyDescent="0.25">
      <c r="A230" s="7381" t="s">
        <v>861</v>
      </c>
      <c r="B230" s="7382"/>
      <c r="C230" s="7383"/>
      <c r="D230" s="2921"/>
      <c r="E230" s="7381" t="s">
        <v>1070</v>
      </c>
      <c r="F230" s="7382"/>
      <c r="G230" s="7383"/>
      <c r="H230" s="2921"/>
      <c r="I230" s="7401" t="s">
        <v>1071</v>
      </c>
      <c r="J230" s="7402"/>
      <c r="K230" s="7402"/>
      <c r="L230" s="7403"/>
      <c r="M230" s="2921"/>
      <c r="N230" s="2921"/>
      <c r="O230" s="2921"/>
      <c r="P230" s="2921"/>
      <c r="Q230" s="2921"/>
    </row>
    <row r="231" spans="1:17" x14ac:dyDescent="0.25">
      <c r="A231" s="7401" t="s">
        <v>1072</v>
      </c>
      <c r="B231" s="7402"/>
      <c r="C231" s="7403"/>
      <c r="D231" s="2921"/>
      <c r="E231" s="7401" t="s">
        <v>862</v>
      </c>
      <c r="F231" s="7402"/>
      <c r="G231" s="7403"/>
      <c r="H231" s="2921"/>
      <c r="I231" s="7386" t="s">
        <v>582</v>
      </c>
      <c r="J231" s="7406" t="s">
        <v>863</v>
      </c>
      <c r="K231" s="7387" t="s">
        <v>869</v>
      </c>
      <c r="L231" s="7390"/>
      <c r="M231" s="2921"/>
      <c r="N231" s="2921"/>
      <c r="O231" s="2921"/>
      <c r="P231" s="2921"/>
      <c r="Q231" s="2921"/>
    </row>
    <row r="232" spans="1:17" x14ac:dyDescent="0.25">
      <c r="A232" s="7385" t="s">
        <v>865</v>
      </c>
      <c r="B232" s="7404" t="s">
        <v>866</v>
      </c>
      <c r="C232" s="7404" t="s">
        <v>867</v>
      </c>
      <c r="D232" s="2921"/>
      <c r="E232" s="7385" t="s">
        <v>582</v>
      </c>
      <c r="F232" s="7404" t="s">
        <v>868</v>
      </c>
      <c r="G232" s="7404" t="s">
        <v>869</v>
      </c>
      <c r="H232" s="2921"/>
      <c r="I232" s="7384"/>
      <c r="J232" s="7384"/>
      <c r="K232" s="2835" t="s">
        <v>927</v>
      </c>
      <c r="L232" s="2834" t="s">
        <v>979</v>
      </c>
      <c r="M232" s="2921"/>
      <c r="N232" s="2921"/>
      <c r="O232" s="2921"/>
      <c r="P232" s="2921"/>
      <c r="Q232" s="2921"/>
    </row>
    <row r="233" spans="1:17" x14ac:dyDescent="0.25">
      <c r="A233" s="7385"/>
      <c r="B233" s="7405"/>
      <c r="C233" s="7405"/>
      <c r="D233" s="2921"/>
      <c r="E233" s="7385"/>
      <c r="F233" s="7405"/>
      <c r="G233" s="7405"/>
      <c r="H233" s="2921"/>
      <c r="I233" s="2782"/>
      <c r="J233" s="2782"/>
      <c r="K233" s="2926"/>
      <c r="L233" s="2929"/>
      <c r="M233" s="2921"/>
      <c r="N233" s="2921"/>
      <c r="O233" s="2921"/>
      <c r="P233" s="2921"/>
      <c r="Q233" s="2921"/>
    </row>
    <row r="234" spans="1:17" x14ac:dyDescent="0.25">
      <c r="A234" s="2845" t="s">
        <v>870</v>
      </c>
      <c r="B234" s="2841">
        <v>12</v>
      </c>
      <c r="C234" s="2808">
        <v>900</v>
      </c>
      <c r="D234" s="2921"/>
      <c r="E234" s="2927"/>
      <c r="F234" s="2927"/>
      <c r="G234" s="2928"/>
      <c r="H234" s="2921"/>
      <c r="I234" s="2833" t="s">
        <v>1013</v>
      </c>
      <c r="J234" s="2798" t="s">
        <v>1014</v>
      </c>
      <c r="K234" s="2858">
        <v>1149</v>
      </c>
      <c r="L234" s="2920">
        <f>15426-1149</f>
        <v>14277</v>
      </c>
      <c r="M234" s="2921"/>
      <c r="N234" s="2921"/>
      <c r="O234" s="2921"/>
      <c r="P234" s="2921"/>
      <c r="Q234" s="2921"/>
    </row>
    <row r="235" spans="1:17" x14ac:dyDescent="0.25">
      <c r="A235" s="2916" t="s">
        <v>1003</v>
      </c>
      <c r="B235" s="2915">
        <v>2</v>
      </c>
      <c r="C235" s="2915">
        <v>35</v>
      </c>
      <c r="D235" s="2921"/>
      <c r="E235" s="2807" t="s">
        <v>924</v>
      </c>
      <c r="F235" s="2841">
        <f>87+87</f>
        <v>174</v>
      </c>
      <c r="G235" s="2808">
        <v>348</v>
      </c>
      <c r="H235" s="2921"/>
      <c r="I235" s="7407" t="s">
        <v>586</v>
      </c>
      <c r="J235" s="7408" t="s">
        <v>1015</v>
      </c>
      <c r="K235" s="7409">
        <v>3563</v>
      </c>
      <c r="L235" s="7410">
        <v>4945</v>
      </c>
      <c r="M235" s="2921"/>
      <c r="N235" s="2921"/>
      <c r="O235" s="2921"/>
      <c r="P235" s="2921"/>
      <c r="Q235" s="2921"/>
    </row>
    <row r="236" spans="1:17" x14ac:dyDescent="0.25">
      <c r="A236" s="2916" t="s">
        <v>873</v>
      </c>
      <c r="B236" s="2915">
        <v>11</v>
      </c>
      <c r="C236" s="2915">
        <v>774</v>
      </c>
      <c r="D236" s="2921"/>
      <c r="E236" s="2916" t="s">
        <v>1003</v>
      </c>
      <c r="F236" s="2915">
        <v>72</v>
      </c>
      <c r="G236" s="2915">
        <v>855</v>
      </c>
      <c r="H236" s="2921"/>
      <c r="I236" s="7407"/>
      <c r="J236" s="7408"/>
      <c r="K236" s="7409"/>
      <c r="L236" s="7362"/>
      <c r="M236" s="2921"/>
      <c r="N236" s="2921"/>
      <c r="O236" s="2921"/>
      <c r="P236" s="2921"/>
      <c r="Q236" s="2921"/>
    </row>
    <row r="237" spans="1:17" ht="25.5" x14ac:dyDescent="0.25">
      <c r="A237" s="2868" t="s">
        <v>983</v>
      </c>
      <c r="B237" s="2915">
        <v>20</v>
      </c>
      <c r="C237" s="2915">
        <v>858</v>
      </c>
      <c r="D237" s="2921"/>
      <c r="E237" s="2917" t="s">
        <v>1009</v>
      </c>
      <c r="F237" s="2860">
        <v>2873</v>
      </c>
      <c r="G237" s="2860">
        <v>6746</v>
      </c>
      <c r="H237" s="2921"/>
      <c r="I237" s="2916" t="s">
        <v>898</v>
      </c>
      <c r="J237" s="2865" t="s">
        <v>1016</v>
      </c>
      <c r="K237" s="2915">
        <v>2698</v>
      </c>
      <c r="L237" s="2915">
        <v>4945</v>
      </c>
      <c r="M237" s="2921"/>
      <c r="N237" s="2921"/>
      <c r="O237" s="2921"/>
      <c r="P237" s="2921"/>
      <c r="Q237" s="2921"/>
    </row>
    <row r="238" spans="1:17" x14ac:dyDescent="0.25">
      <c r="A238" s="2916" t="s">
        <v>939</v>
      </c>
      <c r="B238" s="2915">
        <v>1</v>
      </c>
      <c r="C238" s="2915">
        <v>36</v>
      </c>
      <c r="D238" s="2921"/>
      <c r="E238" s="2916" t="s">
        <v>874</v>
      </c>
      <c r="F238" s="2915">
        <f>659+174+1057</f>
        <v>1890</v>
      </c>
      <c r="G238" s="2915">
        <v>9677</v>
      </c>
      <c r="H238" s="2921"/>
      <c r="I238" s="2806" t="s">
        <v>909</v>
      </c>
      <c r="J238" s="2920" t="s">
        <v>1014</v>
      </c>
      <c r="K238" s="2920">
        <v>558</v>
      </c>
      <c r="L238" s="2920">
        <v>2360</v>
      </c>
      <c r="M238" s="2921"/>
      <c r="N238" s="2921"/>
      <c r="O238" s="2921"/>
      <c r="P238" s="2921"/>
      <c r="Q238" s="2921"/>
    </row>
    <row r="239" spans="1:17" x14ac:dyDescent="0.25">
      <c r="A239" s="2916" t="s">
        <v>942</v>
      </c>
      <c r="B239" s="2915">
        <v>8</v>
      </c>
      <c r="C239" s="2915">
        <v>43</v>
      </c>
      <c r="D239" s="2921"/>
      <c r="E239" s="2916" t="s">
        <v>877</v>
      </c>
      <c r="F239" s="2915">
        <v>24</v>
      </c>
      <c r="G239" s="2915">
        <v>164</v>
      </c>
      <c r="H239" s="2921"/>
      <c r="I239" s="2929"/>
      <c r="J239" s="2929"/>
      <c r="K239" s="2929"/>
      <c r="L239" s="2929"/>
      <c r="M239" s="2921"/>
      <c r="N239" s="2921"/>
      <c r="O239" s="2921"/>
      <c r="P239" s="2921"/>
      <c r="Q239" s="2921"/>
    </row>
    <row r="240" spans="1:17" x14ac:dyDescent="0.25">
      <c r="A240" s="2867" t="s">
        <v>1004</v>
      </c>
      <c r="B240" s="2915">
        <v>4</v>
      </c>
      <c r="C240" s="2915">
        <v>191</v>
      </c>
      <c r="D240" s="2921"/>
      <c r="E240" s="2916" t="s">
        <v>1010</v>
      </c>
      <c r="F240" s="2915">
        <v>24</v>
      </c>
      <c r="G240" s="2915">
        <v>186</v>
      </c>
      <c r="H240" s="2921"/>
      <c r="I240" s="7387" t="s">
        <v>12</v>
      </c>
      <c r="J240" s="7390"/>
      <c r="K240" s="2908">
        <f>SUM(K234:K238)</f>
        <v>7968</v>
      </c>
      <c r="L240" s="2908">
        <f>SUM(L234:L238)</f>
        <v>26527</v>
      </c>
      <c r="M240" s="2921"/>
      <c r="N240" s="2921"/>
      <c r="O240" s="2921"/>
      <c r="P240" s="2921"/>
      <c r="Q240" s="2921"/>
    </row>
    <row r="241" spans="1:17" x14ac:dyDescent="0.25">
      <c r="A241" s="2913" t="s">
        <v>1005</v>
      </c>
      <c r="B241" s="2915">
        <v>3</v>
      </c>
      <c r="C241" s="2915">
        <v>1162</v>
      </c>
      <c r="D241" s="2921"/>
      <c r="E241" s="2916" t="s">
        <v>878</v>
      </c>
      <c r="F241" s="2915">
        <v>16</v>
      </c>
      <c r="G241" s="2915">
        <v>64</v>
      </c>
      <c r="H241" s="2921"/>
      <c r="I241" s="2921"/>
      <c r="J241" s="2921"/>
      <c r="K241" s="2921"/>
      <c r="L241" s="2921"/>
      <c r="M241" s="2921"/>
      <c r="N241" s="2921"/>
      <c r="O241" s="2921"/>
      <c r="P241" s="2921"/>
      <c r="Q241" s="2921"/>
    </row>
    <row r="242" spans="1:17" x14ac:dyDescent="0.25">
      <c r="A242" s="2916" t="s">
        <v>987</v>
      </c>
      <c r="B242" s="2915">
        <v>8</v>
      </c>
      <c r="C242" s="2915">
        <v>355</v>
      </c>
      <c r="D242" s="2921"/>
      <c r="E242" s="2916" t="s">
        <v>880</v>
      </c>
      <c r="F242" s="2915">
        <f>110+3948+36</f>
        <v>4094</v>
      </c>
      <c r="G242" s="2915">
        <v>49122</v>
      </c>
      <c r="H242" s="2921"/>
      <c r="I242" s="2921"/>
      <c r="J242" s="2921"/>
      <c r="K242" s="2921"/>
      <c r="L242" s="2921"/>
      <c r="M242" s="2921"/>
      <c r="N242" s="2921"/>
      <c r="O242" s="2921"/>
      <c r="P242" s="2921"/>
      <c r="Q242" s="2921"/>
    </row>
    <row r="243" spans="1:17" x14ac:dyDescent="0.25">
      <c r="A243" s="2916" t="s">
        <v>876</v>
      </c>
      <c r="B243" s="2915">
        <v>1</v>
      </c>
      <c r="C243" s="2915">
        <v>15</v>
      </c>
      <c r="D243" s="2921"/>
      <c r="E243" s="2913" t="s">
        <v>887</v>
      </c>
      <c r="F243" s="2915">
        <f>396+171</f>
        <v>567</v>
      </c>
      <c r="G243" s="2915">
        <f>7924+6020</f>
        <v>13944</v>
      </c>
      <c r="H243" s="2921"/>
      <c r="I243" s="2921"/>
      <c r="J243" s="2921"/>
      <c r="K243" s="2921"/>
      <c r="L243" s="2921"/>
      <c r="M243" s="2921"/>
      <c r="N243" s="2921"/>
      <c r="O243" s="2921"/>
      <c r="P243" s="2921"/>
      <c r="Q243" s="2921"/>
    </row>
    <row r="244" spans="1:17" x14ac:dyDescent="0.25">
      <c r="A244" s="2916" t="s">
        <v>878</v>
      </c>
      <c r="B244" s="2915">
        <v>1</v>
      </c>
      <c r="C244" s="2915">
        <v>23</v>
      </c>
      <c r="D244" s="2921"/>
      <c r="E244" s="2913" t="s">
        <v>901</v>
      </c>
      <c r="F244" s="2915">
        <f>93210+61050+18975</f>
        <v>173235</v>
      </c>
      <c r="G244" s="2915">
        <v>173235</v>
      </c>
      <c r="H244" s="2921"/>
      <c r="I244" s="2921"/>
      <c r="J244" s="2921"/>
      <c r="K244" s="2921"/>
      <c r="L244" s="2921"/>
      <c r="M244" s="2921"/>
      <c r="N244" s="2921"/>
      <c r="O244" s="2921"/>
      <c r="P244" s="2921"/>
      <c r="Q244" s="2921"/>
    </row>
    <row r="245" spans="1:17" x14ac:dyDescent="0.25">
      <c r="A245" s="2913" t="s">
        <v>988</v>
      </c>
      <c r="B245" s="2915">
        <v>1</v>
      </c>
      <c r="C245" s="2915">
        <v>32</v>
      </c>
      <c r="D245" s="2921"/>
      <c r="E245" s="2913" t="s">
        <v>1011</v>
      </c>
      <c r="F245" s="2915">
        <v>36</v>
      </c>
      <c r="G245" s="2915">
        <v>420</v>
      </c>
      <c r="H245" s="2921"/>
      <c r="I245" s="2921"/>
      <c r="J245" s="2921"/>
      <c r="K245" s="2921"/>
      <c r="L245" s="2921"/>
      <c r="M245" s="2921"/>
      <c r="N245" s="2921"/>
      <c r="O245" s="2921"/>
      <c r="P245" s="2921"/>
      <c r="Q245" s="2921"/>
    </row>
    <row r="246" spans="1:17" x14ac:dyDescent="0.25">
      <c r="A246" s="2913" t="s">
        <v>880</v>
      </c>
      <c r="B246" s="2915">
        <v>24</v>
      </c>
      <c r="C246" s="2915">
        <v>8887</v>
      </c>
      <c r="D246" s="2921"/>
      <c r="E246" s="2916" t="s">
        <v>908</v>
      </c>
      <c r="F246" s="2915">
        <v>780</v>
      </c>
      <c r="G246" s="2915">
        <v>8680</v>
      </c>
      <c r="H246" s="2921"/>
      <c r="I246" s="2921"/>
      <c r="J246" s="2921"/>
      <c r="K246" s="2921"/>
      <c r="L246" s="2921"/>
      <c r="M246" s="2921"/>
      <c r="N246" s="2921"/>
      <c r="O246" s="2921"/>
      <c r="P246" s="2921"/>
      <c r="Q246" s="2921"/>
    </row>
    <row r="247" spans="1:17" x14ac:dyDescent="0.25">
      <c r="A247" s="2913" t="s">
        <v>1006</v>
      </c>
      <c r="B247" s="2915">
        <v>3</v>
      </c>
      <c r="C247" s="2915">
        <v>407</v>
      </c>
      <c r="D247" s="2921"/>
      <c r="E247" s="2916" t="s">
        <v>911</v>
      </c>
      <c r="F247" s="2915">
        <v>33</v>
      </c>
      <c r="G247" s="2915">
        <v>462</v>
      </c>
      <c r="H247" s="2921"/>
      <c r="I247" s="2921"/>
      <c r="J247" s="2921"/>
      <c r="K247" s="2921"/>
      <c r="L247" s="2921"/>
      <c r="M247" s="2921"/>
      <c r="N247" s="2921"/>
      <c r="O247" s="2921"/>
      <c r="P247" s="2921"/>
      <c r="Q247" s="2921"/>
    </row>
    <row r="248" spans="1:17" x14ac:dyDescent="0.25">
      <c r="A248" s="2913" t="s">
        <v>884</v>
      </c>
      <c r="B248" s="2915">
        <v>2</v>
      </c>
      <c r="C248" s="2915">
        <v>430</v>
      </c>
      <c r="D248" s="2921"/>
      <c r="E248" s="2916" t="s">
        <v>955</v>
      </c>
      <c r="F248" s="2915">
        <v>72</v>
      </c>
      <c r="G248" s="2915">
        <v>642</v>
      </c>
      <c r="H248" s="2921"/>
      <c r="I248" s="2921"/>
      <c r="J248" s="2921"/>
      <c r="K248" s="2921"/>
      <c r="L248" s="2921"/>
      <c r="M248" s="2921"/>
      <c r="N248" s="2921"/>
      <c r="O248" s="2921"/>
      <c r="P248" s="2921"/>
      <c r="Q248" s="2921"/>
    </row>
    <row r="249" spans="1:17" x14ac:dyDescent="0.25">
      <c r="A249" s="2913" t="s">
        <v>887</v>
      </c>
      <c r="B249" s="2915">
        <v>10</v>
      </c>
      <c r="C249" s="2915">
        <v>3460</v>
      </c>
      <c r="D249" s="2921"/>
      <c r="E249" s="2913" t="s">
        <v>917</v>
      </c>
      <c r="F249" s="2915">
        <v>72</v>
      </c>
      <c r="G249" s="2915">
        <v>562</v>
      </c>
      <c r="H249" s="2921"/>
      <c r="I249" s="2921"/>
      <c r="J249" s="2921"/>
      <c r="K249" s="2921"/>
      <c r="L249" s="2921"/>
      <c r="M249" s="2921"/>
      <c r="N249" s="2921"/>
      <c r="O249" s="2921"/>
      <c r="P249" s="2921"/>
      <c r="Q249" s="2921"/>
    </row>
    <row r="250" spans="1:17" x14ac:dyDescent="0.25">
      <c r="A250" s="2913" t="s">
        <v>888</v>
      </c>
      <c r="B250" s="2915">
        <v>6</v>
      </c>
      <c r="C250" s="2915">
        <v>195</v>
      </c>
      <c r="D250" s="2921"/>
      <c r="E250" s="2913" t="s">
        <v>971</v>
      </c>
      <c r="F250" s="2915">
        <v>24</v>
      </c>
      <c r="G250" s="2915">
        <v>145</v>
      </c>
      <c r="H250" s="2921"/>
      <c r="I250" s="2921"/>
      <c r="J250" s="2921"/>
      <c r="K250" s="2921"/>
      <c r="L250" s="2921"/>
      <c r="M250" s="2921"/>
      <c r="N250" s="2921"/>
      <c r="O250" s="2921"/>
      <c r="P250" s="2921"/>
      <c r="Q250" s="2921"/>
    </row>
    <row r="251" spans="1:17" x14ac:dyDescent="0.25">
      <c r="A251" s="2913" t="s">
        <v>957</v>
      </c>
      <c r="B251" s="2915">
        <v>3</v>
      </c>
      <c r="C251" s="2915">
        <v>85</v>
      </c>
      <c r="D251" s="2921"/>
      <c r="E251" s="2867" t="s">
        <v>920</v>
      </c>
      <c r="F251" s="2915">
        <v>10920</v>
      </c>
      <c r="G251" s="2915">
        <v>10920</v>
      </c>
      <c r="H251" s="2921"/>
      <c r="I251" s="2921"/>
      <c r="J251" s="2921"/>
      <c r="K251" s="2921"/>
      <c r="L251" s="2921"/>
      <c r="M251" s="2921"/>
      <c r="N251" s="2921"/>
      <c r="O251" s="2921"/>
      <c r="P251" s="2921"/>
      <c r="Q251" s="2921"/>
    </row>
    <row r="252" spans="1:17" x14ac:dyDescent="0.25">
      <c r="A252" s="2913" t="s">
        <v>892</v>
      </c>
      <c r="B252" s="2915">
        <v>1</v>
      </c>
      <c r="C252" s="2915">
        <v>412</v>
      </c>
      <c r="D252" s="2921"/>
      <c r="E252" s="2913" t="s">
        <v>922</v>
      </c>
      <c r="F252" s="2915">
        <f>180+132</f>
        <v>312</v>
      </c>
      <c r="G252" s="2915">
        <v>13421</v>
      </c>
      <c r="H252" s="2921"/>
      <c r="I252" s="2921"/>
      <c r="J252" s="2921"/>
      <c r="K252" s="2921"/>
      <c r="L252" s="2921"/>
      <c r="M252" s="2921"/>
      <c r="N252" s="2921"/>
      <c r="O252" s="2921"/>
      <c r="P252" s="2921"/>
      <c r="Q252" s="2921"/>
    </row>
    <row r="253" spans="1:17" x14ac:dyDescent="0.25">
      <c r="A253" s="2913" t="s">
        <v>894</v>
      </c>
      <c r="B253" s="2915">
        <v>9</v>
      </c>
      <c r="C253" s="2915">
        <f>32+93</f>
        <v>125</v>
      </c>
      <c r="D253" s="2921"/>
      <c r="E253" s="2913" t="s">
        <v>896</v>
      </c>
      <c r="F253" s="2915">
        <v>8664</v>
      </c>
      <c r="G253" s="2915">
        <v>17328</v>
      </c>
      <c r="H253" s="2921"/>
      <c r="I253" s="2921"/>
      <c r="J253" s="2921"/>
      <c r="K253" s="2921"/>
      <c r="L253" s="2921"/>
      <c r="M253" s="2921"/>
      <c r="N253" s="2921"/>
      <c r="O253" s="2921"/>
      <c r="P253" s="2921"/>
      <c r="Q253" s="2921"/>
    </row>
    <row r="254" spans="1:17" x14ac:dyDescent="0.25">
      <c r="A254" s="2913" t="s">
        <v>896</v>
      </c>
      <c r="B254" s="2915">
        <v>2</v>
      </c>
      <c r="C254" s="2915">
        <v>125</v>
      </c>
      <c r="D254" s="2921"/>
      <c r="E254" s="2913" t="s">
        <v>1012</v>
      </c>
      <c r="F254" s="2915">
        <v>24</v>
      </c>
      <c r="G254" s="2915">
        <v>179</v>
      </c>
      <c r="H254" s="2921"/>
      <c r="I254" s="2921"/>
      <c r="J254" s="2921"/>
      <c r="K254" s="2921"/>
      <c r="L254" s="2921"/>
      <c r="M254" s="2921"/>
      <c r="N254" s="2921"/>
      <c r="O254" s="2921"/>
      <c r="P254" s="2921"/>
      <c r="Q254" s="2921"/>
    </row>
    <row r="255" spans="1:17" x14ac:dyDescent="0.25">
      <c r="A255" s="2913" t="s">
        <v>900</v>
      </c>
      <c r="B255" s="2915">
        <v>4</v>
      </c>
      <c r="C255" s="2915">
        <v>266</v>
      </c>
      <c r="D255" s="2921"/>
      <c r="E255" s="2913" t="s">
        <v>923</v>
      </c>
      <c r="F255" s="2915">
        <v>72</v>
      </c>
      <c r="G255" s="2915">
        <v>848</v>
      </c>
      <c r="H255" s="2921"/>
      <c r="I255" s="2921"/>
      <c r="J255" s="2921"/>
      <c r="K255" s="2921"/>
      <c r="L255" s="2921"/>
      <c r="M255" s="2921"/>
      <c r="N255" s="2921"/>
      <c r="O255" s="2921"/>
      <c r="P255" s="2921"/>
      <c r="Q255" s="2921"/>
    </row>
    <row r="256" spans="1:17" x14ac:dyDescent="0.25">
      <c r="A256" s="2913" t="s">
        <v>904</v>
      </c>
      <c r="B256" s="2915">
        <v>10</v>
      </c>
      <c r="C256" s="2915">
        <v>180</v>
      </c>
      <c r="D256" s="2921"/>
      <c r="E256" s="2913" t="s">
        <v>900</v>
      </c>
      <c r="F256" s="2915">
        <v>630</v>
      </c>
      <c r="G256" s="2915">
        <v>1260</v>
      </c>
      <c r="H256" s="2921"/>
      <c r="I256" s="2921"/>
      <c r="J256" s="2921"/>
      <c r="K256" s="2921"/>
      <c r="L256" s="2921"/>
      <c r="M256" s="2921"/>
      <c r="N256" s="2921"/>
      <c r="O256" s="2921"/>
      <c r="P256" s="2921"/>
      <c r="Q256" s="2921"/>
    </row>
    <row r="257" spans="1:17" ht="25.5" x14ac:dyDescent="0.25">
      <c r="A257" s="2867" t="s">
        <v>907</v>
      </c>
      <c r="B257" s="2915">
        <v>5</v>
      </c>
      <c r="C257" s="2915">
        <f>593+60</f>
        <v>653</v>
      </c>
      <c r="D257" s="2921"/>
      <c r="E257" s="2913" t="s">
        <v>904</v>
      </c>
      <c r="F257" s="2915">
        <f>87+651</f>
        <v>738</v>
      </c>
      <c r="G257" s="2915">
        <v>4404</v>
      </c>
      <c r="H257" s="2921"/>
      <c r="I257" s="2921"/>
      <c r="J257" s="2921"/>
      <c r="K257" s="2921"/>
      <c r="L257" s="2921"/>
      <c r="M257" s="2921"/>
      <c r="N257" s="2921"/>
      <c r="O257" s="2921"/>
      <c r="P257" s="2921"/>
      <c r="Q257" s="2921"/>
    </row>
    <row r="258" spans="1:17" x14ac:dyDescent="0.25">
      <c r="A258" s="2913" t="s">
        <v>1007</v>
      </c>
      <c r="B258" s="2915">
        <v>2</v>
      </c>
      <c r="C258" s="2915">
        <v>127</v>
      </c>
      <c r="D258" s="2921"/>
      <c r="E258" s="2913" t="s">
        <v>976</v>
      </c>
      <c r="F258" s="2915">
        <v>49</v>
      </c>
      <c r="G258" s="2915">
        <v>125</v>
      </c>
      <c r="H258" s="2921"/>
      <c r="I258" s="2921"/>
      <c r="J258" s="2921"/>
      <c r="K258" s="2921"/>
      <c r="L258" s="2921"/>
      <c r="M258" s="2921"/>
      <c r="N258" s="2921"/>
      <c r="O258" s="2921"/>
      <c r="P258" s="2921"/>
      <c r="Q258" s="2921"/>
    </row>
    <row r="259" spans="1:17" x14ac:dyDescent="0.25">
      <c r="A259" s="2857" t="s">
        <v>1008</v>
      </c>
      <c r="B259" s="2915">
        <v>16</v>
      </c>
      <c r="C259" s="2915">
        <v>704</v>
      </c>
      <c r="D259" s="2921"/>
      <c r="E259" s="2913" t="s">
        <v>977</v>
      </c>
      <c r="F259" s="2915">
        <v>87</v>
      </c>
      <c r="G259" s="2915">
        <v>1218</v>
      </c>
      <c r="H259" s="2921"/>
      <c r="I259" s="2921"/>
      <c r="J259" s="2921"/>
      <c r="K259" s="2921"/>
      <c r="L259" s="2921"/>
      <c r="M259" s="2921"/>
      <c r="N259" s="2921"/>
      <c r="O259" s="2921"/>
      <c r="P259" s="2921"/>
      <c r="Q259" s="2921"/>
    </row>
    <row r="260" spans="1:17" x14ac:dyDescent="0.25">
      <c r="A260" s="2909" t="s">
        <v>12</v>
      </c>
      <c r="B260" s="2908">
        <f>SUM(B234:B259)</f>
        <v>169</v>
      </c>
      <c r="C260" s="2908">
        <f>SUM(C234:C259)</f>
        <v>20480</v>
      </c>
      <c r="D260" s="2921"/>
      <c r="E260" s="2909" t="s">
        <v>12</v>
      </c>
      <c r="F260" s="2908">
        <f>SUM(F235:F259)</f>
        <v>205482</v>
      </c>
      <c r="G260" s="2908">
        <f>SUM(G235:G259)</f>
        <v>314955</v>
      </c>
      <c r="H260" s="2921"/>
      <c r="I260" s="2921"/>
      <c r="J260" s="2921"/>
      <c r="K260" s="2921"/>
      <c r="L260" s="2921"/>
      <c r="M260" s="2921"/>
      <c r="N260" s="2921"/>
      <c r="O260" s="2921"/>
      <c r="P260" s="2921"/>
      <c r="Q260" s="2921"/>
    </row>
    <row r="261" spans="1:17" x14ac:dyDescent="0.25">
      <c r="A261" s="2802" t="s">
        <v>919</v>
      </c>
      <c r="B261" s="2929"/>
      <c r="C261" s="2929"/>
      <c r="D261" s="2921"/>
      <c r="E261" s="2802" t="s">
        <v>919</v>
      </c>
      <c r="F261" s="2929"/>
      <c r="G261" s="2929"/>
      <c r="H261" s="2921"/>
      <c r="I261" s="2921"/>
      <c r="J261" s="2921"/>
      <c r="K261" s="2921"/>
      <c r="L261" s="2921"/>
      <c r="M261" s="2921"/>
      <c r="N261" s="2921"/>
      <c r="O261" s="2921"/>
      <c r="P261" s="2921"/>
      <c r="Q261" s="2921"/>
    </row>
    <row r="262" spans="1:17" x14ac:dyDescent="0.25">
      <c r="A262" s="2921"/>
      <c r="B262" s="2921"/>
      <c r="C262" s="2921"/>
      <c r="D262" s="2921"/>
      <c r="E262" s="2921"/>
      <c r="F262" s="2921"/>
      <c r="G262" s="2921"/>
      <c r="H262" s="2921"/>
      <c r="I262" s="2921"/>
      <c r="J262" s="2921"/>
      <c r="K262" s="2921"/>
      <c r="L262" s="2921"/>
      <c r="M262" s="2921"/>
      <c r="N262" s="2921"/>
      <c r="O262" s="2921"/>
      <c r="P262" s="2921"/>
      <c r="Q262" s="2921"/>
    </row>
    <row r="263" spans="1:17" x14ac:dyDescent="0.25">
      <c r="A263" s="7381" t="s">
        <v>861</v>
      </c>
      <c r="B263" s="7382"/>
      <c r="C263" s="7383"/>
      <c r="D263" s="2866"/>
      <c r="E263" s="7381" t="s">
        <v>1073</v>
      </c>
      <c r="F263" s="7382"/>
      <c r="G263" s="7383"/>
      <c r="H263" s="2921"/>
      <c r="I263" s="7381" t="s">
        <v>1074</v>
      </c>
      <c r="J263" s="7382"/>
      <c r="K263" s="7382"/>
      <c r="L263" s="7383"/>
      <c r="M263" s="2921"/>
      <c r="N263" s="2921"/>
      <c r="O263" s="2921"/>
      <c r="P263" s="2921"/>
      <c r="Q263" s="2921"/>
    </row>
    <row r="264" spans="1:17" x14ac:dyDescent="0.25">
      <c r="A264" s="7401" t="s">
        <v>1075</v>
      </c>
      <c r="B264" s="7402"/>
      <c r="C264" s="7403"/>
      <c r="D264" s="2866"/>
      <c r="E264" s="7401" t="s">
        <v>862</v>
      </c>
      <c r="F264" s="7402"/>
      <c r="G264" s="7403"/>
      <c r="H264" s="2866"/>
      <c r="I264" s="7384" t="s">
        <v>582</v>
      </c>
      <c r="J264" s="7386" t="s">
        <v>863</v>
      </c>
      <c r="K264" s="7379" t="s">
        <v>869</v>
      </c>
      <c r="L264" s="7380"/>
      <c r="M264" s="2921"/>
      <c r="N264" s="2921"/>
      <c r="O264" s="2921"/>
      <c r="P264" s="2921"/>
      <c r="Q264" s="2921"/>
    </row>
    <row r="265" spans="1:17" x14ac:dyDescent="0.25">
      <c r="A265" s="7385" t="s">
        <v>865</v>
      </c>
      <c r="B265" s="7404" t="s">
        <v>1017</v>
      </c>
      <c r="C265" s="7404" t="s">
        <v>1018</v>
      </c>
      <c r="D265" s="2866"/>
      <c r="E265" s="7385" t="s">
        <v>582</v>
      </c>
      <c r="F265" s="7404" t="s">
        <v>1019</v>
      </c>
      <c r="G265" s="7404" t="s">
        <v>1020</v>
      </c>
      <c r="H265" s="2866"/>
      <c r="I265" s="7385"/>
      <c r="J265" s="7384"/>
      <c r="K265" s="2838" t="s">
        <v>927</v>
      </c>
      <c r="L265" s="2838" t="s">
        <v>979</v>
      </c>
      <c r="M265" s="2921"/>
      <c r="N265" s="2921"/>
      <c r="O265" s="2921"/>
      <c r="P265" s="2921"/>
      <c r="Q265" s="2921"/>
    </row>
    <row r="266" spans="1:17" x14ac:dyDescent="0.25">
      <c r="A266" s="7385"/>
      <c r="B266" s="7405"/>
      <c r="C266" s="7405"/>
      <c r="D266" s="2866"/>
      <c r="E266" s="7385"/>
      <c r="F266" s="7405"/>
      <c r="G266" s="7405"/>
      <c r="H266" s="2866"/>
      <c r="I266" s="2927"/>
      <c r="J266" s="2927"/>
      <c r="K266" s="2928"/>
      <c r="L266" s="2866"/>
      <c r="M266" s="2921"/>
      <c r="N266" s="2921"/>
      <c r="O266" s="2921"/>
      <c r="P266" s="2921"/>
      <c r="Q266" s="2921"/>
    </row>
    <row r="267" spans="1:17" x14ac:dyDescent="0.25">
      <c r="A267" s="2927"/>
      <c r="B267" s="2927"/>
      <c r="C267" s="2928"/>
      <c r="D267" s="2866"/>
      <c r="E267" s="2927"/>
      <c r="F267" s="2927"/>
      <c r="G267" s="2928"/>
      <c r="H267" s="2866"/>
      <c r="I267" s="2917" t="s">
        <v>1013</v>
      </c>
      <c r="J267" s="2841" t="s">
        <v>1014</v>
      </c>
      <c r="K267" s="2808">
        <v>1256</v>
      </c>
      <c r="L267" s="2808">
        <v>11361</v>
      </c>
      <c r="M267" s="2921"/>
      <c r="N267" s="2921"/>
      <c r="O267" s="2921"/>
      <c r="P267" s="2921"/>
      <c r="Q267" s="2921"/>
    </row>
    <row r="268" spans="1:17" x14ac:dyDescent="0.25">
      <c r="A268" s="2917" t="s">
        <v>870</v>
      </c>
      <c r="B268" s="2915">
        <f>3+3+1+2</f>
        <v>9</v>
      </c>
      <c r="C268" s="2915">
        <f>74+193+18+30+42</f>
        <v>357</v>
      </c>
      <c r="D268" s="2866"/>
      <c r="E268" s="2917" t="s">
        <v>870</v>
      </c>
      <c r="F268" s="2915">
        <f>500+49+63+20</f>
        <v>632</v>
      </c>
      <c r="G268" s="2915">
        <f>1000+98+126+40</f>
        <v>1264</v>
      </c>
      <c r="H268" s="2866"/>
      <c r="I268" s="2917" t="s">
        <v>586</v>
      </c>
      <c r="J268" s="2865" t="s">
        <v>1015</v>
      </c>
      <c r="K268" s="2915">
        <v>2658</v>
      </c>
      <c r="L268" s="2915">
        <v>3040</v>
      </c>
      <c r="M268" s="2921"/>
      <c r="N268" s="2921"/>
      <c r="O268" s="2921"/>
      <c r="P268" s="2921"/>
      <c r="Q268" s="2921"/>
    </row>
    <row r="269" spans="1:17" x14ac:dyDescent="0.25">
      <c r="A269" s="2917" t="s">
        <v>873</v>
      </c>
      <c r="B269" s="2915">
        <v>10</v>
      </c>
      <c r="C269" s="2915">
        <v>912</v>
      </c>
      <c r="D269" s="2866"/>
      <c r="E269" s="2917" t="s">
        <v>1003</v>
      </c>
      <c r="F269" s="2915">
        <v>11</v>
      </c>
      <c r="G269" s="2915">
        <v>111</v>
      </c>
      <c r="H269" s="2866"/>
      <c r="I269" s="2917" t="s">
        <v>898</v>
      </c>
      <c r="J269" s="2865" t="s">
        <v>1016</v>
      </c>
      <c r="K269" s="2915">
        <v>2052</v>
      </c>
      <c r="L269" s="2915">
        <v>3040</v>
      </c>
      <c r="M269" s="2921"/>
      <c r="N269" s="2921"/>
      <c r="O269" s="2921"/>
      <c r="P269" s="2921"/>
      <c r="Q269" s="2921"/>
    </row>
    <row r="270" spans="1:17" x14ac:dyDescent="0.25">
      <c r="A270" s="2917" t="s">
        <v>1021</v>
      </c>
      <c r="B270" s="2915">
        <v>1</v>
      </c>
      <c r="C270" s="2915">
        <v>18</v>
      </c>
      <c r="D270" s="2866"/>
      <c r="E270" s="2917" t="s">
        <v>874</v>
      </c>
      <c r="F270" s="2915">
        <f>250+432</f>
        <v>682</v>
      </c>
      <c r="G270" s="2915">
        <f>750+2592</f>
        <v>3342</v>
      </c>
      <c r="H270" s="2866"/>
      <c r="I270" s="2917" t="s">
        <v>909</v>
      </c>
      <c r="J270" s="2915" t="s">
        <v>1014</v>
      </c>
      <c r="K270" s="2915">
        <v>866</v>
      </c>
      <c r="L270" s="2915">
        <v>2764</v>
      </c>
      <c r="M270" s="2921"/>
      <c r="N270" s="2921"/>
      <c r="O270" s="2921"/>
      <c r="P270" s="2921"/>
      <c r="Q270" s="2921"/>
    </row>
    <row r="271" spans="1:17" x14ac:dyDescent="0.25">
      <c r="A271" s="2917" t="s">
        <v>1022</v>
      </c>
      <c r="B271" s="2915">
        <v>1</v>
      </c>
      <c r="C271" s="2915">
        <v>478</v>
      </c>
      <c r="D271" s="2866"/>
      <c r="E271" s="2917" t="s">
        <v>878</v>
      </c>
      <c r="F271" s="2915">
        <f>4+19</f>
        <v>23</v>
      </c>
      <c r="G271" s="2915">
        <v>92</v>
      </c>
      <c r="H271" s="2866"/>
      <c r="I271" s="2927"/>
      <c r="J271" s="2927"/>
      <c r="K271" s="2856"/>
      <c r="L271" s="2866"/>
      <c r="M271" s="2921"/>
      <c r="N271" s="2921"/>
      <c r="O271" s="2921"/>
      <c r="P271" s="2921"/>
      <c r="Q271" s="2921"/>
    </row>
    <row r="272" spans="1:17" x14ac:dyDescent="0.25">
      <c r="A272" s="2917" t="s">
        <v>1023</v>
      </c>
      <c r="B272" s="2841">
        <f>1+1</f>
        <v>2</v>
      </c>
      <c r="C272" s="2808">
        <f>49+64</f>
        <v>113</v>
      </c>
      <c r="D272" s="2866"/>
      <c r="E272" s="2917" t="s">
        <v>1024</v>
      </c>
      <c r="F272" s="2915">
        <v>6187</v>
      </c>
      <c r="G272" s="2915">
        <v>6187</v>
      </c>
      <c r="H272" s="2866"/>
      <c r="I272" s="2909" t="s">
        <v>12</v>
      </c>
      <c r="J272" s="2908"/>
      <c r="K272" s="2908">
        <f>SUM(K267:K271)</f>
        <v>6832</v>
      </c>
      <c r="L272" s="2908">
        <f>SUM(L267:L271)</f>
        <v>20205</v>
      </c>
      <c r="M272" s="2921"/>
      <c r="N272" s="2921"/>
      <c r="O272" s="2921"/>
      <c r="P272" s="2921"/>
      <c r="Q272" s="2921"/>
    </row>
    <row r="273" spans="1:17" x14ac:dyDescent="0.25">
      <c r="A273" s="2917" t="s">
        <v>1025</v>
      </c>
      <c r="B273" s="2915">
        <v>1</v>
      </c>
      <c r="C273" s="2915">
        <v>26</v>
      </c>
      <c r="D273" s="2866"/>
      <c r="E273" s="2917" t="s">
        <v>880</v>
      </c>
      <c r="F273" s="2915">
        <f>1915+500+5+23</f>
        <v>2443</v>
      </c>
      <c r="G273" s="2915">
        <v>27448</v>
      </c>
      <c r="H273" s="2866"/>
      <c r="I273" s="2925"/>
      <c r="J273" s="2925"/>
      <c r="K273" s="2925"/>
      <c r="L273" s="2925"/>
      <c r="M273" s="2921"/>
      <c r="N273" s="2921"/>
      <c r="O273" s="2921"/>
      <c r="P273" s="2921"/>
      <c r="Q273" s="2921"/>
    </row>
    <row r="274" spans="1:17" x14ac:dyDescent="0.25">
      <c r="A274" s="2917" t="s">
        <v>1026</v>
      </c>
      <c r="B274" s="2915">
        <v>1</v>
      </c>
      <c r="C274" s="2915">
        <v>16</v>
      </c>
      <c r="D274" s="2866"/>
      <c r="E274" s="2917" t="s">
        <v>887</v>
      </c>
      <c r="F274" s="2915">
        <f>209+500+20+154+33+167+17</f>
        <v>1100</v>
      </c>
      <c r="G274" s="2915">
        <v>19363</v>
      </c>
      <c r="H274" s="2866"/>
      <c r="I274" s="2925"/>
      <c r="J274" s="2925"/>
      <c r="K274" s="2925"/>
      <c r="L274" s="2925"/>
      <c r="M274" s="2921"/>
      <c r="N274" s="2921"/>
      <c r="O274" s="2921"/>
      <c r="P274" s="2921"/>
      <c r="Q274" s="2921"/>
    </row>
    <row r="275" spans="1:17" x14ac:dyDescent="0.25">
      <c r="A275" s="2917" t="s">
        <v>878</v>
      </c>
      <c r="B275" s="2915">
        <v>3</v>
      </c>
      <c r="C275" s="2915">
        <f>29+20+34</f>
        <v>83</v>
      </c>
      <c r="D275" s="2866"/>
      <c r="E275" s="2917" t="s">
        <v>901</v>
      </c>
      <c r="F275" s="2915">
        <f>19672+105600</f>
        <v>125272</v>
      </c>
      <c r="G275" s="2915">
        <f>19672+105600</f>
        <v>125272</v>
      </c>
      <c r="H275" s="2866"/>
      <c r="I275" s="2925"/>
      <c r="J275" s="2925"/>
      <c r="K275" s="2925"/>
      <c r="L275" s="2925"/>
      <c r="M275" s="2921"/>
      <c r="N275" s="2921"/>
      <c r="O275" s="2921"/>
      <c r="P275" s="2921"/>
      <c r="Q275" s="2921"/>
    </row>
    <row r="276" spans="1:17" x14ac:dyDescent="0.25">
      <c r="A276" s="2917" t="s">
        <v>988</v>
      </c>
      <c r="B276" s="2915">
        <v>1</v>
      </c>
      <c r="C276" s="2915">
        <v>21</v>
      </c>
      <c r="D276" s="2866"/>
      <c r="E276" s="2917" t="s">
        <v>1011</v>
      </c>
      <c r="F276" s="2915">
        <v>90</v>
      </c>
      <c r="G276" s="2915">
        <v>90</v>
      </c>
      <c r="H276" s="2866"/>
      <c r="I276" s="2925"/>
      <c r="J276" s="2925"/>
      <c r="K276" s="2925"/>
      <c r="L276" s="2925"/>
      <c r="M276" s="2921"/>
      <c r="N276" s="2921"/>
      <c r="O276" s="2921"/>
      <c r="P276" s="2921"/>
      <c r="Q276" s="2921"/>
    </row>
    <row r="277" spans="1:17" x14ac:dyDescent="0.25">
      <c r="A277" s="2917" t="s">
        <v>880</v>
      </c>
      <c r="B277" s="2915">
        <v>13</v>
      </c>
      <c r="C277" s="2915">
        <f>5407+75+580</f>
        <v>6062</v>
      </c>
      <c r="D277" s="2866"/>
      <c r="E277" s="2917" t="s">
        <v>908</v>
      </c>
      <c r="F277" s="2915">
        <v>3000</v>
      </c>
      <c r="G277" s="2915">
        <v>9000</v>
      </c>
      <c r="H277" s="2866"/>
      <c r="I277" s="2925"/>
      <c r="J277" s="2925"/>
      <c r="K277" s="2925"/>
      <c r="L277" s="2925"/>
      <c r="M277" s="2921"/>
      <c r="N277" s="2921"/>
      <c r="O277" s="2921"/>
      <c r="P277" s="2921"/>
      <c r="Q277" s="2921"/>
    </row>
    <row r="278" spans="1:17" x14ac:dyDescent="0.25">
      <c r="A278" s="2917" t="s">
        <v>1027</v>
      </c>
      <c r="B278" s="2915">
        <v>1</v>
      </c>
      <c r="C278" s="2915">
        <v>219</v>
      </c>
      <c r="D278" s="2866"/>
      <c r="E278" s="2917" t="s">
        <v>955</v>
      </c>
      <c r="F278" s="2915">
        <v>360</v>
      </c>
      <c r="G278" s="2915">
        <v>360</v>
      </c>
      <c r="H278" s="2866"/>
      <c r="I278" s="2925"/>
      <c r="J278" s="2925"/>
      <c r="K278" s="2925"/>
      <c r="L278" s="2925"/>
      <c r="M278" s="2921"/>
      <c r="N278" s="2921"/>
      <c r="O278" s="2921"/>
      <c r="P278" s="2921"/>
      <c r="Q278" s="2921"/>
    </row>
    <row r="279" spans="1:17" x14ac:dyDescent="0.25">
      <c r="A279" s="2917" t="s">
        <v>887</v>
      </c>
      <c r="B279" s="2915">
        <v>7</v>
      </c>
      <c r="C279" s="2915">
        <f>3285+838</f>
        <v>4123</v>
      </c>
      <c r="D279" s="2866"/>
      <c r="E279" s="2917" t="s">
        <v>920</v>
      </c>
      <c r="F279" s="2915">
        <v>11000</v>
      </c>
      <c r="G279" s="2915">
        <v>11000</v>
      </c>
      <c r="H279" s="2866"/>
      <c r="I279" s="2925"/>
      <c r="J279" s="2925"/>
      <c r="K279" s="2925"/>
      <c r="L279" s="2925"/>
      <c r="M279" s="2921"/>
      <c r="N279" s="2921"/>
      <c r="O279" s="2921"/>
      <c r="P279" s="2921"/>
      <c r="Q279" s="2921"/>
    </row>
    <row r="280" spans="1:17" x14ac:dyDescent="0.25">
      <c r="A280" s="2917" t="s">
        <v>892</v>
      </c>
      <c r="B280" s="2915">
        <v>1</v>
      </c>
      <c r="C280" s="2915">
        <v>500</v>
      </c>
      <c r="D280" s="2866"/>
      <c r="E280" s="2917" t="s">
        <v>921</v>
      </c>
      <c r="F280" s="2841">
        <v>154</v>
      </c>
      <c r="G280" s="2808">
        <v>154</v>
      </c>
      <c r="H280" s="2866"/>
      <c r="I280" s="2925"/>
      <c r="J280" s="2925"/>
      <c r="K280" s="2925"/>
      <c r="L280" s="2925"/>
      <c r="M280" s="2921"/>
      <c r="N280" s="2921"/>
      <c r="O280" s="2921"/>
      <c r="P280" s="2921"/>
      <c r="Q280" s="2921"/>
    </row>
    <row r="281" spans="1:17" x14ac:dyDescent="0.25">
      <c r="A281" s="2917" t="s">
        <v>1028</v>
      </c>
      <c r="B281" s="2915">
        <v>3</v>
      </c>
      <c r="C281" s="2915">
        <f>56+46+22</f>
        <v>124</v>
      </c>
      <c r="D281" s="2866"/>
      <c r="E281" s="2917" t="s">
        <v>922</v>
      </c>
      <c r="F281" s="2915">
        <v>1357</v>
      </c>
      <c r="G281" s="2915">
        <v>1357</v>
      </c>
      <c r="H281" s="2866"/>
      <c r="I281" s="2925"/>
      <c r="J281" s="2925"/>
      <c r="K281" s="2925"/>
      <c r="L281" s="2925"/>
      <c r="M281" s="2921"/>
      <c r="N281" s="2921"/>
      <c r="O281" s="2921"/>
      <c r="P281" s="2921"/>
      <c r="Q281" s="2921"/>
    </row>
    <row r="282" spans="1:17" x14ac:dyDescent="0.25">
      <c r="A282" s="2917" t="s">
        <v>896</v>
      </c>
      <c r="B282" s="2915">
        <v>2</v>
      </c>
      <c r="C282" s="2915">
        <v>115</v>
      </c>
      <c r="D282" s="2866"/>
      <c r="E282" s="2917" t="s">
        <v>896</v>
      </c>
      <c r="F282" s="2915">
        <v>8815</v>
      </c>
      <c r="G282" s="2915">
        <v>17630</v>
      </c>
      <c r="H282" s="2866"/>
      <c r="I282" s="2925"/>
      <c r="J282" s="2925"/>
      <c r="K282" s="2925"/>
      <c r="L282" s="2925"/>
      <c r="M282" s="2921"/>
      <c r="N282" s="2921"/>
      <c r="O282" s="2921"/>
      <c r="P282" s="2921"/>
      <c r="Q282" s="2921"/>
    </row>
    <row r="283" spans="1:17" x14ac:dyDescent="0.25">
      <c r="A283" s="2917" t="s">
        <v>900</v>
      </c>
      <c r="B283" s="2915">
        <v>3</v>
      </c>
      <c r="C283" s="2915">
        <v>168</v>
      </c>
      <c r="D283" s="2866"/>
      <c r="E283" s="2917" t="s">
        <v>923</v>
      </c>
      <c r="F283" s="2915">
        <v>186</v>
      </c>
      <c r="G283" s="2915">
        <v>186</v>
      </c>
      <c r="H283" s="2866"/>
      <c r="I283" s="2925"/>
      <c r="J283" s="2925"/>
      <c r="K283" s="2925"/>
      <c r="L283" s="2925"/>
      <c r="M283" s="2921"/>
      <c r="N283" s="2921"/>
      <c r="O283" s="2921"/>
      <c r="P283" s="2921"/>
      <c r="Q283" s="2921"/>
    </row>
    <row r="284" spans="1:17" x14ac:dyDescent="0.25">
      <c r="A284" s="2917" t="s">
        <v>904</v>
      </c>
      <c r="B284" s="2915">
        <f>1+2+1+1</f>
        <v>5</v>
      </c>
      <c r="C284" s="2915">
        <f>18+30+24+32</f>
        <v>104</v>
      </c>
      <c r="D284" s="2866"/>
      <c r="E284" s="2917" t="s">
        <v>900</v>
      </c>
      <c r="F284" s="2915">
        <v>603</v>
      </c>
      <c r="G284" s="2915">
        <v>1206</v>
      </c>
      <c r="H284" s="2866"/>
      <c r="I284" s="2925"/>
      <c r="J284" s="2925"/>
      <c r="K284" s="2925"/>
      <c r="L284" s="2925"/>
      <c r="M284" s="2921"/>
      <c r="N284" s="2921"/>
      <c r="O284" s="2921"/>
      <c r="P284" s="2921"/>
      <c r="Q284" s="2921"/>
    </row>
    <row r="285" spans="1:17" x14ac:dyDescent="0.25">
      <c r="A285" s="2917" t="s">
        <v>1029</v>
      </c>
      <c r="B285" s="2915">
        <v>3</v>
      </c>
      <c r="C285" s="2915">
        <v>834</v>
      </c>
      <c r="D285" s="2866"/>
      <c r="E285" s="2917" t="s">
        <v>904</v>
      </c>
      <c r="F285" s="2915">
        <v>2687</v>
      </c>
      <c r="G285" s="2915">
        <f>150+4000+508+550+166</f>
        <v>5374</v>
      </c>
      <c r="H285" s="2866"/>
      <c r="I285" s="2925"/>
      <c r="J285" s="2925"/>
      <c r="K285" s="2925"/>
      <c r="L285" s="2925"/>
      <c r="M285" s="2921"/>
      <c r="N285" s="2921"/>
      <c r="O285" s="2921"/>
      <c r="P285" s="2921"/>
      <c r="Q285" s="2921"/>
    </row>
    <row r="286" spans="1:17" x14ac:dyDescent="0.25">
      <c r="A286" s="2917" t="s">
        <v>976</v>
      </c>
      <c r="B286" s="2915">
        <f>4+2</f>
        <v>6</v>
      </c>
      <c r="C286" s="2915">
        <f>98+80+172</f>
        <v>350</v>
      </c>
      <c r="D286" s="2866"/>
      <c r="E286" s="2917" t="s">
        <v>1030</v>
      </c>
      <c r="F286" s="2915">
        <v>250</v>
      </c>
      <c r="G286" s="2915">
        <v>3250</v>
      </c>
      <c r="H286" s="2866"/>
      <c r="I286" s="2925"/>
      <c r="J286" s="2925"/>
      <c r="K286" s="2925"/>
      <c r="L286" s="2925"/>
      <c r="M286" s="2921"/>
      <c r="N286" s="2921"/>
      <c r="O286" s="2921"/>
      <c r="P286" s="2921"/>
      <c r="Q286" s="2921"/>
    </row>
    <row r="287" spans="1:17" x14ac:dyDescent="0.25">
      <c r="A287" s="2927"/>
      <c r="B287" s="2927"/>
      <c r="C287" s="2856"/>
      <c r="D287" s="2866"/>
      <c r="E287" s="2917" t="s">
        <v>976</v>
      </c>
      <c r="F287" s="2915">
        <v>63</v>
      </c>
      <c r="G287" s="2915">
        <v>252</v>
      </c>
      <c r="H287" s="2866"/>
      <c r="I287" s="2855"/>
      <c r="J287" s="2925"/>
      <c r="K287" s="2925"/>
      <c r="L287" s="2925"/>
      <c r="M287" s="2921"/>
      <c r="N287" s="2921"/>
      <c r="O287" s="2921"/>
      <c r="P287" s="2921"/>
      <c r="Q287" s="2921"/>
    </row>
    <row r="288" spans="1:17" x14ac:dyDescent="0.25">
      <c r="A288" s="2909" t="s">
        <v>12</v>
      </c>
      <c r="B288" s="2908">
        <f>SUM(B268:B287)</f>
        <v>73</v>
      </c>
      <c r="C288" s="2908">
        <f>SUM(C268:C287)</f>
        <v>14623</v>
      </c>
      <c r="D288" s="2866"/>
      <c r="E288" s="2917" t="s">
        <v>977</v>
      </c>
      <c r="F288" s="2915">
        <v>118</v>
      </c>
      <c r="G288" s="2915">
        <v>118</v>
      </c>
      <c r="H288" s="2866"/>
      <c r="I288" s="2925"/>
      <c r="J288" s="2925"/>
      <c r="K288" s="2925"/>
      <c r="L288" s="2925"/>
      <c r="M288" s="2921"/>
      <c r="N288" s="2921"/>
      <c r="O288" s="2921"/>
      <c r="P288" s="2921"/>
      <c r="Q288" s="2921"/>
    </row>
    <row r="289" spans="1:17" x14ac:dyDescent="0.25">
      <c r="A289" s="2839" t="s">
        <v>919</v>
      </c>
      <c r="B289" s="2925"/>
      <c r="C289" s="2925"/>
      <c r="D289" s="2866"/>
      <c r="E289" s="2927"/>
      <c r="F289" s="2927"/>
      <c r="G289" s="2856"/>
      <c r="H289" s="2866"/>
      <c r="I289" s="2925"/>
      <c r="J289" s="2925"/>
      <c r="K289" s="2925"/>
      <c r="L289" s="2925"/>
      <c r="M289" s="2921"/>
      <c r="N289" s="2921"/>
      <c r="O289" s="2921"/>
      <c r="P289" s="2921"/>
      <c r="Q289" s="2921"/>
    </row>
    <row r="290" spans="1:17" x14ac:dyDescent="0.25">
      <c r="A290" s="2925"/>
      <c r="B290" s="2935"/>
      <c r="C290" s="2935"/>
      <c r="D290" s="2866"/>
      <c r="E290" s="2909" t="s">
        <v>12</v>
      </c>
      <c r="F290" s="2908">
        <f>SUM(F268:F289)</f>
        <v>165033</v>
      </c>
      <c r="G290" s="2908">
        <f>SUM(G268:G289)</f>
        <v>233056</v>
      </c>
      <c r="H290" s="2866"/>
      <c r="I290" s="2925"/>
      <c r="J290" s="2925"/>
      <c r="K290" s="2925"/>
      <c r="L290" s="2925"/>
      <c r="M290" s="2921"/>
      <c r="N290" s="2921"/>
      <c r="O290" s="2921"/>
      <c r="P290" s="2921"/>
      <c r="Q290" s="2921"/>
    </row>
    <row r="291" spans="1:17" x14ac:dyDescent="0.25">
      <c r="A291" s="2866"/>
      <c r="B291" s="2866"/>
      <c r="C291" s="2866"/>
      <c r="D291" s="2866"/>
      <c r="E291" s="2839" t="s">
        <v>919</v>
      </c>
      <c r="F291" s="2866"/>
      <c r="G291" s="2866"/>
      <c r="H291" s="2866"/>
      <c r="I291" s="2925"/>
      <c r="J291" s="2925"/>
      <c r="K291" s="2925"/>
      <c r="L291" s="2925"/>
      <c r="M291" s="2921"/>
      <c r="N291" s="2921"/>
      <c r="O291" s="2921"/>
      <c r="P291" s="2921"/>
      <c r="Q291" s="2921"/>
    </row>
    <row r="292" spans="1:17" x14ac:dyDescent="0.25">
      <c r="A292" s="2866"/>
      <c r="B292" s="2866"/>
      <c r="C292" s="2866"/>
      <c r="D292" s="2866"/>
      <c r="E292" s="2866"/>
      <c r="F292" s="2866"/>
      <c r="G292" s="2866"/>
      <c r="H292" s="2866"/>
      <c r="I292" s="2925"/>
      <c r="J292" s="2925"/>
      <c r="K292" s="2925"/>
      <c r="L292" s="2925"/>
      <c r="M292" s="2921"/>
      <c r="N292" s="2921"/>
      <c r="O292" s="2921"/>
      <c r="P292" s="2921"/>
      <c r="Q292" s="2921"/>
    </row>
    <row r="293" spans="1:17" x14ac:dyDescent="0.25">
      <c r="A293" s="2929"/>
      <c r="B293" s="2929"/>
      <c r="C293" s="2929"/>
      <c r="D293" s="2942"/>
      <c r="E293" s="2921"/>
      <c r="F293" s="2929"/>
      <c r="G293" s="2929"/>
      <c r="H293" s="2866"/>
      <c r="I293" s="7381" t="s">
        <v>1076</v>
      </c>
      <c r="J293" s="7382"/>
      <c r="K293" s="7382"/>
      <c r="L293" s="7383"/>
      <c r="M293" s="2921"/>
    </row>
    <row r="294" spans="1:17" x14ac:dyDescent="0.25">
      <c r="A294" s="2921"/>
      <c r="B294" s="2921"/>
      <c r="C294" s="2921"/>
      <c r="D294" s="2921"/>
      <c r="E294" s="2921"/>
      <c r="F294" s="2921"/>
      <c r="G294" s="2921"/>
      <c r="H294" s="2942"/>
      <c r="I294" s="7384" t="s">
        <v>582</v>
      </c>
      <c r="J294" s="7386" t="s">
        <v>863</v>
      </c>
      <c r="K294" s="7379" t="s">
        <v>869</v>
      </c>
      <c r="L294" s="7380"/>
      <c r="M294" s="2921"/>
    </row>
    <row r="295" spans="1:17" ht="15" customHeight="1" x14ac:dyDescent="0.25">
      <c r="A295" s="2921"/>
      <c r="B295" s="2921"/>
      <c r="C295" s="2921"/>
      <c r="D295" s="2921"/>
      <c r="E295" s="2921"/>
      <c r="F295" s="2921"/>
      <c r="G295" s="2921"/>
      <c r="H295" s="2921"/>
      <c r="I295" s="7385"/>
      <c r="J295" s="7384"/>
      <c r="K295" s="2838" t="s">
        <v>927</v>
      </c>
      <c r="L295" s="2838" t="s">
        <v>979</v>
      </c>
      <c r="M295" s="2921"/>
    </row>
    <row r="296" spans="1:17" ht="15" customHeight="1" x14ac:dyDescent="0.25">
      <c r="A296" s="2921"/>
      <c r="B296" s="2921"/>
      <c r="C296" s="2921"/>
      <c r="D296" s="2921"/>
      <c r="E296" s="2921"/>
      <c r="F296" s="2921"/>
      <c r="G296" s="2921"/>
      <c r="H296" s="2921"/>
      <c r="I296" s="2927"/>
      <c r="J296" s="2927"/>
      <c r="K296" s="2928"/>
      <c r="L296" s="2866"/>
      <c r="M296" s="2921"/>
    </row>
    <row r="297" spans="1:17" x14ac:dyDescent="0.25">
      <c r="A297" s="2921"/>
      <c r="B297" s="2921"/>
      <c r="C297" s="2921"/>
      <c r="D297" s="2921"/>
      <c r="E297" s="2921"/>
      <c r="F297" s="2921"/>
      <c r="G297" s="2921"/>
      <c r="H297" s="2921"/>
      <c r="I297" s="2881" t="s">
        <v>1053</v>
      </c>
      <c r="J297" s="2841" t="s">
        <v>1014</v>
      </c>
      <c r="K297" s="2905">
        <v>1690</v>
      </c>
      <c r="L297" s="2905">
        <v>8360</v>
      </c>
      <c r="M297" s="2921"/>
    </row>
    <row r="298" spans="1:17" x14ac:dyDescent="0.25">
      <c r="A298" s="2921"/>
      <c r="B298" s="2921"/>
      <c r="C298" s="2921"/>
      <c r="D298" s="2921"/>
      <c r="E298" s="2921"/>
      <c r="F298" s="2921"/>
      <c r="G298" s="2921"/>
      <c r="H298" s="2921"/>
      <c r="I298" s="2881" t="s">
        <v>586</v>
      </c>
      <c r="J298" s="2904" t="s">
        <v>1015</v>
      </c>
      <c r="K298" s="2915">
        <v>2631</v>
      </c>
      <c r="L298" s="2915"/>
      <c r="M298" s="2921"/>
    </row>
    <row r="299" spans="1:17" x14ac:dyDescent="0.25">
      <c r="A299" s="2921"/>
      <c r="B299" s="2921"/>
      <c r="C299" s="2921"/>
      <c r="D299" s="2921"/>
      <c r="E299" s="2921"/>
      <c r="F299" s="2921"/>
      <c r="G299" s="2921"/>
      <c r="H299" s="2921"/>
      <c r="I299" s="2880" t="s">
        <v>909</v>
      </c>
      <c r="J299" s="2903" t="s">
        <v>1014</v>
      </c>
      <c r="K299" s="2915">
        <v>4321</v>
      </c>
      <c r="L299" s="2915"/>
      <c r="M299" s="2921"/>
    </row>
    <row r="300" spans="1:17" x14ac:dyDescent="0.25">
      <c r="A300" s="2921"/>
      <c r="B300" s="2921"/>
      <c r="C300" s="2921"/>
      <c r="D300" s="2921"/>
      <c r="E300" s="2921"/>
      <c r="F300" s="2921"/>
      <c r="G300" s="2921"/>
      <c r="H300" s="2921"/>
      <c r="I300" s="2879" t="s">
        <v>1054</v>
      </c>
      <c r="J300" s="2902" t="s">
        <v>1014</v>
      </c>
      <c r="K300" s="2841">
        <v>975</v>
      </c>
      <c r="L300" s="2841">
        <v>7010</v>
      </c>
      <c r="M300" s="2921"/>
    </row>
    <row r="301" spans="1:17" x14ac:dyDescent="0.25">
      <c r="A301" s="2921"/>
      <c r="B301" s="2921"/>
      <c r="C301" s="2921"/>
      <c r="D301" s="2921"/>
      <c r="E301" s="2921"/>
      <c r="F301" s="2921"/>
      <c r="G301" s="2921"/>
      <c r="H301" s="2921"/>
      <c r="I301" s="7387" t="s">
        <v>12</v>
      </c>
      <c r="J301" s="7390"/>
      <c r="K301" s="2901">
        <f>SUM(K297:K300)</f>
        <v>9617</v>
      </c>
      <c r="L301" s="2901">
        <f>SUM(L297:L300)</f>
        <v>15370</v>
      </c>
      <c r="M301" s="2921"/>
    </row>
    <row r="302" spans="1:17" x14ac:dyDescent="0.25">
      <c r="A302" s="2921"/>
      <c r="B302" s="2921"/>
      <c r="C302" s="2921"/>
      <c r="D302" s="2921"/>
      <c r="E302" s="2921"/>
      <c r="F302" s="2921"/>
      <c r="G302" s="2921"/>
      <c r="H302" s="2921"/>
      <c r="I302" s="2921"/>
      <c r="J302" s="2921"/>
      <c r="K302" s="2921"/>
      <c r="L302" s="2921"/>
      <c r="M302" s="2921"/>
    </row>
    <row r="303" spans="1:17" ht="38.25" x14ac:dyDescent="0.25">
      <c r="A303" s="2921"/>
      <c r="B303" s="2921"/>
      <c r="C303" s="2921"/>
      <c r="D303" s="2921"/>
      <c r="E303" s="2921"/>
      <c r="F303" s="2921"/>
      <c r="G303" s="2921"/>
      <c r="H303" s="2921"/>
      <c r="I303" s="2909" t="s">
        <v>16</v>
      </c>
      <c r="J303" s="2909" t="s">
        <v>1078</v>
      </c>
      <c r="K303" s="2832" t="s">
        <v>866</v>
      </c>
      <c r="L303" s="2832" t="s">
        <v>1042</v>
      </c>
      <c r="M303" s="2921"/>
    </row>
    <row r="304" spans="1:17" x14ac:dyDescent="0.25">
      <c r="A304" s="2921"/>
      <c r="B304" s="2921"/>
      <c r="C304" s="2921"/>
      <c r="D304" s="2921"/>
      <c r="E304" s="2921"/>
      <c r="F304" s="2921"/>
      <c r="G304" s="2921"/>
      <c r="H304" s="2921"/>
      <c r="I304" s="2929"/>
      <c r="J304" s="2782"/>
      <c r="K304" s="2782"/>
      <c r="L304" s="2926"/>
      <c r="M304" s="2921"/>
    </row>
    <row r="305" spans="1:13" ht="15" customHeight="1" x14ac:dyDescent="0.25">
      <c r="A305" s="2921"/>
      <c r="B305" s="2921"/>
      <c r="C305" s="2921"/>
      <c r="D305" s="2921"/>
      <c r="E305" s="2921"/>
      <c r="F305" s="2921"/>
      <c r="G305" s="2921"/>
      <c r="H305" s="2921"/>
      <c r="I305" s="7391" t="s">
        <v>3</v>
      </c>
      <c r="J305" s="2843" t="s">
        <v>1031</v>
      </c>
      <c r="K305" s="2831">
        <v>3</v>
      </c>
      <c r="L305" s="2830">
        <v>1214</v>
      </c>
      <c r="M305" s="2921"/>
    </row>
    <row r="306" spans="1:13" x14ac:dyDescent="0.25">
      <c r="A306" s="2921"/>
      <c r="B306" s="2921"/>
      <c r="C306" s="2921"/>
      <c r="D306" s="2921"/>
      <c r="E306" s="2921"/>
      <c r="F306" s="2921"/>
      <c r="G306" s="2921"/>
      <c r="H306" s="2921"/>
      <c r="I306" s="7391"/>
      <c r="J306" s="2864" t="s">
        <v>1032</v>
      </c>
      <c r="K306" s="2829">
        <v>3</v>
      </c>
      <c r="L306" s="2828">
        <v>5031</v>
      </c>
      <c r="M306" s="2921"/>
    </row>
    <row r="307" spans="1:13" x14ac:dyDescent="0.25">
      <c r="A307" s="2921"/>
      <c r="B307" s="2921"/>
      <c r="C307" s="2921"/>
      <c r="D307" s="2921"/>
      <c r="E307" s="2921"/>
      <c r="F307" s="2921"/>
      <c r="G307" s="2921"/>
      <c r="H307" s="2921"/>
      <c r="I307" s="7391"/>
      <c r="J307" s="2864" t="s">
        <v>1043</v>
      </c>
      <c r="K307" s="2829">
        <v>3</v>
      </c>
      <c r="L307" s="2828">
        <v>741</v>
      </c>
      <c r="M307" s="2921"/>
    </row>
    <row r="308" spans="1:13" x14ac:dyDescent="0.25">
      <c r="A308" s="2921"/>
      <c r="B308" s="2921"/>
      <c r="C308" s="2921"/>
      <c r="D308" s="2921"/>
      <c r="E308" s="2921"/>
      <c r="F308" s="2921"/>
      <c r="G308" s="2921"/>
      <c r="H308" s="2921"/>
      <c r="I308" s="7391"/>
      <c r="J308" s="2827" t="s">
        <v>1044</v>
      </c>
      <c r="K308" s="2829">
        <v>3</v>
      </c>
      <c r="L308" s="2828">
        <v>580</v>
      </c>
      <c r="M308" s="2921"/>
    </row>
    <row r="309" spans="1:13" x14ac:dyDescent="0.25">
      <c r="A309" s="2921"/>
      <c r="B309" s="2921"/>
      <c r="C309" s="2921"/>
      <c r="D309" s="2921"/>
      <c r="E309" s="2921"/>
      <c r="F309" s="2921"/>
      <c r="G309" s="2921"/>
      <c r="H309" s="2921"/>
      <c r="I309" s="7391"/>
      <c r="J309" s="2864" t="s">
        <v>1033</v>
      </c>
      <c r="K309" s="2829">
        <v>3</v>
      </c>
      <c r="L309" s="2828">
        <v>865</v>
      </c>
      <c r="M309" s="2921"/>
    </row>
    <row r="310" spans="1:13" x14ac:dyDescent="0.25">
      <c r="A310" s="2921"/>
      <c r="B310" s="2921"/>
      <c r="C310" s="2921"/>
      <c r="D310" s="2921"/>
      <c r="E310" s="2921"/>
      <c r="F310" s="2921"/>
      <c r="G310" s="2921"/>
      <c r="H310" s="2921"/>
      <c r="I310" s="7391"/>
      <c r="J310" s="2864" t="s">
        <v>870</v>
      </c>
      <c r="K310" s="2829">
        <v>2</v>
      </c>
      <c r="L310" s="2828">
        <v>57</v>
      </c>
      <c r="M310" s="2921"/>
    </row>
    <row r="311" spans="1:13" x14ac:dyDescent="0.25">
      <c r="A311" s="2921"/>
      <c r="B311" s="2921"/>
      <c r="C311" s="2921"/>
      <c r="D311" s="2921"/>
      <c r="E311" s="2921"/>
      <c r="F311" s="2921"/>
      <c r="G311" s="2921"/>
      <c r="H311" s="2921"/>
      <c r="I311" s="7391"/>
      <c r="J311" s="2864" t="s">
        <v>888</v>
      </c>
      <c r="K311" s="2829">
        <v>3</v>
      </c>
      <c r="L311" s="2828">
        <v>244</v>
      </c>
      <c r="M311" s="2921"/>
    </row>
    <row r="312" spans="1:13" x14ac:dyDescent="0.25">
      <c r="A312" s="2921"/>
      <c r="B312" s="2921"/>
      <c r="C312" s="2921"/>
      <c r="D312" s="2921"/>
      <c r="E312" s="2921"/>
      <c r="F312" s="2921"/>
      <c r="G312" s="2921"/>
      <c r="H312" s="2921"/>
      <c r="I312" s="7391"/>
      <c r="J312" s="2864" t="s">
        <v>1035</v>
      </c>
      <c r="K312" s="2829">
        <v>3</v>
      </c>
      <c r="L312" s="2828">
        <v>1963</v>
      </c>
      <c r="M312" s="2921"/>
    </row>
    <row r="313" spans="1:13" x14ac:dyDescent="0.25">
      <c r="A313" s="2921"/>
      <c r="B313" s="2921"/>
      <c r="C313" s="2921"/>
      <c r="D313" s="2921"/>
      <c r="E313" s="2921"/>
      <c r="F313" s="2921"/>
      <c r="G313" s="2921"/>
      <c r="H313" s="2921"/>
      <c r="I313" s="7391"/>
      <c r="J313" s="2864" t="s">
        <v>900</v>
      </c>
      <c r="K313" s="2829">
        <v>2</v>
      </c>
      <c r="L313" s="2828">
        <v>48</v>
      </c>
      <c r="M313" s="2921"/>
    </row>
    <row r="314" spans="1:13" x14ac:dyDescent="0.25">
      <c r="A314" s="2921"/>
      <c r="B314" s="2921"/>
      <c r="C314" s="2921"/>
      <c r="D314" s="2921"/>
      <c r="E314" s="2921"/>
      <c r="F314" s="2921"/>
      <c r="G314" s="2921"/>
      <c r="H314" s="2921"/>
      <c r="I314" s="7391"/>
      <c r="J314" s="2826" t="s">
        <v>976</v>
      </c>
      <c r="K314" s="2825">
        <v>1</v>
      </c>
      <c r="L314" s="2824">
        <v>42</v>
      </c>
      <c r="M314" s="2921"/>
    </row>
    <row r="315" spans="1:13" x14ac:dyDescent="0.25">
      <c r="A315" s="2921"/>
      <c r="B315" s="2921"/>
      <c r="C315" s="2921"/>
      <c r="D315" s="2921"/>
      <c r="E315" s="2921"/>
      <c r="F315" s="2921"/>
      <c r="G315" s="2921"/>
      <c r="H315" s="2921"/>
      <c r="I315" s="7391"/>
      <c r="J315" s="2909" t="s">
        <v>12</v>
      </c>
      <c r="K315" s="2908">
        <f>SUM(K305:K314)</f>
        <v>26</v>
      </c>
      <c r="L315" s="2908">
        <f>SUM(L305:L314)</f>
        <v>10785</v>
      </c>
      <c r="M315" s="2921"/>
    </row>
    <row r="316" spans="1:13" x14ac:dyDescent="0.25">
      <c r="A316" s="2921"/>
      <c r="B316" s="2921"/>
      <c r="C316" s="2921"/>
      <c r="D316" s="2921"/>
      <c r="E316" s="2921"/>
      <c r="F316" s="2921"/>
      <c r="G316" s="2921"/>
      <c r="H316" s="2921"/>
      <c r="I316" s="7392" t="s">
        <v>8</v>
      </c>
      <c r="J316" s="2797" t="s">
        <v>1037</v>
      </c>
      <c r="K316" s="2863">
        <v>3</v>
      </c>
      <c r="L316" s="2823">
        <v>360</v>
      </c>
      <c r="M316" s="2921"/>
    </row>
    <row r="317" spans="1:13" x14ac:dyDescent="0.25">
      <c r="A317" s="2921"/>
      <c r="B317" s="2921"/>
      <c r="C317" s="2921"/>
      <c r="D317" s="2921"/>
      <c r="E317" s="2921"/>
      <c r="F317" s="2921"/>
      <c r="G317" s="2921"/>
      <c r="H317" s="2921"/>
      <c r="I317" s="7393"/>
      <c r="J317" s="2822" t="s">
        <v>873</v>
      </c>
      <c r="K317" s="2821">
        <v>1</v>
      </c>
      <c r="L317" s="2854">
        <v>40</v>
      </c>
      <c r="M317" s="2921"/>
    </row>
    <row r="318" spans="1:13" x14ac:dyDescent="0.25">
      <c r="A318" s="2921"/>
      <c r="B318" s="2921"/>
      <c r="C318" s="2921"/>
      <c r="D318" s="2921"/>
      <c r="E318" s="2921"/>
      <c r="F318" s="2921"/>
      <c r="G318" s="2921"/>
      <c r="H318" s="2921"/>
      <c r="I318" s="7393"/>
      <c r="J318" s="2822" t="s">
        <v>870</v>
      </c>
      <c r="K318" s="2821">
        <v>2</v>
      </c>
      <c r="L318" s="2854">
        <v>36</v>
      </c>
      <c r="M318" s="2921"/>
    </row>
    <row r="319" spans="1:13" x14ac:dyDescent="0.25">
      <c r="A319" s="2921"/>
      <c r="B319" s="2921"/>
      <c r="C319" s="2921"/>
      <c r="D319" s="2921"/>
      <c r="E319" s="2921"/>
      <c r="F319" s="2921"/>
      <c r="G319" s="2921"/>
      <c r="H319" s="2921"/>
      <c r="I319" s="7393"/>
      <c r="J319" s="2822" t="s">
        <v>1034</v>
      </c>
      <c r="K319" s="2821">
        <v>2</v>
      </c>
      <c r="L319" s="2854">
        <v>580</v>
      </c>
      <c r="M319" s="2921"/>
    </row>
    <row r="320" spans="1:13" x14ac:dyDescent="0.25">
      <c r="A320" s="2921"/>
      <c r="B320" s="2921"/>
      <c r="C320" s="2921"/>
      <c r="D320" s="2921"/>
      <c r="E320" s="2921"/>
      <c r="F320" s="2921"/>
      <c r="G320" s="2921"/>
      <c r="H320" s="2921"/>
      <c r="I320" s="7393"/>
      <c r="J320" s="2862" t="s">
        <v>1045</v>
      </c>
      <c r="K320" s="2847">
        <v>2</v>
      </c>
      <c r="L320" s="2812">
        <v>16</v>
      </c>
      <c r="M320" s="2921"/>
    </row>
    <row r="321" spans="1:13" x14ac:dyDescent="0.25">
      <c r="A321" s="2921"/>
      <c r="B321" s="2921"/>
      <c r="C321" s="2921"/>
      <c r="D321" s="2921"/>
      <c r="E321" s="2921"/>
      <c r="F321" s="2921"/>
      <c r="G321" s="2921"/>
      <c r="H321" s="2921"/>
      <c r="I321" s="7394"/>
      <c r="J321" s="2909" t="s">
        <v>12</v>
      </c>
      <c r="K321" s="2908">
        <f>SUM(K316:K320)</f>
        <v>10</v>
      </c>
      <c r="L321" s="2908">
        <f>SUM(L316:L320)</f>
        <v>1032</v>
      </c>
      <c r="M321" s="2921"/>
    </row>
    <row r="322" spans="1:13" x14ac:dyDescent="0.25">
      <c r="A322" s="2921"/>
      <c r="B322" s="2921"/>
      <c r="C322" s="2921"/>
      <c r="D322" s="2921"/>
      <c r="E322" s="2921"/>
      <c r="F322" s="2921"/>
      <c r="G322" s="2921"/>
      <c r="H322" s="2921"/>
      <c r="I322" s="7395" t="s">
        <v>75</v>
      </c>
      <c r="J322" s="2813" t="s">
        <v>1032</v>
      </c>
      <c r="K322" s="2811">
        <v>3</v>
      </c>
      <c r="L322" s="2820">
        <v>528</v>
      </c>
      <c r="M322" s="2921"/>
    </row>
    <row r="323" spans="1:13" x14ac:dyDescent="0.25">
      <c r="A323" s="2921"/>
      <c r="B323" s="2921"/>
      <c r="C323" s="2921"/>
      <c r="D323" s="2921"/>
      <c r="E323" s="2921"/>
      <c r="F323" s="2921"/>
      <c r="G323" s="2921"/>
      <c r="H323" s="2921"/>
      <c r="I323" s="7396"/>
      <c r="J323" s="2819" t="s">
        <v>1037</v>
      </c>
      <c r="K323" s="2818">
        <v>2</v>
      </c>
      <c r="L323" s="2817">
        <v>2028</v>
      </c>
      <c r="M323" s="2921"/>
    </row>
    <row r="324" spans="1:13" x14ac:dyDescent="0.25">
      <c r="A324" s="2921"/>
      <c r="B324" s="2921"/>
      <c r="C324" s="2921"/>
      <c r="D324" s="2921"/>
      <c r="E324" s="2921"/>
      <c r="F324" s="2921"/>
      <c r="G324" s="2921"/>
      <c r="H324" s="2921"/>
      <c r="I324" s="7396"/>
      <c r="J324" s="2819" t="s">
        <v>873</v>
      </c>
      <c r="K324" s="2818">
        <v>4</v>
      </c>
      <c r="L324" s="2817">
        <v>516</v>
      </c>
      <c r="M324" s="2921"/>
    </row>
    <row r="325" spans="1:13" x14ac:dyDescent="0.25">
      <c r="A325" s="2921"/>
      <c r="B325" s="2921"/>
      <c r="C325" s="2921"/>
      <c r="D325" s="2921"/>
      <c r="E325" s="2921"/>
      <c r="F325" s="2921"/>
      <c r="G325" s="2921"/>
      <c r="H325" s="2921"/>
      <c r="I325" s="7396"/>
      <c r="J325" s="2819" t="s">
        <v>870</v>
      </c>
      <c r="K325" s="2818">
        <v>4</v>
      </c>
      <c r="L325" s="2817">
        <v>95</v>
      </c>
      <c r="M325" s="2921"/>
    </row>
    <row r="326" spans="1:13" x14ac:dyDescent="0.25">
      <c r="A326" s="2921"/>
      <c r="B326" s="2921"/>
      <c r="C326" s="2921"/>
      <c r="D326" s="2921"/>
      <c r="E326" s="2921"/>
      <c r="F326" s="2921"/>
      <c r="G326" s="2921"/>
      <c r="H326" s="2921"/>
      <c r="I326" s="7396"/>
      <c r="J326" s="2819" t="s">
        <v>900</v>
      </c>
      <c r="K326" s="2818">
        <v>3</v>
      </c>
      <c r="L326" s="2817">
        <v>153</v>
      </c>
      <c r="M326" s="2921"/>
    </row>
    <row r="327" spans="1:13" x14ac:dyDescent="0.25">
      <c r="A327" s="2921"/>
      <c r="B327" s="2921"/>
      <c r="C327" s="2921"/>
      <c r="D327" s="2921"/>
      <c r="E327" s="2921"/>
      <c r="F327" s="2921"/>
      <c r="G327" s="2921"/>
      <c r="H327" s="2921"/>
      <c r="I327" s="7396"/>
      <c r="J327" s="2819" t="s">
        <v>896</v>
      </c>
      <c r="K327" s="2818">
        <v>2</v>
      </c>
      <c r="L327" s="2817">
        <v>137</v>
      </c>
      <c r="M327" s="2921"/>
    </row>
    <row r="328" spans="1:13" x14ac:dyDescent="0.25">
      <c r="A328" s="2921"/>
      <c r="B328" s="2921"/>
      <c r="C328" s="2921"/>
      <c r="D328" s="2921"/>
      <c r="E328" s="2921"/>
      <c r="F328" s="2921"/>
      <c r="G328" s="2921"/>
      <c r="H328" s="2921"/>
      <c r="I328" s="7396"/>
      <c r="J328" s="2819" t="s">
        <v>976</v>
      </c>
      <c r="K328" s="2818">
        <v>2</v>
      </c>
      <c r="L328" s="2817">
        <v>162</v>
      </c>
      <c r="M328" s="2921"/>
    </row>
    <row r="329" spans="1:13" x14ac:dyDescent="0.25">
      <c r="A329" s="2921"/>
      <c r="B329" s="2921"/>
      <c r="C329" s="2921"/>
      <c r="D329" s="2921"/>
      <c r="E329" s="2921"/>
      <c r="F329" s="2921"/>
      <c r="G329" s="2921"/>
      <c r="H329" s="2921"/>
      <c r="I329" s="7396"/>
      <c r="J329" s="2819" t="s">
        <v>1046</v>
      </c>
      <c r="K329" s="2818">
        <v>1</v>
      </c>
      <c r="L329" s="2817">
        <v>23</v>
      </c>
      <c r="M329" s="2921"/>
    </row>
    <row r="330" spans="1:13" x14ac:dyDescent="0.25">
      <c r="A330" s="2921"/>
      <c r="B330" s="2921"/>
      <c r="C330" s="2921"/>
      <c r="D330" s="2921"/>
      <c r="E330" s="2921"/>
      <c r="F330" s="2921"/>
      <c r="G330" s="2921"/>
      <c r="H330" s="2921"/>
      <c r="I330" s="7396"/>
      <c r="J330" s="2796" t="s">
        <v>1047</v>
      </c>
      <c r="K330" s="2853">
        <v>1</v>
      </c>
      <c r="L330" s="2861">
        <v>45</v>
      </c>
      <c r="M330" s="2921"/>
    </row>
    <row r="331" spans="1:13" x14ac:dyDescent="0.25">
      <c r="A331" s="2921"/>
      <c r="B331" s="2921"/>
      <c r="C331" s="2921"/>
      <c r="D331" s="2921"/>
      <c r="E331" s="2921"/>
      <c r="F331" s="2921"/>
      <c r="G331" s="2921"/>
      <c r="H331" s="2921"/>
      <c r="I331" s="7397"/>
      <c r="J331" s="2838" t="s">
        <v>12</v>
      </c>
      <c r="K331" s="2901">
        <f>SUM(K322:K330)</f>
        <v>22</v>
      </c>
      <c r="L331" s="2908">
        <f>SUM(L322:L330)</f>
        <v>3687</v>
      </c>
      <c r="M331" s="2921"/>
    </row>
    <row r="332" spans="1:13" x14ac:dyDescent="0.25">
      <c r="A332" s="2921"/>
      <c r="B332" s="2921"/>
      <c r="C332" s="2921"/>
      <c r="D332" s="2921"/>
      <c r="E332" s="2921"/>
      <c r="F332" s="2921"/>
      <c r="G332" s="2921"/>
      <c r="H332" s="2921"/>
      <c r="I332" s="7398" t="s">
        <v>10</v>
      </c>
      <c r="J332" s="2795" t="s">
        <v>1032</v>
      </c>
      <c r="K332" s="2852">
        <v>7</v>
      </c>
      <c r="L332" s="2823">
        <v>803</v>
      </c>
      <c r="M332" s="2921"/>
    </row>
    <row r="333" spans="1:13" x14ac:dyDescent="0.25">
      <c r="A333" s="2921"/>
      <c r="B333" s="2921"/>
      <c r="C333" s="2921"/>
      <c r="D333" s="2921"/>
      <c r="E333" s="2921"/>
      <c r="F333" s="2921"/>
      <c r="G333" s="2921"/>
      <c r="H333" s="2921"/>
      <c r="I333" s="7399"/>
      <c r="J333" s="2810" t="s">
        <v>1037</v>
      </c>
      <c r="K333" s="2794">
        <v>7</v>
      </c>
      <c r="L333" s="2854">
        <v>406</v>
      </c>
      <c r="M333" s="2921"/>
    </row>
    <row r="334" spans="1:13" x14ac:dyDescent="0.25">
      <c r="A334" s="2921"/>
      <c r="B334" s="2921"/>
      <c r="C334" s="2921"/>
      <c r="D334" s="2921"/>
      <c r="E334" s="2921"/>
      <c r="F334" s="2921"/>
      <c r="G334" s="2921"/>
      <c r="H334" s="2921"/>
      <c r="I334" s="7399"/>
      <c r="J334" s="2891" t="s">
        <v>873</v>
      </c>
      <c r="K334" s="2794">
        <v>5</v>
      </c>
      <c r="L334" s="2854">
        <v>196</v>
      </c>
      <c r="M334" s="2921"/>
    </row>
    <row r="335" spans="1:13" x14ac:dyDescent="0.25">
      <c r="A335" s="2921"/>
      <c r="B335" s="2921"/>
      <c r="C335" s="2921"/>
      <c r="D335" s="2921"/>
      <c r="E335" s="2921"/>
      <c r="F335" s="2921"/>
      <c r="G335" s="2921"/>
      <c r="H335" s="2921"/>
      <c r="I335" s="7399"/>
      <c r="J335" s="2891" t="s">
        <v>870</v>
      </c>
      <c r="K335" s="2794">
        <v>8</v>
      </c>
      <c r="L335" s="2854">
        <v>181</v>
      </c>
      <c r="M335" s="2921"/>
    </row>
    <row r="336" spans="1:13" x14ac:dyDescent="0.25">
      <c r="A336" s="2921"/>
      <c r="B336" s="2921"/>
      <c r="C336" s="2921"/>
      <c r="D336" s="2921"/>
      <c r="E336" s="2921"/>
      <c r="F336" s="2921"/>
      <c r="G336" s="2921"/>
      <c r="H336" s="2921"/>
      <c r="I336" s="7399"/>
      <c r="J336" s="2891" t="s">
        <v>1034</v>
      </c>
      <c r="K336" s="2794">
        <v>3</v>
      </c>
      <c r="L336" s="2854">
        <v>117</v>
      </c>
      <c r="M336" s="2921"/>
    </row>
    <row r="337" spans="1:17" x14ac:dyDescent="0.25">
      <c r="A337" s="2921"/>
      <c r="B337" s="2921"/>
      <c r="C337" s="2921"/>
      <c r="D337" s="2921"/>
      <c r="E337" s="2921"/>
      <c r="F337" s="2921"/>
      <c r="G337" s="2921"/>
      <c r="H337" s="2921"/>
      <c r="I337" s="7399"/>
      <c r="J337" s="2891" t="s">
        <v>1048</v>
      </c>
      <c r="K337" s="2794">
        <v>2</v>
      </c>
      <c r="L337" s="2854">
        <v>165</v>
      </c>
      <c r="M337" s="2921"/>
    </row>
    <row r="338" spans="1:17" x14ac:dyDescent="0.25">
      <c r="A338" s="2921"/>
      <c r="B338" s="2921"/>
      <c r="C338" s="2921"/>
      <c r="D338" s="2921"/>
      <c r="E338" s="2921"/>
      <c r="F338" s="2921"/>
      <c r="G338" s="2921"/>
      <c r="H338" s="2921"/>
      <c r="I338" s="7399"/>
      <c r="J338" s="2891" t="s">
        <v>1049</v>
      </c>
      <c r="K338" s="2794">
        <v>1</v>
      </c>
      <c r="L338" s="2854">
        <v>3</v>
      </c>
      <c r="M338" s="2921"/>
      <c r="N338" s="2921"/>
      <c r="O338" s="2921"/>
      <c r="P338" s="2921"/>
      <c r="Q338" s="2921"/>
    </row>
    <row r="339" spans="1:17" x14ac:dyDescent="0.25">
      <c r="A339" s="2921"/>
      <c r="B339" s="2921"/>
      <c r="C339" s="2921"/>
      <c r="D339" s="2921"/>
      <c r="E339" s="2921"/>
      <c r="F339" s="2921"/>
      <c r="G339" s="2921"/>
      <c r="H339" s="2921"/>
      <c r="I339" s="7399"/>
      <c r="J339" s="2891" t="s">
        <v>976</v>
      </c>
      <c r="K339" s="2794">
        <v>5</v>
      </c>
      <c r="L339" s="2854">
        <v>134</v>
      </c>
      <c r="M339" s="2921"/>
      <c r="N339" s="2921"/>
      <c r="O339" s="2921"/>
      <c r="P339" s="2921"/>
      <c r="Q339" s="2921"/>
    </row>
    <row r="340" spans="1:17" x14ac:dyDescent="0.25">
      <c r="A340" s="2921"/>
      <c r="B340" s="2921"/>
      <c r="C340" s="2921"/>
      <c r="D340" s="2921"/>
      <c r="E340" s="2921"/>
      <c r="F340" s="2921"/>
      <c r="G340" s="2921"/>
      <c r="H340" s="2921"/>
      <c r="I340" s="7399"/>
      <c r="J340" s="2891" t="s">
        <v>1050</v>
      </c>
      <c r="K340" s="2794">
        <v>7</v>
      </c>
      <c r="L340" s="2854">
        <v>414</v>
      </c>
      <c r="M340" s="2921"/>
      <c r="N340" s="2921"/>
      <c r="O340" s="2921"/>
      <c r="P340" s="2921"/>
      <c r="Q340" s="2921"/>
    </row>
    <row r="341" spans="1:17" x14ac:dyDescent="0.25">
      <c r="A341" s="2921"/>
      <c r="B341" s="2921"/>
      <c r="C341" s="2921"/>
      <c r="D341" s="2921"/>
      <c r="E341" s="2921"/>
      <c r="F341" s="2921"/>
      <c r="G341" s="2921"/>
      <c r="H341" s="2921"/>
      <c r="I341" s="7399"/>
      <c r="J341" s="2891" t="s">
        <v>923</v>
      </c>
      <c r="K341" s="2794">
        <v>4</v>
      </c>
      <c r="L341" s="2854">
        <v>14</v>
      </c>
      <c r="M341" s="2921"/>
      <c r="N341" s="2921"/>
      <c r="O341" s="2921"/>
      <c r="P341" s="2921"/>
      <c r="Q341" s="2921"/>
    </row>
    <row r="342" spans="1:17" x14ac:dyDescent="0.25">
      <c r="A342" s="2921"/>
      <c r="B342" s="2921"/>
      <c r="C342" s="2921"/>
      <c r="D342" s="2921"/>
      <c r="E342" s="2921"/>
      <c r="F342" s="2921"/>
      <c r="G342" s="2921"/>
      <c r="H342" s="2921"/>
      <c r="I342" s="7399"/>
      <c r="J342" s="2891" t="s">
        <v>955</v>
      </c>
      <c r="K342" s="2794">
        <v>3</v>
      </c>
      <c r="L342" s="2854">
        <v>6</v>
      </c>
      <c r="M342" s="2921"/>
      <c r="N342" s="2921"/>
      <c r="O342" s="2921"/>
      <c r="P342" s="2921"/>
      <c r="Q342" s="2921"/>
    </row>
    <row r="343" spans="1:17" x14ac:dyDescent="0.25">
      <c r="A343" s="2921"/>
      <c r="B343" s="2921"/>
      <c r="C343" s="2921"/>
      <c r="D343" s="2921"/>
      <c r="E343" s="2921"/>
      <c r="F343" s="2921"/>
      <c r="G343" s="2921"/>
      <c r="H343" s="2921"/>
      <c r="I343" s="7399"/>
      <c r="J343" s="2891" t="s">
        <v>932</v>
      </c>
      <c r="K343" s="2794">
        <v>5</v>
      </c>
      <c r="L343" s="2854">
        <v>67</v>
      </c>
      <c r="M343" s="2921"/>
      <c r="N343" s="2921"/>
      <c r="O343" s="2921"/>
      <c r="P343" s="2921"/>
      <c r="Q343" s="2921"/>
    </row>
    <row r="344" spans="1:17" x14ac:dyDescent="0.25">
      <c r="A344" s="2921"/>
      <c r="B344" s="2921"/>
      <c r="C344" s="2921"/>
      <c r="D344" s="2921"/>
      <c r="E344" s="2921"/>
      <c r="F344" s="2921"/>
      <c r="G344" s="2921"/>
      <c r="H344" s="2921"/>
      <c r="I344" s="7399"/>
      <c r="J344" s="2891" t="s">
        <v>1051</v>
      </c>
      <c r="K344" s="2794">
        <v>3</v>
      </c>
      <c r="L344" s="2854">
        <v>50</v>
      </c>
      <c r="M344" s="2921"/>
      <c r="N344" s="2921"/>
      <c r="O344" s="2921"/>
      <c r="P344" s="2921"/>
      <c r="Q344" s="2921"/>
    </row>
    <row r="345" spans="1:17" x14ac:dyDescent="0.25">
      <c r="A345" s="2921"/>
      <c r="B345" s="2921"/>
      <c r="C345" s="2921"/>
      <c r="D345" s="2921"/>
      <c r="E345" s="2921"/>
      <c r="F345" s="2921"/>
      <c r="G345" s="2921"/>
      <c r="H345" s="2921"/>
      <c r="I345" s="7399"/>
      <c r="J345" s="2816" t="s">
        <v>1052</v>
      </c>
      <c r="K345" s="2815">
        <v>4</v>
      </c>
      <c r="L345" s="2812">
        <v>81</v>
      </c>
      <c r="M345" s="2921"/>
      <c r="N345" s="2921"/>
      <c r="O345" s="2921"/>
      <c r="P345" s="2921"/>
      <c r="Q345" s="2921"/>
    </row>
    <row r="346" spans="1:17" x14ac:dyDescent="0.25">
      <c r="A346" s="2921"/>
      <c r="B346" s="2921"/>
      <c r="C346" s="2921"/>
      <c r="D346" s="2921"/>
      <c r="E346" s="2921"/>
      <c r="F346" s="2921"/>
      <c r="G346" s="2921"/>
      <c r="H346" s="2921"/>
      <c r="I346" s="7400"/>
      <c r="J346" s="2793" t="s">
        <v>12</v>
      </c>
      <c r="K346" s="2842">
        <f>SUM(K332:K345)</f>
        <v>64</v>
      </c>
      <c r="L346" s="2908">
        <f>SUM(L332:L345)</f>
        <v>2637</v>
      </c>
      <c r="M346" s="2921"/>
      <c r="N346" s="2921"/>
      <c r="O346" s="2921"/>
      <c r="P346" s="2921"/>
      <c r="Q346" s="2921"/>
    </row>
    <row r="347" spans="1:17" x14ac:dyDescent="0.25">
      <c r="A347" s="2921"/>
      <c r="B347" s="2921"/>
      <c r="C347" s="2921"/>
      <c r="D347" s="2921"/>
      <c r="E347" s="2921"/>
      <c r="F347" s="2921"/>
      <c r="G347" s="2921"/>
      <c r="H347" s="2921"/>
      <c r="I347" s="7379" t="s">
        <v>60</v>
      </c>
      <c r="J347" s="7380"/>
      <c r="K347" s="2908">
        <f>K315+K331+K346+K321</f>
        <v>122</v>
      </c>
      <c r="L347" s="2908">
        <f>L315+L331+L346+L321</f>
        <v>18141</v>
      </c>
      <c r="M347" s="2921"/>
      <c r="N347" s="2921"/>
      <c r="O347" s="2921"/>
      <c r="P347" s="2921"/>
      <c r="Q347" s="2921"/>
    </row>
    <row r="348" spans="1:17" x14ac:dyDescent="0.25">
      <c r="A348" s="2921"/>
      <c r="B348" s="2921"/>
      <c r="C348" s="2921"/>
      <c r="D348" s="2921"/>
      <c r="E348" s="2921"/>
      <c r="F348" s="2921"/>
      <c r="G348" s="2921"/>
      <c r="H348" s="2921"/>
      <c r="I348" s="2921"/>
      <c r="J348" s="2921"/>
      <c r="K348" s="2921"/>
      <c r="L348" s="2921"/>
      <c r="M348" s="2921"/>
      <c r="N348" s="2921"/>
      <c r="O348" s="2921"/>
      <c r="P348" s="2921"/>
      <c r="Q348" s="2921"/>
    </row>
    <row r="349" spans="1:17" x14ac:dyDescent="0.25">
      <c r="A349" s="2921"/>
      <c r="B349" s="2921"/>
      <c r="C349" s="2921"/>
      <c r="D349" s="2921"/>
      <c r="E349" s="2921"/>
      <c r="F349" s="2921"/>
      <c r="G349" s="2921"/>
      <c r="H349" s="2921"/>
      <c r="I349" s="2921"/>
      <c r="J349" s="2921"/>
      <c r="K349" s="2921"/>
      <c r="L349" s="2921"/>
      <c r="M349" s="2921"/>
      <c r="N349" s="2921"/>
      <c r="O349" s="2921"/>
      <c r="P349" s="2921"/>
      <c r="Q349" s="2921"/>
    </row>
    <row r="350" spans="1:17" x14ac:dyDescent="0.25">
      <c r="A350" s="2921"/>
      <c r="B350" s="2921"/>
      <c r="C350" s="2921"/>
      <c r="D350" s="2921"/>
      <c r="E350" s="2921"/>
      <c r="F350" s="2921"/>
      <c r="G350" s="2921"/>
      <c r="H350" s="2921"/>
      <c r="I350" s="2921"/>
      <c r="J350" s="2921"/>
      <c r="K350" s="2921"/>
      <c r="L350" s="2921"/>
      <c r="M350" s="2921"/>
      <c r="N350" s="2921"/>
      <c r="O350" s="2921"/>
      <c r="P350" s="2921"/>
      <c r="Q350" s="2921"/>
    </row>
    <row r="351" spans="1:17" x14ac:dyDescent="0.25">
      <c r="A351" s="2921"/>
      <c r="B351" s="2921"/>
      <c r="C351" s="2921"/>
      <c r="D351" s="2921"/>
      <c r="E351" s="2921"/>
      <c r="F351" s="2921"/>
      <c r="G351" s="2921"/>
      <c r="H351" s="2921"/>
      <c r="I351" s="2921"/>
      <c r="J351" s="2921"/>
      <c r="K351" s="2921"/>
      <c r="L351" s="2921"/>
      <c r="M351" s="2921"/>
      <c r="N351" s="2921"/>
      <c r="O351" s="2921"/>
      <c r="P351" s="2921"/>
      <c r="Q351" s="2921"/>
    </row>
    <row r="352" spans="1:17" x14ac:dyDescent="0.25">
      <c r="A352" s="2921"/>
      <c r="B352" s="2921"/>
      <c r="C352" s="2921"/>
      <c r="D352" s="2921"/>
      <c r="E352" s="2921"/>
      <c r="F352" s="2921"/>
      <c r="G352" s="2921"/>
      <c r="H352" s="2921"/>
      <c r="I352" s="7381" t="s">
        <v>1077</v>
      </c>
      <c r="J352" s="7382"/>
      <c r="K352" s="7382"/>
      <c r="L352" s="7383"/>
      <c r="M352" s="2921"/>
    </row>
    <row r="353" spans="1:13" x14ac:dyDescent="0.25">
      <c r="A353" s="2921"/>
      <c r="B353" s="2921"/>
      <c r="C353" s="2921"/>
      <c r="D353" s="2921"/>
      <c r="E353" s="2921"/>
      <c r="F353" s="2921"/>
      <c r="G353" s="2921"/>
      <c r="H353" s="2921"/>
      <c r="I353" s="7384" t="s">
        <v>582</v>
      </c>
      <c r="J353" s="7386" t="s">
        <v>863</v>
      </c>
      <c r="K353" s="7379" t="s">
        <v>869</v>
      </c>
      <c r="L353" s="7380"/>
      <c r="M353" s="2921"/>
    </row>
    <row r="354" spans="1:13" x14ac:dyDescent="0.25">
      <c r="A354" s="2921"/>
      <c r="B354" s="2921"/>
      <c r="C354" s="2921"/>
      <c r="D354" s="2921"/>
      <c r="E354" s="2921"/>
      <c r="F354" s="2921"/>
      <c r="G354" s="2921"/>
      <c r="H354" s="2921"/>
      <c r="I354" s="7385"/>
      <c r="J354" s="7384"/>
      <c r="K354" s="2838" t="s">
        <v>927</v>
      </c>
      <c r="L354" s="2838" t="s">
        <v>979</v>
      </c>
      <c r="M354" s="2921"/>
    </row>
    <row r="355" spans="1:13" x14ac:dyDescent="0.25">
      <c r="A355" s="2921"/>
      <c r="B355" s="2921"/>
      <c r="C355" s="2921"/>
      <c r="D355" s="2921"/>
      <c r="E355" s="2921"/>
      <c r="F355" s="2921"/>
      <c r="G355" s="2921"/>
      <c r="H355" s="2921"/>
      <c r="I355" s="2927"/>
      <c r="J355" s="2927"/>
      <c r="K355" s="2928"/>
      <c r="L355" s="2866"/>
      <c r="M355" s="2921"/>
    </row>
    <row r="356" spans="1:13" x14ac:dyDescent="0.25">
      <c r="A356" s="2921"/>
      <c r="B356" s="2921"/>
      <c r="C356" s="2921"/>
      <c r="D356" s="2921"/>
      <c r="E356" s="2921"/>
      <c r="F356" s="2921"/>
      <c r="G356" s="2921"/>
      <c r="H356" s="2921"/>
      <c r="I356" s="2881" t="s">
        <v>1055</v>
      </c>
      <c r="J356" s="2841" t="s">
        <v>1014</v>
      </c>
      <c r="K356" s="2905">
        <v>1708</v>
      </c>
      <c r="L356" s="2905">
        <v>7230</v>
      </c>
      <c r="M356" s="2921"/>
    </row>
    <row r="357" spans="1:13" x14ac:dyDescent="0.25">
      <c r="A357" s="2921"/>
      <c r="B357" s="2921"/>
      <c r="C357" s="2921"/>
      <c r="D357" s="2921"/>
      <c r="E357" s="2921"/>
      <c r="F357" s="2921"/>
      <c r="G357" s="2921"/>
      <c r="H357" s="2921"/>
      <c r="I357" s="2880" t="s">
        <v>586</v>
      </c>
      <c r="J357" s="2900" t="s">
        <v>1015</v>
      </c>
      <c r="K357" s="2905">
        <v>705</v>
      </c>
      <c r="L357" s="2905"/>
      <c r="M357" s="2921"/>
    </row>
    <row r="358" spans="1:13" x14ac:dyDescent="0.25">
      <c r="A358" s="2921"/>
      <c r="B358" s="2921"/>
      <c r="C358" s="2921"/>
      <c r="D358" s="2921"/>
      <c r="E358" s="2921"/>
      <c r="F358" s="2921"/>
      <c r="G358" s="2921"/>
      <c r="H358" s="2921"/>
      <c r="I358" s="2881" t="s">
        <v>909</v>
      </c>
      <c r="J358" s="2915" t="s">
        <v>1014</v>
      </c>
      <c r="K358" s="2915">
        <v>538</v>
      </c>
      <c r="L358" s="2915"/>
      <c r="M358" s="2921"/>
    </row>
    <row r="359" spans="1:13" x14ac:dyDescent="0.25">
      <c r="A359" s="2921"/>
      <c r="B359" s="2921"/>
      <c r="C359" s="2921"/>
      <c r="D359" s="2921"/>
      <c r="E359" s="2921"/>
      <c r="F359" s="2921"/>
      <c r="G359" s="2921"/>
      <c r="H359" s="2921"/>
      <c r="I359" s="2921"/>
      <c r="J359" s="2921"/>
      <c r="K359" s="2921"/>
      <c r="L359" s="2921"/>
      <c r="M359" s="2921"/>
    </row>
    <row r="360" spans="1:13" x14ac:dyDescent="0.25">
      <c r="A360" s="2921"/>
      <c r="B360" s="2921"/>
      <c r="C360" s="2921"/>
      <c r="D360" s="2921"/>
      <c r="E360" s="2921"/>
      <c r="F360" s="2921"/>
      <c r="G360" s="2921"/>
      <c r="H360" s="2921"/>
      <c r="I360" s="7387" t="s">
        <v>12</v>
      </c>
      <c r="J360" s="7388"/>
      <c r="K360" s="2908">
        <f>SUM(K356:K359)</f>
        <v>2951</v>
      </c>
      <c r="L360" s="2908">
        <f>SUM(L356:L359)</f>
        <v>7230</v>
      </c>
      <c r="M360" s="2921"/>
    </row>
    <row r="361" spans="1:13" x14ac:dyDescent="0.25">
      <c r="A361" s="2921"/>
      <c r="B361" s="2921"/>
      <c r="C361" s="2921"/>
      <c r="D361" s="2921"/>
      <c r="E361" s="2921"/>
      <c r="F361" s="2921"/>
      <c r="G361" s="2921"/>
      <c r="H361" s="2921"/>
      <c r="I361" s="2921"/>
      <c r="J361" s="2921"/>
      <c r="K361" s="2921"/>
      <c r="L361" s="2921"/>
      <c r="M361" s="2921"/>
    </row>
    <row r="362" spans="1:13" x14ac:dyDescent="0.25">
      <c r="A362" s="2921"/>
      <c r="B362" s="2921"/>
      <c r="C362" s="2921"/>
      <c r="D362" s="2921"/>
      <c r="E362" s="2921"/>
      <c r="F362" s="2921"/>
      <c r="G362" s="2921"/>
      <c r="H362" s="2921"/>
      <c r="I362" s="2921"/>
      <c r="J362" s="2921"/>
      <c r="K362" s="2921"/>
      <c r="L362" s="2921"/>
      <c r="M362" s="2921"/>
    </row>
    <row r="363" spans="1:13" ht="38.25" x14ac:dyDescent="0.25">
      <c r="A363" s="2921"/>
      <c r="B363" s="2921"/>
      <c r="C363" s="2921"/>
      <c r="D363" s="2921"/>
      <c r="E363" s="2921"/>
      <c r="F363" s="2921"/>
      <c r="G363" s="2921"/>
      <c r="H363" s="2921"/>
      <c r="I363" s="2832" t="s">
        <v>16</v>
      </c>
      <c r="J363" s="2832" t="s">
        <v>1079</v>
      </c>
      <c r="K363" s="2814" t="s">
        <v>866</v>
      </c>
      <c r="L363" s="2814" t="s">
        <v>867</v>
      </c>
      <c r="M363" s="2921"/>
    </row>
    <row r="364" spans="1:13" x14ac:dyDescent="0.25">
      <c r="A364" s="2921"/>
      <c r="B364" s="2921"/>
      <c r="C364" s="2921"/>
      <c r="D364" s="2921"/>
      <c r="E364" s="2921"/>
      <c r="F364" s="2921"/>
      <c r="G364" s="2921"/>
      <c r="H364" s="2921"/>
      <c r="I364" s="7389" t="s">
        <v>3</v>
      </c>
      <c r="J364" s="2851" t="s">
        <v>1031</v>
      </c>
      <c r="K364" s="2792">
        <v>3</v>
      </c>
      <c r="L364" s="2850">
        <v>6348</v>
      </c>
      <c r="M364" s="2921"/>
    </row>
    <row r="365" spans="1:13" x14ac:dyDescent="0.25">
      <c r="A365" s="2921"/>
      <c r="B365" s="2921"/>
      <c r="C365" s="2921"/>
      <c r="D365" s="2921"/>
      <c r="E365" s="2921"/>
      <c r="F365" s="2921"/>
      <c r="G365" s="2921"/>
      <c r="H365" s="2921"/>
      <c r="I365" s="7389"/>
      <c r="J365" s="2849" t="s">
        <v>1032</v>
      </c>
      <c r="K365" s="2848">
        <v>4</v>
      </c>
      <c r="L365" s="2890">
        <v>1714</v>
      </c>
      <c r="M365" s="2921"/>
    </row>
    <row r="366" spans="1:13" x14ac:dyDescent="0.25">
      <c r="A366" s="2921"/>
      <c r="B366" s="2921"/>
      <c r="C366" s="2921"/>
      <c r="D366" s="2921"/>
      <c r="E366" s="2921"/>
      <c r="F366" s="2921"/>
      <c r="G366" s="2921"/>
      <c r="H366" s="2921"/>
      <c r="I366" s="7389"/>
      <c r="J366" s="2849" t="s">
        <v>1033</v>
      </c>
      <c r="K366" s="2848">
        <v>6</v>
      </c>
      <c r="L366" s="2890">
        <v>1156</v>
      </c>
      <c r="M366" s="2921"/>
    </row>
    <row r="367" spans="1:13" x14ac:dyDescent="0.25">
      <c r="A367" s="2921"/>
      <c r="B367" s="2921"/>
      <c r="C367" s="2921"/>
      <c r="D367" s="2921"/>
      <c r="E367" s="2921"/>
      <c r="F367" s="2921"/>
      <c r="G367" s="2921"/>
      <c r="H367" s="2921"/>
      <c r="I367" s="7389"/>
      <c r="J367" s="2849" t="s">
        <v>1034</v>
      </c>
      <c r="K367" s="2848">
        <v>7</v>
      </c>
      <c r="L367" s="2890">
        <v>227</v>
      </c>
      <c r="M367" s="2921"/>
    </row>
    <row r="368" spans="1:13" x14ac:dyDescent="0.25">
      <c r="A368" s="2921"/>
      <c r="B368" s="2921"/>
      <c r="C368" s="2921"/>
      <c r="D368" s="2921"/>
      <c r="E368" s="2921"/>
      <c r="F368" s="2921"/>
      <c r="G368" s="2921"/>
      <c r="H368" s="2921"/>
      <c r="I368" s="7389"/>
      <c r="J368" s="2849" t="s">
        <v>1035</v>
      </c>
      <c r="K368" s="2848">
        <v>2</v>
      </c>
      <c r="L368" s="2890">
        <v>1680</v>
      </c>
      <c r="M368" s="2921"/>
    </row>
    <row r="369" spans="1:13" x14ac:dyDescent="0.25">
      <c r="A369" s="2921"/>
      <c r="B369" s="2921"/>
      <c r="C369" s="2921"/>
      <c r="D369" s="2921"/>
      <c r="E369" s="2921"/>
      <c r="F369" s="2921"/>
      <c r="G369" s="2921"/>
      <c r="H369" s="2921"/>
      <c r="I369" s="7389"/>
      <c r="J369" s="2849" t="s">
        <v>896</v>
      </c>
      <c r="K369" s="2848">
        <v>1</v>
      </c>
      <c r="L369" s="2890">
        <v>20</v>
      </c>
      <c r="M369" s="2921"/>
    </row>
    <row r="370" spans="1:13" x14ac:dyDescent="0.25">
      <c r="A370" s="2921"/>
      <c r="B370" s="2921"/>
      <c r="C370" s="2921"/>
      <c r="D370" s="2921"/>
      <c r="E370" s="2921"/>
      <c r="F370" s="2921"/>
      <c r="G370" s="2921"/>
      <c r="H370" s="2921"/>
      <c r="I370" s="7389"/>
      <c r="J370" s="2849" t="s">
        <v>976</v>
      </c>
      <c r="K370" s="2848">
        <v>4</v>
      </c>
      <c r="L370" s="2890">
        <v>48</v>
      </c>
      <c r="M370" s="2921"/>
    </row>
    <row r="371" spans="1:13" x14ac:dyDescent="0.25">
      <c r="A371" s="2921"/>
      <c r="B371" s="2921"/>
      <c r="C371" s="2921"/>
      <c r="D371" s="2921"/>
      <c r="E371" s="2921"/>
      <c r="F371" s="2921"/>
      <c r="G371" s="2921"/>
      <c r="H371" s="2921"/>
      <c r="I371" s="7389"/>
      <c r="J371" s="2849" t="s">
        <v>900</v>
      </c>
      <c r="K371" s="2848">
        <v>1</v>
      </c>
      <c r="L371" s="2890">
        <v>28</v>
      </c>
      <c r="M371" s="2921"/>
    </row>
    <row r="372" spans="1:13" x14ac:dyDescent="0.25">
      <c r="A372" s="2921"/>
      <c r="B372" s="2921"/>
      <c r="C372" s="2921"/>
      <c r="D372" s="2921"/>
      <c r="E372" s="2921"/>
      <c r="F372" s="2921"/>
      <c r="G372" s="2921"/>
      <c r="H372" s="2921"/>
      <c r="I372" s="7389"/>
      <c r="J372" s="2849" t="s">
        <v>1036</v>
      </c>
      <c r="K372" s="2848">
        <v>4</v>
      </c>
      <c r="L372" s="2890">
        <v>673</v>
      </c>
      <c r="M372" s="2921"/>
    </row>
    <row r="373" spans="1:13" x14ac:dyDescent="0.25">
      <c r="A373" s="2921"/>
      <c r="B373" s="2921"/>
      <c r="C373" s="2921"/>
      <c r="D373" s="2921"/>
      <c r="E373" s="2921"/>
      <c r="F373" s="2921"/>
      <c r="G373" s="2921"/>
      <c r="H373" s="2921"/>
      <c r="I373" s="7389"/>
      <c r="J373" s="2909" t="s">
        <v>12</v>
      </c>
      <c r="K373" s="2908">
        <f>SUM(K364:K372)</f>
        <v>32</v>
      </c>
      <c r="L373" s="2908">
        <f>SUM(L364:L372)</f>
        <v>11894</v>
      </c>
      <c r="M373" s="2921"/>
    </row>
    <row r="374" spans="1:13" x14ac:dyDescent="0.25">
      <c r="A374" s="2921"/>
      <c r="B374" s="2921"/>
      <c r="C374" s="2921"/>
      <c r="D374" s="2921"/>
      <c r="E374" s="2921"/>
      <c r="F374" s="2921"/>
      <c r="G374" s="2921"/>
      <c r="H374" s="2921"/>
      <c r="I374" s="7376" t="s">
        <v>8</v>
      </c>
      <c r="J374" s="2791" t="s">
        <v>1032</v>
      </c>
      <c r="K374" s="2889">
        <v>7</v>
      </c>
      <c r="L374" s="2888">
        <v>80</v>
      </c>
      <c r="M374" s="2921"/>
    </row>
    <row r="375" spans="1:13" x14ac:dyDescent="0.25">
      <c r="A375" s="2921"/>
      <c r="B375" s="2921"/>
      <c r="C375" s="2921"/>
      <c r="D375" s="2921"/>
      <c r="E375" s="2921"/>
      <c r="F375" s="2921"/>
      <c r="G375" s="2921"/>
      <c r="H375" s="2921"/>
      <c r="I375" s="7377"/>
      <c r="J375" s="2887" t="s">
        <v>1037</v>
      </c>
      <c r="K375" s="2886">
        <v>1</v>
      </c>
      <c r="L375" s="2937">
        <v>130</v>
      </c>
      <c r="M375" s="2921"/>
    </row>
    <row r="376" spans="1:13" x14ac:dyDescent="0.25">
      <c r="A376" s="2921"/>
      <c r="B376" s="2921"/>
      <c r="C376" s="2921"/>
      <c r="D376" s="2921"/>
      <c r="E376" s="2921"/>
      <c r="F376" s="2921"/>
      <c r="G376" s="2921"/>
      <c r="H376" s="2921"/>
      <c r="I376" s="7377"/>
      <c r="J376" s="2887" t="s">
        <v>873</v>
      </c>
      <c r="K376" s="2886">
        <v>1</v>
      </c>
      <c r="L376" s="2937">
        <v>24</v>
      </c>
      <c r="M376" s="2921"/>
    </row>
    <row r="377" spans="1:13" x14ac:dyDescent="0.25">
      <c r="A377" s="2921"/>
      <c r="B377" s="2921"/>
      <c r="C377" s="2921"/>
      <c r="D377" s="2921"/>
      <c r="E377" s="2921"/>
      <c r="F377" s="2921"/>
      <c r="G377" s="2921"/>
      <c r="H377" s="2921"/>
      <c r="I377" s="7377"/>
      <c r="J377" s="2887" t="s">
        <v>870</v>
      </c>
      <c r="K377" s="2886">
        <v>1</v>
      </c>
      <c r="L377" s="2937">
        <v>15</v>
      </c>
      <c r="M377" s="2921"/>
    </row>
    <row r="378" spans="1:13" x14ac:dyDescent="0.25">
      <c r="A378" s="2921"/>
      <c r="B378" s="2921"/>
      <c r="C378" s="2921"/>
      <c r="D378" s="2921"/>
      <c r="E378" s="2921"/>
      <c r="F378" s="2921"/>
      <c r="G378" s="2921"/>
      <c r="H378" s="2921"/>
      <c r="I378" s="7377"/>
      <c r="J378" s="2887" t="s">
        <v>1034</v>
      </c>
      <c r="K378" s="2886">
        <v>1</v>
      </c>
      <c r="L378" s="2937">
        <v>60</v>
      </c>
      <c r="M378" s="2921"/>
    </row>
    <row r="379" spans="1:13" x14ac:dyDescent="0.25">
      <c r="A379" s="2921"/>
      <c r="B379" s="2921"/>
      <c r="C379" s="2921"/>
      <c r="D379" s="2921"/>
      <c r="E379" s="2921"/>
      <c r="F379" s="2921"/>
      <c r="G379" s="2921"/>
      <c r="H379" s="2921"/>
      <c r="I379" s="7378"/>
      <c r="J379" s="2909" t="s">
        <v>12</v>
      </c>
      <c r="K379" s="2908">
        <f>SUM(K374:K378)</f>
        <v>11</v>
      </c>
      <c r="L379" s="2908">
        <f>SUM(L374:L378)</f>
        <v>309</v>
      </c>
      <c r="M379" s="2921"/>
    </row>
    <row r="380" spans="1:13" x14ac:dyDescent="0.25">
      <c r="A380" s="2921"/>
      <c r="B380" s="2921"/>
      <c r="C380" s="2921"/>
      <c r="D380" s="2921"/>
      <c r="E380" s="2921"/>
      <c r="F380" s="2921"/>
      <c r="G380" s="2921"/>
      <c r="H380" s="2921"/>
      <c r="I380" s="7376" t="s">
        <v>75</v>
      </c>
      <c r="J380" s="2791" t="s">
        <v>1032</v>
      </c>
      <c r="K380" s="2889">
        <v>2</v>
      </c>
      <c r="L380" s="2888">
        <v>876</v>
      </c>
      <c r="M380" s="2921"/>
    </row>
    <row r="381" spans="1:13" x14ac:dyDescent="0.25">
      <c r="A381" s="2921"/>
      <c r="B381" s="2921"/>
      <c r="C381" s="2921"/>
      <c r="D381" s="2921"/>
      <c r="E381" s="2921"/>
      <c r="F381" s="2921"/>
      <c r="G381" s="2921"/>
      <c r="H381" s="2921"/>
      <c r="I381" s="7377"/>
      <c r="J381" s="2887" t="s">
        <v>1037</v>
      </c>
      <c r="K381" s="2886">
        <v>2</v>
      </c>
      <c r="L381" s="2937">
        <v>1537</v>
      </c>
      <c r="M381" s="2921"/>
    </row>
    <row r="382" spans="1:13" x14ac:dyDescent="0.25">
      <c r="A382" s="2921"/>
      <c r="B382" s="2921"/>
      <c r="C382" s="2921"/>
      <c r="D382" s="2921"/>
      <c r="E382" s="2921"/>
      <c r="F382" s="2921"/>
      <c r="G382" s="2921"/>
      <c r="H382" s="2921"/>
      <c r="I382" s="7377"/>
      <c r="J382" s="2887" t="s">
        <v>873</v>
      </c>
      <c r="K382" s="2886">
        <v>4</v>
      </c>
      <c r="L382" s="2937">
        <v>413</v>
      </c>
      <c r="M382" s="2921"/>
    </row>
    <row r="383" spans="1:13" x14ac:dyDescent="0.25">
      <c r="A383" s="2921"/>
      <c r="B383" s="2921"/>
      <c r="C383" s="2921"/>
      <c r="D383" s="2921"/>
      <c r="E383" s="2921"/>
      <c r="F383" s="2921"/>
      <c r="G383" s="2921"/>
      <c r="H383" s="2921"/>
      <c r="I383" s="7377"/>
      <c r="J383" s="2887" t="s">
        <v>870</v>
      </c>
      <c r="K383" s="2886">
        <v>5</v>
      </c>
      <c r="L383" s="2937">
        <v>165</v>
      </c>
      <c r="M383" s="2921"/>
    </row>
    <row r="384" spans="1:13" x14ac:dyDescent="0.25">
      <c r="A384" s="2921"/>
      <c r="B384" s="2921"/>
      <c r="C384" s="2921"/>
      <c r="D384" s="2921"/>
      <c r="E384" s="2921"/>
      <c r="F384" s="2921"/>
      <c r="G384" s="2921"/>
      <c r="H384" s="2921"/>
      <c r="I384" s="7377"/>
      <c r="J384" s="2887" t="s">
        <v>1034</v>
      </c>
      <c r="K384" s="2886">
        <v>4</v>
      </c>
      <c r="L384" s="2937">
        <v>123</v>
      </c>
      <c r="M384" s="2921"/>
    </row>
    <row r="385" spans="1:13" x14ac:dyDescent="0.25">
      <c r="A385" s="2921"/>
      <c r="B385" s="2921"/>
      <c r="C385" s="2921"/>
      <c r="D385" s="2921"/>
      <c r="E385" s="2921"/>
      <c r="F385" s="2921"/>
      <c r="G385" s="2921"/>
      <c r="H385" s="2921"/>
      <c r="I385" s="7377"/>
      <c r="J385" s="2887" t="s">
        <v>900</v>
      </c>
      <c r="K385" s="2886">
        <v>3</v>
      </c>
      <c r="L385" s="2937">
        <v>136</v>
      </c>
      <c r="M385" s="2921"/>
    </row>
    <row r="386" spans="1:13" x14ac:dyDescent="0.25">
      <c r="A386" s="2921"/>
      <c r="B386" s="2921"/>
      <c r="C386" s="2921"/>
      <c r="D386" s="2921"/>
      <c r="E386" s="2921"/>
      <c r="F386" s="2921"/>
      <c r="G386" s="2921"/>
      <c r="H386" s="2921"/>
      <c r="I386" s="7377"/>
      <c r="J386" s="2887" t="s">
        <v>896</v>
      </c>
      <c r="K386" s="2886">
        <v>2</v>
      </c>
      <c r="L386" s="2937">
        <v>72</v>
      </c>
      <c r="M386" s="2921"/>
    </row>
    <row r="387" spans="1:13" x14ac:dyDescent="0.25">
      <c r="A387" s="2921"/>
      <c r="B387" s="2921"/>
      <c r="C387" s="2921"/>
      <c r="D387" s="2921"/>
      <c r="E387" s="2921"/>
      <c r="F387" s="2921"/>
      <c r="G387" s="2921"/>
      <c r="H387" s="2921"/>
      <c r="I387" s="7377"/>
      <c r="J387" s="2885" t="s">
        <v>976</v>
      </c>
      <c r="K387" s="2884">
        <v>2</v>
      </c>
      <c r="L387" s="2938">
        <v>144</v>
      </c>
      <c r="M387" s="2921"/>
    </row>
    <row r="388" spans="1:13" x14ac:dyDescent="0.25">
      <c r="A388" s="2921"/>
      <c r="B388" s="2921"/>
      <c r="C388" s="2921"/>
      <c r="D388" s="2921"/>
      <c r="E388" s="2921"/>
      <c r="F388" s="2921"/>
      <c r="G388" s="2921"/>
      <c r="H388" s="2921"/>
      <c r="I388" s="7378"/>
      <c r="J388" s="2909" t="s">
        <v>12</v>
      </c>
      <c r="K388" s="2908">
        <f>SUM(K380:K387)</f>
        <v>24</v>
      </c>
      <c r="L388" s="2908">
        <f>SUM(L380:L387)</f>
        <v>3466</v>
      </c>
      <c r="M388" s="2921"/>
    </row>
    <row r="389" spans="1:13" x14ac:dyDescent="0.25">
      <c r="A389" s="2921"/>
      <c r="B389" s="2921"/>
      <c r="C389" s="2921"/>
      <c r="D389" s="2921"/>
      <c r="E389" s="2921"/>
      <c r="F389" s="2921"/>
      <c r="G389" s="2921"/>
      <c r="H389" s="2921"/>
      <c r="I389" s="7376" t="s">
        <v>1038</v>
      </c>
      <c r="J389" s="2791" t="s">
        <v>870</v>
      </c>
      <c r="K389" s="2792">
        <f>4+3+1</f>
        <v>8</v>
      </c>
      <c r="L389" s="2792">
        <f>30+22+5</f>
        <v>57</v>
      </c>
      <c r="M389" s="2921"/>
    </row>
    <row r="390" spans="1:13" x14ac:dyDescent="0.25">
      <c r="A390" s="2921"/>
      <c r="B390" s="2921"/>
      <c r="C390" s="2921"/>
      <c r="D390" s="2921"/>
      <c r="E390" s="2921"/>
      <c r="F390" s="2921"/>
      <c r="G390" s="2921"/>
      <c r="H390" s="2921"/>
      <c r="I390" s="7377"/>
      <c r="J390" s="2883" t="s">
        <v>1039</v>
      </c>
      <c r="K390" s="2848">
        <f>2+6+1</f>
        <v>9</v>
      </c>
      <c r="L390" s="2848">
        <f>11+199+8</f>
        <v>218</v>
      </c>
      <c r="M390" s="2921"/>
    </row>
    <row r="391" spans="1:13" x14ac:dyDescent="0.25">
      <c r="A391" s="2921"/>
      <c r="B391" s="2921"/>
      <c r="C391" s="2921"/>
      <c r="D391" s="2921"/>
      <c r="E391" s="2921"/>
      <c r="F391" s="2921"/>
      <c r="G391" s="2921"/>
      <c r="H391" s="2921"/>
      <c r="I391" s="7377"/>
      <c r="J391" s="2883" t="s">
        <v>1040</v>
      </c>
      <c r="K391" s="2848">
        <f>1+1+1+1</f>
        <v>4</v>
      </c>
      <c r="L391" s="2848">
        <f>10+2+2+4</f>
        <v>18</v>
      </c>
    </row>
    <row r="392" spans="1:13" x14ac:dyDescent="0.25">
      <c r="A392" s="2921"/>
      <c r="B392" s="2921"/>
      <c r="C392" s="2921"/>
      <c r="D392" s="2921"/>
      <c r="E392" s="2921"/>
      <c r="F392" s="2921"/>
      <c r="G392" s="2921"/>
      <c r="H392" s="2921"/>
      <c r="I392" s="7377"/>
      <c r="J392" s="2883" t="s">
        <v>874</v>
      </c>
      <c r="K392" s="2848">
        <f>3+2+3+3+1+1</f>
        <v>13</v>
      </c>
      <c r="L392" s="2848">
        <f>35+24+86+92+12+12</f>
        <v>261</v>
      </c>
    </row>
    <row r="393" spans="1:13" x14ac:dyDescent="0.25">
      <c r="H393" s="2921"/>
      <c r="I393" s="7377"/>
      <c r="J393" s="2883" t="s">
        <v>942</v>
      </c>
      <c r="K393" s="2848">
        <f>3+1</f>
        <v>4</v>
      </c>
      <c r="L393" s="2848">
        <f>10+2</f>
        <v>12</v>
      </c>
    </row>
    <row r="394" spans="1:13" x14ac:dyDescent="0.25">
      <c r="I394" s="7377"/>
      <c r="J394" s="2887" t="s">
        <v>1037</v>
      </c>
      <c r="K394" s="2848">
        <f>2+5+1+1</f>
        <v>9</v>
      </c>
      <c r="L394" s="2848">
        <f>27+1666+13</f>
        <v>1706</v>
      </c>
    </row>
    <row r="395" spans="1:13" x14ac:dyDescent="0.25">
      <c r="I395" s="7377"/>
      <c r="J395" s="2887" t="s">
        <v>1032</v>
      </c>
      <c r="K395" s="2848">
        <f>5+1+1</f>
        <v>7</v>
      </c>
      <c r="L395" s="2848">
        <f>209+22+35</f>
        <v>266</v>
      </c>
    </row>
    <row r="396" spans="1:13" x14ac:dyDescent="0.25">
      <c r="I396" s="7377"/>
      <c r="J396" s="2873" t="s">
        <v>900</v>
      </c>
      <c r="K396" s="2848">
        <v>1</v>
      </c>
      <c r="L396" s="2848">
        <v>2</v>
      </c>
    </row>
    <row r="397" spans="1:13" x14ac:dyDescent="0.25">
      <c r="I397" s="7377"/>
      <c r="J397" s="2883" t="s">
        <v>987</v>
      </c>
      <c r="K397" s="2848">
        <f>2+2</f>
        <v>4</v>
      </c>
      <c r="L397" s="2848">
        <f>10+19</f>
        <v>29</v>
      </c>
    </row>
    <row r="398" spans="1:13" x14ac:dyDescent="0.25">
      <c r="I398" s="7377"/>
      <c r="J398" s="2883" t="s">
        <v>1041</v>
      </c>
      <c r="K398" s="2848">
        <f>6+1</f>
        <v>7</v>
      </c>
      <c r="L398" s="2848">
        <f>70+14</f>
        <v>84</v>
      </c>
    </row>
    <row r="399" spans="1:13" x14ac:dyDescent="0.25">
      <c r="I399" s="7377"/>
      <c r="J399" s="2887" t="s">
        <v>976</v>
      </c>
      <c r="K399" s="2882">
        <f>5+1+1</f>
        <v>7</v>
      </c>
      <c r="L399" s="2882">
        <f>123+14+15</f>
        <v>152</v>
      </c>
    </row>
    <row r="400" spans="1:13" x14ac:dyDescent="0.25">
      <c r="I400" s="7378"/>
      <c r="J400" s="2793" t="s">
        <v>12</v>
      </c>
      <c r="K400" s="2842">
        <f>SUM(K389:K399)</f>
        <v>73</v>
      </c>
      <c r="L400" s="2908">
        <f>SUM(L389:L399)</f>
        <v>2805</v>
      </c>
    </row>
    <row r="401" spans="9:12" x14ac:dyDescent="0.25">
      <c r="I401" s="7379" t="s">
        <v>60</v>
      </c>
      <c r="J401" s="7380"/>
      <c r="K401" s="2908">
        <f>K373+K388+K400+K379</f>
        <v>140</v>
      </c>
      <c r="L401" s="2908">
        <f>L373+L388+L400+L379</f>
        <v>18474</v>
      </c>
    </row>
  </sheetData>
  <sheetProtection algorithmName="SHA-512" hashValue="pqK9Okj6xP+LzDfjbtUAFOeRu+ubUzew/rTWvu5KidzME+GrKNFnFw2kOmhJR+YKGFhthY6osjwrAuqhYDctpA==" saltValue="rRNrCESDzg8z9voYJDjTkw==" spinCount="100000" sheet="1" objects="1" scenarios="1"/>
  <mergeCells count="204">
    <mergeCell ref="A36:C36"/>
    <mergeCell ref="A37:A38"/>
    <mergeCell ref="B37:B38"/>
    <mergeCell ref="C37:C38"/>
    <mergeCell ref="A60:C61"/>
    <mergeCell ref="A35:C35"/>
    <mergeCell ref="E35:G35"/>
    <mergeCell ref="I35:L35"/>
    <mergeCell ref="E36:G36"/>
    <mergeCell ref="I36:I37"/>
    <mergeCell ref="J36:J37"/>
    <mergeCell ref="K36:L36"/>
    <mergeCell ref="E37:E38"/>
    <mergeCell ref="F37:F38"/>
    <mergeCell ref="G37:G38"/>
    <mergeCell ref="A113:C113"/>
    <mergeCell ref="E113:G113"/>
    <mergeCell ref="I113:L113"/>
    <mergeCell ref="A114:C114"/>
    <mergeCell ref="E114:G114"/>
    <mergeCell ref="I114:I115"/>
    <mergeCell ref="J114:J115"/>
    <mergeCell ref="K114:L114"/>
    <mergeCell ref="A115:A116"/>
    <mergeCell ref="B115:B116"/>
    <mergeCell ref="C115:C116"/>
    <mergeCell ref="E115:E116"/>
    <mergeCell ref="F115:F116"/>
    <mergeCell ref="G115:G116"/>
    <mergeCell ref="I132:I134"/>
    <mergeCell ref="J132:J134"/>
    <mergeCell ref="K132:K134"/>
    <mergeCell ref="I126:I127"/>
    <mergeCell ref="J152:J156"/>
    <mergeCell ref="K152:K168"/>
    <mergeCell ref="L152:L168"/>
    <mergeCell ref="I153:I156"/>
    <mergeCell ref="L117:L120"/>
    <mergeCell ref="J121:J125"/>
    <mergeCell ref="K121:K125"/>
    <mergeCell ref="L121:L125"/>
    <mergeCell ref="L132:L134"/>
    <mergeCell ref="I135:J135"/>
    <mergeCell ref="I122:I125"/>
    <mergeCell ref="J117:J120"/>
    <mergeCell ref="K117:K120"/>
    <mergeCell ref="A156:A157"/>
    <mergeCell ref="B156:B157"/>
    <mergeCell ref="C156:C157"/>
    <mergeCell ref="J157:J168"/>
    <mergeCell ref="A148:C148"/>
    <mergeCell ref="E148:G148"/>
    <mergeCell ref="I148:L148"/>
    <mergeCell ref="A149:C149"/>
    <mergeCell ref="E149:G149"/>
    <mergeCell ref="I149:I150"/>
    <mergeCell ref="J149:J150"/>
    <mergeCell ref="K149:L149"/>
    <mergeCell ref="A150:A151"/>
    <mergeCell ref="B150:B151"/>
    <mergeCell ref="C150:C151"/>
    <mergeCell ref="E150:E151"/>
    <mergeCell ref="F150:F151"/>
    <mergeCell ref="G150:G151"/>
    <mergeCell ref="A174:A175"/>
    <mergeCell ref="B174:B175"/>
    <mergeCell ref="C174:C175"/>
    <mergeCell ref="A191:C191"/>
    <mergeCell ref="E191:G191"/>
    <mergeCell ref="I169:I170"/>
    <mergeCell ref="K169:K170"/>
    <mergeCell ref="L169:L170"/>
    <mergeCell ref="I171:I173"/>
    <mergeCell ref="K171:K173"/>
    <mergeCell ref="L171:L173"/>
    <mergeCell ref="I191:L191"/>
    <mergeCell ref="A192:C192"/>
    <mergeCell ref="E192:G192"/>
    <mergeCell ref="I192:I193"/>
    <mergeCell ref="J192:J193"/>
    <mergeCell ref="K192:L192"/>
    <mergeCell ref="A193:A194"/>
    <mergeCell ref="B193:B194"/>
    <mergeCell ref="C193:C194"/>
    <mergeCell ref="E193:E194"/>
    <mergeCell ref="F193:F194"/>
    <mergeCell ref="G193:G194"/>
    <mergeCell ref="A199:A200"/>
    <mergeCell ref="B199:B200"/>
    <mergeCell ref="C199:C200"/>
    <mergeCell ref="I200:I205"/>
    <mergeCell ref="J206:J207"/>
    <mergeCell ref="J195:J196"/>
    <mergeCell ref="K195:K205"/>
    <mergeCell ref="L195:L205"/>
    <mergeCell ref="I196:I199"/>
    <mergeCell ref="J197:J205"/>
    <mergeCell ref="I218:I220"/>
    <mergeCell ref="K218:K220"/>
    <mergeCell ref="L218:L220"/>
    <mergeCell ref="A221:A222"/>
    <mergeCell ref="B221:B222"/>
    <mergeCell ref="C221:C222"/>
    <mergeCell ref="K206:K215"/>
    <mergeCell ref="L206:L215"/>
    <mergeCell ref="I207:I215"/>
    <mergeCell ref="J208:J215"/>
    <mergeCell ref="I216:I217"/>
    <mergeCell ref="K216:K217"/>
    <mergeCell ref="L216:L217"/>
    <mergeCell ref="I230:L230"/>
    <mergeCell ref="I231:I232"/>
    <mergeCell ref="J231:J232"/>
    <mergeCell ref="K231:L231"/>
    <mergeCell ref="I235:I236"/>
    <mergeCell ref="J235:J236"/>
    <mergeCell ref="K235:K236"/>
    <mergeCell ref="L235:L236"/>
    <mergeCell ref="A227:G227"/>
    <mergeCell ref="A230:C230"/>
    <mergeCell ref="A231:C231"/>
    <mergeCell ref="A232:A233"/>
    <mergeCell ref="B232:B233"/>
    <mergeCell ref="C232:C233"/>
    <mergeCell ref="E230:G230"/>
    <mergeCell ref="E231:G231"/>
    <mergeCell ref="E232:E233"/>
    <mergeCell ref="F232:F233"/>
    <mergeCell ref="G232:G233"/>
    <mergeCell ref="I240:J240"/>
    <mergeCell ref="A263:C263"/>
    <mergeCell ref="E263:G263"/>
    <mergeCell ref="I263:L263"/>
    <mergeCell ref="A264:C264"/>
    <mergeCell ref="E264:G264"/>
    <mergeCell ref="I264:I265"/>
    <mergeCell ref="J264:J265"/>
    <mergeCell ref="K264:L264"/>
    <mergeCell ref="A265:A266"/>
    <mergeCell ref="B265:B266"/>
    <mergeCell ref="C265:C266"/>
    <mergeCell ref="E265:E266"/>
    <mergeCell ref="F265:F266"/>
    <mergeCell ref="G265:G266"/>
    <mergeCell ref="I301:J301"/>
    <mergeCell ref="I347:J347"/>
    <mergeCell ref="I293:L293"/>
    <mergeCell ref="I294:I295"/>
    <mergeCell ref="J294:J295"/>
    <mergeCell ref="K294:L294"/>
    <mergeCell ref="I305:I315"/>
    <mergeCell ref="I316:I321"/>
    <mergeCell ref="I322:I331"/>
    <mergeCell ref="I332:I346"/>
    <mergeCell ref="I389:I400"/>
    <mergeCell ref="I401:J401"/>
    <mergeCell ref="I352:L352"/>
    <mergeCell ref="I353:I354"/>
    <mergeCell ref="J353:J354"/>
    <mergeCell ref="K353:L353"/>
    <mergeCell ref="I360:J360"/>
    <mergeCell ref="I364:I373"/>
    <mergeCell ref="I374:I379"/>
    <mergeCell ref="I380:I388"/>
    <mergeCell ref="A105:C106"/>
    <mergeCell ref="A136:C136"/>
    <mergeCell ref="I78:L78"/>
    <mergeCell ref="I79:I80"/>
    <mergeCell ref="J79:J80"/>
    <mergeCell ref="K79:L79"/>
    <mergeCell ref="I81:I82"/>
    <mergeCell ref="I84:I85"/>
    <mergeCell ref="I87:I90"/>
    <mergeCell ref="J87:J90"/>
    <mergeCell ref="K87:K90"/>
    <mergeCell ref="L87:L90"/>
    <mergeCell ref="A78:C78"/>
    <mergeCell ref="E78:G78"/>
    <mergeCell ref="A79:C79"/>
    <mergeCell ref="E79:G79"/>
    <mergeCell ref="A80:A81"/>
    <mergeCell ref="B80:B81"/>
    <mergeCell ref="C80:C81"/>
    <mergeCell ref="E80:E81"/>
    <mergeCell ref="F80:F81"/>
    <mergeCell ref="G80:G81"/>
    <mergeCell ref="I118:I120"/>
    <mergeCell ref="I129:I130"/>
    <mergeCell ref="A29:C30"/>
    <mergeCell ref="A3:C3"/>
    <mergeCell ref="E3:G3"/>
    <mergeCell ref="I3:L3"/>
    <mergeCell ref="A4:C4"/>
    <mergeCell ref="E4:G4"/>
    <mergeCell ref="I4:I5"/>
    <mergeCell ref="J4:J5"/>
    <mergeCell ref="K4:L4"/>
    <mergeCell ref="A5:A6"/>
    <mergeCell ref="B5:B6"/>
    <mergeCell ref="C5:C6"/>
    <mergeCell ref="E5:E6"/>
    <mergeCell ref="F5:F6"/>
    <mergeCell ref="G5:G6"/>
    <mergeCell ref="L6:L7"/>
  </mergeCells>
  <printOptions horizontalCentered="1" verticalCentered="1"/>
  <pageMargins left="0.19685039370078741" right="0.19685039370078741" top="0.19685039370078741" bottom="0.31496062992125984" header="0.15748031496062992" footer="0.31496062992125984"/>
  <pageSetup scale="49" orientation="landscape" r:id="rId1"/>
  <rowBreaks count="7" manualBreakCount="7">
    <brk id="110" max="16383" man="1"/>
    <brk id="146" max="11" man="1"/>
    <brk id="189" max="11" man="1"/>
    <brk id="227" max="11" man="1"/>
    <brk id="261" max="11" man="1"/>
    <brk id="292" max="16383" man="1"/>
    <brk id="349" max="16383" man="1"/>
  </rowBreaks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106</vt:i4>
      </vt:variant>
      <vt:variant>
        <vt:lpstr>Rangos con nombre</vt:lpstr>
      </vt:variant>
      <vt:variant>
        <vt:i4>74</vt:i4>
      </vt:variant>
    </vt:vector>
  </HeadingPairs>
  <TitlesOfParts>
    <vt:vector size="180" baseType="lpstr">
      <vt:lpstr>Portada</vt:lpstr>
      <vt:lpstr>Indice</vt:lpstr>
      <vt:lpstr>Aspirantes plan</vt:lpstr>
      <vt:lpstr>Aspirantes uni</vt:lpstr>
      <vt:lpstr>Asp x gen</vt:lpstr>
      <vt:lpstr>Admitidos plan</vt:lpstr>
      <vt:lpstr>Admitidos uni</vt:lpstr>
      <vt:lpstr>Admitidos x gen</vt:lpstr>
      <vt:lpstr>Admitidos SE</vt:lpstr>
      <vt:lpstr>Inscritos plan</vt:lpstr>
      <vt:lpstr>Inscritos uni</vt:lpstr>
      <vt:lpstr>Inscritos SE</vt:lpstr>
      <vt:lpstr>Matrícula plan</vt:lpstr>
      <vt:lpstr>Matricula uni</vt:lpstr>
      <vt:lpstr>BAJAS-DEF plan</vt:lpstr>
      <vt:lpstr>BAJAS-DEF uni</vt:lpstr>
      <vt:lpstr>BAJAS-REG plan</vt:lpstr>
      <vt:lpstr>BAJAS-REG uni</vt:lpstr>
      <vt:lpstr>ACTIVOS plan</vt:lpstr>
      <vt:lpstr>ACTIVOS uni</vt:lpstr>
      <vt:lpstr>EGRESO plan</vt:lpstr>
      <vt:lpstr>EGRESO uni</vt:lpstr>
      <vt:lpstr>egresados x gen</vt:lpstr>
      <vt:lpstr>EGRESO-ACUM plan</vt:lpstr>
      <vt:lpstr>EGR-ACUM uni</vt:lpstr>
      <vt:lpstr>TITULADOS plan</vt:lpstr>
      <vt:lpstr>TITULADOS uni</vt:lpstr>
      <vt:lpstr>TRIM EGRESO plan</vt:lpstr>
      <vt:lpstr>TRIM EGRESO uni</vt:lpstr>
      <vt:lpstr>TRIM PROM (1978-15)</vt:lpstr>
      <vt:lpstr>Eficiencia terminal</vt:lpstr>
      <vt:lpstr>Planes de Lic.</vt:lpstr>
      <vt:lpstr>Planes de calidad-Resumen</vt:lpstr>
      <vt:lpstr>Activos Lic-Pos</vt:lpstr>
      <vt:lpstr>Egresados Lic-Pos</vt:lpstr>
      <vt:lpstr>ASPI POSG plan</vt:lpstr>
      <vt:lpstr>ASPI-POS uni</vt:lpstr>
      <vt:lpstr>INSC-POSG plan</vt:lpstr>
      <vt:lpstr>INSC-POSG uni</vt:lpstr>
      <vt:lpstr>TOTALreinscrito POS plan</vt:lpstr>
      <vt:lpstr>TOTALreinscrito POS</vt:lpstr>
      <vt:lpstr>MATRICULA-POS plan</vt:lpstr>
      <vt:lpstr>MATRICULA-POS uni</vt:lpstr>
      <vt:lpstr>BAJAS DEF-POS plan</vt:lpstr>
      <vt:lpstr>BAJAS DEF-POS uni</vt:lpstr>
      <vt:lpstr>BAJAS REG-POS plan</vt:lpstr>
      <vt:lpstr>BAJAS REG-POS uni</vt:lpstr>
      <vt:lpstr>ACTIVOS-POS plan</vt:lpstr>
      <vt:lpstr>ACTIVOS-POS uni</vt:lpstr>
      <vt:lpstr>EGRESO-POS plan</vt:lpstr>
      <vt:lpstr>EGRESO-POs uni</vt:lpstr>
      <vt:lpstr>EGRESO POS ACUM plan</vt:lpstr>
      <vt:lpstr>EGRESO-POS ACUM uni</vt:lpstr>
      <vt:lpstr>Planes de Posgrado</vt:lpstr>
      <vt:lpstr>planes de calidad resumen</vt:lpstr>
      <vt:lpstr>Becas UAM pagadas</vt:lpstr>
      <vt:lpstr> 1 Manutención plan</vt:lpstr>
      <vt:lpstr>1 Manutención uni</vt:lpstr>
      <vt:lpstr>BECA SEP</vt:lpstr>
      <vt:lpstr>2 Excelencia_plan</vt:lpstr>
      <vt:lpstr>2 Excelencia_uni</vt:lpstr>
      <vt:lpstr>3 Gpos Vuln_plan</vt:lpstr>
      <vt:lpstr>3 Gpos Vuln_uni</vt:lpstr>
      <vt:lpstr>4 Serv Social plan</vt:lpstr>
      <vt:lpstr>4 Serv social uni</vt:lpstr>
      <vt:lpstr>5 Lenguas Ext plan</vt:lpstr>
      <vt:lpstr>5 Lenguas Ext uni</vt:lpstr>
      <vt:lpstr>6 Mov Inter Lic plan</vt:lpstr>
      <vt:lpstr>6 Mov Inter Lic uni</vt:lpstr>
      <vt:lpstr>7 Mov Nal Lic plan</vt:lpstr>
      <vt:lpstr>7 Mov Nal Lic uni</vt:lpstr>
      <vt:lpstr>8 Partic Lic plan</vt:lpstr>
      <vt:lpstr>8 Partic Lic uni</vt:lpstr>
      <vt:lpstr>9 Posg_plan</vt:lpstr>
      <vt:lpstr>9 Posg_uni</vt:lpstr>
      <vt:lpstr>BECAS-POS EVALUADOS </vt:lpstr>
      <vt:lpstr>BECAS - POS TESIS</vt:lpstr>
      <vt:lpstr>BECAS - POS NUEVO</vt:lpstr>
      <vt:lpstr>10 Difusión_plan</vt:lpstr>
      <vt:lpstr>10  Difusión_uni</vt:lpstr>
      <vt:lpstr>11-12 Movilidad Posgrado</vt:lpstr>
      <vt:lpstr>13 Estancias Posd</vt:lpstr>
      <vt:lpstr>14 Superacion Acad</vt:lpstr>
      <vt:lpstr>Definitivo x categoría</vt:lpstr>
      <vt:lpstr>Definitivo x género</vt:lpstr>
      <vt:lpstr>ACAD x EDAD</vt:lpstr>
      <vt:lpstr>ACAD x ANTIG</vt:lpstr>
      <vt:lpstr>Alumnos x PTC</vt:lpstr>
      <vt:lpstr>becas y estímulos</vt:lpstr>
      <vt:lpstr>Becas y Estimulos x U,D (2)</vt:lpstr>
      <vt:lpstr>PTC-GRADO</vt:lpstr>
      <vt:lpstr>PTC-GRADO (1)</vt:lpstr>
      <vt:lpstr>PTC-GRADO (2)</vt:lpstr>
      <vt:lpstr>PRODEP PERFIL</vt:lpstr>
      <vt:lpstr>SNI</vt:lpstr>
      <vt:lpstr>Cuerpos Acad</vt:lpstr>
      <vt:lpstr>Act de Investigacion</vt:lpstr>
      <vt:lpstr>TIPPA PROD TOTAL</vt:lpstr>
      <vt:lpstr>DEPORTES</vt:lpstr>
      <vt:lpstr>Resumen Deportes</vt:lpstr>
      <vt:lpstr>ADMI X EDAD</vt:lpstr>
      <vt:lpstr>ADMI X ANTIG</vt:lpstr>
      <vt:lpstr>RECURSOS EXT</vt:lpstr>
      <vt:lpstr>Convenios</vt:lpstr>
      <vt:lpstr>Patentes</vt:lpstr>
      <vt:lpstr>Transparencia</vt:lpstr>
      <vt:lpstr>'10 Difusión_plan'!Área_de_impresión</vt:lpstr>
      <vt:lpstr>'ACAD x ANTIG'!Área_de_impresión</vt:lpstr>
      <vt:lpstr>'ACTIVOS plan'!Área_de_impresión</vt:lpstr>
      <vt:lpstr>'ACTIVOS-POS plan'!Área_de_impresión</vt:lpstr>
      <vt:lpstr>'ACTIVOS-POS uni'!Área_de_impresión</vt:lpstr>
      <vt:lpstr>'Admitidos SE'!Área_de_impresión</vt:lpstr>
      <vt:lpstr>'Admitidos x gen'!Área_de_impresión</vt:lpstr>
      <vt:lpstr>'Alumnos x PTC'!Área_de_impresión</vt:lpstr>
      <vt:lpstr>'Asp x gen'!Área_de_impresión</vt:lpstr>
      <vt:lpstr>'Aspirantes uni'!Área_de_impresión</vt:lpstr>
      <vt:lpstr>'BAJAS DEF-POS uni'!Área_de_impresión</vt:lpstr>
      <vt:lpstr>'BAJAS REG-POS uni'!Área_de_impresión</vt:lpstr>
      <vt:lpstr>'BAJAS-DEF plan'!Área_de_impresión</vt:lpstr>
      <vt:lpstr>'BAJAS-DEF uni'!Área_de_impresión</vt:lpstr>
      <vt:lpstr>'BAJAS-REG plan'!Área_de_impresión</vt:lpstr>
      <vt:lpstr>'BECA SEP'!Área_de_impresión</vt:lpstr>
      <vt:lpstr>'BECAS - POS NUEVO'!Área_de_impresión</vt:lpstr>
      <vt:lpstr>'BECAS - POS TESIS'!Área_de_impresión</vt:lpstr>
      <vt:lpstr>'BECAS-POS EVALUADOS '!Área_de_impresión</vt:lpstr>
      <vt:lpstr>'Inscritos SE'!Área_de_impresión</vt:lpstr>
      <vt:lpstr>'PRODEP PERFIL'!Área_de_impresión</vt:lpstr>
      <vt:lpstr>'PTC-GRADO (2)'!Área_de_impresión</vt:lpstr>
      <vt:lpstr>'Resumen Deportes'!Área_de_impresión</vt:lpstr>
      <vt:lpstr>'TITULADOS plan'!Área_de_impresión</vt:lpstr>
      <vt:lpstr>'TITULADOS uni'!Área_de_impresión</vt:lpstr>
      <vt:lpstr>'TOTALreinscrito POS plan'!Área_de_impresión</vt:lpstr>
      <vt:lpstr>'TRIM EGRESO uni'!Área_de_impresión</vt:lpstr>
      <vt:lpstr>' 1 Manutención plan'!Títulos_a_imprimir</vt:lpstr>
      <vt:lpstr>'1 Manutención uni'!Títulos_a_imprimir</vt:lpstr>
      <vt:lpstr>'2 Excelencia_plan'!Títulos_a_imprimir</vt:lpstr>
      <vt:lpstr>'5 Lenguas Ext plan'!Títulos_a_imprimir</vt:lpstr>
      <vt:lpstr>'6 Mov Inter Lic plan'!Títulos_a_imprimir</vt:lpstr>
      <vt:lpstr>'9 Posg_plan'!Títulos_a_imprimir</vt:lpstr>
      <vt:lpstr>'Act de Investigacion'!Títulos_a_imprimir</vt:lpstr>
      <vt:lpstr>'ACTIVOS plan'!Títulos_a_imprimir</vt:lpstr>
      <vt:lpstr>'ACTIVOS-POS plan'!Títulos_a_imprimir</vt:lpstr>
      <vt:lpstr>'ACTIVOS-POS uni'!Títulos_a_imprimir</vt:lpstr>
      <vt:lpstr>'Admitidos plan'!Títulos_a_imprimir</vt:lpstr>
      <vt:lpstr>'Admitidos uni'!Títulos_a_imprimir</vt:lpstr>
      <vt:lpstr>'Admitidos x gen'!Títulos_a_imprimir</vt:lpstr>
      <vt:lpstr>'Asp x gen'!Títulos_a_imprimir</vt:lpstr>
      <vt:lpstr>'ASPI POSG plan'!Títulos_a_imprimir</vt:lpstr>
      <vt:lpstr>'ASPI-POS uni'!Títulos_a_imprimir</vt:lpstr>
      <vt:lpstr>'Aspirantes plan'!Títulos_a_imprimir</vt:lpstr>
      <vt:lpstr>'Aspirantes uni'!Títulos_a_imprimir</vt:lpstr>
      <vt:lpstr>'becas y estímulos'!Títulos_a_imprimir</vt:lpstr>
      <vt:lpstr>'Cuerpos Acad'!Títulos_a_imprimir</vt:lpstr>
      <vt:lpstr>'Definitivo x categoría'!Títulos_a_imprimir</vt:lpstr>
      <vt:lpstr>'Definitivo x género'!Títulos_a_imprimir</vt:lpstr>
      <vt:lpstr>'egresados x gen'!Títulos_a_imprimir</vt:lpstr>
      <vt:lpstr>'EGRESO plan'!Títulos_a_imprimir</vt:lpstr>
      <vt:lpstr>'EGRESO POS ACUM plan'!Títulos_a_imprimir</vt:lpstr>
      <vt:lpstr>'EGRESO uni'!Títulos_a_imprimir</vt:lpstr>
      <vt:lpstr>'EGRESO-ACUM plan'!Títulos_a_imprimir</vt:lpstr>
      <vt:lpstr>'EGRESO-POS ACUM uni'!Títulos_a_imprimir</vt:lpstr>
      <vt:lpstr>'EGRESO-POS plan'!Títulos_a_imprimir</vt:lpstr>
      <vt:lpstr>'EGRESO-POs uni'!Títulos_a_imprimir</vt:lpstr>
      <vt:lpstr>'INSC-POSG plan'!Títulos_a_imprimir</vt:lpstr>
      <vt:lpstr>'INSC-POSG uni'!Títulos_a_imprimir</vt:lpstr>
      <vt:lpstr>'Inscritos plan'!Títulos_a_imprimir</vt:lpstr>
      <vt:lpstr>'Inscritos uni'!Títulos_a_imprimir</vt:lpstr>
      <vt:lpstr>'Matrícula plan'!Títulos_a_imprimir</vt:lpstr>
      <vt:lpstr>'Matricula uni'!Títulos_a_imprimir</vt:lpstr>
      <vt:lpstr>'MATRICULA-POS plan'!Títulos_a_imprimir</vt:lpstr>
      <vt:lpstr>'MATRICULA-POS uni'!Títulos_a_imprimir</vt:lpstr>
      <vt:lpstr>'PTC-GRADO'!Títulos_a_imprimir</vt:lpstr>
      <vt:lpstr>'PTC-GRADO (1)'!Títulos_a_imprimir</vt:lpstr>
      <vt:lpstr>'PTC-GRADO (2)'!Títulos_a_imprimir</vt:lpstr>
      <vt:lpstr>SNI!Títulos_a_imprimir</vt:lpstr>
      <vt:lpstr>'TITULADOS plan'!Títulos_a_imprimir</vt:lpstr>
      <vt:lpstr>'TITULADOS uni'!Títulos_a_imprimir</vt:lpstr>
      <vt:lpstr>Transparencia!Títulos_a_imprimir</vt:lpstr>
      <vt:lpstr>'TRIM EGRESO plan'!Títulos_a_imprimir</vt:lpstr>
      <vt:lpstr>'TRIM PROM (1978-15)'!Títulos_a_imprimir</vt:lpstr>
    </vt:vector>
  </TitlesOfParts>
  <Company>uam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</dc:creator>
  <cp:lastModifiedBy>Antonio Eliseo Cortes Rodriguez</cp:lastModifiedBy>
  <cp:lastPrinted>2018-02-15T22:37:50Z</cp:lastPrinted>
  <dcterms:created xsi:type="dcterms:W3CDTF">2008-02-21T20:29:34Z</dcterms:created>
  <dcterms:modified xsi:type="dcterms:W3CDTF">2018-03-27T17:01:08Z</dcterms:modified>
</cp:coreProperties>
</file>